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volatileDependencies.xml" ContentType="application/vnd.openxmlformats-officedocument.spreadsheetml.volatileDependenc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0395" yWindow="-105" windowWidth="14850" windowHeight="12735"/>
  </bookViews>
  <sheets>
    <sheet name="BIData" sheetId="2" r:id="rId1"/>
    <sheet name="ReferenceData" sheetId="3" r:id="rId2"/>
    <sheet name="帮助-参考" sheetId="4" r:id="rId3"/>
  </sheets>
  <calcPr calcId="124519"/>
</workbook>
</file>

<file path=xl/calcChain.xml><?xml version="1.0" encoding="utf-8"?>
<calcChain xmlns="http://schemas.openxmlformats.org/spreadsheetml/2006/main">
  <c r="DU854" i="3"/>
  <c r="DT854"/>
  <c r="DS854"/>
  <c r="DR854"/>
  <c r="DQ854"/>
  <c r="DP854"/>
  <c r="DO854"/>
  <c r="DN854"/>
  <c r="DM854"/>
  <c r="DL854"/>
  <c r="DK854"/>
  <c r="DJ854"/>
  <c r="DI854"/>
  <c r="DH854"/>
  <c r="DG854"/>
  <c r="DF854"/>
  <c r="DE854"/>
  <c r="DD854"/>
  <c r="DC854"/>
  <c r="DB854"/>
  <c r="DA854"/>
  <c r="CZ854"/>
  <c r="CY854"/>
  <c r="CX854"/>
  <c r="CW854"/>
  <c r="CV854"/>
  <c r="CU854"/>
  <c r="CT854"/>
  <c r="CS854"/>
  <c r="CR854"/>
  <c r="CQ854"/>
  <c r="CP854"/>
  <c r="CO854"/>
  <c r="CN854"/>
  <c r="CM854"/>
  <c r="CL854"/>
  <c r="CK854"/>
  <c r="CJ854"/>
  <c r="CI854"/>
  <c r="CH854"/>
  <c r="CG854"/>
  <c r="CF854"/>
  <c r="CE854"/>
  <c r="CD854"/>
  <c r="CC854"/>
  <c r="CB854"/>
  <c r="CA854"/>
  <c r="BZ854"/>
  <c r="BY854"/>
  <c r="BX854"/>
  <c r="BW854"/>
  <c r="BV854"/>
  <c r="BU854"/>
  <c r="BT854"/>
  <c r="BS854"/>
  <c r="BR854"/>
  <c r="BQ854"/>
  <c r="BP854"/>
  <c r="BO854"/>
  <c r="BN854"/>
  <c r="E854"/>
  <c r="D854"/>
  <c r="C854"/>
  <c r="B854"/>
  <c r="A854"/>
  <c r="DU853"/>
  <c r="DT853"/>
  <c r="DS853"/>
  <c r="DR853"/>
  <c r="DQ853"/>
  <c r="DP853"/>
  <c r="DO853"/>
  <c r="DN853"/>
  <c r="DM853"/>
  <c r="DL853"/>
  <c r="DK853"/>
  <c r="DJ853"/>
  <c r="DI853"/>
  <c r="DH853"/>
  <c r="DG853"/>
  <c r="DF853"/>
  <c r="DE853"/>
  <c r="DD853"/>
  <c r="DC853"/>
  <c r="DB853"/>
  <c r="DA853"/>
  <c r="CZ853"/>
  <c r="CY853"/>
  <c r="CX853"/>
  <c r="CW853"/>
  <c r="CV853"/>
  <c r="CU853"/>
  <c r="CT853"/>
  <c r="CS853"/>
  <c r="CR853"/>
  <c r="CQ853"/>
  <c r="CP853"/>
  <c r="CO853"/>
  <c r="CN853"/>
  <c r="CM853"/>
  <c r="CL853"/>
  <c r="CK853"/>
  <c r="CJ853"/>
  <c r="CI853"/>
  <c r="CH853"/>
  <c r="CG853"/>
  <c r="CF853"/>
  <c r="CE853"/>
  <c r="CD853"/>
  <c r="CC853"/>
  <c r="CB853"/>
  <c r="CA853"/>
  <c r="BZ853"/>
  <c r="BY853"/>
  <c r="BX853"/>
  <c r="BW853"/>
  <c r="BV853"/>
  <c r="BU853"/>
  <c r="BT853"/>
  <c r="BS853"/>
  <c r="BR853"/>
  <c r="BQ853"/>
  <c r="BP853"/>
  <c r="BO853"/>
  <c r="BN853"/>
  <c r="A853"/>
  <c r="DU852"/>
  <c r="DT852"/>
  <c r="DS852"/>
  <c r="DR852"/>
  <c r="DQ852"/>
  <c r="DP852"/>
  <c r="DO852"/>
  <c r="DN852"/>
  <c r="DM852"/>
  <c r="DL852"/>
  <c r="DK852"/>
  <c r="DJ852"/>
  <c r="DI852"/>
  <c r="DH852"/>
  <c r="DG852"/>
  <c r="DF852"/>
  <c r="DE852"/>
  <c r="DD852"/>
  <c r="DC852"/>
  <c r="DB852"/>
  <c r="DA852"/>
  <c r="CZ852"/>
  <c r="CY852"/>
  <c r="CX852"/>
  <c r="CW852"/>
  <c r="CV852"/>
  <c r="CU852"/>
  <c r="CT852"/>
  <c r="CS852"/>
  <c r="CR852"/>
  <c r="CQ852"/>
  <c r="CP852"/>
  <c r="CO852"/>
  <c r="CN852"/>
  <c r="CM852"/>
  <c r="CL852"/>
  <c r="CK852"/>
  <c r="CJ852"/>
  <c r="CI852"/>
  <c r="CH852"/>
  <c r="CG852"/>
  <c r="CF852"/>
  <c r="CE852"/>
  <c r="CD852"/>
  <c r="CC852"/>
  <c r="CB852"/>
  <c r="CA852"/>
  <c r="BZ852"/>
  <c r="BY852"/>
  <c r="BX852"/>
  <c r="BW852"/>
  <c r="BV852"/>
  <c r="BU852"/>
  <c r="BT852"/>
  <c r="BS852"/>
  <c r="BR852"/>
  <c r="BQ852"/>
  <c r="BP852"/>
  <c r="BO852"/>
  <c r="BN852"/>
  <c r="A852"/>
  <c r="DU851"/>
  <c r="DT851"/>
  <c r="DS851"/>
  <c r="DR851"/>
  <c r="DQ851"/>
  <c r="DP851"/>
  <c r="DO851"/>
  <c r="DN851"/>
  <c r="DM851"/>
  <c r="DL851"/>
  <c r="DK851"/>
  <c r="DJ851"/>
  <c r="DI851"/>
  <c r="DH851"/>
  <c r="DG851"/>
  <c r="DF851"/>
  <c r="DE851"/>
  <c r="DD851"/>
  <c r="DC851"/>
  <c r="DB851"/>
  <c r="DA851"/>
  <c r="CZ851"/>
  <c r="CY851"/>
  <c r="CX851"/>
  <c r="CW851"/>
  <c r="CV851"/>
  <c r="CU851"/>
  <c r="CT851"/>
  <c r="CS851"/>
  <c r="CR851"/>
  <c r="CQ851"/>
  <c r="CP851"/>
  <c r="CO851"/>
  <c r="CN851"/>
  <c r="CM851"/>
  <c r="CL851"/>
  <c r="CK851"/>
  <c r="CJ851"/>
  <c r="CI851"/>
  <c r="CH851"/>
  <c r="CG851"/>
  <c r="CF851"/>
  <c r="CE851"/>
  <c r="CD851"/>
  <c r="CC851"/>
  <c r="CB851"/>
  <c r="CA851"/>
  <c r="BZ851"/>
  <c r="BY851"/>
  <c r="BX851"/>
  <c r="BW851"/>
  <c r="BV851"/>
  <c r="BU851"/>
  <c r="BT851"/>
  <c r="BS851"/>
  <c r="BR851"/>
  <c r="BQ851"/>
  <c r="BP851"/>
  <c r="BO851"/>
  <c r="BN851"/>
  <c r="A851"/>
  <c r="DU850"/>
  <c r="DT850"/>
  <c r="DS850"/>
  <c r="DR850"/>
  <c r="DQ850"/>
  <c r="DP850"/>
  <c r="DO850"/>
  <c r="DN850"/>
  <c r="DM850"/>
  <c r="DL850"/>
  <c r="DK850"/>
  <c r="DJ850"/>
  <c r="DI850"/>
  <c r="DH850"/>
  <c r="DG850"/>
  <c r="DF850"/>
  <c r="DE850"/>
  <c r="DD850"/>
  <c r="DC850"/>
  <c r="DB850"/>
  <c r="DA850"/>
  <c r="CZ850"/>
  <c r="CY850"/>
  <c r="CX850"/>
  <c r="CW850"/>
  <c r="CV850"/>
  <c r="CU850"/>
  <c r="CT850"/>
  <c r="CS850"/>
  <c r="CR850"/>
  <c r="CQ850"/>
  <c r="CP850"/>
  <c r="CO850"/>
  <c r="CN850"/>
  <c r="CM850"/>
  <c r="CL850"/>
  <c r="CK850"/>
  <c r="CJ850"/>
  <c r="CI850"/>
  <c r="CH850"/>
  <c r="CG850"/>
  <c r="CF850"/>
  <c r="CE850"/>
  <c r="CD850"/>
  <c r="CC850"/>
  <c r="CB850"/>
  <c r="CA850"/>
  <c r="BZ850"/>
  <c r="BY850"/>
  <c r="BX850"/>
  <c r="BW850"/>
  <c r="BV850"/>
  <c r="BU850"/>
  <c r="BT850"/>
  <c r="BS850"/>
  <c r="BR850"/>
  <c r="BQ850"/>
  <c r="BP850"/>
  <c r="BO850"/>
  <c r="BN850"/>
  <c r="A850"/>
  <c r="DU849"/>
  <c r="DT849"/>
  <c r="DS849"/>
  <c r="DR849"/>
  <c r="DQ849"/>
  <c r="DP849"/>
  <c r="DO849"/>
  <c r="DN849"/>
  <c r="DM849"/>
  <c r="DL849"/>
  <c r="DK849"/>
  <c r="DJ849"/>
  <c r="DI849"/>
  <c r="DH849"/>
  <c r="DG849"/>
  <c r="DF849"/>
  <c r="DE849"/>
  <c r="DD849"/>
  <c r="DC849"/>
  <c r="DB849"/>
  <c r="DA849"/>
  <c r="CZ849"/>
  <c r="CY849"/>
  <c r="CX849"/>
  <c r="CW849"/>
  <c r="CV849"/>
  <c r="CU849"/>
  <c r="CT849"/>
  <c r="CS849"/>
  <c r="CR849"/>
  <c r="CQ849"/>
  <c r="CP849"/>
  <c r="CO849"/>
  <c r="CN849"/>
  <c r="CM849"/>
  <c r="CL849"/>
  <c r="CK849"/>
  <c r="CJ849"/>
  <c r="CI849"/>
  <c r="CH849"/>
  <c r="CG849"/>
  <c r="CF849"/>
  <c r="CE849"/>
  <c r="CD849"/>
  <c r="CC849"/>
  <c r="CB849"/>
  <c r="CA849"/>
  <c r="BZ849"/>
  <c r="BY849"/>
  <c r="BX849"/>
  <c r="BW849"/>
  <c r="BV849"/>
  <c r="BU849"/>
  <c r="BT849"/>
  <c r="BS849"/>
  <c r="BR849"/>
  <c r="BQ849"/>
  <c r="BP849"/>
  <c r="BO849"/>
  <c r="BN849"/>
  <c r="A849"/>
  <c r="DU848"/>
  <c r="DT848"/>
  <c r="DS848"/>
  <c r="DR848"/>
  <c r="DQ848"/>
  <c r="DP848"/>
  <c r="DO848"/>
  <c r="DN848"/>
  <c r="DM848"/>
  <c r="DL848"/>
  <c r="DK848"/>
  <c r="DJ848"/>
  <c r="DI848"/>
  <c r="DH848"/>
  <c r="DG848"/>
  <c r="DF848"/>
  <c r="DE848"/>
  <c r="DD848"/>
  <c r="DC848"/>
  <c r="DB848"/>
  <c r="DA848"/>
  <c r="CZ848"/>
  <c r="CY848"/>
  <c r="CX848"/>
  <c r="CW848"/>
  <c r="CV848"/>
  <c r="CU848"/>
  <c r="CT848"/>
  <c r="CS848"/>
  <c r="CR848"/>
  <c r="CQ848"/>
  <c r="CP848"/>
  <c r="CO848"/>
  <c r="CN848"/>
  <c r="CM848"/>
  <c r="CL848"/>
  <c r="CK848"/>
  <c r="CJ848"/>
  <c r="CI848"/>
  <c r="CH848"/>
  <c r="CG848"/>
  <c r="CF848"/>
  <c r="CE848"/>
  <c r="CD848"/>
  <c r="CC848"/>
  <c r="CB848"/>
  <c r="CA848"/>
  <c r="BZ848"/>
  <c r="BY848"/>
  <c r="BX848"/>
  <c r="BW848"/>
  <c r="BV848"/>
  <c r="BU848"/>
  <c r="BT848"/>
  <c r="BS848"/>
  <c r="BR848"/>
  <c r="BQ848"/>
  <c r="BP848"/>
  <c r="BO848"/>
  <c r="BN848"/>
  <c r="A848"/>
  <c r="DU847"/>
  <c r="DT847"/>
  <c r="DS847"/>
  <c r="DR847"/>
  <c r="DQ847"/>
  <c r="DP847"/>
  <c r="DO847"/>
  <c r="DN847"/>
  <c r="DM847"/>
  <c r="DL847"/>
  <c r="DK847"/>
  <c r="DJ847"/>
  <c r="DI847"/>
  <c r="DH847"/>
  <c r="DG847"/>
  <c r="DF847"/>
  <c r="DE847"/>
  <c r="DD847"/>
  <c r="DC847"/>
  <c r="DB847"/>
  <c r="DA847"/>
  <c r="CZ847"/>
  <c r="CY847"/>
  <c r="CX847"/>
  <c r="CW847"/>
  <c r="CV847"/>
  <c r="CU847"/>
  <c r="CT847"/>
  <c r="CS847"/>
  <c r="CR847"/>
  <c r="CQ847"/>
  <c r="CP847"/>
  <c r="CO847"/>
  <c r="CN847"/>
  <c r="CM847"/>
  <c r="CL847"/>
  <c r="CK847"/>
  <c r="CJ847"/>
  <c r="CI847"/>
  <c r="CH847"/>
  <c r="CG847"/>
  <c r="CF847"/>
  <c r="CE847"/>
  <c r="CD847"/>
  <c r="CC847"/>
  <c r="CB847"/>
  <c r="CA847"/>
  <c r="BZ847"/>
  <c r="BY847"/>
  <c r="BX847"/>
  <c r="BW847"/>
  <c r="BV847"/>
  <c r="BU847"/>
  <c r="BT847"/>
  <c r="BS847"/>
  <c r="BR847"/>
  <c r="BQ847"/>
  <c r="BP847"/>
  <c r="BO847"/>
  <c r="BN847"/>
  <c r="A847"/>
  <c r="DU846"/>
  <c r="DT846"/>
  <c r="DS846"/>
  <c r="DR846"/>
  <c r="DQ846"/>
  <c r="DP846"/>
  <c r="DO846"/>
  <c r="DN846"/>
  <c r="DM846"/>
  <c r="DL846"/>
  <c r="DK846"/>
  <c r="DJ846"/>
  <c r="DI846"/>
  <c r="DH846"/>
  <c r="DG846"/>
  <c r="DF846"/>
  <c r="DE846"/>
  <c r="DD846"/>
  <c r="DC846"/>
  <c r="DB846"/>
  <c r="DA846"/>
  <c r="CZ846"/>
  <c r="CY846"/>
  <c r="CX846"/>
  <c r="CW846"/>
  <c r="CV846"/>
  <c r="CU846"/>
  <c r="CT846"/>
  <c r="CS846"/>
  <c r="CR846"/>
  <c r="CQ846"/>
  <c r="CP846"/>
  <c r="CO846"/>
  <c r="CN846"/>
  <c r="CM846"/>
  <c r="CL846"/>
  <c r="CK846"/>
  <c r="CJ846"/>
  <c r="CI846"/>
  <c r="CH846"/>
  <c r="CG846"/>
  <c r="CF846"/>
  <c r="CE846"/>
  <c r="CD846"/>
  <c r="CC846"/>
  <c r="CB846"/>
  <c r="CA846"/>
  <c r="BZ846"/>
  <c r="BY846"/>
  <c r="BX846"/>
  <c r="BW846"/>
  <c r="BV846"/>
  <c r="BU846"/>
  <c r="BT846"/>
  <c r="BS846"/>
  <c r="BR846"/>
  <c r="BQ846"/>
  <c r="BP846"/>
  <c r="BO846"/>
  <c r="BN846"/>
  <c r="A846"/>
  <c r="DU845"/>
  <c r="DT845"/>
  <c r="DS845"/>
  <c r="DR845"/>
  <c r="DQ845"/>
  <c r="DP845"/>
  <c r="DO845"/>
  <c r="DN845"/>
  <c r="DM845"/>
  <c r="DL845"/>
  <c r="DK845"/>
  <c r="DJ845"/>
  <c r="DI845"/>
  <c r="DH845"/>
  <c r="DG845"/>
  <c r="DF845"/>
  <c r="DE845"/>
  <c r="DD845"/>
  <c r="DC845"/>
  <c r="DB845"/>
  <c r="DA845"/>
  <c r="CZ845"/>
  <c r="CY845"/>
  <c r="CX845"/>
  <c r="CW845"/>
  <c r="CV845"/>
  <c r="CU845"/>
  <c r="CT845"/>
  <c r="CS845"/>
  <c r="CR845"/>
  <c r="CQ845"/>
  <c r="CP845"/>
  <c r="CO845"/>
  <c r="CN845"/>
  <c r="CM845"/>
  <c r="CL845"/>
  <c r="CK845"/>
  <c r="CJ845"/>
  <c r="CI845"/>
  <c r="CH845"/>
  <c r="CG845"/>
  <c r="CF845"/>
  <c r="CE845"/>
  <c r="CD845"/>
  <c r="CC845"/>
  <c r="CB845"/>
  <c r="CA845"/>
  <c r="BZ845"/>
  <c r="BY845"/>
  <c r="BX845"/>
  <c r="BW845"/>
  <c r="BV845"/>
  <c r="BU845"/>
  <c r="BT845"/>
  <c r="BS845"/>
  <c r="BR845"/>
  <c r="BQ845"/>
  <c r="BP845"/>
  <c r="BO845"/>
  <c r="BN845"/>
  <c r="A845"/>
  <c r="DU844"/>
  <c r="DT844"/>
  <c r="DS844"/>
  <c r="DR844"/>
  <c r="DQ844"/>
  <c r="DP844"/>
  <c r="DO844"/>
  <c r="DN844"/>
  <c r="DM844"/>
  <c r="DL844"/>
  <c r="DK844"/>
  <c r="DJ844"/>
  <c r="DI844"/>
  <c r="DH844"/>
  <c r="DG844"/>
  <c r="DF844"/>
  <c r="DE844"/>
  <c r="DD844"/>
  <c r="DC844"/>
  <c r="DB844"/>
  <c r="DA844"/>
  <c r="CZ844"/>
  <c r="CY844"/>
  <c r="CX844"/>
  <c r="CW844"/>
  <c r="CV844"/>
  <c r="CU844"/>
  <c r="CT844"/>
  <c r="CS844"/>
  <c r="CR844"/>
  <c r="CQ844"/>
  <c r="CP844"/>
  <c r="CO844"/>
  <c r="CN844"/>
  <c r="CM844"/>
  <c r="CL844"/>
  <c r="CK844"/>
  <c r="CJ844"/>
  <c r="CI844"/>
  <c r="CH844"/>
  <c r="CG844"/>
  <c r="CF844"/>
  <c r="CE844"/>
  <c r="CD844"/>
  <c r="CC844"/>
  <c r="CB844"/>
  <c r="CA844"/>
  <c r="BZ844"/>
  <c r="BY844"/>
  <c r="BX844"/>
  <c r="BW844"/>
  <c r="BV844"/>
  <c r="BU844"/>
  <c r="BT844"/>
  <c r="BS844"/>
  <c r="BR844"/>
  <c r="BQ844"/>
  <c r="BP844"/>
  <c r="BO844"/>
  <c r="BN844"/>
  <c r="A844"/>
  <c r="DU843"/>
  <c r="DT843"/>
  <c r="DS843"/>
  <c r="DR843"/>
  <c r="DQ843"/>
  <c r="DP843"/>
  <c r="DO843"/>
  <c r="DN843"/>
  <c r="DM843"/>
  <c r="DL843"/>
  <c r="DK843"/>
  <c r="DJ843"/>
  <c r="DI843"/>
  <c r="DH843"/>
  <c r="DG843"/>
  <c r="DF843"/>
  <c r="DE843"/>
  <c r="DD843"/>
  <c r="DC843"/>
  <c r="DB843"/>
  <c r="DA843"/>
  <c r="CZ843"/>
  <c r="CY843"/>
  <c r="CX843"/>
  <c r="CW843"/>
  <c r="CV843"/>
  <c r="CU843"/>
  <c r="CT843"/>
  <c r="CS843"/>
  <c r="CR843"/>
  <c r="CQ843"/>
  <c r="CP843"/>
  <c r="CO843"/>
  <c r="CN843"/>
  <c r="CM843"/>
  <c r="CL843"/>
  <c r="CK843"/>
  <c r="CJ843"/>
  <c r="CI843"/>
  <c r="CH843"/>
  <c r="CG843"/>
  <c r="CF843"/>
  <c r="CE843"/>
  <c r="CD843"/>
  <c r="CC843"/>
  <c r="CB843"/>
  <c r="CA843"/>
  <c r="BZ843"/>
  <c r="BY843"/>
  <c r="BX843"/>
  <c r="BW843"/>
  <c r="BV843"/>
  <c r="BU843"/>
  <c r="BT843"/>
  <c r="BS843"/>
  <c r="BR843"/>
  <c r="BQ843"/>
  <c r="BP843"/>
  <c r="BO843"/>
  <c r="BN843"/>
  <c r="A843"/>
  <c r="DU842"/>
  <c r="DT842"/>
  <c r="DS842"/>
  <c r="DR842"/>
  <c r="DQ842"/>
  <c r="DP842"/>
  <c r="DO842"/>
  <c r="DN842"/>
  <c r="DM842"/>
  <c r="DL842"/>
  <c r="DK842"/>
  <c r="DJ842"/>
  <c r="DI842"/>
  <c r="DH842"/>
  <c r="DG842"/>
  <c r="DF842"/>
  <c r="DE842"/>
  <c r="DD842"/>
  <c r="DC842"/>
  <c r="DB842"/>
  <c r="DA842"/>
  <c r="CZ842"/>
  <c r="CY842"/>
  <c r="CX842"/>
  <c r="CW842"/>
  <c r="CV842"/>
  <c r="CU842"/>
  <c r="CT842"/>
  <c r="CS842"/>
  <c r="CR842"/>
  <c r="CQ842"/>
  <c r="CP842"/>
  <c r="CO842"/>
  <c r="CN842"/>
  <c r="CM842"/>
  <c r="CL842"/>
  <c r="CK842"/>
  <c r="CJ842"/>
  <c r="CI842"/>
  <c r="CH842"/>
  <c r="CG842"/>
  <c r="CF842"/>
  <c r="CE842"/>
  <c r="CD842"/>
  <c r="CC842"/>
  <c r="CB842"/>
  <c r="CA842"/>
  <c r="BZ842"/>
  <c r="BY842"/>
  <c r="BX842"/>
  <c r="BW842"/>
  <c r="BV842"/>
  <c r="BU842"/>
  <c r="BT842"/>
  <c r="BS842"/>
  <c r="BR842"/>
  <c r="BQ842"/>
  <c r="BP842"/>
  <c r="BO842"/>
  <c r="BN842"/>
  <c r="A842"/>
  <c r="DU841"/>
  <c r="DT841"/>
  <c r="DS841"/>
  <c r="DR841"/>
  <c r="DQ841"/>
  <c r="DP841"/>
  <c r="DO841"/>
  <c r="DN841"/>
  <c r="DM841"/>
  <c r="DL841"/>
  <c r="DK841"/>
  <c r="DJ841"/>
  <c r="DI841"/>
  <c r="DH841"/>
  <c r="DG841"/>
  <c r="DF841"/>
  <c r="DE841"/>
  <c r="DD841"/>
  <c r="DC841"/>
  <c r="DB841"/>
  <c r="DA841"/>
  <c r="CZ841"/>
  <c r="CY841"/>
  <c r="CX841"/>
  <c r="CW841"/>
  <c r="CV841"/>
  <c r="CU841"/>
  <c r="CT841"/>
  <c r="CS841"/>
  <c r="CR841"/>
  <c r="CQ841"/>
  <c r="CP841"/>
  <c r="CO841"/>
  <c r="CN841"/>
  <c r="CM841"/>
  <c r="CL841"/>
  <c r="CK841"/>
  <c r="CJ841"/>
  <c r="CI841"/>
  <c r="CH841"/>
  <c r="CG841"/>
  <c r="CF841"/>
  <c r="CE841"/>
  <c r="CD841"/>
  <c r="CC841"/>
  <c r="CB841"/>
  <c r="CA841"/>
  <c r="BZ841"/>
  <c r="BY841"/>
  <c r="BX841"/>
  <c r="BW841"/>
  <c r="BV841"/>
  <c r="BU841"/>
  <c r="BT841"/>
  <c r="BS841"/>
  <c r="BR841"/>
  <c r="BQ841"/>
  <c r="BP841"/>
  <c r="BO841"/>
  <c r="BN841"/>
  <c r="A841"/>
  <c r="DU840"/>
  <c r="DT840"/>
  <c r="DS840"/>
  <c r="DR840"/>
  <c r="DQ840"/>
  <c r="DP840"/>
  <c r="DO840"/>
  <c r="DN840"/>
  <c r="DM840"/>
  <c r="DL840"/>
  <c r="DK840"/>
  <c r="DJ840"/>
  <c r="DI840"/>
  <c r="DH840"/>
  <c r="DG840"/>
  <c r="DF840"/>
  <c r="DE840"/>
  <c r="DD840"/>
  <c r="DC840"/>
  <c r="DB840"/>
  <c r="DA840"/>
  <c r="CZ840"/>
  <c r="CY840"/>
  <c r="CX840"/>
  <c r="CW840"/>
  <c r="CV840"/>
  <c r="CU840"/>
  <c r="CT840"/>
  <c r="CS840"/>
  <c r="CR840"/>
  <c r="CQ840"/>
  <c r="CP840"/>
  <c r="CO840"/>
  <c r="CN840"/>
  <c r="CM840"/>
  <c r="CL840"/>
  <c r="CK840"/>
  <c r="CJ840"/>
  <c r="CI840"/>
  <c r="CH840"/>
  <c r="CG840"/>
  <c r="CF840"/>
  <c r="CE840"/>
  <c r="CD840"/>
  <c r="CC840"/>
  <c r="CB840"/>
  <c r="CA840"/>
  <c r="BZ840"/>
  <c r="BY840"/>
  <c r="BX840"/>
  <c r="BW840"/>
  <c r="BV840"/>
  <c r="BU840"/>
  <c r="BT840"/>
  <c r="BS840"/>
  <c r="BR840"/>
  <c r="BQ840"/>
  <c r="BP840"/>
  <c r="BO840"/>
  <c r="BN840"/>
  <c r="A840"/>
  <c r="DU839"/>
  <c r="DT839"/>
  <c r="DS839"/>
  <c r="DR839"/>
  <c r="DQ839"/>
  <c r="DP839"/>
  <c r="DO839"/>
  <c r="DN839"/>
  <c r="DM839"/>
  <c r="DL839"/>
  <c r="DK839"/>
  <c r="DJ839"/>
  <c r="DI839"/>
  <c r="DH839"/>
  <c r="DG839"/>
  <c r="DF839"/>
  <c r="DE839"/>
  <c r="DD839"/>
  <c r="DC839"/>
  <c r="DB839"/>
  <c r="DA839"/>
  <c r="CZ839"/>
  <c r="CY839"/>
  <c r="CX839"/>
  <c r="CW839"/>
  <c r="CV839"/>
  <c r="CU839"/>
  <c r="CT839"/>
  <c r="CS839"/>
  <c r="CR839"/>
  <c r="CQ839"/>
  <c r="CP839"/>
  <c r="CO839"/>
  <c r="CN839"/>
  <c r="CM839"/>
  <c r="CL839"/>
  <c r="CK839"/>
  <c r="CJ839"/>
  <c r="CI839"/>
  <c r="CH839"/>
  <c r="CG839"/>
  <c r="CF839"/>
  <c r="CE839"/>
  <c r="CD839"/>
  <c r="CC839"/>
  <c r="CB839"/>
  <c r="CA839"/>
  <c r="BZ839"/>
  <c r="BY839"/>
  <c r="BX839"/>
  <c r="BW839"/>
  <c r="BV839"/>
  <c r="BU839"/>
  <c r="BT839"/>
  <c r="BS839"/>
  <c r="BR839"/>
  <c r="BQ839"/>
  <c r="BP839"/>
  <c r="BO839"/>
  <c r="BN839"/>
  <c r="A839"/>
  <c r="DU838"/>
  <c r="DT838"/>
  <c r="DS838"/>
  <c r="DR838"/>
  <c r="DQ838"/>
  <c r="DP838"/>
  <c r="DO838"/>
  <c r="DN838"/>
  <c r="DM838"/>
  <c r="DL838"/>
  <c r="DK838"/>
  <c r="DJ838"/>
  <c r="DI838"/>
  <c r="DH838"/>
  <c r="DG838"/>
  <c r="DF838"/>
  <c r="DE838"/>
  <c r="DD838"/>
  <c r="DC838"/>
  <c r="DB838"/>
  <c r="DA838"/>
  <c r="CZ838"/>
  <c r="CY838"/>
  <c r="CX838"/>
  <c r="CW838"/>
  <c r="CV838"/>
  <c r="CU838"/>
  <c r="CT838"/>
  <c r="CS838"/>
  <c r="CR838"/>
  <c r="CQ838"/>
  <c r="CP838"/>
  <c r="CO838"/>
  <c r="CN838"/>
  <c r="CM838"/>
  <c r="CL838"/>
  <c r="CK838"/>
  <c r="CJ838"/>
  <c r="CI838"/>
  <c r="CH838"/>
  <c r="CG838"/>
  <c r="CF838"/>
  <c r="CE838"/>
  <c r="CD838"/>
  <c r="CC838"/>
  <c r="CB838"/>
  <c r="CA838"/>
  <c r="BZ838"/>
  <c r="BY838"/>
  <c r="BX838"/>
  <c r="BW838"/>
  <c r="BV838"/>
  <c r="BU838"/>
  <c r="BT838"/>
  <c r="BS838"/>
  <c r="BR838"/>
  <c r="BQ838"/>
  <c r="BP838"/>
  <c r="BO838"/>
  <c r="BN838"/>
  <c r="A838"/>
  <c r="DU837"/>
  <c r="DT837"/>
  <c r="DS837"/>
  <c r="DR837"/>
  <c r="DQ837"/>
  <c r="DP837"/>
  <c r="DO837"/>
  <c r="DN837"/>
  <c r="DM837"/>
  <c r="DL837"/>
  <c r="DK837"/>
  <c r="DJ837"/>
  <c r="DI837"/>
  <c r="DH837"/>
  <c r="DG837"/>
  <c r="DF837"/>
  <c r="DE837"/>
  <c r="DD837"/>
  <c r="DC837"/>
  <c r="DB837"/>
  <c r="DA837"/>
  <c r="CZ837"/>
  <c r="CY837"/>
  <c r="CX837"/>
  <c r="CW837"/>
  <c r="CV837"/>
  <c r="CU837"/>
  <c r="CT837"/>
  <c r="CS837"/>
  <c r="CR837"/>
  <c r="CQ837"/>
  <c r="CP837"/>
  <c r="CO837"/>
  <c r="CN837"/>
  <c r="CM837"/>
  <c r="CL837"/>
  <c r="CK837"/>
  <c r="CJ837"/>
  <c r="CI837"/>
  <c r="CH837"/>
  <c r="CG837"/>
  <c r="CF837"/>
  <c r="CE837"/>
  <c r="CD837"/>
  <c r="CC837"/>
  <c r="CB837"/>
  <c r="CA837"/>
  <c r="BZ837"/>
  <c r="BY837"/>
  <c r="BX837"/>
  <c r="BW837"/>
  <c r="BV837"/>
  <c r="BU837"/>
  <c r="BT837"/>
  <c r="BS837"/>
  <c r="BR837"/>
  <c r="BQ837"/>
  <c r="BP837"/>
  <c r="BO837"/>
  <c r="BN837"/>
  <c r="BJ837"/>
  <c r="BI837"/>
  <c r="BH837"/>
  <c r="BG837"/>
  <c r="BF837"/>
  <c r="BE837"/>
  <c r="BD837"/>
  <c r="BC837"/>
  <c r="BB837"/>
  <c r="BA837"/>
  <c r="AZ837"/>
  <c r="AY837"/>
  <c r="AX837"/>
  <c r="AW837"/>
  <c r="AV837"/>
  <c r="AU837"/>
  <c r="AT837"/>
  <c r="AS837"/>
  <c r="AR837"/>
  <c r="AQ837"/>
  <c r="AP837"/>
  <c r="AO837"/>
  <c r="AN837"/>
  <c r="AM837"/>
  <c r="AL837"/>
  <c r="AK837"/>
  <c r="AJ837"/>
  <c r="AI837"/>
  <c r="AH837"/>
  <c r="AG837"/>
  <c r="AF837"/>
  <c r="AE837"/>
  <c r="AD837"/>
  <c r="AC837"/>
  <c r="AB837"/>
  <c r="AA837"/>
  <c r="Z837"/>
  <c r="Y837"/>
  <c r="X837"/>
  <c r="W837"/>
  <c r="V837"/>
  <c r="U837"/>
  <c r="T837"/>
  <c r="S837"/>
  <c r="R837"/>
  <c r="Q837"/>
  <c r="P837"/>
  <c r="O837"/>
  <c r="N837"/>
  <c r="M837"/>
  <c r="L837"/>
  <c r="K837"/>
  <c r="J837"/>
  <c r="I837"/>
  <c r="H837"/>
  <c r="G837"/>
  <c r="F837"/>
  <c r="E837"/>
  <c r="D837"/>
  <c r="C837"/>
  <c r="B837"/>
  <c r="A837"/>
  <c r="DU836"/>
  <c r="DT836"/>
  <c r="DS836"/>
  <c r="DR836"/>
  <c r="DQ836"/>
  <c r="DP836"/>
  <c r="DO836"/>
  <c r="DN836"/>
  <c r="DM836"/>
  <c r="DL836"/>
  <c r="DK836"/>
  <c r="DJ836"/>
  <c r="DI836"/>
  <c r="DH836"/>
  <c r="DG836"/>
  <c r="DF836"/>
  <c r="DE836"/>
  <c r="DD836"/>
  <c r="DC836"/>
  <c r="DB836"/>
  <c r="DA836"/>
  <c r="CZ836"/>
  <c r="CY836"/>
  <c r="CX836"/>
  <c r="CW836"/>
  <c r="CV836"/>
  <c r="CU836"/>
  <c r="CT836"/>
  <c r="CS836"/>
  <c r="CR836"/>
  <c r="CQ836"/>
  <c r="CP836"/>
  <c r="CO836"/>
  <c r="CN836"/>
  <c r="CM836"/>
  <c r="CL836"/>
  <c r="CK836"/>
  <c r="CJ836"/>
  <c r="CI836"/>
  <c r="CH836"/>
  <c r="CG836"/>
  <c r="CF836"/>
  <c r="CE836"/>
  <c r="CD836"/>
  <c r="CC836"/>
  <c r="CB836"/>
  <c r="CA836"/>
  <c r="BZ836"/>
  <c r="BY836"/>
  <c r="BX836"/>
  <c r="BW836"/>
  <c r="BV836"/>
  <c r="BU836"/>
  <c r="BT836"/>
  <c r="BS836"/>
  <c r="BR836"/>
  <c r="BQ836"/>
  <c r="BP836"/>
  <c r="BO836"/>
  <c r="BN836"/>
  <c r="E836"/>
  <c r="D836"/>
  <c r="C836"/>
  <c r="B836"/>
  <c r="A836"/>
  <c r="DU835"/>
  <c r="DT835"/>
  <c r="DS835"/>
  <c r="DR835"/>
  <c r="DQ835"/>
  <c r="DP835"/>
  <c r="DO835"/>
  <c r="DN835"/>
  <c r="DM835"/>
  <c r="DL835"/>
  <c r="DK835"/>
  <c r="DJ835"/>
  <c r="DI835"/>
  <c r="DH835"/>
  <c r="DG835"/>
  <c r="DF835"/>
  <c r="DE835"/>
  <c r="DD835"/>
  <c r="DC835"/>
  <c r="DB835"/>
  <c r="DA835"/>
  <c r="CZ835"/>
  <c r="CY835"/>
  <c r="CX835"/>
  <c r="CW835"/>
  <c r="CV835"/>
  <c r="CU835"/>
  <c r="CT835"/>
  <c r="CS835"/>
  <c r="CR835"/>
  <c r="CQ835"/>
  <c r="CP835"/>
  <c r="CO835"/>
  <c r="CN835"/>
  <c r="CM835"/>
  <c r="CL835"/>
  <c r="CK835"/>
  <c r="CJ835"/>
  <c r="CI835"/>
  <c r="CH835"/>
  <c r="CG835"/>
  <c r="CF835"/>
  <c r="CE835"/>
  <c r="CD835"/>
  <c r="CC835"/>
  <c r="CB835"/>
  <c r="CA835"/>
  <c r="BZ835"/>
  <c r="BY835"/>
  <c r="BX835"/>
  <c r="BW835"/>
  <c r="BV835"/>
  <c r="BU835"/>
  <c r="BT835"/>
  <c r="BS835"/>
  <c r="BR835"/>
  <c r="BQ835"/>
  <c r="BP835"/>
  <c r="BO835"/>
  <c r="BN835"/>
  <c r="E835"/>
  <c r="D835"/>
  <c r="C835"/>
  <c r="B835"/>
  <c r="A835"/>
  <c r="DU834"/>
  <c r="DT834"/>
  <c r="DS834"/>
  <c r="DR834"/>
  <c r="DQ834"/>
  <c r="DP834"/>
  <c r="DO834"/>
  <c r="DN834"/>
  <c r="DM834"/>
  <c r="DL834"/>
  <c r="DK834"/>
  <c r="DJ834"/>
  <c r="DI834"/>
  <c r="DH834"/>
  <c r="DG834"/>
  <c r="DF834"/>
  <c r="DE834"/>
  <c r="DD834"/>
  <c r="DC834"/>
  <c r="DB834"/>
  <c r="DA834"/>
  <c r="CZ834"/>
  <c r="CY834"/>
  <c r="CX834"/>
  <c r="CW834"/>
  <c r="CV834"/>
  <c r="CU834"/>
  <c r="CT834"/>
  <c r="CS834"/>
  <c r="CR834"/>
  <c r="CQ834"/>
  <c r="CP834"/>
  <c r="CO834"/>
  <c r="CN834"/>
  <c r="CM834"/>
  <c r="CL834"/>
  <c r="CK834"/>
  <c r="CJ834"/>
  <c r="CI834"/>
  <c r="CH834"/>
  <c r="CG834"/>
  <c r="CF834"/>
  <c r="CE834"/>
  <c r="CD834"/>
  <c r="CC834"/>
  <c r="CB834"/>
  <c r="CA834"/>
  <c r="BZ834"/>
  <c r="BY834"/>
  <c r="BX834"/>
  <c r="BW834"/>
  <c r="BV834"/>
  <c r="BU834"/>
  <c r="BT834"/>
  <c r="BS834"/>
  <c r="BR834"/>
  <c r="BQ834"/>
  <c r="BP834"/>
  <c r="BO834"/>
  <c r="BN834"/>
  <c r="E834"/>
  <c r="D834"/>
  <c r="C834"/>
  <c r="A834"/>
  <c r="DU833"/>
  <c r="DT833"/>
  <c r="DS833"/>
  <c r="DR833"/>
  <c r="DQ833"/>
  <c r="DP833"/>
  <c r="DO833"/>
  <c r="DN833"/>
  <c r="DM833"/>
  <c r="DL833"/>
  <c r="DK833"/>
  <c r="DJ833"/>
  <c r="DI833"/>
  <c r="DH833"/>
  <c r="DG833"/>
  <c r="DF833"/>
  <c r="DE833"/>
  <c r="DD833"/>
  <c r="DC833"/>
  <c r="DB833"/>
  <c r="DA833"/>
  <c r="CZ833"/>
  <c r="CY833"/>
  <c r="CX833"/>
  <c r="CW833"/>
  <c r="CV833"/>
  <c r="CU833"/>
  <c r="CT833"/>
  <c r="CS833"/>
  <c r="CR833"/>
  <c r="CQ833"/>
  <c r="CP833"/>
  <c r="CO833"/>
  <c r="CN833"/>
  <c r="CM833"/>
  <c r="CL833"/>
  <c r="CK833"/>
  <c r="CJ833"/>
  <c r="CI833"/>
  <c r="CH833"/>
  <c r="CG833"/>
  <c r="CF833"/>
  <c r="CE833"/>
  <c r="CD833"/>
  <c r="CC833"/>
  <c r="CB833"/>
  <c r="CA833"/>
  <c r="BZ833"/>
  <c r="BY833"/>
  <c r="BX833"/>
  <c r="BW833"/>
  <c r="BV833"/>
  <c r="BU833"/>
  <c r="BT833"/>
  <c r="BS833"/>
  <c r="BR833"/>
  <c r="BQ833"/>
  <c r="BP833"/>
  <c r="BO833"/>
  <c r="BN833"/>
  <c r="E833"/>
  <c r="D833"/>
  <c r="C833"/>
  <c r="B833"/>
  <c r="A833"/>
  <c r="DU832"/>
  <c r="DT832"/>
  <c r="DS832"/>
  <c r="DR832"/>
  <c r="DQ832"/>
  <c r="DP832"/>
  <c r="DO832"/>
  <c r="DN832"/>
  <c r="DM832"/>
  <c r="DL832"/>
  <c r="DK832"/>
  <c r="DJ832"/>
  <c r="DI832"/>
  <c r="DH832"/>
  <c r="DG832"/>
  <c r="DF832"/>
  <c r="DE832"/>
  <c r="DD832"/>
  <c r="DC832"/>
  <c r="DB832"/>
  <c r="DA832"/>
  <c r="CZ832"/>
  <c r="CY832"/>
  <c r="CX832"/>
  <c r="CW832"/>
  <c r="CV832"/>
  <c r="CU832"/>
  <c r="CT832"/>
  <c r="CS832"/>
  <c r="CR832"/>
  <c r="CQ832"/>
  <c r="CP832"/>
  <c r="CO832"/>
  <c r="CN832"/>
  <c r="CM832"/>
  <c r="CL832"/>
  <c r="CK832"/>
  <c r="CJ832"/>
  <c r="CI832"/>
  <c r="CH832"/>
  <c r="CG832"/>
  <c r="CF832"/>
  <c r="CE832"/>
  <c r="CD832"/>
  <c r="CC832"/>
  <c r="CB832"/>
  <c r="CA832"/>
  <c r="BZ832"/>
  <c r="BY832"/>
  <c r="BX832"/>
  <c r="BW832"/>
  <c r="BV832"/>
  <c r="BU832"/>
  <c r="BT832"/>
  <c r="BS832"/>
  <c r="BR832"/>
  <c r="BQ832"/>
  <c r="BP832"/>
  <c r="BO832"/>
  <c r="BN832"/>
  <c r="A832"/>
  <c r="DU831"/>
  <c r="DT831"/>
  <c r="DS831"/>
  <c r="DR831"/>
  <c r="DQ831"/>
  <c r="DP831"/>
  <c r="DO831"/>
  <c r="DN831"/>
  <c r="DM831"/>
  <c r="DL831"/>
  <c r="DK831"/>
  <c r="DJ831"/>
  <c r="DI831"/>
  <c r="DH831"/>
  <c r="DG831"/>
  <c r="DF831"/>
  <c r="DE831"/>
  <c r="DD831"/>
  <c r="DC831"/>
  <c r="DB831"/>
  <c r="DA831"/>
  <c r="CZ831"/>
  <c r="CY831"/>
  <c r="CX831"/>
  <c r="CW831"/>
  <c r="CV831"/>
  <c r="CU831"/>
  <c r="CT831"/>
  <c r="CS831"/>
  <c r="CR831"/>
  <c r="CQ831"/>
  <c r="CP831"/>
  <c r="CO831"/>
  <c r="CN831"/>
  <c r="CM831"/>
  <c r="CL831"/>
  <c r="CK831"/>
  <c r="CJ831"/>
  <c r="CI831"/>
  <c r="CH831"/>
  <c r="CG831"/>
  <c r="CF831"/>
  <c r="CE831"/>
  <c r="CD831"/>
  <c r="CC831"/>
  <c r="CB831"/>
  <c r="CA831"/>
  <c r="BZ831"/>
  <c r="BY831"/>
  <c r="BX831"/>
  <c r="BW831"/>
  <c r="BV831"/>
  <c r="BU831"/>
  <c r="BT831"/>
  <c r="BS831"/>
  <c r="BR831"/>
  <c r="BQ831"/>
  <c r="BP831"/>
  <c r="BO831"/>
  <c r="BN831"/>
  <c r="E831"/>
  <c r="D831"/>
  <c r="C831"/>
  <c r="B831"/>
  <c r="A831"/>
  <c r="DU830"/>
  <c r="DT830"/>
  <c r="DS830"/>
  <c r="DR830"/>
  <c r="DQ830"/>
  <c r="DP830"/>
  <c r="DO830"/>
  <c r="DN830"/>
  <c r="DM830"/>
  <c r="DL830"/>
  <c r="DK830"/>
  <c r="DJ830"/>
  <c r="DI830"/>
  <c r="DH830"/>
  <c r="DG830"/>
  <c r="DF830"/>
  <c r="DE830"/>
  <c r="DD830"/>
  <c r="DC830"/>
  <c r="DB830"/>
  <c r="DA830"/>
  <c r="CZ830"/>
  <c r="CY830"/>
  <c r="CX830"/>
  <c r="CW830"/>
  <c r="CV830"/>
  <c r="CU830"/>
  <c r="CT830"/>
  <c r="CS830"/>
  <c r="CR830"/>
  <c r="CQ830"/>
  <c r="CP830"/>
  <c r="CO830"/>
  <c r="CN830"/>
  <c r="CM830"/>
  <c r="CL830"/>
  <c r="CK830"/>
  <c r="CJ830"/>
  <c r="CI830"/>
  <c r="CH830"/>
  <c r="CG830"/>
  <c r="CF830"/>
  <c r="CE830"/>
  <c r="CD830"/>
  <c r="CC830"/>
  <c r="CB830"/>
  <c r="CA830"/>
  <c r="BZ830"/>
  <c r="BY830"/>
  <c r="BX830"/>
  <c r="BW830"/>
  <c r="BV830"/>
  <c r="BU830"/>
  <c r="BT830"/>
  <c r="BS830"/>
  <c r="BR830"/>
  <c r="BQ830"/>
  <c r="BP830"/>
  <c r="BO830"/>
  <c r="BN830"/>
  <c r="E830"/>
  <c r="D830"/>
  <c r="C830"/>
  <c r="B830"/>
  <c r="A830"/>
  <c r="DU829"/>
  <c r="DT829"/>
  <c r="DS829"/>
  <c r="DR829"/>
  <c r="DQ829"/>
  <c r="DP829"/>
  <c r="DO829"/>
  <c r="DN829"/>
  <c r="DM829"/>
  <c r="DL829"/>
  <c r="DK829"/>
  <c r="DJ829"/>
  <c r="DI829"/>
  <c r="DH829"/>
  <c r="DG829"/>
  <c r="DF829"/>
  <c r="DE829"/>
  <c r="DD829"/>
  <c r="DC829"/>
  <c r="DB829"/>
  <c r="DA829"/>
  <c r="CZ829"/>
  <c r="CY829"/>
  <c r="CX829"/>
  <c r="CW829"/>
  <c r="CV829"/>
  <c r="CU829"/>
  <c r="CT829"/>
  <c r="CS829"/>
  <c r="CR829"/>
  <c r="CQ829"/>
  <c r="CP829"/>
  <c r="CO829"/>
  <c r="CN829"/>
  <c r="CM829"/>
  <c r="CL829"/>
  <c r="CK829"/>
  <c r="CJ829"/>
  <c r="CI829"/>
  <c r="CH829"/>
  <c r="CG829"/>
  <c r="CF829"/>
  <c r="CE829"/>
  <c r="CD829"/>
  <c r="CC829"/>
  <c r="CB829"/>
  <c r="CA829"/>
  <c r="BZ829"/>
  <c r="BY829"/>
  <c r="BX829"/>
  <c r="BW829"/>
  <c r="BV829"/>
  <c r="BU829"/>
  <c r="BT829"/>
  <c r="BS829"/>
  <c r="BR829"/>
  <c r="BQ829"/>
  <c r="BP829"/>
  <c r="BO829"/>
  <c r="BN829"/>
  <c r="E829"/>
  <c r="D829"/>
  <c r="C829"/>
  <c r="B829"/>
  <c r="A829"/>
  <c r="DU828"/>
  <c r="DT828"/>
  <c r="DS828"/>
  <c r="DR828"/>
  <c r="DQ828"/>
  <c r="DP828"/>
  <c r="DO828"/>
  <c r="DN828"/>
  <c r="DM828"/>
  <c r="DL828"/>
  <c r="DK828"/>
  <c r="DJ828"/>
  <c r="DI828"/>
  <c r="DH828"/>
  <c r="DG828"/>
  <c r="DF828"/>
  <c r="DE828"/>
  <c r="DD828"/>
  <c r="DC828"/>
  <c r="DB828"/>
  <c r="DA828"/>
  <c r="CZ828"/>
  <c r="CY828"/>
  <c r="CX828"/>
  <c r="CW828"/>
  <c r="CV828"/>
  <c r="CU828"/>
  <c r="CT828"/>
  <c r="CS828"/>
  <c r="CR828"/>
  <c r="CQ828"/>
  <c r="CP828"/>
  <c r="CO828"/>
  <c r="CN828"/>
  <c r="CM828"/>
  <c r="CL828"/>
  <c r="CK828"/>
  <c r="CJ828"/>
  <c r="CI828"/>
  <c r="CH828"/>
  <c r="CG828"/>
  <c r="CF828"/>
  <c r="CE828"/>
  <c r="CD828"/>
  <c r="CC828"/>
  <c r="CB828"/>
  <c r="CA828"/>
  <c r="BZ828"/>
  <c r="BY828"/>
  <c r="BX828"/>
  <c r="BW828"/>
  <c r="BV828"/>
  <c r="BU828"/>
  <c r="BT828"/>
  <c r="BS828"/>
  <c r="BR828"/>
  <c r="BQ828"/>
  <c r="BP828"/>
  <c r="BO828"/>
  <c r="BN828"/>
  <c r="E828"/>
  <c r="D828"/>
  <c r="C828"/>
  <c r="B828"/>
  <c r="A828"/>
  <c r="DU827"/>
  <c r="DT827"/>
  <c r="DS827"/>
  <c r="DR827"/>
  <c r="DQ827"/>
  <c r="DP827"/>
  <c r="DO827"/>
  <c r="DN827"/>
  <c r="DM827"/>
  <c r="DL827"/>
  <c r="DK827"/>
  <c r="DJ827"/>
  <c r="DI827"/>
  <c r="DH827"/>
  <c r="DG827"/>
  <c r="DF827"/>
  <c r="DE827"/>
  <c r="DD827"/>
  <c r="DC827"/>
  <c r="DB827"/>
  <c r="DA827"/>
  <c r="CZ827"/>
  <c r="CY827"/>
  <c r="CX827"/>
  <c r="CW827"/>
  <c r="CV827"/>
  <c r="CU827"/>
  <c r="CT827"/>
  <c r="CS827"/>
  <c r="CR827"/>
  <c r="CQ827"/>
  <c r="CP827"/>
  <c r="CO827"/>
  <c r="CN827"/>
  <c r="CM827"/>
  <c r="CL827"/>
  <c r="CK827"/>
  <c r="CJ827"/>
  <c r="CI827"/>
  <c r="CH827"/>
  <c r="CG827"/>
  <c r="CF827"/>
  <c r="CE827"/>
  <c r="CD827"/>
  <c r="CC827"/>
  <c r="CB827"/>
  <c r="CA827"/>
  <c r="BZ827"/>
  <c r="BY827"/>
  <c r="BX827"/>
  <c r="BW827"/>
  <c r="BV827"/>
  <c r="BU827"/>
  <c r="BT827"/>
  <c r="BS827"/>
  <c r="BR827"/>
  <c r="BQ827"/>
  <c r="BP827"/>
  <c r="BO827"/>
  <c r="BN827"/>
  <c r="E827"/>
  <c r="D827"/>
  <c r="C827"/>
  <c r="B827"/>
  <c r="A827"/>
  <c r="DU826"/>
  <c r="DT826"/>
  <c r="DS826"/>
  <c r="DR826"/>
  <c r="DQ826"/>
  <c r="DP826"/>
  <c r="DO826"/>
  <c r="DN826"/>
  <c r="DM826"/>
  <c r="DL826"/>
  <c r="DK826"/>
  <c r="DJ826"/>
  <c r="DI826"/>
  <c r="DH826"/>
  <c r="DG826"/>
  <c r="DF826"/>
  <c r="DE826"/>
  <c r="DD826"/>
  <c r="DC826"/>
  <c r="DB826"/>
  <c r="DA826"/>
  <c r="CZ826"/>
  <c r="CY826"/>
  <c r="CX826"/>
  <c r="CW826"/>
  <c r="CV826"/>
  <c r="CU826"/>
  <c r="CT826"/>
  <c r="CS826"/>
  <c r="CR826"/>
  <c r="CQ826"/>
  <c r="CP826"/>
  <c r="CO826"/>
  <c r="CN826"/>
  <c r="CM826"/>
  <c r="CL826"/>
  <c r="CK826"/>
  <c r="CJ826"/>
  <c r="CI826"/>
  <c r="CH826"/>
  <c r="CG826"/>
  <c r="CF826"/>
  <c r="CE826"/>
  <c r="CD826"/>
  <c r="CC826"/>
  <c r="CB826"/>
  <c r="CA826"/>
  <c r="BZ826"/>
  <c r="BY826"/>
  <c r="BX826"/>
  <c r="BW826"/>
  <c r="BV826"/>
  <c r="BU826"/>
  <c r="BT826"/>
  <c r="BS826"/>
  <c r="BR826"/>
  <c r="BQ826"/>
  <c r="BP826"/>
  <c r="BO826"/>
  <c r="BN826"/>
  <c r="E826"/>
  <c r="D826"/>
  <c r="C826"/>
  <c r="B826"/>
  <c r="A826"/>
  <c r="DU825"/>
  <c r="DT825"/>
  <c r="DS825"/>
  <c r="DR825"/>
  <c r="DQ825"/>
  <c r="DP825"/>
  <c r="DO825"/>
  <c r="DN825"/>
  <c r="DM825"/>
  <c r="DL825"/>
  <c r="DK825"/>
  <c r="DJ825"/>
  <c r="DI825"/>
  <c r="DH825"/>
  <c r="DG825"/>
  <c r="DF825"/>
  <c r="DE825"/>
  <c r="DD825"/>
  <c r="DC825"/>
  <c r="DB825"/>
  <c r="DA825"/>
  <c r="CZ825"/>
  <c r="CY825"/>
  <c r="CX825"/>
  <c r="CW825"/>
  <c r="CV825"/>
  <c r="CU825"/>
  <c r="CT825"/>
  <c r="CS825"/>
  <c r="CR825"/>
  <c r="CQ825"/>
  <c r="CP825"/>
  <c r="CO825"/>
  <c r="CN825"/>
  <c r="CM825"/>
  <c r="CL825"/>
  <c r="CK825"/>
  <c r="CJ825"/>
  <c r="CI825"/>
  <c r="CH825"/>
  <c r="CG825"/>
  <c r="CF825"/>
  <c r="CE825"/>
  <c r="CD825"/>
  <c r="CC825"/>
  <c r="CB825"/>
  <c r="CA825"/>
  <c r="BZ825"/>
  <c r="BY825"/>
  <c r="BX825"/>
  <c r="BW825"/>
  <c r="BV825"/>
  <c r="BU825"/>
  <c r="BT825"/>
  <c r="BS825"/>
  <c r="BR825"/>
  <c r="BQ825"/>
  <c r="BP825"/>
  <c r="BO825"/>
  <c r="BN825"/>
  <c r="A825"/>
  <c r="DU824"/>
  <c r="DT824"/>
  <c r="DS824"/>
  <c r="DR824"/>
  <c r="DQ824"/>
  <c r="DP824"/>
  <c r="DO824"/>
  <c r="DN824"/>
  <c r="DM824"/>
  <c r="DL824"/>
  <c r="DK824"/>
  <c r="DJ824"/>
  <c r="DI824"/>
  <c r="DH824"/>
  <c r="DG824"/>
  <c r="DF824"/>
  <c r="DE824"/>
  <c r="DD824"/>
  <c r="DC824"/>
  <c r="DB824"/>
  <c r="DA824"/>
  <c r="CZ824"/>
  <c r="CY824"/>
  <c r="CX824"/>
  <c r="CW824"/>
  <c r="CV824"/>
  <c r="CU824"/>
  <c r="CT824"/>
  <c r="CS824"/>
  <c r="CR824"/>
  <c r="CQ824"/>
  <c r="CP824"/>
  <c r="CO824"/>
  <c r="CN824"/>
  <c r="CM824"/>
  <c r="CL824"/>
  <c r="CK824"/>
  <c r="CJ824"/>
  <c r="CI824"/>
  <c r="CH824"/>
  <c r="CG824"/>
  <c r="CF824"/>
  <c r="CE824"/>
  <c r="CD824"/>
  <c r="CC824"/>
  <c r="CB824"/>
  <c r="CA824"/>
  <c r="BZ824"/>
  <c r="BY824"/>
  <c r="BX824"/>
  <c r="BW824"/>
  <c r="BV824"/>
  <c r="BU824"/>
  <c r="BT824"/>
  <c r="BS824"/>
  <c r="BR824"/>
  <c r="BQ824"/>
  <c r="BP824"/>
  <c r="BO824"/>
  <c r="BN824"/>
  <c r="C824"/>
  <c r="DU823"/>
  <c r="DT823"/>
  <c r="DS823"/>
  <c r="DR823"/>
  <c r="DQ823"/>
  <c r="DP823"/>
  <c r="DO823"/>
  <c r="DN823"/>
  <c r="DM823"/>
  <c r="DL823"/>
  <c r="DK823"/>
  <c r="DJ823"/>
  <c r="DI823"/>
  <c r="DH823"/>
  <c r="DG823"/>
  <c r="DF823"/>
  <c r="DE823"/>
  <c r="DD823"/>
  <c r="DC823"/>
  <c r="DB823"/>
  <c r="DA823"/>
  <c r="CZ823"/>
  <c r="CY823"/>
  <c r="CX823"/>
  <c r="CW823"/>
  <c r="CV823"/>
  <c r="CU823"/>
  <c r="CT823"/>
  <c r="CS823"/>
  <c r="CR823"/>
  <c r="CQ823"/>
  <c r="CP823"/>
  <c r="CO823"/>
  <c r="CN823"/>
  <c r="CM823"/>
  <c r="CL823"/>
  <c r="CK823"/>
  <c r="CJ823"/>
  <c r="CI823"/>
  <c r="CH823"/>
  <c r="CG823"/>
  <c r="CF823"/>
  <c r="CE823"/>
  <c r="CD823"/>
  <c r="CC823"/>
  <c r="CB823"/>
  <c r="CA823"/>
  <c r="BZ823"/>
  <c r="BY823"/>
  <c r="BX823"/>
  <c r="BW823"/>
  <c r="BV823"/>
  <c r="BU823"/>
  <c r="BT823"/>
  <c r="BS823"/>
  <c r="BR823"/>
  <c r="BQ823"/>
  <c r="BP823"/>
  <c r="BO823"/>
  <c r="BN823"/>
  <c r="DU822"/>
  <c r="DT822"/>
  <c r="DS822"/>
  <c r="DR822"/>
  <c r="DQ822"/>
  <c r="DP822"/>
  <c r="DO822"/>
  <c r="DN822"/>
  <c r="DM822"/>
  <c r="DL822"/>
  <c r="DK822"/>
  <c r="DJ822"/>
  <c r="DI822"/>
  <c r="DH822"/>
  <c r="DG822"/>
  <c r="DF822"/>
  <c r="DE822"/>
  <c r="DD822"/>
  <c r="DC822"/>
  <c r="DB822"/>
  <c r="DA822"/>
  <c r="CZ822"/>
  <c r="CY822"/>
  <c r="CX822"/>
  <c r="CW822"/>
  <c r="CV822"/>
  <c r="CU822"/>
  <c r="CT822"/>
  <c r="CS822"/>
  <c r="CR822"/>
  <c r="CQ822"/>
  <c r="CP822"/>
  <c r="CO822"/>
  <c r="CN822"/>
  <c r="CM822"/>
  <c r="CL822"/>
  <c r="CK822"/>
  <c r="CJ822"/>
  <c r="CI822"/>
  <c r="CH822"/>
  <c r="CG822"/>
  <c r="CF822"/>
  <c r="CE822"/>
  <c r="CD822"/>
  <c r="CC822"/>
  <c r="CB822"/>
  <c r="CA822"/>
  <c r="BZ822"/>
  <c r="BY822"/>
  <c r="BX822"/>
  <c r="BW822"/>
  <c r="BV822"/>
  <c r="BU822"/>
  <c r="BT822"/>
  <c r="BS822"/>
  <c r="BR822"/>
  <c r="BQ822"/>
  <c r="BP822"/>
  <c r="BO822"/>
  <c r="BN822"/>
  <c r="DU821"/>
  <c r="DT821"/>
  <c r="DS821"/>
  <c r="DR821"/>
  <c r="DQ821"/>
  <c r="DP821"/>
  <c r="DO821"/>
  <c r="DN821"/>
  <c r="DM821"/>
  <c r="DL821"/>
  <c r="DK821"/>
  <c r="DJ821"/>
  <c r="DI821"/>
  <c r="DH821"/>
  <c r="DG821"/>
  <c r="DF821"/>
  <c r="DE821"/>
  <c r="DD821"/>
  <c r="DC821"/>
  <c r="DB821"/>
  <c r="DA821"/>
  <c r="CZ821"/>
  <c r="CY821"/>
  <c r="CX821"/>
  <c r="CW821"/>
  <c r="CV821"/>
  <c r="CU821"/>
  <c r="CT821"/>
  <c r="CS821"/>
  <c r="CR821"/>
  <c r="CQ821"/>
  <c r="CP821"/>
  <c r="CO821"/>
  <c r="CN821"/>
  <c r="CM821"/>
  <c r="CL821"/>
  <c r="CK821"/>
  <c r="CJ821"/>
  <c r="CI821"/>
  <c r="CH821"/>
  <c r="CG821"/>
  <c r="CF821"/>
  <c r="CE821"/>
  <c r="CD821"/>
  <c r="CC821"/>
  <c r="CB821"/>
  <c r="CA821"/>
  <c r="BZ821"/>
  <c r="BY821"/>
  <c r="BX821"/>
  <c r="BW821"/>
  <c r="BV821"/>
  <c r="BU821"/>
  <c r="BT821"/>
  <c r="BS821"/>
  <c r="BR821"/>
  <c r="BQ821"/>
  <c r="BP821"/>
  <c r="BO821"/>
  <c r="BN821"/>
  <c r="DU820"/>
  <c r="DT820"/>
  <c r="DS820"/>
  <c r="DR820"/>
  <c r="DQ820"/>
  <c r="DP820"/>
  <c r="DO820"/>
  <c r="DN820"/>
  <c r="DM820"/>
  <c r="DL820"/>
  <c r="DK820"/>
  <c r="DJ820"/>
  <c r="DI820"/>
  <c r="DH820"/>
  <c r="DG820"/>
  <c r="DF820"/>
  <c r="DE820"/>
  <c r="DD820"/>
  <c r="DC820"/>
  <c r="DB820"/>
  <c r="DA820"/>
  <c r="CZ820"/>
  <c r="CY820"/>
  <c r="CX820"/>
  <c r="CW820"/>
  <c r="CV820"/>
  <c r="CU820"/>
  <c r="CT820"/>
  <c r="CS820"/>
  <c r="CR820"/>
  <c r="CQ820"/>
  <c r="CP820"/>
  <c r="CO820"/>
  <c r="CN820"/>
  <c r="CM820"/>
  <c r="CL820"/>
  <c r="CK820"/>
  <c r="CJ820"/>
  <c r="CI820"/>
  <c r="CH820"/>
  <c r="CG820"/>
  <c r="CF820"/>
  <c r="CE820"/>
  <c r="CD820"/>
  <c r="CC820"/>
  <c r="CB820"/>
  <c r="CA820"/>
  <c r="BZ820"/>
  <c r="BY820"/>
  <c r="BX820"/>
  <c r="BW820"/>
  <c r="BV820"/>
  <c r="BU820"/>
  <c r="BT820"/>
  <c r="BS820"/>
  <c r="BR820"/>
  <c r="BQ820"/>
  <c r="BP820"/>
  <c r="BO820"/>
  <c r="BN820"/>
  <c r="DU819"/>
  <c r="DT819"/>
  <c r="DS819"/>
  <c r="DR819"/>
  <c r="DQ819"/>
  <c r="DP819"/>
  <c r="DO819"/>
  <c r="DN819"/>
  <c r="DM819"/>
  <c r="DL819"/>
  <c r="DK819"/>
  <c r="DJ819"/>
  <c r="DI819"/>
  <c r="DH819"/>
  <c r="DG819"/>
  <c r="DF819"/>
  <c r="DE819"/>
  <c r="DD819"/>
  <c r="DC819"/>
  <c r="DB819"/>
  <c r="DA819"/>
  <c r="CZ819"/>
  <c r="CY819"/>
  <c r="CX819"/>
  <c r="CW819"/>
  <c r="CV819"/>
  <c r="CU819"/>
  <c r="CT819"/>
  <c r="CS819"/>
  <c r="CR819"/>
  <c r="CQ819"/>
  <c r="CP819"/>
  <c r="CO819"/>
  <c r="CN819"/>
  <c r="CM819"/>
  <c r="CL819"/>
  <c r="CK819"/>
  <c r="CJ819"/>
  <c r="CI819"/>
  <c r="CH819"/>
  <c r="CG819"/>
  <c r="CF819"/>
  <c r="CE819"/>
  <c r="CD819"/>
  <c r="CC819"/>
  <c r="CB819"/>
  <c r="CA819"/>
  <c r="BZ819"/>
  <c r="BY819"/>
  <c r="BX819"/>
  <c r="BW819"/>
  <c r="BV819"/>
  <c r="BU819"/>
  <c r="BT819"/>
  <c r="BS819"/>
  <c r="BR819"/>
  <c r="BQ819"/>
  <c r="BP819"/>
  <c r="BO819"/>
  <c r="BN819"/>
  <c r="DU818"/>
  <c r="DT818"/>
  <c r="DS818"/>
  <c r="DR818"/>
  <c r="DQ818"/>
  <c r="DP818"/>
  <c r="DO818"/>
  <c r="DN818"/>
  <c r="DM818"/>
  <c r="DL818"/>
  <c r="DK818"/>
  <c r="DJ818"/>
  <c r="DI818"/>
  <c r="DH818"/>
  <c r="DG818"/>
  <c r="DF818"/>
  <c r="DE818"/>
  <c r="DD818"/>
  <c r="DC818"/>
  <c r="DB818"/>
  <c r="DA818"/>
  <c r="CZ818"/>
  <c r="CY818"/>
  <c r="CX818"/>
  <c r="CW818"/>
  <c r="CV818"/>
  <c r="CU818"/>
  <c r="CT818"/>
  <c r="CS818"/>
  <c r="CR818"/>
  <c r="CQ818"/>
  <c r="CP818"/>
  <c r="CO818"/>
  <c r="CN818"/>
  <c r="CM818"/>
  <c r="CL818"/>
  <c r="CK818"/>
  <c r="CJ818"/>
  <c r="CI818"/>
  <c r="CH818"/>
  <c r="CG818"/>
  <c r="CF818"/>
  <c r="CE818"/>
  <c r="CD818"/>
  <c r="CC818"/>
  <c r="CB818"/>
  <c r="CA818"/>
  <c r="BZ818"/>
  <c r="BY818"/>
  <c r="BX818"/>
  <c r="BW818"/>
  <c r="BV818"/>
  <c r="BU818"/>
  <c r="BT818"/>
  <c r="BS818"/>
  <c r="BR818"/>
  <c r="BQ818"/>
  <c r="BP818"/>
  <c r="BO818"/>
  <c r="BN818"/>
  <c r="A818"/>
  <c r="DU817"/>
  <c r="DT817"/>
  <c r="DS817"/>
  <c r="DR817"/>
  <c r="DQ817"/>
  <c r="DP817"/>
  <c r="DO817"/>
  <c r="DN817"/>
  <c r="DM817"/>
  <c r="DL817"/>
  <c r="DK817"/>
  <c r="DJ817"/>
  <c r="DI817"/>
  <c r="DH817"/>
  <c r="DG817"/>
  <c r="DF817"/>
  <c r="DE817"/>
  <c r="DD817"/>
  <c r="DC817"/>
  <c r="DB817"/>
  <c r="DA817"/>
  <c r="CZ817"/>
  <c r="CY817"/>
  <c r="CX817"/>
  <c r="CW817"/>
  <c r="CV817"/>
  <c r="CU817"/>
  <c r="CT817"/>
  <c r="CS817"/>
  <c r="CR817"/>
  <c r="CQ817"/>
  <c r="CP817"/>
  <c r="CO817"/>
  <c r="CN817"/>
  <c r="CM817"/>
  <c r="CL817"/>
  <c r="CK817"/>
  <c r="CJ817"/>
  <c r="CI817"/>
  <c r="CH817"/>
  <c r="CG817"/>
  <c r="CF817"/>
  <c r="CE817"/>
  <c r="CD817"/>
  <c r="CC817"/>
  <c r="CB817"/>
  <c r="CA817"/>
  <c r="BZ817"/>
  <c r="BY817"/>
  <c r="BX817"/>
  <c r="BW817"/>
  <c r="BV817"/>
  <c r="BU817"/>
  <c r="BT817"/>
  <c r="BS817"/>
  <c r="BR817"/>
  <c r="BQ817"/>
  <c r="BP817"/>
  <c r="BO817"/>
  <c r="BN817"/>
  <c r="A817"/>
  <c r="DU816"/>
  <c r="DT816"/>
  <c r="DS816"/>
  <c r="DR816"/>
  <c r="DQ816"/>
  <c r="DP816"/>
  <c r="DO816"/>
  <c r="DN816"/>
  <c r="DM816"/>
  <c r="DL816"/>
  <c r="DK816"/>
  <c r="DJ816"/>
  <c r="DI816"/>
  <c r="DH816"/>
  <c r="DG816"/>
  <c r="DF816"/>
  <c r="DE816"/>
  <c r="DD816"/>
  <c r="DC816"/>
  <c r="DB816"/>
  <c r="DA816"/>
  <c r="CZ816"/>
  <c r="CY816"/>
  <c r="CX816"/>
  <c r="CW816"/>
  <c r="CV816"/>
  <c r="CU816"/>
  <c r="CT816"/>
  <c r="CS816"/>
  <c r="CR816"/>
  <c r="CQ816"/>
  <c r="CP816"/>
  <c r="CO816"/>
  <c r="CN816"/>
  <c r="CM816"/>
  <c r="CL816"/>
  <c r="CK816"/>
  <c r="CJ816"/>
  <c r="CI816"/>
  <c r="CH816"/>
  <c r="CG816"/>
  <c r="CF816"/>
  <c r="CE816"/>
  <c r="CD816"/>
  <c r="CC816"/>
  <c r="CB816"/>
  <c r="CA816"/>
  <c r="BZ816"/>
  <c r="BY816"/>
  <c r="BX816"/>
  <c r="BW816"/>
  <c r="BV816"/>
  <c r="BU816"/>
  <c r="BT816"/>
  <c r="BS816"/>
  <c r="BR816"/>
  <c r="BQ816"/>
  <c r="BP816"/>
  <c r="BO816"/>
  <c r="BN816"/>
  <c r="DU815"/>
  <c r="DT815"/>
  <c r="DS815"/>
  <c r="DR815"/>
  <c r="DQ815"/>
  <c r="DP815"/>
  <c r="DO815"/>
  <c r="DN815"/>
  <c r="DM815"/>
  <c r="DL815"/>
  <c r="DK815"/>
  <c r="DJ815"/>
  <c r="DI815"/>
  <c r="DH815"/>
  <c r="DG815"/>
  <c r="DF815"/>
  <c r="DE815"/>
  <c r="DD815"/>
  <c r="DC815"/>
  <c r="DB815"/>
  <c r="DA815"/>
  <c r="CZ815"/>
  <c r="CY815"/>
  <c r="CX815"/>
  <c r="CW815"/>
  <c r="CV815"/>
  <c r="CU815"/>
  <c r="CT815"/>
  <c r="CS815"/>
  <c r="CR815"/>
  <c r="CQ815"/>
  <c r="CP815"/>
  <c r="CO815"/>
  <c r="CN815"/>
  <c r="CM815"/>
  <c r="CL815"/>
  <c r="CK815"/>
  <c r="CJ815"/>
  <c r="CI815"/>
  <c r="CH815"/>
  <c r="CG815"/>
  <c r="CF815"/>
  <c r="CE815"/>
  <c r="CD815"/>
  <c r="CC815"/>
  <c r="CB815"/>
  <c r="CA815"/>
  <c r="BZ815"/>
  <c r="BY815"/>
  <c r="BX815"/>
  <c r="BW815"/>
  <c r="BV815"/>
  <c r="BU815"/>
  <c r="BT815"/>
  <c r="BS815"/>
  <c r="BR815"/>
  <c r="BQ815"/>
  <c r="BP815"/>
  <c r="BO815"/>
  <c r="BN815"/>
  <c r="DU814"/>
  <c r="DT814"/>
  <c r="DS814"/>
  <c r="DR814"/>
  <c r="DQ814"/>
  <c r="DP814"/>
  <c r="DO814"/>
  <c r="DN814"/>
  <c r="DM814"/>
  <c r="DL814"/>
  <c r="DK814"/>
  <c r="DJ814"/>
  <c r="DI814"/>
  <c r="DH814"/>
  <c r="DG814"/>
  <c r="DF814"/>
  <c r="DE814"/>
  <c r="DD814"/>
  <c r="DC814"/>
  <c r="DB814"/>
  <c r="DA814"/>
  <c r="CZ814"/>
  <c r="CY814"/>
  <c r="CX814"/>
  <c r="CW814"/>
  <c r="CV814"/>
  <c r="CU814"/>
  <c r="CT814"/>
  <c r="CS814"/>
  <c r="CR814"/>
  <c r="CQ814"/>
  <c r="CP814"/>
  <c r="CO814"/>
  <c r="CN814"/>
  <c r="CM814"/>
  <c r="CL814"/>
  <c r="CK814"/>
  <c r="CJ814"/>
  <c r="CI814"/>
  <c r="CH814"/>
  <c r="CG814"/>
  <c r="CF814"/>
  <c r="CE814"/>
  <c r="CD814"/>
  <c r="CC814"/>
  <c r="CB814"/>
  <c r="CA814"/>
  <c r="BZ814"/>
  <c r="BY814"/>
  <c r="BX814"/>
  <c r="BW814"/>
  <c r="BV814"/>
  <c r="BU814"/>
  <c r="BT814"/>
  <c r="BS814"/>
  <c r="BR814"/>
  <c r="BQ814"/>
  <c r="BP814"/>
  <c r="BO814"/>
  <c r="BN814"/>
  <c r="DU813"/>
  <c r="DT813"/>
  <c r="DS813"/>
  <c r="DR813"/>
  <c r="DQ813"/>
  <c r="DP813"/>
  <c r="DO813"/>
  <c r="DN813"/>
  <c r="DM813"/>
  <c r="DL813"/>
  <c r="DK813"/>
  <c r="DJ813"/>
  <c r="DI813"/>
  <c r="DH813"/>
  <c r="DG813"/>
  <c r="DF813"/>
  <c r="DE813"/>
  <c r="DD813"/>
  <c r="DC813"/>
  <c r="DB813"/>
  <c r="DA813"/>
  <c r="CZ813"/>
  <c r="CY813"/>
  <c r="CX813"/>
  <c r="CW813"/>
  <c r="CV813"/>
  <c r="CU813"/>
  <c r="CT813"/>
  <c r="CS813"/>
  <c r="CR813"/>
  <c r="CQ813"/>
  <c r="CP813"/>
  <c r="CO813"/>
  <c r="CN813"/>
  <c r="CM813"/>
  <c r="CL813"/>
  <c r="CK813"/>
  <c r="CJ813"/>
  <c r="CI813"/>
  <c r="CH813"/>
  <c r="CG813"/>
  <c r="CF813"/>
  <c r="CE813"/>
  <c r="CD813"/>
  <c r="CC813"/>
  <c r="CB813"/>
  <c r="CA813"/>
  <c r="BZ813"/>
  <c r="BY813"/>
  <c r="BX813"/>
  <c r="BW813"/>
  <c r="BV813"/>
  <c r="BU813"/>
  <c r="BT813"/>
  <c r="BS813"/>
  <c r="BR813"/>
  <c r="BQ813"/>
  <c r="BP813"/>
  <c r="BO813"/>
  <c r="BN813"/>
  <c r="DU812"/>
  <c r="DT812"/>
  <c r="DS812"/>
  <c r="DR812"/>
  <c r="DQ812"/>
  <c r="DP812"/>
  <c r="DO812"/>
  <c r="DN812"/>
  <c r="DM812"/>
  <c r="DL812"/>
  <c r="DK812"/>
  <c r="DJ812"/>
  <c r="DI812"/>
  <c r="DH812"/>
  <c r="DG812"/>
  <c r="DF812"/>
  <c r="DE812"/>
  <c r="DD812"/>
  <c r="DC812"/>
  <c r="DB812"/>
  <c r="DA812"/>
  <c r="CZ812"/>
  <c r="CY812"/>
  <c r="CX812"/>
  <c r="CW812"/>
  <c r="CV812"/>
  <c r="CU812"/>
  <c r="CT812"/>
  <c r="CS812"/>
  <c r="CR812"/>
  <c r="CQ812"/>
  <c r="CP812"/>
  <c r="CO812"/>
  <c r="CN812"/>
  <c r="CM812"/>
  <c r="CL812"/>
  <c r="CK812"/>
  <c r="CJ812"/>
  <c r="CI812"/>
  <c r="CH812"/>
  <c r="CG812"/>
  <c r="CF812"/>
  <c r="CE812"/>
  <c r="CD812"/>
  <c r="CC812"/>
  <c r="CB812"/>
  <c r="CA812"/>
  <c r="BZ812"/>
  <c r="BY812"/>
  <c r="BX812"/>
  <c r="BW812"/>
  <c r="BV812"/>
  <c r="BU812"/>
  <c r="BT812"/>
  <c r="BS812"/>
  <c r="BR812"/>
  <c r="BQ812"/>
  <c r="BP812"/>
  <c r="BO812"/>
  <c r="BN812"/>
  <c r="E812"/>
  <c r="DU811"/>
  <c r="DT811"/>
  <c r="DS811"/>
  <c r="DR811"/>
  <c r="DQ811"/>
  <c r="DP811"/>
  <c r="DO811"/>
  <c r="DN811"/>
  <c r="DM811"/>
  <c r="DL811"/>
  <c r="DK811"/>
  <c r="DJ811"/>
  <c r="DI811"/>
  <c r="DH811"/>
  <c r="DG811"/>
  <c r="DF811"/>
  <c r="DE811"/>
  <c r="DD811"/>
  <c r="DC811"/>
  <c r="DB811"/>
  <c r="DA811"/>
  <c r="CZ811"/>
  <c r="CY811"/>
  <c r="CX811"/>
  <c r="CW811"/>
  <c r="CV811"/>
  <c r="CU811"/>
  <c r="CT811"/>
  <c r="CS811"/>
  <c r="CR811"/>
  <c r="CQ811"/>
  <c r="CP811"/>
  <c r="CO811"/>
  <c r="CN811"/>
  <c r="CM811"/>
  <c r="CL811"/>
  <c r="CK811"/>
  <c r="CJ811"/>
  <c r="CI811"/>
  <c r="CH811"/>
  <c r="CG811"/>
  <c r="CF811"/>
  <c r="CE811"/>
  <c r="CD811"/>
  <c r="CC811"/>
  <c r="CB811"/>
  <c r="CA811"/>
  <c r="BZ811"/>
  <c r="BY811"/>
  <c r="BX811"/>
  <c r="BW811"/>
  <c r="BV811"/>
  <c r="BU811"/>
  <c r="BT811"/>
  <c r="BS811"/>
  <c r="BR811"/>
  <c r="BQ811"/>
  <c r="BP811"/>
  <c r="BO811"/>
  <c r="BN811"/>
  <c r="DU810"/>
  <c r="DT810"/>
  <c r="DS810"/>
  <c r="DR810"/>
  <c r="DQ810"/>
  <c r="DP810"/>
  <c r="DO810"/>
  <c r="DN810"/>
  <c r="DM810"/>
  <c r="DL810"/>
  <c r="DK810"/>
  <c r="DJ810"/>
  <c r="DI810"/>
  <c r="DH810"/>
  <c r="DG810"/>
  <c r="DF810"/>
  <c r="DE810"/>
  <c r="DD810"/>
  <c r="DC810"/>
  <c r="DB810"/>
  <c r="DA810"/>
  <c r="CZ810"/>
  <c r="CY810"/>
  <c r="CX810"/>
  <c r="CW810"/>
  <c r="CV810"/>
  <c r="CU810"/>
  <c r="CT810"/>
  <c r="CS810"/>
  <c r="CR810"/>
  <c r="CQ810"/>
  <c r="CP810"/>
  <c r="CO810"/>
  <c r="CN810"/>
  <c r="CM810"/>
  <c r="CL810"/>
  <c r="CK810"/>
  <c r="CJ810"/>
  <c r="CI810"/>
  <c r="CH810"/>
  <c r="CG810"/>
  <c r="CF810"/>
  <c r="CE810"/>
  <c r="CD810"/>
  <c r="CC810"/>
  <c r="CB810"/>
  <c r="CA810"/>
  <c r="BZ810"/>
  <c r="BY810"/>
  <c r="BX810"/>
  <c r="BW810"/>
  <c r="BV810"/>
  <c r="BU810"/>
  <c r="BT810"/>
  <c r="BS810"/>
  <c r="BR810"/>
  <c r="BQ810"/>
  <c r="BP810"/>
  <c r="BO810"/>
  <c r="BN810"/>
  <c r="DU809"/>
  <c r="DT809"/>
  <c r="DS809"/>
  <c r="DR809"/>
  <c r="DQ809"/>
  <c r="DP809"/>
  <c r="DO809"/>
  <c r="DN809"/>
  <c r="DM809"/>
  <c r="DL809"/>
  <c r="DK809"/>
  <c r="DJ809"/>
  <c r="DI809"/>
  <c r="DH809"/>
  <c r="DG809"/>
  <c r="DF809"/>
  <c r="DE809"/>
  <c r="DD809"/>
  <c r="DC809"/>
  <c r="DB809"/>
  <c r="DA809"/>
  <c r="CZ809"/>
  <c r="CY809"/>
  <c r="CX809"/>
  <c r="CW809"/>
  <c r="CV809"/>
  <c r="CU809"/>
  <c r="CT809"/>
  <c r="CS809"/>
  <c r="CR809"/>
  <c r="CQ809"/>
  <c r="CP809"/>
  <c r="CO809"/>
  <c r="CN809"/>
  <c r="CM809"/>
  <c r="CL809"/>
  <c r="CK809"/>
  <c r="CJ809"/>
  <c r="CI809"/>
  <c r="CH809"/>
  <c r="CG809"/>
  <c r="CF809"/>
  <c r="CE809"/>
  <c r="CD809"/>
  <c r="CC809"/>
  <c r="CB809"/>
  <c r="CA809"/>
  <c r="BZ809"/>
  <c r="BY809"/>
  <c r="BX809"/>
  <c r="BW809"/>
  <c r="BV809"/>
  <c r="BU809"/>
  <c r="BT809"/>
  <c r="BS809"/>
  <c r="BR809"/>
  <c r="BQ809"/>
  <c r="BP809"/>
  <c r="BO809"/>
  <c r="BN809"/>
  <c r="DU808"/>
  <c r="DT808"/>
  <c r="DS808"/>
  <c r="DR808"/>
  <c r="DQ808"/>
  <c r="DP808"/>
  <c r="DO808"/>
  <c r="DN808"/>
  <c r="DM808"/>
  <c r="DL808"/>
  <c r="DK808"/>
  <c r="DJ808"/>
  <c r="DI808"/>
  <c r="DH808"/>
  <c r="DG808"/>
  <c r="DF808"/>
  <c r="DE808"/>
  <c r="DD808"/>
  <c r="DC808"/>
  <c r="DB808"/>
  <c r="DA808"/>
  <c r="CZ808"/>
  <c r="CY808"/>
  <c r="CX808"/>
  <c r="CW808"/>
  <c r="CV808"/>
  <c r="CU808"/>
  <c r="CT808"/>
  <c r="CS808"/>
  <c r="CR808"/>
  <c r="CQ808"/>
  <c r="CP808"/>
  <c r="CO808"/>
  <c r="CN808"/>
  <c r="CM808"/>
  <c r="CL808"/>
  <c r="CK808"/>
  <c r="CJ808"/>
  <c r="CI808"/>
  <c r="CH808"/>
  <c r="CG808"/>
  <c r="CF808"/>
  <c r="CE808"/>
  <c r="CD808"/>
  <c r="CC808"/>
  <c r="CB808"/>
  <c r="CA808"/>
  <c r="BZ808"/>
  <c r="BY808"/>
  <c r="BX808"/>
  <c r="BW808"/>
  <c r="BV808"/>
  <c r="BU808"/>
  <c r="BT808"/>
  <c r="BS808"/>
  <c r="BR808"/>
  <c r="BQ808"/>
  <c r="BP808"/>
  <c r="BO808"/>
  <c r="BN808"/>
  <c r="DU807"/>
  <c r="DT807"/>
  <c r="DS807"/>
  <c r="DR807"/>
  <c r="DQ807"/>
  <c r="DP807"/>
  <c r="DO807"/>
  <c r="DN807"/>
  <c r="DM807"/>
  <c r="DL807"/>
  <c r="DK807"/>
  <c r="DJ807"/>
  <c r="DI807"/>
  <c r="DH807"/>
  <c r="DG807"/>
  <c r="DF807"/>
  <c r="DE807"/>
  <c r="DD807"/>
  <c r="DC807"/>
  <c r="DB807"/>
  <c r="DA807"/>
  <c r="CZ807"/>
  <c r="CY807"/>
  <c r="CX807"/>
  <c r="CW807"/>
  <c r="CV807"/>
  <c r="CU807"/>
  <c r="CT807"/>
  <c r="CS807"/>
  <c r="CR807"/>
  <c r="CQ807"/>
  <c r="CP807"/>
  <c r="CO807"/>
  <c r="CN807"/>
  <c r="CM807"/>
  <c r="CL807"/>
  <c r="CK807"/>
  <c r="CJ807"/>
  <c r="CI807"/>
  <c r="CH807"/>
  <c r="CG807"/>
  <c r="CF807"/>
  <c r="CE807"/>
  <c r="CD807"/>
  <c r="CC807"/>
  <c r="CB807"/>
  <c r="CA807"/>
  <c r="BZ807"/>
  <c r="BY807"/>
  <c r="BX807"/>
  <c r="BW807"/>
  <c r="BV807"/>
  <c r="BU807"/>
  <c r="BT807"/>
  <c r="BS807"/>
  <c r="BR807"/>
  <c r="BQ807"/>
  <c r="BP807"/>
  <c r="BO807"/>
  <c r="BN807"/>
  <c r="DU806"/>
  <c r="DT806"/>
  <c r="DS806"/>
  <c r="DR806"/>
  <c r="DQ806"/>
  <c r="DP806"/>
  <c r="DO806"/>
  <c r="DN806"/>
  <c r="DM806"/>
  <c r="DL806"/>
  <c r="DK806"/>
  <c r="DJ806"/>
  <c r="DI806"/>
  <c r="DH806"/>
  <c r="DG806"/>
  <c r="DF806"/>
  <c r="DE806"/>
  <c r="DD806"/>
  <c r="DC806"/>
  <c r="DB806"/>
  <c r="DA806"/>
  <c r="CZ806"/>
  <c r="CY806"/>
  <c r="CX806"/>
  <c r="CW806"/>
  <c r="CV806"/>
  <c r="CU806"/>
  <c r="CT806"/>
  <c r="CS806"/>
  <c r="CR806"/>
  <c r="CQ806"/>
  <c r="CP806"/>
  <c r="CO806"/>
  <c r="CN806"/>
  <c r="CM806"/>
  <c r="CL806"/>
  <c r="CK806"/>
  <c r="CJ806"/>
  <c r="CI806"/>
  <c r="CH806"/>
  <c r="CG806"/>
  <c r="CF806"/>
  <c r="CE806"/>
  <c r="CD806"/>
  <c r="CC806"/>
  <c r="CB806"/>
  <c r="CA806"/>
  <c r="BZ806"/>
  <c r="BY806"/>
  <c r="BX806"/>
  <c r="BW806"/>
  <c r="BV806"/>
  <c r="BU806"/>
  <c r="BT806"/>
  <c r="BS806"/>
  <c r="BR806"/>
  <c r="BQ806"/>
  <c r="BP806"/>
  <c r="BO806"/>
  <c r="BN806"/>
  <c r="DU805"/>
  <c r="DT805"/>
  <c r="DS805"/>
  <c r="DR805"/>
  <c r="DQ805"/>
  <c r="DP805"/>
  <c r="DO805"/>
  <c r="DN805"/>
  <c r="DM805"/>
  <c r="DL805"/>
  <c r="DK805"/>
  <c r="DJ805"/>
  <c r="DI805"/>
  <c r="DH805"/>
  <c r="DG805"/>
  <c r="DF805"/>
  <c r="DE805"/>
  <c r="DD805"/>
  <c r="DC805"/>
  <c r="DB805"/>
  <c r="DA805"/>
  <c r="CZ805"/>
  <c r="CY805"/>
  <c r="CX805"/>
  <c r="CW805"/>
  <c r="CV805"/>
  <c r="CU805"/>
  <c r="CT805"/>
  <c r="CS805"/>
  <c r="CR805"/>
  <c r="CQ805"/>
  <c r="CP805"/>
  <c r="CO805"/>
  <c r="CN805"/>
  <c r="CM805"/>
  <c r="CL805"/>
  <c r="CK805"/>
  <c r="CJ805"/>
  <c r="CI805"/>
  <c r="CH805"/>
  <c r="CG805"/>
  <c r="CF805"/>
  <c r="CE805"/>
  <c r="CD805"/>
  <c r="CC805"/>
  <c r="CB805"/>
  <c r="CA805"/>
  <c r="BZ805"/>
  <c r="BY805"/>
  <c r="BX805"/>
  <c r="BW805"/>
  <c r="BV805"/>
  <c r="BU805"/>
  <c r="BT805"/>
  <c r="BS805"/>
  <c r="BR805"/>
  <c r="BQ805"/>
  <c r="BP805"/>
  <c r="BO805"/>
  <c r="BN805"/>
  <c r="DU804"/>
  <c r="DT804"/>
  <c r="DS804"/>
  <c r="DR804"/>
  <c r="DQ804"/>
  <c r="DP804"/>
  <c r="DO804"/>
  <c r="DN804"/>
  <c r="DM804"/>
  <c r="DL804"/>
  <c r="DK804"/>
  <c r="DJ804"/>
  <c r="DI804"/>
  <c r="DH804"/>
  <c r="DG804"/>
  <c r="DF804"/>
  <c r="DE804"/>
  <c r="DD804"/>
  <c r="DC804"/>
  <c r="DB804"/>
  <c r="DA804"/>
  <c r="CZ804"/>
  <c r="CY804"/>
  <c r="CX804"/>
  <c r="CW804"/>
  <c r="CV804"/>
  <c r="CU804"/>
  <c r="CT804"/>
  <c r="CS804"/>
  <c r="CR804"/>
  <c r="CQ804"/>
  <c r="CP804"/>
  <c r="CO804"/>
  <c r="CN804"/>
  <c r="CM804"/>
  <c r="CL804"/>
  <c r="CK804"/>
  <c r="CJ804"/>
  <c r="CI804"/>
  <c r="CH804"/>
  <c r="CG804"/>
  <c r="CF804"/>
  <c r="CE804"/>
  <c r="CD804"/>
  <c r="CC804"/>
  <c r="CB804"/>
  <c r="CA804"/>
  <c r="BZ804"/>
  <c r="BY804"/>
  <c r="BX804"/>
  <c r="BW804"/>
  <c r="BV804"/>
  <c r="BU804"/>
  <c r="BT804"/>
  <c r="BS804"/>
  <c r="BR804"/>
  <c r="BQ804"/>
  <c r="BP804"/>
  <c r="BO804"/>
  <c r="BN804"/>
  <c r="DU803"/>
  <c r="DT803"/>
  <c r="DS803"/>
  <c r="DR803"/>
  <c r="DQ803"/>
  <c r="DP803"/>
  <c r="DO803"/>
  <c r="DN803"/>
  <c r="DM803"/>
  <c r="DL803"/>
  <c r="DK803"/>
  <c r="DJ803"/>
  <c r="DI803"/>
  <c r="DH803"/>
  <c r="DG803"/>
  <c r="DF803"/>
  <c r="DE803"/>
  <c r="DD803"/>
  <c r="DC803"/>
  <c r="DB803"/>
  <c r="DA803"/>
  <c r="CZ803"/>
  <c r="CY803"/>
  <c r="CX803"/>
  <c r="CW803"/>
  <c r="CV803"/>
  <c r="CU803"/>
  <c r="CT803"/>
  <c r="CS803"/>
  <c r="CR803"/>
  <c r="CQ803"/>
  <c r="CP803"/>
  <c r="CO803"/>
  <c r="CN803"/>
  <c r="CM803"/>
  <c r="CL803"/>
  <c r="CK803"/>
  <c r="CJ803"/>
  <c r="CI803"/>
  <c r="CH803"/>
  <c r="CG803"/>
  <c r="CF803"/>
  <c r="CE803"/>
  <c r="CD803"/>
  <c r="CC803"/>
  <c r="CB803"/>
  <c r="CA803"/>
  <c r="BZ803"/>
  <c r="BY803"/>
  <c r="BX803"/>
  <c r="BW803"/>
  <c r="BV803"/>
  <c r="BU803"/>
  <c r="BT803"/>
  <c r="BS803"/>
  <c r="BR803"/>
  <c r="BQ803"/>
  <c r="BP803"/>
  <c r="BO803"/>
  <c r="BN803"/>
  <c r="DU802"/>
  <c r="DT802"/>
  <c r="DS802"/>
  <c r="DR802"/>
  <c r="DQ802"/>
  <c r="DP802"/>
  <c r="DO802"/>
  <c r="DN802"/>
  <c r="DM802"/>
  <c r="DL802"/>
  <c r="DK802"/>
  <c r="DJ802"/>
  <c r="DI802"/>
  <c r="DH802"/>
  <c r="DG802"/>
  <c r="DF802"/>
  <c r="DE802"/>
  <c r="DD802"/>
  <c r="DC802"/>
  <c r="DB802"/>
  <c r="DA802"/>
  <c r="CZ802"/>
  <c r="CY802"/>
  <c r="CX802"/>
  <c r="CW802"/>
  <c r="CV802"/>
  <c r="CU802"/>
  <c r="CT802"/>
  <c r="CS802"/>
  <c r="CR802"/>
  <c r="CQ802"/>
  <c r="CP802"/>
  <c r="CO802"/>
  <c r="CN802"/>
  <c r="CM802"/>
  <c r="CL802"/>
  <c r="CK802"/>
  <c r="CJ802"/>
  <c r="CI802"/>
  <c r="CH802"/>
  <c r="CG802"/>
  <c r="CF802"/>
  <c r="CE802"/>
  <c r="CD802"/>
  <c r="CC802"/>
  <c r="CB802"/>
  <c r="CA802"/>
  <c r="BZ802"/>
  <c r="BY802"/>
  <c r="BX802"/>
  <c r="BW802"/>
  <c r="BV802"/>
  <c r="BU802"/>
  <c r="BT802"/>
  <c r="BS802"/>
  <c r="BR802"/>
  <c r="BQ802"/>
  <c r="BP802"/>
  <c r="BO802"/>
  <c r="BN802"/>
  <c r="DU801"/>
  <c r="DT801"/>
  <c r="DS801"/>
  <c r="DR801"/>
  <c r="DQ801"/>
  <c r="DP801"/>
  <c r="DO801"/>
  <c r="DN801"/>
  <c r="DM801"/>
  <c r="DL801"/>
  <c r="DK801"/>
  <c r="DJ801"/>
  <c r="DI801"/>
  <c r="DH801"/>
  <c r="DG801"/>
  <c r="DF801"/>
  <c r="DE801"/>
  <c r="DD801"/>
  <c r="DC801"/>
  <c r="DB801"/>
  <c r="DA801"/>
  <c r="CZ801"/>
  <c r="CY801"/>
  <c r="CX801"/>
  <c r="CW801"/>
  <c r="CV801"/>
  <c r="CU801"/>
  <c r="CT801"/>
  <c r="CS801"/>
  <c r="CR801"/>
  <c r="CQ801"/>
  <c r="CP801"/>
  <c r="CO801"/>
  <c r="CN801"/>
  <c r="CM801"/>
  <c r="CL801"/>
  <c r="CK801"/>
  <c r="CJ801"/>
  <c r="CI801"/>
  <c r="CH801"/>
  <c r="CG801"/>
  <c r="CF801"/>
  <c r="CE801"/>
  <c r="CD801"/>
  <c r="CC801"/>
  <c r="CB801"/>
  <c r="CA801"/>
  <c r="BZ801"/>
  <c r="BY801"/>
  <c r="BX801"/>
  <c r="BW801"/>
  <c r="BV801"/>
  <c r="BU801"/>
  <c r="BT801"/>
  <c r="BS801"/>
  <c r="BR801"/>
  <c r="BQ801"/>
  <c r="BP801"/>
  <c r="BO801"/>
  <c r="BN801"/>
  <c r="DU800"/>
  <c r="DT800"/>
  <c r="DS800"/>
  <c r="DR800"/>
  <c r="DQ800"/>
  <c r="DP800"/>
  <c r="DO800"/>
  <c r="DN800"/>
  <c r="DM800"/>
  <c r="DL800"/>
  <c r="DK800"/>
  <c r="DJ800"/>
  <c r="DI800"/>
  <c r="DH800"/>
  <c r="DG800"/>
  <c r="DF800"/>
  <c r="DE800"/>
  <c r="DD800"/>
  <c r="DC800"/>
  <c r="DB800"/>
  <c r="DA800"/>
  <c r="CZ800"/>
  <c r="CY800"/>
  <c r="CX800"/>
  <c r="CW800"/>
  <c r="CV800"/>
  <c r="CU800"/>
  <c r="CT800"/>
  <c r="CS800"/>
  <c r="CR800"/>
  <c r="CQ800"/>
  <c r="CP800"/>
  <c r="CO800"/>
  <c r="CN800"/>
  <c r="CM800"/>
  <c r="CL800"/>
  <c r="CK800"/>
  <c r="CJ800"/>
  <c r="CI800"/>
  <c r="CH800"/>
  <c r="CG800"/>
  <c r="CF800"/>
  <c r="CE800"/>
  <c r="CD800"/>
  <c r="CC800"/>
  <c r="CB800"/>
  <c r="CA800"/>
  <c r="BZ800"/>
  <c r="BY800"/>
  <c r="BX800"/>
  <c r="BW800"/>
  <c r="BV800"/>
  <c r="BU800"/>
  <c r="BT800"/>
  <c r="BS800"/>
  <c r="BR800"/>
  <c r="BQ800"/>
  <c r="BP800"/>
  <c r="BO800"/>
  <c r="BN800"/>
  <c r="DU799"/>
  <c r="DT799"/>
  <c r="DS799"/>
  <c r="DR799"/>
  <c r="DQ799"/>
  <c r="DP799"/>
  <c r="DO799"/>
  <c r="DN799"/>
  <c r="DM799"/>
  <c r="DL799"/>
  <c r="DK799"/>
  <c r="DJ799"/>
  <c r="DI799"/>
  <c r="DH799"/>
  <c r="DG799"/>
  <c r="DF799"/>
  <c r="DE799"/>
  <c r="DD799"/>
  <c r="DC799"/>
  <c r="DB799"/>
  <c r="DA799"/>
  <c r="CZ799"/>
  <c r="CY799"/>
  <c r="CX799"/>
  <c r="CW799"/>
  <c r="CV799"/>
  <c r="CU799"/>
  <c r="CT799"/>
  <c r="CS799"/>
  <c r="CR799"/>
  <c r="CQ799"/>
  <c r="CP799"/>
  <c r="CO799"/>
  <c r="CN799"/>
  <c r="CM799"/>
  <c r="CL799"/>
  <c r="CK799"/>
  <c r="CJ799"/>
  <c r="CI799"/>
  <c r="CH799"/>
  <c r="CG799"/>
  <c r="CF799"/>
  <c r="CE799"/>
  <c r="CD799"/>
  <c r="CC799"/>
  <c r="CB799"/>
  <c r="CA799"/>
  <c r="BZ799"/>
  <c r="BY799"/>
  <c r="BX799"/>
  <c r="BW799"/>
  <c r="BV799"/>
  <c r="BU799"/>
  <c r="BT799"/>
  <c r="BS799"/>
  <c r="BR799"/>
  <c r="BQ799"/>
  <c r="BP799"/>
  <c r="BO799"/>
  <c r="BN799"/>
  <c r="DU798"/>
  <c r="DT798"/>
  <c r="DS798"/>
  <c r="DR798"/>
  <c r="DQ798"/>
  <c r="DP798"/>
  <c r="DO798"/>
  <c r="DN798"/>
  <c r="DM798"/>
  <c r="DL798"/>
  <c r="DK798"/>
  <c r="DJ798"/>
  <c r="DI798"/>
  <c r="DH798"/>
  <c r="DG798"/>
  <c r="DF798"/>
  <c r="DE798"/>
  <c r="DD798"/>
  <c r="DC798"/>
  <c r="DB798"/>
  <c r="DA798"/>
  <c r="CZ798"/>
  <c r="CY798"/>
  <c r="CX798"/>
  <c r="CW798"/>
  <c r="CV798"/>
  <c r="CU798"/>
  <c r="CT798"/>
  <c r="CS798"/>
  <c r="CR798"/>
  <c r="CQ798"/>
  <c r="CP798"/>
  <c r="CO798"/>
  <c r="CN798"/>
  <c r="CM798"/>
  <c r="CL798"/>
  <c r="CK798"/>
  <c r="CJ798"/>
  <c r="CI798"/>
  <c r="CH798"/>
  <c r="CG798"/>
  <c r="CF798"/>
  <c r="CE798"/>
  <c r="CD798"/>
  <c r="CC798"/>
  <c r="CB798"/>
  <c r="CA798"/>
  <c r="BZ798"/>
  <c r="BY798"/>
  <c r="BX798"/>
  <c r="BW798"/>
  <c r="BV798"/>
  <c r="BU798"/>
  <c r="BT798"/>
  <c r="BS798"/>
  <c r="BR798"/>
  <c r="BQ798"/>
  <c r="BP798"/>
  <c r="BO798"/>
  <c r="BN798"/>
  <c r="DU797"/>
  <c r="DT797"/>
  <c r="DS797"/>
  <c r="DR797"/>
  <c r="DQ797"/>
  <c r="DP797"/>
  <c r="DO797"/>
  <c r="DN797"/>
  <c r="DM797"/>
  <c r="DL797"/>
  <c r="DK797"/>
  <c r="DJ797"/>
  <c r="DI797"/>
  <c r="DH797"/>
  <c r="DG797"/>
  <c r="DF797"/>
  <c r="DE797"/>
  <c r="DD797"/>
  <c r="DC797"/>
  <c r="DB797"/>
  <c r="DA797"/>
  <c r="CZ797"/>
  <c r="CY797"/>
  <c r="CX797"/>
  <c r="CW797"/>
  <c r="CV797"/>
  <c r="CU797"/>
  <c r="CT797"/>
  <c r="CS797"/>
  <c r="CR797"/>
  <c r="CQ797"/>
  <c r="CP797"/>
  <c r="CO797"/>
  <c r="CN797"/>
  <c r="CM797"/>
  <c r="CL797"/>
  <c r="CK797"/>
  <c r="CJ797"/>
  <c r="CI797"/>
  <c r="CH797"/>
  <c r="CG797"/>
  <c r="CF797"/>
  <c r="CE797"/>
  <c r="CD797"/>
  <c r="CC797"/>
  <c r="CB797"/>
  <c r="CA797"/>
  <c r="BZ797"/>
  <c r="BY797"/>
  <c r="BX797"/>
  <c r="BW797"/>
  <c r="BV797"/>
  <c r="BU797"/>
  <c r="BT797"/>
  <c r="BS797"/>
  <c r="BR797"/>
  <c r="BQ797"/>
  <c r="BP797"/>
  <c r="BO797"/>
  <c r="BN797"/>
  <c r="D797"/>
  <c r="C797"/>
  <c r="DU796"/>
  <c r="DT796"/>
  <c r="DS796"/>
  <c r="DR796"/>
  <c r="DQ796"/>
  <c r="DP796"/>
  <c r="DO796"/>
  <c r="DN796"/>
  <c r="DM796"/>
  <c r="DL796"/>
  <c r="DK796"/>
  <c r="DJ796"/>
  <c r="DI796"/>
  <c r="DH796"/>
  <c r="DG796"/>
  <c r="DF796"/>
  <c r="DE796"/>
  <c r="DD796"/>
  <c r="DC796"/>
  <c r="DB796"/>
  <c r="DA796"/>
  <c r="CZ796"/>
  <c r="CY796"/>
  <c r="CX796"/>
  <c r="CW796"/>
  <c r="CV796"/>
  <c r="CU796"/>
  <c r="CT796"/>
  <c r="CS796"/>
  <c r="CR796"/>
  <c r="CQ796"/>
  <c r="CP796"/>
  <c r="CO796"/>
  <c r="CN796"/>
  <c r="CM796"/>
  <c r="CL796"/>
  <c r="CK796"/>
  <c r="CJ796"/>
  <c r="CI796"/>
  <c r="CH796"/>
  <c r="CG796"/>
  <c r="CF796"/>
  <c r="CE796"/>
  <c r="CD796"/>
  <c r="CC796"/>
  <c r="CB796"/>
  <c r="CA796"/>
  <c r="BZ796"/>
  <c r="BY796"/>
  <c r="BX796"/>
  <c r="BW796"/>
  <c r="BV796"/>
  <c r="BU796"/>
  <c r="BT796"/>
  <c r="BS796"/>
  <c r="BR796"/>
  <c r="BQ796"/>
  <c r="BP796"/>
  <c r="BO796"/>
  <c r="BN796"/>
  <c r="DU795"/>
  <c r="DT795"/>
  <c r="DS795"/>
  <c r="DR795"/>
  <c r="DQ795"/>
  <c r="DP795"/>
  <c r="DO795"/>
  <c r="DN795"/>
  <c r="DM795"/>
  <c r="DL795"/>
  <c r="DK795"/>
  <c r="DJ795"/>
  <c r="DI795"/>
  <c r="DH795"/>
  <c r="DG795"/>
  <c r="DF795"/>
  <c r="DE795"/>
  <c r="DD795"/>
  <c r="DC795"/>
  <c r="DB795"/>
  <c r="DA795"/>
  <c r="CZ795"/>
  <c r="CY795"/>
  <c r="CX795"/>
  <c r="CW795"/>
  <c r="CV795"/>
  <c r="CU795"/>
  <c r="CT795"/>
  <c r="CS795"/>
  <c r="CR795"/>
  <c r="CQ795"/>
  <c r="CP795"/>
  <c r="CO795"/>
  <c r="CN795"/>
  <c r="CM795"/>
  <c r="CL795"/>
  <c r="CK795"/>
  <c r="CJ795"/>
  <c r="CI795"/>
  <c r="CH795"/>
  <c r="CG795"/>
  <c r="CF795"/>
  <c r="CE795"/>
  <c r="CD795"/>
  <c r="CC795"/>
  <c r="CB795"/>
  <c r="CA795"/>
  <c r="BZ795"/>
  <c r="BY795"/>
  <c r="BX795"/>
  <c r="BW795"/>
  <c r="BV795"/>
  <c r="BU795"/>
  <c r="BT795"/>
  <c r="BS795"/>
  <c r="BR795"/>
  <c r="BQ795"/>
  <c r="BP795"/>
  <c r="BO795"/>
  <c r="BN795"/>
  <c r="DU794"/>
  <c r="DT794"/>
  <c r="DS794"/>
  <c r="DR794"/>
  <c r="DQ794"/>
  <c r="DP794"/>
  <c r="DO794"/>
  <c r="DN794"/>
  <c r="DM794"/>
  <c r="DL794"/>
  <c r="DK794"/>
  <c r="DJ794"/>
  <c r="DI794"/>
  <c r="DH794"/>
  <c r="DG794"/>
  <c r="DF794"/>
  <c r="DE794"/>
  <c r="DD794"/>
  <c r="DC794"/>
  <c r="DB794"/>
  <c r="DA794"/>
  <c r="CZ794"/>
  <c r="CY794"/>
  <c r="CX794"/>
  <c r="CW794"/>
  <c r="CV794"/>
  <c r="CU794"/>
  <c r="CT794"/>
  <c r="CS794"/>
  <c r="CR794"/>
  <c r="CQ794"/>
  <c r="CP794"/>
  <c r="CO794"/>
  <c r="CN794"/>
  <c r="CM794"/>
  <c r="CL794"/>
  <c r="CK794"/>
  <c r="CJ794"/>
  <c r="CI794"/>
  <c r="CH794"/>
  <c r="CG794"/>
  <c r="CF794"/>
  <c r="CE794"/>
  <c r="CD794"/>
  <c r="CC794"/>
  <c r="CB794"/>
  <c r="CA794"/>
  <c r="BZ794"/>
  <c r="BY794"/>
  <c r="BX794"/>
  <c r="BW794"/>
  <c r="BV794"/>
  <c r="BU794"/>
  <c r="BT794"/>
  <c r="BS794"/>
  <c r="BR794"/>
  <c r="BQ794"/>
  <c r="BP794"/>
  <c r="BO794"/>
  <c r="BN794"/>
  <c r="DU793"/>
  <c r="DT793"/>
  <c r="DS793"/>
  <c r="DR793"/>
  <c r="DQ793"/>
  <c r="DP793"/>
  <c r="DO793"/>
  <c r="DN793"/>
  <c r="DM793"/>
  <c r="DL793"/>
  <c r="DK793"/>
  <c r="DJ793"/>
  <c r="DI793"/>
  <c r="DH793"/>
  <c r="DG793"/>
  <c r="DF793"/>
  <c r="DE793"/>
  <c r="DD793"/>
  <c r="DC793"/>
  <c r="DB793"/>
  <c r="DA793"/>
  <c r="CZ793"/>
  <c r="CY793"/>
  <c r="CX793"/>
  <c r="CW793"/>
  <c r="CV793"/>
  <c r="CU793"/>
  <c r="CT793"/>
  <c r="CS793"/>
  <c r="CR793"/>
  <c r="CQ793"/>
  <c r="CP793"/>
  <c r="CO793"/>
  <c r="CN793"/>
  <c r="CM793"/>
  <c r="CL793"/>
  <c r="CK793"/>
  <c r="CJ793"/>
  <c r="CI793"/>
  <c r="CH793"/>
  <c r="CG793"/>
  <c r="CF793"/>
  <c r="CE793"/>
  <c r="CD793"/>
  <c r="CC793"/>
  <c r="CB793"/>
  <c r="CA793"/>
  <c r="BZ793"/>
  <c r="BY793"/>
  <c r="BX793"/>
  <c r="BW793"/>
  <c r="BV793"/>
  <c r="BU793"/>
  <c r="BT793"/>
  <c r="BS793"/>
  <c r="BR793"/>
  <c r="BQ793"/>
  <c r="BP793"/>
  <c r="BO793"/>
  <c r="BN793"/>
  <c r="DU792"/>
  <c r="DT792"/>
  <c r="DS792"/>
  <c r="DR792"/>
  <c r="DQ792"/>
  <c r="DP792"/>
  <c r="DO792"/>
  <c r="DN792"/>
  <c r="DM792"/>
  <c r="DL792"/>
  <c r="DK792"/>
  <c r="DJ792"/>
  <c r="DI792"/>
  <c r="DH792"/>
  <c r="DG792"/>
  <c r="DF792"/>
  <c r="DE792"/>
  <c r="DD792"/>
  <c r="DC792"/>
  <c r="DB792"/>
  <c r="DA792"/>
  <c r="CZ792"/>
  <c r="CY792"/>
  <c r="CX792"/>
  <c r="CW792"/>
  <c r="CV792"/>
  <c r="CU792"/>
  <c r="CT792"/>
  <c r="CS792"/>
  <c r="CR792"/>
  <c r="CQ792"/>
  <c r="CP792"/>
  <c r="CO792"/>
  <c r="CN792"/>
  <c r="CM792"/>
  <c r="CL792"/>
  <c r="CK792"/>
  <c r="CJ792"/>
  <c r="CI792"/>
  <c r="CH792"/>
  <c r="CG792"/>
  <c r="CF792"/>
  <c r="CE792"/>
  <c r="CD792"/>
  <c r="CC792"/>
  <c r="CB792"/>
  <c r="CA792"/>
  <c r="BZ792"/>
  <c r="BY792"/>
  <c r="BX792"/>
  <c r="BW792"/>
  <c r="BV792"/>
  <c r="BU792"/>
  <c r="BT792"/>
  <c r="BS792"/>
  <c r="BR792"/>
  <c r="BQ792"/>
  <c r="BP792"/>
  <c r="BO792"/>
  <c r="BN792"/>
  <c r="DU791"/>
  <c r="DT791"/>
  <c r="DS791"/>
  <c r="DR791"/>
  <c r="DQ791"/>
  <c r="DP791"/>
  <c r="DO791"/>
  <c r="DN791"/>
  <c r="DM791"/>
  <c r="DL791"/>
  <c r="DK791"/>
  <c r="DJ791"/>
  <c r="DI791"/>
  <c r="DH791"/>
  <c r="DG791"/>
  <c r="DF791"/>
  <c r="DE791"/>
  <c r="DD791"/>
  <c r="DC791"/>
  <c r="DB791"/>
  <c r="DA791"/>
  <c r="CZ791"/>
  <c r="CY791"/>
  <c r="CX791"/>
  <c r="CW791"/>
  <c r="CV791"/>
  <c r="CU791"/>
  <c r="CT791"/>
  <c r="CS791"/>
  <c r="CR791"/>
  <c r="CQ791"/>
  <c r="CP791"/>
  <c r="CO791"/>
  <c r="CN791"/>
  <c r="CM791"/>
  <c r="CL791"/>
  <c r="CK791"/>
  <c r="CJ791"/>
  <c r="CI791"/>
  <c r="CH791"/>
  <c r="CG791"/>
  <c r="CF791"/>
  <c r="CE791"/>
  <c r="CD791"/>
  <c r="CC791"/>
  <c r="CB791"/>
  <c r="CA791"/>
  <c r="BZ791"/>
  <c r="BY791"/>
  <c r="BX791"/>
  <c r="BW791"/>
  <c r="BV791"/>
  <c r="BU791"/>
  <c r="BT791"/>
  <c r="BS791"/>
  <c r="BR791"/>
  <c r="BQ791"/>
  <c r="BP791"/>
  <c r="BO791"/>
  <c r="BN791"/>
  <c r="DU790"/>
  <c r="DT790"/>
  <c r="DS790"/>
  <c r="DR790"/>
  <c r="DQ790"/>
  <c r="DP790"/>
  <c r="DO790"/>
  <c r="DN790"/>
  <c r="DM790"/>
  <c r="DL790"/>
  <c r="DK790"/>
  <c r="DJ790"/>
  <c r="DI790"/>
  <c r="DH790"/>
  <c r="DG790"/>
  <c r="DF790"/>
  <c r="DE790"/>
  <c r="DD790"/>
  <c r="DC790"/>
  <c r="DB790"/>
  <c r="DA790"/>
  <c r="CZ790"/>
  <c r="CY790"/>
  <c r="CX790"/>
  <c r="CW790"/>
  <c r="CV790"/>
  <c r="CU790"/>
  <c r="CT790"/>
  <c r="CS790"/>
  <c r="CR790"/>
  <c r="CQ790"/>
  <c r="CP790"/>
  <c r="CO790"/>
  <c r="CN790"/>
  <c r="CM790"/>
  <c r="CL790"/>
  <c r="CK790"/>
  <c r="CJ790"/>
  <c r="CI790"/>
  <c r="CH790"/>
  <c r="CG790"/>
  <c r="CF790"/>
  <c r="CE790"/>
  <c r="CD790"/>
  <c r="CC790"/>
  <c r="CB790"/>
  <c r="CA790"/>
  <c r="BZ790"/>
  <c r="BY790"/>
  <c r="BX790"/>
  <c r="BW790"/>
  <c r="BV790"/>
  <c r="BU790"/>
  <c r="BT790"/>
  <c r="BS790"/>
  <c r="BR790"/>
  <c r="BQ790"/>
  <c r="BP790"/>
  <c r="BO790"/>
  <c r="BN790"/>
  <c r="B790"/>
  <c r="DU789"/>
  <c r="DT789"/>
  <c r="DS789"/>
  <c r="DR789"/>
  <c r="DQ789"/>
  <c r="DP789"/>
  <c r="DO789"/>
  <c r="DN789"/>
  <c r="DM789"/>
  <c r="DL789"/>
  <c r="DK789"/>
  <c r="DJ789"/>
  <c r="DI789"/>
  <c r="DH789"/>
  <c r="DG789"/>
  <c r="DF789"/>
  <c r="DE789"/>
  <c r="DD789"/>
  <c r="DC789"/>
  <c r="DB789"/>
  <c r="DA789"/>
  <c r="CZ789"/>
  <c r="CY789"/>
  <c r="CX789"/>
  <c r="CW789"/>
  <c r="CV789"/>
  <c r="CU789"/>
  <c r="CT789"/>
  <c r="CS789"/>
  <c r="CR789"/>
  <c r="CQ789"/>
  <c r="CP789"/>
  <c r="CO789"/>
  <c r="CN789"/>
  <c r="CM789"/>
  <c r="CL789"/>
  <c r="CK789"/>
  <c r="CJ789"/>
  <c r="CI789"/>
  <c r="CH789"/>
  <c r="CG789"/>
  <c r="CF789"/>
  <c r="CE789"/>
  <c r="CD789"/>
  <c r="CC789"/>
  <c r="CB789"/>
  <c r="CA789"/>
  <c r="BZ789"/>
  <c r="BY789"/>
  <c r="BX789"/>
  <c r="BW789"/>
  <c r="BV789"/>
  <c r="BU789"/>
  <c r="BT789"/>
  <c r="BS789"/>
  <c r="BR789"/>
  <c r="BQ789"/>
  <c r="BP789"/>
  <c r="BO789"/>
  <c r="BN789"/>
  <c r="DU788"/>
  <c r="DT788"/>
  <c r="DS788"/>
  <c r="DR788"/>
  <c r="DQ788"/>
  <c r="DP788"/>
  <c r="DO788"/>
  <c r="DN788"/>
  <c r="DM788"/>
  <c r="DL788"/>
  <c r="DK788"/>
  <c r="DJ788"/>
  <c r="DI788"/>
  <c r="DH788"/>
  <c r="DG788"/>
  <c r="DF788"/>
  <c r="DE788"/>
  <c r="DD788"/>
  <c r="DC788"/>
  <c r="DB788"/>
  <c r="DA788"/>
  <c r="CZ788"/>
  <c r="CY788"/>
  <c r="CX788"/>
  <c r="CW788"/>
  <c r="CV788"/>
  <c r="CU788"/>
  <c r="CT788"/>
  <c r="CS788"/>
  <c r="CR788"/>
  <c r="CQ788"/>
  <c r="CP788"/>
  <c r="CO788"/>
  <c r="CN788"/>
  <c r="CM788"/>
  <c r="CL788"/>
  <c r="CK788"/>
  <c r="CJ788"/>
  <c r="CI788"/>
  <c r="CH788"/>
  <c r="CG788"/>
  <c r="CF788"/>
  <c r="CE788"/>
  <c r="CD788"/>
  <c r="CC788"/>
  <c r="CB788"/>
  <c r="CA788"/>
  <c r="BZ788"/>
  <c r="BY788"/>
  <c r="BX788"/>
  <c r="BW788"/>
  <c r="BV788"/>
  <c r="BU788"/>
  <c r="BT788"/>
  <c r="BS788"/>
  <c r="BR788"/>
  <c r="BQ788"/>
  <c r="BP788"/>
  <c r="BO788"/>
  <c r="BN788"/>
  <c r="DU787"/>
  <c r="DT787"/>
  <c r="DS787"/>
  <c r="DR787"/>
  <c r="DQ787"/>
  <c r="DP787"/>
  <c r="DO787"/>
  <c r="DN787"/>
  <c r="DM787"/>
  <c r="DL787"/>
  <c r="DK787"/>
  <c r="DJ787"/>
  <c r="DI787"/>
  <c r="DH787"/>
  <c r="DG787"/>
  <c r="DF787"/>
  <c r="DE787"/>
  <c r="DD787"/>
  <c r="DC787"/>
  <c r="DB787"/>
  <c r="DA787"/>
  <c r="CZ787"/>
  <c r="CY787"/>
  <c r="CX787"/>
  <c r="CW787"/>
  <c r="CV787"/>
  <c r="CU787"/>
  <c r="CT787"/>
  <c r="CS787"/>
  <c r="CR787"/>
  <c r="CQ787"/>
  <c r="CP787"/>
  <c r="CO787"/>
  <c r="CN787"/>
  <c r="CM787"/>
  <c r="CL787"/>
  <c r="CK787"/>
  <c r="CJ787"/>
  <c r="CI787"/>
  <c r="CH787"/>
  <c r="CG787"/>
  <c r="CF787"/>
  <c r="CE787"/>
  <c r="CD787"/>
  <c r="CC787"/>
  <c r="CB787"/>
  <c r="CA787"/>
  <c r="BZ787"/>
  <c r="BY787"/>
  <c r="BX787"/>
  <c r="BW787"/>
  <c r="BV787"/>
  <c r="BU787"/>
  <c r="BT787"/>
  <c r="BS787"/>
  <c r="BR787"/>
  <c r="BQ787"/>
  <c r="BP787"/>
  <c r="BO787"/>
  <c r="BN787"/>
  <c r="DU786"/>
  <c r="DT786"/>
  <c r="DS786"/>
  <c r="DR786"/>
  <c r="DQ786"/>
  <c r="DP786"/>
  <c r="DO786"/>
  <c r="DN786"/>
  <c r="DM786"/>
  <c r="DL786"/>
  <c r="DK786"/>
  <c r="DJ786"/>
  <c r="DI786"/>
  <c r="DH786"/>
  <c r="DG786"/>
  <c r="DF786"/>
  <c r="DE786"/>
  <c r="DD786"/>
  <c r="DC786"/>
  <c r="DB786"/>
  <c r="DA786"/>
  <c r="CZ786"/>
  <c r="CY786"/>
  <c r="CX786"/>
  <c r="CW786"/>
  <c r="CV786"/>
  <c r="CU786"/>
  <c r="CT786"/>
  <c r="CS786"/>
  <c r="CR786"/>
  <c r="CQ786"/>
  <c r="CP786"/>
  <c r="CO786"/>
  <c r="CN786"/>
  <c r="CM786"/>
  <c r="CL786"/>
  <c r="CK786"/>
  <c r="CJ786"/>
  <c r="CI786"/>
  <c r="CH786"/>
  <c r="CG786"/>
  <c r="CF786"/>
  <c r="CE786"/>
  <c r="CD786"/>
  <c r="CC786"/>
  <c r="CB786"/>
  <c r="CA786"/>
  <c r="BZ786"/>
  <c r="BY786"/>
  <c r="BX786"/>
  <c r="BW786"/>
  <c r="BV786"/>
  <c r="BU786"/>
  <c r="BT786"/>
  <c r="BS786"/>
  <c r="BR786"/>
  <c r="BQ786"/>
  <c r="BP786"/>
  <c r="BO786"/>
  <c r="BN786"/>
  <c r="DU785"/>
  <c r="DT785"/>
  <c r="DS785"/>
  <c r="DR785"/>
  <c r="DQ785"/>
  <c r="DP785"/>
  <c r="DO785"/>
  <c r="DN785"/>
  <c r="DM785"/>
  <c r="DL785"/>
  <c r="DK785"/>
  <c r="DJ785"/>
  <c r="DI785"/>
  <c r="DH785"/>
  <c r="DG785"/>
  <c r="DF785"/>
  <c r="DE785"/>
  <c r="DD785"/>
  <c r="DC785"/>
  <c r="DB785"/>
  <c r="DA785"/>
  <c r="CZ785"/>
  <c r="CY785"/>
  <c r="CX785"/>
  <c r="CW785"/>
  <c r="CV785"/>
  <c r="CU785"/>
  <c r="CT785"/>
  <c r="CS785"/>
  <c r="CR785"/>
  <c r="CQ785"/>
  <c r="CP785"/>
  <c r="CO785"/>
  <c r="CN785"/>
  <c r="CM785"/>
  <c r="CL785"/>
  <c r="CK785"/>
  <c r="CJ785"/>
  <c r="CI785"/>
  <c r="CH785"/>
  <c r="CG785"/>
  <c r="CF785"/>
  <c r="CE785"/>
  <c r="CD785"/>
  <c r="CC785"/>
  <c r="CB785"/>
  <c r="CA785"/>
  <c r="BZ785"/>
  <c r="BY785"/>
  <c r="BX785"/>
  <c r="BW785"/>
  <c r="BV785"/>
  <c r="BU785"/>
  <c r="BT785"/>
  <c r="BS785"/>
  <c r="BR785"/>
  <c r="BQ785"/>
  <c r="BP785"/>
  <c r="BO785"/>
  <c r="BN785"/>
  <c r="DU784"/>
  <c r="DT784"/>
  <c r="DS784"/>
  <c r="DR784"/>
  <c r="DQ784"/>
  <c r="DP784"/>
  <c r="DO784"/>
  <c r="DN784"/>
  <c r="DM784"/>
  <c r="DL784"/>
  <c r="DK784"/>
  <c r="DJ784"/>
  <c r="DI784"/>
  <c r="DH784"/>
  <c r="DG784"/>
  <c r="DF784"/>
  <c r="DE784"/>
  <c r="DD784"/>
  <c r="DC784"/>
  <c r="DB784"/>
  <c r="DA784"/>
  <c r="CZ784"/>
  <c r="CY784"/>
  <c r="CX784"/>
  <c r="CW784"/>
  <c r="CV784"/>
  <c r="CU784"/>
  <c r="CT784"/>
  <c r="CS784"/>
  <c r="CR784"/>
  <c r="CQ784"/>
  <c r="CP784"/>
  <c r="CO784"/>
  <c r="CN784"/>
  <c r="CM784"/>
  <c r="CL784"/>
  <c r="CK784"/>
  <c r="CJ784"/>
  <c r="CI784"/>
  <c r="CH784"/>
  <c r="CG784"/>
  <c r="CF784"/>
  <c r="CE784"/>
  <c r="CD784"/>
  <c r="CC784"/>
  <c r="CB784"/>
  <c r="CA784"/>
  <c r="BZ784"/>
  <c r="BY784"/>
  <c r="BX784"/>
  <c r="BW784"/>
  <c r="BV784"/>
  <c r="BU784"/>
  <c r="BT784"/>
  <c r="BS784"/>
  <c r="BR784"/>
  <c r="BQ784"/>
  <c r="BP784"/>
  <c r="BO784"/>
  <c r="BN784"/>
  <c r="DU783"/>
  <c r="DT783"/>
  <c r="DS783"/>
  <c r="DR783"/>
  <c r="DQ783"/>
  <c r="DP783"/>
  <c r="DO783"/>
  <c r="DN783"/>
  <c r="DM783"/>
  <c r="DL783"/>
  <c r="DK783"/>
  <c r="DJ783"/>
  <c r="DI783"/>
  <c r="DH783"/>
  <c r="DG783"/>
  <c r="DF783"/>
  <c r="DE783"/>
  <c r="DD783"/>
  <c r="DC783"/>
  <c r="DB783"/>
  <c r="DA783"/>
  <c r="CZ783"/>
  <c r="CY783"/>
  <c r="CX783"/>
  <c r="CW783"/>
  <c r="CV783"/>
  <c r="CU783"/>
  <c r="CT783"/>
  <c r="CS783"/>
  <c r="CR783"/>
  <c r="CQ783"/>
  <c r="CP783"/>
  <c r="CO783"/>
  <c r="CN783"/>
  <c r="CM783"/>
  <c r="CL783"/>
  <c r="CK783"/>
  <c r="CJ783"/>
  <c r="CI783"/>
  <c r="CH783"/>
  <c r="CG783"/>
  <c r="CF783"/>
  <c r="CE783"/>
  <c r="CD783"/>
  <c r="CC783"/>
  <c r="CB783"/>
  <c r="CA783"/>
  <c r="BZ783"/>
  <c r="BY783"/>
  <c r="BX783"/>
  <c r="BW783"/>
  <c r="BV783"/>
  <c r="BU783"/>
  <c r="BT783"/>
  <c r="BS783"/>
  <c r="BR783"/>
  <c r="BQ783"/>
  <c r="BP783"/>
  <c r="BO783"/>
  <c r="BN783"/>
  <c r="DU782"/>
  <c r="DT782"/>
  <c r="DS782"/>
  <c r="DR782"/>
  <c r="DQ782"/>
  <c r="DP782"/>
  <c r="DO782"/>
  <c r="DN782"/>
  <c r="DM782"/>
  <c r="DL782"/>
  <c r="DK782"/>
  <c r="DJ782"/>
  <c r="DI782"/>
  <c r="DH782"/>
  <c r="DG782"/>
  <c r="DF782"/>
  <c r="DE782"/>
  <c r="DD782"/>
  <c r="DC782"/>
  <c r="DB782"/>
  <c r="DA782"/>
  <c r="CZ782"/>
  <c r="CY782"/>
  <c r="CX782"/>
  <c r="CW782"/>
  <c r="CV782"/>
  <c r="CU782"/>
  <c r="CT782"/>
  <c r="CS782"/>
  <c r="CR782"/>
  <c r="CQ782"/>
  <c r="CP782"/>
  <c r="CO782"/>
  <c r="CN782"/>
  <c r="CM782"/>
  <c r="CL782"/>
  <c r="CK782"/>
  <c r="CJ782"/>
  <c r="CI782"/>
  <c r="CH782"/>
  <c r="CG782"/>
  <c r="CF782"/>
  <c r="CE782"/>
  <c r="CD782"/>
  <c r="CC782"/>
  <c r="CB782"/>
  <c r="CA782"/>
  <c r="BZ782"/>
  <c r="BY782"/>
  <c r="BX782"/>
  <c r="BW782"/>
  <c r="BV782"/>
  <c r="BU782"/>
  <c r="BT782"/>
  <c r="BS782"/>
  <c r="BR782"/>
  <c r="BQ782"/>
  <c r="BP782"/>
  <c r="BO782"/>
  <c r="BN782"/>
  <c r="DU781"/>
  <c r="DT781"/>
  <c r="DS781"/>
  <c r="DR781"/>
  <c r="DQ781"/>
  <c r="DP781"/>
  <c r="DO781"/>
  <c r="DN781"/>
  <c r="DM781"/>
  <c r="DL781"/>
  <c r="DK781"/>
  <c r="DJ781"/>
  <c r="DI781"/>
  <c r="DH781"/>
  <c r="DG781"/>
  <c r="DF781"/>
  <c r="DE781"/>
  <c r="DD781"/>
  <c r="DC781"/>
  <c r="DB781"/>
  <c r="DA781"/>
  <c r="CZ781"/>
  <c r="CY781"/>
  <c r="CX781"/>
  <c r="CW781"/>
  <c r="CV781"/>
  <c r="CU781"/>
  <c r="CT781"/>
  <c r="CS781"/>
  <c r="CR781"/>
  <c r="CQ781"/>
  <c r="CP781"/>
  <c r="CO781"/>
  <c r="CN781"/>
  <c r="CM781"/>
  <c r="CL781"/>
  <c r="CK781"/>
  <c r="CJ781"/>
  <c r="CI781"/>
  <c r="CH781"/>
  <c r="CG781"/>
  <c r="CF781"/>
  <c r="CE781"/>
  <c r="CD781"/>
  <c r="CC781"/>
  <c r="CB781"/>
  <c r="CA781"/>
  <c r="BZ781"/>
  <c r="BY781"/>
  <c r="BX781"/>
  <c r="BW781"/>
  <c r="BV781"/>
  <c r="BU781"/>
  <c r="BT781"/>
  <c r="BS781"/>
  <c r="BR781"/>
  <c r="BQ781"/>
  <c r="BP781"/>
  <c r="BO781"/>
  <c r="BN781"/>
  <c r="DU780"/>
  <c r="DT780"/>
  <c r="DS780"/>
  <c r="DR780"/>
  <c r="DQ780"/>
  <c r="DP780"/>
  <c r="DO780"/>
  <c r="DN780"/>
  <c r="DM780"/>
  <c r="DL780"/>
  <c r="DK780"/>
  <c r="DJ780"/>
  <c r="DI780"/>
  <c r="DH780"/>
  <c r="DG780"/>
  <c r="DF780"/>
  <c r="DE780"/>
  <c r="DD780"/>
  <c r="DC780"/>
  <c r="DB780"/>
  <c r="DA780"/>
  <c r="CZ780"/>
  <c r="CY780"/>
  <c r="CX780"/>
  <c r="CW780"/>
  <c r="CV780"/>
  <c r="CU780"/>
  <c r="CT780"/>
  <c r="CS780"/>
  <c r="CR780"/>
  <c r="CQ780"/>
  <c r="CP780"/>
  <c r="CO780"/>
  <c r="CN780"/>
  <c r="CM780"/>
  <c r="CL780"/>
  <c r="CK780"/>
  <c r="CJ780"/>
  <c r="CI780"/>
  <c r="CH780"/>
  <c r="CG780"/>
  <c r="CF780"/>
  <c r="CE780"/>
  <c r="CD780"/>
  <c r="CC780"/>
  <c r="CB780"/>
  <c r="CA780"/>
  <c r="BZ780"/>
  <c r="BY780"/>
  <c r="BX780"/>
  <c r="BW780"/>
  <c r="BV780"/>
  <c r="BU780"/>
  <c r="BT780"/>
  <c r="BS780"/>
  <c r="BR780"/>
  <c r="BQ780"/>
  <c r="BP780"/>
  <c r="BO780"/>
  <c r="BN780"/>
  <c r="DU779"/>
  <c r="DT779"/>
  <c r="DS779"/>
  <c r="DR779"/>
  <c r="DQ779"/>
  <c r="DP779"/>
  <c r="DO779"/>
  <c r="DN779"/>
  <c r="DM779"/>
  <c r="DL779"/>
  <c r="DK779"/>
  <c r="DJ779"/>
  <c r="DI779"/>
  <c r="DH779"/>
  <c r="DG779"/>
  <c r="DF779"/>
  <c r="DE779"/>
  <c r="DD779"/>
  <c r="DC779"/>
  <c r="DB779"/>
  <c r="DA779"/>
  <c r="CZ779"/>
  <c r="CY779"/>
  <c r="CX779"/>
  <c r="CW779"/>
  <c r="CV779"/>
  <c r="CU779"/>
  <c r="CT779"/>
  <c r="CS779"/>
  <c r="CR779"/>
  <c r="CQ779"/>
  <c r="CP779"/>
  <c r="CO779"/>
  <c r="CN779"/>
  <c r="CM779"/>
  <c r="CL779"/>
  <c r="CK779"/>
  <c r="CJ779"/>
  <c r="CI779"/>
  <c r="CH779"/>
  <c r="CG779"/>
  <c r="CF779"/>
  <c r="CE779"/>
  <c r="CD779"/>
  <c r="CC779"/>
  <c r="CB779"/>
  <c r="CA779"/>
  <c r="BZ779"/>
  <c r="BY779"/>
  <c r="BX779"/>
  <c r="BW779"/>
  <c r="BV779"/>
  <c r="BU779"/>
  <c r="BT779"/>
  <c r="BS779"/>
  <c r="BR779"/>
  <c r="BQ779"/>
  <c r="BP779"/>
  <c r="BO779"/>
  <c r="BN779"/>
  <c r="DU778"/>
  <c r="DT778"/>
  <c r="DS778"/>
  <c r="DR778"/>
  <c r="DQ778"/>
  <c r="DP778"/>
  <c r="DO778"/>
  <c r="DN778"/>
  <c r="DM778"/>
  <c r="DL778"/>
  <c r="DK778"/>
  <c r="DJ778"/>
  <c r="DI778"/>
  <c r="DH778"/>
  <c r="DG778"/>
  <c r="DF778"/>
  <c r="DE778"/>
  <c r="DD778"/>
  <c r="DC778"/>
  <c r="DB778"/>
  <c r="DA778"/>
  <c r="CZ778"/>
  <c r="CY778"/>
  <c r="CX778"/>
  <c r="CW778"/>
  <c r="CV778"/>
  <c r="CU778"/>
  <c r="CT778"/>
  <c r="CS778"/>
  <c r="CR778"/>
  <c r="CQ778"/>
  <c r="CP778"/>
  <c r="CO778"/>
  <c r="CN778"/>
  <c r="CM778"/>
  <c r="CL778"/>
  <c r="CK778"/>
  <c r="CJ778"/>
  <c r="CI778"/>
  <c r="CH778"/>
  <c r="CG778"/>
  <c r="CF778"/>
  <c r="CE778"/>
  <c r="CD778"/>
  <c r="CC778"/>
  <c r="CB778"/>
  <c r="CA778"/>
  <c r="BZ778"/>
  <c r="BY778"/>
  <c r="BX778"/>
  <c r="BW778"/>
  <c r="BV778"/>
  <c r="BU778"/>
  <c r="BT778"/>
  <c r="BS778"/>
  <c r="BR778"/>
  <c r="BQ778"/>
  <c r="BP778"/>
  <c r="BO778"/>
  <c r="BN778"/>
  <c r="DU777"/>
  <c r="DT777"/>
  <c r="DS777"/>
  <c r="DR777"/>
  <c r="DQ777"/>
  <c r="DP777"/>
  <c r="DO777"/>
  <c r="DN777"/>
  <c r="DM777"/>
  <c r="DL777"/>
  <c r="DK777"/>
  <c r="DJ777"/>
  <c r="DI777"/>
  <c r="DH777"/>
  <c r="DG777"/>
  <c r="DF777"/>
  <c r="DE777"/>
  <c r="DD777"/>
  <c r="DC777"/>
  <c r="DB777"/>
  <c r="DA777"/>
  <c r="CZ777"/>
  <c r="CY777"/>
  <c r="CX777"/>
  <c r="CW777"/>
  <c r="CV777"/>
  <c r="CU777"/>
  <c r="CT777"/>
  <c r="CS777"/>
  <c r="CR777"/>
  <c r="CQ777"/>
  <c r="CP777"/>
  <c r="CO777"/>
  <c r="CN777"/>
  <c r="CM777"/>
  <c r="CL777"/>
  <c r="CK777"/>
  <c r="CJ777"/>
  <c r="CI777"/>
  <c r="CH777"/>
  <c r="CG777"/>
  <c r="CF777"/>
  <c r="CE777"/>
  <c r="CD777"/>
  <c r="CC777"/>
  <c r="CB777"/>
  <c r="CA777"/>
  <c r="BZ777"/>
  <c r="BY777"/>
  <c r="BX777"/>
  <c r="BW777"/>
  <c r="BV777"/>
  <c r="BU777"/>
  <c r="BT777"/>
  <c r="BS777"/>
  <c r="BR777"/>
  <c r="BQ777"/>
  <c r="BP777"/>
  <c r="BO777"/>
  <c r="BN777"/>
  <c r="DU776"/>
  <c r="DT776"/>
  <c r="DS776"/>
  <c r="DR776"/>
  <c r="DQ776"/>
  <c r="DP776"/>
  <c r="DO776"/>
  <c r="DN776"/>
  <c r="DM776"/>
  <c r="DL776"/>
  <c r="DK776"/>
  <c r="DJ776"/>
  <c r="DI776"/>
  <c r="DH776"/>
  <c r="DG776"/>
  <c r="DF776"/>
  <c r="DE776"/>
  <c r="DD776"/>
  <c r="DC776"/>
  <c r="DB776"/>
  <c r="DA776"/>
  <c r="CZ776"/>
  <c r="CY776"/>
  <c r="CX776"/>
  <c r="CW776"/>
  <c r="CV776"/>
  <c r="CU776"/>
  <c r="CT776"/>
  <c r="CS776"/>
  <c r="CR776"/>
  <c r="CQ776"/>
  <c r="CP776"/>
  <c r="CO776"/>
  <c r="CN776"/>
  <c r="CM776"/>
  <c r="CL776"/>
  <c r="CK776"/>
  <c r="CJ776"/>
  <c r="CI776"/>
  <c r="CH776"/>
  <c r="CG776"/>
  <c r="CF776"/>
  <c r="CE776"/>
  <c r="CD776"/>
  <c r="CC776"/>
  <c r="CB776"/>
  <c r="CA776"/>
  <c r="BZ776"/>
  <c r="BY776"/>
  <c r="BX776"/>
  <c r="BW776"/>
  <c r="BV776"/>
  <c r="BU776"/>
  <c r="BT776"/>
  <c r="BS776"/>
  <c r="BR776"/>
  <c r="BQ776"/>
  <c r="BP776"/>
  <c r="BO776"/>
  <c r="BN776"/>
  <c r="DU775"/>
  <c r="DT775"/>
  <c r="DS775"/>
  <c r="DR775"/>
  <c r="DQ775"/>
  <c r="DP775"/>
  <c r="DO775"/>
  <c r="DN775"/>
  <c r="DM775"/>
  <c r="DL775"/>
  <c r="DK775"/>
  <c r="DJ775"/>
  <c r="DI775"/>
  <c r="DH775"/>
  <c r="DG775"/>
  <c r="DF775"/>
  <c r="DE775"/>
  <c r="DD775"/>
  <c r="DC775"/>
  <c r="DB775"/>
  <c r="DA775"/>
  <c r="CZ775"/>
  <c r="CY775"/>
  <c r="CX775"/>
  <c r="CW775"/>
  <c r="CV775"/>
  <c r="CU775"/>
  <c r="CT775"/>
  <c r="CS775"/>
  <c r="CR775"/>
  <c r="CQ775"/>
  <c r="CP775"/>
  <c r="CO775"/>
  <c r="CN775"/>
  <c r="CM775"/>
  <c r="CL775"/>
  <c r="CK775"/>
  <c r="CJ775"/>
  <c r="CI775"/>
  <c r="CH775"/>
  <c r="CG775"/>
  <c r="CF775"/>
  <c r="CE775"/>
  <c r="CD775"/>
  <c r="CC775"/>
  <c r="CB775"/>
  <c r="CA775"/>
  <c r="BZ775"/>
  <c r="BY775"/>
  <c r="BX775"/>
  <c r="BW775"/>
  <c r="BV775"/>
  <c r="BU775"/>
  <c r="BT775"/>
  <c r="BS775"/>
  <c r="BR775"/>
  <c r="BQ775"/>
  <c r="BP775"/>
  <c r="BO775"/>
  <c r="BN775"/>
  <c r="DU774"/>
  <c r="DT774"/>
  <c r="DS774"/>
  <c r="DR774"/>
  <c r="DQ774"/>
  <c r="DP774"/>
  <c r="DO774"/>
  <c r="DN774"/>
  <c r="DM774"/>
  <c r="DL774"/>
  <c r="DK774"/>
  <c r="DJ774"/>
  <c r="DI774"/>
  <c r="DH774"/>
  <c r="DG774"/>
  <c r="DF774"/>
  <c r="DE774"/>
  <c r="DD774"/>
  <c r="DC774"/>
  <c r="DB774"/>
  <c r="DA774"/>
  <c r="CZ774"/>
  <c r="CY774"/>
  <c r="CX774"/>
  <c r="CW774"/>
  <c r="CV774"/>
  <c r="CU774"/>
  <c r="CT774"/>
  <c r="CS774"/>
  <c r="CR774"/>
  <c r="CQ774"/>
  <c r="CP774"/>
  <c r="CO774"/>
  <c r="CN774"/>
  <c r="CM774"/>
  <c r="CL774"/>
  <c r="CK774"/>
  <c r="CJ774"/>
  <c r="CI774"/>
  <c r="CH774"/>
  <c r="CG774"/>
  <c r="CF774"/>
  <c r="CE774"/>
  <c r="CD774"/>
  <c r="CC774"/>
  <c r="CB774"/>
  <c r="CA774"/>
  <c r="BZ774"/>
  <c r="BY774"/>
  <c r="BX774"/>
  <c r="BW774"/>
  <c r="BV774"/>
  <c r="BU774"/>
  <c r="BT774"/>
  <c r="BS774"/>
  <c r="BR774"/>
  <c r="BQ774"/>
  <c r="BP774"/>
  <c r="BO774"/>
  <c r="BN774"/>
  <c r="DU773"/>
  <c r="DT773"/>
  <c r="DS773"/>
  <c r="DR773"/>
  <c r="DQ773"/>
  <c r="DP773"/>
  <c r="DO773"/>
  <c r="DN773"/>
  <c r="DM773"/>
  <c r="DL773"/>
  <c r="DK773"/>
  <c r="DJ773"/>
  <c r="DI773"/>
  <c r="DH773"/>
  <c r="DG773"/>
  <c r="DF773"/>
  <c r="DE773"/>
  <c r="DD773"/>
  <c r="DC773"/>
  <c r="DB773"/>
  <c r="DA773"/>
  <c r="CZ773"/>
  <c r="CY773"/>
  <c r="CX773"/>
  <c r="CW773"/>
  <c r="CV773"/>
  <c r="CU773"/>
  <c r="CT773"/>
  <c r="CS773"/>
  <c r="CR773"/>
  <c r="CQ773"/>
  <c r="CP773"/>
  <c r="CO773"/>
  <c r="CN773"/>
  <c r="CM773"/>
  <c r="CL773"/>
  <c r="CK773"/>
  <c r="CJ773"/>
  <c r="CI773"/>
  <c r="CH773"/>
  <c r="CG773"/>
  <c r="CF773"/>
  <c r="CE773"/>
  <c r="CD773"/>
  <c r="CC773"/>
  <c r="CB773"/>
  <c r="CA773"/>
  <c r="BZ773"/>
  <c r="BY773"/>
  <c r="BX773"/>
  <c r="BW773"/>
  <c r="BV773"/>
  <c r="BU773"/>
  <c r="BT773"/>
  <c r="BS773"/>
  <c r="BR773"/>
  <c r="BQ773"/>
  <c r="BP773"/>
  <c r="BO773"/>
  <c r="BN773"/>
  <c r="DU772"/>
  <c r="DT772"/>
  <c r="DS772"/>
  <c r="DR772"/>
  <c r="DQ772"/>
  <c r="DP772"/>
  <c r="DO772"/>
  <c r="DN772"/>
  <c r="DM772"/>
  <c r="DL772"/>
  <c r="DK772"/>
  <c r="DJ772"/>
  <c r="DI772"/>
  <c r="DH772"/>
  <c r="DG772"/>
  <c r="DF772"/>
  <c r="DE772"/>
  <c r="DD772"/>
  <c r="DC772"/>
  <c r="DB772"/>
  <c r="DA772"/>
  <c r="CZ772"/>
  <c r="CY772"/>
  <c r="CX772"/>
  <c r="CW772"/>
  <c r="CV772"/>
  <c r="CU772"/>
  <c r="CT772"/>
  <c r="CS772"/>
  <c r="CR772"/>
  <c r="CQ772"/>
  <c r="CP772"/>
  <c r="CO772"/>
  <c r="CN772"/>
  <c r="CM772"/>
  <c r="CL772"/>
  <c r="CK772"/>
  <c r="CJ772"/>
  <c r="CI772"/>
  <c r="CH772"/>
  <c r="CG772"/>
  <c r="CF772"/>
  <c r="CE772"/>
  <c r="CD772"/>
  <c r="CC772"/>
  <c r="CB772"/>
  <c r="CA772"/>
  <c r="BZ772"/>
  <c r="BY772"/>
  <c r="BX772"/>
  <c r="BW772"/>
  <c r="BV772"/>
  <c r="BU772"/>
  <c r="BT772"/>
  <c r="BS772"/>
  <c r="BR772"/>
  <c r="BQ772"/>
  <c r="BP772"/>
  <c r="BO772"/>
  <c r="BN772"/>
  <c r="DU771"/>
  <c r="DT771"/>
  <c r="DS771"/>
  <c r="DR771"/>
  <c r="DQ771"/>
  <c r="DP771"/>
  <c r="DO771"/>
  <c r="DN771"/>
  <c r="DM771"/>
  <c r="DL771"/>
  <c r="DK771"/>
  <c r="DJ771"/>
  <c r="DI771"/>
  <c r="DH771"/>
  <c r="DG771"/>
  <c r="DF771"/>
  <c r="DE771"/>
  <c r="DD771"/>
  <c r="DC771"/>
  <c r="DB771"/>
  <c r="DA771"/>
  <c r="CZ771"/>
  <c r="CY771"/>
  <c r="CX771"/>
  <c r="CW771"/>
  <c r="CV771"/>
  <c r="CU771"/>
  <c r="CT771"/>
  <c r="CS771"/>
  <c r="CR771"/>
  <c r="CQ771"/>
  <c r="CP771"/>
  <c r="CO771"/>
  <c r="CN771"/>
  <c r="CM771"/>
  <c r="CL771"/>
  <c r="CK771"/>
  <c r="CJ771"/>
  <c r="CI771"/>
  <c r="CH771"/>
  <c r="CG771"/>
  <c r="CF771"/>
  <c r="CE771"/>
  <c r="CD771"/>
  <c r="CC771"/>
  <c r="CB771"/>
  <c r="CA771"/>
  <c r="BZ771"/>
  <c r="BY771"/>
  <c r="BX771"/>
  <c r="BW771"/>
  <c r="BV771"/>
  <c r="BU771"/>
  <c r="BT771"/>
  <c r="BS771"/>
  <c r="BR771"/>
  <c r="BQ771"/>
  <c r="BP771"/>
  <c r="BO771"/>
  <c r="BN771"/>
  <c r="DU770"/>
  <c r="DT770"/>
  <c r="DS770"/>
  <c r="DR770"/>
  <c r="DQ770"/>
  <c r="DP770"/>
  <c r="DO770"/>
  <c r="DN770"/>
  <c r="DM770"/>
  <c r="DL770"/>
  <c r="DK770"/>
  <c r="DJ770"/>
  <c r="DI770"/>
  <c r="DH770"/>
  <c r="DG770"/>
  <c r="DF770"/>
  <c r="DE770"/>
  <c r="DD770"/>
  <c r="DC770"/>
  <c r="DB770"/>
  <c r="DA770"/>
  <c r="CZ770"/>
  <c r="CY770"/>
  <c r="CX770"/>
  <c r="CW770"/>
  <c r="CV770"/>
  <c r="CU770"/>
  <c r="CT770"/>
  <c r="CS770"/>
  <c r="CR770"/>
  <c r="CQ770"/>
  <c r="CP770"/>
  <c r="CO770"/>
  <c r="CN770"/>
  <c r="CM770"/>
  <c r="CL770"/>
  <c r="CK770"/>
  <c r="CJ770"/>
  <c r="CI770"/>
  <c r="CH770"/>
  <c r="CG770"/>
  <c r="CF770"/>
  <c r="CE770"/>
  <c r="CD770"/>
  <c r="CC770"/>
  <c r="CB770"/>
  <c r="CA770"/>
  <c r="BZ770"/>
  <c r="BY770"/>
  <c r="BX770"/>
  <c r="BW770"/>
  <c r="BV770"/>
  <c r="BU770"/>
  <c r="BT770"/>
  <c r="BS770"/>
  <c r="BR770"/>
  <c r="BQ770"/>
  <c r="BP770"/>
  <c r="BO770"/>
  <c r="BN770"/>
  <c r="DU769"/>
  <c r="DT769"/>
  <c r="DS769"/>
  <c r="DR769"/>
  <c r="DQ769"/>
  <c r="DP769"/>
  <c r="DO769"/>
  <c r="DN769"/>
  <c r="DM769"/>
  <c r="DL769"/>
  <c r="DK769"/>
  <c r="DJ769"/>
  <c r="DI769"/>
  <c r="DH769"/>
  <c r="DG769"/>
  <c r="DF769"/>
  <c r="DE769"/>
  <c r="DD769"/>
  <c r="DC769"/>
  <c r="DB769"/>
  <c r="DA769"/>
  <c r="CZ769"/>
  <c r="CY769"/>
  <c r="CX769"/>
  <c r="CW769"/>
  <c r="CV769"/>
  <c r="CU769"/>
  <c r="CT769"/>
  <c r="CS769"/>
  <c r="CR769"/>
  <c r="CQ769"/>
  <c r="CP769"/>
  <c r="CO769"/>
  <c r="CN769"/>
  <c r="CM769"/>
  <c r="CL769"/>
  <c r="CK769"/>
  <c r="CJ769"/>
  <c r="CI769"/>
  <c r="CH769"/>
  <c r="CG769"/>
  <c r="CF769"/>
  <c r="CE769"/>
  <c r="CD769"/>
  <c r="CC769"/>
  <c r="CB769"/>
  <c r="CA769"/>
  <c r="BZ769"/>
  <c r="BY769"/>
  <c r="BX769"/>
  <c r="BW769"/>
  <c r="BV769"/>
  <c r="BU769"/>
  <c r="BT769"/>
  <c r="BS769"/>
  <c r="BR769"/>
  <c r="BQ769"/>
  <c r="BP769"/>
  <c r="BO769"/>
  <c r="BN769"/>
  <c r="DU768"/>
  <c r="DT768"/>
  <c r="DS768"/>
  <c r="DR768"/>
  <c r="DQ768"/>
  <c r="DP768"/>
  <c r="DO768"/>
  <c r="DN768"/>
  <c r="DM768"/>
  <c r="DL768"/>
  <c r="DK768"/>
  <c r="DJ768"/>
  <c r="DI768"/>
  <c r="DH768"/>
  <c r="DG768"/>
  <c r="DF768"/>
  <c r="DE768"/>
  <c r="DD768"/>
  <c r="DC768"/>
  <c r="DB768"/>
  <c r="DA768"/>
  <c r="CZ768"/>
  <c r="CY768"/>
  <c r="CX768"/>
  <c r="CW768"/>
  <c r="CV768"/>
  <c r="CU768"/>
  <c r="CT768"/>
  <c r="CS768"/>
  <c r="CR768"/>
  <c r="CQ768"/>
  <c r="CP768"/>
  <c r="CO768"/>
  <c r="CN768"/>
  <c r="CM768"/>
  <c r="CL768"/>
  <c r="CK768"/>
  <c r="CJ768"/>
  <c r="CI768"/>
  <c r="CH768"/>
  <c r="CG768"/>
  <c r="CF768"/>
  <c r="CE768"/>
  <c r="CD768"/>
  <c r="CC768"/>
  <c r="CB768"/>
  <c r="CA768"/>
  <c r="BZ768"/>
  <c r="BY768"/>
  <c r="BX768"/>
  <c r="BW768"/>
  <c r="BV768"/>
  <c r="BU768"/>
  <c r="BT768"/>
  <c r="BS768"/>
  <c r="BR768"/>
  <c r="BQ768"/>
  <c r="BP768"/>
  <c r="BO768"/>
  <c r="BN768"/>
  <c r="DU767"/>
  <c r="DT767"/>
  <c r="DS767"/>
  <c r="DR767"/>
  <c r="DQ767"/>
  <c r="DP767"/>
  <c r="DO767"/>
  <c r="DN767"/>
  <c r="DM767"/>
  <c r="DL767"/>
  <c r="DK767"/>
  <c r="DJ767"/>
  <c r="DI767"/>
  <c r="DH767"/>
  <c r="DG767"/>
  <c r="DF767"/>
  <c r="DE767"/>
  <c r="DD767"/>
  <c r="DC767"/>
  <c r="DB767"/>
  <c r="DA767"/>
  <c r="CZ767"/>
  <c r="CY767"/>
  <c r="CX767"/>
  <c r="CW767"/>
  <c r="CV767"/>
  <c r="CU767"/>
  <c r="CT767"/>
  <c r="CS767"/>
  <c r="CR767"/>
  <c r="CQ767"/>
  <c r="CP767"/>
  <c r="CO767"/>
  <c r="CN767"/>
  <c r="CM767"/>
  <c r="CL767"/>
  <c r="CK767"/>
  <c r="CJ767"/>
  <c r="CI767"/>
  <c r="CH767"/>
  <c r="CG767"/>
  <c r="CF767"/>
  <c r="CE767"/>
  <c r="CD767"/>
  <c r="CC767"/>
  <c r="CB767"/>
  <c r="CA767"/>
  <c r="BZ767"/>
  <c r="BY767"/>
  <c r="BX767"/>
  <c r="BW767"/>
  <c r="BV767"/>
  <c r="BU767"/>
  <c r="BT767"/>
  <c r="BS767"/>
  <c r="BR767"/>
  <c r="BQ767"/>
  <c r="BP767"/>
  <c r="BO767"/>
  <c r="BN767"/>
  <c r="DU766"/>
  <c r="DT766"/>
  <c r="DS766"/>
  <c r="DR766"/>
  <c r="DQ766"/>
  <c r="DP766"/>
  <c r="DO766"/>
  <c r="DN766"/>
  <c r="DM766"/>
  <c r="DL766"/>
  <c r="DK766"/>
  <c r="DJ766"/>
  <c r="DI766"/>
  <c r="DH766"/>
  <c r="DG766"/>
  <c r="DF766"/>
  <c r="DE766"/>
  <c r="DD766"/>
  <c r="DC766"/>
  <c r="DB766"/>
  <c r="DA766"/>
  <c r="CZ766"/>
  <c r="CY766"/>
  <c r="CX766"/>
  <c r="CW766"/>
  <c r="CV766"/>
  <c r="CU766"/>
  <c r="CT766"/>
  <c r="CS766"/>
  <c r="CR766"/>
  <c r="CQ766"/>
  <c r="CP766"/>
  <c r="CO766"/>
  <c r="CN766"/>
  <c r="CM766"/>
  <c r="CL766"/>
  <c r="CK766"/>
  <c r="CJ766"/>
  <c r="CI766"/>
  <c r="CH766"/>
  <c r="CG766"/>
  <c r="CF766"/>
  <c r="CE766"/>
  <c r="CD766"/>
  <c r="CC766"/>
  <c r="CB766"/>
  <c r="CA766"/>
  <c r="BZ766"/>
  <c r="BY766"/>
  <c r="BX766"/>
  <c r="BW766"/>
  <c r="BV766"/>
  <c r="BU766"/>
  <c r="BT766"/>
  <c r="BS766"/>
  <c r="BR766"/>
  <c r="BQ766"/>
  <c r="BP766"/>
  <c r="BO766"/>
  <c r="BN766"/>
  <c r="DU765"/>
  <c r="DT765"/>
  <c r="DS765"/>
  <c r="DR765"/>
  <c r="DQ765"/>
  <c r="DP765"/>
  <c r="DO765"/>
  <c r="DN765"/>
  <c r="DM765"/>
  <c r="DL765"/>
  <c r="DK765"/>
  <c r="DJ765"/>
  <c r="DI765"/>
  <c r="DH765"/>
  <c r="DG765"/>
  <c r="DF765"/>
  <c r="DE765"/>
  <c r="DD765"/>
  <c r="DC765"/>
  <c r="DB765"/>
  <c r="DA765"/>
  <c r="CZ765"/>
  <c r="CY765"/>
  <c r="CX765"/>
  <c r="CW765"/>
  <c r="CV765"/>
  <c r="CU765"/>
  <c r="CT765"/>
  <c r="CS765"/>
  <c r="CR765"/>
  <c r="CQ765"/>
  <c r="CP765"/>
  <c r="CO765"/>
  <c r="CN765"/>
  <c r="CM765"/>
  <c r="CL765"/>
  <c r="CK765"/>
  <c r="CJ765"/>
  <c r="CI765"/>
  <c r="CH765"/>
  <c r="CG765"/>
  <c r="CF765"/>
  <c r="CE765"/>
  <c r="CD765"/>
  <c r="CC765"/>
  <c r="CB765"/>
  <c r="CA765"/>
  <c r="BZ765"/>
  <c r="BY765"/>
  <c r="BX765"/>
  <c r="BW765"/>
  <c r="BV765"/>
  <c r="BU765"/>
  <c r="BT765"/>
  <c r="BS765"/>
  <c r="BR765"/>
  <c r="BQ765"/>
  <c r="BP765"/>
  <c r="BO765"/>
  <c r="BN765"/>
  <c r="D765"/>
  <c r="DU764"/>
  <c r="DT764"/>
  <c r="DS764"/>
  <c r="DR764"/>
  <c r="DQ764"/>
  <c r="DP764"/>
  <c r="DO764"/>
  <c r="DN764"/>
  <c r="DM764"/>
  <c r="DL764"/>
  <c r="DK764"/>
  <c r="DJ764"/>
  <c r="DI764"/>
  <c r="DH764"/>
  <c r="DG764"/>
  <c r="DF764"/>
  <c r="DE764"/>
  <c r="DD764"/>
  <c r="DC764"/>
  <c r="DB764"/>
  <c r="DA764"/>
  <c r="CZ764"/>
  <c r="CY764"/>
  <c r="CX764"/>
  <c r="CW764"/>
  <c r="CV764"/>
  <c r="CU764"/>
  <c r="CT764"/>
  <c r="CS764"/>
  <c r="CR764"/>
  <c r="CQ764"/>
  <c r="CP764"/>
  <c r="CO764"/>
  <c r="CN764"/>
  <c r="CM764"/>
  <c r="CL764"/>
  <c r="CK764"/>
  <c r="CJ764"/>
  <c r="CI764"/>
  <c r="CH764"/>
  <c r="CG764"/>
  <c r="CF764"/>
  <c r="CE764"/>
  <c r="CD764"/>
  <c r="CC764"/>
  <c r="CB764"/>
  <c r="CA764"/>
  <c r="BZ764"/>
  <c r="BY764"/>
  <c r="BX764"/>
  <c r="BW764"/>
  <c r="BV764"/>
  <c r="BU764"/>
  <c r="BT764"/>
  <c r="BS764"/>
  <c r="BR764"/>
  <c r="BQ764"/>
  <c r="BP764"/>
  <c r="BO764"/>
  <c r="BN764"/>
  <c r="DU763"/>
  <c r="DT763"/>
  <c r="DS763"/>
  <c r="DR763"/>
  <c r="DQ763"/>
  <c r="DP763"/>
  <c r="DO763"/>
  <c r="DN763"/>
  <c r="DM763"/>
  <c r="DL763"/>
  <c r="DK763"/>
  <c r="DJ763"/>
  <c r="DI763"/>
  <c r="DH763"/>
  <c r="DG763"/>
  <c r="DF763"/>
  <c r="DE763"/>
  <c r="DD763"/>
  <c r="DC763"/>
  <c r="DB763"/>
  <c r="DA763"/>
  <c r="CZ763"/>
  <c r="CY763"/>
  <c r="CX763"/>
  <c r="CW763"/>
  <c r="CV763"/>
  <c r="CU763"/>
  <c r="CT763"/>
  <c r="CS763"/>
  <c r="CR763"/>
  <c r="CQ763"/>
  <c r="CP763"/>
  <c r="CO763"/>
  <c r="CN763"/>
  <c r="CM763"/>
  <c r="CL763"/>
  <c r="CK763"/>
  <c r="CJ763"/>
  <c r="CI763"/>
  <c r="CH763"/>
  <c r="CG763"/>
  <c r="CF763"/>
  <c r="CE763"/>
  <c r="CD763"/>
  <c r="CC763"/>
  <c r="CB763"/>
  <c r="CA763"/>
  <c r="BZ763"/>
  <c r="BY763"/>
  <c r="BX763"/>
  <c r="BW763"/>
  <c r="BV763"/>
  <c r="BU763"/>
  <c r="BT763"/>
  <c r="BS763"/>
  <c r="BR763"/>
  <c r="BQ763"/>
  <c r="BP763"/>
  <c r="BO763"/>
  <c r="BN763"/>
  <c r="DU762"/>
  <c r="DT762"/>
  <c r="DS762"/>
  <c r="DR762"/>
  <c r="DQ762"/>
  <c r="DP762"/>
  <c r="DO762"/>
  <c r="DN762"/>
  <c r="DM762"/>
  <c r="DL762"/>
  <c r="DK762"/>
  <c r="DJ762"/>
  <c r="DI762"/>
  <c r="DH762"/>
  <c r="DG762"/>
  <c r="DF762"/>
  <c r="DE762"/>
  <c r="DD762"/>
  <c r="DC762"/>
  <c r="DB762"/>
  <c r="DA762"/>
  <c r="CZ762"/>
  <c r="CY762"/>
  <c r="CX762"/>
  <c r="CW762"/>
  <c r="CV762"/>
  <c r="CU762"/>
  <c r="CT762"/>
  <c r="CS762"/>
  <c r="CR762"/>
  <c r="CQ762"/>
  <c r="CP762"/>
  <c r="CO762"/>
  <c r="CN762"/>
  <c r="CM762"/>
  <c r="CL762"/>
  <c r="CK762"/>
  <c r="CJ762"/>
  <c r="CI762"/>
  <c r="CH762"/>
  <c r="CG762"/>
  <c r="CF762"/>
  <c r="CE762"/>
  <c r="CD762"/>
  <c r="CC762"/>
  <c r="CB762"/>
  <c r="CA762"/>
  <c r="BZ762"/>
  <c r="BY762"/>
  <c r="BX762"/>
  <c r="BW762"/>
  <c r="BV762"/>
  <c r="BU762"/>
  <c r="BT762"/>
  <c r="BS762"/>
  <c r="BR762"/>
  <c r="BQ762"/>
  <c r="BP762"/>
  <c r="BO762"/>
  <c r="BN762"/>
  <c r="DU761"/>
  <c r="DT761"/>
  <c r="DS761"/>
  <c r="DR761"/>
  <c r="DQ761"/>
  <c r="DP761"/>
  <c r="DO761"/>
  <c r="DN761"/>
  <c r="DM761"/>
  <c r="DL761"/>
  <c r="DK761"/>
  <c r="DJ761"/>
  <c r="DI761"/>
  <c r="DH761"/>
  <c r="DG761"/>
  <c r="DF761"/>
  <c r="DE761"/>
  <c r="DD761"/>
  <c r="DC761"/>
  <c r="DB761"/>
  <c r="DA761"/>
  <c r="CZ761"/>
  <c r="CY761"/>
  <c r="CX761"/>
  <c r="CW761"/>
  <c r="CV761"/>
  <c r="CU761"/>
  <c r="CT761"/>
  <c r="CS761"/>
  <c r="CR761"/>
  <c r="CQ761"/>
  <c r="CP761"/>
  <c r="CO761"/>
  <c r="CN761"/>
  <c r="CM761"/>
  <c r="CL761"/>
  <c r="CK761"/>
  <c r="CJ761"/>
  <c r="CI761"/>
  <c r="CH761"/>
  <c r="CG761"/>
  <c r="CF761"/>
  <c r="CE761"/>
  <c r="CD761"/>
  <c r="CC761"/>
  <c r="CB761"/>
  <c r="CA761"/>
  <c r="BZ761"/>
  <c r="BY761"/>
  <c r="BX761"/>
  <c r="BW761"/>
  <c r="BV761"/>
  <c r="BU761"/>
  <c r="BT761"/>
  <c r="BS761"/>
  <c r="BR761"/>
  <c r="BQ761"/>
  <c r="BP761"/>
  <c r="BO761"/>
  <c r="BN761"/>
  <c r="DU760"/>
  <c r="DT760"/>
  <c r="DS760"/>
  <c r="DR760"/>
  <c r="DQ760"/>
  <c r="DP760"/>
  <c r="DO760"/>
  <c r="DN760"/>
  <c r="DM760"/>
  <c r="DL760"/>
  <c r="DK760"/>
  <c r="DJ760"/>
  <c r="DI760"/>
  <c r="DH760"/>
  <c r="DG760"/>
  <c r="DF760"/>
  <c r="DE760"/>
  <c r="DD760"/>
  <c r="DC760"/>
  <c r="DB760"/>
  <c r="DA760"/>
  <c r="CZ760"/>
  <c r="CY760"/>
  <c r="CX760"/>
  <c r="CW760"/>
  <c r="CV760"/>
  <c r="CU760"/>
  <c r="CT760"/>
  <c r="CS760"/>
  <c r="CR760"/>
  <c r="CQ760"/>
  <c r="CP760"/>
  <c r="CO760"/>
  <c r="CN760"/>
  <c r="CM760"/>
  <c r="CL760"/>
  <c r="CK760"/>
  <c r="CJ760"/>
  <c r="CI760"/>
  <c r="CH760"/>
  <c r="CG760"/>
  <c r="CF760"/>
  <c r="CE760"/>
  <c r="CD760"/>
  <c r="CC760"/>
  <c r="CB760"/>
  <c r="CA760"/>
  <c r="BZ760"/>
  <c r="BY760"/>
  <c r="BX760"/>
  <c r="BW760"/>
  <c r="BV760"/>
  <c r="BU760"/>
  <c r="BT760"/>
  <c r="BS760"/>
  <c r="BR760"/>
  <c r="BQ760"/>
  <c r="BP760"/>
  <c r="BO760"/>
  <c r="BN760"/>
  <c r="DU759"/>
  <c r="DT759"/>
  <c r="DS759"/>
  <c r="DR759"/>
  <c r="DQ759"/>
  <c r="DP759"/>
  <c r="DO759"/>
  <c r="DN759"/>
  <c r="DM759"/>
  <c r="DL759"/>
  <c r="DK759"/>
  <c r="DJ759"/>
  <c r="DI759"/>
  <c r="DH759"/>
  <c r="DG759"/>
  <c r="DF759"/>
  <c r="DE759"/>
  <c r="DD759"/>
  <c r="DC759"/>
  <c r="DB759"/>
  <c r="DA759"/>
  <c r="CZ759"/>
  <c r="CY759"/>
  <c r="CX759"/>
  <c r="CW759"/>
  <c r="CV759"/>
  <c r="CU759"/>
  <c r="CT759"/>
  <c r="CS759"/>
  <c r="CR759"/>
  <c r="CQ759"/>
  <c r="CP759"/>
  <c r="CO759"/>
  <c r="CN759"/>
  <c r="CM759"/>
  <c r="CL759"/>
  <c r="CK759"/>
  <c r="CJ759"/>
  <c r="CI759"/>
  <c r="CH759"/>
  <c r="CG759"/>
  <c r="CF759"/>
  <c r="CE759"/>
  <c r="CD759"/>
  <c r="CC759"/>
  <c r="CB759"/>
  <c r="CA759"/>
  <c r="BZ759"/>
  <c r="BY759"/>
  <c r="BX759"/>
  <c r="BW759"/>
  <c r="BV759"/>
  <c r="BU759"/>
  <c r="BT759"/>
  <c r="BS759"/>
  <c r="BR759"/>
  <c r="BQ759"/>
  <c r="BP759"/>
  <c r="BO759"/>
  <c r="BN759"/>
  <c r="DU758"/>
  <c r="DT758"/>
  <c r="DS758"/>
  <c r="DR758"/>
  <c r="DQ758"/>
  <c r="DP758"/>
  <c r="DO758"/>
  <c r="DN758"/>
  <c r="DM758"/>
  <c r="DL758"/>
  <c r="DK758"/>
  <c r="DJ758"/>
  <c r="DI758"/>
  <c r="DH758"/>
  <c r="DG758"/>
  <c r="DF758"/>
  <c r="DE758"/>
  <c r="DD758"/>
  <c r="DC758"/>
  <c r="DB758"/>
  <c r="DA758"/>
  <c r="CZ758"/>
  <c r="CY758"/>
  <c r="CX758"/>
  <c r="CW758"/>
  <c r="CV758"/>
  <c r="CU758"/>
  <c r="CT758"/>
  <c r="CS758"/>
  <c r="CR758"/>
  <c r="CQ758"/>
  <c r="CP758"/>
  <c r="CO758"/>
  <c r="CN758"/>
  <c r="CM758"/>
  <c r="CL758"/>
  <c r="CK758"/>
  <c r="CJ758"/>
  <c r="CI758"/>
  <c r="CH758"/>
  <c r="CG758"/>
  <c r="CF758"/>
  <c r="CE758"/>
  <c r="CD758"/>
  <c r="CC758"/>
  <c r="CB758"/>
  <c r="CA758"/>
  <c r="BZ758"/>
  <c r="BY758"/>
  <c r="BX758"/>
  <c r="BW758"/>
  <c r="BV758"/>
  <c r="BU758"/>
  <c r="BT758"/>
  <c r="BS758"/>
  <c r="BR758"/>
  <c r="BQ758"/>
  <c r="BP758"/>
  <c r="BO758"/>
  <c r="BN758"/>
  <c r="DU757"/>
  <c r="DT757"/>
  <c r="DS757"/>
  <c r="DR757"/>
  <c r="DQ757"/>
  <c r="DP757"/>
  <c r="DO757"/>
  <c r="DN757"/>
  <c r="DM757"/>
  <c r="DL757"/>
  <c r="DK757"/>
  <c r="DJ757"/>
  <c r="DI757"/>
  <c r="DH757"/>
  <c r="DG757"/>
  <c r="DF757"/>
  <c r="DE757"/>
  <c r="DD757"/>
  <c r="DC757"/>
  <c r="DB757"/>
  <c r="DA757"/>
  <c r="CZ757"/>
  <c r="CY757"/>
  <c r="CX757"/>
  <c r="CW757"/>
  <c r="CV757"/>
  <c r="CU757"/>
  <c r="CT757"/>
  <c r="CS757"/>
  <c r="CR757"/>
  <c r="CQ757"/>
  <c r="CP757"/>
  <c r="CO757"/>
  <c r="CN757"/>
  <c r="CM757"/>
  <c r="CL757"/>
  <c r="CK757"/>
  <c r="CJ757"/>
  <c r="CI757"/>
  <c r="CH757"/>
  <c r="CG757"/>
  <c r="CF757"/>
  <c r="CE757"/>
  <c r="CD757"/>
  <c r="CC757"/>
  <c r="CB757"/>
  <c r="CA757"/>
  <c r="BZ757"/>
  <c r="BY757"/>
  <c r="BX757"/>
  <c r="BW757"/>
  <c r="BV757"/>
  <c r="BU757"/>
  <c r="BT757"/>
  <c r="BS757"/>
  <c r="BR757"/>
  <c r="BQ757"/>
  <c r="BP757"/>
  <c r="BO757"/>
  <c r="BN757"/>
  <c r="DU756"/>
  <c r="DT756"/>
  <c r="DS756"/>
  <c r="DR756"/>
  <c r="DQ756"/>
  <c r="DP756"/>
  <c r="DO756"/>
  <c r="DN756"/>
  <c r="DM756"/>
  <c r="DL756"/>
  <c r="DK756"/>
  <c r="DJ756"/>
  <c r="DI756"/>
  <c r="DH756"/>
  <c r="DG756"/>
  <c r="DF756"/>
  <c r="DE756"/>
  <c r="DD756"/>
  <c r="DC756"/>
  <c r="DB756"/>
  <c r="DA756"/>
  <c r="CZ756"/>
  <c r="CY756"/>
  <c r="CX756"/>
  <c r="CW756"/>
  <c r="CV756"/>
  <c r="CU756"/>
  <c r="CT756"/>
  <c r="CS756"/>
  <c r="CR756"/>
  <c r="CQ756"/>
  <c r="CP756"/>
  <c r="CO756"/>
  <c r="CN756"/>
  <c r="CM756"/>
  <c r="CL756"/>
  <c r="CK756"/>
  <c r="CJ756"/>
  <c r="CI756"/>
  <c r="CH756"/>
  <c r="CG756"/>
  <c r="CF756"/>
  <c r="CE756"/>
  <c r="CD756"/>
  <c r="CC756"/>
  <c r="CB756"/>
  <c r="CA756"/>
  <c r="BZ756"/>
  <c r="BY756"/>
  <c r="BX756"/>
  <c r="BW756"/>
  <c r="BV756"/>
  <c r="BU756"/>
  <c r="BT756"/>
  <c r="BS756"/>
  <c r="BR756"/>
  <c r="BQ756"/>
  <c r="BP756"/>
  <c r="BO756"/>
  <c r="BN756"/>
  <c r="DU755"/>
  <c r="DT755"/>
  <c r="DS755"/>
  <c r="DR755"/>
  <c r="DQ755"/>
  <c r="DP755"/>
  <c r="DO755"/>
  <c r="DN755"/>
  <c r="DM755"/>
  <c r="DL755"/>
  <c r="DK755"/>
  <c r="DJ755"/>
  <c r="DI755"/>
  <c r="DH755"/>
  <c r="DG755"/>
  <c r="DF755"/>
  <c r="DE755"/>
  <c r="DD755"/>
  <c r="DC755"/>
  <c r="DB755"/>
  <c r="DA755"/>
  <c r="CZ755"/>
  <c r="CY755"/>
  <c r="CX755"/>
  <c r="CW755"/>
  <c r="CV755"/>
  <c r="CU755"/>
  <c r="CT755"/>
  <c r="CS755"/>
  <c r="CR755"/>
  <c r="CQ755"/>
  <c r="CP755"/>
  <c r="CO755"/>
  <c r="CN755"/>
  <c r="CM755"/>
  <c r="CL755"/>
  <c r="CK755"/>
  <c r="CJ755"/>
  <c r="CI755"/>
  <c r="CH755"/>
  <c r="CG755"/>
  <c r="CF755"/>
  <c r="CE755"/>
  <c r="CD755"/>
  <c r="CC755"/>
  <c r="CB755"/>
  <c r="CA755"/>
  <c r="BZ755"/>
  <c r="BY755"/>
  <c r="BX755"/>
  <c r="BW755"/>
  <c r="BV755"/>
  <c r="BU755"/>
  <c r="BT755"/>
  <c r="BS755"/>
  <c r="BR755"/>
  <c r="BQ755"/>
  <c r="BP755"/>
  <c r="BO755"/>
  <c r="BN755"/>
  <c r="DU754"/>
  <c r="DT754"/>
  <c r="DS754"/>
  <c r="DR754"/>
  <c r="DQ754"/>
  <c r="DP754"/>
  <c r="DO754"/>
  <c r="DN754"/>
  <c r="DM754"/>
  <c r="DL754"/>
  <c r="DK754"/>
  <c r="DJ754"/>
  <c r="DI754"/>
  <c r="DH754"/>
  <c r="DG754"/>
  <c r="DF754"/>
  <c r="DE754"/>
  <c r="DD754"/>
  <c r="DC754"/>
  <c r="DB754"/>
  <c r="DA754"/>
  <c r="CZ754"/>
  <c r="CY754"/>
  <c r="CX754"/>
  <c r="CW754"/>
  <c r="CV754"/>
  <c r="CU754"/>
  <c r="CT754"/>
  <c r="CS754"/>
  <c r="CR754"/>
  <c r="CQ754"/>
  <c r="CP754"/>
  <c r="CO754"/>
  <c r="CN754"/>
  <c r="CM754"/>
  <c r="CL754"/>
  <c r="CK754"/>
  <c r="CJ754"/>
  <c r="CI754"/>
  <c r="CH754"/>
  <c r="CG754"/>
  <c r="CF754"/>
  <c r="CE754"/>
  <c r="CD754"/>
  <c r="CC754"/>
  <c r="CB754"/>
  <c r="CA754"/>
  <c r="BZ754"/>
  <c r="BY754"/>
  <c r="BX754"/>
  <c r="BW754"/>
  <c r="BV754"/>
  <c r="BU754"/>
  <c r="BT754"/>
  <c r="BS754"/>
  <c r="BR754"/>
  <c r="BQ754"/>
  <c r="BP754"/>
  <c r="BO754"/>
  <c r="BN754"/>
  <c r="A754"/>
  <c r="DU753"/>
  <c r="DT753"/>
  <c r="DS753"/>
  <c r="DR753"/>
  <c r="DQ753"/>
  <c r="DP753"/>
  <c r="DO753"/>
  <c r="DN753"/>
  <c r="DM753"/>
  <c r="DL753"/>
  <c r="DK753"/>
  <c r="DJ753"/>
  <c r="DI753"/>
  <c r="DH753"/>
  <c r="DG753"/>
  <c r="DF753"/>
  <c r="DE753"/>
  <c r="DD753"/>
  <c r="DC753"/>
  <c r="DB753"/>
  <c r="DA753"/>
  <c r="CZ753"/>
  <c r="CY753"/>
  <c r="CX753"/>
  <c r="CW753"/>
  <c r="CV753"/>
  <c r="CU753"/>
  <c r="CT753"/>
  <c r="CS753"/>
  <c r="CR753"/>
  <c r="CQ753"/>
  <c r="CP753"/>
  <c r="CO753"/>
  <c r="CN753"/>
  <c r="CM753"/>
  <c r="CL753"/>
  <c r="CK753"/>
  <c r="CJ753"/>
  <c r="CI753"/>
  <c r="CH753"/>
  <c r="CG753"/>
  <c r="CF753"/>
  <c r="CE753"/>
  <c r="CD753"/>
  <c r="CC753"/>
  <c r="CB753"/>
  <c r="CA753"/>
  <c r="BZ753"/>
  <c r="BY753"/>
  <c r="BX753"/>
  <c r="BW753"/>
  <c r="BV753"/>
  <c r="BU753"/>
  <c r="BT753"/>
  <c r="BS753"/>
  <c r="BR753"/>
  <c r="BQ753"/>
  <c r="BP753"/>
  <c r="BO753"/>
  <c r="BN753"/>
  <c r="DU752"/>
  <c r="DT752"/>
  <c r="DS752"/>
  <c r="DR752"/>
  <c r="DQ752"/>
  <c r="DP752"/>
  <c r="DO752"/>
  <c r="DN752"/>
  <c r="DM752"/>
  <c r="DL752"/>
  <c r="DK752"/>
  <c r="DJ752"/>
  <c r="DI752"/>
  <c r="DH752"/>
  <c r="DG752"/>
  <c r="DF752"/>
  <c r="DE752"/>
  <c r="DD752"/>
  <c r="DC752"/>
  <c r="DB752"/>
  <c r="DA752"/>
  <c r="CZ752"/>
  <c r="CY752"/>
  <c r="CX752"/>
  <c r="CW752"/>
  <c r="CV752"/>
  <c r="CU752"/>
  <c r="CT752"/>
  <c r="CS752"/>
  <c r="CR752"/>
  <c r="CQ752"/>
  <c r="CP752"/>
  <c r="CO752"/>
  <c r="CN752"/>
  <c r="CM752"/>
  <c r="CL752"/>
  <c r="CK752"/>
  <c r="CJ752"/>
  <c r="CI752"/>
  <c r="CH752"/>
  <c r="CG752"/>
  <c r="CF752"/>
  <c r="CE752"/>
  <c r="CD752"/>
  <c r="CC752"/>
  <c r="CB752"/>
  <c r="CA752"/>
  <c r="BZ752"/>
  <c r="BY752"/>
  <c r="BX752"/>
  <c r="BW752"/>
  <c r="BV752"/>
  <c r="BU752"/>
  <c r="BT752"/>
  <c r="BS752"/>
  <c r="BR752"/>
  <c r="BQ752"/>
  <c r="BP752"/>
  <c r="BO752"/>
  <c r="BN752"/>
  <c r="DU751"/>
  <c r="DT751"/>
  <c r="DS751"/>
  <c r="DR751"/>
  <c r="DQ751"/>
  <c r="DP751"/>
  <c r="DO751"/>
  <c r="DN751"/>
  <c r="DM751"/>
  <c r="DL751"/>
  <c r="DK751"/>
  <c r="DJ751"/>
  <c r="DI751"/>
  <c r="DH751"/>
  <c r="DG751"/>
  <c r="DF751"/>
  <c r="DE751"/>
  <c r="DD751"/>
  <c r="DC751"/>
  <c r="DB751"/>
  <c r="DA751"/>
  <c r="CZ751"/>
  <c r="CY751"/>
  <c r="CX751"/>
  <c r="CW751"/>
  <c r="CV751"/>
  <c r="CU751"/>
  <c r="CT751"/>
  <c r="CS751"/>
  <c r="CR751"/>
  <c r="CQ751"/>
  <c r="CP751"/>
  <c r="CO751"/>
  <c r="CN751"/>
  <c r="CM751"/>
  <c r="CL751"/>
  <c r="CK751"/>
  <c r="CJ751"/>
  <c r="CI751"/>
  <c r="CH751"/>
  <c r="CG751"/>
  <c r="CF751"/>
  <c r="CE751"/>
  <c r="CD751"/>
  <c r="CC751"/>
  <c r="CB751"/>
  <c r="CA751"/>
  <c r="BZ751"/>
  <c r="BY751"/>
  <c r="BX751"/>
  <c r="BW751"/>
  <c r="BV751"/>
  <c r="BU751"/>
  <c r="BT751"/>
  <c r="BS751"/>
  <c r="BR751"/>
  <c r="BQ751"/>
  <c r="BP751"/>
  <c r="BO751"/>
  <c r="BN751"/>
  <c r="DU750"/>
  <c r="DT750"/>
  <c r="DS750"/>
  <c r="DR750"/>
  <c r="DQ750"/>
  <c r="DP750"/>
  <c r="DO750"/>
  <c r="DN750"/>
  <c r="DM750"/>
  <c r="DL750"/>
  <c r="DK750"/>
  <c r="DJ750"/>
  <c r="DI750"/>
  <c r="DH750"/>
  <c r="DG750"/>
  <c r="DF750"/>
  <c r="DE750"/>
  <c r="DD750"/>
  <c r="DC750"/>
  <c r="DB750"/>
  <c r="DA750"/>
  <c r="CZ750"/>
  <c r="CY750"/>
  <c r="CX750"/>
  <c r="CW750"/>
  <c r="CV750"/>
  <c r="CU750"/>
  <c r="CT750"/>
  <c r="CS750"/>
  <c r="CR750"/>
  <c r="CQ750"/>
  <c r="CP750"/>
  <c r="CO750"/>
  <c r="CN750"/>
  <c r="CM750"/>
  <c r="CL750"/>
  <c r="CK750"/>
  <c r="CJ750"/>
  <c r="CI750"/>
  <c r="CH750"/>
  <c r="CG750"/>
  <c r="CF750"/>
  <c r="CE750"/>
  <c r="CD750"/>
  <c r="CC750"/>
  <c r="CB750"/>
  <c r="CA750"/>
  <c r="BZ750"/>
  <c r="BY750"/>
  <c r="BX750"/>
  <c r="BW750"/>
  <c r="BV750"/>
  <c r="BU750"/>
  <c r="BT750"/>
  <c r="BS750"/>
  <c r="BR750"/>
  <c r="BQ750"/>
  <c r="BP750"/>
  <c r="BO750"/>
  <c r="BN750"/>
  <c r="DU749"/>
  <c r="DT749"/>
  <c r="DS749"/>
  <c r="DR749"/>
  <c r="DQ749"/>
  <c r="DP749"/>
  <c r="DO749"/>
  <c r="DN749"/>
  <c r="DM749"/>
  <c r="DL749"/>
  <c r="DK749"/>
  <c r="DJ749"/>
  <c r="DI749"/>
  <c r="DH749"/>
  <c r="DG749"/>
  <c r="DF749"/>
  <c r="DE749"/>
  <c r="DD749"/>
  <c r="DC749"/>
  <c r="DB749"/>
  <c r="DA749"/>
  <c r="CZ749"/>
  <c r="CY749"/>
  <c r="CX749"/>
  <c r="CW749"/>
  <c r="CV749"/>
  <c r="CU749"/>
  <c r="CT749"/>
  <c r="CS749"/>
  <c r="CR749"/>
  <c r="CQ749"/>
  <c r="CP749"/>
  <c r="CO749"/>
  <c r="CN749"/>
  <c r="CM749"/>
  <c r="CL749"/>
  <c r="CK749"/>
  <c r="CJ749"/>
  <c r="CI749"/>
  <c r="CH749"/>
  <c r="CG749"/>
  <c r="CF749"/>
  <c r="CE749"/>
  <c r="CD749"/>
  <c r="CC749"/>
  <c r="CB749"/>
  <c r="CA749"/>
  <c r="BZ749"/>
  <c r="BY749"/>
  <c r="BX749"/>
  <c r="BW749"/>
  <c r="BV749"/>
  <c r="BU749"/>
  <c r="BT749"/>
  <c r="BS749"/>
  <c r="BR749"/>
  <c r="BQ749"/>
  <c r="BP749"/>
  <c r="BO749"/>
  <c r="BN749"/>
  <c r="DU748"/>
  <c r="DT748"/>
  <c r="DS748"/>
  <c r="DR748"/>
  <c r="DQ748"/>
  <c r="DP748"/>
  <c r="DO748"/>
  <c r="DN748"/>
  <c r="DM748"/>
  <c r="DL748"/>
  <c r="DK748"/>
  <c r="DJ748"/>
  <c r="DI748"/>
  <c r="DH748"/>
  <c r="DG748"/>
  <c r="DF748"/>
  <c r="DE748"/>
  <c r="DD748"/>
  <c r="DC748"/>
  <c r="DB748"/>
  <c r="DA748"/>
  <c r="CZ748"/>
  <c r="CY748"/>
  <c r="CX748"/>
  <c r="CW748"/>
  <c r="CV748"/>
  <c r="CU748"/>
  <c r="CT748"/>
  <c r="CS748"/>
  <c r="CR748"/>
  <c r="CQ748"/>
  <c r="CP748"/>
  <c r="CO748"/>
  <c r="CN748"/>
  <c r="CM748"/>
  <c r="CL748"/>
  <c r="CK748"/>
  <c r="CJ748"/>
  <c r="CI748"/>
  <c r="CH748"/>
  <c r="CG748"/>
  <c r="CF748"/>
  <c r="CE748"/>
  <c r="CD748"/>
  <c r="CC748"/>
  <c r="CB748"/>
  <c r="CA748"/>
  <c r="BZ748"/>
  <c r="BY748"/>
  <c r="BX748"/>
  <c r="BW748"/>
  <c r="BV748"/>
  <c r="BU748"/>
  <c r="BT748"/>
  <c r="BS748"/>
  <c r="BR748"/>
  <c r="BQ748"/>
  <c r="BP748"/>
  <c r="BO748"/>
  <c r="BN748"/>
  <c r="DU747"/>
  <c r="DT747"/>
  <c r="DS747"/>
  <c r="DR747"/>
  <c r="DQ747"/>
  <c r="DP747"/>
  <c r="DO747"/>
  <c r="DN747"/>
  <c r="DM747"/>
  <c r="DL747"/>
  <c r="DK747"/>
  <c r="DJ747"/>
  <c r="DI747"/>
  <c r="DH747"/>
  <c r="DG747"/>
  <c r="DF747"/>
  <c r="DE747"/>
  <c r="DD747"/>
  <c r="DC747"/>
  <c r="DB747"/>
  <c r="DA747"/>
  <c r="CZ747"/>
  <c r="CY747"/>
  <c r="CX747"/>
  <c r="CW747"/>
  <c r="CV747"/>
  <c r="CU747"/>
  <c r="CT747"/>
  <c r="CS747"/>
  <c r="CR747"/>
  <c r="CQ747"/>
  <c r="CP747"/>
  <c r="CO747"/>
  <c r="CN747"/>
  <c r="CM747"/>
  <c r="CL747"/>
  <c r="CK747"/>
  <c r="CJ747"/>
  <c r="CI747"/>
  <c r="CH747"/>
  <c r="CG747"/>
  <c r="CF747"/>
  <c r="CE747"/>
  <c r="CD747"/>
  <c r="CC747"/>
  <c r="CB747"/>
  <c r="CA747"/>
  <c r="BZ747"/>
  <c r="BY747"/>
  <c r="BX747"/>
  <c r="BW747"/>
  <c r="BV747"/>
  <c r="BU747"/>
  <c r="BT747"/>
  <c r="BS747"/>
  <c r="BR747"/>
  <c r="BQ747"/>
  <c r="BP747"/>
  <c r="BO747"/>
  <c r="BN747"/>
  <c r="DU746"/>
  <c r="DT746"/>
  <c r="DS746"/>
  <c r="DR746"/>
  <c r="DQ746"/>
  <c r="DP746"/>
  <c r="DO746"/>
  <c r="DN746"/>
  <c r="DM746"/>
  <c r="DL746"/>
  <c r="DK746"/>
  <c r="DJ746"/>
  <c r="DI746"/>
  <c r="DH746"/>
  <c r="DG746"/>
  <c r="DF746"/>
  <c r="DE746"/>
  <c r="DD746"/>
  <c r="DC746"/>
  <c r="DB746"/>
  <c r="DA746"/>
  <c r="CZ746"/>
  <c r="CY746"/>
  <c r="CX746"/>
  <c r="CW746"/>
  <c r="CV746"/>
  <c r="CU746"/>
  <c r="CT746"/>
  <c r="CS746"/>
  <c r="CR746"/>
  <c r="CQ746"/>
  <c r="CP746"/>
  <c r="CO746"/>
  <c r="CN746"/>
  <c r="CM746"/>
  <c r="CL746"/>
  <c r="CK746"/>
  <c r="CJ746"/>
  <c r="CI746"/>
  <c r="CH746"/>
  <c r="CG746"/>
  <c r="CF746"/>
  <c r="CE746"/>
  <c r="CD746"/>
  <c r="CC746"/>
  <c r="CB746"/>
  <c r="CA746"/>
  <c r="BZ746"/>
  <c r="BY746"/>
  <c r="BX746"/>
  <c r="BW746"/>
  <c r="BV746"/>
  <c r="BU746"/>
  <c r="BT746"/>
  <c r="BS746"/>
  <c r="BR746"/>
  <c r="BQ746"/>
  <c r="BP746"/>
  <c r="BO746"/>
  <c r="BN746"/>
  <c r="DU745"/>
  <c r="DT745"/>
  <c r="DS745"/>
  <c r="DR745"/>
  <c r="DQ745"/>
  <c r="DP745"/>
  <c r="DO745"/>
  <c r="DN745"/>
  <c r="DM745"/>
  <c r="DL745"/>
  <c r="DK745"/>
  <c r="DJ745"/>
  <c r="DI745"/>
  <c r="DH745"/>
  <c r="DG745"/>
  <c r="DF745"/>
  <c r="DE745"/>
  <c r="DD745"/>
  <c r="DC745"/>
  <c r="DB745"/>
  <c r="DA745"/>
  <c r="CZ745"/>
  <c r="CY745"/>
  <c r="CX745"/>
  <c r="CW745"/>
  <c r="CV745"/>
  <c r="CU745"/>
  <c r="CT745"/>
  <c r="CS745"/>
  <c r="CR745"/>
  <c r="CQ745"/>
  <c r="CP745"/>
  <c r="CO745"/>
  <c r="CN745"/>
  <c r="CM745"/>
  <c r="CL745"/>
  <c r="CK745"/>
  <c r="CJ745"/>
  <c r="CI745"/>
  <c r="CH745"/>
  <c r="CG745"/>
  <c r="CF745"/>
  <c r="CE745"/>
  <c r="CD745"/>
  <c r="CC745"/>
  <c r="CB745"/>
  <c r="CA745"/>
  <c r="BZ745"/>
  <c r="BY745"/>
  <c r="BX745"/>
  <c r="BW745"/>
  <c r="BV745"/>
  <c r="BU745"/>
  <c r="BT745"/>
  <c r="BS745"/>
  <c r="BR745"/>
  <c r="BQ745"/>
  <c r="BP745"/>
  <c r="BO745"/>
  <c r="BN745"/>
  <c r="DU744"/>
  <c r="DT744"/>
  <c r="DS744"/>
  <c r="DR744"/>
  <c r="DQ744"/>
  <c r="DP744"/>
  <c r="DO744"/>
  <c r="DN744"/>
  <c r="DM744"/>
  <c r="DL744"/>
  <c r="DK744"/>
  <c r="DJ744"/>
  <c r="DI744"/>
  <c r="DH744"/>
  <c r="DG744"/>
  <c r="DF744"/>
  <c r="DE744"/>
  <c r="DD744"/>
  <c r="DC744"/>
  <c r="DB744"/>
  <c r="DA744"/>
  <c r="CZ744"/>
  <c r="CY744"/>
  <c r="CX744"/>
  <c r="CW744"/>
  <c r="CV744"/>
  <c r="CU744"/>
  <c r="CT744"/>
  <c r="CS744"/>
  <c r="CR744"/>
  <c r="CQ744"/>
  <c r="CP744"/>
  <c r="CO744"/>
  <c r="CN744"/>
  <c r="CM744"/>
  <c r="CL744"/>
  <c r="CK744"/>
  <c r="CJ744"/>
  <c r="CI744"/>
  <c r="CH744"/>
  <c r="CG744"/>
  <c r="CF744"/>
  <c r="CE744"/>
  <c r="CD744"/>
  <c r="CC744"/>
  <c r="CB744"/>
  <c r="CA744"/>
  <c r="BZ744"/>
  <c r="BY744"/>
  <c r="BX744"/>
  <c r="BW744"/>
  <c r="BV744"/>
  <c r="BU744"/>
  <c r="BT744"/>
  <c r="BS744"/>
  <c r="BR744"/>
  <c r="BQ744"/>
  <c r="BP744"/>
  <c r="BO744"/>
  <c r="BN744"/>
  <c r="DU743"/>
  <c r="DT743"/>
  <c r="DS743"/>
  <c r="DR743"/>
  <c r="DQ743"/>
  <c r="DP743"/>
  <c r="DO743"/>
  <c r="DN743"/>
  <c r="DM743"/>
  <c r="DL743"/>
  <c r="DK743"/>
  <c r="DJ743"/>
  <c r="DI743"/>
  <c r="DH743"/>
  <c r="DG743"/>
  <c r="DF743"/>
  <c r="DE743"/>
  <c r="DD743"/>
  <c r="DC743"/>
  <c r="DB743"/>
  <c r="DA743"/>
  <c r="CZ743"/>
  <c r="CY743"/>
  <c r="CX743"/>
  <c r="CW743"/>
  <c r="CV743"/>
  <c r="CU743"/>
  <c r="CT743"/>
  <c r="CS743"/>
  <c r="CR743"/>
  <c r="CQ743"/>
  <c r="CP743"/>
  <c r="CO743"/>
  <c r="CN743"/>
  <c r="CM743"/>
  <c r="CL743"/>
  <c r="CK743"/>
  <c r="CJ743"/>
  <c r="CI743"/>
  <c r="CH743"/>
  <c r="CG743"/>
  <c r="CF743"/>
  <c r="CE743"/>
  <c r="CD743"/>
  <c r="CC743"/>
  <c r="CB743"/>
  <c r="CA743"/>
  <c r="BZ743"/>
  <c r="BY743"/>
  <c r="BX743"/>
  <c r="BW743"/>
  <c r="BV743"/>
  <c r="BU743"/>
  <c r="BT743"/>
  <c r="BS743"/>
  <c r="BR743"/>
  <c r="BQ743"/>
  <c r="BP743"/>
  <c r="BO743"/>
  <c r="BN743"/>
  <c r="DU742"/>
  <c r="DT742"/>
  <c r="DS742"/>
  <c r="DR742"/>
  <c r="DQ742"/>
  <c r="DP742"/>
  <c r="DO742"/>
  <c r="DN742"/>
  <c r="DM742"/>
  <c r="DL742"/>
  <c r="DK742"/>
  <c r="DJ742"/>
  <c r="DI742"/>
  <c r="DH742"/>
  <c r="DG742"/>
  <c r="DF742"/>
  <c r="DE742"/>
  <c r="DD742"/>
  <c r="DC742"/>
  <c r="DB742"/>
  <c r="DA742"/>
  <c r="CZ742"/>
  <c r="CY742"/>
  <c r="CX742"/>
  <c r="CW742"/>
  <c r="CV742"/>
  <c r="CU742"/>
  <c r="CT742"/>
  <c r="CS742"/>
  <c r="CR742"/>
  <c r="CQ742"/>
  <c r="CP742"/>
  <c r="CO742"/>
  <c r="CN742"/>
  <c r="CM742"/>
  <c r="CL742"/>
  <c r="CK742"/>
  <c r="CJ742"/>
  <c r="CI742"/>
  <c r="CH742"/>
  <c r="CG742"/>
  <c r="CF742"/>
  <c r="CE742"/>
  <c r="CD742"/>
  <c r="CC742"/>
  <c r="CB742"/>
  <c r="CA742"/>
  <c r="BZ742"/>
  <c r="BY742"/>
  <c r="BX742"/>
  <c r="BW742"/>
  <c r="BV742"/>
  <c r="BU742"/>
  <c r="BT742"/>
  <c r="BS742"/>
  <c r="BR742"/>
  <c r="BQ742"/>
  <c r="BP742"/>
  <c r="BO742"/>
  <c r="BN742"/>
  <c r="DU741"/>
  <c r="DT741"/>
  <c r="DS741"/>
  <c r="DR741"/>
  <c r="DQ741"/>
  <c r="DP741"/>
  <c r="DO741"/>
  <c r="DN741"/>
  <c r="DM741"/>
  <c r="DL741"/>
  <c r="DK741"/>
  <c r="DJ741"/>
  <c r="DI741"/>
  <c r="DH741"/>
  <c r="DG741"/>
  <c r="DF741"/>
  <c r="DE741"/>
  <c r="DD741"/>
  <c r="DC741"/>
  <c r="DB741"/>
  <c r="DA741"/>
  <c r="CZ741"/>
  <c r="CY741"/>
  <c r="CX741"/>
  <c r="CW741"/>
  <c r="CV741"/>
  <c r="CU741"/>
  <c r="CT741"/>
  <c r="CS741"/>
  <c r="CR741"/>
  <c r="CQ741"/>
  <c r="CP741"/>
  <c r="CO741"/>
  <c r="CN741"/>
  <c r="CM741"/>
  <c r="CL741"/>
  <c r="CK741"/>
  <c r="CJ741"/>
  <c r="CI741"/>
  <c r="CH741"/>
  <c r="CG741"/>
  <c r="CF741"/>
  <c r="CE741"/>
  <c r="CD741"/>
  <c r="CC741"/>
  <c r="CB741"/>
  <c r="CA741"/>
  <c r="BZ741"/>
  <c r="BY741"/>
  <c r="BX741"/>
  <c r="BW741"/>
  <c r="BV741"/>
  <c r="BU741"/>
  <c r="BT741"/>
  <c r="BS741"/>
  <c r="BR741"/>
  <c r="BQ741"/>
  <c r="BP741"/>
  <c r="BO741"/>
  <c r="BN741"/>
  <c r="DU740"/>
  <c r="DT740"/>
  <c r="DS740"/>
  <c r="DR740"/>
  <c r="DQ740"/>
  <c r="DP740"/>
  <c r="DO740"/>
  <c r="DN740"/>
  <c r="DM740"/>
  <c r="DL740"/>
  <c r="DK740"/>
  <c r="DJ740"/>
  <c r="DI740"/>
  <c r="DH740"/>
  <c r="DG740"/>
  <c r="DF740"/>
  <c r="DE740"/>
  <c r="DD740"/>
  <c r="DC740"/>
  <c r="DB740"/>
  <c r="DA740"/>
  <c r="CZ740"/>
  <c r="CY740"/>
  <c r="CX740"/>
  <c r="CW740"/>
  <c r="CV740"/>
  <c r="CU740"/>
  <c r="CT740"/>
  <c r="CS740"/>
  <c r="CR740"/>
  <c r="CQ740"/>
  <c r="CP740"/>
  <c r="CO740"/>
  <c r="CN740"/>
  <c r="CM740"/>
  <c r="CL740"/>
  <c r="CK740"/>
  <c r="CJ740"/>
  <c r="CI740"/>
  <c r="CH740"/>
  <c r="CG740"/>
  <c r="CF740"/>
  <c r="CE740"/>
  <c r="CD740"/>
  <c r="CC740"/>
  <c r="CB740"/>
  <c r="CA740"/>
  <c r="BZ740"/>
  <c r="BY740"/>
  <c r="BX740"/>
  <c r="BW740"/>
  <c r="BV740"/>
  <c r="BU740"/>
  <c r="BT740"/>
  <c r="BS740"/>
  <c r="BR740"/>
  <c r="BQ740"/>
  <c r="BP740"/>
  <c r="BO740"/>
  <c r="BN740"/>
  <c r="DU739"/>
  <c r="DT739"/>
  <c r="DS739"/>
  <c r="DR739"/>
  <c r="DQ739"/>
  <c r="DP739"/>
  <c r="DO739"/>
  <c r="DN739"/>
  <c r="DM739"/>
  <c r="DL739"/>
  <c r="DK739"/>
  <c r="DJ739"/>
  <c r="DI739"/>
  <c r="DH739"/>
  <c r="DG739"/>
  <c r="DF739"/>
  <c r="DE739"/>
  <c r="DD739"/>
  <c r="DC739"/>
  <c r="DB739"/>
  <c r="DA739"/>
  <c r="CZ739"/>
  <c r="CY739"/>
  <c r="CX739"/>
  <c r="CW739"/>
  <c r="CV739"/>
  <c r="CU739"/>
  <c r="CT739"/>
  <c r="CS739"/>
  <c r="CR739"/>
  <c r="CQ739"/>
  <c r="CP739"/>
  <c r="CO739"/>
  <c r="CN739"/>
  <c r="CM739"/>
  <c r="CL739"/>
  <c r="CK739"/>
  <c r="CJ739"/>
  <c r="CI739"/>
  <c r="CH739"/>
  <c r="CG739"/>
  <c r="CF739"/>
  <c r="CE739"/>
  <c r="CD739"/>
  <c r="CC739"/>
  <c r="CB739"/>
  <c r="CA739"/>
  <c r="BZ739"/>
  <c r="BY739"/>
  <c r="BX739"/>
  <c r="BW739"/>
  <c r="BV739"/>
  <c r="BU739"/>
  <c r="BT739"/>
  <c r="BS739"/>
  <c r="BR739"/>
  <c r="BQ739"/>
  <c r="BP739"/>
  <c r="BO739"/>
  <c r="BN739"/>
  <c r="DU738"/>
  <c r="DT738"/>
  <c r="DS738"/>
  <c r="DR738"/>
  <c r="DQ738"/>
  <c r="DP738"/>
  <c r="DO738"/>
  <c r="DN738"/>
  <c r="DM738"/>
  <c r="DL738"/>
  <c r="DK738"/>
  <c r="DJ738"/>
  <c r="DI738"/>
  <c r="DH738"/>
  <c r="DG738"/>
  <c r="DF738"/>
  <c r="DE738"/>
  <c r="DD738"/>
  <c r="DC738"/>
  <c r="DB738"/>
  <c r="DA738"/>
  <c r="CZ738"/>
  <c r="CY738"/>
  <c r="CX738"/>
  <c r="CW738"/>
  <c r="CV738"/>
  <c r="CU738"/>
  <c r="CT738"/>
  <c r="CS738"/>
  <c r="CR738"/>
  <c r="CQ738"/>
  <c r="CP738"/>
  <c r="CO738"/>
  <c r="CN738"/>
  <c r="CM738"/>
  <c r="CL738"/>
  <c r="CK738"/>
  <c r="CJ738"/>
  <c r="CI738"/>
  <c r="CH738"/>
  <c r="CG738"/>
  <c r="CF738"/>
  <c r="CE738"/>
  <c r="CD738"/>
  <c r="CC738"/>
  <c r="CB738"/>
  <c r="CA738"/>
  <c r="BZ738"/>
  <c r="BY738"/>
  <c r="BX738"/>
  <c r="BW738"/>
  <c r="BV738"/>
  <c r="BU738"/>
  <c r="BT738"/>
  <c r="BS738"/>
  <c r="BR738"/>
  <c r="BQ738"/>
  <c r="BP738"/>
  <c r="BO738"/>
  <c r="BN738"/>
  <c r="DU737"/>
  <c r="DT737"/>
  <c r="DS737"/>
  <c r="DR737"/>
  <c r="DQ737"/>
  <c r="DP737"/>
  <c r="DO737"/>
  <c r="DN737"/>
  <c r="DM737"/>
  <c r="DL737"/>
  <c r="DK737"/>
  <c r="DJ737"/>
  <c r="DI737"/>
  <c r="DH737"/>
  <c r="DG737"/>
  <c r="DF737"/>
  <c r="DE737"/>
  <c r="DD737"/>
  <c r="DC737"/>
  <c r="DB737"/>
  <c r="DA737"/>
  <c r="CZ737"/>
  <c r="CY737"/>
  <c r="CX737"/>
  <c r="CW737"/>
  <c r="CV737"/>
  <c r="CU737"/>
  <c r="CT737"/>
  <c r="CS737"/>
  <c r="CR737"/>
  <c r="CQ737"/>
  <c r="CP737"/>
  <c r="CO737"/>
  <c r="CN737"/>
  <c r="CM737"/>
  <c r="CL737"/>
  <c r="CK737"/>
  <c r="CJ737"/>
  <c r="CI737"/>
  <c r="CH737"/>
  <c r="CG737"/>
  <c r="CF737"/>
  <c r="CE737"/>
  <c r="CD737"/>
  <c r="CC737"/>
  <c r="CB737"/>
  <c r="CA737"/>
  <c r="BZ737"/>
  <c r="BY737"/>
  <c r="BX737"/>
  <c r="BW737"/>
  <c r="BV737"/>
  <c r="BU737"/>
  <c r="BT737"/>
  <c r="BS737"/>
  <c r="BR737"/>
  <c r="BQ737"/>
  <c r="BP737"/>
  <c r="BO737"/>
  <c r="BN737"/>
  <c r="DU736"/>
  <c r="DT736"/>
  <c r="DS736"/>
  <c r="DR736"/>
  <c r="DQ736"/>
  <c r="DP736"/>
  <c r="DO736"/>
  <c r="DN736"/>
  <c r="DM736"/>
  <c r="DL736"/>
  <c r="DK736"/>
  <c r="DJ736"/>
  <c r="DI736"/>
  <c r="DH736"/>
  <c r="DG736"/>
  <c r="DF736"/>
  <c r="DE736"/>
  <c r="DD736"/>
  <c r="DC736"/>
  <c r="DB736"/>
  <c r="DA736"/>
  <c r="CZ736"/>
  <c r="CY736"/>
  <c r="CX736"/>
  <c r="CW736"/>
  <c r="CV736"/>
  <c r="CU736"/>
  <c r="CT736"/>
  <c r="CS736"/>
  <c r="CR736"/>
  <c r="CQ736"/>
  <c r="CP736"/>
  <c r="CO736"/>
  <c r="CN736"/>
  <c r="CM736"/>
  <c r="CL736"/>
  <c r="CK736"/>
  <c r="CJ736"/>
  <c r="CI736"/>
  <c r="CH736"/>
  <c r="CG736"/>
  <c r="CF736"/>
  <c r="CE736"/>
  <c r="CD736"/>
  <c r="CC736"/>
  <c r="CB736"/>
  <c r="CA736"/>
  <c r="BZ736"/>
  <c r="BY736"/>
  <c r="BX736"/>
  <c r="BW736"/>
  <c r="BV736"/>
  <c r="BU736"/>
  <c r="BT736"/>
  <c r="BS736"/>
  <c r="BR736"/>
  <c r="BQ736"/>
  <c r="BP736"/>
  <c r="BO736"/>
  <c r="BN736"/>
  <c r="DU735"/>
  <c r="DT735"/>
  <c r="DS735"/>
  <c r="DR735"/>
  <c r="DQ735"/>
  <c r="DP735"/>
  <c r="DO735"/>
  <c r="DN735"/>
  <c r="DM735"/>
  <c r="DL735"/>
  <c r="DK735"/>
  <c r="DJ735"/>
  <c r="DI735"/>
  <c r="DH735"/>
  <c r="DG735"/>
  <c r="DF735"/>
  <c r="DE735"/>
  <c r="DD735"/>
  <c r="DC735"/>
  <c r="DB735"/>
  <c r="DA735"/>
  <c r="CZ735"/>
  <c r="CY735"/>
  <c r="CX735"/>
  <c r="CW735"/>
  <c r="CV735"/>
  <c r="CU735"/>
  <c r="CT735"/>
  <c r="CS735"/>
  <c r="CR735"/>
  <c r="CQ735"/>
  <c r="CP735"/>
  <c r="CO735"/>
  <c r="CN735"/>
  <c r="CM735"/>
  <c r="CL735"/>
  <c r="CK735"/>
  <c r="CJ735"/>
  <c r="CI735"/>
  <c r="CH735"/>
  <c r="CG735"/>
  <c r="CF735"/>
  <c r="CE735"/>
  <c r="CD735"/>
  <c r="CC735"/>
  <c r="CB735"/>
  <c r="CA735"/>
  <c r="BZ735"/>
  <c r="BY735"/>
  <c r="BX735"/>
  <c r="BW735"/>
  <c r="BV735"/>
  <c r="BU735"/>
  <c r="BT735"/>
  <c r="BS735"/>
  <c r="BR735"/>
  <c r="BQ735"/>
  <c r="BP735"/>
  <c r="BO735"/>
  <c r="BN735"/>
  <c r="DU734"/>
  <c r="DT734"/>
  <c r="DS734"/>
  <c r="DR734"/>
  <c r="DQ734"/>
  <c r="DP734"/>
  <c r="DO734"/>
  <c r="DN734"/>
  <c r="DM734"/>
  <c r="DL734"/>
  <c r="DK734"/>
  <c r="DJ734"/>
  <c r="DI734"/>
  <c r="DH734"/>
  <c r="DG734"/>
  <c r="DF734"/>
  <c r="DE734"/>
  <c r="DD734"/>
  <c r="DC734"/>
  <c r="DB734"/>
  <c r="DA734"/>
  <c r="CZ734"/>
  <c r="CY734"/>
  <c r="CX734"/>
  <c r="CW734"/>
  <c r="CV734"/>
  <c r="CU734"/>
  <c r="CT734"/>
  <c r="CS734"/>
  <c r="CR734"/>
  <c r="CQ734"/>
  <c r="CP734"/>
  <c r="CO734"/>
  <c r="CN734"/>
  <c r="CM734"/>
  <c r="CL734"/>
  <c r="CK734"/>
  <c r="CJ734"/>
  <c r="CI734"/>
  <c r="CH734"/>
  <c r="CG734"/>
  <c r="CF734"/>
  <c r="CE734"/>
  <c r="CD734"/>
  <c r="CC734"/>
  <c r="CB734"/>
  <c r="CA734"/>
  <c r="BZ734"/>
  <c r="BY734"/>
  <c r="BX734"/>
  <c r="BW734"/>
  <c r="BV734"/>
  <c r="BU734"/>
  <c r="BT734"/>
  <c r="BS734"/>
  <c r="BR734"/>
  <c r="BQ734"/>
  <c r="BP734"/>
  <c r="BO734"/>
  <c r="BN734"/>
  <c r="DU733"/>
  <c r="DT733"/>
  <c r="DS733"/>
  <c r="DR733"/>
  <c r="DQ733"/>
  <c r="DP733"/>
  <c r="DO733"/>
  <c r="DN733"/>
  <c r="DM733"/>
  <c r="DL733"/>
  <c r="DK733"/>
  <c r="DJ733"/>
  <c r="DI733"/>
  <c r="DH733"/>
  <c r="DG733"/>
  <c r="DF733"/>
  <c r="DE733"/>
  <c r="DD733"/>
  <c r="DC733"/>
  <c r="DB733"/>
  <c r="DA733"/>
  <c r="CZ733"/>
  <c r="CY733"/>
  <c r="CX733"/>
  <c r="CW733"/>
  <c r="CV733"/>
  <c r="CU733"/>
  <c r="CT733"/>
  <c r="CS733"/>
  <c r="CR733"/>
  <c r="CQ733"/>
  <c r="CP733"/>
  <c r="CO733"/>
  <c r="CN733"/>
  <c r="CM733"/>
  <c r="CL733"/>
  <c r="CK733"/>
  <c r="CJ733"/>
  <c r="CI733"/>
  <c r="CH733"/>
  <c r="CG733"/>
  <c r="CF733"/>
  <c r="CE733"/>
  <c r="CD733"/>
  <c r="CC733"/>
  <c r="CB733"/>
  <c r="CA733"/>
  <c r="BZ733"/>
  <c r="BY733"/>
  <c r="BX733"/>
  <c r="BW733"/>
  <c r="BV733"/>
  <c r="BU733"/>
  <c r="BT733"/>
  <c r="BS733"/>
  <c r="BR733"/>
  <c r="BQ733"/>
  <c r="BP733"/>
  <c r="BO733"/>
  <c r="BN733"/>
  <c r="DU732"/>
  <c r="DT732"/>
  <c r="DS732"/>
  <c r="DR732"/>
  <c r="DQ732"/>
  <c r="DP732"/>
  <c r="DO732"/>
  <c r="DN732"/>
  <c r="DM732"/>
  <c r="DL732"/>
  <c r="DK732"/>
  <c r="DJ732"/>
  <c r="DI732"/>
  <c r="DH732"/>
  <c r="DG732"/>
  <c r="DF732"/>
  <c r="DE732"/>
  <c r="DD732"/>
  <c r="DC732"/>
  <c r="DB732"/>
  <c r="DA732"/>
  <c r="CZ732"/>
  <c r="CY732"/>
  <c r="CX732"/>
  <c r="CW732"/>
  <c r="CV732"/>
  <c r="CU732"/>
  <c r="CT732"/>
  <c r="CS732"/>
  <c r="CR732"/>
  <c r="CQ732"/>
  <c r="CP732"/>
  <c r="CO732"/>
  <c r="CN732"/>
  <c r="CM732"/>
  <c r="CL732"/>
  <c r="CK732"/>
  <c r="CJ732"/>
  <c r="CI732"/>
  <c r="CH732"/>
  <c r="CG732"/>
  <c r="CF732"/>
  <c r="CE732"/>
  <c r="CD732"/>
  <c r="CC732"/>
  <c r="CB732"/>
  <c r="CA732"/>
  <c r="BZ732"/>
  <c r="BY732"/>
  <c r="BX732"/>
  <c r="BW732"/>
  <c r="BV732"/>
  <c r="BU732"/>
  <c r="BT732"/>
  <c r="BS732"/>
  <c r="BR732"/>
  <c r="BQ732"/>
  <c r="BP732"/>
  <c r="BO732"/>
  <c r="BN732"/>
  <c r="DU731"/>
  <c r="DT731"/>
  <c r="DS731"/>
  <c r="DR731"/>
  <c r="DQ731"/>
  <c r="DP731"/>
  <c r="DO731"/>
  <c r="DN731"/>
  <c r="DM731"/>
  <c r="DL731"/>
  <c r="DK731"/>
  <c r="DJ731"/>
  <c r="DI731"/>
  <c r="DH731"/>
  <c r="DG731"/>
  <c r="DF731"/>
  <c r="DE731"/>
  <c r="DD731"/>
  <c r="DC731"/>
  <c r="DB731"/>
  <c r="DA731"/>
  <c r="CZ731"/>
  <c r="CY731"/>
  <c r="CX731"/>
  <c r="CW731"/>
  <c r="CV731"/>
  <c r="CU731"/>
  <c r="CT731"/>
  <c r="CS731"/>
  <c r="CR731"/>
  <c r="CQ731"/>
  <c r="CP731"/>
  <c r="CO731"/>
  <c r="CN731"/>
  <c r="CM731"/>
  <c r="CL731"/>
  <c r="CK731"/>
  <c r="CJ731"/>
  <c r="CI731"/>
  <c r="CH731"/>
  <c r="CG731"/>
  <c r="CF731"/>
  <c r="CE731"/>
  <c r="CD731"/>
  <c r="CC731"/>
  <c r="CB731"/>
  <c r="CA731"/>
  <c r="BZ731"/>
  <c r="BY731"/>
  <c r="BX731"/>
  <c r="BW731"/>
  <c r="BV731"/>
  <c r="BU731"/>
  <c r="BT731"/>
  <c r="BS731"/>
  <c r="BR731"/>
  <c r="BQ731"/>
  <c r="BP731"/>
  <c r="BO731"/>
  <c r="BN731"/>
  <c r="DU730"/>
  <c r="DT730"/>
  <c r="DS730"/>
  <c r="DR730"/>
  <c r="DQ730"/>
  <c r="DP730"/>
  <c r="DO730"/>
  <c r="DN730"/>
  <c r="DM730"/>
  <c r="DL730"/>
  <c r="DK730"/>
  <c r="DJ730"/>
  <c r="DI730"/>
  <c r="DH730"/>
  <c r="DG730"/>
  <c r="DF730"/>
  <c r="DE730"/>
  <c r="DD730"/>
  <c r="DC730"/>
  <c r="DB730"/>
  <c r="DA730"/>
  <c r="CZ730"/>
  <c r="CY730"/>
  <c r="CX730"/>
  <c r="CW730"/>
  <c r="CV730"/>
  <c r="CU730"/>
  <c r="CT730"/>
  <c r="CS730"/>
  <c r="CR730"/>
  <c r="CQ730"/>
  <c r="CP730"/>
  <c r="CO730"/>
  <c r="CN730"/>
  <c r="CM730"/>
  <c r="CL730"/>
  <c r="CK730"/>
  <c r="CJ730"/>
  <c r="CI730"/>
  <c r="CH730"/>
  <c r="CG730"/>
  <c r="CF730"/>
  <c r="CE730"/>
  <c r="CD730"/>
  <c r="CC730"/>
  <c r="CB730"/>
  <c r="CA730"/>
  <c r="BZ730"/>
  <c r="BY730"/>
  <c r="BX730"/>
  <c r="BW730"/>
  <c r="BV730"/>
  <c r="BU730"/>
  <c r="BT730"/>
  <c r="BS730"/>
  <c r="BR730"/>
  <c r="BQ730"/>
  <c r="BP730"/>
  <c r="BO730"/>
  <c r="BN730"/>
  <c r="DU729"/>
  <c r="DT729"/>
  <c r="DS729"/>
  <c r="DR729"/>
  <c r="DQ729"/>
  <c r="DP729"/>
  <c r="DO729"/>
  <c r="DN729"/>
  <c r="DM729"/>
  <c r="DL729"/>
  <c r="DK729"/>
  <c r="DJ729"/>
  <c r="DI729"/>
  <c r="DH729"/>
  <c r="DG729"/>
  <c r="DF729"/>
  <c r="DE729"/>
  <c r="DD729"/>
  <c r="DC729"/>
  <c r="DB729"/>
  <c r="DA729"/>
  <c r="CZ729"/>
  <c r="CY729"/>
  <c r="CX729"/>
  <c r="CW729"/>
  <c r="CV729"/>
  <c r="CU729"/>
  <c r="CT729"/>
  <c r="CS729"/>
  <c r="CR729"/>
  <c r="CQ729"/>
  <c r="CP729"/>
  <c r="CO729"/>
  <c r="CN729"/>
  <c r="CM729"/>
  <c r="CL729"/>
  <c r="CK729"/>
  <c r="CJ729"/>
  <c r="CI729"/>
  <c r="CH729"/>
  <c r="CG729"/>
  <c r="CF729"/>
  <c r="CE729"/>
  <c r="CD729"/>
  <c r="CC729"/>
  <c r="CB729"/>
  <c r="CA729"/>
  <c r="BZ729"/>
  <c r="BY729"/>
  <c r="BX729"/>
  <c r="BW729"/>
  <c r="BV729"/>
  <c r="BU729"/>
  <c r="BT729"/>
  <c r="BS729"/>
  <c r="BR729"/>
  <c r="BQ729"/>
  <c r="BP729"/>
  <c r="BO729"/>
  <c r="BN729"/>
  <c r="DU728"/>
  <c r="DT728"/>
  <c r="DS728"/>
  <c r="DR728"/>
  <c r="DQ728"/>
  <c r="DP728"/>
  <c r="DO728"/>
  <c r="DN728"/>
  <c r="DM728"/>
  <c r="DL728"/>
  <c r="DK728"/>
  <c r="DJ728"/>
  <c r="DI728"/>
  <c r="DH728"/>
  <c r="DG728"/>
  <c r="DF728"/>
  <c r="DE728"/>
  <c r="DD728"/>
  <c r="DC728"/>
  <c r="DB728"/>
  <c r="DA728"/>
  <c r="CZ728"/>
  <c r="CY728"/>
  <c r="CX728"/>
  <c r="CW728"/>
  <c r="CV728"/>
  <c r="CU728"/>
  <c r="CT728"/>
  <c r="CS728"/>
  <c r="CR728"/>
  <c r="CQ728"/>
  <c r="CP728"/>
  <c r="CO728"/>
  <c r="CN728"/>
  <c r="CM728"/>
  <c r="CL728"/>
  <c r="CK728"/>
  <c r="CJ728"/>
  <c r="CI728"/>
  <c r="CH728"/>
  <c r="CG728"/>
  <c r="CF728"/>
  <c r="CE728"/>
  <c r="CD728"/>
  <c r="CC728"/>
  <c r="CB728"/>
  <c r="CA728"/>
  <c r="BZ728"/>
  <c r="BY728"/>
  <c r="BX728"/>
  <c r="BW728"/>
  <c r="BV728"/>
  <c r="BU728"/>
  <c r="BT728"/>
  <c r="BS728"/>
  <c r="BR728"/>
  <c r="BQ728"/>
  <c r="BP728"/>
  <c r="BO728"/>
  <c r="BN728"/>
  <c r="DU727"/>
  <c r="DT727"/>
  <c r="DS727"/>
  <c r="DR727"/>
  <c r="DQ727"/>
  <c r="DP727"/>
  <c r="DO727"/>
  <c r="DN727"/>
  <c r="DM727"/>
  <c r="DL727"/>
  <c r="DK727"/>
  <c r="DJ727"/>
  <c r="DI727"/>
  <c r="DH727"/>
  <c r="DG727"/>
  <c r="DF727"/>
  <c r="DE727"/>
  <c r="DD727"/>
  <c r="DC727"/>
  <c r="DB727"/>
  <c r="DA727"/>
  <c r="CZ727"/>
  <c r="CY727"/>
  <c r="CX727"/>
  <c r="CW727"/>
  <c r="CV727"/>
  <c r="CU727"/>
  <c r="CT727"/>
  <c r="CS727"/>
  <c r="CR727"/>
  <c r="CQ727"/>
  <c r="CP727"/>
  <c r="CO727"/>
  <c r="CN727"/>
  <c r="CM727"/>
  <c r="CL727"/>
  <c r="CK727"/>
  <c r="CJ727"/>
  <c r="CI727"/>
  <c r="CH727"/>
  <c r="CG727"/>
  <c r="CF727"/>
  <c r="CE727"/>
  <c r="CD727"/>
  <c r="CC727"/>
  <c r="CB727"/>
  <c r="CA727"/>
  <c r="BZ727"/>
  <c r="BY727"/>
  <c r="BX727"/>
  <c r="BW727"/>
  <c r="BV727"/>
  <c r="BU727"/>
  <c r="BT727"/>
  <c r="BS727"/>
  <c r="BR727"/>
  <c r="BQ727"/>
  <c r="BP727"/>
  <c r="BO727"/>
  <c r="BN727"/>
  <c r="DU726"/>
  <c r="DT726"/>
  <c r="DS726"/>
  <c r="DR726"/>
  <c r="DQ726"/>
  <c r="DP726"/>
  <c r="DO726"/>
  <c r="DN726"/>
  <c r="DM726"/>
  <c r="DL726"/>
  <c r="DK726"/>
  <c r="DJ726"/>
  <c r="DI726"/>
  <c r="DH726"/>
  <c r="DG726"/>
  <c r="DF726"/>
  <c r="DE726"/>
  <c r="DD726"/>
  <c r="DC726"/>
  <c r="DB726"/>
  <c r="DA726"/>
  <c r="CZ726"/>
  <c r="CY726"/>
  <c r="CX726"/>
  <c r="CW726"/>
  <c r="CV726"/>
  <c r="CU726"/>
  <c r="CT726"/>
  <c r="CS726"/>
  <c r="CR726"/>
  <c r="CQ726"/>
  <c r="CP726"/>
  <c r="CO726"/>
  <c r="CN726"/>
  <c r="CM726"/>
  <c r="CL726"/>
  <c r="CK726"/>
  <c r="CJ726"/>
  <c r="CI726"/>
  <c r="CH726"/>
  <c r="CG726"/>
  <c r="CF726"/>
  <c r="CE726"/>
  <c r="CD726"/>
  <c r="CC726"/>
  <c r="CB726"/>
  <c r="CA726"/>
  <c r="BZ726"/>
  <c r="BY726"/>
  <c r="BX726"/>
  <c r="BW726"/>
  <c r="BV726"/>
  <c r="BU726"/>
  <c r="BT726"/>
  <c r="BS726"/>
  <c r="BR726"/>
  <c r="BQ726"/>
  <c r="BP726"/>
  <c r="BO726"/>
  <c r="BN726"/>
  <c r="DU725"/>
  <c r="DT725"/>
  <c r="DS725"/>
  <c r="DR725"/>
  <c r="DQ725"/>
  <c r="DP725"/>
  <c r="DO725"/>
  <c r="DN725"/>
  <c r="DM725"/>
  <c r="DL725"/>
  <c r="DK725"/>
  <c r="DJ725"/>
  <c r="DI725"/>
  <c r="DH725"/>
  <c r="DG725"/>
  <c r="DF725"/>
  <c r="DE725"/>
  <c r="DD725"/>
  <c r="DC725"/>
  <c r="DB725"/>
  <c r="DA725"/>
  <c r="CZ725"/>
  <c r="CY725"/>
  <c r="CX725"/>
  <c r="CW725"/>
  <c r="CV725"/>
  <c r="CU725"/>
  <c r="CT725"/>
  <c r="CS725"/>
  <c r="CR725"/>
  <c r="CQ725"/>
  <c r="CP725"/>
  <c r="CO725"/>
  <c r="CN725"/>
  <c r="CM725"/>
  <c r="CL725"/>
  <c r="CK725"/>
  <c r="CJ725"/>
  <c r="CI725"/>
  <c r="CH725"/>
  <c r="CG725"/>
  <c r="CF725"/>
  <c r="CE725"/>
  <c r="CD725"/>
  <c r="CC725"/>
  <c r="CB725"/>
  <c r="CA725"/>
  <c r="BZ725"/>
  <c r="BY725"/>
  <c r="BX725"/>
  <c r="BW725"/>
  <c r="BV725"/>
  <c r="BU725"/>
  <c r="BT725"/>
  <c r="BS725"/>
  <c r="BR725"/>
  <c r="BQ725"/>
  <c r="BP725"/>
  <c r="BO725"/>
  <c r="BN725"/>
  <c r="DU724"/>
  <c r="DT724"/>
  <c r="DS724"/>
  <c r="DR724"/>
  <c r="DQ724"/>
  <c r="DP724"/>
  <c r="DO724"/>
  <c r="DN724"/>
  <c r="DM724"/>
  <c r="DL724"/>
  <c r="DK724"/>
  <c r="DJ724"/>
  <c r="DI724"/>
  <c r="DH724"/>
  <c r="DG724"/>
  <c r="DF724"/>
  <c r="DE724"/>
  <c r="DD724"/>
  <c r="DC724"/>
  <c r="DB724"/>
  <c r="DA724"/>
  <c r="CZ724"/>
  <c r="CY724"/>
  <c r="CX724"/>
  <c r="CW724"/>
  <c r="CV724"/>
  <c r="CU724"/>
  <c r="CT724"/>
  <c r="CS724"/>
  <c r="CR724"/>
  <c r="CQ724"/>
  <c r="CP724"/>
  <c r="CO724"/>
  <c r="CN724"/>
  <c r="CM724"/>
  <c r="CL724"/>
  <c r="CK724"/>
  <c r="CJ724"/>
  <c r="CI724"/>
  <c r="CH724"/>
  <c r="CG724"/>
  <c r="CF724"/>
  <c r="CE724"/>
  <c r="CD724"/>
  <c r="CC724"/>
  <c r="CB724"/>
  <c r="CA724"/>
  <c r="BZ724"/>
  <c r="BY724"/>
  <c r="BX724"/>
  <c r="BW724"/>
  <c r="BV724"/>
  <c r="BU724"/>
  <c r="BT724"/>
  <c r="BS724"/>
  <c r="BR724"/>
  <c r="BQ724"/>
  <c r="BP724"/>
  <c r="BO724"/>
  <c r="BN724"/>
  <c r="DU723"/>
  <c r="DT723"/>
  <c r="DS723"/>
  <c r="DR723"/>
  <c r="DQ723"/>
  <c r="DP723"/>
  <c r="DO723"/>
  <c r="DN723"/>
  <c r="DM723"/>
  <c r="DL723"/>
  <c r="DK723"/>
  <c r="DJ723"/>
  <c r="DI723"/>
  <c r="DH723"/>
  <c r="DG723"/>
  <c r="DF723"/>
  <c r="DE723"/>
  <c r="DD723"/>
  <c r="DC723"/>
  <c r="DB723"/>
  <c r="DA723"/>
  <c r="CZ723"/>
  <c r="CY723"/>
  <c r="CX723"/>
  <c r="CW723"/>
  <c r="CV723"/>
  <c r="CU723"/>
  <c r="CT723"/>
  <c r="CS723"/>
  <c r="CR723"/>
  <c r="CQ723"/>
  <c r="CP723"/>
  <c r="CO723"/>
  <c r="CN723"/>
  <c r="CM723"/>
  <c r="CL723"/>
  <c r="CK723"/>
  <c r="CJ723"/>
  <c r="CI723"/>
  <c r="CH723"/>
  <c r="CG723"/>
  <c r="CF723"/>
  <c r="CE723"/>
  <c r="CD723"/>
  <c r="CC723"/>
  <c r="CB723"/>
  <c r="CA723"/>
  <c r="BZ723"/>
  <c r="BY723"/>
  <c r="BX723"/>
  <c r="BW723"/>
  <c r="BV723"/>
  <c r="BU723"/>
  <c r="BT723"/>
  <c r="BS723"/>
  <c r="BR723"/>
  <c r="BQ723"/>
  <c r="BP723"/>
  <c r="BO723"/>
  <c r="BN723"/>
  <c r="DU722"/>
  <c r="DT722"/>
  <c r="DS722"/>
  <c r="DR722"/>
  <c r="DQ722"/>
  <c r="DP722"/>
  <c r="DO722"/>
  <c r="DN722"/>
  <c r="DM722"/>
  <c r="DL722"/>
  <c r="DK722"/>
  <c r="DJ722"/>
  <c r="DI722"/>
  <c r="DH722"/>
  <c r="DG722"/>
  <c r="DF722"/>
  <c r="DE722"/>
  <c r="DD722"/>
  <c r="DC722"/>
  <c r="DB722"/>
  <c r="DA722"/>
  <c r="CZ722"/>
  <c r="CY722"/>
  <c r="CX722"/>
  <c r="CW722"/>
  <c r="CV722"/>
  <c r="CU722"/>
  <c r="CT722"/>
  <c r="CS722"/>
  <c r="CR722"/>
  <c r="CQ722"/>
  <c r="CP722"/>
  <c r="CO722"/>
  <c r="CN722"/>
  <c r="CM722"/>
  <c r="CL722"/>
  <c r="CK722"/>
  <c r="CJ722"/>
  <c r="CI722"/>
  <c r="CH722"/>
  <c r="CG722"/>
  <c r="CF722"/>
  <c r="CE722"/>
  <c r="CD722"/>
  <c r="CC722"/>
  <c r="CB722"/>
  <c r="CA722"/>
  <c r="BZ722"/>
  <c r="BY722"/>
  <c r="BX722"/>
  <c r="BW722"/>
  <c r="BV722"/>
  <c r="BU722"/>
  <c r="BT722"/>
  <c r="BS722"/>
  <c r="BR722"/>
  <c r="BQ722"/>
  <c r="BP722"/>
  <c r="BO722"/>
  <c r="BN722"/>
  <c r="DU721"/>
  <c r="DT721"/>
  <c r="DS721"/>
  <c r="DR721"/>
  <c r="DQ721"/>
  <c r="DP721"/>
  <c r="DO721"/>
  <c r="DN721"/>
  <c r="DM721"/>
  <c r="DL721"/>
  <c r="DK721"/>
  <c r="DJ721"/>
  <c r="DI721"/>
  <c r="DH721"/>
  <c r="DG721"/>
  <c r="DF721"/>
  <c r="DE721"/>
  <c r="DD721"/>
  <c r="DC721"/>
  <c r="DB721"/>
  <c r="DA721"/>
  <c r="CZ721"/>
  <c r="CY721"/>
  <c r="CX721"/>
  <c r="CW721"/>
  <c r="CV721"/>
  <c r="CU721"/>
  <c r="CT721"/>
  <c r="CS721"/>
  <c r="CR721"/>
  <c r="CQ721"/>
  <c r="CP721"/>
  <c r="CO721"/>
  <c r="CN721"/>
  <c r="CM721"/>
  <c r="CL721"/>
  <c r="CK721"/>
  <c r="CJ721"/>
  <c r="CI721"/>
  <c r="CH721"/>
  <c r="CG721"/>
  <c r="CF721"/>
  <c r="CE721"/>
  <c r="CD721"/>
  <c r="CC721"/>
  <c r="CB721"/>
  <c r="CA721"/>
  <c r="BZ721"/>
  <c r="BY721"/>
  <c r="BX721"/>
  <c r="BW721"/>
  <c r="BV721"/>
  <c r="BU721"/>
  <c r="BT721"/>
  <c r="BS721"/>
  <c r="BR721"/>
  <c r="BQ721"/>
  <c r="BP721"/>
  <c r="BO721"/>
  <c r="BN721"/>
  <c r="DU720"/>
  <c r="DT720"/>
  <c r="DS720"/>
  <c r="DR720"/>
  <c r="DQ720"/>
  <c r="DP720"/>
  <c r="DO720"/>
  <c r="DN720"/>
  <c r="DM720"/>
  <c r="DL720"/>
  <c r="DK720"/>
  <c r="DJ720"/>
  <c r="DI720"/>
  <c r="DH720"/>
  <c r="DG720"/>
  <c r="DF720"/>
  <c r="DE720"/>
  <c r="DD720"/>
  <c r="DC720"/>
  <c r="DB720"/>
  <c r="DA720"/>
  <c r="CZ720"/>
  <c r="CY720"/>
  <c r="CX720"/>
  <c r="CW720"/>
  <c r="CV720"/>
  <c r="CU720"/>
  <c r="CT720"/>
  <c r="CS720"/>
  <c r="CR720"/>
  <c r="CQ720"/>
  <c r="CP720"/>
  <c r="CO720"/>
  <c r="CN720"/>
  <c r="CM720"/>
  <c r="CL720"/>
  <c r="CK720"/>
  <c r="CJ720"/>
  <c r="CI720"/>
  <c r="CH720"/>
  <c r="CG720"/>
  <c r="CF720"/>
  <c r="CE720"/>
  <c r="CD720"/>
  <c r="CC720"/>
  <c r="CB720"/>
  <c r="CA720"/>
  <c r="BZ720"/>
  <c r="BY720"/>
  <c r="BX720"/>
  <c r="BW720"/>
  <c r="BV720"/>
  <c r="BU720"/>
  <c r="BT720"/>
  <c r="BS720"/>
  <c r="BR720"/>
  <c r="BQ720"/>
  <c r="BP720"/>
  <c r="BO720"/>
  <c r="BN720"/>
  <c r="DU719"/>
  <c r="DT719"/>
  <c r="DS719"/>
  <c r="DR719"/>
  <c r="DQ719"/>
  <c r="DP719"/>
  <c r="DO719"/>
  <c r="DN719"/>
  <c r="DM719"/>
  <c r="DL719"/>
  <c r="DK719"/>
  <c r="DJ719"/>
  <c r="DI719"/>
  <c r="DH719"/>
  <c r="DG719"/>
  <c r="DF719"/>
  <c r="DE719"/>
  <c r="DD719"/>
  <c r="DC719"/>
  <c r="DB719"/>
  <c r="DA719"/>
  <c r="CZ719"/>
  <c r="CY719"/>
  <c r="CX719"/>
  <c r="CW719"/>
  <c r="CV719"/>
  <c r="CU719"/>
  <c r="CT719"/>
  <c r="CS719"/>
  <c r="CR719"/>
  <c r="CQ719"/>
  <c r="CP719"/>
  <c r="CO719"/>
  <c r="CN719"/>
  <c r="CM719"/>
  <c r="CL719"/>
  <c r="CK719"/>
  <c r="CJ719"/>
  <c r="CI719"/>
  <c r="CH719"/>
  <c r="CG719"/>
  <c r="CF719"/>
  <c r="CE719"/>
  <c r="CD719"/>
  <c r="CC719"/>
  <c r="CB719"/>
  <c r="CA719"/>
  <c r="BZ719"/>
  <c r="BY719"/>
  <c r="BX719"/>
  <c r="BW719"/>
  <c r="BV719"/>
  <c r="BU719"/>
  <c r="BT719"/>
  <c r="BS719"/>
  <c r="BR719"/>
  <c r="BQ719"/>
  <c r="BP719"/>
  <c r="BO719"/>
  <c r="BN719"/>
  <c r="DU718"/>
  <c r="DT718"/>
  <c r="DS718"/>
  <c r="DR718"/>
  <c r="DQ718"/>
  <c r="DP718"/>
  <c r="DO718"/>
  <c r="DN718"/>
  <c r="DM718"/>
  <c r="DL718"/>
  <c r="DK718"/>
  <c r="DJ718"/>
  <c r="DI718"/>
  <c r="DH718"/>
  <c r="DG718"/>
  <c r="DF718"/>
  <c r="DE718"/>
  <c r="DD718"/>
  <c r="DC718"/>
  <c r="DB718"/>
  <c r="DA718"/>
  <c r="CZ718"/>
  <c r="CY718"/>
  <c r="CX718"/>
  <c r="CW718"/>
  <c r="CV718"/>
  <c r="CU718"/>
  <c r="CT718"/>
  <c r="CS718"/>
  <c r="CR718"/>
  <c r="CQ718"/>
  <c r="CP718"/>
  <c r="CO718"/>
  <c r="CN718"/>
  <c r="CM718"/>
  <c r="CL718"/>
  <c r="CK718"/>
  <c r="CJ718"/>
  <c r="CI718"/>
  <c r="CH718"/>
  <c r="CG718"/>
  <c r="CF718"/>
  <c r="CE718"/>
  <c r="CD718"/>
  <c r="CC718"/>
  <c r="CB718"/>
  <c r="CA718"/>
  <c r="BZ718"/>
  <c r="BY718"/>
  <c r="BX718"/>
  <c r="BW718"/>
  <c r="BV718"/>
  <c r="BU718"/>
  <c r="BT718"/>
  <c r="BS718"/>
  <c r="BR718"/>
  <c r="BQ718"/>
  <c r="BP718"/>
  <c r="BO718"/>
  <c r="BN718"/>
  <c r="DU717"/>
  <c r="DT717"/>
  <c r="DS717"/>
  <c r="DR717"/>
  <c r="DQ717"/>
  <c r="DP717"/>
  <c r="DO717"/>
  <c r="DN717"/>
  <c r="DM717"/>
  <c r="DL717"/>
  <c r="DK717"/>
  <c r="DJ717"/>
  <c r="DI717"/>
  <c r="DH717"/>
  <c r="DG717"/>
  <c r="DF717"/>
  <c r="DE717"/>
  <c r="DD717"/>
  <c r="DC717"/>
  <c r="DB717"/>
  <c r="DA717"/>
  <c r="CZ717"/>
  <c r="CY717"/>
  <c r="CX717"/>
  <c r="CW717"/>
  <c r="CV717"/>
  <c r="CU717"/>
  <c r="CT717"/>
  <c r="CS717"/>
  <c r="CR717"/>
  <c r="CQ717"/>
  <c r="CP717"/>
  <c r="CO717"/>
  <c r="CN717"/>
  <c r="CM717"/>
  <c r="CL717"/>
  <c r="CK717"/>
  <c r="CJ717"/>
  <c r="CI717"/>
  <c r="CH717"/>
  <c r="CG717"/>
  <c r="CF717"/>
  <c r="CE717"/>
  <c r="CD717"/>
  <c r="CC717"/>
  <c r="CB717"/>
  <c r="CA717"/>
  <c r="BZ717"/>
  <c r="BY717"/>
  <c r="BX717"/>
  <c r="BW717"/>
  <c r="BV717"/>
  <c r="BU717"/>
  <c r="BT717"/>
  <c r="BS717"/>
  <c r="BR717"/>
  <c r="BQ717"/>
  <c r="BP717"/>
  <c r="BO717"/>
  <c r="BN717"/>
  <c r="DU716"/>
  <c r="DT716"/>
  <c r="DS716"/>
  <c r="DR716"/>
  <c r="DQ716"/>
  <c r="DP716"/>
  <c r="DO716"/>
  <c r="DN716"/>
  <c r="DM716"/>
  <c r="DL716"/>
  <c r="DK716"/>
  <c r="DJ716"/>
  <c r="DI716"/>
  <c r="DH716"/>
  <c r="DG716"/>
  <c r="DF716"/>
  <c r="DE716"/>
  <c r="DD716"/>
  <c r="DC716"/>
  <c r="DB716"/>
  <c r="DA716"/>
  <c r="CZ716"/>
  <c r="CY716"/>
  <c r="CX716"/>
  <c r="CW716"/>
  <c r="CV716"/>
  <c r="CU716"/>
  <c r="CT716"/>
  <c r="CS716"/>
  <c r="CR716"/>
  <c r="CQ716"/>
  <c r="CP716"/>
  <c r="CO716"/>
  <c r="CN716"/>
  <c r="CM716"/>
  <c r="CL716"/>
  <c r="CK716"/>
  <c r="CJ716"/>
  <c r="CI716"/>
  <c r="CH716"/>
  <c r="CG716"/>
  <c r="CF716"/>
  <c r="CE716"/>
  <c r="CD716"/>
  <c r="CC716"/>
  <c r="CB716"/>
  <c r="CA716"/>
  <c r="BZ716"/>
  <c r="BY716"/>
  <c r="BX716"/>
  <c r="BW716"/>
  <c r="BV716"/>
  <c r="BU716"/>
  <c r="BT716"/>
  <c r="BS716"/>
  <c r="BR716"/>
  <c r="BQ716"/>
  <c r="BP716"/>
  <c r="BO716"/>
  <c r="BN716"/>
  <c r="DU715"/>
  <c r="DT715"/>
  <c r="DS715"/>
  <c r="DR715"/>
  <c r="DQ715"/>
  <c r="DP715"/>
  <c r="DO715"/>
  <c r="DN715"/>
  <c r="DM715"/>
  <c r="DL715"/>
  <c r="DK715"/>
  <c r="DJ715"/>
  <c r="DI715"/>
  <c r="DH715"/>
  <c r="DG715"/>
  <c r="DF715"/>
  <c r="DE715"/>
  <c r="DD715"/>
  <c r="DC715"/>
  <c r="DB715"/>
  <c r="DA715"/>
  <c r="CZ715"/>
  <c r="CY715"/>
  <c r="CX715"/>
  <c r="CW715"/>
  <c r="CV715"/>
  <c r="CU715"/>
  <c r="CT715"/>
  <c r="CS715"/>
  <c r="CR715"/>
  <c r="CQ715"/>
  <c r="CP715"/>
  <c r="CO715"/>
  <c r="CN715"/>
  <c r="CM715"/>
  <c r="CL715"/>
  <c r="CK715"/>
  <c r="CJ715"/>
  <c r="CI715"/>
  <c r="CH715"/>
  <c r="CG715"/>
  <c r="CF715"/>
  <c r="CE715"/>
  <c r="CD715"/>
  <c r="CC715"/>
  <c r="CB715"/>
  <c r="CA715"/>
  <c r="BZ715"/>
  <c r="BY715"/>
  <c r="BX715"/>
  <c r="BW715"/>
  <c r="BV715"/>
  <c r="BU715"/>
  <c r="BT715"/>
  <c r="BS715"/>
  <c r="BR715"/>
  <c r="BQ715"/>
  <c r="BP715"/>
  <c r="BO715"/>
  <c r="BN715"/>
  <c r="DU714"/>
  <c r="DT714"/>
  <c r="DS714"/>
  <c r="DR714"/>
  <c r="DQ714"/>
  <c r="DP714"/>
  <c r="DO714"/>
  <c r="DN714"/>
  <c r="DM714"/>
  <c r="DL714"/>
  <c r="DK714"/>
  <c r="DJ714"/>
  <c r="DI714"/>
  <c r="DH714"/>
  <c r="DG714"/>
  <c r="DF714"/>
  <c r="DE714"/>
  <c r="DD714"/>
  <c r="DC714"/>
  <c r="DB714"/>
  <c r="DA714"/>
  <c r="CZ714"/>
  <c r="CY714"/>
  <c r="CX714"/>
  <c r="CW714"/>
  <c r="CV714"/>
  <c r="CU714"/>
  <c r="CT714"/>
  <c r="CS714"/>
  <c r="CR714"/>
  <c r="CQ714"/>
  <c r="CP714"/>
  <c r="CO714"/>
  <c r="CN714"/>
  <c r="CM714"/>
  <c r="CL714"/>
  <c r="CK714"/>
  <c r="CJ714"/>
  <c r="CI714"/>
  <c r="CH714"/>
  <c r="CG714"/>
  <c r="CF714"/>
  <c r="CE714"/>
  <c r="CD714"/>
  <c r="CC714"/>
  <c r="CB714"/>
  <c r="CA714"/>
  <c r="BZ714"/>
  <c r="BY714"/>
  <c r="BX714"/>
  <c r="BW714"/>
  <c r="BV714"/>
  <c r="BU714"/>
  <c r="BT714"/>
  <c r="BS714"/>
  <c r="BR714"/>
  <c r="BQ714"/>
  <c r="BP714"/>
  <c r="BO714"/>
  <c r="BN714"/>
  <c r="DU713"/>
  <c r="DT713"/>
  <c r="DS713"/>
  <c r="DR713"/>
  <c r="DQ713"/>
  <c r="DP713"/>
  <c r="DO713"/>
  <c r="DN713"/>
  <c r="DM713"/>
  <c r="DL713"/>
  <c r="DK713"/>
  <c r="DJ713"/>
  <c r="DI713"/>
  <c r="DH713"/>
  <c r="DG713"/>
  <c r="DF713"/>
  <c r="DE713"/>
  <c r="DD713"/>
  <c r="DC713"/>
  <c r="DB713"/>
  <c r="DA713"/>
  <c r="CZ713"/>
  <c r="CY713"/>
  <c r="CX713"/>
  <c r="CW713"/>
  <c r="CV713"/>
  <c r="CU713"/>
  <c r="CT713"/>
  <c r="CS713"/>
  <c r="CR713"/>
  <c r="CQ713"/>
  <c r="CP713"/>
  <c r="CO713"/>
  <c r="CN713"/>
  <c r="CM713"/>
  <c r="CL713"/>
  <c r="CK713"/>
  <c r="CJ713"/>
  <c r="CI713"/>
  <c r="CH713"/>
  <c r="CG713"/>
  <c r="CF713"/>
  <c r="CE713"/>
  <c r="CD713"/>
  <c r="CC713"/>
  <c r="CB713"/>
  <c r="CA713"/>
  <c r="BZ713"/>
  <c r="BY713"/>
  <c r="BX713"/>
  <c r="BW713"/>
  <c r="BV713"/>
  <c r="BU713"/>
  <c r="BT713"/>
  <c r="BS713"/>
  <c r="BR713"/>
  <c r="BQ713"/>
  <c r="BP713"/>
  <c r="BO713"/>
  <c r="BN713"/>
  <c r="DU712"/>
  <c r="DT712"/>
  <c r="DS712"/>
  <c r="DR712"/>
  <c r="DQ712"/>
  <c r="DP712"/>
  <c r="DO712"/>
  <c r="DN712"/>
  <c r="DM712"/>
  <c r="DL712"/>
  <c r="DK712"/>
  <c r="DJ712"/>
  <c r="DI712"/>
  <c r="DH712"/>
  <c r="DG712"/>
  <c r="DF712"/>
  <c r="DE712"/>
  <c r="DD712"/>
  <c r="DC712"/>
  <c r="DB712"/>
  <c r="DA712"/>
  <c r="CZ712"/>
  <c r="CY712"/>
  <c r="CX712"/>
  <c r="CW712"/>
  <c r="CV712"/>
  <c r="CU712"/>
  <c r="CT712"/>
  <c r="CS712"/>
  <c r="CR712"/>
  <c r="CQ712"/>
  <c r="CP712"/>
  <c r="CO712"/>
  <c r="CN712"/>
  <c r="CM712"/>
  <c r="CL712"/>
  <c r="CK712"/>
  <c r="CJ712"/>
  <c r="CI712"/>
  <c r="CH712"/>
  <c r="CG712"/>
  <c r="CF712"/>
  <c r="CE712"/>
  <c r="CD712"/>
  <c r="CC712"/>
  <c r="CB712"/>
  <c r="CA712"/>
  <c r="BZ712"/>
  <c r="BY712"/>
  <c r="BX712"/>
  <c r="BW712"/>
  <c r="BV712"/>
  <c r="BU712"/>
  <c r="BT712"/>
  <c r="BS712"/>
  <c r="BR712"/>
  <c r="BQ712"/>
  <c r="BP712"/>
  <c r="BO712"/>
  <c r="BN712"/>
  <c r="C712"/>
  <c r="DU711"/>
  <c r="DT711"/>
  <c r="DS711"/>
  <c r="DR711"/>
  <c r="DQ711"/>
  <c r="DP711"/>
  <c r="DO711"/>
  <c r="DN711"/>
  <c r="DM711"/>
  <c r="DL711"/>
  <c r="DK711"/>
  <c r="DJ711"/>
  <c r="DI711"/>
  <c r="DH711"/>
  <c r="DG711"/>
  <c r="DF711"/>
  <c r="DE711"/>
  <c r="DD711"/>
  <c r="DC711"/>
  <c r="DB711"/>
  <c r="DA711"/>
  <c r="CZ711"/>
  <c r="CY711"/>
  <c r="CX711"/>
  <c r="CW711"/>
  <c r="CV711"/>
  <c r="CU711"/>
  <c r="CT711"/>
  <c r="CS711"/>
  <c r="CR711"/>
  <c r="CQ711"/>
  <c r="CP711"/>
  <c r="CO711"/>
  <c r="CN711"/>
  <c r="CM711"/>
  <c r="CL711"/>
  <c r="CK711"/>
  <c r="CJ711"/>
  <c r="CI711"/>
  <c r="CH711"/>
  <c r="CG711"/>
  <c r="CF711"/>
  <c r="CE711"/>
  <c r="CD711"/>
  <c r="CC711"/>
  <c r="CB711"/>
  <c r="CA711"/>
  <c r="BZ711"/>
  <c r="BY711"/>
  <c r="BX711"/>
  <c r="BW711"/>
  <c r="BV711"/>
  <c r="BU711"/>
  <c r="BT711"/>
  <c r="BS711"/>
  <c r="BR711"/>
  <c r="BQ711"/>
  <c r="BP711"/>
  <c r="BO711"/>
  <c r="BN711"/>
  <c r="DU710"/>
  <c r="DT710"/>
  <c r="DS710"/>
  <c r="DR710"/>
  <c r="DQ710"/>
  <c r="DP710"/>
  <c r="DO710"/>
  <c r="DN710"/>
  <c r="DM710"/>
  <c r="DL710"/>
  <c r="DK710"/>
  <c r="DJ710"/>
  <c r="DI710"/>
  <c r="DH710"/>
  <c r="DG710"/>
  <c r="DF710"/>
  <c r="DE710"/>
  <c r="DD710"/>
  <c r="DC710"/>
  <c r="DB710"/>
  <c r="DA710"/>
  <c r="CZ710"/>
  <c r="CY710"/>
  <c r="CX710"/>
  <c r="CW710"/>
  <c r="CV710"/>
  <c r="CU710"/>
  <c r="CT710"/>
  <c r="CS710"/>
  <c r="CR710"/>
  <c r="CQ710"/>
  <c r="CP710"/>
  <c r="CO710"/>
  <c r="CN710"/>
  <c r="CM710"/>
  <c r="CL710"/>
  <c r="CK710"/>
  <c r="CJ710"/>
  <c r="CI710"/>
  <c r="CH710"/>
  <c r="CG710"/>
  <c r="CF710"/>
  <c r="CE710"/>
  <c r="CD710"/>
  <c r="CC710"/>
  <c r="CB710"/>
  <c r="CA710"/>
  <c r="BZ710"/>
  <c r="BY710"/>
  <c r="BX710"/>
  <c r="BW710"/>
  <c r="BV710"/>
  <c r="BU710"/>
  <c r="BT710"/>
  <c r="BS710"/>
  <c r="BR710"/>
  <c r="BQ710"/>
  <c r="BP710"/>
  <c r="BO710"/>
  <c r="BN710"/>
  <c r="DU709"/>
  <c r="DT709"/>
  <c r="DS709"/>
  <c r="DR709"/>
  <c r="DQ709"/>
  <c r="DP709"/>
  <c r="DO709"/>
  <c r="DN709"/>
  <c r="DM709"/>
  <c r="DL709"/>
  <c r="DK709"/>
  <c r="DJ709"/>
  <c r="DI709"/>
  <c r="DH709"/>
  <c r="DG709"/>
  <c r="DF709"/>
  <c r="DE709"/>
  <c r="DD709"/>
  <c r="DC709"/>
  <c r="DB709"/>
  <c r="DA709"/>
  <c r="CZ709"/>
  <c r="CY709"/>
  <c r="CX709"/>
  <c r="CW709"/>
  <c r="CV709"/>
  <c r="CU709"/>
  <c r="CT709"/>
  <c r="CS709"/>
  <c r="CR709"/>
  <c r="CQ709"/>
  <c r="CP709"/>
  <c r="CO709"/>
  <c r="CN709"/>
  <c r="CM709"/>
  <c r="CL709"/>
  <c r="CK709"/>
  <c r="CJ709"/>
  <c r="CI709"/>
  <c r="CH709"/>
  <c r="CG709"/>
  <c r="CF709"/>
  <c r="CE709"/>
  <c r="CD709"/>
  <c r="CC709"/>
  <c r="CB709"/>
  <c r="CA709"/>
  <c r="BZ709"/>
  <c r="BY709"/>
  <c r="BX709"/>
  <c r="BW709"/>
  <c r="BV709"/>
  <c r="BU709"/>
  <c r="BT709"/>
  <c r="BS709"/>
  <c r="BR709"/>
  <c r="BQ709"/>
  <c r="BP709"/>
  <c r="BO709"/>
  <c r="BN709"/>
  <c r="DU708"/>
  <c r="DT708"/>
  <c r="DS708"/>
  <c r="DR708"/>
  <c r="DQ708"/>
  <c r="DP708"/>
  <c r="DO708"/>
  <c r="DN708"/>
  <c r="DM708"/>
  <c r="DL708"/>
  <c r="DK708"/>
  <c r="DJ708"/>
  <c r="DI708"/>
  <c r="DH708"/>
  <c r="DG708"/>
  <c r="DF708"/>
  <c r="DE708"/>
  <c r="DD708"/>
  <c r="DC708"/>
  <c r="DB708"/>
  <c r="DA708"/>
  <c r="CZ708"/>
  <c r="CY708"/>
  <c r="CX708"/>
  <c r="CW708"/>
  <c r="CV708"/>
  <c r="CU708"/>
  <c r="CT708"/>
  <c r="CS708"/>
  <c r="CR708"/>
  <c r="CQ708"/>
  <c r="CP708"/>
  <c r="CO708"/>
  <c r="CN708"/>
  <c r="CM708"/>
  <c r="CL708"/>
  <c r="CK708"/>
  <c r="CJ708"/>
  <c r="CI708"/>
  <c r="CH708"/>
  <c r="CG708"/>
  <c r="CF708"/>
  <c r="CE708"/>
  <c r="CD708"/>
  <c r="CC708"/>
  <c r="CB708"/>
  <c r="CA708"/>
  <c r="BZ708"/>
  <c r="BY708"/>
  <c r="BX708"/>
  <c r="BW708"/>
  <c r="BV708"/>
  <c r="BU708"/>
  <c r="BT708"/>
  <c r="BS708"/>
  <c r="BR708"/>
  <c r="BQ708"/>
  <c r="BP708"/>
  <c r="BO708"/>
  <c r="BN708"/>
  <c r="DU707"/>
  <c r="DT707"/>
  <c r="DS707"/>
  <c r="DR707"/>
  <c r="DQ707"/>
  <c r="DP707"/>
  <c r="DO707"/>
  <c r="DN707"/>
  <c r="DM707"/>
  <c r="DL707"/>
  <c r="DK707"/>
  <c r="DJ707"/>
  <c r="DI707"/>
  <c r="DH707"/>
  <c r="DG707"/>
  <c r="DF707"/>
  <c r="DE707"/>
  <c r="DD707"/>
  <c r="DC707"/>
  <c r="DB707"/>
  <c r="DA707"/>
  <c r="CZ707"/>
  <c r="CY707"/>
  <c r="CX707"/>
  <c r="CW707"/>
  <c r="CV707"/>
  <c r="CU707"/>
  <c r="CT707"/>
  <c r="CS707"/>
  <c r="CR707"/>
  <c r="CQ707"/>
  <c r="CP707"/>
  <c r="CO707"/>
  <c r="CN707"/>
  <c r="CM707"/>
  <c r="CL707"/>
  <c r="CK707"/>
  <c r="CJ707"/>
  <c r="CI707"/>
  <c r="CH707"/>
  <c r="CG707"/>
  <c r="CF707"/>
  <c r="CE707"/>
  <c r="CD707"/>
  <c r="CC707"/>
  <c r="CB707"/>
  <c r="CA707"/>
  <c r="BZ707"/>
  <c r="BY707"/>
  <c r="BX707"/>
  <c r="BW707"/>
  <c r="BV707"/>
  <c r="BU707"/>
  <c r="BT707"/>
  <c r="BS707"/>
  <c r="BR707"/>
  <c r="BQ707"/>
  <c r="BP707"/>
  <c r="BO707"/>
  <c r="BN707"/>
  <c r="DU706"/>
  <c r="DT706"/>
  <c r="DS706"/>
  <c r="DR706"/>
  <c r="DQ706"/>
  <c r="DP706"/>
  <c r="DO706"/>
  <c r="DN706"/>
  <c r="DM706"/>
  <c r="DL706"/>
  <c r="DK706"/>
  <c r="DJ706"/>
  <c r="DI706"/>
  <c r="DH706"/>
  <c r="DG706"/>
  <c r="DF706"/>
  <c r="DE706"/>
  <c r="DD706"/>
  <c r="DC706"/>
  <c r="DB706"/>
  <c r="DA706"/>
  <c r="CZ706"/>
  <c r="CY706"/>
  <c r="CX706"/>
  <c r="CW706"/>
  <c r="CV706"/>
  <c r="CU706"/>
  <c r="CT706"/>
  <c r="CS706"/>
  <c r="CR706"/>
  <c r="CQ706"/>
  <c r="CP706"/>
  <c r="CO706"/>
  <c r="CN706"/>
  <c r="CM706"/>
  <c r="CL706"/>
  <c r="CK706"/>
  <c r="CJ706"/>
  <c r="CI706"/>
  <c r="CH706"/>
  <c r="CG706"/>
  <c r="CF706"/>
  <c r="CE706"/>
  <c r="CD706"/>
  <c r="CC706"/>
  <c r="CB706"/>
  <c r="CA706"/>
  <c r="BZ706"/>
  <c r="BY706"/>
  <c r="BX706"/>
  <c r="BW706"/>
  <c r="BV706"/>
  <c r="BU706"/>
  <c r="BT706"/>
  <c r="BS706"/>
  <c r="BR706"/>
  <c r="BQ706"/>
  <c r="BP706"/>
  <c r="BO706"/>
  <c r="BN706"/>
  <c r="DU705"/>
  <c r="DT705"/>
  <c r="DS705"/>
  <c r="DR705"/>
  <c r="DQ705"/>
  <c r="DP705"/>
  <c r="DO705"/>
  <c r="DN705"/>
  <c r="DM705"/>
  <c r="DL705"/>
  <c r="DK705"/>
  <c r="DJ705"/>
  <c r="DI705"/>
  <c r="DH705"/>
  <c r="DG705"/>
  <c r="DF705"/>
  <c r="DE705"/>
  <c r="DD705"/>
  <c r="DC705"/>
  <c r="DB705"/>
  <c r="DA705"/>
  <c r="CZ705"/>
  <c r="CY705"/>
  <c r="CX705"/>
  <c r="CW705"/>
  <c r="CV705"/>
  <c r="CU705"/>
  <c r="CT705"/>
  <c r="CS705"/>
  <c r="CR705"/>
  <c r="CQ705"/>
  <c r="CP705"/>
  <c r="CO705"/>
  <c r="CN705"/>
  <c r="CM705"/>
  <c r="CL705"/>
  <c r="CK705"/>
  <c r="CJ705"/>
  <c r="CI705"/>
  <c r="CH705"/>
  <c r="CG705"/>
  <c r="CF705"/>
  <c r="CE705"/>
  <c r="CD705"/>
  <c r="CC705"/>
  <c r="CB705"/>
  <c r="CA705"/>
  <c r="BZ705"/>
  <c r="BY705"/>
  <c r="BX705"/>
  <c r="BW705"/>
  <c r="BV705"/>
  <c r="BU705"/>
  <c r="BT705"/>
  <c r="BS705"/>
  <c r="BR705"/>
  <c r="BQ705"/>
  <c r="BP705"/>
  <c r="BO705"/>
  <c r="BN705"/>
  <c r="DU704"/>
  <c r="DT704"/>
  <c r="DS704"/>
  <c r="DR704"/>
  <c r="DQ704"/>
  <c r="DP704"/>
  <c r="DO704"/>
  <c r="DN704"/>
  <c r="DM704"/>
  <c r="DL704"/>
  <c r="DK704"/>
  <c r="DJ704"/>
  <c r="DI704"/>
  <c r="DH704"/>
  <c r="DG704"/>
  <c r="DF704"/>
  <c r="DE704"/>
  <c r="DD704"/>
  <c r="DC704"/>
  <c r="DB704"/>
  <c r="DA704"/>
  <c r="CZ704"/>
  <c r="CY704"/>
  <c r="CX704"/>
  <c r="CW704"/>
  <c r="CV704"/>
  <c r="CU704"/>
  <c r="CT704"/>
  <c r="CS704"/>
  <c r="CR704"/>
  <c r="CQ704"/>
  <c r="CP704"/>
  <c r="CO704"/>
  <c r="CN704"/>
  <c r="CM704"/>
  <c r="CL704"/>
  <c r="CK704"/>
  <c r="CJ704"/>
  <c r="CI704"/>
  <c r="CH704"/>
  <c r="CG704"/>
  <c r="CF704"/>
  <c r="CE704"/>
  <c r="CD704"/>
  <c r="CC704"/>
  <c r="CB704"/>
  <c r="CA704"/>
  <c r="BZ704"/>
  <c r="BY704"/>
  <c r="BX704"/>
  <c r="BW704"/>
  <c r="BV704"/>
  <c r="BU704"/>
  <c r="BT704"/>
  <c r="BS704"/>
  <c r="BR704"/>
  <c r="BQ704"/>
  <c r="BP704"/>
  <c r="BO704"/>
  <c r="BN704"/>
  <c r="DU703"/>
  <c r="DT703"/>
  <c r="DS703"/>
  <c r="DR703"/>
  <c r="DQ703"/>
  <c r="DP703"/>
  <c r="DO703"/>
  <c r="DN703"/>
  <c r="DM703"/>
  <c r="DL703"/>
  <c r="DK703"/>
  <c r="DJ703"/>
  <c r="DI703"/>
  <c r="DH703"/>
  <c r="DG703"/>
  <c r="DF703"/>
  <c r="DE703"/>
  <c r="DD703"/>
  <c r="DC703"/>
  <c r="DB703"/>
  <c r="DA703"/>
  <c r="CZ703"/>
  <c r="CY703"/>
  <c r="CX703"/>
  <c r="CW703"/>
  <c r="CV703"/>
  <c r="CU703"/>
  <c r="CT703"/>
  <c r="CS703"/>
  <c r="CR703"/>
  <c r="CQ703"/>
  <c r="CP703"/>
  <c r="CO703"/>
  <c r="CN703"/>
  <c r="CM703"/>
  <c r="CL703"/>
  <c r="CK703"/>
  <c r="CJ703"/>
  <c r="CI703"/>
  <c r="CH703"/>
  <c r="CG703"/>
  <c r="CF703"/>
  <c r="CE703"/>
  <c r="CD703"/>
  <c r="CC703"/>
  <c r="CB703"/>
  <c r="CA703"/>
  <c r="BZ703"/>
  <c r="BY703"/>
  <c r="BX703"/>
  <c r="BW703"/>
  <c r="BV703"/>
  <c r="BU703"/>
  <c r="BT703"/>
  <c r="BS703"/>
  <c r="BR703"/>
  <c r="BQ703"/>
  <c r="BP703"/>
  <c r="BO703"/>
  <c r="BN703"/>
  <c r="DU702"/>
  <c r="DT702"/>
  <c r="DS702"/>
  <c r="DR702"/>
  <c r="DQ702"/>
  <c r="DP702"/>
  <c r="DO702"/>
  <c r="DN702"/>
  <c r="DM702"/>
  <c r="DL702"/>
  <c r="DK702"/>
  <c r="DJ702"/>
  <c r="DI702"/>
  <c r="DH702"/>
  <c r="DG702"/>
  <c r="DF702"/>
  <c r="DE702"/>
  <c r="DD702"/>
  <c r="DC702"/>
  <c r="DB702"/>
  <c r="DA702"/>
  <c r="CZ702"/>
  <c r="CY702"/>
  <c r="CX702"/>
  <c r="CW702"/>
  <c r="CV702"/>
  <c r="CU702"/>
  <c r="CT702"/>
  <c r="CS702"/>
  <c r="CR702"/>
  <c r="CQ702"/>
  <c r="CP702"/>
  <c r="CO702"/>
  <c r="CN702"/>
  <c r="CM702"/>
  <c r="CL702"/>
  <c r="CK702"/>
  <c r="CJ702"/>
  <c r="CI702"/>
  <c r="CH702"/>
  <c r="CG702"/>
  <c r="CF702"/>
  <c r="CE702"/>
  <c r="CD702"/>
  <c r="CC702"/>
  <c r="CB702"/>
  <c r="CA702"/>
  <c r="BZ702"/>
  <c r="BY702"/>
  <c r="BX702"/>
  <c r="BW702"/>
  <c r="BV702"/>
  <c r="BU702"/>
  <c r="BT702"/>
  <c r="BS702"/>
  <c r="BR702"/>
  <c r="BQ702"/>
  <c r="BP702"/>
  <c r="BO702"/>
  <c r="BN702"/>
  <c r="DU701"/>
  <c r="DT701"/>
  <c r="DS701"/>
  <c r="DR701"/>
  <c r="DQ701"/>
  <c r="DP701"/>
  <c r="DO701"/>
  <c r="DN701"/>
  <c r="DM701"/>
  <c r="DL701"/>
  <c r="DK701"/>
  <c r="DJ701"/>
  <c r="DI701"/>
  <c r="DH701"/>
  <c r="DG701"/>
  <c r="DF701"/>
  <c r="DE701"/>
  <c r="DD701"/>
  <c r="DC701"/>
  <c r="DB701"/>
  <c r="DA701"/>
  <c r="CZ701"/>
  <c r="CY701"/>
  <c r="CX701"/>
  <c r="CW701"/>
  <c r="CV701"/>
  <c r="CU701"/>
  <c r="CT701"/>
  <c r="CS701"/>
  <c r="CR701"/>
  <c r="CQ701"/>
  <c r="CP701"/>
  <c r="CO701"/>
  <c r="CN701"/>
  <c r="CM701"/>
  <c r="CL701"/>
  <c r="CK701"/>
  <c r="CJ701"/>
  <c r="CI701"/>
  <c r="CH701"/>
  <c r="CG701"/>
  <c r="CF701"/>
  <c r="CE701"/>
  <c r="CD701"/>
  <c r="CC701"/>
  <c r="CB701"/>
  <c r="CA701"/>
  <c r="BZ701"/>
  <c r="BY701"/>
  <c r="BX701"/>
  <c r="BW701"/>
  <c r="BV701"/>
  <c r="BU701"/>
  <c r="BT701"/>
  <c r="BS701"/>
  <c r="BR701"/>
  <c r="BQ701"/>
  <c r="BP701"/>
  <c r="BO701"/>
  <c r="BN701"/>
  <c r="DU700"/>
  <c r="DT700"/>
  <c r="DS700"/>
  <c r="DR700"/>
  <c r="DQ700"/>
  <c r="DP700"/>
  <c r="DO700"/>
  <c r="DN700"/>
  <c r="DM700"/>
  <c r="DL700"/>
  <c r="DK700"/>
  <c r="DJ700"/>
  <c r="DI700"/>
  <c r="DH700"/>
  <c r="DG700"/>
  <c r="DF700"/>
  <c r="DE700"/>
  <c r="DD700"/>
  <c r="DC700"/>
  <c r="DB700"/>
  <c r="DA700"/>
  <c r="CZ700"/>
  <c r="CY700"/>
  <c r="CX700"/>
  <c r="CW700"/>
  <c r="CV700"/>
  <c r="CU700"/>
  <c r="CT700"/>
  <c r="CS700"/>
  <c r="CR700"/>
  <c r="CQ700"/>
  <c r="CP700"/>
  <c r="CO700"/>
  <c r="CN700"/>
  <c r="CM700"/>
  <c r="CL700"/>
  <c r="CK700"/>
  <c r="CJ700"/>
  <c r="CI700"/>
  <c r="CH700"/>
  <c r="CG700"/>
  <c r="CF700"/>
  <c r="CE700"/>
  <c r="CD700"/>
  <c r="CC700"/>
  <c r="CB700"/>
  <c r="CA700"/>
  <c r="BZ700"/>
  <c r="BY700"/>
  <c r="BX700"/>
  <c r="BW700"/>
  <c r="BV700"/>
  <c r="BU700"/>
  <c r="BT700"/>
  <c r="BS700"/>
  <c r="BR700"/>
  <c r="BQ700"/>
  <c r="BP700"/>
  <c r="BO700"/>
  <c r="BN700"/>
  <c r="DU699"/>
  <c r="DT699"/>
  <c r="DS699"/>
  <c r="DR699"/>
  <c r="DQ699"/>
  <c r="DP699"/>
  <c r="DO699"/>
  <c r="DN699"/>
  <c r="DM699"/>
  <c r="DL699"/>
  <c r="DK699"/>
  <c r="DJ699"/>
  <c r="DI699"/>
  <c r="DH699"/>
  <c r="DG699"/>
  <c r="DF699"/>
  <c r="DE699"/>
  <c r="DD699"/>
  <c r="DC699"/>
  <c r="DB699"/>
  <c r="DA699"/>
  <c r="CZ699"/>
  <c r="CY699"/>
  <c r="CX699"/>
  <c r="CW699"/>
  <c r="CV699"/>
  <c r="CU699"/>
  <c r="CT699"/>
  <c r="CS699"/>
  <c r="CR699"/>
  <c r="CQ699"/>
  <c r="CP699"/>
  <c r="CO699"/>
  <c r="CN699"/>
  <c r="CM699"/>
  <c r="CL699"/>
  <c r="CK699"/>
  <c r="CJ699"/>
  <c r="CI699"/>
  <c r="CH699"/>
  <c r="CG699"/>
  <c r="CF699"/>
  <c r="CE699"/>
  <c r="CD699"/>
  <c r="CC699"/>
  <c r="CB699"/>
  <c r="CA699"/>
  <c r="BZ699"/>
  <c r="BY699"/>
  <c r="BX699"/>
  <c r="BW699"/>
  <c r="BV699"/>
  <c r="BU699"/>
  <c r="BT699"/>
  <c r="BS699"/>
  <c r="BR699"/>
  <c r="BQ699"/>
  <c r="BP699"/>
  <c r="BO699"/>
  <c r="BN699"/>
  <c r="DU698"/>
  <c r="DT698"/>
  <c r="DS698"/>
  <c r="DR698"/>
  <c r="DQ698"/>
  <c r="DP698"/>
  <c r="DO698"/>
  <c r="DN698"/>
  <c r="DM698"/>
  <c r="DL698"/>
  <c r="DK698"/>
  <c r="DJ698"/>
  <c r="DI698"/>
  <c r="DH698"/>
  <c r="DG698"/>
  <c r="DF698"/>
  <c r="DE698"/>
  <c r="DD698"/>
  <c r="DC698"/>
  <c r="DB698"/>
  <c r="DA698"/>
  <c r="CZ698"/>
  <c r="CY698"/>
  <c r="CX698"/>
  <c r="CW698"/>
  <c r="CV698"/>
  <c r="CU698"/>
  <c r="CT698"/>
  <c r="CS698"/>
  <c r="CR698"/>
  <c r="CQ698"/>
  <c r="CP698"/>
  <c r="CO698"/>
  <c r="CN698"/>
  <c r="CM698"/>
  <c r="CL698"/>
  <c r="CK698"/>
  <c r="CJ698"/>
  <c r="CI698"/>
  <c r="CH698"/>
  <c r="CG698"/>
  <c r="CF698"/>
  <c r="CE698"/>
  <c r="CD698"/>
  <c r="CC698"/>
  <c r="CB698"/>
  <c r="CA698"/>
  <c r="BZ698"/>
  <c r="BY698"/>
  <c r="BX698"/>
  <c r="BW698"/>
  <c r="BV698"/>
  <c r="BU698"/>
  <c r="BT698"/>
  <c r="BS698"/>
  <c r="BR698"/>
  <c r="BQ698"/>
  <c r="BP698"/>
  <c r="BO698"/>
  <c r="BN698"/>
  <c r="DU697"/>
  <c r="DT697"/>
  <c r="DS697"/>
  <c r="DR697"/>
  <c r="DQ697"/>
  <c r="DP697"/>
  <c r="DO697"/>
  <c r="DN697"/>
  <c r="DM697"/>
  <c r="DL697"/>
  <c r="DK697"/>
  <c r="DJ697"/>
  <c r="DI697"/>
  <c r="DH697"/>
  <c r="DG697"/>
  <c r="DF697"/>
  <c r="DE697"/>
  <c r="DD697"/>
  <c r="DC697"/>
  <c r="DB697"/>
  <c r="DA697"/>
  <c r="CZ697"/>
  <c r="CY697"/>
  <c r="CX697"/>
  <c r="CW697"/>
  <c r="CV697"/>
  <c r="CU697"/>
  <c r="CT697"/>
  <c r="CS697"/>
  <c r="CR697"/>
  <c r="CQ697"/>
  <c r="CP697"/>
  <c r="CO697"/>
  <c r="CN697"/>
  <c r="CM697"/>
  <c r="CL697"/>
  <c r="CK697"/>
  <c r="CJ697"/>
  <c r="CI697"/>
  <c r="CH697"/>
  <c r="CG697"/>
  <c r="CF697"/>
  <c r="CE697"/>
  <c r="CD697"/>
  <c r="CC697"/>
  <c r="CB697"/>
  <c r="CA697"/>
  <c r="BZ697"/>
  <c r="BY697"/>
  <c r="BX697"/>
  <c r="BW697"/>
  <c r="BV697"/>
  <c r="BU697"/>
  <c r="BT697"/>
  <c r="BS697"/>
  <c r="BR697"/>
  <c r="BQ697"/>
  <c r="BP697"/>
  <c r="BO697"/>
  <c r="BN697"/>
  <c r="DU696"/>
  <c r="DT696"/>
  <c r="DS696"/>
  <c r="DR696"/>
  <c r="DQ696"/>
  <c r="DP696"/>
  <c r="DO696"/>
  <c r="DN696"/>
  <c r="DM696"/>
  <c r="DL696"/>
  <c r="DK696"/>
  <c r="DJ696"/>
  <c r="DI696"/>
  <c r="DH696"/>
  <c r="DG696"/>
  <c r="DF696"/>
  <c r="DE696"/>
  <c r="DD696"/>
  <c r="DC696"/>
  <c r="DB696"/>
  <c r="DA696"/>
  <c r="CZ696"/>
  <c r="CY696"/>
  <c r="CX696"/>
  <c r="CW696"/>
  <c r="CV696"/>
  <c r="CU696"/>
  <c r="CT696"/>
  <c r="CS696"/>
  <c r="CR696"/>
  <c r="CQ696"/>
  <c r="CP696"/>
  <c r="CO696"/>
  <c r="CN696"/>
  <c r="CM696"/>
  <c r="CL696"/>
  <c r="CK696"/>
  <c r="CJ696"/>
  <c r="CI696"/>
  <c r="CH696"/>
  <c r="CG696"/>
  <c r="CF696"/>
  <c r="CE696"/>
  <c r="CD696"/>
  <c r="CC696"/>
  <c r="CB696"/>
  <c r="CA696"/>
  <c r="BZ696"/>
  <c r="BY696"/>
  <c r="BX696"/>
  <c r="BW696"/>
  <c r="BV696"/>
  <c r="BU696"/>
  <c r="BT696"/>
  <c r="BS696"/>
  <c r="BR696"/>
  <c r="BQ696"/>
  <c r="BP696"/>
  <c r="BO696"/>
  <c r="BN696"/>
  <c r="DU695"/>
  <c r="DT695"/>
  <c r="DS695"/>
  <c r="DR695"/>
  <c r="DQ695"/>
  <c r="DP695"/>
  <c r="DO695"/>
  <c r="DN695"/>
  <c r="DM695"/>
  <c r="DL695"/>
  <c r="DK695"/>
  <c r="DJ695"/>
  <c r="DI695"/>
  <c r="DH695"/>
  <c r="DG695"/>
  <c r="DF695"/>
  <c r="DE695"/>
  <c r="DD695"/>
  <c r="DC695"/>
  <c r="DB695"/>
  <c r="DA695"/>
  <c r="CZ695"/>
  <c r="CY695"/>
  <c r="CX695"/>
  <c r="CW695"/>
  <c r="CV695"/>
  <c r="CU695"/>
  <c r="CT695"/>
  <c r="CS695"/>
  <c r="CR695"/>
  <c r="CQ695"/>
  <c r="CP695"/>
  <c r="CO695"/>
  <c r="CN695"/>
  <c r="CM695"/>
  <c r="CL695"/>
  <c r="CK695"/>
  <c r="CJ695"/>
  <c r="CI695"/>
  <c r="CH695"/>
  <c r="CG695"/>
  <c r="CF695"/>
  <c r="CE695"/>
  <c r="CD695"/>
  <c r="CC695"/>
  <c r="CB695"/>
  <c r="CA695"/>
  <c r="BZ695"/>
  <c r="BY695"/>
  <c r="BX695"/>
  <c r="BW695"/>
  <c r="BV695"/>
  <c r="BU695"/>
  <c r="BT695"/>
  <c r="BS695"/>
  <c r="BR695"/>
  <c r="BQ695"/>
  <c r="BP695"/>
  <c r="BO695"/>
  <c r="BN695"/>
  <c r="DU694"/>
  <c r="DT694"/>
  <c r="DS694"/>
  <c r="DR694"/>
  <c r="DQ694"/>
  <c r="DP694"/>
  <c r="DO694"/>
  <c r="DN694"/>
  <c r="DM694"/>
  <c r="DL694"/>
  <c r="DK694"/>
  <c r="DJ694"/>
  <c r="DI694"/>
  <c r="DH694"/>
  <c r="DG694"/>
  <c r="DF694"/>
  <c r="DE694"/>
  <c r="DD694"/>
  <c r="DC694"/>
  <c r="DB694"/>
  <c r="DA694"/>
  <c r="CZ694"/>
  <c r="CY694"/>
  <c r="CX694"/>
  <c r="CW694"/>
  <c r="CV694"/>
  <c r="CU694"/>
  <c r="CT694"/>
  <c r="CS694"/>
  <c r="CR694"/>
  <c r="CQ694"/>
  <c r="CP694"/>
  <c r="CO694"/>
  <c r="CN694"/>
  <c r="CM694"/>
  <c r="CL694"/>
  <c r="CK694"/>
  <c r="CJ694"/>
  <c r="CI694"/>
  <c r="CH694"/>
  <c r="CG694"/>
  <c r="CF694"/>
  <c r="CE694"/>
  <c r="CD694"/>
  <c r="CC694"/>
  <c r="CB694"/>
  <c r="CA694"/>
  <c r="BZ694"/>
  <c r="BY694"/>
  <c r="BX694"/>
  <c r="BW694"/>
  <c r="BV694"/>
  <c r="BU694"/>
  <c r="BT694"/>
  <c r="BS694"/>
  <c r="BR694"/>
  <c r="BQ694"/>
  <c r="BP694"/>
  <c r="BO694"/>
  <c r="BN694"/>
  <c r="DU693"/>
  <c r="DT693"/>
  <c r="DS693"/>
  <c r="DR693"/>
  <c r="DQ693"/>
  <c r="DP693"/>
  <c r="DO693"/>
  <c r="DN693"/>
  <c r="DM693"/>
  <c r="DL693"/>
  <c r="DK693"/>
  <c r="DJ693"/>
  <c r="DI693"/>
  <c r="DH693"/>
  <c r="DG693"/>
  <c r="DF693"/>
  <c r="DE693"/>
  <c r="DD693"/>
  <c r="DC693"/>
  <c r="DB693"/>
  <c r="DA693"/>
  <c r="CZ693"/>
  <c r="CY693"/>
  <c r="CX693"/>
  <c r="CW693"/>
  <c r="CV693"/>
  <c r="CU693"/>
  <c r="CT693"/>
  <c r="CS693"/>
  <c r="CR693"/>
  <c r="CQ693"/>
  <c r="CP693"/>
  <c r="CO693"/>
  <c r="CN693"/>
  <c r="CM693"/>
  <c r="CL693"/>
  <c r="CK693"/>
  <c r="CJ693"/>
  <c r="CI693"/>
  <c r="CH693"/>
  <c r="CG693"/>
  <c r="CF693"/>
  <c r="CE693"/>
  <c r="CD693"/>
  <c r="CC693"/>
  <c r="CB693"/>
  <c r="CA693"/>
  <c r="BZ693"/>
  <c r="BY693"/>
  <c r="BX693"/>
  <c r="BW693"/>
  <c r="BV693"/>
  <c r="BU693"/>
  <c r="BT693"/>
  <c r="BS693"/>
  <c r="BR693"/>
  <c r="BQ693"/>
  <c r="BP693"/>
  <c r="BO693"/>
  <c r="BN693"/>
  <c r="DU692"/>
  <c r="DT692"/>
  <c r="DS692"/>
  <c r="DR692"/>
  <c r="DQ692"/>
  <c r="DP692"/>
  <c r="DO692"/>
  <c r="DN692"/>
  <c r="DM692"/>
  <c r="DL692"/>
  <c r="DK692"/>
  <c r="DJ692"/>
  <c r="DI692"/>
  <c r="DH692"/>
  <c r="DG692"/>
  <c r="DF692"/>
  <c r="DE692"/>
  <c r="DD692"/>
  <c r="DC692"/>
  <c r="DB692"/>
  <c r="DA692"/>
  <c r="CZ692"/>
  <c r="CY692"/>
  <c r="CX692"/>
  <c r="CW692"/>
  <c r="CV692"/>
  <c r="CU692"/>
  <c r="CT692"/>
  <c r="CS692"/>
  <c r="CR692"/>
  <c r="CQ692"/>
  <c r="CP692"/>
  <c r="CO692"/>
  <c r="CN692"/>
  <c r="CM692"/>
  <c r="CL692"/>
  <c r="CK692"/>
  <c r="CJ692"/>
  <c r="CI692"/>
  <c r="CH692"/>
  <c r="CG692"/>
  <c r="CF692"/>
  <c r="CE692"/>
  <c r="CD692"/>
  <c r="CC692"/>
  <c r="CB692"/>
  <c r="CA692"/>
  <c r="BZ692"/>
  <c r="BY692"/>
  <c r="BX692"/>
  <c r="BW692"/>
  <c r="BV692"/>
  <c r="BU692"/>
  <c r="BT692"/>
  <c r="BS692"/>
  <c r="BR692"/>
  <c r="BQ692"/>
  <c r="BP692"/>
  <c r="BO692"/>
  <c r="BN692"/>
  <c r="DU691"/>
  <c r="DT691"/>
  <c r="DS691"/>
  <c r="DR691"/>
  <c r="DQ691"/>
  <c r="DP691"/>
  <c r="DO691"/>
  <c r="DN691"/>
  <c r="DM691"/>
  <c r="DL691"/>
  <c r="DK691"/>
  <c r="DJ691"/>
  <c r="DI691"/>
  <c r="DH691"/>
  <c r="DG691"/>
  <c r="DF691"/>
  <c r="DE691"/>
  <c r="DD691"/>
  <c r="DC691"/>
  <c r="DB691"/>
  <c r="DA691"/>
  <c r="CZ691"/>
  <c r="CY691"/>
  <c r="CX691"/>
  <c r="CW691"/>
  <c r="CV691"/>
  <c r="CU691"/>
  <c r="CT691"/>
  <c r="CS691"/>
  <c r="CR691"/>
  <c r="CQ691"/>
  <c r="CP691"/>
  <c r="CO691"/>
  <c r="CN691"/>
  <c r="CM691"/>
  <c r="CL691"/>
  <c r="CK691"/>
  <c r="CJ691"/>
  <c r="CI691"/>
  <c r="CH691"/>
  <c r="CG691"/>
  <c r="CF691"/>
  <c r="CE691"/>
  <c r="CD691"/>
  <c r="CC691"/>
  <c r="CB691"/>
  <c r="CA691"/>
  <c r="BZ691"/>
  <c r="BY691"/>
  <c r="BX691"/>
  <c r="BW691"/>
  <c r="BV691"/>
  <c r="BU691"/>
  <c r="BT691"/>
  <c r="BS691"/>
  <c r="BR691"/>
  <c r="BQ691"/>
  <c r="BP691"/>
  <c r="BO691"/>
  <c r="BN691"/>
  <c r="DU690"/>
  <c r="DT690"/>
  <c r="DS690"/>
  <c r="DR690"/>
  <c r="DQ690"/>
  <c r="DP690"/>
  <c r="DO690"/>
  <c r="DN690"/>
  <c r="DM690"/>
  <c r="DL690"/>
  <c r="DK690"/>
  <c r="DJ690"/>
  <c r="DI690"/>
  <c r="DH690"/>
  <c r="DG690"/>
  <c r="DF690"/>
  <c r="DE690"/>
  <c r="DD690"/>
  <c r="DC690"/>
  <c r="DB690"/>
  <c r="DA690"/>
  <c r="CZ690"/>
  <c r="CY690"/>
  <c r="CX690"/>
  <c r="CW690"/>
  <c r="CV690"/>
  <c r="CU690"/>
  <c r="CT690"/>
  <c r="CS690"/>
  <c r="CR690"/>
  <c r="CQ690"/>
  <c r="CP690"/>
  <c r="CO690"/>
  <c r="CN690"/>
  <c r="CM690"/>
  <c r="CL690"/>
  <c r="CK690"/>
  <c r="CJ690"/>
  <c r="CI690"/>
  <c r="CH690"/>
  <c r="CG690"/>
  <c r="CF690"/>
  <c r="CE690"/>
  <c r="CD690"/>
  <c r="CC690"/>
  <c r="CB690"/>
  <c r="CA690"/>
  <c r="BZ690"/>
  <c r="BY690"/>
  <c r="BX690"/>
  <c r="BW690"/>
  <c r="BV690"/>
  <c r="BU690"/>
  <c r="BT690"/>
  <c r="BS690"/>
  <c r="BR690"/>
  <c r="BQ690"/>
  <c r="BP690"/>
  <c r="BO690"/>
  <c r="BN690"/>
  <c r="DU689"/>
  <c r="DT689"/>
  <c r="DS689"/>
  <c r="DR689"/>
  <c r="DQ689"/>
  <c r="DP689"/>
  <c r="DO689"/>
  <c r="DN689"/>
  <c r="DM689"/>
  <c r="DL689"/>
  <c r="DK689"/>
  <c r="DJ689"/>
  <c r="DI689"/>
  <c r="DH689"/>
  <c r="DG689"/>
  <c r="DF689"/>
  <c r="DE689"/>
  <c r="DD689"/>
  <c r="DC689"/>
  <c r="DB689"/>
  <c r="DA689"/>
  <c r="CZ689"/>
  <c r="CY689"/>
  <c r="CX689"/>
  <c r="CW689"/>
  <c r="CV689"/>
  <c r="CU689"/>
  <c r="CT689"/>
  <c r="CS689"/>
  <c r="CR689"/>
  <c r="CQ689"/>
  <c r="CP689"/>
  <c r="CO689"/>
  <c r="CN689"/>
  <c r="CM689"/>
  <c r="CL689"/>
  <c r="CK689"/>
  <c r="CJ689"/>
  <c r="CI689"/>
  <c r="CH689"/>
  <c r="CG689"/>
  <c r="CF689"/>
  <c r="CE689"/>
  <c r="CD689"/>
  <c r="CC689"/>
  <c r="CB689"/>
  <c r="CA689"/>
  <c r="BZ689"/>
  <c r="BY689"/>
  <c r="BX689"/>
  <c r="BW689"/>
  <c r="BV689"/>
  <c r="BU689"/>
  <c r="BT689"/>
  <c r="BS689"/>
  <c r="BR689"/>
  <c r="BQ689"/>
  <c r="BP689"/>
  <c r="BO689"/>
  <c r="BN689"/>
  <c r="DU688"/>
  <c r="DT688"/>
  <c r="DS688"/>
  <c r="DR688"/>
  <c r="DQ688"/>
  <c r="DP688"/>
  <c r="DO688"/>
  <c r="DN688"/>
  <c r="DM688"/>
  <c r="DL688"/>
  <c r="DK688"/>
  <c r="DJ688"/>
  <c r="DI688"/>
  <c r="DH688"/>
  <c r="DG688"/>
  <c r="DF688"/>
  <c r="DE688"/>
  <c r="DD688"/>
  <c r="DC688"/>
  <c r="DB688"/>
  <c r="DA688"/>
  <c r="CZ688"/>
  <c r="CY688"/>
  <c r="CX688"/>
  <c r="CW688"/>
  <c r="CV688"/>
  <c r="CU688"/>
  <c r="CT688"/>
  <c r="CS688"/>
  <c r="CR688"/>
  <c r="CQ688"/>
  <c r="CP688"/>
  <c r="CO688"/>
  <c r="CN688"/>
  <c r="CM688"/>
  <c r="CL688"/>
  <c r="CK688"/>
  <c r="CJ688"/>
  <c r="CI688"/>
  <c r="CH688"/>
  <c r="CG688"/>
  <c r="CF688"/>
  <c r="CE688"/>
  <c r="CD688"/>
  <c r="CC688"/>
  <c r="CB688"/>
  <c r="CA688"/>
  <c r="BZ688"/>
  <c r="BY688"/>
  <c r="BX688"/>
  <c r="BW688"/>
  <c r="BV688"/>
  <c r="BU688"/>
  <c r="BT688"/>
  <c r="BS688"/>
  <c r="BR688"/>
  <c r="BQ688"/>
  <c r="BP688"/>
  <c r="BO688"/>
  <c r="BN688"/>
  <c r="DU687"/>
  <c r="DT687"/>
  <c r="DS687"/>
  <c r="DR687"/>
  <c r="DQ687"/>
  <c r="DP687"/>
  <c r="DO687"/>
  <c r="DN687"/>
  <c r="DM687"/>
  <c r="DL687"/>
  <c r="DK687"/>
  <c r="DJ687"/>
  <c r="DI687"/>
  <c r="DH687"/>
  <c r="DG687"/>
  <c r="DF687"/>
  <c r="DE687"/>
  <c r="DD687"/>
  <c r="DC687"/>
  <c r="DB687"/>
  <c r="DA687"/>
  <c r="CZ687"/>
  <c r="CY687"/>
  <c r="CX687"/>
  <c r="CW687"/>
  <c r="CV687"/>
  <c r="CU687"/>
  <c r="CT687"/>
  <c r="CS687"/>
  <c r="CR687"/>
  <c r="CQ687"/>
  <c r="CP687"/>
  <c r="CO687"/>
  <c r="CN687"/>
  <c r="CM687"/>
  <c r="CL687"/>
  <c r="CK687"/>
  <c r="CJ687"/>
  <c r="CI687"/>
  <c r="CH687"/>
  <c r="CG687"/>
  <c r="CF687"/>
  <c r="CE687"/>
  <c r="CD687"/>
  <c r="CC687"/>
  <c r="CB687"/>
  <c r="CA687"/>
  <c r="BZ687"/>
  <c r="BY687"/>
  <c r="BX687"/>
  <c r="BW687"/>
  <c r="BV687"/>
  <c r="BU687"/>
  <c r="BT687"/>
  <c r="BS687"/>
  <c r="BR687"/>
  <c r="BQ687"/>
  <c r="BP687"/>
  <c r="BO687"/>
  <c r="BN687"/>
  <c r="DU686"/>
  <c r="DT686"/>
  <c r="DS686"/>
  <c r="DR686"/>
  <c r="DQ686"/>
  <c r="DP686"/>
  <c r="DO686"/>
  <c r="DN686"/>
  <c r="DM686"/>
  <c r="DL686"/>
  <c r="DK686"/>
  <c r="DJ686"/>
  <c r="DI686"/>
  <c r="DH686"/>
  <c r="DG686"/>
  <c r="DF686"/>
  <c r="DE686"/>
  <c r="DD686"/>
  <c r="DC686"/>
  <c r="DB686"/>
  <c r="DA686"/>
  <c r="CZ686"/>
  <c r="CY686"/>
  <c r="CX686"/>
  <c r="CW686"/>
  <c r="CV686"/>
  <c r="CU686"/>
  <c r="CT686"/>
  <c r="CS686"/>
  <c r="CR686"/>
  <c r="CQ686"/>
  <c r="CP686"/>
  <c r="CO686"/>
  <c r="CN686"/>
  <c r="CM686"/>
  <c r="CL686"/>
  <c r="CK686"/>
  <c r="CJ686"/>
  <c r="CI686"/>
  <c r="CH686"/>
  <c r="CG686"/>
  <c r="CF686"/>
  <c r="CE686"/>
  <c r="CD686"/>
  <c r="CC686"/>
  <c r="CB686"/>
  <c r="CA686"/>
  <c r="BZ686"/>
  <c r="BY686"/>
  <c r="BX686"/>
  <c r="BW686"/>
  <c r="BV686"/>
  <c r="BU686"/>
  <c r="BT686"/>
  <c r="BS686"/>
  <c r="BR686"/>
  <c r="BQ686"/>
  <c r="BP686"/>
  <c r="BO686"/>
  <c r="BN686"/>
  <c r="DU685"/>
  <c r="DT685"/>
  <c r="DS685"/>
  <c r="DR685"/>
  <c r="DQ685"/>
  <c r="DP685"/>
  <c r="DO685"/>
  <c r="DN685"/>
  <c r="DM685"/>
  <c r="DL685"/>
  <c r="DK685"/>
  <c r="DJ685"/>
  <c r="DI685"/>
  <c r="DH685"/>
  <c r="DG685"/>
  <c r="DF685"/>
  <c r="DE685"/>
  <c r="DD685"/>
  <c r="DC685"/>
  <c r="DB685"/>
  <c r="DA685"/>
  <c r="CZ685"/>
  <c r="CY685"/>
  <c r="CX685"/>
  <c r="CW685"/>
  <c r="CV685"/>
  <c r="CU685"/>
  <c r="CT685"/>
  <c r="CS685"/>
  <c r="CR685"/>
  <c r="CQ685"/>
  <c r="CP685"/>
  <c r="CO685"/>
  <c r="CN685"/>
  <c r="CM685"/>
  <c r="CL685"/>
  <c r="CK685"/>
  <c r="CJ685"/>
  <c r="CI685"/>
  <c r="CH685"/>
  <c r="CG685"/>
  <c r="CF685"/>
  <c r="CE685"/>
  <c r="CD685"/>
  <c r="CC685"/>
  <c r="CB685"/>
  <c r="CA685"/>
  <c r="BZ685"/>
  <c r="BY685"/>
  <c r="BX685"/>
  <c r="BW685"/>
  <c r="BV685"/>
  <c r="BU685"/>
  <c r="BT685"/>
  <c r="BS685"/>
  <c r="BR685"/>
  <c r="BQ685"/>
  <c r="BP685"/>
  <c r="BO685"/>
  <c r="BN685"/>
  <c r="DU684"/>
  <c r="DT684"/>
  <c r="DS684"/>
  <c r="DR684"/>
  <c r="DQ684"/>
  <c r="DP684"/>
  <c r="DO684"/>
  <c r="DN684"/>
  <c r="DM684"/>
  <c r="DL684"/>
  <c r="DK684"/>
  <c r="DJ684"/>
  <c r="DI684"/>
  <c r="DH684"/>
  <c r="DG684"/>
  <c r="DF684"/>
  <c r="DE684"/>
  <c r="DD684"/>
  <c r="DC684"/>
  <c r="DB684"/>
  <c r="DA684"/>
  <c r="CZ684"/>
  <c r="CY684"/>
  <c r="CX684"/>
  <c r="CW684"/>
  <c r="CV684"/>
  <c r="CU684"/>
  <c r="CT684"/>
  <c r="CS684"/>
  <c r="CR684"/>
  <c r="CQ684"/>
  <c r="CP684"/>
  <c r="CO684"/>
  <c r="CN684"/>
  <c r="CM684"/>
  <c r="CL684"/>
  <c r="CK684"/>
  <c r="CJ684"/>
  <c r="CI684"/>
  <c r="CH684"/>
  <c r="CG684"/>
  <c r="CF684"/>
  <c r="CE684"/>
  <c r="CD684"/>
  <c r="CC684"/>
  <c r="CB684"/>
  <c r="CA684"/>
  <c r="BZ684"/>
  <c r="BY684"/>
  <c r="BX684"/>
  <c r="BW684"/>
  <c r="BV684"/>
  <c r="BU684"/>
  <c r="BT684"/>
  <c r="BS684"/>
  <c r="BR684"/>
  <c r="BQ684"/>
  <c r="BP684"/>
  <c r="BO684"/>
  <c r="BN684"/>
  <c r="DU683"/>
  <c r="DT683"/>
  <c r="DS683"/>
  <c r="DR683"/>
  <c r="DQ683"/>
  <c r="DP683"/>
  <c r="DO683"/>
  <c r="DN683"/>
  <c r="DM683"/>
  <c r="DL683"/>
  <c r="DK683"/>
  <c r="DJ683"/>
  <c r="DI683"/>
  <c r="DH683"/>
  <c r="DG683"/>
  <c r="DF683"/>
  <c r="DE683"/>
  <c r="DD683"/>
  <c r="DC683"/>
  <c r="DB683"/>
  <c r="DA683"/>
  <c r="CZ683"/>
  <c r="CY683"/>
  <c r="CX683"/>
  <c r="CW683"/>
  <c r="CV683"/>
  <c r="CU683"/>
  <c r="CT683"/>
  <c r="CS683"/>
  <c r="CR683"/>
  <c r="CQ683"/>
  <c r="CP683"/>
  <c r="CO683"/>
  <c r="CN683"/>
  <c r="CM683"/>
  <c r="CL683"/>
  <c r="CK683"/>
  <c r="CJ683"/>
  <c r="CI683"/>
  <c r="CH683"/>
  <c r="CG683"/>
  <c r="CF683"/>
  <c r="CE683"/>
  <c r="CD683"/>
  <c r="CC683"/>
  <c r="CB683"/>
  <c r="CA683"/>
  <c r="BZ683"/>
  <c r="BY683"/>
  <c r="BX683"/>
  <c r="BW683"/>
  <c r="BV683"/>
  <c r="BU683"/>
  <c r="BT683"/>
  <c r="BS683"/>
  <c r="BR683"/>
  <c r="BQ683"/>
  <c r="BP683"/>
  <c r="BO683"/>
  <c r="BN683"/>
  <c r="DU682"/>
  <c r="DT682"/>
  <c r="DS682"/>
  <c r="DR682"/>
  <c r="DQ682"/>
  <c r="DP682"/>
  <c r="DO682"/>
  <c r="DN682"/>
  <c r="DM682"/>
  <c r="DL682"/>
  <c r="DK682"/>
  <c r="DJ682"/>
  <c r="DI682"/>
  <c r="DH682"/>
  <c r="DG682"/>
  <c r="DF682"/>
  <c r="DE682"/>
  <c r="DD682"/>
  <c r="DC682"/>
  <c r="DB682"/>
  <c r="DA682"/>
  <c r="CZ682"/>
  <c r="CY682"/>
  <c r="CX682"/>
  <c r="CW682"/>
  <c r="CV682"/>
  <c r="CU682"/>
  <c r="CT682"/>
  <c r="CS682"/>
  <c r="CR682"/>
  <c r="CQ682"/>
  <c r="CP682"/>
  <c r="CO682"/>
  <c r="CN682"/>
  <c r="CM682"/>
  <c r="CL682"/>
  <c r="CK682"/>
  <c r="CJ682"/>
  <c r="CI682"/>
  <c r="CH682"/>
  <c r="CG682"/>
  <c r="CF682"/>
  <c r="CE682"/>
  <c r="CD682"/>
  <c r="CC682"/>
  <c r="CB682"/>
  <c r="CA682"/>
  <c r="BZ682"/>
  <c r="BY682"/>
  <c r="BX682"/>
  <c r="BW682"/>
  <c r="BV682"/>
  <c r="BU682"/>
  <c r="BT682"/>
  <c r="BS682"/>
  <c r="BR682"/>
  <c r="BQ682"/>
  <c r="BP682"/>
  <c r="BO682"/>
  <c r="BN682"/>
  <c r="DU681"/>
  <c r="DT681"/>
  <c r="DS681"/>
  <c r="DR681"/>
  <c r="DQ681"/>
  <c r="DP681"/>
  <c r="DO681"/>
  <c r="DN681"/>
  <c r="DM681"/>
  <c r="DL681"/>
  <c r="DK681"/>
  <c r="DJ681"/>
  <c r="DI681"/>
  <c r="DH681"/>
  <c r="DG681"/>
  <c r="DF681"/>
  <c r="DE681"/>
  <c r="DD681"/>
  <c r="DC681"/>
  <c r="DB681"/>
  <c r="DA681"/>
  <c r="CZ681"/>
  <c r="CY681"/>
  <c r="CX681"/>
  <c r="CW681"/>
  <c r="CV681"/>
  <c r="CU681"/>
  <c r="CT681"/>
  <c r="CS681"/>
  <c r="CR681"/>
  <c r="CQ681"/>
  <c r="CP681"/>
  <c r="CO681"/>
  <c r="CN681"/>
  <c r="CM681"/>
  <c r="CL681"/>
  <c r="CK681"/>
  <c r="CJ681"/>
  <c r="CI681"/>
  <c r="CH681"/>
  <c r="CG681"/>
  <c r="CF681"/>
  <c r="CE681"/>
  <c r="CD681"/>
  <c r="CC681"/>
  <c r="CB681"/>
  <c r="CA681"/>
  <c r="BZ681"/>
  <c r="BY681"/>
  <c r="BX681"/>
  <c r="BW681"/>
  <c r="BV681"/>
  <c r="BU681"/>
  <c r="BT681"/>
  <c r="BS681"/>
  <c r="BR681"/>
  <c r="BQ681"/>
  <c r="BP681"/>
  <c r="BO681"/>
  <c r="BN681"/>
  <c r="DU680"/>
  <c r="DT680"/>
  <c r="DS680"/>
  <c r="DR680"/>
  <c r="DQ680"/>
  <c r="DP680"/>
  <c r="DO680"/>
  <c r="DN680"/>
  <c r="DM680"/>
  <c r="DL680"/>
  <c r="DK680"/>
  <c r="DJ680"/>
  <c r="DI680"/>
  <c r="DH680"/>
  <c r="DG680"/>
  <c r="DF680"/>
  <c r="DE680"/>
  <c r="DD680"/>
  <c r="DC680"/>
  <c r="DB680"/>
  <c r="DA680"/>
  <c r="CZ680"/>
  <c r="CY680"/>
  <c r="CX680"/>
  <c r="CW680"/>
  <c r="CV680"/>
  <c r="CU680"/>
  <c r="CT680"/>
  <c r="CS680"/>
  <c r="CR680"/>
  <c r="CQ680"/>
  <c r="CP680"/>
  <c r="CO680"/>
  <c r="CN680"/>
  <c r="CM680"/>
  <c r="CL680"/>
  <c r="CK680"/>
  <c r="CJ680"/>
  <c r="CI680"/>
  <c r="CH680"/>
  <c r="CG680"/>
  <c r="CF680"/>
  <c r="CE680"/>
  <c r="CD680"/>
  <c r="CC680"/>
  <c r="CB680"/>
  <c r="CA680"/>
  <c r="BZ680"/>
  <c r="BY680"/>
  <c r="BX680"/>
  <c r="BW680"/>
  <c r="BV680"/>
  <c r="BU680"/>
  <c r="BT680"/>
  <c r="BS680"/>
  <c r="BR680"/>
  <c r="BQ680"/>
  <c r="BP680"/>
  <c r="BO680"/>
  <c r="BN680"/>
  <c r="DU679"/>
  <c r="DT679"/>
  <c r="DS679"/>
  <c r="DR679"/>
  <c r="DQ679"/>
  <c r="DP679"/>
  <c r="DO679"/>
  <c r="DN679"/>
  <c r="DM679"/>
  <c r="DL679"/>
  <c r="DK679"/>
  <c r="DJ679"/>
  <c r="DI679"/>
  <c r="DH679"/>
  <c r="DG679"/>
  <c r="DF679"/>
  <c r="DE679"/>
  <c r="DD679"/>
  <c r="DC679"/>
  <c r="DB679"/>
  <c r="DA679"/>
  <c r="CZ679"/>
  <c r="CY679"/>
  <c r="CX679"/>
  <c r="CW679"/>
  <c r="CV679"/>
  <c r="CU679"/>
  <c r="CT679"/>
  <c r="CS679"/>
  <c r="CR679"/>
  <c r="CQ679"/>
  <c r="CP679"/>
  <c r="CO679"/>
  <c r="CN679"/>
  <c r="CM679"/>
  <c r="CL679"/>
  <c r="CK679"/>
  <c r="CJ679"/>
  <c r="CI679"/>
  <c r="CH679"/>
  <c r="CG679"/>
  <c r="CF679"/>
  <c r="CE679"/>
  <c r="CD679"/>
  <c r="CC679"/>
  <c r="CB679"/>
  <c r="CA679"/>
  <c r="BZ679"/>
  <c r="BY679"/>
  <c r="BX679"/>
  <c r="BW679"/>
  <c r="BV679"/>
  <c r="BU679"/>
  <c r="BT679"/>
  <c r="BS679"/>
  <c r="BR679"/>
  <c r="BQ679"/>
  <c r="BP679"/>
  <c r="BO679"/>
  <c r="BN679"/>
  <c r="DU678"/>
  <c r="DT678"/>
  <c r="DS678"/>
  <c r="DR678"/>
  <c r="DQ678"/>
  <c r="DP678"/>
  <c r="DO678"/>
  <c r="DN678"/>
  <c r="DM678"/>
  <c r="DL678"/>
  <c r="DK678"/>
  <c r="DJ678"/>
  <c r="DI678"/>
  <c r="DH678"/>
  <c r="DG678"/>
  <c r="DF678"/>
  <c r="DE678"/>
  <c r="DD678"/>
  <c r="DC678"/>
  <c r="DB678"/>
  <c r="DA678"/>
  <c r="CZ678"/>
  <c r="CY678"/>
  <c r="CX678"/>
  <c r="CW678"/>
  <c r="CV678"/>
  <c r="CU678"/>
  <c r="CT678"/>
  <c r="CS678"/>
  <c r="CR678"/>
  <c r="CQ678"/>
  <c r="CP678"/>
  <c r="CO678"/>
  <c r="CN678"/>
  <c r="CM678"/>
  <c r="CL678"/>
  <c r="CK678"/>
  <c r="CJ678"/>
  <c r="CI678"/>
  <c r="CH678"/>
  <c r="CG678"/>
  <c r="CF678"/>
  <c r="CE678"/>
  <c r="CD678"/>
  <c r="CC678"/>
  <c r="CB678"/>
  <c r="CA678"/>
  <c r="BZ678"/>
  <c r="BY678"/>
  <c r="BX678"/>
  <c r="BW678"/>
  <c r="BV678"/>
  <c r="BU678"/>
  <c r="BT678"/>
  <c r="BS678"/>
  <c r="BR678"/>
  <c r="BQ678"/>
  <c r="BP678"/>
  <c r="BO678"/>
  <c r="BN678"/>
  <c r="DU677"/>
  <c r="DT677"/>
  <c r="DS677"/>
  <c r="DR677"/>
  <c r="DQ677"/>
  <c r="DP677"/>
  <c r="DO677"/>
  <c r="DN677"/>
  <c r="DM677"/>
  <c r="DL677"/>
  <c r="DK677"/>
  <c r="DJ677"/>
  <c r="DI677"/>
  <c r="DH677"/>
  <c r="DG677"/>
  <c r="DF677"/>
  <c r="DE677"/>
  <c r="DD677"/>
  <c r="DC677"/>
  <c r="DB677"/>
  <c r="DA677"/>
  <c r="CZ677"/>
  <c r="CY677"/>
  <c r="CX677"/>
  <c r="CW677"/>
  <c r="CV677"/>
  <c r="CU677"/>
  <c r="CT677"/>
  <c r="CS677"/>
  <c r="CR677"/>
  <c r="CQ677"/>
  <c r="CP677"/>
  <c r="CO677"/>
  <c r="CN677"/>
  <c r="CM677"/>
  <c r="CL677"/>
  <c r="CK677"/>
  <c r="CJ677"/>
  <c r="CI677"/>
  <c r="CH677"/>
  <c r="CG677"/>
  <c r="CF677"/>
  <c r="CE677"/>
  <c r="CD677"/>
  <c r="CC677"/>
  <c r="CB677"/>
  <c r="CA677"/>
  <c r="BZ677"/>
  <c r="BY677"/>
  <c r="BX677"/>
  <c r="BW677"/>
  <c r="BV677"/>
  <c r="BU677"/>
  <c r="BT677"/>
  <c r="BS677"/>
  <c r="BR677"/>
  <c r="BQ677"/>
  <c r="BP677"/>
  <c r="BO677"/>
  <c r="BN677"/>
  <c r="DU676"/>
  <c r="DT676"/>
  <c r="DS676"/>
  <c r="DR676"/>
  <c r="DQ676"/>
  <c r="DP676"/>
  <c r="DO676"/>
  <c r="DN676"/>
  <c r="DM676"/>
  <c r="DL676"/>
  <c r="DK676"/>
  <c r="DJ676"/>
  <c r="DI676"/>
  <c r="DH676"/>
  <c r="DG676"/>
  <c r="DF676"/>
  <c r="DE676"/>
  <c r="DD676"/>
  <c r="DC676"/>
  <c r="DB676"/>
  <c r="DA676"/>
  <c r="CZ676"/>
  <c r="CY676"/>
  <c r="CX676"/>
  <c r="CW676"/>
  <c r="CV676"/>
  <c r="CU676"/>
  <c r="CT676"/>
  <c r="CS676"/>
  <c r="CR676"/>
  <c r="CQ676"/>
  <c r="CP676"/>
  <c r="CO676"/>
  <c r="CN676"/>
  <c r="CM676"/>
  <c r="CL676"/>
  <c r="CK676"/>
  <c r="CJ676"/>
  <c r="CI676"/>
  <c r="CH676"/>
  <c r="CG676"/>
  <c r="CF676"/>
  <c r="CE676"/>
  <c r="CD676"/>
  <c r="CC676"/>
  <c r="CB676"/>
  <c r="CA676"/>
  <c r="BZ676"/>
  <c r="BY676"/>
  <c r="BX676"/>
  <c r="BW676"/>
  <c r="BV676"/>
  <c r="BU676"/>
  <c r="BT676"/>
  <c r="BS676"/>
  <c r="BR676"/>
  <c r="BQ676"/>
  <c r="BP676"/>
  <c r="BO676"/>
  <c r="BN676"/>
  <c r="DU675"/>
  <c r="DT675"/>
  <c r="DS675"/>
  <c r="DR675"/>
  <c r="DQ675"/>
  <c r="DP675"/>
  <c r="DO675"/>
  <c r="DN675"/>
  <c r="DM675"/>
  <c r="DL675"/>
  <c r="DK675"/>
  <c r="DJ675"/>
  <c r="DI675"/>
  <c r="DH675"/>
  <c r="DG675"/>
  <c r="DF675"/>
  <c r="DE675"/>
  <c r="DD675"/>
  <c r="DC675"/>
  <c r="DB675"/>
  <c r="DA675"/>
  <c r="CZ675"/>
  <c r="CY675"/>
  <c r="CX675"/>
  <c r="CW675"/>
  <c r="CV675"/>
  <c r="CU675"/>
  <c r="CT675"/>
  <c r="CS675"/>
  <c r="CR675"/>
  <c r="CQ675"/>
  <c r="CP675"/>
  <c r="CO675"/>
  <c r="CN675"/>
  <c r="CM675"/>
  <c r="CL675"/>
  <c r="CK675"/>
  <c r="CJ675"/>
  <c r="CI675"/>
  <c r="CH675"/>
  <c r="CG675"/>
  <c r="CF675"/>
  <c r="CE675"/>
  <c r="CD675"/>
  <c r="CC675"/>
  <c r="CB675"/>
  <c r="CA675"/>
  <c r="BZ675"/>
  <c r="BY675"/>
  <c r="BX675"/>
  <c r="BW675"/>
  <c r="BV675"/>
  <c r="BU675"/>
  <c r="BT675"/>
  <c r="BS675"/>
  <c r="BR675"/>
  <c r="BQ675"/>
  <c r="BP675"/>
  <c r="BO675"/>
  <c r="BN675"/>
  <c r="DU674"/>
  <c r="DT674"/>
  <c r="DS674"/>
  <c r="DR674"/>
  <c r="DQ674"/>
  <c r="DP674"/>
  <c r="DO674"/>
  <c r="DN674"/>
  <c r="DM674"/>
  <c r="DL674"/>
  <c r="DK674"/>
  <c r="DJ674"/>
  <c r="DI674"/>
  <c r="DH674"/>
  <c r="DG674"/>
  <c r="DF674"/>
  <c r="DE674"/>
  <c r="DD674"/>
  <c r="DC674"/>
  <c r="DB674"/>
  <c r="DA674"/>
  <c r="CZ674"/>
  <c r="CY674"/>
  <c r="CX674"/>
  <c r="CW674"/>
  <c r="CV674"/>
  <c r="CU674"/>
  <c r="CT674"/>
  <c r="CS674"/>
  <c r="CR674"/>
  <c r="CQ674"/>
  <c r="CP674"/>
  <c r="CO674"/>
  <c r="CN674"/>
  <c r="CM674"/>
  <c r="CL674"/>
  <c r="CK674"/>
  <c r="CJ674"/>
  <c r="CI674"/>
  <c r="CH674"/>
  <c r="CG674"/>
  <c r="CF674"/>
  <c r="CE674"/>
  <c r="CD674"/>
  <c r="CC674"/>
  <c r="CB674"/>
  <c r="CA674"/>
  <c r="BZ674"/>
  <c r="BY674"/>
  <c r="BX674"/>
  <c r="BW674"/>
  <c r="BV674"/>
  <c r="BU674"/>
  <c r="BT674"/>
  <c r="BS674"/>
  <c r="BR674"/>
  <c r="BQ674"/>
  <c r="BP674"/>
  <c r="BO674"/>
  <c r="BN674"/>
  <c r="DU673"/>
  <c r="DT673"/>
  <c r="DS673"/>
  <c r="DR673"/>
  <c r="DQ673"/>
  <c r="DP673"/>
  <c r="DO673"/>
  <c r="DN673"/>
  <c r="DM673"/>
  <c r="DL673"/>
  <c r="DK673"/>
  <c r="DJ673"/>
  <c r="DI673"/>
  <c r="DH673"/>
  <c r="DG673"/>
  <c r="DF673"/>
  <c r="DE673"/>
  <c r="DD673"/>
  <c r="DC673"/>
  <c r="DB673"/>
  <c r="DA673"/>
  <c r="CZ673"/>
  <c r="CY673"/>
  <c r="CX673"/>
  <c r="CW673"/>
  <c r="CV673"/>
  <c r="CU673"/>
  <c r="CT673"/>
  <c r="CS673"/>
  <c r="CR673"/>
  <c r="CQ673"/>
  <c r="CP673"/>
  <c r="CO673"/>
  <c r="CN673"/>
  <c r="CM673"/>
  <c r="CL673"/>
  <c r="CK673"/>
  <c r="CJ673"/>
  <c r="CI673"/>
  <c r="CH673"/>
  <c r="CG673"/>
  <c r="CF673"/>
  <c r="CE673"/>
  <c r="CD673"/>
  <c r="CC673"/>
  <c r="CB673"/>
  <c r="CA673"/>
  <c r="BZ673"/>
  <c r="BY673"/>
  <c r="BX673"/>
  <c r="BW673"/>
  <c r="BV673"/>
  <c r="BU673"/>
  <c r="BT673"/>
  <c r="BS673"/>
  <c r="BR673"/>
  <c r="BQ673"/>
  <c r="BP673"/>
  <c r="BO673"/>
  <c r="BN673"/>
  <c r="DU672"/>
  <c r="DT672"/>
  <c r="DS672"/>
  <c r="DR672"/>
  <c r="DQ672"/>
  <c r="DP672"/>
  <c r="DO672"/>
  <c r="DN672"/>
  <c r="DM672"/>
  <c r="DL672"/>
  <c r="DK672"/>
  <c r="DJ672"/>
  <c r="DI672"/>
  <c r="DH672"/>
  <c r="DG672"/>
  <c r="DF672"/>
  <c r="DE672"/>
  <c r="DD672"/>
  <c r="DC672"/>
  <c r="DB672"/>
  <c r="DA672"/>
  <c r="CZ672"/>
  <c r="CY672"/>
  <c r="CX672"/>
  <c r="CW672"/>
  <c r="CV672"/>
  <c r="CU672"/>
  <c r="CT672"/>
  <c r="CS672"/>
  <c r="CR672"/>
  <c r="CQ672"/>
  <c r="CP672"/>
  <c r="CO672"/>
  <c r="CN672"/>
  <c r="CM672"/>
  <c r="CL672"/>
  <c r="CK672"/>
  <c r="CJ672"/>
  <c r="CI672"/>
  <c r="CH672"/>
  <c r="CG672"/>
  <c r="CF672"/>
  <c r="CE672"/>
  <c r="CD672"/>
  <c r="CC672"/>
  <c r="CB672"/>
  <c r="CA672"/>
  <c r="BZ672"/>
  <c r="BY672"/>
  <c r="BX672"/>
  <c r="BW672"/>
  <c r="BV672"/>
  <c r="BU672"/>
  <c r="BT672"/>
  <c r="BS672"/>
  <c r="BR672"/>
  <c r="BQ672"/>
  <c r="BP672"/>
  <c r="BO672"/>
  <c r="BN672"/>
  <c r="DU671"/>
  <c r="DT671"/>
  <c r="DS671"/>
  <c r="DR671"/>
  <c r="DQ671"/>
  <c r="DP671"/>
  <c r="DO671"/>
  <c r="DN671"/>
  <c r="DM671"/>
  <c r="DL671"/>
  <c r="DK671"/>
  <c r="DJ671"/>
  <c r="DI671"/>
  <c r="DH671"/>
  <c r="DG671"/>
  <c r="DF671"/>
  <c r="DE671"/>
  <c r="DD671"/>
  <c r="DC671"/>
  <c r="DB671"/>
  <c r="DA671"/>
  <c r="CZ671"/>
  <c r="CY671"/>
  <c r="CX671"/>
  <c r="CW671"/>
  <c r="CV671"/>
  <c r="CU671"/>
  <c r="CT671"/>
  <c r="CS671"/>
  <c r="CR671"/>
  <c r="CQ671"/>
  <c r="CP671"/>
  <c r="CO671"/>
  <c r="CN671"/>
  <c r="CM671"/>
  <c r="CL671"/>
  <c r="CK671"/>
  <c r="CJ671"/>
  <c r="CI671"/>
  <c r="CH671"/>
  <c r="CG671"/>
  <c r="CF671"/>
  <c r="CE671"/>
  <c r="CD671"/>
  <c r="CC671"/>
  <c r="CB671"/>
  <c r="CA671"/>
  <c r="BZ671"/>
  <c r="BY671"/>
  <c r="BX671"/>
  <c r="BW671"/>
  <c r="BV671"/>
  <c r="BU671"/>
  <c r="BT671"/>
  <c r="BS671"/>
  <c r="BR671"/>
  <c r="BQ671"/>
  <c r="BP671"/>
  <c r="BO671"/>
  <c r="BN671"/>
  <c r="DU670"/>
  <c r="DT670"/>
  <c r="DS670"/>
  <c r="DR670"/>
  <c r="DQ670"/>
  <c r="DP670"/>
  <c r="DO670"/>
  <c r="DN670"/>
  <c r="DM670"/>
  <c r="DL670"/>
  <c r="DK670"/>
  <c r="DJ670"/>
  <c r="DI670"/>
  <c r="DH670"/>
  <c r="DG670"/>
  <c r="DF670"/>
  <c r="DE670"/>
  <c r="DD670"/>
  <c r="DC670"/>
  <c r="DB670"/>
  <c r="DA670"/>
  <c r="CZ670"/>
  <c r="CY670"/>
  <c r="CX670"/>
  <c r="CW670"/>
  <c r="CV670"/>
  <c r="CU670"/>
  <c r="CT670"/>
  <c r="CS670"/>
  <c r="CR670"/>
  <c r="CQ670"/>
  <c r="CP670"/>
  <c r="CO670"/>
  <c r="CN670"/>
  <c r="CM670"/>
  <c r="CL670"/>
  <c r="CK670"/>
  <c r="CJ670"/>
  <c r="CI670"/>
  <c r="CH670"/>
  <c r="CG670"/>
  <c r="CF670"/>
  <c r="CE670"/>
  <c r="CD670"/>
  <c r="CC670"/>
  <c r="CB670"/>
  <c r="CA670"/>
  <c r="BZ670"/>
  <c r="BY670"/>
  <c r="BX670"/>
  <c r="BW670"/>
  <c r="BV670"/>
  <c r="BU670"/>
  <c r="BT670"/>
  <c r="BS670"/>
  <c r="BR670"/>
  <c r="BQ670"/>
  <c r="BP670"/>
  <c r="BO670"/>
  <c r="BN670"/>
  <c r="DU669"/>
  <c r="DT669"/>
  <c r="DS669"/>
  <c r="DR669"/>
  <c r="DQ669"/>
  <c r="DP669"/>
  <c r="DO669"/>
  <c r="DN669"/>
  <c r="DM669"/>
  <c r="DL669"/>
  <c r="DK669"/>
  <c r="DJ669"/>
  <c r="DI669"/>
  <c r="DH669"/>
  <c r="DG669"/>
  <c r="DF669"/>
  <c r="DE669"/>
  <c r="DD669"/>
  <c r="DC669"/>
  <c r="DB669"/>
  <c r="DA669"/>
  <c r="CZ669"/>
  <c r="CY669"/>
  <c r="CX669"/>
  <c r="CW669"/>
  <c r="CV669"/>
  <c r="CU669"/>
  <c r="CT669"/>
  <c r="CS669"/>
  <c r="CR669"/>
  <c r="CQ669"/>
  <c r="CP669"/>
  <c r="CO669"/>
  <c r="CN669"/>
  <c r="CM669"/>
  <c r="CL669"/>
  <c r="CK669"/>
  <c r="CJ669"/>
  <c r="CI669"/>
  <c r="CH669"/>
  <c r="CG669"/>
  <c r="CF669"/>
  <c r="CE669"/>
  <c r="CD669"/>
  <c r="CC669"/>
  <c r="CB669"/>
  <c r="CA669"/>
  <c r="BZ669"/>
  <c r="BY669"/>
  <c r="BX669"/>
  <c r="BW669"/>
  <c r="BV669"/>
  <c r="BU669"/>
  <c r="BT669"/>
  <c r="BS669"/>
  <c r="BR669"/>
  <c r="BQ669"/>
  <c r="BP669"/>
  <c r="BO669"/>
  <c r="BN669"/>
  <c r="DU668"/>
  <c r="DT668"/>
  <c r="DS668"/>
  <c r="DR668"/>
  <c r="DQ668"/>
  <c r="DP668"/>
  <c r="DO668"/>
  <c r="DN668"/>
  <c r="DM668"/>
  <c r="DL668"/>
  <c r="DK668"/>
  <c r="DJ668"/>
  <c r="DI668"/>
  <c r="DH668"/>
  <c r="DG668"/>
  <c r="DF668"/>
  <c r="DE668"/>
  <c r="DD668"/>
  <c r="DC668"/>
  <c r="DB668"/>
  <c r="DA668"/>
  <c r="CZ668"/>
  <c r="CY668"/>
  <c r="CX668"/>
  <c r="CW668"/>
  <c r="CV668"/>
  <c r="CU668"/>
  <c r="CT668"/>
  <c r="CS668"/>
  <c r="CR668"/>
  <c r="CQ668"/>
  <c r="CP668"/>
  <c r="CO668"/>
  <c r="CN668"/>
  <c r="CM668"/>
  <c r="CL668"/>
  <c r="CK668"/>
  <c r="CJ668"/>
  <c r="CI668"/>
  <c r="CH668"/>
  <c r="CG668"/>
  <c r="CF668"/>
  <c r="CE668"/>
  <c r="CD668"/>
  <c r="CC668"/>
  <c r="CB668"/>
  <c r="CA668"/>
  <c r="BZ668"/>
  <c r="BY668"/>
  <c r="BX668"/>
  <c r="BW668"/>
  <c r="BV668"/>
  <c r="BU668"/>
  <c r="BT668"/>
  <c r="BS668"/>
  <c r="BR668"/>
  <c r="BQ668"/>
  <c r="BP668"/>
  <c r="BO668"/>
  <c r="BN668"/>
  <c r="DU667"/>
  <c r="DT667"/>
  <c r="DS667"/>
  <c r="DR667"/>
  <c r="DQ667"/>
  <c r="DP667"/>
  <c r="DO667"/>
  <c r="DN667"/>
  <c r="DM667"/>
  <c r="DL667"/>
  <c r="DK667"/>
  <c r="DJ667"/>
  <c r="DI667"/>
  <c r="DH667"/>
  <c r="DG667"/>
  <c r="DF667"/>
  <c r="DE667"/>
  <c r="DD667"/>
  <c r="DC667"/>
  <c r="DB667"/>
  <c r="DA667"/>
  <c r="CZ667"/>
  <c r="CY667"/>
  <c r="CX667"/>
  <c r="CW667"/>
  <c r="CV667"/>
  <c r="CU667"/>
  <c r="CT667"/>
  <c r="CS667"/>
  <c r="CR667"/>
  <c r="CQ667"/>
  <c r="CP667"/>
  <c r="CO667"/>
  <c r="CN667"/>
  <c r="CM667"/>
  <c r="CL667"/>
  <c r="CK667"/>
  <c r="CJ667"/>
  <c r="CI667"/>
  <c r="CH667"/>
  <c r="CG667"/>
  <c r="CF667"/>
  <c r="CE667"/>
  <c r="CD667"/>
  <c r="CC667"/>
  <c r="CB667"/>
  <c r="CA667"/>
  <c r="BZ667"/>
  <c r="BY667"/>
  <c r="BX667"/>
  <c r="BW667"/>
  <c r="BV667"/>
  <c r="BU667"/>
  <c r="BT667"/>
  <c r="BS667"/>
  <c r="BR667"/>
  <c r="BQ667"/>
  <c r="BP667"/>
  <c r="BO667"/>
  <c r="BN667"/>
  <c r="DU666"/>
  <c r="DT666"/>
  <c r="DS666"/>
  <c r="DR666"/>
  <c r="DQ666"/>
  <c r="DP666"/>
  <c r="DO666"/>
  <c r="DN666"/>
  <c r="DM666"/>
  <c r="DL666"/>
  <c r="DK666"/>
  <c r="DJ666"/>
  <c r="DI666"/>
  <c r="DH666"/>
  <c r="DG666"/>
  <c r="DF666"/>
  <c r="DE666"/>
  <c r="DD666"/>
  <c r="DC666"/>
  <c r="DB666"/>
  <c r="DA666"/>
  <c r="CZ666"/>
  <c r="CY666"/>
  <c r="CX666"/>
  <c r="CW666"/>
  <c r="CV666"/>
  <c r="CU666"/>
  <c r="CT666"/>
  <c r="CS666"/>
  <c r="CR666"/>
  <c r="CQ666"/>
  <c r="CP666"/>
  <c r="CO666"/>
  <c r="CN666"/>
  <c r="CM666"/>
  <c r="CL666"/>
  <c r="CK666"/>
  <c r="CJ666"/>
  <c r="CI666"/>
  <c r="CH666"/>
  <c r="CG666"/>
  <c r="CF666"/>
  <c r="CE666"/>
  <c r="CD666"/>
  <c r="CC666"/>
  <c r="CB666"/>
  <c r="CA666"/>
  <c r="BZ666"/>
  <c r="BY666"/>
  <c r="BX666"/>
  <c r="BW666"/>
  <c r="BV666"/>
  <c r="BU666"/>
  <c r="BT666"/>
  <c r="BS666"/>
  <c r="BR666"/>
  <c r="BQ666"/>
  <c r="BP666"/>
  <c r="BO666"/>
  <c r="BN666"/>
  <c r="DU665"/>
  <c r="DT665"/>
  <c r="DS665"/>
  <c r="DR665"/>
  <c r="DQ665"/>
  <c r="DP665"/>
  <c r="DO665"/>
  <c r="DN665"/>
  <c r="DM665"/>
  <c r="DL665"/>
  <c r="DK665"/>
  <c r="DJ665"/>
  <c r="DI665"/>
  <c r="DH665"/>
  <c r="DG665"/>
  <c r="DF665"/>
  <c r="DE665"/>
  <c r="DD665"/>
  <c r="DC665"/>
  <c r="DB665"/>
  <c r="DA665"/>
  <c r="CZ665"/>
  <c r="CY665"/>
  <c r="CX665"/>
  <c r="CW665"/>
  <c r="CV665"/>
  <c r="CU665"/>
  <c r="CT665"/>
  <c r="CS665"/>
  <c r="CR665"/>
  <c r="CQ665"/>
  <c r="CP665"/>
  <c r="CO665"/>
  <c r="CN665"/>
  <c r="CM665"/>
  <c r="CL665"/>
  <c r="CK665"/>
  <c r="CJ665"/>
  <c r="CI665"/>
  <c r="CH665"/>
  <c r="CG665"/>
  <c r="CF665"/>
  <c r="CE665"/>
  <c r="CD665"/>
  <c r="CC665"/>
  <c r="CB665"/>
  <c r="CA665"/>
  <c r="BZ665"/>
  <c r="BY665"/>
  <c r="BX665"/>
  <c r="BW665"/>
  <c r="BV665"/>
  <c r="BU665"/>
  <c r="BT665"/>
  <c r="BS665"/>
  <c r="BR665"/>
  <c r="BQ665"/>
  <c r="BP665"/>
  <c r="BO665"/>
  <c r="BN665"/>
  <c r="DU664"/>
  <c r="DT664"/>
  <c r="DS664"/>
  <c r="DR664"/>
  <c r="DQ664"/>
  <c r="DP664"/>
  <c r="DO664"/>
  <c r="DN664"/>
  <c r="DM664"/>
  <c r="DL664"/>
  <c r="DK664"/>
  <c r="DJ664"/>
  <c r="DI664"/>
  <c r="DH664"/>
  <c r="DG664"/>
  <c r="DF664"/>
  <c r="DE664"/>
  <c r="DD664"/>
  <c r="DC664"/>
  <c r="DB664"/>
  <c r="DA664"/>
  <c r="CZ664"/>
  <c r="CY664"/>
  <c r="CX664"/>
  <c r="CW664"/>
  <c r="CV664"/>
  <c r="CU664"/>
  <c r="CT664"/>
  <c r="CS664"/>
  <c r="CR664"/>
  <c r="CQ664"/>
  <c r="CP664"/>
  <c r="CO664"/>
  <c r="CN664"/>
  <c r="CM664"/>
  <c r="CL664"/>
  <c r="CK664"/>
  <c r="CJ664"/>
  <c r="CI664"/>
  <c r="CH664"/>
  <c r="CG664"/>
  <c r="CF664"/>
  <c r="CE664"/>
  <c r="CD664"/>
  <c r="CC664"/>
  <c r="CB664"/>
  <c r="CA664"/>
  <c r="BZ664"/>
  <c r="BY664"/>
  <c r="BX664"/>
  <c r="BW664"/>
  <c r="BV664"/>
  <c r="BU664"/>
  <c r="BT664"/>
  <c r="BS664"/>
  <c r="BR664"/>
  <c r="BQ664"/>
  <c r="BP664"/>
  <c r="BO664"/>
  <c r="BN664"/>
  <c r="DU663"/>
  <c r="DT663"/>
  <c r="DS663"/>
  <c r="DR663"/>
  <c r="DQ663"/>
  <c r="DP663"/>
  <c r="DO663"/>
  <c r="DN663"/>
  <c r="DM663"/>
  <c r="DL663"/>
  <c r="DK663"/>
  <c r="DJ663"/>
  <c r="DI663"/>
  <c r="DH663"/>
  <c r="DG663"/>
  <c r="DF663"/>
  <c r="DE663"/>
  <c r="DD663"/>
  <c r="DC663"/>
  <c r="DB663"/>
  <c r="DA663"/>
  <c r="CZ663"/>
  <c r="CY663"/>
  <c r="CX663"/>
  <c r="CW663"/>
  <c r="CV663"/>
  <c r="CU663"/>
  <c r="CT663"/>
  <c r="CS663"/>
  <c r="CR663"/>
  <c r="CQ663"/>
  <c r="CP663"/>
  <c r="CO663"/>
  <c r="CN663"/>
  <c r="CM663"/>
  <c r="CL663"/>
  <c r="CK663"/>
  <c r="CJ663"/>
  <c r="CI663"/>
  <c r="CH663"/>
  <c r="CG663"/>
  <c r="CF663"/>
  <c r="CE663"/>
  <c r="CD663"/>
  <c r="CC663"/>
  <c r="CB663"/>
  <c r="CA663"/>
  <c r="BZ663"/>
  <c r="BY663"/>
  <c r="BX663"/>
  <c r="BW663"/>
  <c r="BV663"/>
  <c r="BU663"/>
  <c r="BT663"/>
  <c r="BS663"/>
  <c r="BR663"/>
  <c r="BQ663"/>
  <c r="BP663"/>
  <c r="BO663"/>
  <c r="BN663"/>
  <c r="DU662"/>
  <c r="DT662"/>
  <c r="DS662"/>
  <c r="DR662"/>
  <c r="DQ662"/>
  <c r="DP662"/>
  <c r="DO662"/>
  <c r="DN662"/>
  <c r="DM662"/>
  <c r="DL662"/>
  <c r="DK662"/>
  <c r="DJ662"/>
  <c r="DI662"/>
  <c r="DH662"/>
  <c r="DG662"/>
  <c r="DF662"/>
  <c r="DE662"/>
  <c r="DD662"/>
  <c r="DC662"/>
  <c r="DB662"/>
  <c r="DA662"/>
  <c r="CZ662"/>
  <c r="CY662"/>
  <c r="CX662"/>
  <c r="CW662"/>
  <c r="CV662"/>
  <c r="CU662"/>
  <c r="CT662"/>
  <c r="CS662"/>
  <c r="CR662"/>
  <c r="CQ662"/>
  <c r="CP662"/>
  <c r="CO662"/>
  <c r="CN662"/>
  <c r="CM662"/>
  <c r="CL662"/>
  <c r="CK662"/>
  <c r="CJ662"/>
  <c r="CI662"/>
  <c r="CH662"/>
  <c r="CG662"/>
  <c r="CF662"/>
  <c r="CE662"/>
  <c r="CD662"/>
  <c r="CC662"/>
  <c r="CB662"/>
  <c r="CA662"/>
  <c r="BZ662"/>
  <c r="BY662"/>
  <c r="BX662"/>
  <c r="BW662"/>
  <c r="BV662"/>
  <c r="BU662"/>
  <c r="BT662"/>
  <c r="BS662"/>
  <c r="BR662"/>
  <c r="BQ662"/>
  <c r="BP662"/>
  <c r="BO662"/>
  <c r="BN662"/>
  <c r="DU661"/>
  <c r="DT661"/>
  <c r="DS661"/>
  <c r="DR661"/>
  <c r="DQ661"/>
  <c r="DP661"/>
  <c r="DO661"/>
  <c r="DN661"/>
  <c r="DM661"/>
  <c r="DL661"/>
  <c r="DK661"/>
  <c r="DJ661"/>
  <c r="DI661"/>
  <c r="DH661"/>
  <c r="DG661"/>
  <c r="DF661"/>
  <c r="DE661"/>
  <c r="DD661"/>
  <c r="DC661"/>
  <c r="DB661"/>
  <c r="DA661"/>
  <c r="CZ661"/>
  <c r="CY661"/>
  <c r="CX661"/>
  <c r="CW661"/>
  <c r="CV661"/>
  <c r="CU661"/>
  <c r="CT661"/>
  <c r="CS661"/>
  <c r="CR661"/>
  <c r="CQ661"/>
  <c r="CP661"/>
  <c r="CO661"/>
  <c r="CN661"/>
  <c r="CM661"/>
  <c r="CL661"/>
  <c r="CK661"/>
  <c r="CJ661"/>
  <c r="CI661"/>
  <c r="CH661"/>
  <c r="CG661"/>
  <c r="CF661"/>
  <c r="CE661"/>
  <c r="CD661"/>
  <c r="CC661"/>
  <c r="CB661"/>
  <c r="CA661"/>
  <c r="BZ661"/>
  <c r="BY661"/>
  <c r="BX661"/>
  <c r="BW661"/>
  <c r="BV661"/>
  <c r="BU661"/>
  <c r="BT661"/>
  <c r="BS661"/>
  <c r="BR661"/>
  <c r="BQ661"/>
  <c r="BP661"/>
  <c r="BO661"/>
  <c r="BN661"/>
  <c r="DU660"/>
  <c r="DT660"/>
  <c r="DS660"/>
  <c r="DR660"/>
  <c r="DQ660"/>
  <c r="DP660"/>
  <c r="DO660"/>
  <c r="DN660"/>
  <c r="DM660"/>
  <c r="DL660"/>
  <c r="DK660"/>
  <c r="DJ660"/>
  <c r="DI660"/>
  <c r="DH660"/>
  <c r="DG660"/>
  <c r="DF660"/>
  <c r="DE660"/>
  <c r="DD660"/>
  <c r="DC660"/>
  <c r="DB660"/>
  <c r="DA660"/>
  <c r="CZ660"/>
  <c r="CY660"/>
  <c r="CX660"/>
  <c r="CW660"/>
  <c r="CV660"/>
  <c r="CU660"/>
  <c r="CT660"/>
  <c r="CS660"/>
  <c r="CR660"/>
  <c r="CQ660"/>
  <c r="CP660"/>
  <c r="CO660"/>
  <c r="CN660"/>
  <c r="CM660"/>
  <c r="CL660"/>
  <c r="CK660"/>
  <c r="CJ660"/>
  <c r="CI660"/>
  <c r="CH660"/>
  <c r="CG660"/>
  <c r="CF660"/>
  <c r="CE660"/>
  <c r="CD660"/>
  <c r="CC660"/>
  <c r="CB660"/>
  <c r="CA660"/>
  <c r="BZ660"/>
  <c r="BY660"/>
  <c r="BX660"/>
  <c r="BW660"/>
  <c r="BV660"/>
  <c r="BU660"/>
  <c r="BT660"/>
  <c r="BS660"/>
  <c r="BR660"/>
  <c r="BQ660"/>
  <c r="BP660"/>
  <c r="BO660"/>
  <c r="BN660"/>
  <c r="DU659"/>
  <c r="DT659"/>
  <c r="DS659"/>
  <c r="DR659"/>
  <c r="DQ659"/>
  <c r="DP659"/>
  <c r="DO659"/>
  <c r="DN659"/>
  <c r="DM659"/>
  <c r="DL659"/>
  <c r="DK659"/>
  <c r="DJ659"/>
  <c r="DI659"/>
  <c r="DH659"/>
  <c r="DG659"/>
  <c r="DF659"/>
  <c r="DE659"/>
  <c r="DD659"/>
  <c r="DC659"/>
  <c r="DB659"/>
  <c r="DA659"/>
  <c r="CZ659"/>
  <c r="CY659"/>
  <c r="CX659"/>
  <c r="CW659"/>
  <c r="CV659"/>
  <c r="CU659"/>
  <c r="CT659"/>
  <c r="CS659"/>
  <c r="CR659"/>
  <c r="CQ659"/>
  <c r="CP659"/>
  <c r="CO659"/>
  <c r="CN659"/>
  <c r="CM659"/>
  <c r="CL659"/>
  <c r="CK659"/>
  <c r="CJ659"/>
  <c r="CI659"/>
  <c r="CH659"/>
  <c r="CG659"/>
  <c r="CF659"/>
  <c r="CE659"/>
  <c r="CD659"/>
  <c r="CC659"/>
  <c r="CB659"/>
  <c r="CA659"/>
  <c r="BZ659"/>
  <c r="BY659"/>
  <c r="BX659"/>
  <c r="BW659"/>
  <c r="BV659"/>
  <c r="BU659"/>
  <c r="BT659"/>
  <c r="BS659"/>
  <c r="BR659"/>
  <c r="BQ659"/>
  <c r="BP659"/>
  <c r="BO659"/>
  <c r="BN659"/>
  <c r="DU658"/>
  <c r="DT658"/>
  <c r="DS658"/>
  <c r="DR658"/>
  <c r="DQ658"/>
  <c r="DP658"/>
  <c r="DO658"/>
  <c r="DN658"/>
  <c r="DM658"/>
  <c r="DL658"/>
  <c r="DK658"/>
  <c r="DJ658"/>
  <c r="DI658"/>
  <c r="DH658"/>
  <c r="DG658"/>
  <c r="DF658"/>
  <c r="DE658"/>
  <c r="DD658"/>
  <c r="DC658"/>
  <c r="DB658"/>
  <c r="DA658"/>
  <c r="CZ658"/>
  <c r="CY658"/>
  <c r="CX658"/>
  <c r="CW658"/>
  <c r="CV658"/>
  <c r="CU658"/>
  <c r="CT658"/>
  <c r="CS658"/>
  <c r="CR658"/>
  <c r="CQ658"/>
  <c r="CP658"/>
  <c r="CO658"/>
  <c r="CN658"/>
  <c r="CM658"/>
  <c r="CL658"/>
  <c r="CK658"/>
  <c r="CJ658"/>
  <c r="CI658"/>
  <c r="CH658"/>
  <c r="CG658"/>
  <c r="CF658"/>
  <c r="CE658"/>
  <c r="CD658"/>
  <c r="CC658"/>
  <c r="CB658"/>
  <c r="CA658"/>
  <c r="BZ658"/>
  <c r="BY658"/>
  <c r="BX658"/>
  <c r="BW658"/>
  <c r="BV658"/>
  <c r="BU658"/>
  <c r="BT658"/>
  <c r="BS658"/>
  <c r="BR658"/>
  <c r="BQ658"/>
  <c r="BP658"/>
  <c r="BO658"/>
  <c r="BN658"/>
  <c r="DU657"/>
  <c r="DT657"/>
  <c r="DS657"/>
  <c r="DR657"/>
  <c r="DQ657"/>
  <c r="DP657"/>
  <c r="DO657"/>
  <c r="DN657"/>
  <c r="DM657"/>
  <c r="DL657"/>
  <c r="DK657"/>
  <c r="DJ657"/>
  <c r="DI657"/>
  <c r="DH657"/>
  <c r="DG657"/>
  <c r="DF657"/>
  <c r="DE657"/>
  <c r="DD657"/>
  <c r="DC657"/>
  <c r="DB657"/>
  <c r="DA657"/>
  <c r="CZ657"/>
  <c r="CY657"/>
  <c r="CX657"/>
  <c r="CW657"/>
  <c r="CV657"/>
  <c r="CU657"/>
  <c r="CT657"/>
  <c r="CS657"/>
  <c r="CR657"/>
  <c r="CQ657"/>
  <c r="CP657"/>
  <c r="CO657"/>
  <c r="CN657"/>
  <c r="CM657"/>
  <c r="CL657"/>
  <c r="CK657"/>
  <c r="CJ657"/>
  <c r="CI657"/>
  <c r="CH657"/>
  <c r="CG657"/>
  <c r="CF657"/>
  <c r="CE657"/>
  <c r="CD657"/>
  <c r="CC657"/>
  <c r="CB657"/>
  <c r="CA657"/>
  <c r="BZ657"/>
  <c r="BY657"/>
  <c r="BX657"/>
  <c r="BW657"/>
  <c r="BV657"/>
  <c r="BU657"/>
  <c r="BT657"/>
  <c r="BS657"/>
  <c r="BR657"/>
  <c r="BQ657"/>
  <c r="BP657"/>
  <c r="BO657"/>
  <c r="BN657"/>
  <c r="DU656"/>
  <c r="DT656"/>
  <c r="DS656"/>
  <c r="DR656"/>
  <c r="DQ656"/>
  <c r="DP656"/>
  <c r="DO656"/>
  <c r="DN656"/>
  <c r="DM656"/>
  <c r="DL656"/>
  <c r="DK656"/>
  <c r="DJ656"/>
  <c r="DI656"/>
  <c r="DH656"/>
  <c r="DG656"/>
  <c r="DF656"/>
  <c r="DE656"/>
  <c r="DD656"/>
  <c r="DC656"/>
  <c r="DB656"/>
  <c r="DA656"/>
  <c r="CZ656"/>
  <c r="CY656"/>
  <c r="CX656"/>
  <c r="CW656"/>
  <c r="CV656"/>
  <c r="CU656"/>
  <c r="CT656"/>
  <c r="CS656"/>
  <c r="CR656"/>
  <c r="CQ656"/>
  <c r="CP656"/>
  <c r="CO656"/>
  <c r="CN656"/>
  <c r="CM656"/>
  <c r="CL656"/>
  <c r="CK656"/>
  <c r="CJ656"/>
  <c r="CI656"/>
  <c r="CH656"/>
  <c r="CG656"/>
  <c r="CF656"/>
  <c r="CE656"/>
  <c r="CD656"/>
  <c r="CC656"/>
  <c r="CB656"/>
  <c r="CA656"/>
  <c r="BZ656"/>
  <c r="BY656"/>
  <c r="BX656"/>
  <c r="BW656"/>
  <c r="BV656"/>
  <c r="BU656"/>
  <c r="BT656"/>
  <c r="BS656"/>
  <c r="BR656"/>
  <c r="BQ656"/>
  <c r="BP656"/>
  <c r="BO656"/>
  <c r="BN656"/>
  <c r="DU655"/>
  <c r="DT655"/>
  <c r="DS655"/>
  <c r="DR655"/>
  <c r="DQ655"/>
  <c r="DP655"/>
  <c r="DO655"/>
  <c r="DN655"/>
  <c r="DM655"/>
  <c r="DL655"/>
  <c r="DK655"/>
  <c r="DJ655"/>
  <c r="DI655"/>
  <c r="DH655"/>
  <c r="DG655"/>
  <c r="DF655"/>
  <c r="DE655"/>
  <c r="DD655"/>
  <c r="DC655"/>
  <c r="DB655"/>
  <c r="DA655"/>
  <c r="CZ655"/>
  <c r="CY655"/>
  <c r="CX655"/>
  <c r="CW655"/>
  <c r="CV655"/>
  <c r="CU655"/>
  <c r="CT655"/>
  <c r="CS655"/>
  <c r="CR655"/>
  <c r="CQ655"/>
  <c r="CP655"/>
  <c r="CO655"/>
  <c r="CN655"/>
  <c r="CM655"/>
  <c r="CL655"/>
  <c r="CK655"/>
  <c r="CJ655"/>
  <c r="CI655"/>
  <c r="CH655"/>
  <c r="CG655"/>
  <c r="CF655"/>
  <c r="CE655"/>
  <c r="CD655"/>
  <c r="CC655"/>
  <c r="CB655"/>
  <c r="CA655"/>
  <c r="BZ655"/>
  <c r="BY655"/>
  <c r="BX655"/>
  <c r="BW655"/>
  <c r="BV655"/>
  <c r="BU655"/>
  <c r="BT655"/>
  <c r="BS655"/>
  <c r="BR655"/>
  <c r="BQ655"/>
  <c r="BP655"/>
  <c r="BO655"/>
  <c r="BN655"/>
  <c r="DU654"/>
  <c r="DT654"/>
  <c r="DS654"/>
  <c r="DR654"/>
  <c r="DQ654"/>
  <c r="DP654"/>
  <c r="DO654"/>
  <c r="DN654"/>
  <c r="DM654"/>
  <c r="DL654"/>
  <c r="DK654"/>
  <c r="DJ654"/>
  <c r="DI654"/>
  <c r="DH654"/>
  <c r="DG654"/>
  <c r="DF654"/>
  <c r="DE654"/>
  <c r="DD654"/>
  <c r="DC654"/>
  <c r="DB654"/>
  <c r="DA654"/>
  <c r="CZ654"/>
  <c r="CY654"/>
  <c r="CX654"/>
  <c r="CW654"/>
  <c r="CV654"/>
  <c r="CU654"/>
  <c r="CT654"/>
  <c r="CS654"/>
  <c r="CR654"/>
  <c r="CQ654"/>
  <c r="CP654"/>
  <c r="CO654"/>
  <c r="CN654"/>
  <c r="CM654"/>
  <c r="CL654"/>
  <c r="CK654"/>
  <c r="CJ654"/>
  <c r="CI654"/>
  <c r="CH654"/>
  <c r="CG654"/>
  <c r="CF654"/>
  <c r="CE654"/>
  <c r="CD654"/>
  <c r="CC654"/>
  <c r="CB654"/>
  <c r="CA654"/>
  <c r="BZ654"/>
  <c r="BY654"/>
  <c r="BX654"/>
  <c r="BW654"/>
  <c r="BV654"/>
  <c r="BU654"/>
  <c r="BT654"/>
  <c r="BS654"/>
  <c r="BR654"/>
  <c r="BQ654"/>
  <c r="BP654"/>
  <c r="BO654"/>
  <c r="BN654"/>
  <c r="DU653"/>
  <c r="DT653"/>
  <c r="DS653"/>
  <c r="DR653"/>
  <c r="DQ653"/>
  <c r="DP653"/>
  <c r="DO653"/>
  <c r="DN653"/>
  <c r="DM653"/>
  <c r="DL653"/>
  <c r="DK653"/>
  <c r="DJ653"/>
  <c r="DI653"/>
  <c r="DH653"/>
  <c r="DG653"/>
  <c r="DF653"/>
  <c r="DE653"/>
  <c r="DD653"/>
  <c r="DC653"/>
  <c r="DB653"/>
  <c r="DA653"/>
  <c r="CZ653"/>
  <c r="CY653"/>
  <c r="CX653"/>
  <c r="CW653"/>
  <c r="CV653"/>
  <c r="CU653"/>
  <c r="CT653"/>
  <c r="CS653"/>
  <c r="CR653"/>
  <c r="CQ653"/>
  <c r="CP653"/>
  <c r="CO653"/>
  <c r="CN653"/>
  <c r="CM653"/>
  <c r="CL653"/>
  <c r="CK653"/>
  <c r="CJ653"/>
  <c r="CI653"/>
  <c r="CH653"/>
  <c r="CG653"/>
  <c r="CF653"/>
  <c r="CE653"/>
  <c r="CD653"/>
  <c r="CC653"/>
  <c r="CB653"/>
  <c r="CA653"/>
  <c r="BZ653"/>
  <c r="BY653"/>
  <c r="BX653"/>
  <c r="BW653"/>
  <c r="BV653"/>
  <c r="BU653"/>
  <c r="BT653"/>
  <c r="BS653"/>
  <c r="BR653"/>
  <c r="BQ653"/>
  <c r="BP653"/>
  <c r="BO653"/>
  <c r="BN653"/>
  <c r="DU652"/>
  <c r="DT652"/>
  <c r="DS652"/>
  <c r="DR652"/>
  <c r="DQ652"/>
  <c r="DP652"/>
  <c r="DO652"/>
  <c r="DN652"/>
  <c r="DM652"/>
  <c r="DL652"/>
  <c r="DK652"/>
  <c r="DJ652"/>
  <c r="DI652"/>
  <c r="DH652"/>
  <c r="DG652"/>
  <c r="DF652"/>
  <c r="DE652"/>
  <c r="DD652"/>
  <c r="DC652"/>
  <c r="DB652"/>
  <c r="DA652"/>
  <c r="CZ652"/>
  <c r="CY652"/>
  <c r="CX652"/>
  <c r="CW652"/>
  <c r="CV652"/>
  <c r="CU652"/>
  <c r="CT652"/>
  <c r="CS652"/>
  <c r="CR652"/>
  <c r="CQ652"/>
  <c r="CP652"/>
  <c r="CO652"/>
  <c r="CN652"/>
  <c r="CM652"/>
  <c r="CL652"/>
  <c r="CK652"/>
  <c r="CJ652"/>
  <c r="CI652"/>
  <c r="CH652"/>
  <c r="CG652"/>
  <c r="CF652"/>
  <c r="CE652"/>
  <c r="CD652"/>
  <c r="CC652"/>
  <c r="CB652"/>
  <c r="CA652"/>
  <c r="BZ652"/>
  <c r="BY652"/>
  <c r="BX652"/>
  <c r="BW652"/>
  <c r="BV652"/>
  <c r="BU652"/>
  <c r="BT652"/>
  <c r="BS652"/>
  <c r="BR652"/>
  <c r="BQ652"/>
  <c r="BP652"/>
  <c r="BO652"/>
  <c r="BN652"/>
  <c r="DU651"/>
  <c r="DT651"/>
  <c r="DS651"/>
  <c r="DR651"/>
  <c r="DQ651"/>
  <c r="DP651"/>
  <c r="DO651"/>
  <c r="DN651"/>
  <c r="DM651"/>
  <c r="DL651"/>
  <c r="DK651"/>
  <c r="DJ651"/>
  <c r="DI651"/>
  <c r="DH651"/>
  <c r="DG651"/>
  <c r="DF651"/>
  <c r="DE651"/>
  <c r="DD651"/>
  <c r="DC651"/>
  <c r="DB651"/>
  <c r="DA651"/>
  <c r="CZ651"/>
  <c r="CY651"/>
  <c r="CX651"/>
  <c r="CW651"/>
  <c r="CV651"/>
  <c r="CU651"/>
  <c r="CT651"/>
  <c r="CS651"/>
  <c r="CR651"/>
  <c r="CQ651"/>
  <c r="CP651"/>
  <c r="CO651"/>
  <c r="CN651"/>
  <c r="CM651"/>
  <c r="CL651"/>
  <c r="CK651"/>
  <c r="CJ651"/>
  <c r="CI651"/>
  <c r="CH651"/>
  <c r="CG651"/>
  <c r="CF651"/>
  <c r="CE651"/>
  <c r="CD651"/>
  <c r="CC651"/>
  <c r="CB651"/>
  <c r="CA651"/>
  <c r="BZ651"/>
  <c r="BY651"/>
  <c r="BX651"/>
  <c r="BW651"/>
  <c r="BV651"/>
  <c r="BU651"/>
  <c r="BT651"/>
  <c r="BS651"/>
  <c r="BR651"/>
  <c r="BQ651"/>
  <c r="BP651"/>
  <c r="BO651"/>
  <c r="BN651"/>
  <c r="DU650"/>
  <c r="DT650"/>
  <c r="DS650"/>
  <c r="DR650"/>
  <c r="DQ650"/>
  <c r="DP650"/>
  <c r="DO650"/>
  <c r="DN650"/>
  <c r="DM650"/>
  <c r="DL650"/>
  <c r="DK650"/>
  <c r="DJ650"/>
  <c r="DI650"/>
  <c r="DH650"/>
  <c r="DG650"/>
  <c r="DF650"/>
  <c r="DE650"/>
  <c r="DD650"/>
  <c r="DC650"/>
  <c r="DB650"/>
  <c r="DA650"/>
  <c r="CZ650"/>
  <c r="CY650"/>
  <c r="CX650"/>
  <c r="CW650"/>
  <c r="CV650"/>
  <c r="CU650"/>
  <c r="CT650"/>
  <c r="CS650"/>
  <c r="CR650"/>
  <c r="CQ650"/>
  <c r="CP650"/>
  <c r="CO650"/>
  <c r="CN650"/>
  <c r="CM650"/>
  <c r="CL650"/>
  <c r="CK650"/>
  <c r="CJ650"/>
  <c r="CI650"/>
  <c r="CH650"/>
  <c r="CG650"/>
  <c r="CF650"/>
  <c r="CE650"/>
  <c r="CD650"/>
  <c r="CC650"/>
  <c r="CB650"/>
  <c r="CA650"/>
  <c r="BZ650"/>
  <c r="BY650"/>
  <c r="BX650"/>
  <c r="BW650"/>
  <c r="BV650"/>
  <c r="BU650"/>
  <c r="BT650"/>
  <c r="BS650"/>
  <c r="BR650"/>
  <c r="BQ650"/>
  <c r="BP650"/>
  <c r="BO650"/>
  <c r="BN650"/>
  <c r="DU649"/>
  <c r="DT649"/>
  <c r="DS649"/>
  <c r="DR649"/>
  <c r="DQ649"/>
  <c r="DP649"/>
  <c r="DO649"/>
  <c r="DN649"/>
  <c r="DM649"/>
  <c r="DL649"/>
  <c r="DK649"/>
  <c r="DJ649"/>
  <c r="DI649"/>
  <c r="DH649"/>
  <c r="DG649"/>
  <c r="DF649"/>
  <c r="DE649"/>
  <c r="DD649"/>
  <c r="DC649"/>
  <c r="DB649"/>
  <c r="DA649"/>
  <c r="CZ649"/>
  <c r="CY649"/>
  <c r="CX649"/>
  <c r="CW649"/>
  <c r="CV649"/>
  <c r="CU649"/>
  <c r="CT649"/>
  <c r="CS649"/>
  <c r="CR649"/>
  <c r="CQ649"/>
  <c r="CP649"/>
  <c r="CO649"/>
  <c r="CN649"/>
  <c r="CM649"/>
  <c r="CL649"/>
  <c r="CK649"/>
  <c r="CJ649"/>
  <c r="CI649"/>
  <c r="CH649"/>
  <c r="CG649"/>
  <c r="CF649"/>
  <c r="CE649"/>
  <c r="CD649"/>
  <c r="CC649"/>
  <c r="CB649"/>
  <c r="CA649"/>
  <c r="BZ649"/>
  <c r="BY649"/>
  <c r="BX649"/>
  <c r="BW649"/>
  <c r="BV649"/>
  <c r="BU649"/>
  <c r="BT649"/>
  <c r="BS649"/>
  <c r="BR649"/>
  <c r="BQ649"/>
  <c r="BP649"/>
  <c r="BO649"/>
  <c r="BN649"/>
  <c r="DU648"/>
  <c r="DT648"/>
  <c r="DS648"/>
  <c r="DR648"/>
  <c r="DQ648"/>
  <c r="DP648"/>
  <c r="DO648"/>
  <c r="DN648"/>
  <c r="DM648"/>
  <c r="DL648"/>
  <c r="DK648"/>
  <c r="DJ648"/>
  <c r="DI648"/>
  <c r="DH648"/>
  <c r="DG648"/>
  <c r="DF648"/>
  <c r="DE648"/>
  <c r="DD648"/>
  <c r="DC648"/>
  <c r="DB648"/>
  <c r="DA648"/>
  <c r="CZ648"/>
  <c r="CY648"/>
  <c r="CX648"/>
  <c r="CW648"/>
  <c r="CV648"/>
  <c r="CU648"/>
  <c r="CT648"/>
  <c r="CS648"/>
  <c r="CR648"/>
  <c r="CQ648"/>
  <c r="CP648"/>
  <c r="CO648"/>
  <c r="CN648"/>
  <c r="CM648"/>
  <c r="CL648"/>
  <c r="CK648"/>
  <c r="CJ648"/>
  <c r="CI648"/>
  <c r="CH648"/>
  <c r="CG648"/>
  <c r="CF648"/>
  <c r="CE648"/>
  <c r="CD648"/>
  <c r="CC648"/>
  <c r="CB648"/>
  <c r="CA648"/>
  <c r="BZ648"/>
  <c r="BY648"/>
  <c r="BX648"/>
  <c r="BW648"/>
  <c r="BV648"/>
  <c r="BU648"/>
  <c r="BT648"/>
  <c r="BS648"/>
  <c r="BR648"/>
  <c r="BQ648"/>
  <c r="BP648"/>
  <c r="BO648"/>
  <c r="BN648"/>
  <c r="DU647"/>
  <c r="DT647"/>
  <c r="DS647"/>
  <c r="DR647"/>
  <c r="DQ647"/>
  <c r="DP647"/>
  <c r="DO647"/>
  <c r="DN647"/>
  <c r="DM647"/>
  <c r="DL647"/>
  <c r="DK647"/>
  <c r="DJ647"/>
  <c r="DI647"/>
  <c r="DH647"/>
  <c r="DG647"/>
  <c r="DF647"/>
  <c r="DE647"/>
  <c r="DD647"/>
  <c r="DC647"/>
  <c r="DB647"/>
  <c r="DA647"/>
  <c r="CZ647"/>
  <c r="CY647"/>
  <c r="CX647"/>
  <c r="CW647"/>
  <c r="CV647"/>
  <c r="CU647"/>
  <c r="CT647"/>
  <c r="CS647"/>
  <c r="CR647"/>
  <c r="CQ647"/>
  <c r="CP647"/>
  <c r="CO647"/>
  <c r="CN647"/>
  <c r="CM647"/>
  <c r="CL647"/>
  <c r="CK647"/>
  <c r="CJ647"/>
  <c r="CI647"/>
  <c r="CH647"/>
  <c r="CG647"/>
  <c r="CF647"/>
  <c r="CE647"/>
  <c r="CD647"/>
  <c r="CC647"/>
  <c r="CB647"/>
  <c r="CA647"/>
  <c r="BZ647"/>
  <c r="BY647"/>
  <c r="BX647"/>
  <c r="BW647"/>
  <c r="BV647"/>
  <c r="BU647"/>
  <c r="BT647"/>
  <c r="BS647"/>
  <c r="BR647"/>
  <c r="BQ647"/>
  <c r="BP647"/>
  <c r="BO647"/>
  <c r="BN647"/>
  <c r="DU646"/>
  <c r="DT646"/>
  <c r="DS646"/>
  <c r="DR646"/>
  <c r="DQ646"/>
  <c r="DP646"/>
  <c r="DO646"/>
  <c r="DN646"/>
  <c r="DM646"/>
  <c r="DL646"/>
  <c r="DK646"/>
  <c r="DJ646"/>
  <c r="DI646"/>
  <c r="DH646"/>
  <c r="DG646"/>
  <c r="DF646"/>
  <c r="DE646"/>
  <c r="DD646"/>
  <c r="DC646"/>
  <c r="DB646"/>
  <c r="DA646"/>
  <c r="CZ646"/>
  <c r="CY646"/>
  <c r="CX646"/>
  <c r="CW646"/>
  <c r="CV646"/>
  <c r="CU646"/>
  <c r="CT646"/>
  <c r="CS646"/>
  <c r="CR646"/>
  <c r="CQ646"/>
  <c r="CP646"/>
  <c r="CO646"/>
  <c r="CN646"/>
  <c r="CM646"/>
  <c r="CL646"/>
  <c r="CK646"/>
  <c r="CJ646"/>
  <c r="CI646"/>
  <c r="CH646"/>
  <c r="CG646"/>
  <c r="CF646"/>
  <c r="CE646"/>
  <c r="CD646"/>
  <c r="CC646"/>
  <c r="CB646"/>
  <c r="CA646"/>
  <c r="BZ646"/>
  <c r="BY646"/>
  <c r="BX646"/>
  <c r="BW646"/>
  <c r="BV646"/>
  <c r="BU646"/>
  <c r="BT646"/>
  <c r="BS646"/>
  <c r="BR646"/>
  <c r="BQ646"/>
  <c r="BP646"/>
  <c r="BO646"/>
  <c r="BN646"/>
  <c r="DU645"/>
  <c r="DT645"/>
  <c r="DS645"/>
  <c r="DR645"/>
  <c r="DQ645"/>
  <c r="DP645"/>
  <c r="DO645"/>
  <c r="DN645"/>
  <c r="DM645"/>
  <c r="DL645"/>
  <c r="DK645"/>
  <c r="DJ645"/>
  <c r="DI645"/>
  <c r="DH645"/>
  <c r="DG645"/>
  <c r="DF645"/>
  <c r="DE645"/>
  <c r="DD645"/>
  <c r="DC645"/>
  <c r="DB645"/>
  <c r="DA645"/>
  <c r="CZ645"/>
  <c r="CY645"/>
  <c r="CX645"/>
  <c r="CW645"/>
  <c r="CV645"/>
  <c r="CU645"/>
  <c r="CT645"/>
  <c r="CS645"/>
  <c r="CR645"/>
  <c r="CQ645"/>
  <c r="CP645"/>
  <c r="CO645"/>
  <c r="CN645"/>
  <c r="CM645"/>
  <c r="CL645"/>
  <c r="CK645"/>
  <c r="CJ645"/>
  <c r="CI645"/>
  <c r="CH645"/>
  <c r="CG645"/>
  <c r="CF645"/>
  <c r="CE645"/>
  <c r="CD645"/>
  <c r="CC645"/>
  <c r="CB645"/>
  <c r="CA645"/>
  <c r="BZ645"/>
  <c r="BY645"/>
  <c r="BX645"/>
  <c r="BW645"/>
  <c r="BV645"/>
  <c r="BU645"/>
  <c r="BT645"/>
  <c r="BS645"/>
  <c r="BR645"/>
  <c r="BQ645"/>
  <c r="BP645"/>
  <c r="BO645"/>
  <c r="BN645"/>
  <c r="DU644"/>
  <c r="DT644"/>
  <c r="DS644"/>
  <c r="DR644"/>
  <c r="DQ644"/>
  <c r="DP644"/>
  <c r="DO644"/>
  <c r="DN644"/>
  <c r="DM644"/>
  <c r="DL644"/>
  <c r="DK644"/>
  <c r="DJ644"/>
  <c r="DI644"/>
  <c r="DH644"/>
  <c r="DG644"/>
  <c r="DF644"/>
  <c r="DE644"/>
  <c r="DD644"/>
  <c r="DC644"/>
  <c r="DB644"/>
  <c r="DA644"/>
  <c r="CZ644"/>
  <c r="CY644"/>
  <c r="CX644"/>
  <c r="CW644"/>
  <c r="CV644"/>
  <c r="CU644"/>
  <c r="CT644"/>
  <c r="CS644"/>
  <c r="CR644"/>
  <c r="CQ644"/>
  <c r="CP644"/>
  <c r="CO644"/>
  <c r="CN644"/>
  <c r="CM644"/>
  <c r="CL644"/>
  <c r="CK644"/>
  <c r="CJ644"/>
  <c r="CI644"/>
  <c r="CH644"/>
  <c r="CG644"/>
  <c r="CF644"/>
  <c r="CE644"/>
  <c r="CD644"/>
  <c r="CC644"/>
  <c r="CB644"/>
  <c r="CA644"/>
  <c r="BZ644"/>
  <c r="BY644"/>
  <c r="BX644"/>
  <c r="BW644"/>
  <c r="BV644"/>
  <c r="BU644"/>
  <c r="BT644"/>
  <c r="BS644"/>
  <c r="BR644"/>
  <c r="BQ644"/>
  <c r="BP644"/>
  <c r="BO644"/>
  <c r="BN644"/>
  <c r="DU643"/>
  <c r="DT643"/>
  <c r="DS643"/>
  <c r="DR643"/>
  <c r="DQ643"/>
  <c r="DP643"/>
  <c r="DO643"/>
  <c r="DN643"/>
  <c r="DM643"/>
  <c r="DL643"/>
  <c r="DK643"/>
  <c r="DJ643"/>
  <c r="DI643"/>
  <c r="DH643"/>
  <c r="DG643"/>
  <c r="DF643"/>
  <c r="DE643"/>
  <c r="DD643"/>
  <c r="DC643"/>
  <c r="DB643"/>
  <c r="DA643"/>
  <c r="CZ643"/>
  <c r="CY643"/>
  <c r="CX643"/>
  <c r="CW643"/>
  <c r="CV643"/>
  <c r="CU643"/>
  <c r="CT643"/>
  <c r="CS643"/>
  <c r="CR643"/>
  <c r="CQ643"/>
  <c r="CP643"/>
  <c r="CO643"/>
  <c r="CN643"/>
  <c r="CM643"/>
  <c r="CL643"/>
  <c r="CK643"/>
  <c r="CJ643"/>
  <c r="CI643"/>
  <c r="CH643"/>
  <c r="CG643"/>
  <c r="CF643"/>
  <c r="CE643"/>
  <c r="CD643"/>
  <c r="CC643"/>
  <c r="CB643"/>
  <c r="CA643"/>
  <c r="BZ643"/>
  <c r="BY643"/>
  <c r="BX643"/>
  <c r="BW643"/>
  <c r="BV643"/>
  <c r="BU643"/>
  <c r="BT643"/>
  <c r="BS643"/>
  <c r="BR643"/>
  <c r="BQ643"/>
  <c r="BP643"/>
  <c r="BO643"/>
  <c r="BN643"/>
  <c r="DU642"/>
  <c r="DT642"/>
  <c r="DS642"/>
  <c r="DR642"/>
  <c r="DQ642"/>
  <c r="DP642"/>
  <c r="DO642"/>
  <c r="DN642"/>
  <c r="DM642"/>
  <c r="DL642"/>
  <c r="DK642"/>
  <c r="DJ642"/>
  <c r="DI642"/>
  <c r="DH642"/>
  <c r="DG642"/>
  <c r="DF642"/>
  <c r="DE642"/>
  <c r="DD642"/>
  <c r="DC642"/>
  <c r="DB642"/>
  <c r="DA642"/>
  <c r="CZ642"/>
  <c r="CY642"/>
  <c r="CX642"/>
  <c r="CW642"/>
  <c r="CV642"/>
  <c r="CU642"/>
  <c r="CT642"/>
  <c r="CS642"/>
  <c r="CR642"/>
  <c r="CQ642"/>
  <c r="CP642"/>
  <c r="CO642"/>
  <c r="CN642"/>
  <c r="CM642"/>
  <c r="CL642"/>
  <c r="CK642"/>
  <c r="CJ642"/>
  <c r="CI642"/>
  <c r="CH642"/>
  <c r="CG642"/>
  <c r="CF642"/>
  <c r="CE642"/>
  <c r="CD642"/>
  <c r="CC642"/>
  <c r="CB642"/>
  <c r="CA642"/>
  <c r="BZ642"/>
  <c r="BY642"/>
  <c r="BX642"/>
  <c r="BW642"/>
  <c r="BV642"/>
  <c r="BU642"/>
  <c r="BT642"/>
  <c r="BS642"/>
  <c r="BR642"/>
  <c r="BQ642"/>
  <c r="BP642"/>
  <c r="BO642"/>
  <c r="BN642"/>
  <c r="DU641"/>
  <c r="DT641"/>
  <c r="DS641"/>
  <c r="DR641"/>
  <c r="DQ641"/>
  <c r="DP641"/>
  <c r="DO641"/>
  <c r="DN641"/>
  <c r="DM641"/>
  <c r="DL641"/>
  <c r="DK641"/>
  <c r="DJ641"/>
  <c r="DI641"/>
  <c r="DH641"/>
  <c r="DG641"/>
  <c r="DF641"/>
  <c r="DE641"/>
  <c r="DD641"/>
  <c r="DC641"/>
  <c r="DB641"/>
  <c r="DA641"/>
  <c r="CZ641"/>
  <c r="CY641"/>
  <c r="CX641"/>
  <c r="CW641"/>
  <c r="CV641"/>
  <c r="CU641"/>
  <c r="CT641"/>
  <c r="CS641"/>
  <c r="CR641"/>
  <c r="CQ641"/>
  <c r="CP641"/>
  <c r="CO641"/>
  <c r="CN641"/>
  <c r="CM641"/>
  <c r="CL641"/>
  <c r="CK641"/>
  <c r="CJ641"/>
  <c r="CI641"/>
  <c r="CH641"/>
  <c r="CG641"/>
  <c r="CF641"/>
  <c r="CE641"/>
  <c r="CD641"/>
  <c r="CC641"/>
  <c r="CB641"/>
  <c r="CA641"/>
  <c r="BZ641"/>
  <c r="BY641"/>
  <c r="BX641"/>
  <c r="BW641"/>
  <c r="BV641"/>
  <c r="BU641"/>
  <c r="BT641"/>
  <c r="BS641"/>
  <c r="BR641"/>
  <c r="BQ641"/>
  <c r="BP641"/>
  <c r="BO641"/>
  <c r="BN641"/>
  <c r="DU640"/>
  <c r="DT640"/>
  <c r="DS640"/>
  <c r="DR640"/>
  <c r="DQ640"/>
  <c r="DP640"/>
  <c r="DO640"/>
  <c r="DN640"/>
  <c r="DM640"/>
  <c r="DL640"/>
  <c r="DK640"/>
  <c r="DJ640"/>
  <c r="DI640"/>
  <c r="DH640"/>
  <c r="DG640"/>
  <c r="DF640"/>
  <c r="DE640"/>
  <c r="DD640"/>
  <c r="DC640"/>
  <c r="DB640"/>
  <c r="DA640"/>
  <c r="CZ640"/>
  <c r="CY640"/>
  <c r="CX640"/>
  <c r="CW640"/>
  <c r="CV640"/>
  <c r="CU640"/>
  <c r="CT640"/>
  <c r="CS640"/>
  <c r="CR640"/>
  <c r="CQ640"/>
  <c r="CP640"/>
  <c r="CO640"/>
  <c r="CN640"/>
  <c r="CM640"/>
  <c r="CL640"/>
  <c r="CK640"/>
  <c r="CJ640"/>
  <c r="CI640"/>
  <c r="CH640"/>
  <c r="CG640"/>
  <c r="CF640"/>
  <c r="CE640"/>
  <c r="CD640"/>
  <c r="CC640"/>
  <c r="CB640"/>
  <c r="CA640"/>
  <c r="BZ640"/>
  <c r="BY640"/>
  <c r="BX640"/>
  <c r="BW640"/>
  <c r="BV640"/>
  <c r="BU640"/>
  <c r="BT640"/>
  <c r="BS640"/>
  <c r="BR640"/>
  <c r="BQ640"/>
  <c r="BP640"/>
  <c r="BO640"/>
  <c r="BN640"/>
  <c r="DU639"/>
  <c r="DT639"/>
  <c r="DS639"/>
  <c r="DR639"/>
  <c r="DQ639"/>
  <c r="DP639"/>
  <c r="DO639"/>
  <c r="DN639"/>
  <c r="DM639"/>
  <c r="DL639"/>
  <c r="DK639"/>
  <c r="DJ639"/>
  <c r="DI639"/>
  <c r="DH639"/>
  <c r="DG639"/>
  <c r="DF639"/>
  <c r="DE639"/>
  <c r="DD639"/>
  <c r="DC639"/>
  <c r="DB639"/>
  <c r="DA639"/>
  <c r="CZ639"/>
  <c r="CY639"/>
  <c r="CX639"/>
  <c r="CW639"/>
  <c r="CV639"/>
  <c r="CU639"/>
  <c r="CT639"/>
  <c r="CS639"/>
  <c r="CR639"/>
  <c r="CQ639"/>
  <c r="CP639"/>
  <c r="CO639"/>
  <c r="CN639"/>
  <c r="CM639"/>
  <c r="CL639"/>
  <c r="CK639"/>
  <c r="CJ639"/>
  <c r="CI639"/>
  <c r="CH639"/>
  <c r="CG639"/>
  <c r="CF639"/>
  <c r="CE639"/>
  <c r="CD639"/>
  <c r="CC639"/>
  <c r="CB639"/>
  <c r="CA639"/>
  <c r="BZ639"/>
  <c r="BY639"/>
  <c r="BX639"/>
  <c r="BW639"/>
  <c r="BV639"/>
  <c r="BU639"/>
  <c r="BT639"/>
  <c r="BS639"/>
  <c r="BR639"/>
  <c r="BQ639"/>
  <c r="BP639"/>
  <c r="BO639"/>
  <c r="BN639"/>
  <c r="DU638"/>
  <c r="DT638"/>
  <c r="DS638"/>
  <c r="DR638"/>
  <c r="DQ638"/>
  <c r="DP638"/>
  <c r="DO638"/>
  <c r="DN638"/>
  <c r="DM638"/>
  <c r="DL638"/>
  <c r="DK638"/>
  <c r="DJ638"/>
  <c r="DI638"/>
  <c r="DH638"/>
  <c r="DG638"/>
  <c r="DF638"/>
  <c r="DE638"/>
  <c r="DD638"/>
  <c r="DC638"/>
  <c r="DB638"/>
  <c r="DA638"/>
  <c r="CZ638"/>
  <c r="CY638"/>
  <c r="CX638"/>
  <c r="CW638"/>
  <c r="CV638"/>
  <c r="CU638"/>
  <c r="CT638"/>
  <c r="CS638"/>
  <c r="CR638"/>
  <c r="CQ638"/>
  <c r="CP638"/>
  <c r="CO638"/>
  <c r="CN638"/>
  <c r="CM638"/>
  <c r="CL638"/>
  <c r="CK638"/>
  <c r="CJ638"/>
  <c r="CI638"/>
  <c r="CH638"/>
  <c r="CG638"/>
  <c r="CF638"/>
  <c r="CE638"/>
  <c r="CD638"/>
  <c r="CC638"/>
  <c r="CB638"/>
  <c r="CA638"/>
  <c r="BZ638"/>
  <c r="BY638"/>
  <c r="BX638"/>
  <c r="BW638"/>
  <c r="BV638"/>
  <c r="BU638"/>
  <c r="BT638"/>
  <c r="BS638"/>
  <c r="BR638"/>
  <c r="BQ638"/>
  <c r="BP638"/>
  <c r="BO638"/>
  <c r="BN638"/>
  <c r="DU637"/>
  <c r="DT637"/>
  <c r="DS637"/>
  <c r="DR637"/>
  <c r="DQ637"/>
  <c r="DP637"/>
  <c r="DO637"/>
  <c r="DN637"/>
  <c r="DM637"/>
  <c r="DL637"/>
  <c r="DK637"/>
  <c r="DJ637"/>
  <c r="DI637"/>
  <c r="DH637"/>
  <c r="DG637"/>
  <c r="DF637"/>
  <c r="DE637"/>
  <c r="DD637"/>
  <c r="DC637"/>
  <c r="DB637"/>
  <c r="DA637"/>
  <c r="CZ637"/>
  <c r="CY637"/>
  <c r="CX637"/>
  <c r="CW637"/>
  <c r="CV637"/>
  <c r="CU637"/>
  <c r="CT637"/>
  <c r="CS637"/>
  <c r="CR637"/>
  <c r="CQ637"/>
  <c r="CP637"/>
  <c r="CO637"/>
  <c r="CN637"/>
  <c r="CM637"/>
  <c r="CL637"/>
  <c r="CK637"/>
  <c r="CJ637"/>
  <c r="CI637"/>
  <c r="CH637"/>
  <c r="CG637"/>
  <c r="CF637"/>
  <c r="CE637"/>
  <c r="CD637"/>
  <c r="CC637"/>
  <c r="CB637"/>
  <c r="CA637"/>
  <c r="BZ637"/>
  <c r="BY637"/>
  <c r="BX637"/>
  <c r="BW637"/>
  <c r="BV637"/>
  <c r="BU637"/>
  <c r="BT637"/>
  <c r="BS637"/>
  <c r="BR637"/>
  <c r="BQ637"/>
  <c r="BP637"/>
  <c r="BO637"/>
  <c r="BN637"/>
  <c r="DU636"/>
  <c r="DT636"/>
  <c r="DS636"/>
  <c r="DR636"/>
  <c r="DQ636"/>
  <c r="DP636"/>
  <c r="DO636"/>
  <c r="DN636"/>
  <c r="DM636"/>
  <c r="DL636"/>
  <c r="DK636"/>
  <c r="DJ636"/>
  <c r="DI636"/>
  <c r="DH636"/>
  <c r="DG636"/>
  <c r="DF636"/>
  <c r="DE636"/>
  <c r="DD636"/>
  <c r="DC636"/>
  <c r="DB636"/>
  <c r="DA636"/>
  <c r="CZ636"/>
  <c r="CY636"/>
  <c r="CX636"/>
  <c r="CW636"/>
  <c r="CV636"/>
  <c r="CU636"/>
  <c r="CT636"/>
  <c r="CS636"/>
  <c r="CR636"/>
  <c r="CQ636"/>
  <c r="CP636"/>
  <c r="CO636"/>
  <c r="CN636"/>
  <c r="CM636"/>
  <c r="CL636"/>
  <c r="CK636"/>
  <c r="CJ636"/>
  <c r="CI636"/>
  <c r="CH636"/>
  <c r="CG636"/>
  <c r="CF636"/>
  <c r="CE636"/>
  <c r="CD636"/>
  <c r="CC636"/>
  <c r="CB636"/>
  <c r="CA636"/>
  <c r="BZ636"/>
  <c r="BY636"/>
  <c r="BX636"/>
  <c r="BW636"/>
  <c r="BV636"/>
  <c r="BU636"/>
  <c r="BT636"/>
  <c r="BS636"/>
  <c r="BR636"/>
  <c r="BQ636"/>
  <c r="BP636"/>
  <c r="BO636"/>
  <c r="BN636"/>
  <c r="DU635"/>
  <c r="DT635"/>
  <c r="DS635"/>
  <c r="DR635"/>
  <c r="DQ635"/>
  <c r="DP635"/>
  <c r="DO635"/>
  <c r="DN635"/>
  <c r="DM635"/>
  <c r="DL635"/>
  <c r="DK635"/>
  <c r="DJ635"/>
  <c r="DI635"/>
  <c r="DH635"/>
  <c r="DG635"/>
  <c r="DF635"/>
  <c r="DE635"/>
  <c r="DD635"/>
  <c r="DC635"/>
  <c r="DB635"/>
  <c r="DA635"/>
  <c r="CZ635"/>
  <c r="CY635"/>
  <c r="CX635"/>
  <c r="CW635"/>
  <c r="CV635"/>
  <c r="CU635"/>
  <c r="CT635"/>
  <c r="CS635"/>
  <c r="CR635"/>
  <c r="CQ635"/>
  <c r="CP635"/>
  <c r="CO635"/>
  <c r="CN635"/>
  <c r="CM635"/>
  <c r="CL635"/>
  <c r="CK635"/>
  <c r="CJ635"/>
  <c r="CI635"/>
  <c r="CH635"/>
  <c r="CG635"/>
  <c r="CF635"/>
  <c r="CE635"/>
  <c r="CD635"/>
  <c r="CC635"/>
  <c r="CB635"/>
  <c r="CA635"/>
  <c r="BZ635"/>
  <c r="BY635"/>
  <c r="BX635"/>
  <c r="BW635"/>
  <c r="BV635"/>
  <c r="BU635"/>
  <c r="BT635"/>
  <c r="BS635"/>
  <c r="BR635"/>
  <c r="BQ635"/>
  <c r="BP635"/>
  <c r="BO635"/>
  <c r="BN635"/>
  <c r="DU634"/>
  <c r="DT634"/>
  <c r="DS634"/>
  <c r="DR634"/>
  <c r="DQ634"/>
  <c r="DP634"/>
  <c r="DO634"/>
  <c r="DN634"/>
  <c r="DM634"/>
  <c r="DL634"/>
  <c r="DK634"/>
  <c r="DJ634"/>
  <c r="DI634"/>
  <c r="DH634"/>
  <c r="DG634"/>
  <c r="DF634"/>
  <c r="DE634"/>
  <c r="DD634"/>
  <c r="DC634"/>
  <c r="DB634"/>
  <c r="DA634"/>
  <c r="CZ634"/>
  <c r="CY634"/>
  <c r="CX634"/>
  <c r="CW634"/>
  <c r="CV634"/>
  <c r="CU634"/>
  <c r="CT634"/>
  <c r="CS634"/>
  <c r="CR634"/>
  <c r="CQ634"/>
  <c r="CP634"/>
  <c r="CO634"/>
  <c r="CN634"/>
  <c r="CM634"/>
  <c r="CL634"/>
  <c r="CK634"/>
  <c r="CJ634"/>
  <c r="CI634"/>
  <c r="CH634"/>
  <c r="CG634"/>
  <c r="CF634"/>
  <c r="CE634"/>
  <c r="CD634"/>
  <c r="CC634"/>
  <c r="CB634"/>
  <c r="CA634"/>
  <c r="BZ634"/>
  <c r="BY634"/>
  <c r="BX634"/>
  <c r="BW634"/>
  <c r="BV634"/>
  <c r="BU634"/>
  <c r="BT634"/>
  <c r="BS634"/>
  <c r="BR634"/>
  <c r="BQ634"/>
  <c r="BP634"/>
  <c r="BO634"/>
  <c r="BN634"/>
  <c r="DU633"/>
  <c r="DT633"/>
  <c r="DS633"/>
  <c r="DR633"/>
  <c r="DQ633"/>
  <c r="DP633"/>
  <c r="DO633"/>
  <c r="DN633"/>
  <c r="DM633"/>
  <c r="DL633"/>
  <c r="DK633"/>
  <c r="DJ633"/>
  <c r="DI633"/>
  <c r="DH633"/>
  <c r="DG633"/>
  <c r="DF633"/>
  <c r="DE633"/>
  <c r="DD633"/>
  <c r="DC633"/>
  <c r="DB633"/>
  <c r="DA633"/>
  <c r="CZ633"/>
  <c r="CY633"/>
  <c r="CX633"/>
  <c r="CW633"/>
  <c r="CV633"/>
  <c r="CU633"/>
  <c r="CT633"/>
  <c r="CS633"/>
  <c r="CR633"/>
  <c r="CQ633"/>
  <c r="CP633"/>
  <c r="CO633"/>
  <c r="CN633"/>
  <c r="CM633"/>
  <c r="CL633"/>
  <c r="CK633"/>
  <c r="CJ633"/>
  <c r="CI633"/>
  <c r="CH633"/>
  <c r="CG633"/>
  <c r="CF633"/>
  <c r="CE633"/>
  <c r="CD633"/>
  <c r="CC633"/>
  <c r="CB633"/>
  <c r="CA633"/>
  <c r="BZ633"/>
  <c r="BY633"/>
  <c r="BX633"/>
  <c r="BW633"/>
  <c r="BV633"/>
  <c r="BU633"/>
  <c r="BT633"/>
  <c r="BS633"/>
  <c r="BR633"/>
  <c r="BQ633"/>
  <c r="BP633"/>
  <c r="BO633"/>
  <c r="BN633"/>
  <c r="DU632"/>
  <c r="DT632"/>
  <c r="DS632"/>
  <c r="DR632"/>
  <c r="DQ632"/>
  <c r="DP632"/>
  <c r="DO632"/>
  <c r="DN632"/>
  <c r="DM632"/>
  <c r="DL632"/>
  <c r="DK632"/>
  <c r="DJ632"/>
  <c r="DI632"/>
  <c r="DH632"/>
  <c r="DG632"/>
  <c r="DF632"/>
  <c r="DE632"/>
  <c r="DD632"/>
  <c r="DC632"/>
  <c r="DB632"/>
  <c r="DA632"/>
  <c r="CZ632"/>
  <c r="CY632"/>
  <c r="CX632"/>
  <c r="CW632"/>
  <c r="CV632"/>
  <c r="CU632"/>
  <c r="CT632"/>
  <c r="CS632"/>
  <c r="CR632"/>
  <c r="CQ632"/>
  <c r="CP632"/>
  <c r="CO632"/>
  <c r="CN632"/>
  <c r="CM632"/>
  <c r="CL632"/>
  <c r="CK632"/>
  <c r="CJ632"/>
  <c r="CI632"/>
  <c r="CH632"/>
  <c r="CG632"/>
  <c r="CF632"/>
  <c r="CE632"/>
  <c r="CD632"/>
  <c r="CC632"/>
  <c r="CB632"/>
  <c r="CA632"/>
  <c r="BZ632"/>
  <c r="BY632"/>
  <c r="BX632"/>
  <c r="BW632"/>
  <c r="BV632"/>
  <c r="BU632"/>
  <c r="BT632"/>
  <c r="BS632"/>
  <c r="BR632"/>
  <c r="BQ632"/>
  <c r="BP632"/>
  <c r="BO632"/>
  <c r="BN632"/>
  <c r="DU631"/>
  <c r="DT631"/>
  <c r="DS631"/>
  <c r="DR631"/>
  <c r="DQ631"/>
  <c r="DP631"/>
  <c r="DO631"/>
  <c r="DN631"/>
  <c r="DM631"/>
  <c r="DL631"/>
  <c r="DK631"/>
  <c r="DJ631"/>
  <c r="DI631"/>
  <c r="DH631"/>
  <c r="DG631"/>
  <c r="DF631"/>
  <c r="DE631"/>
  <c r="DD631"/>
  <c r="DC631"/>
  <c r="DB631"/>
  <c r="DA631"/>
  <c r="CZ631"/>
  <c r="CY631"/>
  <c r="CX631"/>
  <c r="CW631"/>
  <c r="CV631"/>
  <c r="CU631"/>
  <c r="CT631"/>
  <c r="CS631"/>
  <c r="CR631"/>
  <c r="CQ631"/>
  <c r="CP631"/>
  <c r="CO631"/>
  <c r="CN631"/>
  <c r="CM631"/>
  <c r="CL631"/>
  <c r="CK631"/>
  <c r="CJ631"/>
  <c r="CI631"/>
  <c r="CH631"/>
  <c r="CG631"/>
  <c r="CF631"/>
  <c r="CE631"/>
  <c r="CD631"/>
  <c r="CC631"/>
  <c r="CB631"/>
  <c r="CA631"/>
  <c r="BZ631"/>
  <c r="BY631"/>
  <c r="BX631"/>
  <c r="BW631"/>
  <c r="BV631"/>
  <c r="BU631"/>
  <c r="BT631"/>
  <c r="BS631"/>
  <c r="BR631"/>
  <c r="BQ631"/>
  <c r="BP631"/>
  <c r="BO631"/>
  <c r="BN631"/>
  <c r="DU630"/>
  <c r="DT630"/>
  <c r="DS630"/>
  <c r="DR630"/>
  <c r="DQ630"/>
  <c r="DP630"/>
  <c r="DO630"/>
  <c r="DN630"/>
  <c r="DM630"/>
  <c r="DL630"/>
  <c r="DK630"/>
  <c r="DJ630"/>
  <c r="DI630"/>
  <c r="DH630"/>
  <c r="DG630"/>
  <c r="DF630"/>
  <c r="DE630"/>
  <c r="DD630"/>
  <c r="DC630"/>
  <c r="DB630"/>
  <c r="DA630"/>
  <c r="CZ630"/>
  <c r="CY630"/>
  <c r="CX630"/>
  <c r="CW630"/>
  <c r="CV630"/>
  <c r="CU630"/>
  <c r="CT630"/>
  <c r="CS630"/>
  <c r="CR630"/>
  <c r="CQ630"/>
  <c r="CP630"/>
  <c r="CO630"/>
  <c r="CN630"/>
  <c r="CM630"/>
  <c r="CL630"/>
  <c r="CK630"/>
  <c r="CJ630"/>
  <c r="CI630"/>
  <c r="CH630"/>
  <c r="CG630"/>
  <c r="CF630"/>
  <c r="CE630"/>
  <c r="CD630"/>
  <c r="CC630"/>
  <c r="CB630"/>
  <c r="CA630"/>
  <c r="BZ630"/>
  <c r="BY630"/>
  <c r="BX630"/>
  <c r="BW630"/>
  <c r="BV630"/>
  <c r="BU630"/>
  <c r="BT630"/>
  <c r="BS630"/>
  <c r="BR630"/>
  <c r="BQ630"/>
  <c r="BP630"/>
  <c r="BO630"/>
  <c r="BN630"/>
  <c r="DU629"/>
  <c r="DT629"/>
  <c r="DS629"/>
  <c r="DR629"/>
  <c r="DQ629"/>
  <c r="DP629"/>
  <c r="DO629"/>
  <c r="DN629"/>
  <c r="DM629"/>
  <c r="DL629"/>
  <c r="DK629"/>
  <c r="DJ629"/>
  <c r="DI629"/>
  <c r="DH629"/>
  <c r="DG629"/>
  <c r="DF629"/>
  <c r="DE629"/>
  <c r="DD629"/>
  <c r="DC629"/>
  <c r="DB629"/>
  <c r="DA629"/>
  <c r="CZ629"/>
  <c r="CY629"/>
  <c r="CX629"/>
  <c r="CW629"/>
  <c r="CV629"/>
  <c r="CU629"/>
  <c r="CT629"/>
  <c r="CS629"/>
  <c r="CR629"/>
  <c r="CQ629"/>
  <c r="CP629"/>
  <c r="CO629"/>
  <c r="CN629"/>
  <c r="CM629"/>
  <c r="CL629"/>
  <c r="CK629"/>
  <c r="CJ629"/>
  <c r="CI629"/>
  <c r="CH629"/>
  <c r="CG629"/>
  <c r="CF629"/>
  <c r="CE629"/>
  <c r="CD629"/>
  <c r="CC629"/>
  <c r="CB629"/>
  <c r="CA629"/>
  <c r="BZ629"/>
  <c r="BY629"/>
  <c r="BX629"/>
  <c r="BW629"/>
  <c r="BV629"/>
  <c r="BU629"/>
  <c r="BT629"/>
  <c r="BS629"/>
  <c r="BR629"/>
  <c r="BQ629"/>
  <c r="BP629"/>
  <c r="BO629"/>
  <c r="BN629"/>
  <c r="DU628"/>
  <c r="DT628"/>
  <c r="DS628"/>
  <c r="DR628"/>
  <c r="DQ628"/>
  <c r="DP628"/>
  <c r="DO628"/>
  <c r="DN628"/>
  <c r="DM628"/>
  <c r="DL628"/>
  <c r="DK628"/>
  <c r="DJ628"/>
  <c r="DI628"/>
  <c r="DH628"/>
  <c r="DG628"/>
  <c r="DF628"/>
  <c r="DE628"/>
  <c r="DD628"/>
  <c r="DC628"/>
  <c r="DB628"/>
  <c r="DA628"/>
  <c r="CZ628"/>
  <c r="CY628"/>
  <c r="CX628"/>
  <c r="CW628"/>
  <c r="CV628"/>
  <c r="CU628"/>
  <c r="CT628"/>
  <c r="CS628"/>
  <c r="CR628"/>
  <c r="CQ628"/>
  <c r="CP628"/>
  <c r="CO628"/>
  <c r="CN628"/>
  <c r="CM628"/>
  <c r="CL628"/>
  <c r="CK628"/>
  <c r="CJ628"/>
  <c r="CI628"/>
  <c r="CH628"/>
  <c r="CG628"/>
  <c r="CF628"/>
  <c r="CE628"/>
  <c r="CD628"/>
  <c r="CC628"/>
  <c r="CB628"/>
  <c r="CA628"/>
  <c r="BZ628"/>
  <c r="BY628"/>
  <c r="BX628"/>
  <c r="BW628"/>
  <c r="BV628"/>
  <c r="BU628"/>
  <c r="BT628"/>
  <c r="BS628"/>
  <c r="BR628"/>
  <c r="BQ628"/>
  <c r="BP628"/>
  <c r="BO628"/>
  <c r="BN628"/>
  <c r="DU627"/>
  <c r="DT627"/>
  <c r="DS627"/>
  <c r="DR627"/>
  <c r="DQ627"/>
  <c r="DP627"/>
  <c r="DO627"/>
  <c r="DN627"/>
  <c r="DM627"/>
  <c r="DL627"/>
  <c r="DK627"/>
  <c r="DJ627"/>
  <c r="DI627"/>
  <c r="DH627"/>
  <c r="DG627"/>
  <c r="DF627"/>
  <c r="DE627"/>
  <c r="DD627"/>
  <c r="DC627"/>
  <c r="DB627"/>
  <c r="DA627"/>
  <c r="CZ627"/>
  <c r="CY627"/>
  <c r="CX627"/>
  <c r="CW627"/>
  <c r="CV627"/>
  <c r="CU627"/>
  <c r="CT627"/>
  <c r="CS627"/>
  <c r="CR627"/>
  <c r="CQ627"/>
  <c r="CP627"/>
  <c r="CO627"/>
  <c r="CN627"/>
  <c r="CM627"/>
  <c r="CL627"/>
  <c r="CK627"/>
  <c r="CJ627"/>
  <c r="CI627"/>
  <c r="CH627"/>
  <c r="CG627"/>
  <c r="CF627"/>
  <c r="CE627"/>
  <c r="CD627"/>
  <c r="CC627"/>
  <c r="CB627"/>
  <c r="CA627"/>
  <c r="BZ627"/>
  <c r="BY627"/>
  <c r="BX627"/>
  <c r="BW627"/>
  <c r="BV627"/>
  <c r="BU627"/>
  <c r="BT627"/>
  <c r="BS627"/>
  <c r="BR627"/>
  <c r="BQ627"/>
  <c r="BP627"/>
  <c r="BO627"/>
  <c r="BN627"/>
  <c r="DU626"/>
  <c r="DT626"/>
  <c r="DS626"/>
  <c r="DR626"/>
  <c r="DQ626"/>
  <c r="DP626"/>
  <c r="DO626"/>
  <c r="DN626"/>
  <c r="DM626"/>
  <c r="DL626"/>
  <c r="DK626"/>
  <c r="DJ626"/>
  <c r="DI626"/>
  <c r="DH626"/>
  <c r="DG626"/>
  <c r="DF626"/>
  <c r="DE626"/>
  <c r="DD626"/>
  <c r="DC626"/>
  <c r="DB626"/>
  <c r="DA626"/>
  <c r="CZ626"/>
  <c r="CY626"/>
  <c r="CX626"/>
  <c r="CW626"/>
  <c r="CV626"/>
  <c r="CU626"/>
  <c r="CT626"/>
  <c r="CS626"/>
  <c r="CR626"/>
  <c r="CQ626"/>
  <c r="CP626"/>
  <c r="CO626"/>
  <c r="CN626"/>
  <c r="CM626"/>
  <c r="CL626"/>
  <c r="CK626"/>
  <c r="CJ626"/>
  <c r="CI626"/>
  <c r="CH626"/>
  <c r="CG626"/>
  <c r="CF626"/>
  <c r="CE626"/>
  <c r="CD626"/>
  <c r="CC626"/>
  <c r="CB626"/>
  <c r="CA626"/>
  <c r="BZ626"/>
  <c r="BY626"/>
  <c r="BX626"/>
  <c r="BW626"/>
  <c r="BV626"/>
  <c r="BU626"/>
  <c r="BT626"/>
  <c r="BS626"/>
  <c r="BR626"/>
  <c r="BQ626"/>
  <c r="BP626"/>
  <c r="BO626"/>
  <c r="BN626"/>
  <c r="DU625"/>
  <c r="DT625"/>
  <c r="DS625"/>
  <c r="DR625"/>
  <c r="DQ625"/>
  <c r="DP625"/>
  <c r="DO625"/>
  <c r="DN625"/>
  <c r="DM625"/>
  <c r="DL625"/>
  <c r="DK625"/>
  <c r="DJ625"/>
  <c r="DI625"/>
  <c r="DH625"/>
  <c r="DG625"/>
  <c r="DF625"/>
  <c r="DE625"/>
  <c r="DD625"/>
  <c r="DC625"/>
  <c r="DB625"/>
  <c r="DA625"/>
  <c r="CZ625"/>
  <c r="CY625"/>
  <c r="CX625"/>
  <c r="CW625"/>
  <c r="CV625"/>
  <c r="CU625"/>
  <c r="CT625"/>
  <c r="CS625"/>
  <c r="CR625"/>
  <c r="CQ625"/>
  <c r="CP625"/>
  <c r="CO625"/>
  <c r="CN625"/>
  <c r="CM625"/>
  <c r="CL625"/>
  <c r="CK625"/>
  <c r="CJ625"/>
  <c r="CI625"/>
  <c r="CH625"/>
  <c r="CG625"/>
  <c r="CF625"/>
  <c r="CE625"/>
  <c r="CD625"/>
  <c r="CC625"/>
  <c r="CB625"/>
  <c r="CA625"/>
  <c r="BZ625"/>
  <c r="BY625"/>
  <c r="BX625"/>
  <c r="BW625"/>
  <c r="BV625"/>
  <c r="BU625"/>
  <c r="BT625"/>
  <c r="BS625"/>
  <c r="BR625"/>
  <c r="BQ625"/>
  <c r="BP625"/>
  <c r="BO625"/>
  <c r="BN625"/>
  <c r="DU624"/>
  <c r="DT624"/>
  <c r="DS624"/>
  <c r="DR624"/>
  <c r="DQ624"/>
  <c r="DP624"/>
  <c r="DO624"/>
  <c r="DN624"/>
  <c r="DM624"/>
  <c r="DL624"/>
  <c r="DK624"/>
  <c r="DJ624"/>
  <c r="DI624"/>
  <c r="DH624"/>
  <c r="DG624"/>
  <c r="DF624"/>
  <c r="DE624"/>
  <c r="DD624"/>
  <c r="DC624"/>
  <c r="DB624"/>
  <c r="DA624"/>
  <c r="CZ624"/>
  <c r="CY624"/>
  <c r="CX624"/>
  <c r="CW624"/>
  <c r="CV624"/>
  <c r="CU624"/>
  <c r="CT624"/>
  <c r="CS624"/>
  <c r="CR624"/>
  <c r="CQ624"/>
  <c r="CP624"/>
  <c r="CO624"/>
  <c r="CN624"/>
  <c r="CM624"/>
  <c r="CL624"/>
  <c r="CK624"/>
  <c r="CJ624"/>
  <c r="CI624"/>
  <c r="CH624"/>
  <c r="CG624"/>
  <c r="CF624"/>
  <c r="CE624"/>
  <c r="CD624"/>
  <c r="CC624"/>
  <c r="CB624"/>
  <c r="CA624"/>
  <c r="BZ624"/>
  <c r="BY624"/>
  <c r="BX624"/>
  <c r="BW624"/>
  <c r="BV624"/>
  <c r="BU624"/>
  <c r="BT624"/>
  <c r="BS624"/>
  <c r="BR624"/>
  <c r="BQ624"/>
  <c r="BP624"/>
  <c r="BO624"/>
  <c r="BN624"/>
  <c r="DU623"/>
  <c r="DT623"/>
  <c r="DS623"/>
  <c r="DR623"/>
  <c r="DQ623"/>
  <c r="DP623"/>
  <c r="DO623"/>
  <c r="DN623"/>
  <c r="DM623"/>
  <c r="DL623"/>
  <c r="DK623"/>
  <c r="DJ623"/>
  <c r="DI623"/>
  <c r="DH623"/>
  <c r="DG623"/>
  <c r="DF623"/>
  <c r="DE623"/>
  <c r="DD623"/>
  <c r="DC623"/>
  <c r="DB623"/>
  <c r="DA623"/>
  <c r="CZ623"/>
  <c r="CY623"/>
  <c r="CX623"/>
  <c r="CW623"/>
  <c r="CV623"/>
  <c r="CU623"/>
  <c r="CT623"/>
  <c r="CS623"/>
  <c r="CR623"/>
  <c r="CQ623"/>
  <c r="CP623"/>
  <c r="CO623"/>
  <c r="CN623"/>
  <c r="CM623"/>
  <c r="CL623"/>
  <c r="CK623"/>
  <c r="CJ623"/>
  <c r="CI623"/>
  <c r="CH623"/>
  <c r="CG623"/>
  <c r="CF623"/>
  <c r="CE623"/>
  <c r="CD623"/>
  <c r="CC623"/>
  <c r="CB623"/>
  <c r="CA623"/>
  <c r="BZ623"/>
  <c r="BY623"/>
  <c r="BX623"/>
  <c r="BW623"/>
  <c r="BV623"/>
  <c r="BU623"/>
  <c r="BT623"/>
  <c r="BS623"/>
  <c r="BR623"/>
  <c r="BQ623"/>
  <c r="BP623"/>
  <c r="BO623"/>
  <c r="BN623"/>
  <c r="DU622"/>
  <c r="DT622"/>
  <c r="DS622"/>
  <c r="DR622"/>
  <c r="DQ622"/>
  <c r="DP622"/>
  <c r="DO622"/>
  <c r="DN622"/>
  <c r="DM622"/>
  <c r="DL622"/>
  <c r="DK622"/>
  <c r="DJ622"/>
  <c r="DI622"/>
  <c r="DH622"/>
  <c r="DG622"/>
  <c r="DF622"/>
  <c r="DE622"/>
  <c r="DD622"/>
  <c r="DC622"/>
  <c r="DB622"/>
  <c r="DA622"/>
  <c r="CZ622"/>
  <c r="CY622"/>
  <c r="CX622"/>
  <c r="CW622"/>
  <c r="CV622"/>
  <c r="CU622"/>
  <c r="CT622"/>
  <c r="CS622"/>
  <c r="CR622"/>
  <c r="CQ622"/>
  <c r="CP622"/>
  <c r="CO622"/>
  <c r="CN622"/>
  <c r="CM622"/>
  <c r="CL622"/>
  <c r="CK622"/>
  <c r="CJ622"/>
  <c r="CI622"/>
  <c r="CH622"/>
  <c r="CG622"/>
  <c r="CF622"/>
  <c r="CE622"/>
  <c r="CD622"/>
  <c r="CC622"/>
  <c r="CB622"/>
  <c r="CA622"/>
  <c r="BZ622"/>
  <c r="BY622"/>
  <c r="BX622"/>
  <c r="BW622"/>
  <c r="BV622"/>
  <c r="BU622"/>
  <c r="BT622"/>
  <c r="BS622"/>
  <c r="BR622"/>
  <c r="BQ622"/>
  <c r="BP622"/>
  <c r="BO622"/>
  <c r="BN622"/>
  <c r="DU621"/>
  <c r="DT621"/>
  <c r="DS621"/>
  <c r="DR621"/>
  <c r="DQ621"/>
  <c r="DP621"/>
  <c r="DO621"/>
  <c r="DN621"/>
  <c r="DM621"/>
  <c r="DL621"/>
  <c r="DK621"/>
  <c r="DJ621"/>
  <c r="DI621"/>
  <c r="DH621"/>
  <c r="DG621"/>
  <c r="DF621"/>
  <c r="DE621"/>
  <c r="DD621"/>
  <c r="DC621"/>
  <c r="DB621"/>
  <c r="DA621"/>
  <c r="CZ621"/>
  <c r="CY621"/>
  <c r="CX621"/>
  <c r="CW621"/>
  <c r="CV621"/>
  <c r="CU621"/>
  <c r="CT621"/>
  <c r="CS621"/>
  <c r="CR621"/>
  <c r="CQ621"/>
  <c r="CP621"/>
  <c r="CO621"/>
  <c r="CN621"/>
  <c r="CM621"/>
  <c r="CL621"/>
  <c r="CK621"/>
  <c r="CJ621"/>
  <c r="CI621"/>
  <c r="CH621"/>
  <c r="CG621"/>
  <c r="CF621"/>
  <c r="CE621"/>
  <c r="CD621"/>
  <c r="CC621"/>
  <c r="CB621"/>
  <c r="CA621"/>
  <c r="BZ621"/>
  <c r="BY621"/>
  <c r="BX621"/>
  <c r="BW621"/>
  <c r="BV621"/>
  <c r="BU621"/>
  <c r="BT621"/>
  <c r="BS621"/>
  <c r="BR621"/>
  <c r="BQ621"/>
  <c r="BP621"/>
  <c r="BO621"/>
  <c r="BN621"/>
  <c r="DU620"/>
  <c r="DT620"/>
  <c r="DS620"/>
  <c r="DR620"/>
  <c r="DQ620"/>
  <c r="DP620"/>
  <c r="DO620"/>
  <c r="DN620"/>
  <c r="DM620"/>
  <c r="DL620"/>
  <c r="DK620"/>
  <c r="DJ620"/>
  <c r="DI620"/>
  <c r="DH620"/>
  <c r="DG620"/>
  <c r="DF620"/>
  <c r="DE620"/>
  <c r="DD620"/>
  <c r="DC620"/>
  <c r="DB620"/>
  <c r="DA620"/>
  <c r="CZ620"/>
  <c r="CY620"/>
  <c r="CX620"/>
  <c r="CW620"/>
  <c r="CV620"/>
  <c r="CU620"/>
  <c r="CT620"/>
  <c r="CS620"/>
  <c r="CR620"/>
  <c r="CQ620"/>
  <c r="CP620"/>
  <c r="CO620"/>
  <c r="CN620"/>
  <c r="CM620"/>
  <c r="CL620"/>
  <c r="CK620"/>
  <c r="CJ620"/>
  <c r="CI620"/>
  <c r="CH620"/>
  <c r="CG620"/>
  <c r="CF620"/>
  <c r="CE620"/>
  <c r="CD620"/>
  <c r="CC620"/>
  <c r="CB620"/>
  <c r="CA620"/>
  <c r="BZ620"/>
  <c r="BY620"/>
  <c r="BX620"/>
  <c r="BW620"/>
  <c r="BV620"/>
  <c r="BU620"/>
  <c r="BT620"/>
  <c r="BS620"/>
  <c r="BR620"/>
  <c r="BQ620"/>
  <c r="BP620"/>
  <c r="BO620"/>
  <c r="BN620"/>
  <c r="DU619"/>
  <c r="DT619"/>
  <c r="DS619"/>
  <c r="DR619"/>
  <c r="DQ619"/>
  <c r="DP619"/>
  <c r="DO619"/>
  <c r="DN619"/>
  <c r="DM619"/>
  <c r="DL619"/>
  <c r="DK619"/>
  <c r="DJ619"/>
  <c r="DI619"/>
  <c r="DH619"/>
  <c r="DG619"/>
  <c r="DF619"/>
  <c r="DE619"/>
  <c r="DD619"/>
  <c r="DC619"/>
  <c r="DB619"/>
  <c r="DA619"/>
  <c r="CZ619"/>
  <c r="CY619"/>
  <c r="CX619"/>
  <c r="CW619"/>
  <c r="CV619"/>
  <c r="CU619"/>
  <c r="CT619"/>
  <c r="CS619"/>
  <c r="CR619"/>
  <c r="CQ619"/>
  <c r="CP619"/>
  <c r="CO619"/>
  <c r="CN619"/>
  <c r="CM619"/>
  <c r="CL619"/>
  <c r="CK619"/>
  <c r="CJ619"/>
  <c r="CI619"/>
  <c r="CH619"/>
  <c r="CG619"/>
  <c r="CF619"/>
  <c r="CE619"/>
  <c r="CD619"/>
  <c r="CC619"/>
  <c r="CB619"/>
  <c r="CA619"/>
  <c r="BZ619"/>
  <c r="BY619"/>
  <c r="BX619"/>
  <c r="BW619"/>
  <c r="BV619"/>
  <c r="BU619"/>
  <c r="BT619"/>
  <c r="BS619"/>
  <c r="BR619"/>
  <c r="BQ619"/>
  <c r="BP619"/>
  <c r="BO619"/>
  <c r="BN619"/>
  <c r="DU618"/>
  <c r="DT618"/>
  <c r="DS618"/>
  <c r="DR618"/>
  <c r="DQ618"/>
  <c r="DP618"/>
  <c r="DO618"/>
  <c r="DN618"/>
  <c r="DM618"/>
  <c r="DL618"/>
  <c r="DK618"/>
  <c r="DJ618"/>
  <c r="DI618"/>
  <c r="DH618"/>
  <c r="DG618"/>
  <c r="DF618"/>
  <c r="DE618"/>
  <c r="DD618"/>
  <c r="DC618"/>
  <c r="DB618"/>
  <c r="DA618"/>
  <c r="CZ618"/>
  <c r="CY618"/>
  <c r="CX618"/>
  <c r="CW618"/>
  <c r="CV618"/>
  <c r="CU618"/>
  <c r="CT618"/>
  <c r="CS618"/>
  <c r="CR618"/>
  <c r="CQ618"/>
  <c r="CP618"/>
  <c r="CO618"/>
  <c r="CN618"/>
  <c r="CM618"/>
  <c r="CL618"/>
  <c r="CK618"/>
  <c r="CJ618"/>
  <c r="CI618"/>
  <c r="CH618"/>
  <c r="CG618"/>
  <c r="CF618"/>
  <c r="CE618"/>
  <c r="CD618"/>
  <c r="CC618"/>
  <c r="CB618"/>
  <c r="CA618"/>
  <c r="BZ618"/>
  <c r="BY618"/>
  <c r="BX618"/>
  <c r="BW618"/>
  <c r="BV618"/>
  <c r="BU618"/>
  <c r="BT618"/>
  <c r="BS618"/>
  <c r="BR618"/>
  <c r="BQ618"/>
  <c r="BP618"/>
  <c r="BO618"/>
  <c r="BN618"/>
  <c r="DU617"/>
  <c r="DT617"/>
  <c r="DS617"/>
  <c r="DR617"/>
  <c r="DQ617"/>
  <c r="DP617"/>
  <c r="DO617"/>
  <c r="DN617"/>
  <c r="DM617"/>
  <c r="DL617"/>
  <c r="DK617"/>
  <c r="DJ617"/>
  <c r="DI617"/>
  <c r="DH617"/>
  <c r="DG617"/>
  <c r="DF617"/>
  <c r="DE617"/>
  <c r="DD617"/>
  <c r="DC617"/>
  <c r="DB617"/>
  <c r="DA617"/>
  <c r="CZ617"/>
  <c r="CY617"/>
  <c r="CX617"/>
  <c r="CW617"/>
  <c r="CV617"/>
  <c r="CU617"/>
  <c r="CT617"/>
  <c r="CS617"/>
  <c r="CR617"/>
  <c r="CQ617"/>
  <c r="CP617"/>
  <c r="CO617"/>
  <c r="CN617"/>
  <c r="CM617"/>
  <c r="CL617"/>
  <c r="CK617"/>
  <c r="CJ617"/>
  <c r="CI617"/>
  <c r="CH617"/>
  <c r="CG617"/>
  <c r="CF617"/>
  <c r="CE617"/>
  <c r="CD617"/>
  <c r="CC617"/>
  <c r="CB617"/>
  <c r="CA617"/>
  <c r="BZ617"/>
  <c r="BY617"/>
  <c r="BX617"/>
  <c r="BW617"/>
  <c r="BV617"/>
  <c r="BU617"/>
  <c r="BT617"/>
  <c r="BS617"/>
  <c r="BR617"/>
  <c r="BQ617"/>
  <c r="BP617"/>
  <c r="BO617"/>
  <c r="BN617"/>
  <c r="DU616"/>
  <c r="DT616"/>
  <c r="DS616"/>
  <c r="DR616"/>
  <c r="DQ616"/>
  <c r="DP616"/>
  <c r="DO616"/>
  <c r="DN616"/>
  <c r="DM616"/>
  <c r="DL616"/>
  <c r="DK616"/>
  <c r="DJ616"/>
  <c r="DI616"/>
  <c r="DH616"/>
  <c r="DG616"/>
  <c r="DF616"/>
  <c r="DE616"/>
  <c r="DD616"/>
  <c r="DC616"/>
  <c r="DB616"/>
  <c r="DA616"/>
  <c r="CZ616"/>
  <c r="CY616"/>
  <c r="CX616"/>
  <c r="CW616"/>
  <c r="CV616"/>
  <c r="CU616"/>
  <c r="CT616"/>
  <c r="CS616"/>
  <c r="CR616"/>
  <c r="CQ616"/>
  <c r="CP616"/>
  <c r="CO616"/>
  <c r="CN616"/>
  <c r="CM616"/>
  <c r="CL616"/>
  <c r="CK616"/>
  <c r="CJ616"/>
  <c r="CI616"/>
  <c r="CH616"/>
  <c r="CG616"/>
  <c r="CF616"/>
  <c r="CE616"/>
  <c r="CD616"/>
  <c r="CC616"/>
  <c r="CB616"/>
  <c r="CA616"/>
  <c r="BZ616"/>
  <c r="BY616"/>
  <c r="BX616"/>
  <c r="BW616"/>
  <c r="BV616"/>
  <c r="BU616"/>
  <c r="BT616"/>
  <c r="BS616"/>
  <c r="BR616"/>
  <c r="BQ616"/>
  <c r="BP616"/>
  <c r="BO616"/>
  <c r="BN616"/>
  <c r="DU615"/>
  <c r="DT615"/>
  <c r="DS615"/>
  <c r="DR615"/>
  <c r="DQ615"/>
  <c r="DP615"/>
  <c r="DO615"/>
  <c r="DN615"/>
  <c r="DM615"/>
  <c r="DL615"/>
  <c r="DK615"/>
  <c r="DJ615"/>
  <c r="DI615"/>
  <c r="DH615"/>
  <c r="DG615"/>
  <c r="DF615"/>
  <c r="DE615"/>
  <c r="DD615"/>
  <c r="DC615"/>
  <c r="DB615"/>
  <c r="DA615"/>
  <c r="CZ615"/>
  <c r="CY615"/>
  <c r="CX615"/>
  <c r="CW615"/>
  <c r="CV615"/>
  <c r="CU615"/>
  <c r="CT615"/>
  <c r="CS615"/>
  <c r="CR615"/>
  <c r="CQ615"/>
  <c r="CP615"/>
  <c r="CO615"/>
  <c r="CN615"/>
  <c r="CM615"/>
  <c r="CL615"/>
  <c r="CK615"/>
  <c r="CJ615"/>
  <c r="CI615"/>
  <c r="CH615"/>
  <c r="CG615"/>
  <c r="CF615"/>
  <c r="CE615"/>
  <c r="CD615"/>
  <c r="CC615"/>
  <c r="CB615"/>
  <c r="CA615"/>
  <c r="BZ615"/>
  <c r="BY615"/>
  <c r="BX615"/>
  <c r="BW615"/>
  <c r="BV615"/>
  <c r="BU615"/>
  <c r="BT615"/>
  <c r="BS615"/>
  <c r="BR615"/>
  <c r="BQ615"/>
  <c r="BP615"/>
  <c r="BO615"/>
  <c r="BN615"/>
  <c r="DU614"/>
  <c r="DT614"/>
  <c r="DS614"/>
  <c r="DR614"/>
  <c r="DQ614"/>
  <c r="DP614"/>
  <c r="DO614"/>
  <c r="DN614"/>
  <c r="DM614"/>
  <c r="DL614"/>
  <c r="DK614"/>
  <c r="DJ614"/>
  <c r="DI614"/>
  <c r="DH614"/>
  <c r="DG614"/>
  <c r="DF614"/>
  <c r="DE614"/>
  <c r="DD614"/>
  <c r="DC614"/>
  <c r="DB614"/>
  <c r="DA614"/>
  <c r="CZ614"/>
  <c r="CY614"/>
  <c r="CX614"/>
  <c r="CW614"/>
  <c r="CV614"/>
  <c r="CU614"/>
  <c r="CT614"/>
  <c r="CS614"/>
  <c r="CR614"/>
  <c r="CQ614"/>
  <c r="CP614"/>
  <c r="CO614"/>
  <c r="CN614"/>
  <c r="CM614"/>
  <c r="CL614"/>
  <c r="CK614"/>
  <c r="CJ614"/>
  <c r="CI614"/>
  <c r="CH614"/>
  <c r="CG614"/>
  <c r="CF614"/>
  <c r="CE614"/>
  <c r="CD614"/>
  <c r="CC614"/>
  <c r="CB614"/>
  <c r="CA614"/>
  <c r="BZ614"/>
  <c r="BY614"/>
  <c r="BX614"/>
  <c r="BW614"/>
  <c r="BV614"/>
  <c r="BU614"/>
  <c r="BT614"/>
  <c r="BS614"/>
  <c r="BR614"/>
  <c r="BQ614"/>
  <c r="BP614"/>
  <c r="BO614"/>
  <c r="BN614"/>
  <c r="DU613"/>
  <c r="DT613"/>
  <c r="DS613"/>
  <c r="DR613"/>
  <c r="DQ613"/>
  <c r="DP613"/>
  <c r="DO613"/>
  <c r="DN613"/>
  <c r="DM613"/>
  <c r="DL613"/>
  <c r="DK613"/>
  <c r="DJ613"/>
  <c r="DI613"/>
  <c r="DH613"/>
  <c r="DG613"/>
  <c r="DF613"/>
  <c r="DE613"/>
  <c r="DD613"/>
  <c r="DC613"/>
  <c r="DB613"/>
  <c r="DA613"/>
  <c r="CZ613"/>
  <c r="CY613"/>
  <c r="CX613"/>
  <c r="CW613"/>
  <c r="CV613"/>
  <c r="CU613"/>
  <c r="CT613"/>
  <c r="CS613"/>
  <c r="CR613"/>
  <c r="CQ613"/>
  <c r="CP613"/>
  <c r="CO613"/>
  <c r="CN613"/>
  <c r="CM613"/>
  <c r="CL613"/>
  <c r="CK613"/>
  <c r="CJ613"/>
  <c r="CI613"/>
  <c r="CH613"/>
  <c r="CG613"/>
  <c r="CF613"/>
  <c r="CE613"/>
  <c r="CD613"/>
  <c r="CC613"/>
  <c r="CB613"/>
  <c r="CA613"/>
  <c r="BZ613"/>
  <c r="BY613"/>
  <c r="BX613"/>
  <c r="BW613"/>
  <c r="BV613"/>
  <c r="BU613"/>
  <c r="BT613"/>
  <c r="BS613"/>
  <c r="BR613"/>
  <c r="BQ613"/>
  <c r="BP613"/>
  <c r="BO613"/>
  <c r="BN613"/>
  <c r="DU612"/>
  <c r="DT612"/>
  <c r="DS612"/>
  <c r="DR612"/>
  <c r="DQ612"/>
  <c r="DP612"/>
  <c r="DO612"/>
  <c r="DN612"/>
  <c r="DM612"/>
  <c r="DL612"/>
  <c r="DK612"/>
  <c r="DJ612"/>
  <c r="DI612"/>
  <c r="DH612"/>
  <c r="DG612"/>
  <c r="DF612"/>
  <c r="DE612"/>
  <c r="DD612"/>
  <c r="DC612"/>
  <c r="DB612"/>
  <c r="DA612"/>
  <c r="CZ612"/>
  <c r="CY612"/>
  <c r="CX612"/>
  <c r="CW612"/>
  <c r="CV612"/>
  <c r="CU612"/>
  <c r="CT612"/>
  <c r="CS612"/>
  <c r="CR612"/>
  <c r="CQ612"/>
  <c r="CP612"/>
  <c r="CO612"/>
  <c r="CN612"/>
  <c r="CM612"/>
  <c r="CL612"/>
  <c r="CK612"/>
  <c r="CJ612"/>
  <c r="CI612"/>
  <c r="CH612"/>
  <c r="CG612"/>
  <c r="CF612"/>
  <c r="CE612"/>
  <c r="CD612"/>
  <c r="CC612"/>
  <c r="CB612"/>
  <c r="CA612"/>
  <c r="BZ612"/>
  <c r="BY612"/>
  <c r="BX612"/>
  <c r="BW612"/>
  <c r="BV612"/>
  <c r="BU612"/>
  <c r="BT612"/>
  <c r="BS612"/>
  <c r="BR612"/>
  <c r="BQ612"/>
  <c r="BP612"/>
  <c r="BO612"/>
  <c r="BN612"/>
  <c r="DU611"/>
  <c r="DT611"/>
  <c r="DS611"/>
  <c r="DR611"/>
  <c r="DQ611"/>
  <c r="DP611"/>
  <c r="DO611"/>
  <c r="DN611"/>
  <c r="DM611"/>
  <c r="DL611"/>
  <c r="DK611"/>
  <c r="DJ611"/>
  <c r="DI611"/>
  <c r="DH611"/>
  <c r="DG611"/>
  <c r="DF611"/>
  <c r="DE611"/>
  <c r="DD611"/>
  <c r="DC611"/>
  <c r="DB611"/>
  <c r="DA611"/>
  <c r="CZ611"/>
  <c r="CY611"/>
  <c r="CX611"/>
  <c r="CW611"/>
  <c r="CV611"/>
  <c r="CU611"/>
  <c r="CT611"/>
  <c r="CS611"/>
  <c r="CR611"/>
  <c r="CQ611"/>
  <c r="CP611"/>
  <c r="CO611"/>
  <c r="CN611"/>
  <c r="CM611"/>
  <c r="CL611"/>
  <c r="CK611"/>
  <c r="CJ611"/>
  <c r="CI611"/>
  <c r="CH611"/>
  <c r="CG611"/>
  <c r="CF611"/>
  <c r="CE611"/>
  <c r="CD611"/>
  <c r="CC611"/>
  <c r="CB611"/>
  <c r="CA611"/>
  <c r="BZ611"/>
  <c r="BY611"/>
  <c r="BX611"/>
  <c r="BW611"/>
  <c r="BV611"/>
  <c r="BU611"/>
  <c r="BT611"/>
  <c r="BS611"/>
  <c r="BR611"/>
  <c r="BQ611"/>
  <c r="BP611"/>
  <c r="BO611"/>
  <c r="BN611"/>
  <c r="DU610"/>
  <c r="DT610"/>
  <c r="DS610"/>
  <c r="DR610"/>
  <c r="DQ610"/>
  <c r="DP610"/>
  <c r="DO610"/>
  <c r="DN610"/>
  <c r="DM610"/>
  <c r="DL610"/>
  <c r="DK610"/>
  <c r="DJ610"/>
  <c r="DI610"/>
  <c r="DH610"/>
  <c r="DG610"/>
  <c r="DF610"/>
  <c r="DE610"/>
  <c r="DD610"/>
  <c r="DC610"/>
  <c r="DB610"/>
  <c r="DA610"/>
  <c r="CZ610"/>
  <c r="CY610"/>
  <c r="CX610"/>
  <c r="CW610"/>
  <c r="CV610"/>
  <c r="CU610"/>
  <c r="CT610"/>
  <c r="CS610"/>
  <c r="CR610"/>
  <c r="CQ610"/>
  <c r="CP610"/>
  <c r="CO610"/>
  <c r="CN610"/>
  <c r="CM610"/>
  <c r="CL610"/>
  <c r="CK610"/>
  <c r="CJ610"/>
  <c r="CI610"/>
  <c r="CH610"/>
  <c r="CG610"/>
  <c r="CF610"/>
  <c r="CE610"/>
  <c r="CD610"/>
  <c r="CC610"/>
  <c r="CB610"/>
  <c r="CA610"/>
  <c r="BZ610"/>
  <c r="BY610"/>
  <c r="BX610"/>
  <c r="BW610"/>
  <c r="BV610"/>
  <c r="BU610"/>
  <c r="BT610"/>
  <c r="BS610"/>
  <c r="BR610"/>
  <c r="BQ610"/>
  <c r="BP610"/>
  <c r="BO610"/>
  <c r="BN610"/>
  <c r="DU609"/>
  <c r="DT609"/>
  <c r="DS609"/>
  <c r="DR609"/>
  <c r="DQ609"/>
  <c r="DP609"/>
  <c r="DO609"/>
  <c r="DN609"/>
  <c r="DM609"/>
  <c r="DL609"/>
  <c r="DK609"/>
  <c r="DJ609"/>
  <c r="DI609"/>
  <c r="DH609"/>
  <c r="DG609"/>
  <c r="DF609"/>
  <c r="DE609"/>
  <c r="DD609"/>
  <c r="DC609"/>
  <c r="DB609"/>
  <c r="DA609"/>
  <c r="CZ609"/>
  <c r="CY609"/>
  <c r="CX609"/>
  <c r="CW609"/>
  <c r="CV609"/>
  <c r="CU609"/>
  <c r="CT609"/>
  <c r="CS609"/>
  <c r="CR609"/>
  <c r="CQ609"/>
  <c r="CP609"/>
  <c r="CO609"/>
  <c r="CN609"/>
  <c r="CM609"/>
  <c r="CL609"/>
  <c r="CK609"/>
  <c r="CJ609"/>
  <c r="CI609"/>
  <c r="CH609"/>
  <c r="CG609"/>
  <c r="CF609"/>
  <c r="CE609"/>
  <c r="CD609"/>
  <c r="CC609"/>
  <c r="CB609"/>
  <c r="CA609"/>
  <c r="BZ609"/>
  <c r="BY609"/>
  <c r="BX609"/>
  <c r="BW609"/>
  <c r="BV609"/>
  <c r="BU609"/>
  <c r="BT609"/>
  <c r="BS609"/>
  <c r="BR609"/>
  <c r="BQ609"/>
  <c r="BP609"/>
  <c r="BO609"/>
  <c r="BN609"/>
  <c r="DU608"/>
  <c r="DT608"/>
  <c r="DS608"/>
  <c r="DR608"/>
  <c r="DQ608"/>
  <c r="DP608"/>
  <c r="DO608"/>
  <c r="DN608"/>
  <c r="DM608"/>
  <c r="DL608"/>
  <c r="DK608"/>
  <c r="DJ608"/>
  <c r="DI608"/>
  <c r="DH608"/>
  <c r="DG608"/>
  <c r="DF608"/>
  <c r="DE608"/>
  <c r="DD608"/>
  <c r="DC608"/>
  <c r="DB608"/>
  <c r="DA608"/>
  <c r="CZ608"/>
  <c r="CY608"/>
  <c r="CX608"/>
  <c r="CW608"/>
  <c r="CV608"/>
  <c r="CU608"/>
  <c r="CT608"/>
  <c r="CS608"/>
  <c r="CR608"/>
  <c r="CQ608"/>
  <c r="CP608"/>
  <c r="CO608"/>
  <c r="CN608"/>
  <c r="CM608"/>
  <c r="CL608"/>
  <c r="CK608"/>
  <c r="CJ608"/>
  <c r="CI608"/>
  <c r="CH608"/>
  <c r="CG608"/>
  <c r="CF608"/>
  <c r="CE608"/>
  <c r="CD608"/>
  <c r="CC608"/>
  <c r="CB608"/>
  <c r="CA608"/>
  <c r="BZ608"/>
  <c r="BY608"/>
  <c r="BX608"/>
  <c r="BW608"/>
  <c r="BV608"/>
  <c r="BU608"/>
  <c r="BT608"/>
  <c r="BS608"/>
  <c r="BR608"/>
  <c r="BQ608"/>
  <c r="BP608"/>
  <c r="BO608"/>
  <c r="BN608"/>
  <c r="DU607"/>
  <c r="DT607"/>
  <c r="DS607"/>
  <c r="DR607"/>
  <c r="DQ607"/>
  <c r="DP607"/>
  <c r="DO607"/>
  <c r="DN607"/>
  <c r="DM607"/>
  <c r="DL607"/>
  <c r="DK607"/>
  <c r="DJ607"/>
  <c r="DI607"/>
  <c r="DH607"/>
  <c r="DG607"/>
  <c r="DF607"/>
  <c r="DE607"/>
  <c r="DD607"/>
  <c r="DC607"/>
  <c r="DB607"/>
  <c r="DA607"/>
  <c r="CZ607"/>
  <c r="CY607"/>
  <c r="CX607"/>
  <c r="CW607"/>
  <c r="CV607"/>
  <c r="CU607"/>
  <c r="CT607"/>
  <c r="CS607"/>
  <c r="CR607"/>
  <c r="CQ607"/>
  <c r="CP607"/>
  <c r="CO607"/>
  <c r="CN607"/>
  <c r="CM607"/>
  <c r="CL607"/>
  <c r="CK607"/>
  <c r="CJ607"/>
  <c r="CI607"/>
  <c r="CH607"/>
  <c r="CG607"/>
  <c r="CF607"/>
  <c r="CE607"/>
  <c r="CD607"/>
  <c r="CC607"/>
  <c r="CB607"/>
  <c r="CA607"/>
  <c r="BZ607"/>
  <c r="BY607"/>
  <c r="BX607"/>
  <c r="BW607"/>
  <c r="BV607"/>
  <c r="BU607"/>
  <c r="BT607"/>
  <c r="BS607"/>
  <c r="BR607"/>
  <c r="BQ607"/>
  <c r="BP607"/>
  <c r="BO607"/>
  <c r="BN607"/>
  <c r="DU606"/>
  <c r="DT606"/>
  <c r="DS606"/>
  <c r="DR606"/>
  <c r="DQ606"/>
  <c r="DP606"/>
  <c r="DO606"/>
  <c r="DN606"/>
  <c r="DM606"/>
  <c r="DL606"/>
  <c r="DK606"/>
  <c r="DJ606"/>
  <c r="DI606"/>
  <c r="DH606"/>
  <c r="DG606"/>
  <c r="DF606"/>
  <c r="DE606"/>
  <c r="DD606"/>
  <c r="DC606"/>
  <c r="DB606"/>
  <c r="DA606"/>
  <c r="CZ606"/>
  <c r="CY606"/>
  <c r="CX606"/>
  <c r="CW606"/>
  <c r="CV606"/>
  <c r="CU606"/>
  <c r="CT606"/>
  <c r="CS606"/>
  <c r="CR606"/>
  <c r="CQ606"/>
  <c r="CP606"/>
  <c r="CO606"/>
  <c r="CN606"/>
  <c r="CM606"/>
  <c r="CL606"/>
  <c r="CK606"/>
  <c r="CJ606"/>
  <c r="CI606"/>
  <c r="CH606"/>
  <c r="CG606"/>
  <c r="CF606"/>
  <c r="CE606"/>
  <c r="CD606"/>
  <c r="CC606"/>
  <c r="CB606"/>
  <c r="CA606"/>
  <c r="BZ606"/>
  <c r="BY606"/>
  <c r="BX606"/>
  <c r="BW606"/>
  <c r="BV606"/>
  <c r="BU606"/>
  <c r="BT606"/>
  <c r="BS606"/>
  <c r="BR606"/>
  <c r="BQ606"/>
  <c r="BP606"/>
  <c r="BO606"/>
  <c r="BN606"/>
  <c r="DU605"/>
  <c r="DT605"/>
  <c r="DS605"/>
  <c r="DR605"/>
  <c r="DQ605"/>
  <c r="DP605"/>
  <c r="DO605"/>
  <c r="DN605"/>
  <c r="DM605"/>
  <c r="DL605"/>
  <c r="DK605"/>
  <c r="DJ605"/>
  <c r="DI605"/>
  <c r="DH605"/>
  <c r="DG605"/>
  <c r="DF605"/>
  <c r="DE605"/>
  <c r="DD605"/>
  <c r="DC605"/>
  <c r="DB605"/>
  <c r="DA605"/>
  <c r="CZ605"/>
  <c r="CY605"/>
  <c r="CX605"/>
  <c r="CW605"/>
  <c r="CV605"/>
  <c r="CU605"/>
  <c r="CT605"/>
  <c r="CS605"/>
  <c r="CR605"/>
  <c r="CQ605"/>
  <c r="CP605"/>
  <c r="CO605"/>
  <c r="CN605"/>
  <c r="CM605"/>
  <c r="CL605"/>
  <c r="CK605"/>
  <c r="CJ605"/>
  <c r="CI605"/>
  <c r="CH605"/>
  <c r="CG605"/>
  <c r="CF605"/>
  <c r="CE605"/>
  <c r="CD605"/>
  <c r="CC605"/>
  <c r="CB605"/>
  <c r="CA605"/>
  <c r="BZ605"/>
  <c r="BY605"/>
  <c r="BX605"/>
  <c r="BW605"/>
  <c r="BV605"/>
  <c r="BU605"/>
  <c r="BT605"/>
  <c r="BS605"/>
  <c r="BR605"/>
  <c r="BQ605"/>
  <c r="BP605"/>
  <c r="BO605"/>
  <c r="BN605"/>
  <c r="DU604"/>
  <c r="DT604"/>
  <c r="DS604"/>
  <c r="DR604"/>
  <c r="DQ604"/>
  <c r="DP604"/>
  <c r="DO604"/>
  <c r="DN604"/>
  <c r="DM604"/>
  <c r="DL604"/>
  <c r="DK604"/>
  <c r="DJ604"/>
  <c r="DI604"/>
  <c r="DH604"/>
  <c r="DG604"/>
  <c r="DF604"/>
  <c r="DE604"/>
  <c r="DD604"/>
  <c r="DC604"/>
  <c r="DB604"/>
  <c r="DA604"/>
  <c r="CZ604"/>
  <c r="CY604"/>
  <c r="CX604"/>
  <c r="CW604"/>
  <c r="CV604"/>
  <c r="CU604"/>
  <c r="CT604"/>
  <c r="CS604"/>
  <c r="CR604"/>
  <c r="CQ604"/>
  <c r="CP604"/>
  <c r="CO604"/>
  <c r="CN604"/>
  <c r="CM604"/>
  <c r="CL604"/>
  <c r="CK604"/>
  <c r="CJ604"/>
  <c r="CI604"/>
  <c r="CH604"/>
  <c r="CG604"/>
  <c r="CF604"/>
  <c r="CE604"/>
  <c r="CD604"/>
  <c r="CC604"/>
  <c r="CB604"/>
  <c r="CA604"/>
  <c r="BZ604"/>
  <c r="BY604"/>
  <c r="BX604"/>
  <c r="BW604"/>
  <c r="BV604"/>
  <c r="BU604"/>
  <c r="BT604"/>
  <c r="BS604"/>
  <c r="BR604"/>
  <c r="BQ604"/>
  <c r="BP604"/>
  <c r="BO604"/>
  <c r="BN604"/>
  <c r="DU603"/>
  <c r="DT603"/>
  <c r="DS603"/>
  <c r="DR603"/>
  <c r="DQ603"/>
  <c r="DP603"/>
  <c r="DO603"/>
  <c r="DN603"/>
  <c r="DM603"/>
  <c r="DL603"/>
  <c r="DK603"/>
  <c r="DJ603"/>
  <c r="DI603"/>
  <c r="DH603"/>
  <c r="DG603"/>
  <c r="DF603"/>
  <c r="DE603"/>
  <c r="DD603"/>
  <c r="DC603"/>
  <c r="DB603"/>
  <c r="DA603"/>
  <c r="CZ603"/>
  <c r="CY603"/>
  <c r="CX603"/>
  <c r="CW603"/>
  <c r="CV603"/>
  <c r="CU603"/>
  <c r="CT603"/>
  <c r="CS603"/>
  <c r="CR603"/>
  <c r="CQ603"/>
  <c r="CP603"/>
  <c r="CO603"/>
  <c r="CN603"/>
  <c r="CM603"/>
  <c r="CL603"/>
  <c r="CK603"/>
  <c r="CJ603"/>
  <c r="CI603"/>
  <c r="CH603"/>
  <c r="CG603"/>
  <c r="CF603"/>
  <c r="CE603"/>
  <c r="CD603"/>
  <c r="CC603"/>
  <c r="CB603"/>
  <c r="CA603"/>
  <c r="BZ603"/>
  <c r="BY603"/>
  <c r="BX603"/>
  <c r="BW603"/>
  <c r="BV603"/>
  <c r="BU603"/>
  <c r="BT603"/>
  <c r="BS603"/>
  <c r="BR603"/>
  <c r="BQ603"/>
  <c r="BP603"/>
  <c r="BO603"/>
  <c r="BN603"/>
  <c r="DU602"/>
  <c r="DT602"/>
  <c r="DS602"/>
  <c r="DR602"/>
  <c r="DQ602"/>
  <c r="DP602"/>
  <c r="DO602"/>
  <c r="DN602"/>
  <c r="DM602"/>
  <c r="DL602"/>
  <c r="DK602"/>
  <c r="DJ602"/>
  <c r="DI602"/>
  <c r="DH602"/>
  <c r="DG602"/>
  <c r="DF602"/>
  <c r="DE602"/>
  <c r="DD602"/>
  <c r="DC602"/>
  <c r="DB602"/>
  <c r="DA602"/>
  <c r="CZ602"/>
  <c r="CY602"/>
  <c r="CX602"/>
  <c r="CW602"/>
  <c r="CV602"/>
  <c r="CU602"/>
  <c r="CT602"/>
  <c r="CS602"/>
  <c r="CR602"/>
  <c r="CQ602"/>
  <c r="CP602"/>
  <c r="CO602"/>
  <c r="CN602"/>
  <c r="CM602"/>
  <c r="CL602"/>
  <c r="CK602"/>
  <c r="CJ602"/>
  <c r="CI602"/>
  <c r="CH602"/>
  <c r="CG602"/>
  <c r="CF602"/>
  <c r="CE602"/>
  <c r="CD602"/>
  <c r="CC602"/>
  <c r="CB602"/>
  <c r="CA602"/>
  <c r="BZ602"/>
  <c r="BY602"/>
  <c r="BX602"/>
  <c r="BW602"/>
  <c r="BV602"/>
  <c r="BU602"/>
  <c r="BT602"/>
  <c r="BS602"/>
  <c r="BR602"/>
  <c r="BQ602"/>
  <c r="BP602"/>
  <c r="BO602"/>
  <c r="BN602"/>
  <c r="DU601"/>
  <c r="DT601"/>
  <c r="DS601"/>
  <c r="DR601"/>
  <c r="DQ601"/>
  <c r="DP601"/>
  <c r="DO601"/>
  <c r="DN601"/>
  <c r="DM601"/>
  <c r="DL601"/>
  <c r="DK601"/>
  <c r="DJ601"/>
  <c r="DI601"/>
  <c r="DH601"/>
  <c r="DG601"/>
  <c r="DF601"/>
  <c r="DE601"/>
  <c r="DD601"/>
  <c r="DC601"/>
  <c r="DB601"/>
  <c r="DA601"/>
  <c r="CZ601"/>
  <c r="CY601"/>
  <c r="CX601"/>
  <c r="CW601"/>
  <c r="CV601"/>
  <c r="CU601"/>
  <c r="CT601"/>
  <c r="CS601"/>
  <c r="CR601"/>
  <c r="CQ601"/>
  <c r="CP601"/>
  <c r="CO601"/>
  <c r="CN601"/>
  <c r="CM601"/>
  <c r="CL601"/>
  <c r="CK601"/>
  <c r="CJ601"/>
  <c r="CI601"/>
  <c r="CH601"/>
  <c r="CG601"/>
  <c r="CF601"/>
  <c r="CE601"/>
  <c r="CD601"/>
  <c r="CC601"/>
  <c r="CB601"/>
  <c r="CA601"/>
  <c r="BZ601"/>
  <c r="BY601"/>
  <c r="BX601"/>
  <c r="BW601"/>
  <c r="BV601"/>
  <c r="BU601"/>
  <c r="BT601"/>
  <c r="BS601"/>
  <c r="BR601"/>
  <c r="BQ601"/>
  <c r="BP601"/>
  <c r="BO601"/>
  <c r="BN601"/>
  <c r="DU600"/>
  <c r="DT600"/>
  <c r="DS600"/>
  <c r="DR600"/>
  <c r="DQ600"/>
  <c r="DP600"/>
  <c r="DO600"/>
  <c r="DN600"/>
  <c r="DM600"/>
  <c r="DL600"/>
  <c r="DK600"/>
  <c r="DJ600"/>
  <c r="DI600"/>
  <c r="DH600"/>
  <c r="DG600"/>
  <c r="DF600"/>
  <c r="DE600"/>
  <c r="DD600"/>
  <c r="DC600"/>
  <c r="DB600"/>
  <c r="DA600"/>
  <c r="CZ600"/>
  <c r="CY600"/>
  <c r="CX600"/>
  <c r="CW600"/>
  <c r="CV600"/>
  <c r="CU600"/>
  <c r="CT600"/>
  <c r="CS600"/>
  <c r="CR600"/>
  <c r="CQ600"/>
  <c r="CP600"/>
  <c r="CO600"/>
  <c r="CN600"/>
  <c r="CM600"/>
  <c r="CL600"/>
  <c r="CK600"/>
  <c r="CJ600"/>
  <c r="CI600"/>
  <c r="CH600"/>
  <c r="CG600"/>
  <c r="CF600"/>
  <c r="CE600"/>
  <c r="CD600"/>
  <c r="CC600"/>
  <c r="CB600"/>
  <c r="CA600"/>
  <c r="BZ600"/>
  <c r="BY600"/>
  <c r="BX600"/>
  <c r="BW600"/>
  <c r="BV600"/>
  <c r="BU600"/>
  <c r="BT600"/>
  <c r="BS600"/>
  <c r="BR600"/>
  <c r="BQ600"/>
  <c r="BP600"/>
  <c r="BO600"/>
  <c r="BN600"/>
  <c r="DU599"/>
  <c r="DT599"/>
  <c r="DS599"/>
  <c r="DR599"/>
  <c r="DQ599"/>
  <c r="DP599"/>
  <c r="DO599"/>
  <c r="DN599"/>
  <c r="DM599"/>
  <c r="DL599"/>
  <c r="DK599"/>
  <c r="DJ599"/>
  <c r="DI599"/>
  <c r="DH599"/>
  <c r="DG599"/>
  <c r="DF599"/>
  <c r="DE599"/>
  <c r="DD599"/>
  <c r="DC599"/>
  <c r="DB599"/>
  <c r="DA599"/>
  <c r="CZ599"/>
  <c r="CY599"/>
  <c r="CX599"/>
  <c r="CW599"/>
  <c r="CV599"/>
  <c r="CU599"/>
  <c r="CT599"/>
  <c r="CS599"/>
  <c r="CR599"/>
  <c r="CQ599"/>
  <c r="CP599"/>
  <c r="CO599"/>
  <c r="CN599"/>
  <c r="CM599"/>
  <c r="CL599"/>
  <c r="CK599"/>
  <c r="CJ599"/>
  <c r="CI599"/>
  <c r="CH599"/>
  <c r="CG599"/>
  <c r="CF599"/>
  <c r="CE599"/>
  <c r="CD599"/>
  <c r="CC599"/>
  <c r="CB599"/>
  <c r="CA599"/>
  <c r="BZ599"/>
  <c r="BY599"/>
  <c r="BX599"/>
  <c r="BW599"/>
  <c r="BV599"/>
  <c r="BU599"/>
  <c r="BT599"/>
  <c r="BS599"/>
  <c r="BR599"/>
  <c r="BQ599"/>
  <c r="BP599"/>
  <c r="BO599"/>
  <c r="BN599"/>
  <c r="DU598"/>
  <c r="DT598"/>
  <c r="DS598"/>
  <c r="DR598"/>
  <c r="DQ598"/>
  <c r="DP598"/>
  <c r="DO598"/>
  <c r="DN598"/>
  <c r="DM598"/>
  <c r="DL598"/>
  <c r="DK598"/>
  <c r="DJ598"/>
  <c r="DI598"/>
  <c r="DH598"/>
  <c r="DG598"/>
  <c r="DF598"/>
  <c r="DE598"/>
  <c r="DD598"/>
  <c r="DC598"/>
  <c r="DB598"/>
  <c r="DA598"/>
  <c r="CZ598"/>
  <c r="CY598"/>
  <c r="CX598"/>
  <c r="CW598"/>
  <c r="CV598"/>
  <c r="CU598"/>
  <c r="CT598"/>
  <c r="CS598"/>
  <c r="CR598"/>
  <c r="CQ598"/>
  <c r="CP598"/>
  <c r="CO598"/>
  <c r="CN598"/>
  <c r="CM598"/>
  <c r="CL598"/>
  <c r="CK598"/>
  <c r="CJ598"/>
  <c r="CI598"/>
  <c r="CH598"/>
  <c r="CG598"/>
  <c r="CF598"/>
  <c r="CE598"/>
  <c r="CD598"/>
  <c r="CC598"/>
  <c r="CB598"/>
  <c r="CA598"/>
  <c r="BZ598"/>
  <c r="BY598"/>
  <c r="BX598"/>
  <c r="BW598"/>
  <c r="BV598"/>
  <c r="BU598"/>
  <c r="BT598"/>
  <c r="BS598"/>
  <c r="BR598"/>
  <c r="BQ598"/>
  <c r="BP598"/>
  <c r="BO598"/>
  <c r="BN598"/>
  <c r="DU597"/>
  <c r="DT597"/>
  <c r="DS597"/>
  <c r="DR597"/>
  <c r="DQ597"/>
  <c r="DP597"/>
  <c r="DO597"/>
  <c r="DN597"/>
  <c r="DM597"/>
  <c r="DL597"/>
  <c r="DK597"/>
  <c r="DJ597"/>
  <c r="DI597"/>
  <c r="DH597"/>
  <c r="DG597"/>
  <c r="DF597"/>
  <c r="DE597"/>
  <c r="DD597"/>
  <c r="DC597"/>
  <c r="DB597"/>
  <c r="DA597"/>
  <c r="CZ597"/>
  <c r="CY597"/>
  <c r="CX597"/>
  <c r="CW597"/>
  <c r="CV597"/>
  <c r="CU597"/>
  <c r="CT597"/>
  <c r="CS597"/>
  <c r="CR597"/>
  <c r="CQ597"/>
  <c r="CP597"/>
  <c r="CO597"/>
  <c r="CN597"/>
  <c r="CM597"/>
  <c r="CL597"/>
  <c r="CK597"/>
  <c r="CJ597"/>
  <c r="CI597"/>
  <c r="CH597"/>
  <c r="CG597"/>
  <c r="CF597"/>
  <c r="CE597"/>
  <c r="CD597"/>
  <c r="CC597"/>
  <c r="CB597"/>
  <c r="CA597"/>
  <c r="BZ597"/>
  <c r="BY597"/>
  <c r="BX597"/>
  <c r="BW597"/>
  <c r="BV597"/>
  <c r="BU597"/>
  <c r="BT597"/>
  <c r="BS597"/>
  <c r="BR597"/>
  <c r="BQ597"/>
  <c r="BP597"/>
  <c r="BO597"/>
  <c r="BN597"/>
  <c r="DU596"/>
  <c r="DT596"/>
  <c r="DS596"/>
  <c r="DR596"/>
  <c r="DQ596"/>
  <c r="DP596"/>
  <c r="DO596"/>
  <c r="DN596"/>
  <c r="DM596"/>
  <c r="DL596"/>
  <c r="DK596"/>
  <c r="DJ596"/>
  <c r="DI596"/>
  <c r="DH596"/>
  <c r="DG596"/>
  <c r="DF596"/>
  <c r="DE596"/>
  <c r="DD596"/>
  <c r="DC596"/>
  <c r="DB596"/>
  <c r="DA596"/>
  <c r="CZ596"/>
  <c r="CY596"/>
  <c r="CX596"/>
  <c r="CW596"/>
  <c r="CV596"/>
  <c r="CU596"/>
  <c r="CT596"/>
  <c r="CS596"/>
  <c r="CR596"/>
  <c r="CQ596"/>
  <c r="CP596"/>
  <c r="CO596"/>
  <c r="CN596"/>
  <c r="CM596"/>
  <c r="CL596"/>
  <c r="CK596"/>
  <c r="CJ596"/>
  <c r="CI596"/>
  <c r="CH596"/>
  <c r="CG596"/>
  <c r="CF596"/>
  <c r="CE596"/>
  <c r="CD596"/>
  <c r="CC596"/>
  <c r="CB596"/>
  <c r="CA596"/>
  <c r="BZ596"/>
  <c r="BY596"/>
  <c r="BX596"/>
  <c r="BW596"/>
  <c r="BV596"/>
  <c r="BU596"/>
  <c r="BT596"/>
  <c r="BS596"/>
  <c r="BR596"/>
  <c r="BQ596"/>
  <c r="BP596"/>
  <c r="BO596"/>
  <c r="BN596"/>
  <c r="DU595"/>
  <c r="DT595"/>
  <c r="DS595"/>
  <c r="DR595"/>
  <c r="DQ595"/>
  <c r="DP595"/>
  <c r="DO595"/>
  <c r="DN595"/>
  <c r="DM595"/>
  <c r="DL595"/>
  <c r="DK595"/>
  <c r="DJ595"/>
  <c r="DI595"/>
  <c r="DH595"/>
  <c r="DG595"/>
  <c r="DF595"/>
  <c r="DE595"/>
  <c r="DD595"/>
  <c r="DC595"/>
  <c r="DB595"/>
  <c r="DA595"/>
  <c r="CZ595"/>
  <c r="CY595"/>
  <c r="CX595"/>
  <c r="CW595"/>
  <c r="CV595"/>
  <c r="CU595"/>
  <c r="CT595"/>
  <c r="CS595"/>
  <c r="CR595"/>
  <c r="CQ595"/>
  <c r="CP595"/>
  <c r="CO595"/>
  <c r="CN595"/>
  <c r="CM595"/>
  <c r="CL595"/>
  <c r="CK595"/>
  <c r="CJ595"/>
  <c r="CI595"/>
  <c r="CH595"/>
  <c r="CG595"/>
  <c r="CF595"/>
  <c r="CE595"/>
  <c r="CD595"/>
  <c r="CC595"/>
  <c r="CB595"/>
  <c r="CA595"/>
  <c r="BZ595"/>
  <c r="BY595"/>
  <c r="BX595"/>
  <c r="BW595"/>
  <c r="BV595"/>
  <c r="BU595"/>
  <c r="BT595"/>
  <c r="BS595"/>
  <c r="BR595"/>
  <c r="BQ595"/>
  <c r="BP595"/>
  <c r="BO595"/>
  <c r="BN595"/>
  <c r="DU594"/>
  <c r="DT594"/>
  <c r="DS594"/>
  <c r="DR594"/>
  <c r="DQ594"/>
  <c r="DP594"/>
  <c r="DO594"/>
  <c r="DN594"/>
  <c r="DM594"/>
  <c r="DL594"/>
  <c r="DK594"/>
  <c r="DJ594"/>
  <c r="DI594"/>
  <c r="DH594"/>
  <c r="DG594"/>
  <c r="DF594"/>
  <c r="DE594"/>
  <c r="DD594"/>
  <c r="DC594"/>
  <c r="DB594"/>
  <c r="DA594"/>
  <c r="CZ594"/>
  <c r="CY594"/>
  <c r="CX594"/>
  <c r="CW594"/>
  <c r="CV594"/>
  <c r="CU594"/>
  <c r="CT594"/>
  <c r="CS594"/>
  <c r="CR594"/>
  <c r="CQ594"/>
  <c r="CP594"/>
  <c r="CO594"/>
  <c r="CN594"/>
  <c r="CM594"/>
  <c r="CL594"/>
  <c r="CK594"/>
  <c r="CJ594"/>
  <c r="CI594"/>
  <c r="CH594"/>
  <c r="CG594"/>
  <c r="CF594"/>
  <c r="CE594"/>
  <c r="CD594"/>
  <c r="CC594"/>
  <c r="CB594"/>
  <c r="CA594"/>
  <c r="BZ594"/>
  <c r="BY594"/>
  <c r="BX594"/>
  <c r="BW594"/>
  <c r="BV594"/>
  <c r="BU594"/>
  <c r="BT594"/>
  <c r="BS594"/>
  <c r="BR594"/>
  <c r="BQ594"/>
  <c r="BP594"/>
  <c r="BO594"/>
  <c r="BN594"/>
  <c r="DU593"/>
  <c r="DT593"/>
  <c r="DS593"/>
  <c r="DR593"/>
  <c r="DQ593"/>
  <c r="DP593"/>
  <c r="DO593"/>
  <c r="DN593"/>
  <c r="DM593"/>
  <c r="DL593"/>
  <c r="DK593"/>
  <c r="DJ593"/>
  <c r="DI593"/>
  <c r="DH593"/>
  <c r="DG593"/>
  <c r="DF593"/>
  <c r="DE593"/>
  <c r="DD593"/>
  <c r="DC593"/>
  <c r="DB593"/>
  <c r="DA593"/>
  <c r="CZ593"/>
  <c r="CY593"/>
  <c r="CX593"/>
  <c r="CW593"/>
  <c r="CV593"/>
  <c r="CU593"/>
  <c r="CT593"/>
  <c r="CS593"/>
  <c r="CR593"/>
  <c r="CQ593"/>
  <c r="CP593"/>
  <c r="CO593"/>
  <c r="CN593"/>
  <c r="CM593"/>
  <c r="CL593"/>
  <c r="CK593"/>
  <c r="CJ593"/>
  <c r="CI593"/>
  <c r="CH593"/>
  <c r="CG593"/>
  <c r="CF593"/>
  <c r="CE593"/>
  <c r="CD593"/>
  <c r="CC593"/>
  <c r="CB593"/>
  <c r="CA593"/>
  <c r="BZ593"/>
  <c r="BY593"/>
  <c r="BX593"/>
  <c r="BW593"/>
  <c r="BV593"/>
  <c r="BU593"/>
  <c r="BT593"/>
  <c r="BS593"/>
  <c r="BR593"/>
  <c r="BQ593"/>
  <c r="BP593"/>
  <c r="BO593"/>
  <c r="BN593"/>
  <c r="DU592"/>
  <c r="DT592"/>
  <c r="DS592"/>
  <c r="DR592"/>
  <c r="DQ592"/>
  <c r="DP592"/>
  <c r="DO592"/>
  <c r="DN592"/>
  <c r="DM592"/>
  <c r="DL592"/>
  <c r="DK592"/>
  <c r="DJ592"/>
  <c r="DI592"/>
  <c r="DH592"/>
  <c r="DG592"/>
  <c r="DF592"/>
  <c r="DE592"/>
  <c r="DD592"/>
  <c r="DC592"/>
  <c r="DB592"/>
  <c r="DA592"/>
  <c r="CZ592"/>
  <c r="CY592"/>
  <c r="CX592"/>
  <c r="CW592"/>
  <c r="CV592"/>
  <c r="CU592"/>
  <c r="CT592"/>
  <c r="CS592"/>
  <c r="CR592"/>
  <c r="CQ592"/>
  <c r="CP592"/>
  <c r="CO592"/>
  <c r="CN592"/>
  <c r="CM592"/>
  <c r="CL592"/>
  <c r="CK592"/>
  <c r="CJ592"/>
  <c r="CI592"/>
  <c r="CH592"/>
  <c r="CG592"/>
  <c r="CF592"/>
  <c r="CE592"/>
  <c r="CD592"/>
  <c r="CC592"/>
  <c r="CB592"/>
  <c r="CA592"/>
  <c r="BZ592"/>
  <c r="BY592"/>
  <c r="BX592"/>
  <c r="BW592"/>
  <c r="BV592"/>
  <c r="BU592"/>
  <c r="BT592"/>
  <c r="BS592"/>
  <c r="BR592"/>
  <c r="BQ592"/>
  <c r="BP592"/>
  <c r="BO592"/>
  <c r="BN592"/>
  <c r="DU591"/>
  <c r="DT591"/>
  <c r="DS591"/>
  <c r="DR591"/>
  <c r="DQ591"/>
  <c r="DP591"/>
  <c r="DO591"/>
  <c r="DN591"/>
  <c r="DM591"/>
  <c r="DL591"/>
  <c r="DK591"/>
  <c r="DJ591"/>
  <c r="DI591"/>
  <c r="DH591"/>
  <c r="DG591"/>
  <c r="DF591"/>
  <c r="DE591"/>
  <c r="DD591"/>
  <c r="DC591"/>
  <c r="DB591"/>
  <c r="DA591"/>
  <c r="CZ591"/>
  <c r="CY591"/>
  <c r="CX591"/>
  <c r="CW591"/>
  <c r="CV591"/>
  <c r="CU591"/>
  <c r="CT591"/>
  <c r="CS591"/>
  <c r="CR591"/>
  <c r="CQ591"/>
  <c r="CP591"/>
  <c r="CO591"/>
  <c r="CN591"/>
  <c r="CM591"/>
  <c r="CL591"/>
  <c r="CK591"/>
  <c r="CJ591"/>
  <c r="CI591"/>
  <c r="CH591"/>
  <c r="CG591"/>
  <c r="CF591"/>
  <c r="CE591"/>
  <c r="CD591"/>
  <c r="CC591"/>
  <c r="CB591"/>
  <c r="CA591"/>
  <c r="BZ591"/>
  <c r="BY591"/>
  <c r="BX591"/>
  <c r="BW591"/>
  <c r="BV591"/>
  <c r="BU591"/>
  <c r="BT591"/>
  <c r="BS591"/>
  <c r="BR591"/>
  <c r="BQ591"/>
  <c r="BP591"/>
  <c r="BO591"/>
  <c r="BN591"/>
  <c r="DU590"/>
  <c r="DT590"/>
  <c r="DS590"/>
  <c r="DR590"/>
  <c r="DQ590"/>
  <c r="DP590"/>
  <c r="DO590"/>
  <c r="DN590"/>
  <c r="DM590"/>
  <c r="DL590"/>
  <c r="DK590"/>
  <c r="DJ590"/>
  <c r="DI590"/>
  <c r="DH590"/>
  <c r="DG590"/>
  <c r="DF590"/>
  <c r="DE590"/>
  <c r="DD590"/>
  <c r="DC590"/>
  <c r="DB590"/>
  <c r="DA590"/>
  <c r="CZ590"/>
  <c r="CY590"/>
  <c r="CX590"/>
  <c r="CW590"/>
  <c r="CV590"/>
  <c r="CU590"/>
  <c r="CT590"/>
  <c r="CS590"/>
  <c r="CR590"/>
  <c r="CQ590"/>
  <c r="CP590"/>
  <c r="CO590"/>
  <c r="CN590"/>
  <c r="CM590"/>
  <c r="CL590"/>
  <c r="CK590"/>
  <c r="CJ590"/>
  <c r="CI590"/>
  <c r="CH590"/>
  <c r="CG590"/>
  <c r="CF590"/>
  <c r="CE590"/>
  <c r="CD590"/>
  <c r="CC590"/>
  <c r="CB590"/>
  <c r="CA590"/>
  <c r="BZ590"/>
  <c r="BY590"/>
  <c r="BX590"/>
  <c r="BW590"/>
  <c r="BV590"/>
  <c r="BU590"/>
  <c r="BT590"/>
  <c r="BS590"/>
  <c r="BR590"/>
  <c r="BQ590"/>
  <c r="BP590"/>
  <c r="BO590"/>
  <c r="BN590"/>
  <c r="DU589"/>
  <c r="DT589"/>
  <c r="DS589"/>
  <c r="DR589"/>
  <c r="DQ589"/>
  <c r="DP589"/>
  <c r="DO589"/>
  <c r="DN589"/>
  <c r="DM589"/>
  <c r="DL589"/>
  <c r="DK589"/>
  <c r="DJ589"/>
  <c r="DI589"/>
  <c r="DH589"/>
  <c r="DG589"/>
  <c r="DF589"/>
  <c r="DE589"/>
  <c r="DD589"/>
  <c r="DC589"/>
  <c r="DB589"/>
  <c r="DA589"/>
  <c r="CZ589"/>
  <c r="CY589"/>
  <c r="CX589"/>
  <c r="CW589"/>
  <c r="CV589"/>
  <c r="CU589"/>
  <c r="CT589"/>
  <c r="CS589"/>
  <c r="CR589"/>
  <c r="CQ589"/>
  <c r="CP589"/>
  <c r="CO589"/>
  <c r="CN589"/>
  <c r="CM589"/>
  <c r="CL589"/>
  <c r="CK589"/>
  <c r="CJ589"/>
  <c r="CI589"/>
  <c r="CH589"/>
  <c r="CG589"/>
  <c r="CF589"/>
  <c r="CE589"/>
  <c r="CD589"/>
  <c r="CC589"/>
  <c r="CB589"/>
  <c r="CA589"/>
  <c r="BZ589"/>
  <c r="BY589"/>
  <c r="BX589"/>
  <c r="BW589"/>
  <c r="BV589"/>
  <c r="BU589"/>
  <c r="BT589"/>
  <c r="BS589"/>
  <c r="BR589"/>
  <c r="BQ589"/>
  <c r="BP589"/>
  <c r="BO589"/>
  <c r="BN589"/>
  <c r="DU588"/>
  <c r="DT588"/>
  <c r="DS588"/>
  <c r="DR588"/>
  <c r="DQ588"/>
  <c r="DP588"/>
  <c r="DO588"/>
  <c r="DN588"/>
  <c r="DM588"/>
  <c r="DL588"/>
  <c r="DK588"/>
  <c r="DJ588"/>
  <c r="DI588"/>
  <c r="DH588"/>
  <c r="DG588"/>
  <c r="DF588"/>
  <c r="DE588"/>
  <c r="DD588"/>
  <c r="DC588"/>
  <c r="DB588"/>
  <c r="DA588"/>
  <c r="CZ588"/>
  <c r="CY588"/>
  <c r="CX588"/>
  <c r="CW588"/>
  <c r="CV588"/>
  <c r="CU588"/>
  <c r="CT588"/>
  <c r="CS588"/>
  <c r="CR588"/>
  <c r="CQ588"/>
  <c r="CP588"/>
  <c r="CO588"/>
  <c r="CN588"/>
  <c r="CM588"/>
  <c r="CL588"/>
  <c r="CK588"/>
  <c r="CJ588"/>
  <c r="CI588"/>
  <c r="CH588"/>
  <c r="CG588"/>
  <c r="CF588"/>
  <c r="CE588"/>
  <c r="CD588"/>
  <c r="CC588"/>
  <c r="CB588"/>
  <c r="CA588"/>
  <c r="BZ588"/>
  <c r="BY588"/>
  <c r="BX588"/>
  <c r="BW588"/>
  <c r="BV588"/>
  <c r="BU588"/>
  <c r="BT588"/>
  <c r="BS588"/>
  <c r="BR588"/>
  <c r="BQ588"/>
  <c r="BP588"/>
  <c r="BO588"/>
  <c r="BN588"/>
  <c r="DU587"/>
  <c r="DT587"/>
  <c r="DS587"/>
  <c r="DR587"/>
  <c r="DQ587"/>
  <c r="DP587"/>
  <c r="DO587"/>
  <c r="DN587"/>
  <c r="DM587"/>
  <c r="DL587"/>
  <c r="DK587"/>
  <c r="DJ587"/>
  <c r="DI587"/>
  <c r="DH587"/>
  <c r="DG587"/>
  <c r="DF587"/>
  <c r="DE587"/>
  <c r="DD587"/>
  <c r="DC587"/>
  <c r="DB587"/>
  <c r="DA587"/>
  <c r="CZ587"/>
  <c r="CY587"/>
  <c r="CX587"/>
  <c r="CW587"/>
  <c r="CV587"/>
  <c r="CU587"/>
  <c r="CT587"/>
  <c r="CS587"/>
  <c r="CR587"/>
  <c r="CQ587"/>
  <c r="CP587"/>
  <c r="CO587"/>
  <c r="CN587"/>
  <c r="CM587"/>
  <c r="CL587"/>
  <c r="CK587"/>
  <c r="CJ587"/>
  <c r="CI587"/>
  <c r="CH587"/>
  <c r="CG587"/>
  <c r="CF587"/>
  <c r="CE587"/>
  <c r="CD587"/>
  <c r="CC587"/>
  <c r="CB587"/>
  <c r="CA587"/>
  <c r="BZ587"/>
  <c r="BY587"/>
  <c r="BX587"/>
  <c r="BW587"/>
  <c r="BV587"/>
  <c r="BU587"/>
  <c r="BT587"/>
  <c r="BS587"/>
  <c r="BR587"/>
  <c r="BQ587"/>
  <c r="BP587"/>
  <c r="BO587"/>
  <c r="BN587"/>
  <c r="DU586"/>
  <c r="DT586"/>
  <c r="DS586"/>
  <c r="DR586"/>
  <c r="DQ586"/>
  <c r="DP586"/>
  <c r="DO586"/>
  <c r="DN586"/>
  <c r="DM586"/>
  <c r="DL586"/>
  <c r="DK586"/>
  <c r="DJ586"/>
  <c r="DI586"/>
  <c r="DH586"/>
  <c r="DG586"/>
  <c r="DF586"/>
  <c r="DE586"/>
  <c r="DD586"/>
  <c r="DC586"/>
  <c r="DB586"/>
  <c r="DA586"/>
  <c r="CZ586"/>
  <c r="CY586"/>
  <c r="CX586"/>
  <c r="CW586"/>
  <c r="CV586"/>
  <c r="CU586"/>
  <c r="CT586"/>
  <c r="CS586"/>
  <c r="CR586"/>
  <c r="CQ586"/>
  <c r="CP586"/>
  <c r="CO586"/>
  <c r="CN586"/>
  <c r="CM586"/>
  <c r="CL586"/>
  <c r="CK586"/>
  <c r="CJ586"/>
  <c r="CI586"/>
  <c r="CH586"/>
  <c r="CG586"/>
  <c r="CF586"/>
  <c r="CE586"/>
  <c r="CD586"/>
  <c r="CC586"/>
  <c r="CB586"/>
  <c r="CA586"/>
  <c r="BZ586"/>
  <c r="BY586"/>
  <c r="BX586"/>
  <c r="BW586"/>
  <c r="BV586"/>
  <c r="BU586"/>
  <c r="BT586"/>
  <c r="BS586"/>
  <c r="BR586"/>
  <c r="BQ586"/>
  <c r="BP586"/>
  <c r="BO586"/>
  <c r="BN586"/>
  <c r="DU585"/>
  <c r="DT585"/>
  <c r="DS585"/>
  <c r="DR585"/>
  <c r="DQ585"/>
  <c r="DP585"/>
  <c r="DO585"/>
  <c r="DN585"/>
  <c r="DM585"/>
  <c r="DL585"/>
  <c r="DK585"/>
  <c r="DJ585"/>
  <c r="DI585"/>
  <c r="DH585"/>
  <c r="DG585"/>
  <c r="DF585"/>
  <c r="DE585"/>
  <c r="DD585"/>
  <c r="DC585"/>
  <c r="DB585"/>
  <c r="DA585"/>
  <c r="CZ585"/>
  <c r="CY585"/>
  <c r="CX585"/>
  <c r="CW585"/>
  <c r="CV585"/>
  <c r="CU585"/>
  <c r="CT585"/>
  <c r="CS585"/>
  <c r="CR585"/>
  <c r="CQ585"/>
  <c r="CP585"/>
  <c r="CO585"/>
  <c r="CN585"/>
  <c r="CM585"/>
  <c r="CL585"/>
  <c r="CK585"/>
  <c r="CJ585"/>
  <c r="CI585"/>
  <c r="CH585"/>
  <c r="CG585"/>
  <c r="CF585"/>
  <c r="CE585"/>
  <c r="CD585"/>
  <c r="CC585"/>
  <c r="CB585"/>
  <c r="CA585"/>
  <c r="BZ585"/>
  <c r="BY585"/>
  <c r="BX585"/>
  <c r="BW585"/>
  <c r="BV585"/>
  <c r="BU585"/>
  <c r="BT585"/>
  <c r="BS585"/>
  <c r="BR585"/>
  <c r="BQ585"/>
  <c r="BP585"/>
  <c r="BO585"/>
  <c r="BN585"/>
  <c r="DU584"/>
  <c r="DT584"/>
  <c r="DS584"/>
  <c r="DR584"/>
  <c r="DQ584"/>
  <c r="DP584"/>
  <c r="DO584"/>
  <c r="DN584"/>
  <c r="DM584"/>
  <c r="DL584"/>
  <c r="DK584"/>
  <c r="DJ584"/>
  <c r="DI584"/>
  <c r="DH584"/>
  <c r="DG584"/>
  <c r="DF584"/>
  <c r="DE584"/>
  <c r="DD584"/>
  <c r="DC584"/>
  <c r="DB584"/>
  <c r="DA584"/>
  <c r="CZ584"/>
  <c r="CY584"/>
  <c r="CX584"/>
  <c r="CW584"/>
  <c r="CV584"/>
  <c r="CU584"/>
  <c r="CT584"/>
  <c r="CS584"/>
  <c r="CR584"/>
  <c r="CQ584"/>
  <c r="CP584"/>
  <c r="CO584"/>
  <c r="CN584"/>
  <c r="CM584"/>
  <c r="CL584"/>
  <c r="CK584"/>
  <c r="CJ584"/>
  <c r="CI584"/>
  <c r="CH584"/>
  <c r="CG584"/>
  <c r="CF584"/>
  <c r="CE584"/>
  <c r="CD584"/>
  <c r="CC584"/>
  <c r="CB584"/>
  <c r="CA584"/>
  <c r="BZ584"/>
  <c r="BY584"/>
  <c r="BX584"/>
  <c r="BW584"/>
  <c r="BV584"/>
  <c r="BU584"/>
  <c r="BT584"/>
  <c r="BS584"/>
  <c r="BR584"/>
  <c r="BQ584"/>
  <c r="BP584"/>
  <c r="BO584"/>
  <c r="BN584"/>
  <c r="DU583"/>
  <c r="DT583"/>
  <c r="DS583"/>
  <c r="DR583"/>
  <c r="DQ583"/>
  <c r="DP583"/>
  <c r="DO583"/>
  <c r="DN583"/>
  <c r="DM583"/>
  <c r="DL583"/>
  <c r="DK583"/>
  <c r="DJ583"/>
  <c r="DI583"/>
  <c r="DH583"/>
  <c r="DG583"/>
  <c r="DF583"/>
  <c r="DE583"/>
  <c r="DD583"/>
  <c r="DC583"/>
  <c r="DB583"/>
  <c r="DA583"/>
  <c r="CZ583"/>
  <c r="CY583"/>
  <c r="CX583"/>
  <c r="CW583"/>
  <c r="CV583"/>
  <c r="CU583"/>
  <c r="CT583"/>
  <c r="CS583"/>
  <c r="CR583"/>
  <c r="CQ583"/>
  <c r="CP583"/>
  <c r="CO583"/>
  <c r="CN583"/>
  <c r="CM583"/>
  <c r="CL583"/>
  <c r="CK583"/>
  <c r="CJ583"/>
  <c r="CI583"/>
  <c r="CH583"/>
  <c r="CG583"/>
  <c r="CF583"/>
  <c r="CE583"/>
  <c r="CD583"/>
  <c r="CC583"/>
  <c r="CB583"/>
  <c r="CA583"/>
  <c r="BZ583"/>
  <c r="BY583"/>
  <c r="BX583"/>
  <c r="BW583"/>
  <c r="BV583"/>
  <c r="BU583"/>
  <c r="BT583"/>
  <c r="BS583"/>
  <c r="BR583"/>
  <c r="BQ583"/>
  <c r="BP583"/>
  <c r="BO583"/>
  <c r="BN583"/>
  <c r="DU582"/>
  <c r="DT582"/>
  <c r="DS582"/>
  <c r="DR582"/>
  <c r="DQ582"/>
  <c r="DP582"/>
  <c r="DO582"/>
  <c r="DN582"/>
  <c r="DM582"/>
  <c r="DL582"/>
  <c r="DK582"/>
  <c r="DJ582"/>
  <c r="DI582"/>
  <c r="DH582"/>
  <c r="DG582"/>
  <c r="DF582"/>
  <c r="DE582"/>
  <c r="DD582"/>
  <c r="DC582"/>
  <c r="DB582"/>
  <c r="DA582"/>
  <c r="CZ582"/>
  <c r="CY582"/>
  <c r="CX582"/>
  <c r="CW582"/>
  <c r="CV582"/>
  <c r="CU582"/>
  <c r="CT582"/>
  <c r="CS582"/>
  <c r="CR582"/>
  <c r="CQ582"/>
  <c r="CP582"/>
  <c r="CO582"/>
  <c r="CN582"/>
  <c r="CM582"/>
  <c r="CL582"/>
  <c r="CK582"/>
  <c r="CJ582"/>
  <c r="CI582"/>
  <c r="CH582"/>
  <c r="CG582"/>
  <c r="CF582"/>
  <c r="CE582"/>
  <c r="CD582"/>
  <c r="CC582"/>
  <c r="CB582"/>
  <c r="CA582"/>
  <c r="BZ582"/>
  <c r="BY582"/>
  <c r="BX582"/>
  <c r="BW582"/>
  <c r="BV582"/>
  <c r="BU582"/>
  <c r="BT582"/>
  <c r="BS582"/>
  <c r="BR582"/>
  <c r="BQ582"/>
  <c r="BP582"/>
  <c r="BO582"/>
  <c r="BN582"/>
  <c r="DU581"/>
  <c r="DT581"/>
  <c r="DS581"/>
  <c r="DR581"/>
  <c r="DQ581"/>
  <c r="DP581"/>
  <c r="DO581"/>
  <c r="DN581"/>
  <c r="DM581"/>
  <c r="DL581"/>
  <c r="DK581"/>
  <c r="DJ581"/>
  <c r="DI581"/>
  <c r="DH581"/>
  <c r="DG581"/>
  <c r="DF581"/>
  <c r="DE581"/>
  <c r="DD581"/>
  <c r="DC581"/>
  <c r="DB581"/>
  <c r="DA581"/>
  <c r="CZ581"/>
  <c r="CY581"/>
  <c r="CX581"/>
  <c r="CW581"/>
  <c r="CV581"/>
  <c r="CU581"/>
  <c r="CT581"/>
  <c r="CS581"/>
  <c r="CR581"/>
  <c r="CQ581"/>
  <c r="CP581"/>
  <c r="CO581"/>
  <c r="CN581"/>
  <c r="CM581"/>
  <c r="CL581"/>
  <c r="CK581"/>
  <c r="CJ581"/>
  <c r="CI581"/>
  <c r="CH581"/>
  <c r="CG581"/>
  <c r="CF581"/>
  <c r="CE581"/>
  <c r="CD581"/>
  <c r="CC581"/>
  <c r="CB581"/>
  <c r="CA581"/>
  <c r="BZ581"/>
  <c r="BY581"/>
  <c r="BX581"/>
  <c r="BW581"/>
  <c r="BV581"/>
  <c r="BU581"/>
  <c r="BT581"/>
  <c r="BS581"/>
  <c r="BR581"/>
  <c r="BQ581"/>
  <c r="BP581"/>
  <c r="BO581"/>
  <c r="BN581"/>
  <c r="DU580"/>
  <c r="DT580"/>
  <c r="DS580"/>
  <c r="DR580"/>
  <c r="DQ580"/>
  <c r="DP580"/>
  <c r="DO580"/>
  <c r="DN580"/>
  <c r="DM580"/>
  <c r="DL580"/>
  <c r="DK580"/>
  <c r="DJ580"/>
  <c r="DI580"/>
  <c r="DH580"/>
  <c r="DG580"/>
  <c r="DF580"/>
  <c r="DE580"/>
  <c r="DD580"/>
  <c r="DC580"/>
  <c r="DB580"/>
  <c r="DA580"/>
  <c r="CZ580"/>
  <c r="CY580"/>
  <c r="CX580"/>
  <c r="CW580"/>
  <c r="CV580"/>
  <c r="CU580"/>
  <c r="CT580"/>
  <c r="CS580"/>
  <c r="CR580"/>
  <c r="CQ580"/>
  <c r="CP580"/>
  <c r="CO580"/>
  <c r="CN580"/>
  <c r="CM580"/>
  <c r="CL580"/>
  <c r="CK580"/>
  <c r="CJ580"/>
  <c r="CI580"/>
  <c r="CH580"/>
  <c r="CG580"/>
  <c r="CF580"/>
  <c r="CE580"/>
  <c r="CD580"/>
  <c r="CC580"/>
  <c r="CB580"/>
  <c r="CA580"/>
  <c r="BZ580"/>
  <c r="BY580"/>
  <c r="BX580"/>
  <c r="BW580"/>
  <c r="BV580"/>
  <c r="BU580"/>
  <c r="BT580"/>
  <c r="BS580"/>
  <c r="BR580"/>
  <c r="BQ580"/>
  <c r="BP580"/>
  <c r="BO580"/>
  <c r="BN580"/>
  <c r="DU579"/>
  <c r="DT579"/>
  <c r="DS579"/>
  <c r="DR579"/>
  <c r="DQ579"/>
  <c r="DP579"/>
  <c r="DO579"/>
  <c r="DN579"/>
  <c r="DM579"/>
  <c r="DL579"/>
  <c r="DK579"/>
  <c r="DJ579"/>
  <c r="DI579"/>
  <c r="DH579"/>
  <c r="DG579"/>
  <c r="DF579"/>
  <c r="DE579"/>
  <c r="DD579"/>
  <c r="DC579"/>
  <c r="DB579"/>
  <c r="DA579"/>
  <c r="CZ579"/>
  <c r="CY579"/>
  <c r="CX579"/>
  <c r="CW579"/>
  <c r="CV579"/>
  <c r="CU579"/>
  <c r="CT579"/>
  <c r="CS579"/>
  <c r="CR579"/>
  <c r="CQ579"/>
  <c r="CP579"/>
  <c r="CO579"/>
  <c r="CN579"/>
  <c r="CM579"/>
  <c r="CL579"/>
  <c r="CK579"/>
  <c r="CJ579"/>
  <c r="CI579"/>
  <c r="CH579"/>
  <c r="CG579"/>
  <c r="CF579"/>
  <c r="CE579"/>
  <c r="CD579"/>
  <c r="CC579"/>
  <c r="CB579"/>
  <c r="CA579"/>
  <c r="BZ579"/>
  <c r="BY579"/>
  <c r="BX579"/>
  <c r="BW579"/>
  <c r="BV579"/>
  <c r="BU579"/>
  <c r="BT579"/>
  <c r="BS579"/>
  <c r="BR579"/>
  <c r="BQ579"/>
  <c r="BP579"/>
  <c r="BO579"/>
  <c r="BN579"/>
  <c r="DU578"/>
  <c r="DT578"/>
  <c r="DS578"/>
  <c r="DR578"/>
  <c r="DQ578"/>
  <c r="DP578"/>
  <c r="DO578"/>
  <c r="DN578"/>
  <c r="DM578"/>
  <c r="DL578"/>
  <c r="DK578"/>
  <c r="DJ578"/>
  <c r="DI578"/>
  <c r="DH578"/>
  <c r="DG578"/>
  <c r="DF578"/>
  <c r="DE578"/>
  <c r="DD578"/>
  <c r="DC578"/>
  <c r="DB578"/>
  <c r="DA578"/>
  <c r="CZ578"/>
  <c r="CY578"/>
  <c r="CX578"/>
  <c r="CW578"/>
  <c r="CV578"/>
  <c r="CU578"/>
  <c r="CT578"/>
  <c r="CS578"/>
  <c r="CR578"/>
  <c r="CQ578"/>
  <c r="CP578"/>
  <c r="CO578"/>
  <c r="CN578"/>
  <c r="CM578"/>
  <c r="CL578"/>
  <c r="CK578"/>
  <c r="CJ578"/>
  <c r="CI578"/>
  <c r="CH578"/>
  <c r="CG578"/>
  <c r="CF578"/>
  <c r="CE578"/>
  <c r="CD578"/>
  <c r="CC578"/>
  <c r="CB578"/>
  <c r="CA578"/>
  <c r="BZ578"/>
  <c r="BY578"/>
  <c r="BX578"/>
  <c r="BW578"/>
  <c r="BV578"/>
  <c r="BU578"/>
  <c r="BT578"/>
  <c r="BS578"/>
  <c r="BR578"/>
  <c r="BQ578"/>
  <c r="BP578"/>
  <c r="BO578"/>
  <c r="BN578"/>
  <c r="DU577"/>
  <c r="DT577"/>
  <c r="DS577"/>
  <c r="DR577"/>
  <c r="DQ577"/>
  <c r="DP577"/>
  <c r="DO577"/>
  <c r="DN577"/>
  <c r="DM577"/>
  <c r="DL577"/>
  <c r="DK577"/>
  <c r="DJ577"/>
  <c r="DI577"/>
  <c r="DH577"/>
  <c r="DG577"/>
  <c r="DF577"/>
  <c r="DE577"/>
  <c r="DD577"/>
  <c r="DC577"/>
  <c r="DB577"/>
  <c r="DA577"/>
  <c r="CZ577"/>
  <c r="CY577"/>
  <c r="CX577"/>
  <c r="CW577"/>
  <c r="CV577"/>
  <c r="CU577"/>
  <c r="CT577"/>
  <c r="CS577"/>
  <c r="CR577"/>
  <c r="CQ577"/>
  <c r="CP577"/>
  <c r="CO577"/>
  <c r="CN577"/>
  <c r="CM577"/>
  <c r="CL577"/>
  <c r="CK577"/>
  <c r="CJ577"/>
  <c r="CI577"/>
  <c r="CH577"/>
  <c r="CG577"/>
  <c r="CF577"/>
  <c r="CE577"/>
  <c r="CD577"/>
  <c r="CC577"/>
  <c r="CB577"/>
  <c r="CA577"/>
  <c r="BZ577"/>
  <c r="BY577"/>
  <c r="BX577"/>
  <c r="BW577"/>
  <c r="BV577"/>
  <c r="BU577"/>
  <c r="BT577"/>
  <c r="BS577"/>
  <c r="BR577"/>
  <c r="BQ577"/>
  <c r="BP577"/>
  <c r="BO577"/>
  <c r="BN577"/>
  <c r="DU576"/>
  <c r="DT576"/>
  <c r="DS576"/>
  <c r="DR576"/>
  <c r="DQ576"/>
  <c r="DP576"/>
  <c r="DO576"/>
  <c r="DN576"/>
  <c r="DM576"/>
  <c r="DL576"/>
  <c r="DK576"/>
  <c r="DJ576"/>
  <c r="DI576"/>
  <c r="DH576"/>
  <c r="DG576"/>
  <c r="DF576"/>
  <c r="DE576"/>
  <c r="DD576"/>
  <c r="DC576"/>
  <c r="DB576"/>
  <c r="DA576"/>
  <c r="CZ576"/>
  <c r="CY576"/>
  <c r="CX576"/>
  <c r="CW576"/>
  <c r="CV576"/>
  <c r="CU576"/>
  <c r="CT576"/>
  <c r="CS576"/>
  <c r="CR576"/>
  <c r="CQ576"/>
  <c r="CP576"/>
  <c r="CO576"/>
  <c r="CN576"/>
  <c r="CM576"/>
  <c r="CL576"/>
  <c r="CK576"/>
  <c r="CJ576"/>
  <c r="CI576"/>
  <c r="CH576"/>
  <c r="CG576"/>
  <c r="CF576"/>
  <c r="CE576"/>
  <c r="CD576"/>
  <c r="CC576"/>
  <c r="CB576"/>
  <c r="CA576"/>
  <c r="BZ576"/>
  <c r="BY576"/>
  <c r="BX576"/>
  <c r="BW576"/>
  <c r="BV576"/>
  <c r="BU576"/>
  <c r="BT576"/>
  <c r="BS576"/>
  <c r="BR576"/>
  <c r="BQ576"/>
  <c r="BP576"/>
  <c r="BO576"/>
  <c r="BN576"/>
  <c r="DU575"/>
  <c r="DT575"/>
  <c r="DS575"/>
  <c r="DR575"/>
  <c r="DQ575"/>
  <c r="DP575"/>
  <c r="DO575"/>
  <c r="DN575"/>
  <c r="DM575"/>
  <c r="DL575"/>
  <c r="DK575"/>
  <c r="DJ575"/>
  <c r="DI575"/>
  <c r="DH575"/>
  <c r="DG575"/>
  <c r="DF575"/>
  <c r="DE575"/>
  <c r="DD575"/>
  <c r="DC575"/>
  <c r="DB575"/>
  <c r="DA575"/>
  <c r="CZ575"/>
  <c r="CY575"/>
  <c r="CX575"/>
  <c r="CW575"/>
  <c r="CV575"/>
  <c r="CU575"/>
  <c r="CT575"/>
  <c r="CS575"/>
  <c r="CR575"/>
  <c r="CQ575"/>
  <c r="CP575"/>
  <c r="CO575"/>
  <c r="CN575"/>
  <c r="CM575"/>
  <c r="CL575"/>
  <c r="CK575"/>
  <c r="CJ575"/>
  <c r="CI575"/>
  <c r="CH575"/>
  <c r="CG575"/>
  <c r="CF575"/>
  <c r="CE575"/>
  <c r="CD575"/>
  <c r="CC575"/>
  <c r="CB575"/>
  <c r="CA575"/>
  <c r="BZ575"/>
  <c r="BY575"/>
  <c r="BX575"/>
  <c r="BW575"/>
  <c r="BV575"/>
  <c r="BU575"/>
  <c r="BT575"/>
  <c r="BS575"/>
  <c r="BR575"/>
  <c r="BQ575"/>
  <c r="BP575"/>
  <c r="BO575"/>
  <c r="BN575"/>
  <c r="DU574"/>
  <c r="DT574"/>
  <c r="DS574"/>
  <c r="DR574"/>
  <c r="DQ574"/>
  <c r="DP574"/>
  <c r="DO574"/>
  <c r="DN574"/>
  <c r="DM574"/>
  <c r="DL574"/>
  <c r="DK574"/>
  <c r="DJ574"/>
  <c r="DI574"/>
  <c r="DH574"/>
  <c r="DG574"/>
  <c r="DF574"/>
  <c r="DE574"/>
  <c r="DD574"/>
  <c r="DC574"/>
  <c r="DB574"/>
  <c r="DA574"/>
  <c r="CZ574"/>
  <c r="CY574"/>
  <c r="CX574"/>
  <c r="CW574"/>
  <c r="CV574"/>
  <c r="CU574"/>
  <c r="CT574"/>
  <c r="CS574"/>
  <c r="CR574"/>
  <c r="CQ574"/>
  <c r="CP574"/>
  <c r="CO574"/>
  <c r="CN574"/>
  <c r="CM574"/>
  <c r="CL574"/>
  <c r="CK574"/>
  <c r="CJ574"/>
  <c r="CI574"/>
  <c r="CH574"/>
  <c r="CG574"/>
  <c r="CF574"/>
  <c r="CE574"/>
  <c r="CD574"/>
  <c r="CC574"/>
  <c r="CB574"/>
  <c r="CA574"/>
  <c r="BZ574"/>
  <c r="BY574"/>
  <c r="BX574"/>
  <c r="BW574"/>
  <c r="BV574"/>
  <c r="BU574"/>
  <c r="BT574"/>
  <c r="BS574"/>
  <c r="BR574"/>
  <c r="BQ574"/>
  <c r="BP574"/>
  <c r="BO574"/>
  <c r="BN574"/>
  <c r="DU573"/>
  <c r="DT573"/>
  <c r="DS573"/>
  <c r="DR573"/>
  <c r="DQ573"/>
  <c r="DP573"/>
  <c r="DO573"/>
  <c r="DN573"/>
  <c r="DM573"/>
  <c r="DL573"/>
  <c r="DK573"/>
  <c r="DJ573"/>
  <c r="DI573"/>
  <c r="DH573"/>
  <c r="DG573"/>
  <c r="DF573"/>
  <c r="DE573"/>
  <c r="DD573"/>
  <c r="DC573"/>
  <c r="DB573"/>
  <c r="DA573"/>
  <c r="CZ573"/>
  <c r="CY573"/>
  <c r="CX573"/>
  <c r="CW573"/>
  <c r="CV573"/>
  <c r="CU573"/>
  <c r="CT573"/>
  <c r="CS573"/>
  <c r="CR573"/>
  <c r="CQ573"/>
  <c r="CP573"/>
  <c r="CO573"/>
  <c r="CN573"/>
  <c r="CM573"/>
  <c r="CL573"/>
  <c r="CK573"/>
  <c r="CJ573"/>
  <c r="CI573"/>
  <c r="CH573"/>
  <c r="CG573"/>
  <c r="CF573"/>
  <c r="CE573"/>
  <c r="CD573"/>
  <c r="CC573"/>
  <c r="CB573"/>
  <c r="CA573"/>
  <c r="BZ573"/>
  <c r="BY573"/>
  <c r="BX573"/>
  <c r="BW573"/>
  <c r="BV573"/>
  <c r="BU573"/>
  <c r="BT573"/>
  <c r="BS573"/>
  <c r="BR573"/>
  <c r="BQ573"/>
  <c r="BP573"/>
  <c r="BO573"/>
  <c r="BN573"/>
  <c r="DU572"/>
  <c r="DT572"/>
  <c r="DS572"/>
  <c r="DR572"/>
  <c r="DQ572"/>
  <c r="DP572"/>
  <c r="DO572"/>
  <c r="DN572"/>
  <c r="DM572"/>
  <c r="DL572"/>
  <c r="DK572"/>
  <c r="DJ572"/>
  <c r="DI572"/>
  <c r="DH572"/>
  <c r="DG572"/>
  <c r="DF572"/>
  <c r="DE572"/>
  <c r="DD572"/>
  <c r="DC572"/>
  <c r="DB572"/>
  <c r="DA572"/>
  <c r="CZ572"/>
  <c r="CY572"/>
  <c r="CX572"/>
  <c r="CW572"/>
  <c r="CV572"/>
  <c r="CU572"/>
  <c r="CT572"/>
  <c r="CS572"/>
  <c r="CR572"/>
  <c r="CQ572"/>
  <c r="CP572"/>
  <c r="CO572"/>
  <c r="CN572"/>
  <c r="CM572"/>
  <c r="CL572"/>
  <c r="CK572"/>
  <c r="CJ572"/>
  <c r="CI572"/>
  <c r="CH572"/>
  <c r="CG572"/>
  <c r="CF572"/>
  <c r="CE572"/>
  <c r="CD572"/>
  <c r="CC572"/>
  <c r="CB572"/>
  <c r="CA572"/>
  <c r="BZ572"/>
  <c r="BY572"/>
  <c r="BX572"/>
  <c r="BW572"/>
  <c r="BV572"/>
  <c r="BU572"/>
  <c r="BT572"/>
  <c r="BS572"/>
  <c r="BR572"/>
  <c r="BQ572"/>
  <c r="BP572"/>
  <c r="BO572"/>
  <c r="BN572"/>
  <c r="DU571"/>
  <c r="DT571"/>
  <c r="DS571"/>
  <c r="DR571"/>
  <c r="DQ571"/>
  <c r="DP571"/>
  <c r="DO571"/>
  <c r="DN571"/>
  <c r="DM571"/>
  <c r="DL571"/>
  <c r="DK571"/>
  <c r="DJ571"/>
  <c r="DI571"/>
  <c r="DH571"/>
  <c r="DG571"/>
  <c r="DF571"/>
  <c r="DE571"/>
  <c r="DD571"/>
  <c r="DC571"/>
  <c r="DB571"/>
  <c r="DA571"/>
  <c r="CZ571"/>
  <c r="CY571"/>
  <c r="CX571"/>
  <c r="CW571"/>
  <c r="CV571"/>
  <c r="CU571"/>
  <c r="CT571"/>
  <c r="CS571"/>
  <c r="CR571"/>
  <c r="CQ571"/>
  <c r="CP571"/>
  <c r="CO571"/>
  <c r="CN571"/>
  <c r="CM571"/>
  <c r="CL571"/>
  <c r="CK571"/>
  <c r="CJ571"/>
  <c r="CI571"/>
  <c r="CH571"/>
  <c r="CG571"/>
  <c r="CF571"/>
  <c r="CE571"/>
  <c r="CD571"/>
  <c r="CC571"/>
  <c r="CB571"/>
  <c r="CA571"/>
  <c r="BZ571"/>
  <c r="BY571"/>
  <c r="BX571"/>
  <c r="BW571"/>
  <c r="BV571"/>
  <c r="BU571"/>
  <c r="BT571"/>
  <c r="BS571"/>
  <c r="BR571"/>
  <c r="BQ571"/>
  <c r="BP571"/>
  <c r="BO571"/>
  <c r="BN571"/>
  <c r="DU570"/>
  <c r="DT570"/>
  <c r="DS570"/>
  <c r="DR570"/>
  <c r="DQ570"/>
  <c r="DP570"/>
  <c r="DO570"/>
  <c r="DN570"/>
  <c r="DM570"/>
  <c r="DL570"/>
  <c r="DK570"/>
  <c r="DJ570"/>
  <c r="DI570"/>
  <c r="DH570"/>
  <c r="DG570"/>
  <c r="DF570"/>
  <c r="DE570"/>
  <c r="DD570"/>
  <c r="DC570"/>
  <c r="DB570"/>
  <c r="DA570"/>
  <c r="CZ570"/>
  <c r="CY570"/>
  <c r="CX570"/>
  <c r="CW570"/>
  <c r="CV570"/>
  <c r="CU570"/>
  <c r="CT570"/>
  <c r="CS570"/>
  <c r="CR570"/>
  <c r="CQ570"/>
  <c r="CP570"/>
  <c r="CO570"/>
  <c r="CN570"/>
  <c r="CM570"/>
  <c r="CL570"/>
  <c r="CK570"/>
  <c r="CJ570"/>
  <c r="CI570"/>
  <c r="CH570"/>
  <c r="CG570"/>
  <c r="CF570"/>
  <c r="CE570"/>
  <c r="CD570"/>
  <c r="CC570"/>
  <c r="CB570"/>
  <c r="CA570"/>
  <c r="BZ570"/>
  <c r="BY570"/>
  <c r="BX570"/>
  <c r="BW570"/>
  <c r="BV570"/>
  <c r="BU570"/>
  <c r="BT570"/>
  <c r="BS570"/>
  <c r="BR570"/>
  <c r="BQ570"/>
  <c r="BP570"/>
  <c r="BO570"/>
  <c r="BN570"/>
  <c r="DU569"/>
  <c r="DT569"/>
  <c r="DS569"/>
  <c r="DR569"/>
  <c r="DQ569"/>
  <c r="DP569"/>
  <c r="DO569"/>
  <c r="DN569"/>
  <c r="DM569"/>
  <c r="DL569"/>
  <c r="DK569"/>
  <c r="DJ569"/>
  <c r="DI569"/>
  <c r="DH569"/>
  <c r="DG569"/>
  <c r="DF569"/>
  <c r="DE569"/>
  <c r="DD569"/>
  <c r="DC569"/>
  <c r="DB569"/>
  <c r="DA569"/>
  <c r="CZ569"/>
  <c r="CY569"/>
  <c r="CX569"/>
  <c r="CW569"/>
  <c r="CV569"/>
  <c r="CU569"/>
  <c r="CT569"/>
  <c r="CS569"/>
  <c r="CR569"/>
  <c r="CQ569"/>
  <c r="CP569"/>
  <c r="CO569"/>
  <c r="CN569"/>
  <c r="CM569"/>
  <c r="CL569"/>
  <c r="CK569"/>
  <c r="CJ569"/>
  <c r="CI569"/>
  <c r="CH569"/>
  <c r="CG569"/>
  <c r="CF569"/>
  <c r="CE569"/>
  <c r="CD569"/>
  <c r="CC569"/>
  <c r="CB569"/>
  <c r="CA569"/>
  <c r="BZ569"/>
  <c r="BY569"/>
  <c r="BX569"/>
  <c r="BW569"/>
  <c r="BV569"/>
  <c r="BU569"/>
  <c r="BT569"/>
  <c r="BS569"/>
  <c r="BR569"/>
  <c r="BQ569"/>
  <c r="BP569"/>
  <c r="BO569"/>
  <c r="BN569"/>
  <c r="DU568"/>
  <c r="DT568"/>
  <c r="DS568"/>
  <c r="DR568"/>
  <c r="DQ568"/>
  <c r="DP568"/>
  <c r="DO568"/>
  <c r="DN568"/>
  <c r="DM568"/>
  <c r="DL568"/>
  <c r="DK568"/>
  <c r="DJ568"/>
  <c r="DI568"/>
  <c r="DH568"/>
  <c r="DG568"/>
  <c r="DF568"/>
  <c r="DE568"/>
  <c r="DD568"/>
  <c r="DC568"/>
  <c r="DB568"/>
  <c r="DA568"/>
  <c r="CZ568"/>
  <c r="CY568"/>
  <c r="CX568"/>
  <c r="CW568"/>
  <c r="CV568"/>
  <c r="CU568"/>
  <c r="CT568"/>
  <c r="CS568"/>
  <c r="CR568"/>
  <c r="CQ568"/>
  <c r="CP568"/>
  <c r="CO568"/>
  <c r="CN568"/>
  <c r="CM568"/>
  <c r="CL568"/>
  <c r="CK568"/>
  <c r="CJ568"/>
  <c r="CI568"/>
  <c r="CH568"/>
  <c r="CG568"/>
  <c r="CF568"/>
  <c r="CE568"/>
  <c r="CD568"/>
  <c r="CC568"/>
  <c r="CB568"/>
  <c r="CA568"/>
  <c r="BZ568"/>
  <c r="BY568"/>
  <c r="BX568"/>
  <c r="BW568"/>
  <c r="BV568"/>
  <c r="BU568"/>
  <c r="BT568"/>
  <c r="BS568"/>
  <c r="BR568"/>
  <c r="BQ568"/>
  <c r="BP568"/>
  <c r="BO568"/>
  <c r="BN568"/>
  <c r="DU567"/>
  <c r="DT567"/>
  <c r="DS567"/>
  <c r="DR567"/>
  <c r="DQ567"/>
  <c r="DP567"/>
  <c r="DO567"/>
  <c r="DN567"/>
  <c r="DM567"/>
  <c r="DL567"/>
  <c r="DK567"/>
  <c r="DJ567"/>
  <c r="DI567"/>
  <c r="DH567"/>
  <c r="DG567"/>
  <c r="DF567"/>
  <c r="DE567"/>
  <c r="DD567"/>
  <c r="DC567"/>
  <c r="DB567"/>
  <c r="DA567"/>
  <c r="CZ567"/>
  <c r="CY567"/>
  <c r="CX567"/>
  <c r="CW567"/>
  <c r="CV567"/>
  <c r="CU567"/>
  <c r="CT567"/>
  <c r="CS567"/>
  <c r="CR567"/>
  <c r="CQ567"/>
  <c r="CP567"/>
  <c r="CO567"/>
  <c r="CN567"/>
  <c r="CM567"/>
  <c r="CL567"/>
  <c r="CK567"/>
  <c r="CJ567"/>
  <c r="CI567"/>
  <c r="CH567"/>
  <c r="CG567"/>
  <c r="CF567"/>
  <c r="CE567"/>
  <c r="CD567"/>
  <c r="CC567"/>
  <c r="CB567"/>
  <c r="CA567"/>
  <c r="BZ567"/>
  <c r="BY567"/>
  <c r="BX567"/>
  <c r="BW567"/>
  <c r="BV567"/>
  <c r="BU567"/>
  <c r="BT567"/>
  <c r="BS567"/>
  <c r="BR567"/>
  <c r="BQ567"/>
  <c r="BP567"/>
  <c r="BO567"/>
  <c r="BN567"/>
  <c r="DU566"/>
  <c r="DT566"/>
  <c r="DS566"/>
  <c r="DR566"/>
  <c r="DQ566"/>
  <c r="DP566"/>
  <c r="DO566"/>
  <c r="DN566"/>
  <c r="DM566"/>
  <c r="DL566"/>
  <c r="DK566"/>
  <c r="DJ566"/>
  <c r="DI566"/>
  <c r="DH566"/>
  <c r="DG566"/>
  <c r="DF566"/>
  <c r="DE566"/>
  <c r="DD566"/>
  <c r="DC566"/>
  <c r="DB566"/>
  <c r="DA566"/>
  <c r="CZ566"/>
  <c r="CY566"/>
  <c r="CX566"/>
  <c r="CW566"/>
  <c r="CV566"/>
  <c r="CU566"/>
  <c r="CT566"/>
  <c r="CS566"/>
  <c r="CR566"/>
  <c r="CQ566"/>
  <c r="CP566"/>
  <c r="CO566"/>
  <c r="CN566"/>
  <c r="CM566"/>
  <c r="CL566"/>
  <c r="CK566"/>
  <c r="CJ566"/>
  <c r="CI566"/>
  <c r="CH566"/>
  <c r="CG566"/>
  <c r="CF566"/>
  <c r="CE566"/>
  <c r="CD566"/>
  <c r="CC566"/>
  <c r="CB566"/>
  <c r="CA566"/>
  <c r="BZ566"/>
  <c r="BY566"/>
  <c r="BX566"/>
  <c r="BW566"/>
  <c r="BV566"/>
  <c r="BU566"/>
  <c r="BT566"/>
  <c r="BS566"/>
  <c r="BR566"/>
  <c r="BQ566"/>
  <c r="BP566"/>
  <c r="BO566"/>
  <c r="BN566"/>
  <c r="DU565"/>
  <c r="DT565"/>
  <c r="DS565"/>
  <c r="DR565"/>
  <c r="DQ565"/>
  <c r="DP565"/>
  <c r="DO565"/>
  <c r="DN565"/>
  <c r="DM565"/>
  <c r="DL565"/>
  <c r="DK565"/>
  <c r="DJ565"/>
  <c r="DI565"/>
  <c r="DH565"/>
  <c r="DG565"/>
  <c r="DF565"/>
  <c r="DE565"/>
  <c r="DD565"/>
  <c r="DC565"/>
  <c r="DB565"/>
  <c r="DA565"/>
  <c r="CZ565"/>
  <c r="CY565"/>
  <c r="CX565"/>
  <c r="CW565"/>
  <c r="CV565"/>
  <c r="CU565"/>
  <c r="CT565"/>
  <c r="CS565"/>
  <c r="CR565"/>
  <c r="CQ565"/>
  <c r="CP565"/>
  <c r="CO565"/>
  <c r="CN565"/>
  <c r="CM565"/>
  <c r="CL565"/>
  <c r="CK565"/>
  <c r="CJ565"/>
  <c r="CI565"/>
  <c r="CH565"/>
  <c r="CG565"/>
  <c r="CF565"/>
  <c r="CE565"/>
  <c r="CD565"/>
  <c r="CC565"/>
  <c r="CB565"/>
  <c r="CA565"/>
  <c r="BZ565"/>
  <c r="BY565"/>
  <c r="BX565"/>
  <c r="BW565"/>
  <c r="BV565"/>
  <c r="BU565"/>
  <c r="BT565"/>
  <c r="BS565"/>
  <c r="BR565"/>
  <c r="BQ565"/>
  <c r="BP565"/>
  <c r="BO565"/>
  <c r="BN565"/>
  <c r="DU564"/>
  <c r="DT564"/>
  <c r="DS564"/>
  <c r="DR564"/>
  <c r="DQ564"/>
  <c r="DP564"/>
  <c r="DO564"/>
  <c r="DN564"/>
  <c r="DM564"/>
  <c r="DL564"/>
  <c r="DK564"/>
  <c r="DJ564"/>
  <c r="DI564"/>
  <c r="DH564"/>
  <c r="DG564"/>
  <c r="DF564"/>
  <c r="DE564"/>
  <c r="DD564"/>
  <c r="DC564"/>
  <c r="DB564"/>
  <c r="DA564"/>
  <c r="CZ564"/>
  <c r="CY564"/>
  <c r="CX564"/>
  <c r="CW564"/>
  <c r="CV564"/>
  <c r="CU564"/>
  <c r="CT564"/>
  <c r="CS564"/>
  <c r="CR564"/>
  <c r="CQ564"/>
  <c r="CP564"/>
  <c r="CO564"/>
  <c r="CN564"/>
  <c r="CM564"/>
  <c r="CL564"/>
  <c r="CK564"/>
  <c r="CJ564"/>
  <c r="CI564"/>
  <c r="CH564"/>
  <c r="CG564"/>
  <c r="CF564"/>
  <c r="CE564"/>
  <c r="CD564"/>
  <c r="CC564"/>
  <c r="CB564"/>
  <c r="CA564"/>
  <c r="BZ564"/>
  <c r="BY564"/>
  <c r="BX564"/>
  <c r="BW564"/>
  <c r="BV564"/>
  <c r="BU564"/>
  <c r="BT564"/>
  <c r="BS564"/>
  <c r="BR564"/>
  <c r="BQ564"/>
  <c r="BP564"/>
  <c r="BO564"/>
  <c r="BN564"/>
  <c r="DU563"/>
  <c r="DT563"/>
  <c r="DS563"/>
  <c r="DR563"/>
  <c r="DQ563"/>
  <c r="DP563"/>
  <c r="DO563"/>
  <c r="DN563"/>
  <c r="DM563"/>
  <c r="DL563"/>
  <c r="DK563"/>
  <c r="DJ563"/>
  <c r="DI563"/>
  <c r="DH563"/>
  <c r="DG563"/>
  <c r="DF563"/>
  <c r="DE563"/>
  <c r="DD563"/>
  <c r="DC563"/>
  <c r="DB563"/>
  <c r="DA563"/>
  <c r="CZ563"/>
  <c r="CY563"/>
  <c r="CX563"/>
  <c r="CW563"/>
  <c r="CV563"/>
  <c r="CU563"/>
  <c r="CT563"/>
  <c r="CS563"/>
  <c r="CR563"/>
  <c r="CQ563"/>
  <c r="CP563"/>
  <c r="CO563"/>
  <c r="CN563"/>
  <c r="CM563"/>
  <c r="CL563"/>
  <c r="CK563"/>
  <c r="CJ563"/>
  <c r="CI563"/>
  <c r="CH563"/>
  <c r="CG563"/>
  <c r="CF563"/>
  <c r="CE563"/>
  <c r="CD563"/>
  <c r="CC563"/>
  <c r="CB563"/>
  <c r="CA563"/>
  <c r="BZ563"/>
  <c r="BY563"/>
  <c r="BX563"/>
  <c r="BW563"/>
  <c r="BV563"/>
  <c r="BU563"/>
  <c r="BT563"/>
  <c r="BS563"/>
  <c r="BR563"/>
  <c r="BQ563"/>
  <c r="BP563"/>
  <c r="BO563"/>
  <c r="BN563"/>
  <c r="DU562"/>
  <c r="DT562"/>
  <c r="DS562"/>
  <c r="DR562"/>
  <c r="DQ562"/>
  <c r="DP562"/>
  <c r="DO562"/>
  <c r="DN562"/>
  <c r="DM562"/>
  <c r="DL562"/>
  <c r="DK562"/>
  <c r="DJ562"/>
  <c r="DI562"/>
  <c r="DH562"/>
  <c r="DG562"/>
  <c r="DF562"/>
  <c r="DE562"/>
  <c r="DD562"/>
  <c r="DC562"/>
  <c r="DB562"/>
  <c r="DA562"/>
  <c r="CZ562"/>
  <c r="CY562"/>
  <c r="CX562"/>
  <c r="CW562"/>
  <c r="CV562"/>
  <c r="CU562"/>
  <c r="CT562"/>
  <c r="CS562"/>
  <c r="CR562"/>
  <c r="CQ562"/>
  <c r="CP562"/>
  <c r="CO562"/>
  <c r="CN562"/>
  <c r="CM562"/>
  <c r="CL562"/>
  <c r="CK562"/>
  <c r="CJ562"/>
  <c r="CI562"/>
  <c r="CH562"/>
  <c r="CG562"/>
  <c r="CF562"/>
  <c r="CE562"/>
  <c r="CD562"/>
  <c r="CC562"/>
  <c r="CB562"/>
  <c r="CA562"/>
  <c r="BZ562"/>
  <c r="BY562"/>
  <c r="BX562"/>
  <c r="BW562"/>
  <c r="BV562"/>
  <c r="BU562"/>
  <c r="BT562"/>
  <c r="BS562"/>
  <c r="BR562"/>
  <c r="BQ562"/>
  <c r="BP562"/>
  <c r="BO562"/>
  <c r="BN562"/>
  <c r="DU561"/>
  <c r="DT561"/>
  <c r="DS561"/>
  <c r="DR561"/>
  <c r="DQ561"/>
  <c r="DP561"/>
  <c r="DO561"/>
  <c r="DN561"/>
  <c r="DM561"/>
  <c r="DL561"/>
  <c r="DK561"/>
  <c r="DJ561"/>
  <c r="DI561"/>
  <c r="DH561"/>
  <c r="DG561"/>
  <c r="DF561"/>
  <c r="DE561"/>
  <c r="DD561"/>
  <c r="DC561"/>
  <c r="DB561"/>
  <c r="DA561"/>
  <c r="CZ561"/>
  <c r="CY561"/>
  <c r="CX561"/>
  <c r="CW561"/>
  <c r="CV561"/>
  <c r="CU561"/>
  <c r="CT561"/>
  <c r="CS561"/>
  <c r="CR561"/>
  <c r="CQ561"/>
  <c r="CP561"/>
  <c r="CO561"/>
  <c r="CN561"/>
  <c r="CM561"/>
  <c r="CL561"/>
  <c r="CK561"/>
  <c r="CJ561"/>
  <c r="CI561"/>
  <c r="CH561"/>
  <c r="CG561"/>
  <c r="CF561"/>
  <c r="CE561"/>
  <c r="CD561"/>
  <c r="CC561"/>
  <c r="CB561"/>
  <c r="CA561"/>
  <c r="BZ561"/>
  <c r="BY561"/>
  <c r="BX561"/>
  <c r="BW561"/>
  <c r="BV561"/>
  <c r="BU561"/>
  <c r="BT561"/>
  <c r="BS561"/>
  <c r="BR561"/>
  <c r="BQ561"/>
  <c r="BP561"/>
  <c r="BO561"/>
  <c r="BN561"/>
  <c r="DU560"/>
  <c r="DT560"/>
  <c r="DS560"/>
  <c r="DR560"/>
  <c r="DQ560"/>
  <c r="DP560"/>
  <c r="DO560"/>
  <c r="DN560"/>
  <c r="DM560"/>
  <c r="DL560"/>
  <c r="DK560"/>
  <c r="DJ560"/>
  <c r="DI560"/>
  <c r="DH560"/>
  <c r="DG560"/>
  <c r="DF560"/>
  <c r="DE560"/>
  <c r="DD560"/>
  <c r="DC560"/>
  <c r="DB560"/>
  <c r="DA560"/>
  <c r="CZ560"/>
  <c r="CY560"/>
  <c r="CX560"/>
  <c r="CW560"/>
  <c r="CV560"/>
  <c r="CU560"/>
  <c r="CT560"/>
  <c r="CS560"/>
  <c r="CR560"/>
  <c r="CQ560"/>
  <c r="CP560"/>
  <c r="CO560"/>
  <c r="CN560"/>
  <c r="CM560"/>
  <c r="CL560"/>
  <c r="CK560"/>
  <c r="CJ560"/>
  <c r="CI560"/>
  <c r="CH560"/>
  <c r="CG560"/>
  <c r="CF560"/>
  <c r="CE560"/>
  <c r="CD560"/>
  <c r="CC560"/>
  <c r="CB560"/>
  <c r="CA560"/>
  <c r="BZ560"/>
  <c r="BY560"/>
  <c r="BX560"/>
  <c r="BW560"/>
  <c r="BV560"/>
  <c r="BU560"/>
  <c r="BT560"/>
  <c r="BS560"/>
  <c r="BR560"/>
  <c r="BQ560"/>
  <c r="BP560"/>
  <c r="BO560"/>
  <c r="BN560"/>
  <c r="DU559"/>
  <c r="DT559"/>
  <c r="DS559"/>
  <c r="DR559"/>
  <c r="DQ559"/>
  <c r="DP559"/>
  <c r="DO559"/>
  <c r="DN559"/>
  <c r="DM559"/>
  <c r="DL559"/>
  <c r="DK559"/>
  <c r="DJ559"/>
  <c r="DI559"/>
  <c r="DH559"/>
  <c r="DG559"/>
  <c r="DF559"/>
  <c r="DE559"/>
  <c r="DD559"/>
  <c r="DC559"/>
  <c r="DB559"/>
  <c r="DA559"/>
  <c r="CZ559"/>
  <c r="CY559"/>
  <c r="CX559"/>
  <c r="CW559"/>
  <c r="CV559"/>
  <c r="CU559"/>
  <c r="CT559"/>
  <c r="CS559"/>
  <c r="CR559"/>
  <c r="CQ559"/>
  <c r="CP559"/>
  <c r="CO559"/>
  <c r="CN559"/>
  <c r="CM559"/>
  <c r="CL559"/>
  <c r="CK559"/>
  <c r="CJ559"/>
  <c r="CI559"/>
  <c r="CH559"/>
  <c r="CG559"/>
  <c r="CF559"/>
  <c r="CE559"/>
  <c r="CD559"/>
  <c r="CC559"/>
  <c r="CB559"/>
  <c r="CA559"/>
  <c r="BZ559"/>
  <c r="BY559"/>
  <c r="BX559"/>
  <c r="BW559"/>
  <c r="BV559"/>
  <c r="BU559"/>
  <c r="BT559"/>
  <c r="BS559"/>
  <c r="BR559"/>
  <c r="BQ559"/>
  <c r="BP559"/>
  <c r="BO559"/>
  <c r="BN559"/>
  <c r="DU558"/>
  <c r="DT558"/>
  <c r="DS558"/>
  <c r="DR558"/>
  <c r="DQ558"/>
  <c r="DP558"/>
  <c r="DO558"/>
  <c r="DN558"/>
  <c r="DM558"/>
  <c r="DL558"/>
  <c r="DK558"/>
  <c r="DJ558"/>
  <c r="DI558"/>
  <c r="DH558"/>
  <c r="DG558"/>
  <c r="DF558"/>
  <c r="DE558"/>
  <c r="DD558"/>
  <c r="DC558"/>
  <c r="DB558"/>
  <c r="DA558"/>
  <c r="CZ558"/>
  <c r="CY558"/>
  <c r="CX558"/>
  <c r="CW558"/>
  <c r="CV558"/>
  <c r="CU558"/>
  <c r="CT558"/>
  <c r="CS558"/>
  <c r="CR558"/>
  <c r="CQ558"/>
  <c r="CP558"/>
  <c r="CO558"/>
  <c r="CN558"/>
  <c r="CM558"/>
  <c r="CL558"/>
  <c r="CK558"/>
  <c r="CJ558"/>
  <c r="CI558"/>
  <c r="CH558"/>
  <c r="CG558"/>
  <c r="CF558"/>
  <c r="CE558"/>
  <c r="CD558"/>
  <c r="CC558"/>
  <c r="CB558"/>
  <c r="CA558"/>
  <c r="BZ558"/>
  <c r="BY558"/>
  <c r="BX558"/>
  <c r="BW558"/>
  <c r="BV558"/>
  <c r="BU558"/>
  <c r="BT558"/>
  <c r="BS558"/>
  <c r="BR558"/>
  <c r="BQ558"/>
  <c r="BP558"/>
  <c r="BO558"/>
  <c r="BN558"/>
  <c r="DU557"/>
  <c r="DT557"/>
  <c r="DS557"/>
  <c r="DR557"/>
  <c r="DQ557"/>
  <c r="DP557"/>
  <c r="DO557"/>
  <c r="DN557"/>
  <c r="DM557"/>
  <c r="DL557"/>
  <c r="DK557"/>
  <c r="DJ557"/>
  <c r="DI557"/>
  <c r="DH557"/>
  <c r="DG557"/>
  <c r="DF557"/>
  <c r="DE557"/>
  <c r="DD557"/>
  <c r="DC557"/>
  <c r="DB557"/>
  <c r="DA557"/>
  <c r="CZ557"/>
  <c r="CY557"/>
  <c r="CX557"/>
  <c r="CW557"/>
  <c r="CV557"/>
  <c r="CU557"/>
  <c r="CT557"/>
  <c r="CS557"/>
  <c r="CR557"/>
  <c r="CQ557"/>
  <c r="CP557"/>
  <c r="CO557"/>
  <c r="CN557"/>
  <c r="CM557"/>
  <c r="CL557"/>
  <c r="CK557"/>
  <c r="CJ557"/>
  <c r="CI557"/>
  <c r="CH557"/>
  <c r="CG557"/>
  <c r="CF557"/>
  <c r="CE557"/>
  <c r="CD557"/>
  <c r="CC557"/>
  <c r="CB557"/>
  <c r="CA557"/>
  <c r="BZ557"/>
  <c r="BY557"/>
  <c r="BX557"/>
  <c r="BW557"/>
  <c r="BV557"/>
  <c r="BU557"/>
  <c r="BT557"/>
  <c r="BS557"/>
  <c r="BR557"/>
  <c r="BQ557"/>
  <c r="BP557"/>
  <c r="BO557"/>
  <c r="BN557"/>
  <c r="DU556"/>
  <c r="DT556"/>
  <c r="DS556"/>
  <c r="DR556"/>
  <c r="DQ556"/>
  <c r="DP556"/>
  <c r="DO556"/>
  <c r="DN556"/>
  <c r="DM556"/>
  <c r="DL556"/>
  <c r="DK556"/>
  <c r="DJ556"/>
  <c r="DI556"/>
  <c r="DH556"/>
  <c r="DG556"/>
  <c r="DF556"/>
  <c r="DE556"/>
  <c r="DD556"/>
  <c r="DC556"/>
  <c r="DB556"/>
  <c r="DA556"/>
  <c r="CZ556"/>
  <c r="CY556"/>
  <c r="CX556"/>
  <c r="CW556"/>
  <c r="CV556"/>
  <c r="CU556"/>
  <c r="CT556"/>
  <c r="CS556"/>
  <c r="CR556"/>
  <c r="CQ556"/>
  <c r="CP556"/>
  <c r="CO556"/>
  <c r="CN556"/>
  <c r="CM556"/>
  <c r="CL556"/>
  <c r="CK556"/>
  <c r="CJ556"/>
  <c r="CI556"/>
  <c r="CH556"/>
  <c r="CG556"/>
  <c r="CF556"/>
  <c r="CE556"/>
  <c r="CD556"/>
  <c r="CC556"/>
  <c r="CB556"/>
  <c r="CA556"/>
  <c r="BZ556"/>
  <c r="BY556"/>
  <c r="BX556"/>
  <c r="BW556"/>
  <c r="BV556"/>
  <c r="BU556"/>
  <c r="BT556"/>
  <c r="BS556"/>
  <c r="BR556"/>
  <c r="BQ556"/>
  <c r="BP556"/>
  <c r="BO556"/>
  <c r="BN556"/>
  <c r="DU555"/>
  <c r="DT555"/>
  <c r="DS555"/>
  <c r="DR555"/>
  <c r="DQ555"/>
  <c r="DP555"/>
  <c r="DO555"/>
  <c r="DN555"/>
  <c r="DM555"/>
  <c r="DL555"/>
  <c r="DK555"/>
  <c r="DJ555"/>
  <c r="DI555"/>
  <c r="DH555"/>
  <c r="DG555"/>
  <c r="DF555"/>
  <c r="DE555"/>
  <c r="DD555"/>
  <c r="DC555"/>
  <c r="DB555"/>
  <c r="DA555"/>
  <c r="CZ555"/>
  <c r="CY555"/>
  <c r="CX555"/>
  <c r="CW555"/>
  <c r="CV555"/>
  <c r="CU555"/>
  <c r="CT555"/>
  <c r="CS555"/>
  <c r="CR555"/>
  <c r="CQ555"/>
  <c r="CP555"/>
  <c r="CO555"/>
  <c r="CN555"/>
  <c r="CM555"/>
  <c r="CL555"/>
  <c r="CK555"/>
  <c r="CJ555"/>
  <c r="CI555"/>
  <c r="CH555"/>
  <c r="CG555"/>
  <c r="CF555"/>
  <c r="CE555"/>
  <c r="CD555"/>
  <c r="CC555"/>
  <c r="CB555"/>
  <c r="CA555"/>
  <c r="BZ555"/>
  <c r="BY555"/>
  <c r="BX555"/>
  <c r="BW555"/>
  <c r="BV555"/>
  <c r="BU555"/>
  <c r="BT555"/>
  <c r="BS555"/>
  <c r="BR555"/>
  <c r="BQ555"/>
  <c r="BP555"/>
  <c r="BO555"/>
  <c r="BN555"/>
  <c r="DU554"/>
  <c r="DT554"/>
  <c r="DS554"/>
  <c r="DR554"/>
  <c r="DQ554"/>
  <c r="DP554"/>
  <c r="DO554"/>
  <c r="DN554"/>
  <c r="DM554"/>
  <c r="DL554"/>
  <c r="DK554"/>
  <c r="DJ554"/>
  <c r="DI554"/>
  <c r="DH554"/>
  <c r="DG554"/>
  <c r="DF554"/>
  <c r="DE554"/>
  <c r="DD554"/>
  <c r="DC554"/>
  <c r="DB554"/>
  <c r="DA554"/>
  <c r="CZ554"/>
  <c r="CY554"/>
  <c r="CX554"/>
  <c r="CW554"/>
  <c r="CV554"/>
  <c r="CU554"/>
  <c r="CT554"/>
  <c r="CS554"/>
  <c r="CR554"/>
  <c r="CQ554"/>
  <c r="CP554"/>
  <c r="CO554"/>
  <c r="CN554"/>
  <c r="CM554"/>
  <c r="CL554"/>
  <c r="CK554"/>
  <c r="CJ554"/>
  <c r="CI554"/>
  <c r="CH554"/>
  <c r="CG554"/>
  <c r="CF554"/>
  <c r="CE554"/>
  <c r="CD554"/>
  <c r="CC554"/>
  <c r="CB554"/>
  <c r="CA554"/>
  <c r="BZ554"/>
  <c r="BY554"/>
  <c r="BX554"/>
  <c r="BW554"/>
  <c r="BV554"/>
  <c r="BU554"/>
  <c r="BT554"/>
  <c r="BS554"/>
  <c r="BR554"/>
  <c r="BQ554"/>
  <c r="BP554"/>
  <c r="BO554"/>
  <c r="BN554"/>
  <c r="DU553"/>
  <c r="DT553"/>
  <c r="DS553"/>
  <c r="DR553"/>
  <c r="DQ553"/>
  <c r="DP553"/>
  <c r="DO553"/>
  <c r="DN553"/>
  <c r="DM553"/>
  <c r="DL553"/>
  <c r="DK553"/>
  <c r="DJ553"/>
  <c r="DI553"/>
  <c r="DH553"/>
  <c r="DG553"/>
  <c r="DF553"/>
  <c r="DE553"/>
  <c r="DD553"/>
  <c r="DC553"/>
  <c r="DB553"/>
  <c r="DA553"/>
  <c r="CZ553"/>
  <c r="CY553"/>
  <c r="CX553"/>
  <c r="CW553"/>
  <c r="CV553"/>
  <c r="CU553"/>
  <c r="CT553"/>
  <c r="CS553"/>
  <c r="CR553"/>
  <c r="CQ553"/>
  <c r="CP553"/>
  <c r="CO553"/>
  <c r="CN553"/>
  <c r="CM553"/>
  <c r="CL553"/>
  <c r="CK553"/>
  <c r="CJ553"/>
  <c r="CI553"/>
  <c r="CH553"/>
  <c r="CG553"/>
  <c r="CF553"/>
  <c r="CE553"/>
  <c r="CD553"/>
  <c r="CC553"/>
  <c r="CB553"/>
  <c r="CA553"/>
  <c r="BZ553"/>
  <c r="BY553"/>
  <c r="BX553"/>
  <c r="BW553"/>
  <c r="BV553"/>
  <c r="BU553"/>
  <c r="BT553"/>
  <c r="BS553"/>
  <c r="BR553"/>
  <c r="BQ553"/>
  <c r="BP553"/>
  <c r="BO553"/>
  <c r="BN553"/>
  <c r="DU552"/>
  <c r="DT552"/>
  <c r="DS552"/>
  <c r="DR552"/>
  <c r="DQ552"/>
  <c r="DP552"/>
  <c r="DO552"/>
  <c r="DN552"/>
  <c r="DM552"/>
  <c r="DL552"/>
  <c r="DK552"/>
  <c r="DJ552"/>
  <c r="DI552"/>
  <c r="DH552"/>
  <c r="DG552"/>
  <c r="DF552"/>
  <c r="DE552"/>
  <c r="DD552"/>
  <c r="DC552"/>
  <c r="DB552"/>
  <c r="DA552"/>
  <c r="CZ552"/>
  <c r="CY552"/>
  <c r="CX552"/>
  <c r="CW552"/>
  <c r="CV552"/>
  <c r="CU552"/>
  <c r="CT552"/>
  <c r="CS552"/>
  <c r="CR552"/>
  <c r="CQ552"/>
  <c r="CP552"/>
  <c r="CO552"/>
  <c r="CN552"/>
  <c r="CM552"/>
  <c r="CL552"/>
  <c r="CK552"/>
  <c r="CJ552"/>
  <c r="CI552"/>
  <c r="CH552"/>
  <c r="CG552"/>
  <c r="CF552"/>
  <c r="CE552"/>
  <c r="CD552"/>
  <c r="CC552"/>
  <c r="CB552"/>
  <c r="CA552"/>
  <c r="BZ552"/>
  <c r="BY552"/>
  <c r="BX552"/>
  <c r="BW552"/>
  <c r="BV552"/>
  <c r="BU552"/>
  <c r="BT552"/>
  <c r="BS552"/>
  <c r="BR552"/>
  <c r="BQ552"/>
  <c r="BP552"/>
  <c r="BO552"/>
  <c r="BN552"/>
  <c r="DU551"/>
  <c r="DT551"/>
  <c r="DS551"/>
  <c r="DR551"/>
  <c r="DQ551"/>
  <c r="DP551"/>
  <c r="DO551"/>
  <c r="DN551"/>
  <c r="DM551"/>
  <c r="DL551"/>
  <c r="DK551"/>
  <c r="DJ551"/>
  <c r="DI551"/>
  <c r="DH551"/>
  <c r="DG551"/>
  <c r="DF551"/>
  <c r="DE551"/>
  <c r="DD551"/>
  <c r="DC551"/>
  <c r="DB551"/>
  <c r="DA551"/>
  <c r="CZ551"/>
  <c r="CY551"/>
  <c r="CX551"/>
  <c r="CW551"/>
  <c r="CV551"/>
  <c r="CU551"/>
  <c r="CT551"/>
  <c r="CS551"/>
  <c r="CR551"/>
  <c r="CQ551"/>
  <c r="CP551"/>
  <c r="CO551"/>
  <c r="CN551"/>
  <c r="CM551"/>
  <c r="CL551"/>
  <c r="CK551"/>
  <c r="CJ551"/>
  <c r="CI551"/>
  <c r="CH551"/>
  <c r="CG551"/>
  <c r="CF551"/>
  <c r="CE551"/>
  <c r="CD551"/>
  <c r="CC551"/>
  <c r="CB551"/>
  <c r="CA551"/>
  <c r="BZ551"/>
  <c r="BY551"/>
  <c r="BX551"/>
  <c r="BW551"/>
  <c r="BV551"/>
  <c r="BU551"/>
  <c r="BT551"/>
  <c r="BS551"/>
  <c r="BR551"/>
  <c r="BQ551"/>
  <c r="BP551"/>
  <c r="BO551"/>
  <c r="BN551"/>
  <c r="DU550"/>
  <c r="DT550"/>
  <c r="DS550"/>
  <c r="DR550"/>
  <c r="DQ550"/>
  <c r="DP550"/>
  <c r="DO550"/>
  <c r="DN550"/>
  <c r="DM550"/>
  <c r="DL550"/>
  <c r="DK550"/>
  <c r="DJ550"/>
  <c r="DI550"/>
  <c r="DH550"/>
  <c r="DG550"/>
  <c r="DF550"/>
  <c r="DE550"/>
  <c r="DD550"/>
  <c r="DC550"/>
  <c r="DB550"/>
  <c r="DA550"/>
  <c r="CZ550"/>
  <c r="CY550"/>
  <c r="CX550"/>
  <c r="CW550"/>
  <c r="CV550"/>
  <c r="CU550"/>
  <c r="CT550"/>
  <c r="CS550"/>
  <c r="CR550"/>
  <c r="CQ550"/>
  <c r="CP550"/>
  <c r="CO550"/>
  <c r="CN550"/>
  <c r="CM550"/>
  <c r="CL550"/>
  <c r="CK550"/>
  <c r="CJ550"/>
  <c r="CI550"/>
  <c r="CH550"/>
  <c r="CG550"/>
  <c r="CF550"/>
  <c r="CE550"/>
  <c r="CD550"/>
  <c r="CC550"/>
  <c r="CB550"/>
  <c r="CA550"/>
  <c r="BZ550"/>
  <c r="BY550"/>
  <c r="BX550"/>
  <c r="BW550"/>
  <c r="BV550"/>
  <c r="BU550"/>
  <c r="BT550"/>
  <c r="BS550"/>
  <c r="BR550"/>
  <c r="BQ550"/>
  <c r="BP550"/>
  <c r="BO550"/>
  <c r="BN550"/>
  <c r="DU549"/>
  <c r="DT549"/>
  <c r="DS549"/>
  <c r="DR549"/>
  <c r="DQ549"/>
  <c r="DP549"/>
  <c r="DO549"/>
  <c r="DN549"/>
  <c r="DM549"/>
  <c r="DL549"/>
  <c r="DK549"/>
  <c r="DJ549"/>
  <c r="DI549"/>
  <c r="DH549"/>
  <c r="DG549"/>
  <c r="DF549"/>
  <c r="DE549"/>
  <c r="DD549"/>
  <c r="DC549"/>
  <c r="DB549"/>
  <c r="DA549"/>
  <c r="CZ549"/>
  <c r="CY549"/>
  <c r="CX549"/>
  <c r="CW549"/>
  <c r="CV549"/>
  <c r="CU549"/>
  <c r="CT549"/>
  <c r="CS549"/>
  <c r="CR549"/>
  <c r="CQ549"/>
  <c r="CP549"/>
  <c r="CO549"/>
  <c r="CN549"/>
  <c r="CM549"/>
  <c r="CL549"/>
  <c r="CK549"/>
  <c r="CJ549"/>
  <c r="CI549"/>
  <c r="CH549"/>
  <c r="CG549"/>
  <c r="CF549"/>
  <c r="CE549"/>
  <c r="CD549"/>
  <c r="CC549"/>
  <c r="CB549"/>
  <c r="CA549"/>
  <c r="BZ549"/>
  <c r="BY549"/>
  <c r="BX549"/>
  <c r="BW549"/>
  <c r="BV549"/>
  <c r="BU549"/>
  <c r="BT549"/>
  <c r="BS549"/>
  <c r="BR549"/>
  <c r="BQ549"/>
  <c r="BP549"/>
  <c r="BO549"/>
  <c r="BN549"/>
  <c r="DU548"/>
  <c r="DT548"/>
  <c r="DS548"/>
  <c r="DR548"/>
  <c r="DQ548"/>
  <c r="DP548"/>
  <c r="DO548"/>
  <c r="DN548"/>
  <c r="DM548"/>
  <c r="DL548"/>
  <c r="DK548"/>
  <c r="DJ548"/>
  <c r="DI548"/>
  <c r="DH548"/>
  <c r="DG548"/>
  <c r="DF548"/>
  <c r="DE548"/>
  <c r="DD548"/>
  <c r="DC548"/>
  <c r="DB548"/>
  <c r="DA548"/>
  <c r="CZ548"/>
  <c r="CY548"/>
  <c r="CX548"/>
  <c r="CW548"/>
  <c r="CV548"/>
  <c r="CU548"/>
  <c r="CT548"/>
  <c r="CS548"/>
  <c r="CR548"/>
  <c r="CQ548"/>
  <c r="CP548"/>
  <c r="CO548"/>
  <c r="CN548"/>
  <c r="CM548"/>
  <c r="CL548"/>
  <c r="CK548"/>
  <c r="CJ548"/>
  <c r="CI548"/>
  <c r="CH548"/>
  <c r="CG548"/>
  <c r="CF548"/>
  <c r="CE548"/>
  <c r="CD548"/>
  <c r="CC548"/>
  <c r="CB548"/>
  <c r="CA548"/>
  <c r="BZ548"/>
  <c r="BY548"/>
  <c r="BX548"/>
  <c r="BW548"/>
  <c r="BV548"/>
  <c r="BU548"/>
  <c r="BT548"/>
  <c r="BS548"/>
  <c r="BR548"/>
  <c r="BQ548"/>
  <c r="BP548"/>
  <c r="BO548"/>
  <c r="BN548"/>
  <c r="DU547"/>
  <c r="DT547"/>
  <c r="DS547"/>
  <c r="DR547"/>
  <c r="DQ547"/>
  <c r="DP547"/>
  <c r="DO547"/>
  <c r="DN547"/>
  <c r="DM547"/>
  <c r="DL547"/>
  <c r="DK547"/>
  <c r="DJ547"/>
  <c r="DI547"/>
  <c r="DH547"/>
  <c r="DG547"/>
  <c r="DF547"/>
  <c r="DE547"/>
  <c r="DD547"/>
  <c r="DC547"/>
  <c r="DB547"/>
  <c r="DA547"/>
  <c r="CZ547"/>
  <c r="CY547"/>
  <c r="CX547"/>
  <c r="CW547"/>
  <c r="CV547"/>
  <c r="CU547"/>
  <c r="CT547"/>
  <c r="CS547"/>
  <c r="CR547"/>
  <c r="CQ547"/>
  <c r="CP547"/>
  <c r="CO547"/>
  <c r="CN547"/>
  <c r="CM547"/>
  <c r="CL547"/>
  <c r="CK547"/>
  <c r="CJ547"/>
  <c r="CI547"/>
  <c r="CH547"/>
  <c r="CG547"/>
  <c r="CF547"/>
  <c r="CE547"/>
  <c r="CD547"/>
  <c r="CC547"/>
  <c r="CB547"/>
  <c r="CA547"/>
  <c r="BZ547"/>
  <c r="BY547"/>
  <c r="BX547"/>
  <c r="BW547"/>
  <c r="BV547"/>
  <c r="BU547"/>
  <c r="BT547"/>
  <c r="BS547"/>
  <c r="BR547"/>
  <c r="BQ547"/>
  <c r="BP547"/>
  <c r="BO547"/>
  <c r="BN547"/>
  <c r="DU546"/>
  <c r="DT546"/>
  <c r="DS546"/>
  <c r="DR546"/>
  <c r="DQ546"/>
  <c r="DP546"/>
  <c r="DO546"/>
  <c r="DN546"/>
  <c r="DM546"/>
  <c r="DL546"/>
  <c r="DK546"/>
  <c r="DJ546"/>
  <c r="DI546"/>
  <c r="DH546"/>
  <c r="DG546"/>
  <c r="DF546"/>
  <c r="DE546"/>
  <c r="DD546"/>
  <c r="DC546"/>
  <c r="DB546"/>
  <c r="DA546"/>
  <c r="CZ546"/>
  <c r="CY546"/>
  <c r="CX546"/>
  <c r="CW546"/>
  <c r="CV546"/>
  <c r="CU546"/>
  <c r="CT546"/>
  <c r="CS546"/>
  <c r="CR546"/>
  <c r="CQ546"/>
  <c r="CP546"/>
  <c r="CO546"/>
  <c r="CN546"/>
  <c r="CM546"/>
  <c r="CL546"/>
  <c r="CK546"/>
  <c r="CJ546"/>
  <c r="CI546"/>
  <c r="CH546"/>
  <c r="CG546"/>
  <c r="CF546"/>
  <c r="CE546"/>
  <c r="CD546"/>
  <c r="CC546"/>
  <c r="CB546"/>
  <c r="CA546"/>
  <c r="BZ546"/>
  <c r="BY546"/>
  <c r="BX546"/>
  <c r="BW546"/>
  <c r="BV546"/>
  <c r="BU546"/>
  <c r="BT546"/>
  <c r="BS546"/>
  <c r="BR546"/>
  <c r="BQ546"/>
  <c r="BP546"/>
  <c r="BO546"/>
  <c r="BN546"/>
  <c r="DU545"/>
  <c r="DT545"/>
  <c r="DS545"/>
  <c r="DR545"/>
  <c r="DQ545"/>
  <c r="DP545"/>
  <c r="DO545"/>
  <c r="DN545"/>
  <c r="DM545"/>
  <c r="DL545"/>
  <c r="DK545"/>
  <c r="DJ545"/>
  <c r="DI545"/>
  <c r="DH545"/>
  <c r="DG545"/>
  <c r="DF545"/>
  <c r="DE545"/>
  <c r="DD545"/>
  <c r="DC545"/>
  <c r="DB545"/>
  <c r="DA545"/>
  <c r="CZ545"/>
  <c r="CY545"/>
  <c r="CX545"/>
  <c r="CW545"/>
  <c r="CV545"/>
  <c r="CU545"/>
  <c r="CT545"/>
  <c r="CS545"/>
  <c r="CR545"/>
  <c r="CQ545"/>
  <c r="CP545"/>
  <c r="CO545"/>
  <c r="CN545"/>
  <c r="CM545"/>
  <c r="CL545"/>
  <c r="CK545"/>
  <c r="CJ545"/>
  <c r="CI545"/>
  <c r="CH545"/>
  <c r="CG545"/>
  <c r="CF545"/>
  <c r="CE545"/>
  <c r="CD545"/>
  <c r="CC545"/>
  <c r="CB545"/>
  <c r="CA545"/>
  <c r="BZ545"/>
  <c r="BY545"/>
  <c r="BX545"/>
  <c r="BW545"/>
  <c r="BV545"/>
  <c r="BU545"/>
  <c r="BT545"/>
  <c r="BS545"/>
  <c r="BR545"/>
  <c r="BQ545"/>
  <c r="BP545"/>
  <c r="BO545"/>
  <c r="BN545"/>
  <c r="DU544"/>
  <c r="DT544"/>
  <c r="DS544"/>
  <c r="DR544"/>
  <c r="DQ544"/>
  <c r="DP544"/>
  <c r="DO544"/>
  <c r="DN544"/>
  <c r="DM544"/>
  <c r="DL544"/>
  <c r="DK544"/>
  <c r="DJ544"/>
  <c r="DI544"/>
  <c r="DH544"/>
  <c r="DG544"/>
  <c r="DF544"/>
  <c r="DE544"/>
  <c r="DD544"/>
  <c r="DC544"/>
  <c r="DB544"/>
  <c r="DA544"/>
  <c r="CZ544"/>
  <c r="CY544"/>
  <c r="CX544"/>
  <c r="CW544"/>
  <c r="CV544"/>
  <c r="CU544"/>
  <c r="CT544"/>
  <c r="CS544"/>
  <c r="CR544"/>
  <c r="CQ544"/>
  <c r="CP544"/>
  <c r="CO544"/>
  <c r="CN544"/>
  <c r="CM544"/>
  <c r="CL544"/>
  <c r="CK544"/>
  <c r="CJ544"/>
  <c r="CI544"/>
  <c r="CH544"/>
  <c r="CG544"/>
  <c r="CF544"/>
  <c r="CE544"/>
  <c r="CD544"/>
  <c r="CC544"/>
  <c r="CB544"/>
  <c r="CA544"/>
  <c r="BZ544"/>
  <c r="BY544"/>
  <c r="BX544"/>
  <c r="BW544"/>
  <c r="BV544"/>
  <c r="BU544"/>
  <c r="BT544"/>
  <c r="BS544"/>
  <c r="BR544"/>
  <c r="BQ544"/>
  <c r="BP544"/>
  <c r="BO544"/>
  <c r="BN544"/>
  <c r="DU543"/>
  <c r="DT543"/>
  <c r="DS543"/>
  <c r="DR543"/>
  <c r="DQ543"/>
  <c r="DP543"/>
  <c r="DO543"/>
  <c r="DN543"/>
  <c r="DM543"/>
  <c r="DL543"/>
  <c r="DK543"/>
  <c r="DJ543"/>
  <c r="DI543"/>
  <c r="DH543"/>
  <c r="DG543"/>
  <c r="DF543"/>
  <c r="DE543"/>
  <c r="DD543"/>
  <c r="DC543"/>
  <c r="DB543"/>
  <c r="DA543"/>
  <c r="CZ543"/>
  <c r="CY543"/>
  <c r="CX543"/>
  <c r="CW543"/>
  <c r="CV543"/>
  <c r="CU543"/>
  <c r="CT543"/>
  <c r="CS543"/>
  <c r="CR543"/>
  <c r="CQ543"/>
  <c r="CP543"/>
  <c r="CO543"/>
  <c r="CN543"/>
  <c r="CM543"/>
  <c r="CL543"/>
  <c r="CK543"/>
  <c r="CJ543"/>
  <c r="CI543"/>
  <c r="CH543"/>
  <c r="CG543"/>
  <c r="CF543"/>
  <c r="CE543"/>
  <c r="CD543"/>
  <c r="CC543"/>
  <c r="CB543"/>
  <c r="CA543"/>
  <c r="BZ543"/>
  <c r="BY543"/>
  <c r="BX543"/>
  <c r="BW543"/>
  <c r="BV543"/>
  <c r="BU543"/>
  <c r="BT543"/>
  <c r="BS543"/>
  <c r="BR543"/>
  <c r="BQ543"/>
  <c r="BP543"/>
  <c r="BO543"/>
  <c r="BN543"/>
  <c r="DU542"/>
  <c r="DT542"/>
  <c r="DS542"/>
  <c r="DR542"/>
  <c r="DQ542"/>
  <c r="DP542"/>
  <c r="DO542"/>
  <c r="DN542"/>
  <c r="DM542"/>
  <c r="DL542"/>
  <c r="DK542"/>
  <c r="DJ542"/>
  <c r="DI542"/>
  <c r="DH542"/>
  <c r="DG542"/>
  <c r="DF542"/>
  <c r="DE542"/>
  <c r="DD542"/>
  <c r="DC542"/>
  <c r="DB542"/>
  <c r="DA542"/>
  <c r="CZ542"/>
  <c r="CY542"/>
  <c r="CX542"/>
  <c r="CW542"/>
  <c r="CV542"/>
  <c r="CU542"/>
  <c r="CT542"/>
  <c r="CS542"/>
  <c r="CR542"/>
  <c r="CQ542"/>
  <c r="CP542"/>
  <c r="CO542"/>
  <c r="CN542"/>
  <c r="CM542"/>
  <c r="CL542"/>
  <c r="CK542"/>
  <c r="CJ542"/>
  <c r="CI542"/>
  <c r="CH542"/>
  <c r="CG542"/>
  <c r="CF542"/>
  <c r="CE542"/>
  <c r="CD542"/>
  <c r="CC542"/>
  <c r="CB542"/>
  <c r="CA542"/>
  <c r="BZ542"/>
  <c r="BY542"/>
  <c r="BX542"/>
  <c r="BW542"/>
  <c r="BV542"/>
  <c r="BU542"/>
  <c r="BT542"/>
  <c r="BS542"/>
  <c r="BR542"/>
  <c r="BQ542"/>
  <c r="BP542"/>
  <c r="BO542"/>
  <c r="BN542"/>
  <c r="DU541"/>
  <c r="DT541"/>
  <c r="DS541"/>
  <c r="DR541"/>
  <c r="DQ541"/>
  <c r="DP541"/>
  <c r="DO541"/>
  <c r="DN541"/>
  <c r="DM541"/>
  <c r="DL541"/>
  <c r="DK541"/>
  <c r="DJ541"/>
  <c r="DI541"/>
  <c r="DH541"/>
  <c r="DG541"/>
  <c r="DF541"/>
  <c r="DE541"/>
  <c r="DD541"/>
  <c r="DC541"/>
  <c r="DB541"/>
  <c r="DA541"/>
  <c r="CZ541"/>
  <c r="CY541"/>
  <c r="CX541"/>
  <c r="CW541"/>
  <c r="CV541"/>
  <c r="CU541"/>
  <c r="CT541"/>
  <c r="CS541"/>
  <c r="CR541"/>
  <c r="CQ541"/>
  <c r="CP541"/>
  <c r="CO541"/>
  <c r="CN541"/>
  <c r="CM541"/>
  <c r="CL541"/>
  <c r="CK541"/>
  <c r="CJ541"/>
  <c r="CI541"/>
  <c r="CH541"/>
  <c r="CG541"/>
  <c r="CF541"/>
  <c r="CE541"/>
  <c r="CD541"/>
  <c r="CC541"/>
  <c r="CB541"/>
  <c r="CA541"/>
  <c r="BZ541"/>
  <c r="BY541"/>
  <c r="BX541"/>
  <c r="BW541"/>
  <c r="BV541"/>
  <c r="BU541"/>
  <c r="BT541"/>
  <c r="BS541"/>
  <c r="BR541"/>
  <c r="BQ541"/>
  <c r="BP541"/>
  <c r="BO541"/>
  <c r="BN541"/>
  <c r="DU540"/>
  <c r="DT540"/>
  <c r="DS540"/>
  <c r="DR540"/>
  <c r="DQ540"/>
  <c r="DP540"/>
  <c r="DO540"/>
  <c r="DN540"/>
  <c r="DM540"/>
  <c r="DL540"/>
  <c r="DK540"/>
  <c r="DJ540"/>
  <c r="DI540"/>
  <c r="DH540"/>
  <c r="DG540"/>
  <c r="DF540"/>
  <c r="DE540"/>
  <c r="DD540"/>
  <c r="DC540"/>
  <c r="DB540"/>
  <c r="DA540"/>
  <c r="CZ540"/>
  <c r="CY540"/>
  <c r="CX540"/>
  <c r="CW540"/>
  <c r="CV540"/>
  <c r="CU540"/>
  <c r="CT540"/>
  <c r="CS540"/>
  <c r="CR540"/>
  <c r="CQ540"/>
  <c r="CP540"/>
  <c r="CO540"/>
  <c r="CN540"/>
  <c r="CM540"/>
  <c r="CL540"/>
  <c r="CK540"/>
  <c r="CJ540"/>
  <c r="CI540"/>
  <c r="CH540"/>
  <c r="CG540"/>
  <c r="CF540"/>
  <c r="CE540"/>
  <c r="CD540"/>
  <c r="CC540"/>
  <c r="CB540"/>
  <c r="CA540"/>
  <c r="BZ540"/>
  <c r="BY540"/>
  <c r="BX540"/>
  <c r="BW540"/>
  <c r="BV540"/>
  <c r="BU540"/>
  <c r="BT540"/>
  <c r="BS540"/>
  <c r="BR540"/>
  <c r="BQ540"/>
  <c r="BP540"/>
  <c r="BO540"/>
  <c r="BN540"/>
  <c r="DU539"/>
  <c r="DT539"/>
  <c r="DS539"/>
  <c r="DR539"/>
  <c r="DQ539"/>
  <c r="DP539"/>
  <c r="DO539"/>
  <c r="DN539"/>
  <c r="DM539"/>
  <c r="DL539"/>
  <c r="DK539"/>
  <c r="DJ539"/>
  <c r="DI539"/>
  <c r="DH539"/>
  <c r="DG539"/>
  <c r="DF539"/>
  <c r="DE539"/>
  <c r="DD539"/>
  <c r="DC539"/>
  <c r="DB539"/>
  <c r="DA539"/>
  <c r="CZ539"/>
  <c r="CY539"/>
  <c r="CX539"/>
  <c r="CW539"/>
  <c r="CV539"/>
  <c r="CU539"/>
  <c r="CT539"/>
  <c r="CS539"/>
  <c r="CR539"/>
  <c r="CQ539"/>
  <c r="CP539"/>
  <c r="CO539"/>
  <c r="CN539"/>
  <c r="CM539"/>
  <c r="CL539"/>
  <c r="CK539"/>
  <c r="CJ539"/>
  <c r="CI539"/>
  <c r="CH539"/>
  <c r="CG539"/>
  <c r="CF539"/>
  <c r="CE539"/>
  <c r="CD539"/>
  <c r="CC539"/>
  <c r="CB539"/>
  <c r="CA539"/>
  <c r="BZ539"/>
  <c r="BY539"/>
  <c r="BX539"/>
  <c r="BW539"/>
  <c r="BV539"/>
  <c r="BU539"/>
  <c r="BT539"/>
  <c r="BS539"/>
  <c r="BR539"/>
  <c r="BQ539"/>
  <c r="BP539"/>
  <c r="BO539"/>
  <c r="BN539"/>
  <c r="DU538"/>
  <c r="DT538"/>
  <c r="DS538"/>
  <c r="DR538"/>
  <c r="DQ538"/>
  <c r="DP538"/>
  <c r="DO538"/>
  <c r="DN538"/>
  <c r="DM538"/>
  <c r="DL538"/>
  <c r="DK538"/>
  <c r="DJ538"/>
  <c r="DI538"/>
  <c r="DH538"/>
  <c r="DG538"/>
  <c r="DF538"/>
  <c r="DE538"/>
  <c r="DD538"/>
  <c r="DC538"/>
  <c r="DB538"/>
  <c r="DA538"/>
  <c r="CZ538"/>
  <c r="CY538"/>
  <c r="CX538"/>
  <c r="CW538"/>
  <c r="CV538"/>
  <c r="CU538"/>
  <c r="CT538"/>
  <c r="CS538"/>
  <c r="CR538"/>
  <c r="CQ538"/>
  <c r="CP538"/>
  <c r="CO538"/>
  <c r="CN538"/>
  <c r="CM538"/>
  <c r="CL538"/>
  <c r="CK538"/>
  <c r="CJ538"/>
  <c r="CI538"/>
  <c r="CH538"/>
  <c r="CG538"/>
  <c r="CF538"/>
  <c r="CE538"/>
  <c r="CD538"/>
  <c r="CC538"/>
  <c r="CB538"/>
  <c r="CA538"/>
  <c r="BZ538"/>
  <c r="BY538"/>
  <c r="BX538"/>
  <c r="BW538"/>
  <c r="BV538"/>
  <c r="BU538"/>
  <c r="BT538"/>
  <c r="BS538"/>
  <c r="BR538"/>
  <c r="BQ538"/>
  <c r="BP538"/>
  <c r="BO538"/>
  <c r="BN538"/>
  <c r="DU537"/>
  <c r="DT537"/>
  <c r="DS537"/>
  <c r="DR537"/>
  <c r="DQ537"/>
  <c r="DP537"/>
  <c r="DO537"/>
  <c r="DN537"/>
  <c r="DM537"/>
  <c r="DL537"/>
  <c r="DK537"/>
  <c r="DJ537"/>
  <c r="DI537"/>
  <c r="DH537"/>
  <c r="DG537"/>
  <c r="DF537"/>
  <c r="DE537"/>
  <c r="DD537"/>
  <c r="DC537"/>
  <c r="DB537"/>
  <c r="DA537"/>
  <c r="CZ537"/>
  <c r="CY537"/>
  <c r="CX537"/>
  <c r="CW537"/>
  <c r="CV537"/>
  <c r="CU537"/>
  <c r="CT537"/>
  <c r="CS537"/>
  <c r="CR537"/>
  <c r="CQ537"/>
  <c r="CP537"/>
  <c r="CO537"/>
  <c r="CN537"/>
  <c r="CM537"/>
  <c r="CL537"/>
  <c r="CK537"/>
  <c r="CJ537"/>
  <c r="CI537"/>
  <c r="CH537"/>
  <c r="CG537"/>
  <c r="CF537"/>
  <c r="CE537"/>
  <c r="CD537"/>
  <c r="CC537"/>
  <c r="CB537"/>
  <c r="CA537"/>
  <c r="BZ537"/>
  <c r="BY537"/>
  <c r="BX537"/>
  <c r="BW537"/>
  <c r="BV537"/>
  <c r="BU537"/>
  <c r="BT537"/>
  <c r="BS537"/>
  <c r="BR537"/>
  <c r="BQ537"/>
  <c r="BP537"/>
  <c r="BO537"/>
  <c r="BN537"/>
  <c r="DU536"/>
  <c r="DT536"/>
  <c r="DS536"/>
  <c r="DR536"/>
  <c r="DQ536"/>
  <c r="DP536"/>
  <c r="DO536"/>
  <c r="DN536"/>
  <c r="DM536"/>
  <c r="DL536"/>
  <c r="DK536"/>
  <c r="DJ536"/>
  <c r="DI536"/>
  <c r="DH536"/>
  <c r="DG536"/>
  <c r="DF536"/>
  <c r="DE536"/>
  <c r="DD536"/>
  <c r="DC536"/>
  <c r="DB536"/>
  <c r="DA536"/>
  <c r="CZ536"/>
  <c r="CY536"/>
  <c r="CX536"/>
  <c r="CW536"/>
  <c r="CV536"/>
  <c r="CU536"/>
  <c r="CT536"/>
  <c r="CS536"/>
  <c r="CR536"/>
  <c r="CQ536"/>
  <c r="CP536"/>
  <c r="CO536"/>
  <c r="CN536"/>
  <c r="CM536"/>
  <c r="CL536"/>
  <c r="CK536"/>
  <c r="CJ536"/>
  <c r="CI536"/>
  <c r="CH536"/>
  <c r="CG536"/>
  <c r="CF536"/>
  <c r="CE536"/>
  <c r="CD536"/>
  <c r="CC536"/>
  <c r="CB536"/>
  <c r="CA536"/>
  <c r="BZ536"/>
  <c r="BY536"/>
  <c r="BX536"/>
  <c r="BW536"/>
  <c r="BV536"/>
  <c r="BU536"/>
  <c r="BT536"/>
  <c r="BS536"/>
  <c r="BR536"/>
  <c r="BQ536"/>
  <c r="BP536"/>
  <c r="BO536"/>
  <c r="BN536"/>
  <c r="DU535"/>
  <c r="DT535"/>
  <c r="DS535"/>
  <c r="DR535"/>
  <c r="DQ535"/>
  <c r="DP535"/>
  <c r="DO535"/>
  <c r="DN535"/>
  <c r="DM535"/>
  <c r="DL535"/>
  <c r="DK535"/>
  <c r="DJ535"/>
  <c r="DI535"/>
  <c r="DH535"/>
  <c r="DG535"/>
  <c r="DF535"/>
  <c r="DE535"/>
  <c r="DD535"/>
  <c r="DC535"/>
  <c r="DB535"/>
  <c r="DA535"/>
  <c r="CZ535"/>
  <c r="CY535"/>
  <c r="CX535"/>
  <c r="CW535"/>
  <c r="CV535"/>
  <c r="CU535"/>
  <c r="CT535"/>
  <c r="CS535"/>
  <c r="CR535"/>
  <c r="CQ535"/>
  <c r="CP535"/>
  <c r="CO535"/>
  <c r="CN535"/>
  <c r="CM535"/>
  <c r="CL535"/>
  <c r="CK535"/>
  <c r="CJ535"/>
  <c r="CI535"/>
  <c r="CH535"/>
  <c r="CG535"/>
  <c r="CF535"/>
  <c r="CE535"/>
  <c r="CD535"/>
  <c r="CC535"/>
  <c r="CB535"/>
  <c r="CA535"/>
  <c r="BZ535"/>
  <c r="BY535"/>
  <c r="BX535"/>
  <c r="BW535"/>
  <c r="BV535"/>
  <c r="BU535"/>
  <c r="BT535"/>
  <c r="BS535"/>
  <c r="BR535"/>
  <c r="BQ535"/>
  <c r="BP535"/>
  <c r="BO535"/>
  <c r="BN535"/>
  <c r="DU534"/>
  <c r="DT534"/>
  <c r="DS534"/>
  <c r="DR534"/>
  <c r="DQ534"/>
  <c r="DP534"/>
  <c r="DO534"/>
  <c r="DN534"/>
  <c r="DM534"/>
  <c r="DL534"/>
  <c r="DK534"/>
  <c r="DJ534"/>
  <c r="DI534"/>
  <c r="DH534"/>
  <c r="DG534"/>
  <c r="DF534"/>
  <c r="DE534"/>
  <c r="DD534"/>
  <c r="DC534"/>
  <c r="DB534"/>
  <c r="DA534"/>
  <c r="CZ534"/>
  <c r="CY534"/>
  <c r="CX534"/>
  <c r="CW534"/>
  <c r="CV534"/>
  <c r="CU534"/>
  <c r="CT534"/>
  <c r="CS534"/>
  <c r="CR534"/>
  <c r="CQ534"/>
  <c r="CP534"/>
  <c r="CO534"/>
  <c r="CN534"/>
  <c r="CM534"/>
  <c r="CL534"/>
  <c r="CK534"/>
  <c r="CJ534"/>
  <c r="CI534"/>
  <c r="CH534"/>
  <c r="CG534"/>
  <c r="CF534"/>
  <c r="CE534"/>
  <c r="CD534"/>
  <c r="CC534"/>
  <c r="CB534"/>
  <c r="CA534"/>
  <c r="BZ534"/>
  <c r="BY534"/>
  <c r="BX534"/>
  <c r="BW534"/>
  <c r="BV534"/>
  <c r="BU534"/>
  <c r="BT534"/>
  <c r="BS534"/>
  <c r="BR534"/>
  <c r="BQ534"/>
  <c r="BP534"/>
  <c r="BO534"/>
  <c r="BN534"/>
  <c r="DU533"/>
  <c r="DT533"/>
  <c r="DS533"/>
  <c r="DR533"/>
  <c r="DQ533"/>
  <c r="DP533"/>
  <c r="DO533"/>
  <c r="DN533"/>
  <c r="DM533"/>
  <c r="DL533"/>
  <c r="DK533"/>
  <c r="DJ533"/>
  <c r="DI533"/>
  <c r="DH533"/>
  <c r="DG533"/>
  <c r="DF533"/>
  <c r="DE533"/>
  <c r="DD533"/>
  <c r="DC533"/>
  <c r="DB533"/>
  <c r="DA533"/>
  <c r="CZ533"/>
  <c r="CY533"/>
  <c r="CX533"/>
  <c r="CW533"/>
  <c r="CV533"/>
  <c r="CU533"/>
  <c r="CT533"/>
  <c r="CS533"/>
  <c r="CR533"/>
  <c r="CQ533"/>
  <c r="CP533"/>
  <c r="CO533"/>
  <c r="CN533"/>
  <c r="CM533"/>
  <c r="CL533"/>
  <c r="CK533"/>
  <c r="CJ533"/>
  <c r="CI533"/>
  <c r="CH533"/>
  <c r="CG533"/>
  <c r="CF533"/>
  <c r="CE533"/>
  <c r="CD533"/>
  <c r="CC533"/>
  <c r="CB533"/>
  <c r="CA533"/>
  <c r="BZ533"/>
  <c r="BY533"/>
  <c r="BX533"/>
  <c r="BW533"/>
  <c r="BV533"/>
  <c r="BU533"/>
  <c r="BT533"/>
  <c r="BS533"/>
  <c r="BR533"/>
  <c r="BQ533"/>
  <c r="BP533"/>
  <c r="BO533"/>
  <c r="BN533"/>
  <c r="DU532"/>
  <c r="DT532"/>
  <c r="DS532"/>
  <c r="DR532"/>
  <c r="DQ532"/>
  <c r="DP532"/>
  <c r="DO532"/>
  <c r="DN532"/>
  <c r="DM532"/>
  <c r="DL532"/>
  <c r="DK532"/>
  <c r="DJ532"/>
  <c r="DI532"/>
  <c r="DH532"/>
  <c r="DG532"/>
  <c r="DF532"/>
  <c r="DE532"/>
  <c r="DD532"/>
  <c r="DC532"/>
  <c r="DB532"/>
  <c r="DA532"/>
  <c r="CZ532"/>
  <c r="CY532"/>
  <c r="CX532"/>
  <c r="CW532"/>
  <c r="CV532"/>
  <c r="CU532"/>
  <c r="CT532"/>
  <c r="CS532"/>
  <c r="CR532"/>
  <c r="CQ532"/>
  <c r="CP532"/>
  <c r="CO532"/>
  <c r="CN532"/>
  <c r="CM532"/>
  <c r="CL532"/>
  <c r="CK532"/>
  <c r="CJ532"/>
  <c r="CI532"/>
  <c r="CH532"/>
  <c r="CG532"/>
  <c r="CF532"/>
  <c r="CE532"/>
  <c r="CD532"/>
  <c r="CC532"/>
  <c r="CB532"/>
  <c r="CA532"/>
  <c r="BZ532"/>
  <c r="BY532"/>
  <c r="BX532"/>
  <c r="BW532"/>
  <c r="BV532"/>
  <c r="BU532"/>
  <c r="BT532"/>
  <c r="BS532"/>
  <c r="BR532"/>
  <c r="BQ532"/>
  <c r="BP532"/>
  <c r="BO532"/>
  <c r="BN532"/>
  <c r="DU531"/>
  <c r="DT531"/>
  <c r="DS531"/>
  <c r="DR531"/>
  <c r="DQ531"/>
  <c r="DP531"/>
  <c r="DO531"/>
  <c r="DN531"/>
  <c r="DM531"/>
  <c r="DL531"/>
  <c r="DK531"/>
  <c r="DJ531"/>
  <c r="DI531"/>
  <c r="DH531"/>
  <c r="DG531"/>
  <c r="DF531"/>
  <c r="DE531"/>
  <c r="DD531"/>
  <c r="DC531"/>
  <c r="DB531"/>
  <c r="DA531"/>
  <c r="CZ531"/>
  <c r="CY531"/>
  <c r="CX531"/>
  <c r="CW531"/>
  <c r="CV531"/>
  <c r="CU531"/>
  <c r="CT531"/>
  <c r="CS531"/>
  <c r="CR531"/>
  <c r="CQ531"/>
  <c r="CP531"/>
  <c r="CO531"/>
  <c r="CN531"/>
  <c r="CM531"/>
  <c r="CL531"/>
  <c r="CK531"/>
  <c r="CJ531"/>
  <c r="CI531"/>
  <c r="CH531"/>
  <c r="CG531"/>
  <c r="CF531"/>
  <c r="CE531"/>
  <c r="CD531"/>
  <c r="CC531"/>
  <c r="CB531"/>
  <c r="CA531"/>
  <c r="BZ531"/>
  <c r="BY531"/>
  <c r="BX531"/>
  <c r="BW531"/>
  <c r="BV531"/>
  <c r="BU531"/>
  <c r="BT531"/>
  <c r="BS531"/>
  <c r="BR531"/>
  <c r="BQ531"/>
  <c r="BP531"/>
  <c r="BO531"/>
  <c r="BN531"/>
  <c r="DU530"/>
  <c r="DT530"/>
  <c r="DS530"/>
  <c r="DR530"/>
  <c r="DQ530"/>
  <c r="DP530"/>
  <c r="DO530"/>
  <c r="DN530"/>
  <c r="DM530"/>
  <c r="DL530"/>
  <c r="DK530"/>
  <c r="DJ530"/>
  <c r="DI530"/>
  <c r="DH530"/>
  <c r="DG530"/>
  <c r="DF530"/>
  <c r="DE530"/>
  <c r="DD530"/>
  <c r="DC530"/>
  <c r="DB530"/>
  <c r="DA530"/>
  <c r="CZ530"/>
  <c r="CY530"/>
  <c r="CX530"/>
  <c r="CW530"/>
  <c r="CV530"/>
  <c r="CU530"/>
  <c r="CT530"/>
  <c r="CS530"/>
  <c r="CR530"/>
  <c r="CQ530"/>
  <c r="CP530"/>
  <c r="CO530"/>
  <c r="CN530"/>
  <c r="CM530"/>
  <c r="CL530"/>
  <c r="CK530"/>
  <c r="CJ530"/>
  <c r="CI530"/>
  <c r="CH530"/>
  <c r="CG530"/>
  <c r="CF530"/>
  <c r="CE530"/>
  <c r="CD530"/>
  <c r="CC530"/>
  <c r="CB530"/>
  <c r="CA530"/>
  <c r="BZ530"/>
  <c r="BY530"/>
  <c r="BX530"/>
  <c r="BW530"/>
  <c r="BV530"/>
  <c r="BU530"/>
  <c r="BT530"/>
  <c r="BS530"/>
  <c r="BR530"/>
  <c r="BQ530"/>
  <c r="BP530"/>
  <c r="BO530"/>
  <c r="BN530"/>
  <c r="DU529"/>
  <c r="DT529"/>
  <c r="DS529"/>
  <c r="DR529"/>
  <c r="DQ529"/>
  <c r="DP529"/>
  <c r="DO529"/>
  <c r="DN529"/>
  <c r="DM529"/>
  <c r="DL529"/>
  <c r="DK529"/>
  <c r="DJ529"/>
  <c r="DI529"/>
  <c r="DH529"/>
  <c r="DG529"/>
  <c r="DF529"/>
  <c r="DE529"/>
  <c r="DD529"/>
  <c r="DC529"/>
  <c r="DB529"/>
  <c r="DA529"/>
  <c r="CZ529"/>
  <c r="CY529"/>
  <c r="CX529"/>
  <c r="CW529"/>
  <c r="CV529"/>
  <c r="CU529"/>
  <c r="CT529"/>
  <c r="CS529"/>
  <c r="CR529"/>
  <c r="CQ529"/>
  <c r="CP529"/>
  <c r="CO529"/>
  <c r="CN529"/>
  <c r="CM529"/>
  <c r="CL529"/>
  <c r="CK529"/>
  <c r="CJ529"/>
  <c r="CI529"/>
  <c r="CH529"/>
  <c r="CG529"/>
  <c r="CF529"/>
  <c r="CE529"/>
  <c r="CD529"/>
  <c r="CC529"/>
  <c r="CB529"/>
  <c r="CA529"/>
  <c r="BZ529"/>
  <c r="BY529"/>
  <c r="BX529"/>
  <c r="BW529"/>
  <c r="BV529"/>
  <c r="BU529"/>
  <c r="BT529"/>
  <c r="BS529"/>
  <c r="BR529"/>
  <c r="BQ529"/>
  <c r="BP529"/>
  <c r="BO529"/>
  <c r="BN529"/>
  <c r="DU528"/>
  <c r="DT528"/>
  <c r="DS528"/>
  <c r="DR528"/>
  <c r="DQ528"/>
  <c r="DP528"/>
  <c r="DO528"/>
  <c r="DN528"/>
  <c r="DM528"/>
  <c r="DL528"/>
  <c r="DK528"/>
  <c r="DJ528"/>
  <c r="DI528"/>
  <c r="DH528"/>
  <c r="DG528"/>
  <c r="DF528"/>
  <c r="DE528"/>
  <c r="DD528"/>
  <c r="DC528"/>
  <c r="DB528"/>
  <c r="DA528"/>
  <c r="CZ528"/>
  <c r="CY528"/>
  <c r="CX528"/>
  <c r="CW528"/>
  <c r="CV528"/>
  <c r="CU528"/>
  <c r="CT528"/>
  <c r="CS528"/>
  <c r="CR528"/>
  <c r="CQ528"/>
  <c r="CP528"/>
  <c r="CO528"/>
  <c r="CN528"/>
  <c r="CM528"/>
  <c r="CL528"/>
  <c r="CK528"/>
  <c r="CJ528"/>
  <c r="CI528"/>
  <c r="CH528"/>
  <c r="CG528"/>
  <c r="CF528"/>
  <c r="CE528"/>
  <c r="CD528"/>
  <c r="CC528"/>
  <c r="CB528"/>
  <c r="CA528"/>
  <c r="BZ528"/>
  <c r="BY528"/>
  <c r="BX528"/>
  <c r="BW528"/>
  <c r="BV528"/>
  <c r="BU528"/>
  <c r="BT528"/>
  <c r="BS528"/>
  <c r="BR528"/>
  <c r="BQ528"/>
  <c r="BP528"/>
  <c r="BO528"/>
  <c r="BN528"/>
  <c r="DU527"/>
  <c r="DT527"/>
  <c r="DS527"/>
  <c r="DR527"/>
  <c r="DQ527"/>
  <c r="DP527"/>
  <c r="DO527"/>
  <c r="DN527"/>
  <c r="DM527"/>
  <c r="DL527"/>
  <c r="DK527"/>
  <c r="DJ527"/>
  <c r="DI527"/>
  <c r="DH527"/>
  <c r="DG527"/>
  <c r="DF527"/>
  <c r="DE527"/>
  <c r="DD527"/>
  <c r="DC527"/>
  <c r="DB527"/>
  <c r="DA527"/>
  <c r="CZ527"/>
  <c r="CY527"/>
  <c r="CX527"/>
  <c r="CW527"/>
  <c r="CV527"/>
  <c r="CU527"/>
  <c r="CT527"/>
  <c r="CS527"/>
  <c r="CR527"/>
  <c r="CQ527"/>
  <c r="CP527"/>
  <c r="CO527"/>
  <c r="CN527"/>
  <c r="CM527"/>
  <c r="CL527"/>
  <c r="CK527"/>
  <c r="CJ527"/>
  <c r="CI527"/>
  <c r="CH527"/>
  <c r="CG527"/>
  <c r="CF527"/>
  <c r="CE527"/>
  <c r="CD527"/>
  <c r="CC527"/>
  <c r="CB527"/>
  <c r="CA527"/>
  <c r="BZ527"/>
  <c r="BY527"/>
  <c r="BX527"/>
  <c r="BW527"/>
  <c r="BV527"/>
  <c r="BU527"/>
  <c r="BT527"/>
  <c r="BS527"/>
  <c r="BR527"/>
  <c r="BQ527"/>
  <c r="BP527"/>
  <c r="BO527"/>
  <c r="BN527"/>
  <c r="DU526"/>
  <c r="DT526"/>
  <c r="DS526"/>
  <c r="DR526"/>
  <c r="DQ526"/>
  <c r="DP526"/>
  <c r="DO526"/>
  <c r="DN526"/>
  <c r="DM526"/>
  <c r="DL526"/>
  <c r="DK526"/>
  <c r="DJ526"/>
  <c r="DI526"/>
  <c r="DH526"/>
  <c r="DG526"/>
  <c r="DF526"/>
  <c r="DE526"/>
  <c r="DD526"/>
  <c r="DC526"/>
  <c r="DB526"/>
  <c r="DA526"/>
  <c r="CZ526"/>
  <c r="CY526"/>
  <c r="CX526"/>
  <c r="CW526"/>
  <c r="CV526"/>
  <c r="CU526"/>
  <c r="CT526"/>
  <c r="CS526"/>
  <c r="CR526"/>
  <c r="CQ526"/>
  <c r="CP526"/>
  <c r="CO526"/>
  <c r="CN526"/>
  <c r="CM526"/>
  <c r="CL526"/>
  <c r="CK526"/>
  <c r="CJ526"/>
  <c r="CI526"/>
  <c r="CH526"/>
  <c r="CG526"/>
  <c r="CF526"/>
  <c r="CE526"/>
  <c r="CD526"/>
  <c r="CC526"/>
  <c r="CB526"/>
  <c r="CA526"/>
  <c r="BZ526"/>
  <c r="BY526"/>
  <c r="BX526"/>
  <c r="BW526"/>
  <c r="BV526"/>
  <c r="BU526"/>
  <c r="BT526"/>
  <c r="BS526"/>
  <c r="BR526"/>
  <c r="BQ526"/>
  <c r="BP526"/>
  <c r="BO526"/>
  <c r="BN526"/>
  <c r="DU525"/>
  <c r="DT525"/>
  <c r="DS525"/>
  <c r="DR525"/>
  <c r="DQ525"/>
  <c r="DP525"/>
  <c r="DO525"/>
  <c r="DN525"/>
  <c r="DM525"/>
  <c r="DL525"/>
  <c r="DK525"/>
  <c r="DJ525"/>
  <c r="DI525"/>
  <c r="DH525"/>
  <c r="DG525"/>
  <c r="DF525"/>
  <c r="DE525"/>
  <c r="DD525"/>
  <c r="DC525"/>
  <c r="DB525"/>
  <c r="DA525"/>
  <c r="CZ525"/>
  <c r="CY525"/>
  <c r="CX525"/>
  <c r="CW525"/>
  <c r="CV525"/>
  <c r="CU525"/>
  <c r="CT525"/>
  <c r="CS525"/>
  <c r="CR525"/>
  <c r="CQ525"/>
  <c r="CP525"/>
  <c r="CO525"/>
  <c r="CN525"/>
  <c r="CM525"/>
  <c r="CL525"/>
  <c r="CK525"/>
  <c r="CJ525"/>
  <c r="CI525"/>
  <c r="CH525"/>
  <c r="CG525"/>
  <c r="CF525"/>
  <c r="CE525"/>
  <c r="CD525"/>
  <c r="CC525"/>
  <c r="CB525"/>
  <c r="CA525"/>
  <c r="BZ525"/>
  <c r="BY525"/>
  <c r="BX525"/>
  <c r="BW525"/>
  <c r="BV525"/>
  <c r="BU525"/>
  <c r="BT525"/>
  <c r="BS525"/>
  <c r="BR525"/>
  <c r="BQ525"/>
  <c r="BP525"/>
  <c r="BO525"/>
  <c r="BN525"/>
  <c r="DU524"/>
  <c r="DT524"/>
  <c r="DS524"/>
  <c r="DR524"/>
  <c r="DQ524"/>
  <c r="DP524"/>
  <c r="DO524"/>
  <c r="DN524"/>
  <c r="DM524"/>
  <c r="DL524"/>
  <c r="DK524"/>
  <c r="DJ524"/>
  <c r="DI524"/>
  <c r="DH524"/>
  <c r="DG524"/>
  <c r="DF524"/>
  <c r="DE524"/>
  <c r="DD524"/>
  <c r="DC524"/>
  <c r="DB524"/>
  <c r="DA524"/>
  <c r="CZ524"/>
  <c r="CY524"/>
  <c r="CX524"/>
  <c r="CW524"/>
  <c r="CV524"/>
  <c r="CU524"/>
  <c r="CT524"/>
  <c r="CS524"/>
  <c r="CR524"/>
  <c r="CQ524"/>
  <c r="CP524"/>
  <c r="CO524"/>
  <c r="CN524"/>
  <c r="CM524"/>
  <c r="CL524"/>
  <c r="CK524"/>
  <c r="CJ524"/>
  <c r="CI524"/>
  <c r="CH524"/>
  <c r="CG524"/>
  <c r="CF524"/>
  <c r="CE524"/>
  <c r="CD524"/>
  <c r="CC524"/>
  <c r="CB524"/>
  <c r="CA524"/>
  <c r="BZ524"/>
  <c r="BY524"/>
  <c r="BX524"/>
  <c r="BW524"/>
  <c r="BV524"/>
  <c r="BU524"/>
  <c r="BT524"/>
  <c r="BS524"/>
  <c r="BR524"/>
  <c r="BQ524"/>
  <c r="BP524"/>
  <c r="BO524"/>
  <c r="BN524"/>
  <c r="DU523"/>
  <c r="DT523"/>
  <c r="DS523"/>
  <c r="DR523"/>
  <c r="DQ523"/>
  <c r="DP523"/>
  <c r="DO523"/>
  <c r="DN523"/>
  <c r="DM523"/>
  <c r="DL523"/>
  <c r="DK523"/>
  <c r="DJ523"/>
  <c r="DI523"/>
  <c r="DH523"/>
  <c r="DG523"/>
  <c r="DF523"/>
  <c r="DE523"/>
  <c r="DD523"/>
  <c r="DC523"/>
  <c r="DB523"/>
  <c r="DA523"/>
  <c r="CZ523"/>
  <c r="CY523"/>
  <c r="CX523"/>
  <c r="CW523"/>
  <c r="CV523"/>
  <c r="CU523"/>
  <c r="CT523"/>
  <c r="CS523"/>
  <c r="CR523"/>
  <c r="CQ523"/>
  <c r="CP523"/>
  <c r="CO523"/>
  <c r="CN523"/>
  <c r="CM523"/>
  <c r="CL523"/>
  <c r="CK523"/>
  <c r="CJ523"/>
  <c r="CI523"/>
  <c r="CH523"/>
  <c r="CG523"/>
  <c r="CF523"/>
  <c r="CE523"/>
  <c r="CD523"/>
  <c r="CC523"/>
  <c r="CB523"/>
  <c r="CA523"/>
  <c r="BZ523"/>
  <c r="BY523"/>
  <c r="BX523"/>
  <c r="BW523"/>
  <c r="BV523"/>
  <c r="BU523"/>
  <c r="BT523"/>
  <c r="BS523"/>
  <c r="BR523"/>
  <c r="BQ523"/>
  <c r="BP523"/>
  <c r="BO523"/>
  <c r="BN523"/>
  <c r="DU522"/>
  <c r="DT522"/>
  <c r="DS522"/>
  <c r="DR522"/>
  <c r="DQ522"/>
  <c r="DP522"/>
  <c r="DO522"/>
  <c r="DN522"/>
  <c r="DM522"/>
  <c r="DL522"/>
  <c r="DK522"/>
  <c r="DJ522"/>
  <c r="DI522"/>
  <c r="DH522"/>
  <c r="DG522"/>
  <c r="DF522"/>
  <c r="DE522"/>
  <c r="DD522"/>
  <c r="DC522"/>
  <c r="DB522"/>
  <c r="DA522"/>
  <c r="CZ522"/>
  <c r="CY522"/>
  <c r="CX522"/>
  <c r="CW522"/>
  <c r="CV522"/>
  <c r="CU522"/>
  <c r="CT522"/>
  <c r="CS522"/>
  <c r="CR522"/>
  <c r="CQ522"/>
  <c r="CP522"/>
  <c r="CO522"/>
  <c r="CN522"/>
  <c r="CM522"/>
  <c r="CL522"/>
  <c r="CK522"/>
  <c r="CJ522"/>
  <c r="CI522"/>
  <c r="CH522"/>
  <c r="CG522"/>
  <c r="CF522"/>
  <c r="CE522"/>
  <c r="CD522"/>
  <c r="CC522"/>
  <c r="CB522"/>
  <c r="CA522"/>
  <c r="BZ522"/>
  <c r="BY522"/>
  <c r="BX522"/>
  <c r="BW522"/>
  <c r="BV522"/>
  <c r="BU522"/>
  <c r="BT522"/>
  <c r="BS522"/>
  <c r="BR522"/>
  <c r="BQ522"/>
  <c r="BP522"/>
  <c r="BO522"/>
  <c r="BN522"/>
  <c r="DU521"/>
  <c r="DT521"/>
  <c r="DS521"/>
  <c r="DR521"/>
  <c r="DQ521"/>
  <c r="DP521"/>
  <c r="DO521"/>
  <c r="DN521"/>
  <c r="DM521"/>
  <c r="DL521"/>
  <c r="DK521"/>
  <c r="DJ521"/>
  <c r="DI521"/>
  <c r="DH521"/>
  <c r="DG521"/>
  <c r="DF521"/>
  <c r="DE521"/>
  <c r="DD521"/>
  <c r="DC521"/>
  <c r="DB521"/>
  <c r="DA521"/>
  <c r="CZ521"/>
  <c r="CY521"/>
  <c r="CX521"/>
  <c r="CW521"/>
  <c r="CV521"/>
  <c r="CU521"/>
  <c r="CT521"/>
  <c r="CS521"/>
  <c r="CR521"/>
  <c r="CQ521"/>
  <c r="CP521"/>
  <c r="CO521"/>
  <c r="CN521"/>
  <c r="CM521"/>
  <c r="CL521"/>
  <c r="CK521"/>
  <c r="CJ521"/>
  <c r="CI521"/>
  <c r="CH521"/>
  <c r="CG521"/>
  <c r="CF521"/>
  <c r="CE521"/>
  <c r="CD521"/>
  <c r="CC521"/>
  <c r="CB521"/>
  <c r="CA521"/>
  <c r="BZ521"/>
  <c r="BY521"/>
  <c r="BX521"/>
  <c r="BW521"/>
  <c r="BV521"/>
  <c r="BU521"/>
  <c r="BT521"/>
  <c r="BS521"/>
  <c r="BR521"/>
  <c r="BQ521"/>
  <c r="BP521"/>
  <c r="BO521"/>
  <c r="BN521"/>
  <c r="DU520"/>
  <c r="DT520"/>
  <c r="DS520"/>
  <c r="DR520"/>
  <c r="DQ520"/>
  <c r="DP520"/>
  <c r="DO520"/>
  <c r="DN520"/>
  <c r="DM520"/>
  <c r="DL520"/>
  <c r="DK520"/>
  <c r="DJ520"/>
  <c r="DI520"/>
  <c r="DH520"/>
  <c r="DG520"/>
  <c r="DF520"/>
  <c r="DE520"/>
  <c r="DD520"/>
  <c r="DC520"/>
  <c r="DB520"/>
  <c r="DA520"/>
  <c r="CZ520"/>
  <c r="CY520"/>
  <c r="CX520"/>
  <c r="CW520"/>
  <c r="CV520"/>
  <c r="CU520"/>
  <c r="CT520"/>
  <c r="CS520"/>
  <c r="CR520"/>
  <c r="CQ520"/>
  <c r="CP520"/>
  <c r="CO520"/>
  <c r="CN520"/>
  <c r="CM520"/>
  <c r="CL520"/>
  <c r="CK520"/>
  <c r="CJ520"/>
  <c r="CI520"/>
  <c r="CH520"/>
  <c r="CG520"/>
  <c r="CF520"/>
  <c r="CE520"/>
  <c r="CD520"/>
  <c r="CC520"/>
  <c r="CB520"/>
  <c r="CA520"/>
  <c r="BZ520"/>
  <c r="BY520"/>
  <c r="BX520"/>
  <c r="BW520"/>
  <c r="BV520"/>
  <c r="BU520"/>
  <c r="BT520"/>
  <c r="BS520"/>
  <c r="BR520"/>
  <c r="BQ520"/>
  <c r="BP520"/>
  <c r="BO520"/>
  <c r="BN520"/>
  <c r="DU519"/>
  <c r="DT519"/>
  <c r="DS519"/>
  <c r="DR519"/>
  <c r="DQ519"/>
  <c r="DP519"/>
  <c r="DO519"/>
  <c r="DN519"/>
  <c r="DM519"/>
  <c r="DL519"/>
  <c r="DK519"/>
  <c r="DJ519"/>
  <c r="DI519"/>
  <c r="DH519"/>
  <c r="DG519"/>
  <c r="DF519"/>
  <c r="DE519"/>
  <c r="DD519"/>
  <c r="DC519"/>
  <c r="DB519"/>
  <c r="DA519"/>
  <c r="CZ519"/>
  <c r="CY519"/>
  <c r="CX519"/>
  <c r="CW519"/>
  <c r="CV519"/>
  <c r="CU519"/>
  <c r="CT519"/>
  <c r="CS519"/>
  <c r="CR519"/>
  <c r="CQ519"/>
  <c r="CP519"/>
  <c r="CO519"/>
  <c r="CN519"/>
  <c r="CM519"/>
  <c r="CL519"/>
  <c r="CK519"/>
  <c r="CJ519"/>
  <c r="CI519"/>
  <c r="CH519"/>
  <c r="CG519"/>
  <c r="CF519"/>
  <c r="CE519"/>
  <c r="CD519"/>
  <c r="CC519"/>
  <c r="CB519"/>
  <c r="CA519"/>
  <c r="BZ519"/>
  <c r="BY519"/>
  <c r="BX519"/>
  <c r="BW519"/>
  <c r="BV519"/>
  <c r="BU519"/>
  <c r="BT519"/>
  <c r="BS519"/>
  <c r="BR519"/>
  <c r="BQ519"/>
  <c r="BP519"/>
  <c r="BO519"/>
  <c r="BN519"/>
  <c r="DU518"/>
  <c r="DT518"/>
  <c r="DS518"/>
  <c r="DR518"/>
  <c r="DQ518"/>
  <c r="DP518"/>
  <c r="DO518"/>
  <c r="DN518"/>
  <c r="DM518"/>
  <c r="DL518"/>
  <c r="DK518"/>
  <c r="DJ518"/>
  <c r="DI518"/>
  <c r="DH518"/>
  <c r="DG518"/>
  <c r="DF518"/>
  <c r="DE518"/>
  <c r="DD518"/>
  <c r="DC518"/>
  <c r="DB518"/>
  <c r="DA518"/>
  <c r="CZ518"/>
  <c r="CY518"/>
  <c r="CX518"/>
  <c r="CW518"/>
  <c r="CV518"/>
  <c r="CU518"/>
  <c r="CT518"/>
  <c r="CS518"/>
  <c r="CR518"/>
  <c r="CQ518"/>
  <c r="CP518"/>
  <c r="CO518"/>
  <c r="CN518"/>
  <c r="CM518"/>
  <c r="CL518"/>
  <c r="CK518"/>
  <c r="CJ518"/>
  <c r="CI518"/>
  <c r="CH518"/>
  <c r="CG518"/>
  <c r="CF518"/>
  <c r="CE518"/>
  <c r="CD518"/>
  <c r="CC518"/>
  <c r="CB518"/>
  <c r="CA518"/>
  <c r="BZ518"/>
  <c r="BY518"/>
  <c r="BX518"/>
  <c r="BW518"/>
  <c r="BV518"/>
  <c r="BU518"/>
  <c r="BT518"/>
  <c r="BS518"/>
  <c r="BR518"/>
  <c r="BQ518"/>
  <c r="BP518"/>
  <c r="BO518"/>
  <c r="BN518"/>
  <c r="DU517"/>
  <c r="DT517"/>
  <c r="DS517"/>
  <c r="DR517"/>
  <c r="DQ517"/>
  <c r="DP517"/>
  <c r="DO517"/>
  <c r="DN517"/>
  <c r="DM517"/>
  <c r="DL517"/>
  <c r="DK517"/>
  <c r="DJ517"/>
  <c r="DI517"/>
  <c r="DH517"/>
  <c r="DG517"/>
  <c r="DF517"/>
  <c r="DE517"/>
  <c r="DD517"/>
  <c r="DC517"/>
  <c r="DB517"/>
  <c r="DA517"/>
  <c r="CZ517"/>
  <c r="CY517"/>
  <c r="CX517"/>
  <c r="CW517"/>
  <c r="CV517"/>
  <c r="CU517"/>
  <c r="CT517"/>
  <c r="CS517"/>
  <c r="CR517"/>
  <c r="CQ517"/>
  <c r="CP517"/>
  <c r="CO517"/>
  <c r="CN517"/>
  <c r="CM517"/>
  <c r="CL517"/>
  <c r="CK517"/>
  <c r="CJ517"/>
  <c r="CI517"/>
  <c r="CH517"/>
  <c r="CG517"/>
  <c r="CF517"/>
  <c r="CE517"/>
  <c r="CD517"/>
  <c r="CC517"/>
  <c r="CB517"/>
  <c r="CA517"/>
  <c r="BZ517"/>
  <c r="BY517"/>
  <c r="BX517"/>
  <c r="BW517"/>
  <c r="BV517"/>
  <c r="BU517"/>
  <c r="BT517"/>
  <c r="BS517"/>
  <c r="BR517"/>
  <c r="BQ517"/>
  <c r="BP517"/>
  <c r="BO517"/>
  <c r="BN517"/>
  <c r="DU516"/>
  <c r="DT516"/>
  <c r="DS516"/>
  <c r="DR516"/>
  <c r="DQ516"/>
  <c r="DP516"/>
  <c r="DO516"/>
  <c r="DN516"/>
  <c r="DM516"/>
  <c r="DL516"/>
  <c r="DK516"/>
  <c r="DJ516"/>
  <c r="DI516"/>
  <c r="DH516"/>
  <c r="DG516"/>
  <c r="DF516"/>
  <c r="DE516"/>
  <c r="DD516"/>
  <c r="DC516"/>
  <c r="DB516"/>
  <c r="DA516"/>
  <c r="CZ516"/>
  <c r="CY516"/>
  <c r="CX516"/>
  <c r="CW516"/>
  <c r="CV516"/>
  <c r="CU516"/>
  <c r="CT516"/>
  <c r="CS516"/>
  <c r="CR516"/>
  <c r="CQ516"/>
  <c r="CP516"/>
  <c r="CO516"/>
  <c r="CN516"/>
  <c r="CM516"/>
  <c r="CL516"/>
  <c r="CK516"/>
  <c r="CJ516"/>
  <c r="CI516"/>
  <c r="CH516"/>
  <c r="CG516"/>
  <c r="CF516"/>
  <c r="CE516"/>
  <c r="CD516"/>
  <c r="CC516"/>
  <c r="CB516"/>
  <c r="CA516"/>
  <c r="BZ516"/>
  <c r="BY516"/>
  <c r="BX516"/>
  <c r="BW516"/>
  <c r="BV516"/>
  <c r="BU516"/>
  <c r="BT516"/>
  <c r="BS516"/>
  <c r="BR516"/>
  <c r="BQ516"/>
  <c r="BP516"/>
  <c r="BO516"/>
  <c r="BN516"/>
  <c r="DU515"/>
  <c r="DT515"/>
  <c r="DS515"/>
  <c r="DR515"/>
  <c r="DQ515"/>
  <c r="DP515"/>
  <c r="DO515"/>
  <c r="DN515"/>
  <c r="DM515"/>
  <c r="DL515"/>
  <c r="DK515"/>
  <c r="DJ515"/>
  <c r="DI515"/>
  <c r="DH515"/>
  <c r="DG515"/>
  <c r="DF515"/>
  <c r="DE515"/>
  <c r="DD515"/>
  <c r="DC515"/>
  <c r="DB515"/>
  <c r="DA515"/>
  <c r="CZ515"/>
  <c r="CY515"/>
  <c r="CX515"/>
  <c r="CW515"/>
  <c r="CV515"/>
  <c r="CU515"/>
  <c r="CT515"/>
  <c r="CS515"/>
  <c r="CR515"/>
  <c r="CQ515"/>
  <c r="CP515"/>
  <c r="CO515"/>
  <c r="CN515"/>
  <c r="CM515"/>
  <c r="CL515"/>
  <c r="CK515"/>
  <c r="CJ515"/>
  <c r="CI515"/>
  <c r="CH515"/>
  <c r="CG515"/>
  <c r="CF515"/>
  <c r="CE515"/>
  <c r="CD515"/>
  <c r="CC515"/>
  <c r="CB515"/>
  <c r="CA515"/>
  <c r="BZ515"/>
  <c r="BY515"/>
  <c r="BX515"/>
  <c r="BW515"/>
  <c r="BV515"/>
  <c r="BU515"/>
  <c r="BT515"/>
  <c r="BS515"/>
  <c r="BR515"/>
  <c r="BQ515"/>
  <c r="BP515"/>
  <c r="BO515"/>
  <c r="BN515"/>
  <c r="DU514"/>
  <c r="DT514"/>
  <c r="DS514"/>
  <c r="DR514"/>
  <c r="DQ514"/>
  <c r="DP514"/>
  <c r="DO514"/>
  <c r="DN514"/>
  <c r="DM514"/>
  <c r="DL514"/>
  <c r="DK514"/>
  <c r="DJ514"/>
  <c r="DI514"/>
  <c r="DH514"/>
  <c r="DG514"/>
  <c r="DF514"/>
  <c r="DE514"/>
  <c r="DD514"/>
  <c r="DC514"/>
  <c r="DB514"/>
  <c r="DA514"/>
  <c r="CZ514"/>
  <c r="CY514"/>
  <c r="CX514"/>
  <c r="CW514"/>
  <c r="CV514"/>
  <c r="CU514"/>
  <c r="CT514"/>
  <c r="CS514"/>
  <c r="CR514"/>
  <c r="CQ514"/>
  <c r="CP514"/>
  <c r="CO514"/>
  <c r="CN514"/>
  <c r="CM514"/>
  <c r="CL514"/>
  <c r="CK514"/>
  <c r="CJ514"/>
  <c r="CI514"/>
  <c r="CH514"/>
  <c r="CG514"/>
  <c r="CF514"/>
  <c r="CE514"/>
  <c r="CD514"/>
  <c r="CC514"/>
  <c r="CB514"/>
  <c r="CA514"/>
  <c r="BZ514"/>
  <c r="BY514"/>
  <c r="BX514"/>
  <c r="BW514"/>
  <c r="BV514"/>
  <c r="BU514"/>
  <c r="BT514"/>
  <c r="BS514"/>
  <c r="BR514"/>
  <c r="BQ514"/>
  <c r="BP514"/>
  <c r="BO514"/>
  <c r="BN514"/>
  <c r="DU513"/>
  <c r="DT513"/>
  <c r="DS513"/>
  <c r="DR513"/>
  <c r="DQ513"/>
  <c r="DP513"/>
  <c r="DO513"/>
  <c r="DN513"/>
  <c r="DM513"/>
  <c r="DL513"/>
  <c r="DK513"/>
  <c r="DJ513"/>
  <c r="DI513"/>
  <c r="DH513"/>
  <c r="DG513"/>
  <c r="DF513"/>
  <c r="DE513"/>
  <c r="DD513"/>
  <c r="DC513"/>
  <c r="DB513"/>
  <c r="DA513"/>
  <c r="CZ513"/>
  <c r="CY513"/>
  <c r="CX513"/>
  <c r="CW513"/>
  <c r="CV513"/>
  <c r="CU513"/>
  <c r="CT513"/>
  <c r="CS513"/>
  <c r="CR513"/>
  <c r="CQ513"/>
  <c r="CP513"/>
  <c r="CO513"/>
  <c r="CN513"/>
  <c r="CM513"/>
  <c r="CL513"/>
  <c r="CK513"/>
  <c r="CJ513"/>
  <c r="CI513"/>
  <c r="CH513"/>
  <c r="CG513"/>
  <c r="CF513"/>
  <c r="CE513"/>
  <c r="CD513"/>
  <c r="CC513"/>
  <c r="CB513"/>
  <c r="CA513"/>
  <c r="BZ513"/>
  <c r="BY513"/>
  <c r="BX513"/>
  <c r="BW513"/>
  <c r="BV513"/>
  <c r="BU513"/>
  <c r="BT513"/>
  <c r="BS513"/>
  <c r="BR513"/>
  <c r="BQ513"/>
  <c r="BP513"/>
  <c r="BO513"/>
  <c r="BN513"/>
  <c r="DU512"/>
  <c r="DT512"/>
  <c r="DS512"/>
  <c r="DR512"/>
  <c r="DQ512"/>
  <c r="DP512"/>
  <c r="DO512"/>
  <c r="DN512"/>
  <c r="DM512"/>
  <c r="DL512"/>
  <c r="DK512"/>
  <c r="DJ512"/>
  <c r="DI512"/>
  <c r="DH512"/>
  <c r="DG512"/>
  <c r="DF512"/>
  <c r="DE512"/>
  <c r="DD512"/>
  <c r="DC512"/>
  <c r="DB512"/>
  <c r="DA512"/>
  <c r="CZ512"/>
  <c r="CY512"/>
  <c r="CX512"/>
  <c r="CW512"/>
  <c r="CV512"/>
  <c r="CU512"/>
  <c r="CT512"/>
  <c r="CS512"/>
  <c r="CR512"/>
  <c r="CQ512"/>
  <c r="CP512"/>
  <c r="CO512"/>
  <c r="CN512"/>
  <c r="CM512"/>
  <c r="CL512"/>
  <c r="CK512"/>
  <c r="CJ512"/>
  <c r="CI512"/>
  <c r="CH512"/>
  <c r="CG512"/>
  <c r="CF512"/>
  <c r="CE512"/>
  <c r="CD512"/>
  <c r="CC512"/>
  <c r="CB512"/>
  <c r="CA512"/>
  <c r="BZ512"/>
  <c r="BY512"/>
  <c r="BX512"/>
  <c r="BW512"/>
  <c r="BV512"/>
  <c r="BU512"/>
  <c r="BT512"/>
  <c r="BS512"/>
  <c r="BR512"/>
  <c r="BQ512"/>
  <c r="BP512"/>
  <c r="BO512"/>
  <c r="BN512"/>
  <c r="DU511"/>
  <c r="DT511"/>
  <c r="DS511"/>
  <c r="DR511"/>
  <c r="DQ511"/>
  <c r="DP511"/>
  <c r="DO511"/>
  <c r="DN511"/>
  <c r="DM511"/>
  <c r="DL511"/>
  <c r="DK511"/>
  <c r="DJ511"/>
  <c r="DI511"/>
  <c r="DH511"/>
  <c r="DG511"/>
  <c r="DF511"/>
  <c r="DE511"/>
  <c r="DD511"/>
  <c r="DC511"/>
  <c r="DB511"/>
  <c r="DA511"/>
  <c r="CZ511"/>
  <c r="CY511"/>
  <c r="CX511"/>
  <c r="CW511"/>
  <c r="CV511"/>
  <c r="CU511"/>
  <c r="CT511"/>
  <c r="CS511"/>
  <c r="CR511"/>
  <c r="CQ511"/>
  <c r="CP511"/>
  <c r="CO511"/>
  <c r="CN511"/>
  <c r="CM511"/>
  <c r="CL511"/>
  <c r="CK511"/>
  <c r="CJ511"/>
  <c r="CI511"/>
  <c r="CH511"/>
  <c r="CG511"/>
  <c r="CF511"/>
  <c r="CE511"/>
  <c r="CD511"/>
  <c r="CC511"/>
  <c r="CB511"/>
  <c r="CA511"/>
  <c r="BZ511"/>
  <c r="BY511"/>
  <c r="BX511"/>
  <c r="BW511"/>
  <c r="BV511"/>
  <c r="BU511"/>
  <c r="BT511"/>
  <c r="BS511"/>
  <c r="BR511"/>
  <c r="BQ511"/>
  <c r="BP511"/>
  <c r="BO511"/>
  <c r="BN511"/>
  <c r="DU510"/>
  <c r="DT510"/>
  <c r="DS510"/>
  <c r="DR510"/>
  <c r="DQ510"/>
  <c r="DP510"/>
  <c r="DO510"/>
  <c r="DN510"/>
  <c r="DM510"/>
  <c r="DL510"/>
  <c r="DK510"/>
  <c r="DJ510"/>
  <c r="DI510"/>
  <c r="DH510"/>
  <c r="DG510"/>
  <c r="DF510"/>
  <c r="DE510"/>
  <c r="DD510"/>
  <c r="DC510"/>
  <c r="DB510"/>
  <c r="DA510"/>
  <c r="CZ510"/>
  <c r="CY510"/>
  <c r="CX510"/>
  <c r="CW510"/>
  <c r="CV510"/>
  <c r="CU510"/>
  <c r="CT510"/>
  <c r="CS510"/>
  <c r="CR510"/>
  <c r="CQ510"/>
  <c r="CP510"/>
  <c r="CO510"/>
  <c r="CN510"/>
  <c r="CM510"/>
  <c r="CL510"/>
  <c r="CK510"/>
  <c r="CJ510"/>
  <c r="CI510"/>
  <c r="CH510"/>
  <c r="CG510"/>
  <c r="CF510"/>
  <c r="CE510"/>
  <c r="CD510"/>
  <c r="CC510"/>
  <c r="CB510"/>
  <c r="CA510"/>
  <c r="BZ510"/>
  <c r="BY510"/>
  <c r="BX510"/>
  <c r="BW510"/>
  <c r="BV510"/>
  <c r="BU510"/>
  <c r="BT510"/>
  <c r="BS510"/>
  <c r="BR510"/>
  <c r="BQ510"/>
  <c r="BP510"/>
  <c r="BO510"/>
  <c r="BN510"/>
  <c r="DU509"/>
  <c r="DT509"/>
  <c r="DS509"/>
  <c r="DR509"/>
  <c r="DQ509"/>
  <c r="DP509"/>
  <c r="DO509"/>
  <c r="DN509"/>
  <c r="DM509"/>
  <c r="DL509"/>
  <c r="DK509"/>
  <c r="DJ509"/>
  <c r="DI509"/>
  <c r="DH509"/>
  <c r="DG509"/>
  <c r="DF509"/>
  <c r="DE509"/>
  <c r="DD509"/>
  <c r="DC509"/>
  <c r="DB509"/>
  <c r="DA509"/>
  <c r="CZ509"/>
  <c r="CY509"/>
  <c r="CX509"/>
  <c r="CW509"/>
  <c r="CV509"/>
  <c r="CU509"/>
  <c r="CT509"/>
  <c r="CS509"/>
  <c r="CR509"/>
  <c r="CQ509"/>
  <c r="CP509"/>
  <c r="CO509"/>
  <c r="CN509"/>
  <c r="CM509"/>
  <c r="CL509"/>
  <c r="CK509"/>
  <c r="CJ509"/>
  <c r="CI509"/>
  <c r="CH509"/>
  <c r="CG509"/>
  <c r="CF509"/>
  <c r="CE509"/>
  <c r="CD509"/>
  <c r="CC509"/>
  <c r="CB509"/>
  <c r="CA509"/>
  <c r="BZ509"/>
  <c r="BY509"/>
  <c r="BX509"/>
  <c r="BW509"/>
  <c r="BV509"/>
  <c r="BU509"/>
  <c r="BT509"/>
  <c r="BS509"/>
  <c r="BR509"/>
  <c r="BQ509"/>
  <c r="BP509"/>
  <c r="BO509"/>
  <c r="BN509"/>
  <c r="DU508"/>
  <c r="DT508"/>
  <c r="DS508"/>
  <c r="DR508"/>
  <c r="DQ508"/>
  <c r="DP508"/>
  <c r="DO508"/>
  <c r="DN508"/>
  <c r="DM508"/>
  <c r="DL508"/>
  <c r="DK508"/>
  <c r="DJ508"/>
  <c r="DI508"/>
  <c r="DH508"/>
  <c r="DG508"/>
  <c r="DF508"/>
  <c r="DE508"/>
  <c r="DD508"/>
  <c r="DC508"/>
  <c r="DB508"/>
  <c r="DA508"/>
  <c r="CZ508"/>
  <c r="CY508"/>
  <c r="CX508"/>
  <c r="CW508"/>
  <c r="CV508"/>
  <c r="CU508"/>
  <c r="CT508"/>
  <c r="CS508"/>
  <c r="CR508"/>
  <c r="CQ508"/>
  <c r="CP508"/>
  <c r="CO508"/>
  <c r="CN508"/>
  <c r="CM508"/>
  <c r="CL508"/>
  <c r="CK508"/>
  <c r="CJ508"/>
  <c r="CI508"/>
  <c r="CH508"/>
  <c r="CG508"/>
  <c r="CF508"/>
  <c r="CE508"/>
  <c r="CD508"/>
  <c r="CC508"/>
  <c r="CB508"/>
  <c r="CA508"/>
  <c r="BZ508"/>
  <c r="BY508"/>
  <c r="BX508"/>
  <c r="BW508"/>
  <c r="BV508"/>
  <c r="BU508"/>
  <c r="BT508"/>
  <c r="BS508"/>
  <c r="BR508"/>
  <c r="BQ508"/>
  <c r="BP508"/>
  <c r="BO508"/>
  <c r="BN508"/>
  <c r="DU507"/>
  <c r="DT507"/>
  <c r="DS507"/>
  <c r="DR507"/>
  <c r="DQ507"/>
  <c r="DP507"/>
  <c r="DO507"/>
  <c r="DN507"/>
  <c r="DM507"/>
  <c r="DL507"/>
  <c r="DK507"/>
  <c r="DJ507"/>
  <c r="DI507"/>
  <c r="DH507"/>
  <c r="DG507"/>
  <c r="DF507"/>
  <c r="DE507"/>
  <c r="DD507"/>
  <c r="DC507"/>
  <c r="DB507"/>
  <c r="DA507"/>
  <c r="CZ507"/>
  <c r="CY507"/>
  <c r="CX507"/>
  <c r="CW507"/>
  <c r="CV507"/>
  <c r="CU507"/>
  <c r="CT507"/>
  <c r="CS507"/>
  <c r="CR507"/>
  <c r="CQ507"/>
  <c r="CP507"/>
  <c r="CO507"/>
  <c r="CN507"/>
  <c r="CM507"/>
  <c r="CL507"/>
  <c r="CK507"/>
  <c r="CJ507"/>
  <c r="CI507"/>
  <c r="CH507"/>
  <c r="CG507"/>
  <c r="CF507"/>
  <c r="CE507"/>
  <c r="CD507"/>
  <c r="CC507"/>
  <c r="CB507"/>
  <c r="CA507"/>
  <c r="BZ507"/>
  <c r="BY507"/>
  <c r="BX507"/>
  <c r="BW507"/>
  <c r="BV507"/>
  <c r="BU507"/>
  <c r="BT507"/>
  <c r="BS507"/>
  <c r="BR507"/>
  <c r="BQ507"/>
  <c r="BP507"/>
  <c r="BO507"/>
  <c r="BN507"/>
  <c r="DU506"/>
  <c r="DT506"/>
  <c r="DS506"/>
  <c r="DR506"/>
  <c r="DQ506"/>
  <c r="DP506"/>
  <c r="DO506"/>
  <c r="DN506"/>
  <c r="DM506"/>
  <c r="DL506"/>
  <c r="DK506"/>
  <c r="DJ506"/>
  <c r="DI506"/>
  <c r="DH506"/>
  <c r="DG506"/>
  <c r="DF506"/>
  <c r="DE506"/>
  <c r="DD506"/>
  <c r="DC506"/>
  <c r="DB506"/>
  <c r="DA506"/>
  <c r="CZ506"/>
  <c r="CY506"/>
  <c r="CX506"/>
  <c r="CW506"/>
  <c r="CV506"/>
  <c r="CU506"/>
  <c r="CT506"/>
  <c r="CS506"/>
  <c r="CR506"/>
  <c r="CQ506"/>
  <c r="CP506"/>
  <c r="CO506"/>
  <c r="CN506"/>
  <c r="CM506"/>
  <c r="CL506"/>
  <c r="CK506"/>
  <c r="CJ506"/>
  <c r="CI506"/>
  <c r="CH506"/>
  <c r="CG506"/>
  <c r="CF506"/>
  <c r="CE506"/>
  <c r="CD506"/>
  <c r="CC506"/>
  <c r="CB506"/>
  <c r="CA506"/>
  <c r="BZ506"/>
  <c r="BY506"/>
  <c r="BX506"/>
  <c r="BW506"/>
  <c r="BV506"/>
  <c r="BU506"/>
  <c r="BT506"/>
  <c r="BS506"/>
  <c r="BR506"/>
  <c r="BQ506"/>
  <c r="BP506"/>
  <c r="BO506"/>
  <c r="BN506"/>
  <c r="DU505"/>
  <c r="DT505"/>
  <c r="DS505"/>
  <c r="DR505"/>
  <c r="DQ505"/>
  <c r="DP505"/>
  <c r="DO505"/>
  <c r="DN505"/>
  <c r="DM505"/>
  <c r="DL505"/>
  <c r="DK505"/>
  <c r="DJ505"/>
  <c r="DI505"/>
  <c r="DH505"/>
  <c r="DG505"/>
  <c r="DF505"/>
  <c r="DE505"/>
  <c r="DD505"/>
  <c r="DC505"/>
  <c r="DB505"/>
  <c r="DA505"/>
  <c r="CZ505"/>
  <c r="CY505"/>
  <c r="CX505"/>
  <c r="CW505"/>
  <c r="CV505"/>
  <c r="CU505"/>
  <c r="CT505"/>
  <c r="CS505"/>
  <c r="CR505"/>
  <c r="CQ505"/>
  <c r="CP505"/>
  <c r="CO505"/>
  <c r="CN505"/>
  <c r="CM505"/>
  <c r="CL505"/>
  <c r="CK505"/>
  <c r="CJ505"/>
  <c r="CI505"/>
  <c r="CH505"/>
  <c r="CG505"/>
  <c r="CF505"/>
  <c r="CE505"/>
  <c r="CD505"/>
  <c r="CC505"/>
  <c r="CB505"/>
  <c r="CA505"/>
  <c r="BZ505"/>
  <c r="BY505"/>
  <c r="BX505"/>
  <c r="BW505"/>
  <c r="BV505"/>
  <c r="BU505"/>
  <c r="BT505"/>
  <c r="BS505"/>
  <c r="BR505"/>
  <c r="BQ505"/>
  <c r="BP505"/>
  <c r="BO505"/>
  <c r="BN505"/>
  <c r="DU504"/>
  <c r="DT504"/>
  <c r="DS504"/>
  <c r="DR504"/>
  <c r="DQ504"/>
  <c r="DP504"/>
  <c r="DO504"/>
  <c r="DN504"/>
  <c r="DM504"/>
  <c r="DL504"/>
  <c r="DK504"/>
  <c r="DJ504"/>
  <c r="DI504"/>
  <c r="DH504"/>
  <c r="DG504"/>
  <c r="DF504"/>
  <c r="DE504"/>
  <c r="DD504"/>
  <c r="DC504"/>
  <c r="DB504"/>
  <c r="DA504"/>
  <c r="CZ504"/>
  <c r="CY504"/>
  <c r="CX504"/>
  <c r="CW504"/>
  <c r="CV504"/>
  <c r="CU504"/>
  <c r="CT504"/>
  <c r="CS504"/>
  <c r="CR504"/>
  <c r="CQ504"/>
  <c r="CP504"/>
  <c r="CO504"/>
  <c r="CN504"/>
  <c r="CM504"/>
  <c r="CL504"/>
  <c r="CK504"/>
  <c r="CJ504"/>
  <c r="CI504"/>
  <c r="CH504"/>
  <c r="CG504"/>
  <c r="CF504"/>
  <c r="CE504"/>
  <c r="CD504"/>
  <c r="CC504"/>
  <c r="CB504"/>
  <c r="CA504"/>
  <c r="BZ504"/>
  <c r="BY504"/>
  <c r="BX504"/>
  <c r="BW504"/>
  <c r="BV504"/>
  <c r="BU504"/>
  <c r="BT504"/>
  <c r="BS504"/>
  <c r="BR504"/>
  <c r="BQ504"/>
  <c r="BP504"/>
  <c r="BO504"/>
  <c r="BN504"/>
  <c r="DU503"/>
  <c r="DT503"/>
  <c r="DS503"/>
  <c r="DR503"/>
  <c r="DQ503"/>
  <c r="DP503"/>
  <c r="DO503"/>
  <c r="DN503"/>
  <c r="DM503"/>
  <c r="DL503"/>
  <c r="DK503"/>
  <c r="DJ503"/>
  <c r="DI503"/>
  <c r="DH503"/>
  <c r="DG503"/>
  <c r="DF503"/>
  <c r="DE503"/>
  <c r="DD503"/>
  <c r="DC503"/>
  <c r="DB503"/>
  <c r="DA503"/>
  <c r="CZ503"/>
  <c r="CY503"/>
  <c r="CX503"/>
  <c r="CW503"/>
  <c r="CV503"/>
  <c r="CU503"/>
  <c r="CT503"/>
  <c r="CS503"/>
  <c r="CR503"/>
  <c r="CQ503"/>
  <c r="CP503"/>
  <c r="CO503"/>
  <c r="CN503"/>
  <c r="CM503"/>
  <c r="CL503"/>
  <c r="CK503"/>
  <c r="CJ503"/>
  <c r="CI503"/>
  <c r="CH503"/>
  <c r="CG503"/>
  <c r="CF503"/>
  <c r="CE503"/>
  <c r="CD503"/>
  <c r="CC503"/>
  <c r="CB503"/>
  <c r="CA503"/>
  <c r="BZ503"/>
  <c r="BY503"/>
  <c r="BX503"/>
  <c r="BW503"/>
  <c r="BV503"/>
  <c r="BU503"/>
  <c r="BT503"/>
  <c r="BS503"/>
  <c r="BR503"/>
  <c r="BQ503"/>
  <c r="BP503"/>
  <c r="BO503"/>
  <c r="BN503"/>
  <c r="DU502"/>
  <c r="DT502"/>
  <c r="DS502"/>
  <c r="DR502"/>
  <c r="DQ502"/>
  <c r="DP502"/>
  <c r="DO502"/>
  <c r="DN502"/>
  <c r="DM502"/>
  <c r="DL502"/>
  <c r="DK502"/>
  <c r="DJ502"/>
  <c r="DI502"/>
  <c r="DH502"/>
  <c r="DG502"/>
  <c r="DF502"/>
  <c r="DE502"/>
  <c r="DD502"/>
  <c r="DC502"/>
  <c r="DB502"/>
  <c r="DA502"/>
  <c r="CZ502"/>
  <c r="CY502"/>
  <c r="CX502"/>
  <c r="CW502"/>
  <c r="CV502"/>
  <c r="CU502"/>
  <c r="CT502"/>
  <c r="CS502"/>
  <c r="CR502"/>
  <c r="CQ502"/>
  <c r="CP502"/>
  <c r="CO502"/>
  <c r="CN502"/>
  <c r="CM502"/>
  <c r="CL502"/>
  <c r="CK502"/>
  <c r="CJ502"/>
  <c r="CI502"/>
  <c r="CH502"/>
  <c r="CG502"/>
  <c r="CF502"/>
  <c r="CE502"/>
  <c r="CD502"/>
  <c r="CC502"/>
  <c r="CB502"/>
  <c r="CA502"/>
  <c r="BZ502"/>
  <c r="BY502"/>
  <c r="BX502"/>
  <c r="BW502"/>
  <c r="BV502"/>
  <c r="BU502"/>
  <c r="BT502"/>
  <c r="BS502"/>
  <c r="BR502"/>
  <c r="BQ502"/>
  <c r="BP502"/>
  <c r="BO502"/>
  <c r="BN502"/>
  <c r="DU501"/>
  <c r="DT501"/>
  <c r="DS501"/>
  <c r="DR501"/>
  <c r="DQ501"/>
  <c r="DP501"/>
  <c r="DO501"/>
  <c r="DN501"/>
  <c r="DM501"/>
  <c r="DL501"/>
  <c r="DK501"/>
  <c r="DJ501"/>
  <c r="DI501"/>
  <c r="DH501"/>
  <c r="DG501"/>
  <c r="DF501"/>
  <c r="DE501"/>
  <c r="DD501"/>
  <c r="DC501"/>
  <c r="DB501"/>
  <c r="DA501"/>
  <c r="CZ501"/>
  <c r="CY501"/>
  <c r="CX501"/>
  <c r="CW501"/>
  <c r="CV501"/>
  <c r="CU501"/>
  <c r="CT501"/>
  <c r="CS501"/>
  <c r="CR501"/>
  <c r="CQ501"/>
  <c r="CP501"/>
  <c r="CO501"/>
  <c r="CN501"/>
  <c r="CM501"/>
  <c r="CL501"/>
  <c r="CK501"/>
  <c r="CJ501"/>
  <c r="CI501"/>
  <c r="CH501"/>
  <c r="CG501"/>
  <c r="CF501"/>
  <c r="CE501"/>
  <c r="CD501"/>
  <c r="CC501"/>
  <c r="CB501"/>
  <c r="CA501"/>
  <c r="BZ501"/>
  <c r="BY501"/>
  <c r="BX501"/>
  <c r="BW501"/>
  <c r="BV501"/>
  <c r="BU501"/>
  <c r="BT501"/>
  <c r="BS501"/>
  <c r="BR501"/>
  <c r="BQ501"/>
  <c r="BP501"/>
  <c r="BO501"/>
  <c r="BN501"/>
  <c r="DU500"/>
  <c r="DT500"/>
  <c r="DS500"/>
  <c r="DR500"/>
  <c r="DQ500"/>
  <c r="DP500"/>
  <c r="DO500"/>
  <c r="DN500"/>
  <c r="DM500"/>
  <c r="DL500"/>
  <c r="DK500"/>
  <c r="DJ500"/>
  <c r="DI500"/>
  <c r="DH500"/>
  <c r="DG500"/>
  <c r="DF500"/>
  <c r="DE500"/>
  <c r="DD500"/>
  <c r="DC500"/>
  <c r="DB500"/>
  <c r="DA500"/>
  <c r="CZ500"/>
  <c r="CY500"/>
  <c r="CX500"/>
  <c r="CW500"/>
  <c r="CV500"/>
  <c r="CU500"/>
  <c r="CT500"/>
  <c r="CS500"/>
  <c r="CR500"/>
  <c r="CQ500"/>
  <c r="CP500"/>
  <c r="CO500"/>
  <c r="CN500"/>
  <c r="CM500"/>
  <c r="CL500"/>
  <c r="CK500"/>
  <c r="CJ500"/>
  <c r="CI500"/>
  <c r="CH500"/>
  <c r="CG500"/>
  <c r="CF500"/>
  <c r="CE500"/>
  <c r="CD500"/>
  <c r="CC500"/>
  <c r="CB500"/>
  <c r="CA500"/>
  <c r="BZ500"/>
  <c r="BY500"/>
  <c r="BX500"/>
  <c r="BW500"/>
  <c r="BV500"/>
  <c r="BU500"/>
  <c r="BT500"/>
  <c r="BS500"/>
  <c r="BR500"/>
  <c r="BQ500"/>
  <c r="BP500"/>
  <c r="BO500"/>
  <c r="BN500"/>
  <c r="DU499"/>
  <c r="DT499"/>
  <c r="DS499"/>
  <c r="DR499"/>
  <c r="DQ499"/>
  <c r="DP499"/>
  <c r="DO499"/>
  <c r="DN499"/>
  <c r="DM499"/>
  <c r="DL499"/>
  <c r="DK499"/>
  <c r="DJ499"/>
  <c r="DI499"/>
  <c r="DH499"/>
  <c r="DG499"/>
  <c r="DF499"/>
  <c r="DE499"/>
  <c r="DD499"/>
  <c r="DC499"/>
  <c r="DB499"/>
  <c r="DA499"/>
  <c r="CZ499"/>
  <c r="CY499"/>
  <c r="CX499"/>
  <c r="CW499"/>
  <c r="CV499"/>
  <c r="CU499"/>
  <c r="CT499"/>
  <c r="CS499"/>
  <c r="CR499"/>
  <c r="CQ499"/>
  <c r="CP499"/>
  <c r="CO499"/>
  <c r="CN499"/>
  <c r="CM499"/>
  <c r="CL499"/>
  <c r="CK499"/>
  <c r="CJ499"/>
  <c r="CI499"/>
  <c r="CH499"/>
  <c r="CG499"/>
  <c r="CF499"/>
  <c r="CE499"/>
  <c r="CD499"/>
  <c r="CC499"/>
  <c r="CB499"/>
  <c r="CA499"/>
  <c r="BZ499"/>
  <c r="BY499"/>
  <c r="BX499"/>
  <c r="BW499"/>
  <c r="BV499"/>
  <c r="BU499"/>
  <c r="BT499"/>
  <c r="BS499"/>
  <c r="BR499"/>
  <c r="BQ499"/>
  <c r="BP499"/>
  <c r="BO499"/>
  <c r="BN499"/>
  <c r="DU498"/>
  <c r="DT498"/>
  <c r="DS498"/>
  <c r="DR498"/>
  <c r="DQ498"/>
  <c r="DP498"/>
  <c r="DO498"/>
  <c r="DN498"/>
  <c r="DM498"/>
  <c r="DL498"/>
  <c r="DK498"/>
  <c r="DJ498"/>
  <c r="DI498"/>
  <c r="DH498"/>
  <c r="DG498"/>
  <c r="DF498"/>
  <c r="DE498"/>
  <c r="DD498"/>
  <c r="DC498"/>
  <c r="DB498"/>
  <c r="DA498"/>
  <c r="CZ498"/>
  <c r="CY498"/>
  <c r="CX498"/>
  <c r="CW498"/>
  <c r="CV498"/>
  <c r="CU498"/>
  <c r="CT498"/>
  <c r="CS498"/>
  <c r="CR498"/>
  <c r="CQ498"/>
  <c r="CP498"/>
  <c r="CO498"/>
  <c r="CN498"/>
  <c r="CM498"/>
  <c r="CL498"/>
  <c r="CK498"/>
  <c r="CJ498"/>
  <c r="CI498"/>
  <c r="CH498"/>
  <c r="CG498"/>
  <c r="CF498"/>
  <c r="CE498"/>
  <c r="CD498"/>
  <c r="CC498"/>
  <c r="CB498"/>
  <c r="CA498"/>
  <c r="BZ498"/>
  <c r="BY498"/>
  <c r="BX498"/>
  <c r="BW498"/>
  <c r="BV498"/>
  <c r="BU498"/>
  <c r="BT498"/>
  <c r="BS498"/>
  <c r="BR498"/>
  <c r="BQ498"/>
  <c r="BP498"/>
  <c r="BO498"/>
  <c r="BN498"/>
  <c r="DU497"/>
  <c r="DT497"/>
  <c r="DS497"/>
  <c r="DR497"/>
  <c r="DQ497"/>
  <c r="DP497"/>
  <c r="DO497"/>
  <c r="DN497"/>
  <c r="DM497"/>
  <c r="DL497"/>
  <c r="DK497"/>
  <c r="DJ497"/>
  <c r="DI497"/>
  <c r="DH497"/>
  <c r="DG497"/>
  <c r="DF497"/>
  <c r="DE497"/>
  <c r="DD497"/>
  <c r="DC497"/>
  <c r="DB497"/>
  <c r="DA497"/>
  <c r="CZ497"/>
  <c r="CY497"/>
  <c r="CX497"/>
  <c r="CW497"/>
  <c r="CV497"/>
  <c r="CU497"/>
  <c r="CT497"/>
  <c r="CS497"/>
  <c r="CR497"/>
  <c r="CQ497"/>
  <c r="CP497"/>
  <c r="CO497"/>
  <c r="CN497"/>
  <c r="CM497"/>
  <c r="CL497"/>
  <c r="CK497"/>
  <c r="CJ497"/>
  <c r="CI497"/>
  <c r="CH497"/>
  <c r="CG497"/>
  <c r="CF497"/>
  <c r="CE497"/>
  <c r="CD497"/>
  <c r="CC497"/>
  <c r="CB497"/>
  <c r="CA497"/>
  <c r="BZ497"/>
  <c r="BY497"/>
  <c r="BX497"/>
  <c r="BW497"/>
  <c r="BV497"/>
  <c r="BU497"/>
  <c r="BT497"/>
  <c r="BS497"/>
  <c r="BR497"/>
  <c r="BQ497"/>
  <c r="BP497"/>
  <c r="BO497"/>
  <c r="BN497"/>
  <c r="DU496"/>
  <c r="DT496"/>
  <c r="DS496"/>
  <c r="DR496"/>
  <c r="DQ496"/>
  <c r="DP496"/>
  <c r="DO496"/>
  <c r="DN496"/>
  <c r="DM496"/>
  <c r="DL496"/>
  <c r="DK496"/>
  <c r="DJ496"/>
  <c r="DI496"/>
  <c r="DH496"/>
  <c r="DG496"/>
  <c r="DF496"/>
  <c r="DE496"/>
  <c r="DD496"/>
  <c r="DC496"/>
  <c r="DB496"/>
  <c r="DA496"/>
  <c r="CZ496"/>
  <c r="CY496"/>
  <c r="CX496"/>
  <c r="CW496"/>
  <c r="CV496"/>
  <c r="CU496"/>
  <c r="CT496"/>
  <c r="CS496"/>
  <c r="CR496"/>
  <c r="CQ496"/>
  <c r="CP496"/>
  <c r="CO496"/>
  <c r="CN496"/>
  <c r="CM496"/>
  <c r="CL496"/>
  <c r="CK496"/>
  <c r="CJ496"/>
  <c r="CI496"/>
  <c r="CH496"/>
  <c r="CG496"/>
  <c r="CF496"/>
  <c r="CE496"/>
  <c r="CD496"/>
  <c r="CC496"/>
  <c r="CB496"/>
  <c r="CA496"/>
  <c r="BZ496"/>
  <c r="BY496"/>
  <c r="BX496"/>
  <c r="BW496"/>
  <c r="BV496"/>
  <c r="BU496"/>
  <c r="BT496"/>
  <c r="BS496"/>
  <c r="BR496"/>
  <c r="BQ496"/>
  <c r="BP496"/>
  <c r="BO496"/>
  <c r="BN496"/>
  <c r="DU495"/>
  <c r="DT495"/>
  <c r="DS495"/>
  <c r="DR495"/>
  <c r="DQ495"/>
  <c r="DP495"/>
  <c r="DO495"/>
  <c r="DN495"/>
  <c r="DM495"/>
  <c r="DL495"/>
  <c r="DK495"/>
  <c r="DJ495"/>
  <c r="DI495"/>
  <c r="DH495"/>
  <c r="DG495"/>
  <c r="DF495"/>
  <c r="DE495"/>
  <c r="DD495"/>
  <c r="DC495"/>
  <c r="DB495"/>
  <c r="DA495"/>
  <c r="CZ495"/>
  <c r="CY495"/>
  <c r="CX495"/>
  <c r="CW495"/>
  <c r="CV495"/>
  <c r="CU495"/>
  <c r="CT495"/>
  <c r="CS495"/>
  <c r="CR495"/>
  <c r="CQ495"/>
  <c r="CP495"/>
  <c r="CO495"/>
  <c r="CN495"/>
  <c r="CM495"/>
  <c r="CL495"/>
  <c r="CK495"/>
  <c r="CJ495"/>
  <c r="CI495"/>
  <c r="CH495"/>
  <c r="CG495"/>
  <c r="CF495"/>
  <c r="CE495"/>
  <c r="CD495"/>
  <c r="CC495"/>
  <c r="CB495"/>
  <c r="CA495"/>
  <c r="BZ495"/>
  <c r="BY495"/>
  <c r="BX495"/>
  <c r="BW495"/>
  <c r="BV495"/>
  <c r="BU495"/>
  <c r="BT495"/>
  <c r="BS495"/>
  <c r="BR495"/>
  <c r="BQ495"/>
  <c r="BP495"/>
  <c r="BO495"/>
  <c r="BN495"/>
  <c r="DU494"/>
  <c r="DT494"/>
  <c r="DS494"/>
  <c r="DR494"/>
  <c r="DQ494"/>
  <c r="DP494"/>
  <c r="DO494"/>
  <c r="DN494"/>
  <c r="DM494"/>
  <c r="DL494"/>
  <c r="DK494"/>
  <c r="DJ494"/>
  <c r="DI494"/>
  <c r="DH494"/>
  <c r="DG494"/>
  <c r="DF494"/>
  <c r="DE494"/>
  <c r="DD494"/>
  <c r="DC494"/>
  <c r="DB494"/>
  <c r="DA494"/>
  <c r="CZ494"/>
  <c r="CY494"/>
  <c r="CX494"/>
  <c r="CW494"/>
  <c r="CV494"/>
  <c r="CU494"/>
  <c r="CT494"/>
  <c r="CS494"/>
  <c r="CR494"/>
  <c r="CQ494"/>
  <c r="CP494"/>
  <c r="CO494"/>
  <c r="CN494"/>
  <c r="CM494"/>
  <c r="CL494"/>
  <c r="CK494"/>
  <c r="CJ494"/>
  <c r="CI494"/>
  <c r="CH494"/>
  <c r="CG494"/>
  <c r="CF494"/>
  <c r="CE494"/>
  <c r="CD494"/>
  <c r="CC494"/>
  <c r="CB494"/>
  <c r="CA494"/>
  <c r="BZ494"/>
  <c r="BY494"/>
  <c r="BX494"/>
  <c r="BW494"/>
  <c r="BV494"/>
  <c r="BU494"/>
  <c r="BT494"/>
  <c r="BS494"/>
  <c r="BR494"/>
  <c r="BQ494"/>
  <c r="BP494"/>
  <c r="BO494"/>
  <c r="BN494"/>
  <c r="DU493"/>
  <c r="DT493"/>
  <c r="DS493"/>
  <c r="DR493"/>
  <c r="DQ493"/>
  <c r="DP493"/>
  <c r="DO493"/>
  <c r="DN493"/>
  <c r="DM493"/>
  <c r="DL493"/>
  <c r="DK493"/>
  <c r="DJ493"/>
  <c r="DI493"/>
  <c r="DH493"/>
  <c r="DG493"/>
  <c r="DF493"/>
  <c r="DE493"/>
  <c r="DD493"/>
  <c r="DC493"/>
  <c r="DB493"/>
  <c r="DA493"/>
  <c r="CZ493"/>
  <c r="CY493"/>
  <c r="CX493"/>
  <c r="CW493"/>
  <c r="CV493"/>
  <c r="CU493"/>
  <c r="CT493"/>
  <c r="CS493"/>
  <c r="CR493"/>
  <c r="CQ493"/>
  <c r="CP493"/>
  <c r="CO493"/>
  <c r="CN493"/>
  <c r="CM493"/>
  <c r="CL493"/>
  <c r="CK493"/>
  <c r="CJ493"/>
  <c r="CI493"/>
  <c r="CH493"/>
  <c r="CG493"/>
  <c r="CF493"/>
  <c r="CE493"/>
  <c r="CD493"/>
  <c r="CC493"/>
  <c r="CB493"/>
  <c r="CA493"/>
  <c r="BZ493"/>
  <c r="BY493"/>
  <c r="BX493"/>
  <c r="BW493"/>
  <c r="BV493"/>
  <c r="BU493"/>
  <c r="BT493"/>
  <c r="BS493"/>
  <c r="BR493"/>
  <c r="BQ493"/>
  <c r="BP493"/>
  <c r="BO493"/>
  <c r="BN493"/>
  <c r="DU492"/>
  <c r="DT492"/>
  <c r="DS492"/>
  <c r="DR492"/>
  <c r="DQ492"/>
  <c r="DP492"/>
  <c r="DO492"/>
  <c r="DN492"/>
  <c r="DM492"/>
  <c r="DL492"/>
  <c r="DK492"/>
  <c r="DJ492"/>
  <c r="DI492"/>
  <c r="DH492"/>
  <c r="DG492"/>
  <c r="DF492"/>
  <c r="DE492"/>
  <c r="DD492"/>
  <c r="DC492"/>
  <c r="DB492"/>
  <c r="DA492"/>
  <c r="CZ492"/>
  <c r="CY492"/>
  <c r="CX492"/>
  <c r="CW492"/>
  <c r="CV492"/>
  <c r="CU492"/>
  <c r="CT492"/>
  <c r="CS492"/>
  <c r="CR492"/>
  <c r="CQ492"/>
  <c r="CP492"/>
  <c r="CO492"/>
  <c r="CN492"/>
  <c r="CM492"/>
  <c r="CL492"/>
  <c r="CK492"/>
  <c r="CJ492"/>
  <c r="CI492"/>
  <c r="CH492"/>
  <c r="CG492"/>
  <c r="CF492"/>
  <c r="CE492"/>
  <c r="CD492"/>
  <c r="CC492"/>
  <c r="CB492"/>
  <c r="CA492"/>
  <c r="BZ492"/>
  <c r="BY492"/>
  <c r="BX492"/>
  <c r="BW492"/>
  <c r="BV492"/>
  <c r="BU492"/>
  <c r="BT492"/>
  <c r="BS492"/>
  <c r="BR492"/>
  <c r="BQ492"/>
  <c r="BP492"/>
  <c r="BO492"/>
  <c r="BN492"/>
  <c r="DU491"/>
  <c r="DT491"/>
  <c r="DS491"/>
  <c r="DR491"/>
  <c r="DQ491"/>
  <c r="DP491"/>
  <c r="DO491"/>
  <c r="DN491"/>
  <c r="DM491"/>
  <c r="DL491"/>
  <c r="DK491"/>
  <c r="DJ491"/>
  <c r="DI491"/>
  <c r="DH491"/>
  <c r="DG491"/>
  <c r="DF491"/>
  <c r="DE491"/>
  <c r="DD491"/>
  <c r="DC491"/>
  <c r="DB491"/>
  <c r="DA491"/>
  <c r="CZ491"/>
  <c r="CY491"/>
  <c r="CX491"/>
  <c r="CW491"/>
  <c r="CV491"/>
  <c r="CU491"/>
  <c r="CT491"/>
  <c r="CS491"/>
  <c r="CR491"/>
  <c r="CQ491"/>
  <c r="CP491"/>
  <c r="CO491"/>
  <c r="CN491"/>
  <c r="CM491"/>
  <c r="CL491"/>
  <c r="CK491"/>
  <c r="CJ491"/>
  <c r="CI491"/>
  <c r="CH491"/>
  <c r="CG491"/>
  <c r="CF491"/>
  <c r="CE491"/>
  <c r="CD491"/>
  <c r="CC491"/>
  <c r="CB491"/>
  <c r="CA491"/>
  <c r="BZ491"/>
  <c r="BY491"/>
  <c r="BX491"/>
  <c r="BW491"/>
  <c r="BV491"/>
  <c r="BU491"/>
  <c r="BT491"/>
  <c r="BS491"/>
  <c r="BR491"/>
  <c r="BQ491"/>
  <c r="BP491"/>
  <c r="BO491"/>
  <c r="BN491"/>
  <c r="DU490"/>
  <c r="DT490"/>
  <c r="DS490"/>
  <c r="DR490"/>
  <c r="DQ490"/>
  <c r="DP490"/>
  <c r="DO490"/>
  <c r="DN490"/>
  <c r="DM490"/>
  <c r="DL490"/>
  <c r="DK490"/>
  <c r="DJ490"/>
  <c r="DI490"/>
  <c r="DH490"/>
  <c r="DG490"/>
  <c r="DF490"/>
  <c r="DE490"/>
  <c r="DD490"/>
  <c r="DC490"/>
  <c r="DB490"/>
  <c r="DA490"/>
  <c r="CZ490"/>
  <c r="CY490"/>
  <c r="CX490"/>
  <c r="CW490"/>
  <c r="CV490"/>
  <c r="CU490"/>
  <c r="CT490"/>
  <c r="CS490"/>
  <c r="CR490"/>
  <c r="CQ490"/>
  <c r="CP490"/>
  <c r="CO490"/>
  <c r="CN490"/>
  <c r="CM490"/>
  <c r="CL490"/>
  <c r="CK490"/>
  <c r="CJ490"/>
  <c r="CI490"/>
  <c r="CH490"/>
  <c r="CG490"/>
  <c r="CF490"/>
  <c r="CE490"/>
  <c r="CD490"/>
  <c r="CC490"/>
  <c r="CB490"/>
  <c r="CA490"/>
  <c r="BZ490"/>
  <c r="BY490"/>
  <c r="BX490"/>
  <c r="BW490"/>
  <c r="BV490"/>
  <c r="BU490"/>
  <c r="BT490"/>
  <c r="BS490"/>
  <c r="BR490"/>
  <c r="BQ490"/>
  <c r="BP490"/>
  <c r="BO490"/>
  <c r="BN490"/>
  <c r="DU489"/>
  <c r="DT489"/>
  <c r="DS489"/>
  <c r="DR489"/>
  <c r="DQ489"/>
  <c r="DP489"/>
  <c r="DO489"/>
  <c r="DN489"/>
  <c r="DM489"/>
  <c r="DL489"/>
  <c r="DK489"/>
  <c r="DJ489"/>
  <c r="DI489"/>
  <c r="DH489"/>
  <c r="DG489"/>
  <c r="DF489"/>
  <c r="DE489"/>
  <c r="DD489"/>
  <c r="DC489"/>
  <c r="DB489"/>
  <c r="DA489"/>
  <c r="CZ489"/>
  <c r="CY489"/>
  <c r="CX489"/>
  <c r="CW489"/>
  <c r="CV489"/>
  <c r="CU489"/>
  <c r="CT489"/>
  <c r="CS489"/>
  <c r="CR489"/>
  <c r="CQ489"/>
  <c r="CP489"/>
  <c r="CO489"/>
  <c r="CN489"/>
  <c r="CM489"/>
  <c r="CL489"/>
  <c r="CK489"/>
  <c r="CJ489"/>
  <c r="CI489"/>
  <c r="CH489"/>
  <c r="CG489"/>
  <c r="CF489"/>
  <c r="CE489"/>
  <c r="CD489"/>
  <c r="CC489"/>
  <c r="CB489"/>
  <c r="CA489"/>
  <c r="BZ489"/>
  <c r="BY489"/>
  <c r="BX489"/>
  <c r="BW489"/>
  <c r="BV489"/>
  <c r="BU489"/>
  <c r="BT489"/>
  <c r="BS489"/>
  <c r="BR489"/>
  <c r="BQ489"/>
  <c r="BP489"/>
  <c r="BO489"/>
  <c r="BN489"/>
  <c r="DU488"/>
  <c r="DT488"/>
  <c r="DS488"/>
  <c r="DR488"/>
  <c r="DQ488"/>
  <c r="DP488"/>
  <c r="DO488"/>
  <c r="DN488"/>
  <c r="DM488"/>
  <c r="DL488"/>
  <c r="DK488"/>
  <c r="DJ488"/>
  <c r="DI488"/>
  <c r="DH488"/>
  <c r="DG488"/>
  <c r="DF488"/>
  <c r="DE488"/>
  <c r="DD488"/>
  <c r="DC488"/>
  <c r="DB488"/>
  <c r="DA488"/>
  <c r="CZ488"/>
  <c r="CY488"/>
  <c r="CX488"/>
  <c r="CW488"/>
  <c r="CV488"/>
  <c r="CU488"/>
  <c r="CT488"/>
  <c r="CS488"/>
  <c r="CR488"/>
  <c r="CQ488"/>
  <c r="CP488"/>
  <c r="CO488"/>
  <c r="CN488"/>
  <c r="CM488"/>
  <c r="CL488"/>
  <c r="CK488"/>
  <c r="CJ488"/>
  <c r="CI488"/>
  <c r="CH488"/>
  <c r="CG488"/>
  <c r="CF488"/>
  <c r="CE488"/>
  <c r="CD488"/>
  <c r="CC488"/>
  <c r="CB488"/>
  <c r="CA488"/>
  <c r="BZ488"/>
  <c r="BY488"/>
  <c r="BX488"/>
  <c r="BW488"/>
  <c r="BV488"/>
  <c r="BU488"/>
  <c r="BT488"/>
  <c r="BS488"/>
  <c r="BR488"/>
  <c r="BQ488"/>
  <c r="BP488"/>
  <c r="BO488"/>
  <c r="BN488"/>
  <c r="DU487"/>
  <c r="DT487"/>
  <c r="DS487"/>
  <c r="DR487"/>
  <c r="DQ487"/>
  <c r="DP487"/>
  <c r="DO487"/>
  <c r="DN487"/>
  <c r="DM487"/>
  <c r="DL487"/>
  <c r="DK487"/>
  <c r="DJ487"/>
  <c r="DI487"/>
  <c r="DH487"/>
  <c r="DG487"/>
  <c r="DF487"/>
  <c r="DE487"/>
  <c r="DD487"/>
  <c r="DC487"/>
  <c r="DB487"/>
  <c r="DA487"/>
  <c r="CZ487"/>
  <c r="CY487"/>
  <c r="CX487"/>
  <c r="CW487"/>
  <c r="CV487"/>
  <c r="CU487"/>
  <c r="CT487"/>
  <c r="CS487"/>
  <c r="CR487"/>
  <c r="CQ487"/>
  <c r="CP487"/>
  <c r="CO487"/>
  <c r="CN487"/>
  <c r="CM487"/>
  <c r="CL487"/>
  <c r="CK487"/>
  <c r="CJ487"/>
  <c r="CI487"/>
  <c r="CH487"/>
  <c r="CG487"/>
  <c r="CF487"/>
  <c r="CE487"/>
  <c r="CD487"/>
  <c r="CC487"/>
  <c r="CB487"/>
  <c r="CA487"/>
  <c r="BZ487"/>
  <c r="BY487"/>
  <c r="BX487"/>
  <c r="BW487"/>
  <c r="BV487"/>
  <c r="BU487"/>
  <c r="BT487"/>
  <c r="BS487"/>
  <c r="BR487"/>
  <c r="BQ487"/>
  <c r="BP487"/>
  <c r="BO487"/>
  <c r="BN487"/>
  <c r="DU486"/>
  <c r="DT486"/>
  <c r="DS486"/>
  <c r="DR486"/>
  <c r="DQ486"/>
  <c r="DP486"/>
  <c r="DO486"/>
  <c r="DN486"/>
  <c r="DM486"/>
  <c r="DL486"/>
  <c r="DK486"/>
  <c r="DJ486"/>
  <c r="DI486"/>
  <c r="DH486"/>
  <c r="DG486"/>
  <c r="DF486"/>
  <c r="DE486"/>
  <c r="DD486"/>
  <c r="DC486"/>
  <c r="DB486"/>
  <c r="DA486"/>
  <c r="CZ486"/>
  <c r="CY486"/>
  <c r="CX486"/>
  <c r="CW486"/>
  <c r="CV486"/>
  <c r="CU486"/>
  <c r="CT486"/>
  <c r="CS486"/>
  <c r="CR486"/>
  <c r="CQ486"/>
  <c r="CP486"/>
  <c r="CO486"/>
  <c r="CN486"/>
  <c r="CM486"/>
  <c r="CL486"/>
  <c r="CK486"/>
  <c r="CJ486"/>
  <c r="CI486"/>
  <c r="CH486"/>
  <c r="CG486"/>
  <c r="CF486"/>
  <c r="CE486"/>
  <c r="CD486"/>
  <c r="CC486"/>
  <c r="CB486"/>
  <c r="CA486"/>
  <c r="BZ486"/>
  <c r="BY486"/>
  <c r="BX486"/>
  <c r="BW486"/>
  <c r="BV486"/>
  <c r="BU486"/>
  <c r="BT486"/>
  <c r="BS486"/>
  <c r="BR486"/>
  <c r="BQ486"/>
  <c r="BP486"/>
  <c r="BO486"/>
  <c r="BN486"/>
  <c r="DU485"/>
  <c r="DT485"/>
  <c r="DS485"/>
  <c r="DR485"/>
  <c r="DQ485"/>
  <c r="DP485"/>
  <c r="DO485"/>
  <c r="DN485"/>
  <c r="DM485"/>
  <c r="DL485"/>
  <c r="DK485"/>
  <c r="DJ485"/>
  <c r="DI485"/>
  <c r="DH485"/>
  <c r="DG485"/>
  <c r="DF485"/>
  <c r="DE485"/>
  <c r="DD485"/>
  <c r="DC485"/>
  <c r="DB485"/>
  <c r="DA485"/>
  <c r="CZ485"/>
  <c r="CY485"/>
  <c r="CX485"/>
  <c r="CW485"/>
  <c r="CV485"/>
  <c r="CU485"/>
  <c r="CT485"/>
  <c r="CS485"/>
  <c r="CR485"/>
  <c r="CQ485"/>
  <c r="CP485"/>
  <c r="CO485"/>
  <c r="CN485"/>
  <c r="CM485"/>
  <c r="CL485"/>
  <c r="CK485"/>
  <c r="CJ485"/>
  <c r="CI485"/>
  <c r="CH485"/>
  <c r="CG485"/>
  <c r="CF485"/>
  <c r="CE485"/>
  <c r="CD485"/>
  <c r="CC485"/>
  <c r="CB485"/>
  <c r="CA485"/>
  <c r="BZ485"/>
  <c r="BY485"/>
  <c r="BX485"/>
  <c r="BW485"/>
  <c r="BV485"/>
  <c r="BU485"/>
  <c r="BT485"/>
  <c r="BS485"/>
  <c r="BR485"/>
  <c r="BQ485"/>
  <c r="BP485"/>
  <c r="BO485"/>
  <c r="BN485"/>
  <c r="DU484"/>
  <c r="DT484"/>
  <c r="DS484"/>
  <c r="DR484"/>
  <c r="DQ484"/>
  <c r="DP484"/>
  <c r="DO484"/>
  <c r="DN484"/>
  <c r="DM484"/>
  <c r="DL484"/>
  <c r="DK484"/>
  <c r="DJ484"/>
  <c r="DI484"/>
  <c r="DH484"/>
  <c r="DG484"/>
  <c r="DF484"/>
  <c r="DE484"/>
  <c r="DD484"/>
  <c r="DC484"/>
  <c r="DB484"/>
  <c r="DA484"/>
  <c r="CZ484"/>
  <c r="CY484"/>
  <c r="CX484"/>
  <c r="CW484"/>
  <c r="CV484"/>
  <c r="CU484"/>
  <c r="CT484"/>
  <c r="CS484"/>
  <c r="CR484"/>
  <c r="CQ484"/>
  <c r="CP484"/>
  <c r="CO484"/>
  <c r="CN484"/>
  <c r="CM484"/>
  <c r="CL484"/>
  <c r="CK484"/>
  <c r="CJ484"/>
  <c r="CI484"/>
  <c r="CH484"/>
  <c r="CG484"/>
  <c r="CF484"/>
  <c r="CE484"/>
  <c r="CD484"/>
  <c r="CC484"/>
  <c r="CB484"/>
  <c r="CA484"/>
  <c r="BZ484"/>
  <c r="BY484"/>
  <c r="BX484"/>
  <c r="BW484"/>
  <c r="BV484"/>
  <c r="BU484"/>
  <c r="BT484"/>
  <c r="BS484"/>
  <c r="BR484"/>
  <c r="BQ484"/>
  <c r="BP484"/>
  <c r="BO484"/>
  <c r="BN484"/>
  <c r="DU483"/>
  <c r="DT483"/>
  <c r="DS483"/>
  <c r="DR483"/>
  <c r="DQ483"/>
  <c r="DP483"/>
  <c r="DO483"/>
  <c r="DN483"/>
  <c r="DM483"/>
  <c r="DL483"/>
  <c r="DK483"/>
  <c r="DJ483"/>
  <c r="DI483"/>
  <c r="DH483"/>
  <c r="DG483"/>
  <c r="DF483"/>
  <c r="DE483"/>
  <c r="DD483"/>
  <c r="DC483"/>
  <c r="DB483"/>
  <c r="DA483"/>
  <c r="CZ483"/>
  <c r="CY483"/>
  <c r="CX483"/>
  <c r="CW483"/>
  <c r="CV483"/>
  <c r="CU483"/>
  <c r="CT483"/>
  <c r="CS483"/>
  <c r="CR483"/>
  <c r="CQ483"/>
  <c r="CP483"/>
  <c r="CO483"/>
  <c r="CN483"/>
  <c r="CM483"/>
  <c r="CL483"/>
  <c r="CK483"/>
  <c r="CJ483"/>
  <c r="CI483"/>
  <c r="CH483"/>
  <c r="CG483"/>
  <c r="CF483"/>
  <c r="CE483"/>
  <c r="CD483"/>
  <c r="CC483"/>
  <c r="CB483"/>
  <c r="CA483"/>
  <c r="BZ483"/>
  <c r="BY483"/>
  <c r="BX483"/>
  <c r="BW483"/>
  <c r="BV483"/>
  <c r="BU483"/>
  <c r="BT483"/>
  <c r="BS483"/>
  <c r="BR483"/>
  <c r="BQ483"/>
  <c r="BP483"/>
  <c r="BO483"/>
  <c r="BN483"/>
  <c r="DU482"/>
  <c r="DT482"/>
  <c r="DS482"/>
  <c r="DR482"/>
  <c r="DQ482"/>
  <c r="DP482"/>
  <c r="DO482"/>
  <c r="DN482"/>
  <c r="DM482"/>
  <c r="DL482"/>
  <c r="DK482"/>
  <c r="DJ482"/>
  <c r="DI482"/>
  <c r="DH482"/>
  <c r="DG482"/>
  <c r="DF482"/>
  <c r="DE482"/>
  <c r="DD482"/>
  <c r="DC482"/>
  <c r="DB482"/>
  <c r="DA482"/>
  <c r="CZ482"/>
  <c r="CY482"/>
  <c r="CX482"/>
  <c r="CW482"/>
  <c r="CV482"/>
  <c r="CU482"/>
  <c r="CT482"/>
  <c r="CS482"/>
  <c r="CR482"/>
  <c r="CQ482"/>
  <c r="CP482"/>
  <c r="CO482"/>
  <c r="CN482"/>
  <c r="CM482"/>
  <c r="CL482"/>
  <c r="CK482"/>
  <c r="CJ482"/>
  <c r="CI482"/>
  <c r="CH482"/>
  <c r="CG482"/>
  <c r="CF482"/>
  <c r="CE482"/>
  <c r="CD482"/>
  <c r="CC482"/>
  <c r="CB482"/>
  <c r="CA482"/>
  <c r="BZ482"/>
  <c r="BY482"/>
  <c r="BX482"/>
  <c r="BW482"/>
  <c r="BV482"/>
  <c r="BU482"/>
  <c r="BT482"/>
  <c r="BS482"/>
  <c r="BR482"/>
  <c r="BQ482"/>
  <c r="BP482"/>
  <c r="BO482"/>
  <c r="BN482"/>
  <c r="DU481"/>
  <c r="DT481"/>
  <c r="DS481"/>
  <c r="DR481"/>
  <c r="DQ481"/>
  <c r="DP481"/>
  <c r="DO481"/>
  <c r="DN481"/>
  <c r="DM481"/>
  <c r="DL481"/>
  <c r="DK481"/>
  <c r="DJ481"/>
  <c r="DI481"/>
  <c r="DH481"/>
  <c r="DG481"/>
  <c r="DF481"/>
  <c r="DE481"/>
  <c r="DD481"/>
  <c r="DC481"/>
  <c r="DB481"/>
  <c r="DA481"/>
  <c r="CZ481"/>
  <c r="CY481"/>
  <c r="CX481"/>
  <c r="CW481"/>
  <c r="CV481"/>
  <c r="CU481"/>
  <c r="CT481"/>
  <c r="CS481"/>
  <c r="CR481"/>
  <c r="CQ481"/>
  <c r="CP481"/>
  <c r="CO481"/>
  <c r="CN481"/>
  <c r="CM481"/>
  <c r="CL481"/>
  <c r="CK481"/>
  <c r="CJ481"/>
  <c r="CI481"/>
  <c r="CH481"/>
  <c r="CG481"/>
  <c r="CF481"/>
  <c r="CE481"/>
  <c r="CD481"/>
  <c r="CC481"/>
  <c r="CB481"/>
  <c r="CA481"/>
  <c r="BZ481"/>
  <c r="BY481"/>
  <c r="BX481"/>
  <c r="BW481"/>
  <c r="BV481"/>
  <c r="BU481"/>
  <c r="BT481"/>
  <c r="BS481"/>
  <c r="BR481"/>
  <c r="BQ481"/>
  <c r="BP481"/>
  <c r="BO481"/>
  <c r="BN481"/>
  <c r="DU480"/>
  <c r="DT480"/>
  <c r="DS480"/>
  <c r="DR480"/>
  <c r="DQ480"/>
  <c r="DP480"/>
  <c r="DO480"/>
  <c r="DN480"/>
  <c r="DM480"/>
  <c r="DL480"/>
  <c r="DK480"/>
  <c r="DJ480"/>
  <c r="DI480"/>
  <c r="DH480"/>
  <c r="DG480"/>
  <c r="DF480"/>
  <c r="DE480"/>
  <c r="DD480"/>
  <c r="DC480"/>
  <c r="DB480"/>
  <c r="DA480"/>
  <c r="CZ480"/>
  <c r="CY480"/>
  <c r="CX480"/>
  <c r="CW480"/>
  <c r="CV480"/>
  <c r="CU480"/>
  <c r="CT480"/>
  <c r="CS480"/>
  <c r="CR480"/>
  <c r="CQ480"/>
  <c r="CP480"/>
  <c r="CO480"/>
  <c r="CN480"/>
  <c r="CM480"/>
  <c r="CL480"/>
  <c r="CK480"/>
  <c r="CJ480"/>
  <c r="CI480"/>
  <c r="CH480"/>
  <c r="CG480"/>
  <c r="CF480"/>
  <c r="CE480"/>
  <c r="CD480"/>
  <c r="CC480"/>
  <c r="CB480"/>
  <c r="CA480"/>
  <c r="BZ480"/>
  <c r="BY480"/>
  <c r="BX480"/>
  <c r="BW480"/>
  <c r="BV480"/>
  <c r="BU480"/>
  <c r="BT480"/>
  <c r="BS480"/>
  <c r="BR480"/>
  <c r="BQ480"/>
  <c r="BP480"/>
  <c r="BO480"/>
  <c r="BN480"/>
  <c r="DU479"/>
  <c r="DT479"/>
  <c r="DS479"/>
  <c r="DR479"/>
  <c r="DQ479"/>
  <c r="DP479"/>
  <c r="DO479"/>
  <c r="DN479"/>
  <c r="DM479"/>
  <c r="DL479"/>
  <c r="DK479"/>
  <c r="DJ479"/>
  <c r="DI479"/>
  <c r="DH479"/>
  <c r="DG479"/>
  <c r="DF479"/>
  <c r="DE479"/>
  <c r="DD479"/>
  <c r="DC479"/>
  <c r="DB479"/>
  <c r="DA479"/>
  <c r="CZ479"/>
  <c r="CY479"/>
  <c r="CX479"/>
  <c r="CW479"/>
  <c r="CV479"/>
  <c r="CU479"/>
  <c r="CT479"/>
  <c r="CS479"/>
  <c r="CR479"/>
  <c r="CQ479"/>
  <c r="CP479"/>
  <c r="CO479"/>
  <c r="CN479"/>
  <c r="CM479"/>
  <c r="CL479"/>
  <c r="CK479"/>
  <c r="CJ479"/>
  <c r="CI479"/>
  <c r="CH479"/>
  <c r="CG479"/>
  <c r="CF479"/>
  <c r="CE479"/>
  <c r="CD479"/>
  <c r="CC479"/>
  <c r="CB479"/>
  <c r="CA479"/>
  <c r="BZ479"/>
  <c r="BY479"/>
  <c r="BX479"/>
  <c r="BW479"/>
  <c r="BV479"/>
  <c r="BU479"/>
  <c r="BT479"/>
  <c r="BS479"/>
  <c r="BR479"/>
  <c r="BQ479"/>
  <c r="BP479"/>
  <c r="BO479"/>
  <c r="BN479"/>
  <c r="DU478"/>
  <c r="DT478"/>
  <c r="DS478"/>
  <c r="DR478"/>
  <c r="DQ478"/>
  <c r="DP478"/>
  <c r="DO478"/>
  <c r="DN478"/>
  <c r="DM478"/>
  <c r="DL478"/>
  <c r="DK478"/>
  <c r="DJ478"/>
  <c r="DI478"/>
  <c r="DH478"/>
  <c r="DG478"/>
  <c r="DF478"/>
  <c r="DE478"/>
  <c r="DD478"/>
  <c r="DC478"/>
  <c r="DB478"/>
  <c r="DA478"/>
  <c r="CZ478"/>
  <c r="CY478"/>
  <c r="CX478"/>
  <c r="CW478"/>
  <c r="CV478"/>
  <c r="CU478"/>
  <c r="CT478"/>
  <c r="CS478"/>
  <c r="CR478"/>
  <c r="CQ478"/>
  <c r="CP478"/>
  <c r="CO478"/>
  <c r="CN478"/>
  <c r="CM478"/>
  <c r="CL478"/>
  <c r="CK478"/>
  <c r="CJ478"/>
  <c r="CI478"/>
  <c r="CH478"/>
  <c r="CG478"/>
  <c r="CF478"/>
  <c r="CE478"/>
  <c r="CD478"/>
  <c r="CC478"/>
  <c r="CB478"/>
  <c r="CA478"/>
  <c r="BZ478"/>
  <c r="BY478"/>
  <c r="BX478"/>
  <c r="BW478"/>
  <c r="BV478"/>
  <c r="BU478"/>
  <c r="BT478"/>
  <c r="BS478"/>
  <c r="BR478"/>
  <c r="BQ478"/>
  <c r="BP478"/>
  <c r="BO478"/>
  <c r="BN478"/>
  <c r="DU477"/>
  <c r="DT477"/>
  <c r="DS477"/>
  <c r="DR477"/>
  <c r="DQ477"/>
  <c r="DP477"/>
  <c r="DO477"/>
  <c r="DN477"/>
  <c r="DM477"/>
  <c r="DL477"/>
  <c r="DK477"/>
  <c r="DJ477"/>
  <c r="DI477"/>
  <c r="DH477"/>
  <c r="DG477"/>
  <c r="DF477"/>
  <c r="DE477"/>
  <c r="DD477"/>
  <c r="DC477"/>
  <c r="DB477"/>
  <c r="DA477"/>
  <c r="CZ477"/>
  <c r="CY477"/>
  <c r="CX477"/>
  <c r="CW477"/>
  <c r="CV477"/>
  <c r="CU477"/>
  <c r="CT477"/>
  <c r="CS477"/>
  <c r="CR477"/>
  <c r="CQ477"/>
  <c r="CP477"/>
  <c r="CO477"/>
  <c r="CN477"/>
  <c r="CM477"/>
  <c r="CL477"/>
  <c r="CK477"/>
  <c r="CJ477"/>
  <c r="CI477"/>
  <c r="CH477"/>
  <c r="CG477"/>
  <c r="CF477"/>
  <c r="CE477"/>
  <c r="CD477"/>
  <c r="CC477"/>
  <c r="CB477"/>
  <c r="CA477"/>
  <c r="BZ477"/>
  <c r="BY477"/>
  <c r="BX477"/>
  <c r="BW477"/>
  <c r="BV477"/>
  <c r="BU477"/>
  <c r="BT477"/>
  <c r="BS477"/>
  <c r="BR477"/>
  <c r="BQ477"/>
  <c r="BP477"/>
  <c r="BO477"/>
  <c r="BN477"/>
  <c r="DU476"/>
  <c r="DT476"/>
  <c r="DS476"/>
  <c r="DR476"/>
  <c r="DQ476"/>
  <c r="DP476"/>
  <c r="DO476"/>
  <c r="DN476"/>
  <c r="DM476"/>
  <c r="DL476"/>
  <c r="DK476"/>
  <c r="DJ476"/>
  <c r="DI476"/>
  <c r="DH476"/>
  <c r="DG476"/>
  <c r="DF476"/>
  <c r="DE476"/>
  <c r="DD476"/>
  <c r="DC476"/>
  <c r="DB476"/>
  <c r="DA476"/>
  <c r="CZ476"/>
  <c r="CY476"/>
  <c r="CX476"/>
  <c r="CW476"/>
  <c r="CV476"/>
  <c r="CU476"/>
  <c r="CT476"/>
  <c r="CS476"/>
  <c r="CR476"/>
  <c r="CQ476"/>
  <c r="CP476"/>
  <c r="CO476"/>
  <c r="CN476"/>
  <c r="CM476"/>
  <c r="CL476"/>
  <c r="CK476"/>
  <c r="CJ476"/>
  <c r="CI476"/>
  <c r="CH476"/>
  <c r="CG476"/>
  <c r="CF476"/>
  <c r="CE476"/>
  <c r="CD476"/>
  <c r="CC476"/>
  <c r="CB476"/>
  <c r="CA476"/>
  <c r="BZ476"/>
  <c r="BY476"/>
  <c r="BX476"/>
  <c r="BW476"/>
  <c r="BV476"/>
  <c r="BU476"/>
  <c r="BT476"/>
  <c r="BS476"/>
  <c r="BR476"/>
  <c r="BQ476"/>
  <c r="BP476"/>
  <c r="BO476"/>
  <c r="BN476"/>
  <c r="DU475"/>
  <c r="DT475"/>
  <c r="DS475"/>
  <c r="DR475"/>
  <c r="DQ475"/>
  <c r="DP475"/>
  <c r="DO475"/>
  <c r="DN475"/>
  <c r="DM475"/>
  <c r="DL475"/>
  <c r="DK475"/>
  <c r="DJ475"/>
  <c r="DI475"/>
  <c r="DH475"/>
  <c r="DG475"/>
  <c r="DF475"/>
  <c r="DE475"/>
  <c r="DD475"/>
  <c r="DC475"/>
  <c r="DB475"/>
  <c r="DA475"/>
  <c r="CZ475"/>
  <c r="CY475"/>
  <c r="CX475"/>
  <c r="CW475"/>
  <c r="CV475"/>
  <c r="CU475"/>
  <c r="CT475"/>
  <c r="CS475"/>
  <c r="CR475"/>
  <c r="CQ475"/>
  <c r="CP475"/>
  <c r="CO475"/>
  <c r="CN475"/>
  <c r="CM475"/>
  <c r="CL475"/>
  <c r="CK475"/>
  <c r="CJ475"/>
  <c r="CI475"/>
  <c r="CH475"/>
  <c r="CG475"/>
  <c r="CF475"/>
  <c r="CE475"/>
  <c r="CD475"/>
  <c r="CC475"/>
  <c r="CB475"/>
  <c r="CA475"/>
  <c r="BZ475"/>
  <c r="BY475"/>
  <c r="BX475"/>
  <c r="BW475"/>
  <c r="BV475"/>
  <c r="BU475"/>
  <c r="BT475"/>
  <c r="BS475"/>
  <c r="BR475"/>
  <c r="BQ475"/>
  <c r="BP475"/>
  <c r="BO475"/>
  <c r="BN475"/>
  <c r="DU474"/>
  <c r="DT474"/>
  <c r="DS474"/>
  <c r="DR474"/>
  <c r="DQ474"/>
  <c r="DP474"/>
  <c r="DO474"/>
  <c r="DN474"/>
  <c r="DM474"/>
  <c r="DL474"/>
  <c r="DK474"/>
  <c r="DJ474"/>
  <c r="DI474"/>
  <c r="DH474"/>
  <c r="DG474"/>
  <c r="DF474"/>
  <c r="DE474"/>
  <c r="DD474"/>
  <c r="DC474"/>
  <c r="DB474"/>
  <c r="DA474"/>
  <c r="CZ474"/>
  <c r="CY474"/>
  <c r="CX474"/>
  <c r="CW474"/>
  <c r="CV474"/>
  <c r="CU474"/>
  <c r="CT474"/>
  <c r="CS474"/>
  <c r="CR474"/>
  <c r="CQ474"/>
  <c r="CP474"/>
  <c r="CO474"/>
  <c r="CN474"/>
  <c r="CM474"/>
  <c r="CL474"/>
  <c r="CK474"/>
  <c r="CJ474"/>
  <c r="CI474"/>
  <c r="CH474"/>
  <c r="CG474"/>
  <c r="CF474"/>
  <c r="CE474"/>
  <c r="CD474"/>
  <c r="CC474"/>
  <c r="CB474"/>
  <c r="CA474"/>
  <c r="BZ474"/>
  <c r="BY474"/>
  <c r="BX474"/>
  <c r="BW474"/>
  <c r="BV474"/>
  <c r="BU474"/>
  <c r="BT474"/>
  <c r="BS474"/>
  <c r="BR474"/>
  <c r="BQ474"/>
  <c r="BP474"/>
  <c r="BO474"/>
  <c r="BN474"/>
  <c r="DU473"/>
  <c r="DT473"/>
  <c r="DS473"/>
  <c r="DR473"/>
  <c r="DQ473"/>
  <c r="DP473"/>
  <c r="DO473"/>
  <c r="DN473"/>
  <c r="DM473"/>
  <c r="DL473"/>
  <c r="DK473"/>
  <c r="DJ473"/>
  <c r="DI473"/>
  <c r="DH473"/>
  <c r="DG473"/>
  <c r="DF473"/>
  <c r="DE473"/>
  <c r="DD473"/>
  <c r="DC473"/>
  <c r="DB473"/>
  <c r="DA473"/>
  <c r="CZ473"/>
  <c r="CY473"/>
  <c r="CX473"/>
  <c r="CW473"/>
  <c r="CV473"/>
  <c r="CU473"/>
  <c r="CT473"/>
  <c r="CS473"/>
  <c r="CR473"/>
  <c r="CQ473"/>
  <c r="CP473"/>
  <c r="CO473"/>
  <c r="CN473"/>
  <c r="CM473"/>
  <c r="CL473"/>
  <c r="CK473"/>
  <c r="CJ473"/>
  <c r="CI473"/>
  <c r="CH473"/>
  <c r="CG473"/>
  <c r="CF473"/>
  <c r="CE473"/>
  <c r="CD473"/>
  <c r="CC473"/>
  <c r="CB473"/>
  <c r="CA473"/>
  <c r="BZ473"/>
  <c r="BY473"/>
  <c r="BX473"/>
  <c r="BW473"/>
  <c r="BV473"/>
  <c r="BU473"/>
  <c r="BT473"/>
  <c r="BS473"/>
  <c r="BR473"/>
  <c r="BQ473"/>
  <c r="BP473"/>
  <c r="BO473"/>
  <c r="BN473"/>
  <c r="DU472"/>
  <c r="DT472"/>
  <c r="DS472"/>
  <c r="DR472"/>
  <c r="DQ472"/>
  <c r="DP472"/>
  <c r="DO472"/>
  <c r="DN472"/>
  <c r="DM472"/>
  <c r="DL472"/>
  <c r="DK472"/>
  <c r="DJ472"/>
  <c r="DI472"/>
  <c r="DH472"/>
  <c r="DG472"/>
  <c r="DF472"/>
  <c r="DE472"/>
  <c r="DD472"/>
  <c r="DC472"/>
  <c r="DB472"/>
  <c r="DA472"/>
  <c r="CZ472"/>
  <c r="CY472"/>
  <c r="CX472"/>
  <c r="CW472"/>
  <c r="CV472"/>
  <c r="CU472"/>
  <c r="CT472"/>
  <c r="CS472"/>
  <c r="CR472"/>
  <c r="CQ472"/>
  <c r="CP472"/>
  <c r="CO472"/>
  <c r="CN472"/>
  <c r="CM472"/>
  <c r="CL472"/>
  <c r="CK472"/>
  <c r="CJ472"/>
  <c r="CI472"/>
  <c r="CH472"/>
  <c r="CG472"/>
  <c r="CF472"/>
  <c r="CE472"/>
  <c r="CD472"/>
  <c r="CC472"/>
  <c r="CB472"/>
  <c r="CA472"/>
  <c r="BZ472"/>
  <c r="BY472"/>
  <c r="BX472"/>
  <c r="BW472"/>
  <c r="BV472"/>
  <c r="BU472"/>
  <c r="BT472"/>
  <c r="BS472"/>
  <c r="BR472"/>
  <c r="BQ472"/>
  <c r="BP472"/>
  <c r="BO472"/>
  <c r="BN472"/>
  <c r="DU471"/>
  <c r="DT471"/>
  <c r="DS471"/>
  <c r="DR471"/>
  <c r="DQ471"/>
  <c r="DP471"/>
  <c r="DO471"/>
  <c r="DN471"/>
  <c r="DM471"/>
  <c r="DL471"/>
  <c r="DK471"/>
  <c r="DJ471"/>
  <c r="DI471"/>
  <c r="DH471"/>
  <c r="DG471"/>
  <c r="DF471"/>
  <c r="DE471"/>
  <c r="DD471"/>
  <c r="DC471"/>
  <c r="DB471"/>
  <c r="DA471"/>
  <c r="CZ471"/>
  <c r="CY471"/>
  <c r="CX471"/>
  <c r="CW471"/>
  <c r="CV471"/>
  <c r="CU471"/>
  <c r="CT471"/>
  <c r="CS471"/>
  <c r="CR471"/>
  <c r="CQ471"/>
  <c r="CP471"/>
  <c r="CO471"/>
  <c r="CN471"/>
  <c r="CM471"/>
  <c r="CL471"/>
  <c r="CK471"/>
  <c r="CJ471"/>
  <c r="CI471"/>
  <c r="CH471"/>
  <c r="CG471"/>
  <c r="CF471"/>
  <c r="CE471"/>
  <c r="CD471"/>
  <c r="CC471"/>
  <c r="CB471"/>
  <c r="CA471"/>
  <c r="BZ471"/>
  <c r="BY471"/>
  <c r="BX471"/>
  <c r="BW471"/>
  <c r="BV471"/>
  <c r="BU471"/>
  <c r="BT471"/>
  <c r="BS471"/>
  <c r="BR471"/>
  <c r="BQ471"/>
  <c r="BP471"/>
  <c r="BO471"/>
  <c r="BN471"/>
  <c r="DU470"/>
  <c r="DT470"/>
  <c r="DS470"/>
  <c r="DR470"/>
  <c r="DQ470"/>
  <c r="DP470"/>
  <c r="DO470"/>
  <c r="DN470"/>
  <c r="DM470"/>
  <c r="DL470"/>
  <c r="DK470"/>
  <c r="DJ470"/>
  <c r="DI470"/>
  <c r="DH470"/>
  <c r="DG470"/>
  <c r="DF470"/>
  <c r="DE470"/>
  <c r="DD470"/>
  <c r="DC470"/>
  <c r="DB470"/>
  <c r="DA470"/>
  <c r="CZ470"/>
  <c r="CY470"/>
  <c r="CX470"/>
  <c r="CW470"/>
  <c r="CV470"/>
  <c r="CU470"/>
  <c r="CT470"/>
  <c r="CS470"/>
  <c r="CR470"/>
  <c r="CQ470"/>
  <c r="CP470"/>
  <c r="CO470"/>
  <c r="CN470"/>
  <c r="CM470"/>
  <c r="CL470"/>
  <c r="CK470"/>
  <c r="CJ470"/>
  <c r="CI470"/>
  <c r="CH470"/>
  <c r="CG470"/>
  <c r="CF470"/>
  <c r="CE470"/>
  <c r="CD470"/>
  <c r="CC470"/>
  <c r="CB470"/>
  <c r="CA470"/>
  <c r="BZ470"/>
  <c r="BY470"/>
  <c r="BX470"/>
  <c r="BW470"/>
  <c r="BV470"/>
  <c r="BU470"/>
  <c r="BT470"/>
  <c r="BS470"/>
  <c r="BR470"/>
  <c r="BQ470"/>
  <c r="BP470"/>
  <c r="BO470"/>
  <c r="BN470"/>
  <c r="DU469"/>
  <c r="DT469"/>
  <c r="DS469"/>
  <c r="DR469"/>
  <c r="DQ469"/>
  <c r="DP469"/>
  <c r="DO469"/>
  <c r="DN469"/>
  <c r="DM469"/>
  <c r="DL469"/>
  <c r="DK469"/>
  <c r="DJ469"/>
  <c r="DI469"/>
  <c r="DH469"/>
  <c r="DG469"/>
  <c r="DF469"/>
  <c r="DE469"/>
  <c r="DD469"/>
  <c r="DC469"/>
  <c r="DB469"/>
  <c r="DA469"/>
  <c r="CZ469"/>
  <c r="CY469"/>
  <c r="CX469"/>
  <c r="CW469"/>
  <c r="CV469"/>
  <c r="CU469"/>
  <c r="CT469"/>
  <c r="CS469"/>
  <c r="CR469"/>
  <c r="CQ469"/>
  <c r="CP469"/>
  <c r="CO469"/>
  <c r="CN469"/>
  <c r="CM469"/>
  <c r="CL469"/>
  <c r="CK469"/>
  <c r="CJ469"/>
  <c r="CI469"/>
  <c r="CH469"/>
  <c r="CG469"/>
  <c r="CF469"/>
  <c r="CE469"/>
  <c r="CD469"/>
  <c r="CC469"/>
  <c r="CB469"/>
  <c r="CA469"/>
  <c r="BZ469"/>
  <c r="BY469"/>
  <c r="BX469"/>
  <c r="BW469"/>
  <c r="BV469"/>
  <c r="BU469"/>
  <c r="BT469"/>
  <c r="BS469"/>
  <c r="BR469"/>
  <c r="BQ469"/>
  <c r="BP469"/>
  <c r="BO469"/>
  <c r="BN469"/>
  <c r="DU468"/>
  <c r="DT468"/>
  <c r="DS468"/>
  <c r="DR468"/>
  <c r="DQ468"/>
  <c r="DP468"/>
  <c r="DO468"/>
  <c r="DN468"/>
  <c r="DM468"/>
  <c r="DL468"/>
  <c r="DK468"/>
  <c r="DJ468"/>
  <c r="DI468"/>
  <c r="DH468"/>
  <c r="DG468"/>
  <c r="DF468"/>
  <c r="DE468"/>
  <c r="DD468"/>
  <c r="DC468"/>
  <c r="DB468"/>
  <c r="DA468"/>
  <c r="CZ468"/>
  <c r="CY468"/>
  <c r="CX468"/>
  <c r="CW468"/>
  <c r="CV468"/>
  <c r="CU468"/>
  <c r="CT468"/>
  <c r="CS468"/>
  <c r="CR468"/>
  <c r="CQ468"/>
  <c r="CP468"/>
  <c r="CO468"/>
  <c r="CN468"/>
  <c r="CM468"/>
  <c r="CL468"/>
  <c r="CK468"/>
  <c r="CJ468"/>
  <c r="CI468"/>
  <c r="CH468"/>
  <c r="CG468"/>
  <c r="CF468"/>
  <c r="CE468"/>
  <c r="CD468"/>
  <c r="CC468"/>
  <c r="CB468"/>
  <c r="CA468"/>
  <c r="BZ468"/>
  <c r="BY468"/>
  <c r="BX468"/>
  <c r="BW468"/>
  <c r="BV468"/>
  <c r="BU468"/>
  <c r="BT468"/>
  <c r="BS468"/>
  <c r="BR468"/>
  <c r="BQ468"/>
  <c r="BP468"/>
  <c r="BO468"/>
  <c r="BN468"/>
  <c r="DU467"/>
  <c r="DT467"/>
  <c r="DS467"/>
  <c r="DR467"/>
  <c r="DQ467"/>
  <c r="DP467"/>
  <c r="DO467"/>
  <c r="DN467"/>
  <c r="DM467"/>
  <c r="DL467"/>
  <c r="DK467"/>
  <c r="DJ467"/>
  <c r="DI467"/>
  <c r="DH467"/>
  <c r="DG467"/>
  <c r="DF467"/>
  <c r="DE467"/>
  <c r="DD467"/>
  <c r="DC467"/>
  <c r="DB467"/>
  <c r="DA467"/>
  <c r="CZ467"/>
  <c r="CY467"/>
  <c r="CX467"/>
  <c r="CW467"/>
  <c r="CV467"/>
  <c r="CU467"/>
  <c r="CT467"/>
  <c r="CS467"/>
  <c r="CR467"/>
  <c r="CQ467"/>
  <c r="CP467"/>
  <c r="CO467"/>
  <c r="CN467"/>
  <c r="CM467"/>
  <c r="CL467"/>
  <c r="CK467"/>
  <c r="CJ467"/>
  <c r="CI467"/>
  <c r="CH467"/>
  <c r="CG467"/>
  <c r="CF467"/>
  <c r="CE467"/>
  <c r="CD467"/>
  <c r="CC467"/>
  <c r="CB467"/>
  <c r="CA467"/>
  <c r="BZ467"/>
  <c r="BY467"/>
  <c r="BX467"/>
  <c r="BW467"/>
  <c r="BV467"/>
  <c r="BU467"/>
  <c r="BT467"/>
  <c r="BS467"/>
  <c r="BR467"/>
  <c r="BQ467"/>
  <c r="BP467"/>
  <c r="BO467"/>
  <c r="BN467"/>
  <c r="DU466"/>
  <c r="DT466"/>
  <c r="DS466"/>
  <c r="DR466"/>
  <c r="DQ466"/>
  <c r="DP466"/>
  <c r="DO466"/>
  <c r="DN466"/>
  <c r="DM466"/>
  <c r="DL466"/>
  <c r="DK466"/>
  <c r="DJ466"/>
  <c r="DI466"/>
  <c r="DH466"/>
  <c r="DG466"/>
  <c r="DF466"/>
  <c r="DE466"/>
  <c r="DD466"/>
  <c r="DC466"/>
  <c r="DB466"/>
  <c r="DA466"/>
  <c r="CZ466"/>
  <c r="CY466"/>
  <c r="CX466"/>
  <c r="CW466"/>
  <c r="CV466"/>
  <c r="CU466"/>
  <c r="CT466"/>
  <c r="CS466"/>
  <c r="CR466"/>
  <c r="CQ466"/>
  <c r="CP466"/>
  <c r="CO466"/>
  <c r="CN466"/>
  <c r="CM466"/>
  <c r="CL466"/>
  <c r="CK466"/>
  <c r="CJ466"/>
  <c r="CI466"/>
  <c r="CH466"/>
  <c r="CG466"/>
  <c r="CF466"/>
  <c r="CE466"/>
  <c r="CD466"/>
  <c r="CC466"/>
  <c r="CB466"/>
  <c r="CA466"/>
  <c r="BZ466"/>
  <c r="BY466"/>
  <c r="BX466"/>
  <c r="BW466"/>
  <c r="BV466"/>
  <c r="BU466"/>
  <c r="BT466"/>
  <c r="BS466"/>
  <c r="BR466"/>
  <c r="BQ466"/>
  <c r="BP466"/>
  <c r="BO466"/>
  <c r="BN466"/>
  <c r="DU465"/>
  <c r="DT465"/>
  <c r="DS465"/>
  <c r="DR465"/>
  <c r="DQ465"/>
  <c r="DP465"/>
  <c r="DO465"/>
  <c r="DN465"/>
  <c r="DM465"/>
  <c r="DL465"/>
  <c r="DK465"/>
  <c r="DJ465"/>
  <c r="DI465"/>
  <c r="DH465"/>
  <c r="DG465"/>
  <c r="DF465"/>
  <c r="DE465"/>
  <c r="DD465"/>
  <c r="DC465"/>
  <c r="DB465"/>
  <c r="DA465"/>
  <c r="CZ465"/>
  <c r="CY465"/>
  <c r="CX465"/>
  <c r="CW465"/>
  <c r="CV465"/>
  <c r="CU465"/>
  <c r="CT465"/>
  <c r="CS465"/>
  <c r="CR465"/>
  <c r="CQ465"/>
  <c r="CP465"/>
  <c r="CO465"/>
  <c r="CN465"/>
  <c r="CM465"/>
  <c r="CL465"/>
  <c r="CK465"/>
  <c r="CJ465"/>
  <c r="CI465"/>
  <c r="CH465"/>
  <c r="CG465"/>
  <c r="CF465"/>
  <c r="CE465"/>
  <c r="CD465"/>
  <c r="CC465"/>
  <c r="CB465"/>
  <c r="CA465"/>
  <c r="BZ465"/>
  <c r="BY465"/>
  <c r="BX465"/>
  <c r="BW465"/>
  <c r="BV465"/>
  <c r="BU465"/>
  <c r="BT465"/>
  <c r="BS465"/>
  <c r="BR465"/>
  <c r="BQ465"/>
  <c r="BP465"/>
  <c r="BO465"/>
  <c r="BN465"/>
  <c r="E465"/>
  <c r="D465"/>
  <c r="C465"/>
  <c r="B465"/>
  <c r="DU464"/>
  <c r="DT464"/>
  <c r="DS464"/>
  <c r="DR464"/>
  <c r="DQ464"/>
  <c r="DP464"/>
  <c r="DO464"/>
  <c r="DN464"/>
  <c r="DM464"/>
  <c r="DL464"/>
  <c r="DK464"/>
  <c r="DJ464"/>
  <c r="DI464"/>
  <c r="DH464"/>
  <c r="DG464"/>
  <c r="DF464"/>
  <c r="DE464"/>
  <c r="DD464"/>
  <c r="DC464"/>
  <c r="DB464"/>
  <c r="DA464"/>
  <c r="CZ464"/>
  <c r="CY464"/>
  <c r="CX464"/>
  <c r="CW464"/>
  <c r="CV464"/>
  <c r="CU464"/>
  <c r="CT464"/>
  <c r="CS464"/>
  <c r="CR464"/>
  <c r="CQ464"/>
  <c r="CP464"/>
  <c r="CO464"/>
  <c r="CN464"/>
  <c r="CM464"/>
  <c r="CL464"/>
  <c r="CK464"/>
  <c r="CJ464"/>
  <c r="CI464"/>
  <c r="CH464"/>
  <c r="CG464"/>
  <c r="CF464"/>
  <c r="CE464"/>
  <c r="CD464"/>
  <c r="CC464"/>
  <c r="CB464"/>
  <c r="CA464"/>
  <c r="BZ464"/>
  <c r="BY464"/>
  <c r="BX464"/>
  <c r="BW464"/>
  <c r="BV464"/>
  <c r="BU464"/>
  <c r="BT464"/>
  <c r="BS464"/>
  <c r="BR464"/>
  <c r="BQ464"/>
  <c r="BP464"/>
  <c r="BO464"/>
  <c r="BN464"/>
  <c r="E464"/>
  <c r="D464"/>
  <c r="C464"/>
  <c r="B464"/>
  <c r="DU463"/>
  <c r="DT463"/>
  <c r="DS463"/>
  <c r="DR463"/>
  <c r="DQ463"/>
  <c r="DP463"/>
  <c r="DO463"/>
  <c r="DN463"/>
  <c r="DM463"/>
  <c r="DL463"/>
  <c r="DK463"/>
  <c r="DJ463"/>
  <c r="DI463"/>
  <c r="DH463"/>
  <c r="DG463"/>
  <c r="DF463"/>
  <c r="DE463"/>
  <c r="DD463"/>
  <c r="DC463"/>
  <c r="DB463"/>
  <c r="DA463"/>
  <c r="CZ463"/>
  <c r="CY463"/>
  <c r="CX463"/>
  <c r="CW463"/>
  <c r="CV463"/>
  <c r="CU463"/>
  <c r="CT463"/>
  <c r="CS463"/>
  <c r="CR463"/>
  <c r="CQ463"/>
  <c r="CP463"/>
  <c r="CO463"/>
  <c r="CN463"/>
  <c r="CM463"/>
  <c r="CL463"/>
  <c r="CK463"/>
  <c r="CJ463"/>
  <c r="CI463"/>
  <c r="CH463"/>
  <c r="CG463"/>
  <c r="CF463"/>
  <c r="CE463"/>
  <c r="CD463"/>
  <c r="CC463"/>
  <c r="CB463"/>
  <c r="CA463"/>
  <c r="BZ463"/>
  <c r="BY463"/>
  <c r="BX463"/>
  <c r="BW463"/>
  <c r="BV463"/>
  <c r="BU463"/>
  <c r="BT463"/>
  <c r="BS463"/>
  <c r="BR463"/>
  <c r="BQ463"/>
  <c r="BP463"/>
  <c r="BO463"/>
  <c r="BN463"/>
  <c r="E463"/>
  <c r="D463"/>
  <c r="C463"/>
  <c r="B463"/>
  <c r="DU462"/>
  <c r="DT462"/>
  <c r="DS462"/>
  <c r="DR462"/>
  <c r="DQ462"/>
  <c r="DP462"/>
  <c r="DO462"/>
  <c r="DN462"/>
  <c r="DM462"/>
  <c r="DL462"/>
  <c r="DK462"/>
  <c r="DJ462"/>
  <c r="DI462"/>
  <c r="DH462"/>
  <c r="DG462"/>
  <c r="DF462"/>
  <c r="DE462"/>
  <c r="DD462"/>
  <c r="DC462"/>
  <c r="DB462"/>
  <c r="DA462"/>
  <c r="CZ462"/>
  <c r="CY462"/>
  <c r="CX462"/>
  <c r="CW462"/>
  <c r="CV462"/>
  <c r="CU462"/>
  <c r="CT462"/>
  <c r="CS462"/>
  <c r="CR462"/>
  <c r="CQ462"/>
  <c r="CP462"/>
  <c r="CO462"/>
  <c r="CN462"/>
  <c r="CM462"/>
  <c r="CL462"/>
  <c r="CK462"/>
  <c r="CJ462"/>
  <c r="CI462"/>
  <c r="CH462"/>
  <c r="CG462"/>
  <c r="CF462"/>
  <c r="CE462"/>
  <c r="CD462"/>
  <c r="CC462"/>
  <c r="CB462"/>
  <c r="CA462"/>
  <c r="BZ462"/>
  <c r="BY462"/>
  <c r="BX462"/>
  <c r="BW462"/>
  <c r="BV462"/>
  <c r="BU462"/>
  <c r="BT462"/>
  <c r="BS462"/>
  <c r="BR462"/>
  <c r="BQ462"/>
  <c r="BP462"/>
  <c r="BO462"/>
  <c r="BN462"/>
  <c r="E462"/>
  <c r="D462"/>
  <c r="C462"/>
  <c r="B462"/>
  <c r="DU461"/>
  <c r="DT461"/>
  <c r="DS461"/>
  <c r="DR461"/>
  <c r="DQ461"/>
  <c r="DP461"/>
  <c r="DO461"/>
  <c r="DN461"/>
  <c r="DM461"/>
  <c r="DL461"/>
  <c r="DK461"/>
  <c r="DJ461"/>
  <c r="DI461"/>
  <c r="DH461"/>
  <c r="DG461"/>
  <c r="DF461"/>
  <c r="DE461"/>
  <c r="DD461"/>
  <c r="DC461"/>
  <c r="DB461"/>
  <c r="DA461"/>
  <c r="CZ461"/>
  <c r="CY461"/>
  <c r="CX461"/>
  <c r="CW461"/>
  <c r="CV461"/>
  <c r="CU461"/>
  <c r="CT461"/>
  <c r="CS461"/>
  <c r="CR461"/>
  <c r="CQ461"/>
  <c r="CP461"/>
  <c r="CO461"/>
  <c r="CN461"/>
  <c r="CM461"/>
  <c r="CL461"/>
  <c r="CK461"/>
  <c r="CJ461"/>
  <c r="CI461"/>
  <c r="CH461"/>
  <c r="CG461"/>
  <c r="CF461"/>
  <c r="CE461"/>
  <c r="CD461"/>
  <c r="CC461"/>
  <c r="CB461"/>
  <c r="CA461"/>
  <c r="BZ461"/>
  <c r="BY461"/>
  <c r="BX461"/>
  <c r="BW461"/>
  <c r="BV461"/>
  <c r="BU461"/>
  <c r="BT461"/>
  <c r="BS461"/>
  <c r="BR461"/>
  <c r="BQ461"/>
  <c r="BP461"/>
  <c r="BO461"/>
  <c r="BN461"/>
  <c r="E461"/>
  <c r="D461"/>
  <c r="C461"/>
  <c r="B461"/>
  <c r="DU460"/>
  <c r="DT460"/>
  <c r="DS460"/>
  <c r="DR460"/>
  <c r="DQ460"/>
  <c r="DP460"/>
  <c r="DO460"/>
  <c r="DN460"/>
  <c r="DM460"/>
  <c r="DL460"/>
  <c r="DK460"/>
  <c r="DJ460"/>
  <c r="DI460"/>
  <c r="DH460"/>
  <c r="DG460"/>
  <c r="DF460"/>
  <c r="DE460"/>
  <c r="DD460"/>
  <c r="DC460"/>
  <c r="DB460"/>
  <c r="DA460"/>
  <c r="CZ460"/>
  <c r="CY460"/>
  <c r="CX460"/>
  <c r="CW460"/>
  <c r="CV460"/>
  <c r="CU460"/>
  <c r="CT460"/>
  <c r="CS460"/>
  <c r="CR460"/>
  <c r="CQ460"/>
  <c r="CP460"/>
  <c r="CO460"/>
  <c r="CN460"/>
  <c r="CM460"/>
  <c r="CL460"/>
  <c r="CK460"/>
  <c r="CJ460"/>
  <c r="CI460"/>
  <c r="CH460"/>
  <c r="CG460"/>
  <c r="CF460"/>
  <c r="CE460"/>
  <c r="CD460"/>
  <c r="CC460"/>
  <c r="CB460"/>
  <c r="CA460"/>
  <c r="BZ460"/>
  <c r="BY460"/>
  <c r="BX460"/>
  <c r="BW460"/>
  <c r="BV460"/>
  <c r="BU460"/>
  <c r="BT460"/>
  <c r="BS460"/>
  <c r="BR460"/>
  <c r="BQ460"/>
  <c r="BP460"/>
  <c r="BO460"/>
  <c r="BN460"/>
  <c r="E460"/>
  <c r="D460"/>
  <c r="C460"/>
  <c r="B460"/>
  <c r="DU459"/>
  <c r="DT459"/>
  <c r="DS459"/>
  <c r="DR459"/>
  <c r="DQ459"/>
  <c r="DP459"/>
  <c r="DO459"/>
  <c r="DN459"/>
  <c r="DM459"/>
  <c r="DL459"/>
  <c r="DK459"/>
  <c r="DJ459"/>
  <c r="DI459"/>
  <c r="DH459"/>
  <c r="DG459"/>
  <c r="DF459"/>
  <c r="DE459"/>
  <c r="DD459"/>
  <c r="DC459"/>
  <c r="DB459"/>
  <c r="DA459"/>
  <c r="CZ459"/>
  <c r="CY459"/>
  <c r="CX459"/>
  <c r="CW459"/>
  <c r="CV459"/>
  <c r="CU459"/>
  <c r="CT459"/>
  <c r="CS459"/>
  <c r="CR459"/>
  <c r="CQ459"/>
  <c r="CP459"/>
  <c r="CO459"/>
  <c r="CN459"/>
  <c r="CM459"/>
  <c r="CL459"/>
  <c r="CK459"/>
  <c r="CJ459"/>
  <c r="CI459"/>
  <c r="CH459"/>
  <c r="CG459"/>
  <c r="CF459"/>
  <c r="CE459"/>
  <c r="CD459"/>
  <c r="CC459"/>
  <c r="CB459"/>
  <c r="CA459"/>
  <c r="BZ459"/>
  <c r="BY459"/>
  <c r="BX459"/>
  <c r="BW459"/>
  <c r="BV459"/>
  <c r="BU459"/>
  <c r="BT459"/>
  <c r="BS459"/>
  <c r="BR459"/>
  <c r="BQ459"/>
  <c r="BP459"/>
  <c r="BO459"/>
  <c r="BN459"/>
  <c r="E459"/>
  <c r="D459"/>
  <c r="C459"/>
  <c r="B459"/>
  <c r="DU458"/>
  <c r="DT458"/>
  <c r="DS458"/>
  <c r="DR458"/>
  <c r="DQ458"/>
  <c r="DP458"/>
  <c r="DO458"/>
  <c r="DN458"/>
  <c r="DM458"/>
  <c r="DL458"/>
  <c r="DK458"/>
  <c r="DJ458"/>
  <c r="DI458"/>
  <c r="DH458"/>
  <c r="DG458"/>
  <c r="DF458"/>
  <c r="DE458"/>
  <c r="DD458"/>
  <c r="DC458"/>
  <c r="DB458"/>
  <c r="DA458"/>
  <c r="CZ458"/>
  <c r="CY458"/>
  <c r="CX458"/>
  <c r="CW458"/>
  <c r="CV458"/>
  <c r="CU458"/>
  <c r="CT458"/>
  <c r="CS458"/>
  <c r="CR458"/>
  <c r="CQ458"/>
  <c r="CP458"/>
  <c r="CO458"/>
  <c r="CN458"/>
  <c r="CM458"/>
  <c r="CL458"/>
  <c r="CK458"/>
  <c r="CJ458"/>
  <c r="CI458"/>
  <c r="CH458"/>
  <c r="CG458"/>
  <c r="CF458"/>
  <c r="CE458"/>
  <c r="CD458"/>
  <c r="CC458"/>
  <c r="CB458"/>
  <c r="CA458"/>
  <c r="BZ458"/>
  <c r="BY458"/>
  <c r="BX458"/>
  <c r="BW458"/>
  <c r="BV458"/>
  <c r="BU458"/>
  <c r="BT458"/>
  <c r="BS458"/>
  <c r="BR458"/>
  <c r="BQ458"/>
  <c r="BP458"/>
  <c r="BO458"/>
  <c r="BN458"/>
  <c r="E458"/>
  <c r="D458"/>
  <c r="C458"/>
  <c r="B458"/>
  <c r="DU457"/>
  <c r="DT457"/>
  <c r="DS457"/>
  <c r="DR457"/>
  <c r="DQ457"/>
  <c r="DP457"/>
  <c r="DO457"/>
  <c r="DN457"/>
  <c r="DM457"/>
  <c r="DL457"/>
  <c r="DK457"/>
  <c r="DJ457"/>
  <c r="DI457"/>
  <c r="DH457"/>
  <c r="DG457"/>
  <c r="DF457"/>
  <c r="DE457"/>
  <c r="DD457"/>
  <c r="DC457"/>
  <c r="DB457"/>
  <c r="DA457"/>
  <c r="CZ457"/>
  <c r="CY457"/>
  <c r="CX457"/>
  <c r="CW457"/>
  <c r="CV457"/>
  <c r="CU457"/>
  <c r="CT457"/>
  <c r="CS457"/>
  <c r="CR457"/>
  <c r="CQ457"/>
  <c r="CP457"/>
  <c r="CO457"/>
  <c r="CN457"/>
  <c r="CM457"/>
  <c r="CL457"/>
  <c r="CK457"/>
  <c r="CJ457"/>
  <c r="CI457"/>
  <c r="CH457"/>
  <c r="CG457"/>
  <c r="CF457"/>
  <c r="CE457"/>
  <c r="CD457"/>
  <c r="CC457"/>
  <c r="CB457"/>
  <c r="CA457"/>
  <c r="BZ457"/>
  <c r="BY457"/>
  <c r="BX457"/>
  <c r="BW457"/>
  <c r="BV457"/>
  <c r="BU457"/>
  <c r="BT457"/>
  <c r="BS457"/>
  <c r="BR457"/>
  <c r="BQ457"/>
  <c r="BP457"/>
  <c r="BO457"/>
  <c r="BN457"/>
  <c r="E457"/>
  <c r="D457"/>
  <c r="C457"/>
  <c r="B457"/>
  <c r="DU456"/>
  <c r="DT456"/>
  <c r="DS456"/>
  <c r="DR456"/>
  <c r="DQ456"/>
  <c r="DP456"/>
  <c r="DO456"/>
  <c r="DN456"/>
  <c r="DM456"/>
  <c r="DL456"/>
  <c r="DK456"/>
  <c r="DJ456"/>
  <c r="DI456"/>
  <c r="DH456"/>
  <c r="DG456"/>
  <c r="DF456"/>
  <c r="DE456"/>
  <c r="DD456"/>
  <c r="DC456"/>
  <c r="DB456"/>
  <c r="DA456"/>
  <c r="CZ456"/>
  <c r="CY456"/>
  <c r="CX456"/>
  <c r="CW456"/>
  <c r="CV456"/>
  <c r="CU456"/>
  <c r="CT456"/>
  <c r="CS456"/>
  <c r="CR456"/>
  <c r="CQ456"/>
  <c r="CP456"/>
  <c r="CO456"/>
  <c r="CN456"/>
  <c r="CM456"/>
  <c r="CL456"/>
  <c r="CK456"/>
  <c r="CJ456"/>
  <c r="CI456"/>
  <c r="CH456"/>
  <c r="CG456"/>
  <c r="CF456"/>
  <c r="CE456"/>
  <c r="CD456"/>
  <c r="CC456"/>
  <c r="CB456"/>
  <c r="CA456"/>
  <c r="BZ456"/>
  <c r="BY456"/>
  <c r="BX456"/>
  <c r="BW456"/>
  <c r="BV456"/>
  <c r="BU456"/>
  <c r="BT456"/>
  <c r="BS456"/>
  <c r="BR456"/>
  <c r="BQ456"/>
  <c r="BP456"/>
  <c r="BO456"/>
  <c r="BN456"/>
  <c r="E456"/>
  <c r="D456"/>
  <c r="C456"/>
  <c r="B456"/>
  <c r="DU455"/>
  <c r="DT455"/>
  <c r="DS455"/>
  <c r="DR455"/>
  <c r="DQ455"/>
  <c r="DP455"/>
  <c r="DO455"/>
  <c r="DN455"/>
  <c r="DM455"/>
  <c r="DL455"/>
  <c r="DK455"/>
  <c r="DJ455"/>
  <c r="DI455"/>
  <c r="DH455"/>
  <c r="DG455"/>
  <c r="DF455"/>
  <c r="DE455"/>
  <c r="DD455"/>
  <c r="DC455"/>
  <c r="DB455"/>
  <c r="DA455"/>
  <c r="CZ455"/>
  <c r="CY455"/>
  <c r="CX455"/>
  <c r="CW455"/>
  <c r="CV455"/>
  <c r="CU455"/>
  <c r="CT455"/>
  <c r="CS455"/>
  <c r="CR455"/>
  <c r="CQ455"/>
  <c r="CP455"/>
  <c r="CO455"/>
  <c r="CN455"/>
  <c r="CM455"/>
  <c r="CL455"/>
  <c r="CK455"/>
  <c r="CJ455"/>
  <c r="CI455"/>
  <c r="CH455"/>
  <c r="CG455"/>
  <c r="CF455"/>
  <c r="CE455"/>
  <c r="CD455"/>
  <c r="CC455"/>
  <c r="CB455"/>
  <c r="CA455"/>
  <c r="BZ455"/>
  <c r="BY455"/>
  <c r="BX455"/>
  <c r="BW455"/>
  <c r="BV455"/>
  <c r="BU455"/>
  <c r="BT455"/>
  <c r="BS455"/>
  <c r="BR455"/>
  <c r="BQ455"/>
  <c r="BP455"/>
  <c r="BO455"/>
  <c r="BN455"/>
  <c r="E455"/>
  <c r="D455"/>
  <c r="C455"/>
  <c r="B455"/>
  <c r="DU454"/>
  <c r="DT454"/>
  <c r="DS454"/>
  <c r="DR454"/>
  <c r="DQ454"/>
  <c r="DP454"/>
  <c r="DO454"/>
  <c r="DN454"/>
  <c r="DM454"/>
  <c r="DL454"/>
  <c r="DK454"/>
  <c r="DJ454"/>
  <c r="DI454"/>
  <c r="DH454"/>
  <c r="DG454"/>
  <c r="DF454"/>
  <c r="DE454"/>
  <c r="DD454"/>
  <c r="DC454"/>
  <c r="DB454"/>
  <c r="DA454"/>
  <c r="CZ454"/>
  <c r="CY454"/>
  <c r="CX454"/>
  <c r="CW454"/>
  <c r="CV454"/>
  <c r="CU454"/>
  <c r="CT454"/>
  <c r="CS454"/>
  <c r="CR454"/>
  <c r="CQ454"/>
  <c r="CP454"/>
  <c r="CO454"/>
  <c r="CN454"/>
  <c r="CM454"/>
  <c r="CL454"/>
  <c r="CK454"/>
  <c r="CJ454"/>
  <c r="CI454"/>
  <c r="CH454"/>
  <c r="CG454"/>
  <c r="CF454"/>
  <c r="CE454"/>
  <c r="CD454"/>
  <c r="CC454"/>
  <c r="CB454"/>
  <c r="CA454"/>
  <c r="BZ454"/>
  <c r="BY454"/>
  <c r="BX454"/>
  <c r="BW454"/>
  <c r="BV454"/>
  <c r="BU454"/>
  <c r="BT454"/>
  <c r="BS454"/>
  <c r="BR454"/>
  <c r="BQ454"/>
  <c r="BP454"/>
  <c r="BO454"/>
  <c r="BN454"/>
  <c r="E454"/>
  <c r="D454"/>
  <c r="C454"/>
  <c r="B454"/>
  <c r="DU453"/>
  <c r="DT453"/>
  <c r="DS453"/>
  <c r="DR453"/>
  <c r="DQ453"/>
  <c r="DP453"/>
  <c r="DO453"/>
  <c r="DN453"/>
  <c r="DM453"/>
  <c r="DL453"/>
  <c r="DK453"/>
  <c r="DJ453"/>
  <c r="DI453"/>
  <c r="DH453"/>
  <c r="DG453"/>
  <c r="DF453"/>
  <c r="DE453"/>
  <c r="DD453"/>
  <c r="DC453"/>
  <c r="DB453"/>
  <c r="DA453"/>
  <c r="CZ453"/>
  <c r="CY453"/>
  <c r="CX453"/>
  <c r="CW453"/>
  <c r="CV453"/>
  <c r="CU453"/>
  <c r="CT453"/>
  <c r="CS453"/>
  <c r="CR453"/>
  <c r="CQ453"/>
  <c r="CP453"/>
  <c r="CO453"/>
  <c r="CN453"/>
  <c r="CM453"/>
  <c r="CL453"/>
  <c r="CK453"/>
  <c r="CJ453"/>
  <c r="CI453"/>
  <c r="CH453"/>
  <c r="CG453"/>
  <c r="CF453"/>
  <c r="CE453"/>
  <c r="CD453"/>
  <c r="CC453"/>
  <c r="CB453"/>
  <c r="CA453"/>
  <c r="BZ453"/>
  <c r="BY453"/>
  <c r="BX453"/>
  <c r="BW453"/>
  <c r="BV453"/>
  <c r="BU453"/>
  <c r="BT453"/>
  <c r="BS453"/>
  <c r="BR453"/>
  <c r="BQ453"/>
  <c r="BP453"/>
  <c r="BO453"/>
  <c r="BN453"/>
  <c r="E453"/>
  <c r="D453"/>
  <c r="C453"/>
  <c r="B453"/>
  <c r="DU452"/>
  <c r="DT452"/>
  <c r="DS452"/>
  <c r="DR452"/>
  <c r="DQ452"/>
  <c r="DP452"/>
  <c r="DO452"/>
  <c r="DN452"/>
  <c r="DM452"/>
  <c r="DL452"/>
  <c r="DK452"/>
  <c r="DJ452"/>
  <c r="DI452"/>
  <c r="DH452"/>
  <c r="DG452"/>
  <c r="DF452"/>
  <c r="DE452"/>
  <c r="DD452"/>
  <c r="DC452"/>
  <c r="DB452"/>
  <c r="DA452"/>
  <c r="CZ452"/>
  <c r="CY452"/>
  <c r="CX452"/>
  <c r="CW452"/>
  <c r="CV452"/>
  <c r="CU452"/>
  <c r="CT452"/>
  <c r="CS452"/>
  <c r="CR452"/>
  <c r="CQ452"/>
  <c r="CP452"/>
  <c r="CO452"/>
  <c r="CN452"/>
  <c r="CM452"/>
  <c r="CL452"/>
  <c r="CK452"/>
  <c r="CJ452"/>
  <c r="CI452"/>
  <c r="CH452"/>
  <c r="CG452"/>
  <c r="CF452"/>
  <c r="CE452"/>
  <c r="CD452"/>
  <c r="CC452"/>
  <c r="CB452"/>
  <c r="CA452"/>
  <c r="BZ452"/>
  <c r="BY452"/>
  <c r="BX452"/>
  <c r="BW452"/>
  <c r="BV452"/>
  <c r="BU452"/>
  <c r="BT452"/>
  <c r="BS452"/>
  <c r="BR452"/>
  <c r="BQ452"/>
  <c r="BP452"/>
  <c r="BO452"/>
  <c r="BN452"/>
  <c r="E452"/>
  <c r="D452"/>
  <c r="C452"/>
  <c r="B452"/>
  <c r="DU451"/>
  <c r="DT451"/>
  <c r="DS451"/>
  <c r="DR451"/>
  <c r="DQ451"/>
  <c r="DP451"/>
  <c r="DO451"/>
  <c r="DN451"/>
  <c r="DM451"/>
  <c r="DL451"/>
  <c r="DK451"/>
  <c r="DJ451"/>
  <c r="DI451"/>
  <c r="DH451"/>
  <c r="DG451"/>
  <c r="DF451"/>
  <c r="DE451"/>
  <c r="DD451"/>
  <c r="DC451"/>
  <c r="DB451"/>
  <c r="DA451"/>
  <c r="CZ451"/>
  <c r="CY451"/>
  <c r="CX451"/>
  <c r="CW451"/>
  <c r="CV451"/>
  <c r="CU451"/>
  <c r="CT451"/>
  <c r="CS451"/>
  <c r="CR451"/>
  <c r="CQ451"/>
  <c r="CP451"/>
  <c r="CO451"/>
  <c r="CN451"/>
  <c r="CM451"/>
  <c r="CL451"/>
  <c r="CK451"/>
  <c r="CJ451"/>
  <c r="CI451"/>
  <c r="CH451"/>
  <c r="CG451"/>
  <c r="CF451"/>
  <c r="CE451"/>
  <c r="CD451"/>
  <c r="CC451"/>
  <c r="CB451"/>
  <c r="CA451"/>
  <c r="BZ451"/>
  <c r="BY451"/>
  <c r="BX451"/>
  <c r="BW451"/>
  <c r="BV451"/>
  <c r="BU451"/>
  <c r="BT451"/>
  <c r="BS451"/>
  <c r="BR451"/>
  <c r="BQ451"/>
  <c r="BP451"/>
  <c r="BO451"/>
  <c r="BN451"/>
  <c r="E451"/>
  <c r="D451"/>
  <c r="C451"/>
  <c r="B451"/>
  <c r="DU450"/>
  <c r="DT450"/>
  <c r="DS450"/>
  <c r="DR450"/>
  <c r="DQ450"/>
  <c r="DP450"/>
  <c r="DO450"/>
  <c r="DN450"/>
  <c r="DM450"/>
  <c r="DL450"/>
  <c r="DK450"/>
  <c r="DJ450"/>
  <c r="DI450"/>
  <c r="DH450"/>
  <c r="DG450"/>
  <c r="DF450"/>
  <c r="DE450"/>
  <c r="DD450"/>
  <c r="DC450"/>
  <c r="DB450"/>
  <c r="DA450"/>
  <c r="CZ450"/>
  <c r="CY450"/>
  <c r="CX450"/>
  <c r="CW450"/>
  <c r="CV450"/>
  <c r="CU450"/>
  <c r="CT450"/>
  <c r="CS450"/>
  <c r="CR450"/>
  <c r="CQ450"/>
  <c r="CP450"/>
  <c r="CO450"/>
  <c r="CN450"/>
  <c r="CM450"/>
  <c r="CL450"/>
  <c r="CK450"/>
  <c r="CJ450"/>
  <c r="CI450"/>
  <c r="CH450"/>
  <c r="CG450"/>
  <c r="CF450"/>
  <c r="CE450"/>
  <c r="CD450"/>
  <c r="CC450"/>
  <c r="CB450"/>
  <c r="CA450"/>
  <c r="BZ450"/>
  <c r="BY450"/>
  <c r="BX450"/>
  <c r="BW450"/>
  <c r="BV450"/>
  <c r="BU450"/>
  <c r="BT450"/>
  <c r="BS450"/>
  <c r="BR450"/>
  <c r="BQ450"/>
  <c r="BP450"/>
  <c r="BO450"/>
  <c r="BN450"/>
  <c r="E450"/>
  <c r="D450"/>
  <c r="C450"/>
  <c r="B450"/>
  <c r="DU449"/>
  <c r="DT449"/>
  <c r="DS449"/>
  <c r="DR449"/>
  <c r="DQ449"/>
  <c r="DP449"/>
  <c r="DO449"/>
  <c r="DN449"/>
  <c r="DM449"/>
  <c r="DL449"/>
  <c r="DK449"/>
  <c r="DJ449"/>
  <c r="DI449"/>
  <c r="DH449"/>
  <c r="DG449"/>
  <c r="DF449"/>
  <c r="DE449"/>
  <c r="DD449"/>
  <c r="DC449"/>
  <c r="DB449"/>
  <c r="DA449"/>
  <c r="CZ449"/>
  <c r="CY449"/>
  <c r="CX449"/>
  <c r="CW449"/>
  <c r="CV449"/>
  <c r="CU449"/>
  <c r="CT449"/>
  <c r="CS449"/>
  <c r="CR449"/>
  <c r="CQ449"/>
  <c r="CP449"/>
  <c r="CO449"/>
  <c r="CN449"/>
  <c r="CM449"/>
  <c r="CL449"/>
  <c r="CK449"/>
  <c r="CJ449"/>
  <c r="CI449"/>
  <c r="CH449"/>
  <c r="CG449"/>
  <c r="CF449"/>
  <c r="CE449"/>
  <c r="CD449"/>
  <c r="CC449"/>
  <c r="CB449"/>
  <c r="CA449"/>
  <c r="BZ449"/>
  <c r="BY449"/>
  <c r="BX449"/>
  <c r="BW449"/>
  <c r="BV449"/>
  <c r="BU449"/>
  <c r="BT449"/>
  <c r="BS449"/>
  <c r="BR449"/>
  <c r="BQ449"/>
  <c r="BP449"/>
  <c r="BO449"/>
  <c r="BN449"/>
  <c r="E449"/>
  <c r="D449"/>
  <c r="C449"/>
  <c r="B449"/>
  <c r="DU448"/>
  <c r="DT448"/>
  <c r="DS448"/>
  <c r="DR448"/>
  <c r="DQ448"/>
  <c r="DP448"/>
  <c r="DO448"/>
  <c r="DN448"/>
  <c r="DM448"/>
  <c r="DL448"/>
  <c r="DK448"/>
  <c r="DJ448"/>
  <c r="DI448"/>
  <c r="DH448"/>
  <c r="DG448"/>
  <c r="DF448"/>
  <c r="DE448"/>
  <c r="DD448"/>
  <c r="DC448"/>
  <c r="DB448"/>
  <c r="DA448"/>
  <c r="CZ448"/>
  <c r="CY448"/>
  <c r="CX448"/>
  <c r="CW448"/>
  <c r="CV448"/>
  <c r="CU448"/>
  <c r="CT448"/>
  <c r="CS448"/>
  <c r="CR448"/>
  <c r="CQ448"/>
  <c r="CP448"/>
  <c r="CO448"/>
  <c r="CN448"/>
  <c r="CM448"/>
  <c r="CL448"/>
  <c r="CK448"/>
  <c r="CJ448"/>
  <c r="CI448"/>
  <c r="CH448"/>
  <c r="CG448"/>
  <c r="CF448"/>
  <c r="CE448"/>
  <c r="CD448"/>
  <c r="CC448"/>
  <c r="CB448"/>
  <c r="CA448"/>
  <c r="BZ448"/>
  <c r="BY448"/>
  <c r="BX448"/>
  <c r="BW448"/>
  <c r="BV448"/>
  <c r="BU448"/>
  <c r="BT448"/>
  <c r="BS448"/>
  <c r="BR448"/>
  <c r="BQ448"/>
  <c r="BP448"/>
  <c r="BO448"/>
  <c r="BN448"/>
  <c r="E448"/>
  <c r="D448"/>
  <c r="C448"/>
  <c r="B448"/>
  <c r="DU447"/>
  <c r="DT447"/>
  <c r="DS447"/>
  <c r="DR447"/>
  <c r="DQ447"/>
  <c r="DP447"/>
  <c r="DO447"/>
  <c r="DN447"/>
  <c r="DM447"/>
  <c r="DL447"/>
  <c r="DK447"/>
  <c r="DJ447"/>
  <c r="DI447"/>
  <c r="DH447"/>
  <c r="DG447"/>
  <c r="DF447"/>
  <c r="DE447"/>
  <c r="DD447"/>
  <c r="DC447"/>
  <c r="DB447"/>
  <c r="DA447"/>
  <c r="CZ447"/>
  <c r="CY447"/>
  <c r="CX447"/>
  <c r="CW447"/>
  <c r="CV447"/>
  <c r="CU447"/>
  <c r="CT447"/>
  <c r="CS447"/>
  <c r="CR447"/>
  <c r="CQ447"/>
  <c r="CP447"/>
  <c r="CO447"/>
  <c r="CN447"/>
  <c r="CM447"/>
  <c r="CL447"/>
  <c r="CK447"/>
  <c r="CJ447"/>
  <c r="CI447"/>
  <c r="CH447"/>
  <c r="CG447"/>
  <c r="CF447"/>
  <c r="CE447"/>
  <c r="CD447"/>
  <c r="CC447"/>
  <c r="CB447"/>
  <c r="CA447"/>
  <c r="BZ447"/>
  <c r="BY447"/>
  <c r="BX447"/>
  <c r="BW447"/>
  <c r="BV447"/>
  <c r="BU447"/>
  <c r="BT447"/>
  <c r="BS447"/>
  <c r="BR447"/>
  <c r="BQ447"/>
  <c r="BP447"/>
  <c r="BO447"/>
  <c r="BN447"/>
  <c r="E447"/>
  <c r="D447"/>
  <c r="C447"/>
  <c r="B447"/>
  <c r="DU446"/>
  <c r="DT446"/>
  <c r="DS446"/>
  <c r="DR446"/>
  <c r="DQ446"/>
  <c r="DP446"/>
  <c r="DO446"/>
  <c r="DN446"/>
  <c r="DM446"/>
  <c r="DL446"/>
  <c r="DK446"/>
  <c r="DJ446"/>
  <c r="DI446"/>
  <c r="DH446"/>
  <c r="DG446"/>
  <c r="DF446"/>
  <c r="DE446"/>
  <c r="DD446"/>
  <c r="DC446"/>
  <c r="DB446"/>
  <c r="DA446"/>
  <c r="CZ446"/>
  <c r="CY446"/>
  <c r="CX446"/>
  <c r="CW446"/>
  <c r="CV446"/>
  <c r="CU446"/>
  <c r="CT446"/>
  <c r="CS446"/>
  <c r="CR446"/>
  <c r="CQ446"/>
  <c r="CP446"/>
  <c r="CO446"/>
  <c r="CN446"/>
  <c r="CM446"/>
  <c r="CL446"/>
  <c r="CK446"/>
  <c r="CJ446"/>
  <c r="CI446"/>
  <c r="CH446"/>
  <c r="CG446"/>
  <c r="CF446"/>
  <c r="CE446"/>
  <c r="CD446"/>
  <c r="CC446"/>
  <c r="CB446"/>
  <c r="CA446"/>
  <c r="BZ446"/>
  <c r="BY446"/>
  <c r="BX446"/>
  <c r="BW446"/>
  <c r="BV446"/>
  <c r="BU446"/>
  <c r="BT446"/>
  <c r="BS446"/>
  <c r="BR446"/>
  <c r="BQ446"/>
  <c r="BP446"/>
  <c r="BO446"/>
  <c r="BN446"/>
  <c r="E446"/>
  <c r="D446"/>
  <c r="C446"/>
  <c r="B446"/>
  <c r="DU445"/>
  <c r="DT445"/>
  <c r="DS445"/>
  <c r="DR445"/>
  <c r="DQ445"/>
  <c r="DP445"/>
  <c r="DO445"/>
  <c r="DN445"/>
  <c r="DM445"/>
  <c r="DL445"/>
  <c r="DK445"/>
  <c r="DJ445"/>
  <c r="DI445"/>
  <c r="DH445"/>
  <c r="DG445"/>
  <c r="DF445"/>
  <c r="DE445"/>
  <c r="DD445"/>
  <c r="DC445"/>
  <c r="DB445"/>
  <c r="DA445"/>
  <c r="CZ445"/>
  <c r="CY445"/>
  <c r="CX445"/>
  <c r="CW445"/>
  <c r="CV445"/>
  <c r="CU445"/>
  <c r="CT445"/>
  <c r="CS445"/>
  <c r="CR445"/>
  <c r="CQ445"/>
  <c r="CP445"/>
  <c r="CO445"/>
  <c r="CN445"/>
  <c r="CM445"/>
  <c r="CL445"/>
  <c r="CK445"/>
  <c r="CJ445"/>
  <c r="CI445"/>
  <c r="CH445"/>
  <c r="CG445"/>
  <c r="CF445"/>
  <c r="CE445"/>
  <c r="CD445"/>
  <c r="CC445"/>
  <c r="CB445"/>
  <c r="CA445"/>
  <c r="BZ445"/>
  <c r="BY445"/>
  <c r="BX445"/>
  <c r="BW445"/>
  <c r="BV445"/>
  <c r="BU445"/>
  <c r="BT445"/>
  <c r="BS445"/>
  <c r="BR445"/>
  <c r="BQ445"/>
  <c r="BP445"/>
  <c r="BO445"/>
  <c r="BN445"/>
  <c r="E445"/>
  <c r="D445"/>
  <c r="C445"/>
  <c r="B445"/>
  <c r="DU444"/>
  <c r="DT444"/>
  <c r="DS444"/>
  <c r="DR444"/>
  <c r="DQ444"/>
  <c r="DP444"/>
  <c r="DO444"/>
  <c r="DN444"/>
  <c r="DM444"/>
  <c r="DL444"/>
  <c r="DK444"/>
  <c r="DJ444"/>
  <c r="DI444"/>
  <c r="DH444"/>
  <c r="DG444"/>
  <c r="DF444"/>
  <c r="DE444"/>
  <c r="DD444"/>
  <c r="DC444"/>
  <c r="DB444"/>
  <c r="DA444"/>
  <c r="CZ444"/>
  <c r="CY444"/>
  <c r="CX444"/>
  <c r="CW444"/>
  <c r="CV444"/>
  <c r="CU444"/>
  <c r="CT444"/>
  <c r="CS444"/>
  <c r="CR444"/>
  <c r="CQ444"/>
  <c r="CP444"/>
  <c r="CO444"/>
  <c r="CN444"/>
  <c r="CM444"/>
  <c r="CL444"/>
  <c r="CK444"/>
  <c r="CJ444"/>
  <c r="CI444"/>
  <c r="CH444"/>
  <c r="CG444"/>
  <c r="CF444"/>
  <c r="CE444"/>
  <c r="CD444"/>
  <c r="CC444"/>
  <c r="CB444"/>
  <c r="CA444"/>
  <c r="BZ444"/>
  <c r="BY444"/>
  <c r="BX444"/>
  <c r="BW444"/>
  <c r="BV444"/>
  <c r="BU444"/>
  <c r="BT444"/>
  <c r="BS444"/>
  <c r="BR444"/>
  <c r="BQ444"/>
  <c r="BP444"/>
  <c r="BO444"/>
  <c r="BN444"/>
  <c r="E444"/>
  <c r="D444"/>
  <c r="C444"/>
  <c r="B444"/>
  <c r="DU443"/>
  <c r="DT443"/>
  <c r="DS443"/>
  <c r="DR443"/>
  <c r="DQ443"/>
  <c r="DP443"/>
  <c r="DO443"/>
  <c r="DN443"/>
  <c r="DM443"/>
  <c r="DL443"/>
  <c r="DK443"/>
  <c r="DJ443"/>
  <c r="DI443"/>
  <c r="DH443"/>
  <c r="DG443"/>
  <c r="DF443"/>
  <c r="DE443"/>
  <c r="DD443"/>
  <c r="DC443"/>
  <c r="DB443"/>
  <c r="DA443"/>
  <c r="CZ443"/>
  <c r="CY443"/>
  <c r="CX443"/>
  <c r="CW443"/>
  <c r="CV443"/>
  <c r="CU443"/>
  <c r="CT443"/>
  <c r="CS443"/>
  <c r="CR443"/>
  <c r="CQ443"/>
  <c r="CP443"/>
  <c r="CO443"/>
  <c r="CN443"/>
  <c r="CM443"/>
  <c r="CL443"/>
  <c r="CK443"/>
  <c r="CJ443"/>
  <c r="CI443"/>
  <c r="CH443"/>
  <c r="CG443"/>
  <c r="CF443"/>
  <c r="CE443"/>
  <c r="CD443"/>
  <c r="CC443"/>
  <c r="CB443"/>
  <c r="CA443"/>
  <c r="BZ443"/>
  <c r="BY443"/>
  <c r="BX443"/>
  <c r="BW443"/>
  <c r="BV443"/>
  <c r="BU443"/>
  <c r="BT443"/>
  <c r="BS443"/>
  <c r="BR443"/>
  <c r="BQ443"/>
  <c r="BP443"/>
  <c r="BO443"/>
  <c r="BN443"/>
  <c r="E443"/>
  <c r="D443"/>
  <c r="C443"/>
  <c r="B443"/>
  <c r="DU442"/>
  <c r="DT442"/>
  <c r="DS442"/>
  <c r="DR442"/>
  <c r="DQ442"/>
  <c r="DP442"/>
  <c r="DO442"/>
  <c r="DN442"/>
  <c r="DM442"/>
  <c r="DL442"/>
  <c r="DK442"/>
  <c r="DJ442"/>
  <c r="DI442"/>
  <c r="DH442"/>
  <c r="DG442"/>
  <c r="DF442"/>
  <c r="DE442"/>
  <c r="DD442"/>
  <c r="DC442"/>
  <c r="DB442"/>
  <c r="DA442"/>
  <c r="CZ442"/>
  <c r="CY442"/>
  <c r="CX442"/>
  <c r="CW442"/>
  <c r="CV442"/>
  <c r="CU442"/>
  <c r="CT442"/>
  <c r="CS442"/>
  <c r="CR442"/>
  <c r="CQ442"/>
  <c r="CP442"/>
  <c r="CO442"/>
  <c r="CN442"/>
  <c r="CM442"/>
  <c r="CL442"/>
  <c r="CK442"/>
  <c r="CJ442"/>
  <c r="CI442"/>
  <c r="CH442"/>
  <c r="CG442"/>
  <c r="CF442"/>
  <c r="CE442"/>
  <c r="CD442"/>
  <c r="CC442"/>
  <c r="CB442"/>
  <c r="CA442"/>
  <c r="BZ442"/>
  <c r="BY442"/>
  <c r="BX442"/>
  <c r="BW442"/>
  <c r="BV442"/>
  <c r="BU442"/>
  <c r="BT442"/>
  <c r="BS442"/>
  <c r="BR442"/>
  <c r="BQ442"/>
  <c r="BP442"/>
  <c r="BO442"/>
  <c r="BN442"/>
  <c r="E442"/>
  <c r="D442"/>
  <c r="C442"/>
  <c r="B442"/>
  <c r="DU441"/>
  <c r="DT441"/>
  <c r="DS441"/>
  <c r="DR441"/>
  <c r="DQ441"/>
  <c r="DP441"/>
  <c r="DO441"/>
  <c r="DN441"/>
  <c r="DM441"/>
  <c r="DL441"/>
  <c r="DK441"/>
  <c r="DJ441"/>
  <c r="DI441"/>
  <c r="DH441"/>
  <c r="DG441"/>
  <c r="DF441"/>
  <c r="DE441"/>
  <c r="DD441"/>
  <c r="DC441"/>
  <c r="DB441"/>
  <c r="DA441"/>
  <c r="CZ441"/>
  <c r="CY441"/>
  <c r="CX441"/>
  <c r="CW441"/>
  <c r="CV441"/>
  <c r="CU441"/>
  <c r="CT441"/>
  <c r="CS441"/>
  <c r="CR441"/>
  <c r="CQ441"/>
  <c r="CP441"/>
  <c r="CO441"/>
  <c r="CN441"/>
  <c r="CM441"/>
  <c r="CL441"/>
  <c r="CK441"/>
  <c r="CJ441"/>
  <c r="CI441"/>
  <c r="CH441"/>
  <c r="CG441"/>
  <c r="CF441"/>
  <c r="CE441"/>
  <c r="CD441"/>
  <c r="CC441"/>
  <c r="CB441"/>
  <c r="CA441"/>
  <c r="BZ441"/>
  <c r="BY441"/>
  <c r="BX441"/>
  <c r="BW441"/>
  <c r="BV441"/>
  <c r="BU441"/>
  <c r="BT441"/>
  <c r="BS441"/>
  <c r="BR441"/>
  <c r="BQ441"/>
  <c r="BP441"/>
  <c r="BO441"/>
  <c r="BN441"/>
  <c r="E441"/>
  <c r="D441"/>
  <c r="C441"/>
  <c r="B441"/>
  <c r="DU440"/>
  <c r="DT440"/>
  <c r="DS440"/>
  <c r="DR440"/>
  <c r="DQ440"/>
  <c r="DP440"/>
  <c r="DO440"/>
  <c r="DN440"/>
  <c r="DM440"/>
  <c r="DL440"/>
  <c r="DK440"/>
  <c r="DJ440"/>
  <c r="DI440"/>
  <c r="DH440"/>
  <c r="DG440"/>
  <c r="DF440"/>
  <c r="DE440"/>
  <c r="DD440"/>
  <c r="DC440"/>
  <c r="DB440"/>
  <c r="DA440"/>
  <c r="CZ440"/>
  <c r="CY440"/>
  <c r="CX440"/>
  <c r="CW440"/>
  <c r="CV440"/>
  <c r="CU440"/>
  <c r="CT440"/>
  <c r="CS440"/>
  <c r="CR440"/>
  <c r="CQ440"/>
  <c r="CP440"/>
  <c r="CO440"/>
  <c r="CN440"/>
  <c r="CM440"/>
  <c r="CL440"/>
  <c r="CK440"/>
  <c r="CJ440"/>
  <c r="CI440"/>
  <c r="CH440"/>
  <c r="CG440"/>
  <c r="CF440"/>
  <c r="CE440"/>
  <c r="CD440"/>
  <c r="CC440"/>
  <c r="CB440"/>
  <c r="CA440"/>
  <c r="BZ440"/>
  <c r="BY440"/>
  <c r="BX440"/>
  <c r="BW440"/>
  <c r="BV440"/>
  <c r="BU440"/>
  <c r="BT440"/>
  <c r="BS440"/>
  <c r="BR440"/>
  <c r="BQ440"/>
  <c r="BP440"/>
  <c r="BO440"/>
  <c r="BN440"/>
  <c r="E440"/>
  <c r="D440"/>
  <c r="C440"/>
  <c r="B440"/>
  <c r="DU439"/>
  <c r="DT439"/>
  <c r="DS439"/>
  <c r="DR439"/>
  <c r="DQ439"/>
  <c r="DP439"/>
  <c r="DO439"/>
  <c r="DN439"/>
  <c r="DM439"/>
  <c r="DL439"/>
  <c r="DK439"/>
  <c r="DJ439"/>
  <c r="DI439"/>
  <c r="DH439"/>
  <c r="DG439"/>
  <c r="DF439"/>
  <c r="DE439"/>
  <c r="DD439"/>
  <c r="DC439"/>
  <c r="DB439"/>
  <c r="DA439"/>
  <c r="CZ439"/>
  <c r="CY439"/>
  <c r="CX439"/>
  <c r="CW439"/>
  <c r="CV439"/>
  <c r="CU439"/>
  <c r="CT439"/>
  <c r="CS439"/>
  <c r="CR439"/>
  <c r="CQ439"/>
  <c r="CP439"/>
  <c r="CO439"/>
  <c r="CN439"/>
  <c r="CM439"/>
  <c r="CL439"/>
  <c r="CK439"/>
  <c r="CJ439"/>
  <c r="CI439"/>
  <c r="CH439"/>
  <c r="CG439"/>
  <c r="CF439"/>
  <c r="CE439"/>
  <c r="CD439"/>
  <c r="CC439"/>
  <c r="CB439"/>
  <c r="CA439"/>
  <c r="BZ439"/>
  <c r="BY439"/>
  <c r="BX439"/>
  <c r="BW439"/>
  <c r="BV439"/>
  <c r="BU439"/>
  <c r="BT439"/>
  <c r="BS439"/>
  <c r="BR439"/>
  <c r="BQ439"/>
  <c r="BP439"/>
  <c r="BO439"/>
  <c r="BN439"/>
  <c r="E439"/>
  <c r="D439"/>
  <c r="C439"/>
  <c r="B439"/>
  <c r="DU438"/>
  <c r="DT438"/>
  <c r="DS438"/>
  <c r="DR438"/>
  <c r="DQ438"/>
  <c r="DP438"/>
  <c r="DO438"/>
  <c r="DN438"/>
  <c r="DM438"/>
  <c r="DL438"/>
  <c r="DK438"/>
  <c r="DJ438"/>
  <c r="DI438"/>
  <c r="DH438"/>
  <c r="DG438"/>
  <c r="DF438"/>
  <c r="DE438"/>
  <c r="DD438"/>
  <c r="DC438"/>
  <c r="DB438"/>
  <c r="DA438"/>
  <c r="CZ438"/>
  <c r="CY438"/>
  <c r="CX438"/>
  <c r="CW438"/>
  <c r="CV438"/>
  <c r="CU438"/>
  <c r="CT438"/>
  <c r="CS438"/>
  <c r="CR438"/>
  <c r="CQ438"/>
  <c r="CP438"/>
  <c r="CO438"/>
  <c r="CN438"/>
  <c r="CM438"/>
  <c r="CL438"/>
  <c r="CK438"/>
  <c r="CJ438"/>
  <c r="CI438"/>
  <c r="CH438"/>
  <c r="CG438"/>
  <c r="CF438"/>
  <c r="CE438"/>
  <c r="CD438"/>
  <c r="CC438"/>
  <c r="CB438"/>
  <c r="CA438"/>
  <c r="BZ438"/>
  <c r="BY438"/>
  <c r="BX438"/>
  <c r="BW438"/>
  <c r="BV438"/>
  <c r="BU438"/>
  <c r="BT438"/>
  <c r="BS438"/>
  <c r="BR438"/>
  <c r="BQ438"/>
  <c r="BP438"/>
  <c r="BO438"/>
  <c r="BN438"/>
  <c r="E438"/>
  <c r="D438"/>
  <c r="C438"/>
  <c r="B438"/>
  <c r="DU437"/>
  <c r="DT437"/>
  <c r="DS437"/>
  <c r="DR437"/>
  <c r="DQ437"/>
  <c r="DP437"/>
  <c r="DO437"/>
  <c r="DN437"/>
  <c r="DM437"/>
  <c r="DL437"/>
  <c r="DK437"/>
  <c r="DJ437"/>
  <c r="DI437"/>
  <c r="DH437"/>
  <c r="DG437"/>
  <c r="DF437"/>
  <c r="DE437"/>
  <c r="DD437"/>
  <c r="DC437"/>
  <c r="DB437"/>
  <c r="DA437"/>
  <c r="CZ437"/>
  <c r="CY437"/>
  <c r="CX437"/>
  <c r="CW437"/>
  <c r="CV437"/>
  <c r="CU437"/>
  <c r="CT437"/>
  <c r="CS437"/>
  <c r="CR437"/>
  <c r="CQ437"/>
  <c r="CP437"/>
  <c r="CO437"/>
  <c r="CN437"/>
  <c r="CM437"/>
  <c r="CL437"/>
  <c r="CK437"/>
  <c r="CJ437"/>
  <c r="CI437"/>
  <c r="CH437"/>
  <c r="CG437"/>
  <c r="CF437"/>
  <c r="CE437"/>
  <c r="CD437"/>
  <c r="CC437"/>
  <c r="CB437"/>
  <c r="CA437"/>
  <c r="BZ437"/>
  <c r="BY437"/>
  <c r="BX437"/>
  <c r="BW437"/>
  <c r="BV437"/>
  <c r="BU437"/>
  <c r="BT437"/>
  <c r="BS437"/>
  <c r="BR437"/>
  <c r="BQ437"/>
  <c r="BP437"/>
  <c r="BO437"/>
  <c r="BN437"/>
  <c r="E437"/>
  <c r="D437"/>
  <c r="C437"/>
  <c r="B437"/>
  <c r="DU436"/>
  <c r="DT436"/>
  <c r="DS436"/>
  <c r="DR436"/>
  <c r="DQ436"/>
  <c r="DP436"/>
  <c r="DO436"/>
  <c r="DN436"/>
  <c r="DM436"/>
  <c r="DL436"/>
  <c r="DK436"/>
  <c r="DJ436"/>
  <c r="DI436"/>
  <c r="DH436"/>
  <c r="DG436"/>
  <c r="DF436"/>
  <c r="DE436"/>
  <c r="DD436"/>
  <c r="DC436"/>
  <c r="DB436"/>
  <c r="DA436"/>
  <c r="CZ436"/>
  <c r="CY436"/>
  <c r="CX436"/>
  <c r="CW436"/>
  <c r="CV436"/>
  <c r="CU436"/>
  <c r="CT436"/>
  <c r="CS436"/>
  <c r="CR436"/>
  <c r="CQ436"/>
  <c r="CP436"/>
  <c r="CO436"/>
  <c r="CN436"/>
  <c r="CM436"/>
  <c r="CL436"/>
  <c r="CK436"/>
  <c r="CJ436"/>
  <c r="CI436"/>
  <c r="CH436"/>
  <c r="CG436"/>
  <c r="CF436"/>
  <c r="CE436"/>
  <c r="CD436"/>
  <c r="CC436"/>
  <c r="CB436"/>
  <c r="CA436"/>
  <c r="BZ436"/>
  <c r="BY436"/>
  <c r="BX436"/>
  <c r="BW436"/>
  <c r="BV436"/>
  <c r="BU436"/>
  <c r="BT436"/>
  <c r="BS436"/>
  <c r="BR436"/>
  <c r="BQ436"/>
  <c r="BP436"/>
  <c r="BO436"/>
  <c r="BN436"/>
  <c r="E436"/>
  <c r="D436"/>
  <c r="C436"/>
  <c r="B436"/>
  <c r="DU435"/>
  <c r="DT435"/>
  <c r="DS435"/>
  <c r="DR435"/>
  <c r="DQ435"/>
  <c r="DP435"/>
  <c r="DO435"/>
  <c r="DN435"/>
  <c r="DM435"/>
  <c r="DL435"/>
  <c r="DK435"/>
  <c r="DJ435"/>
  <c r="DI435"/>
  <c r="DH435"/>
  <c r="DG435"/>
  <c r="DF435"/>
  <c r="DE435"/>
  <c r="DD435"/>
  <c r="DC435"/>
  <c r="DB435"/>
  <c r="DA435"/>
  <c r="CZ435"/>
  <c r="CY435"/>
  <c r="CX435"/>
  <c r="CW435"/>
  <c r="CV435"/>
  <c r="CU435"/>
  <c r="CT435"/>
  <c r="CS435"/>
  <c r="CR435"/>
  <c r="CQ435"/>
  <c r="CP435"/>
  <c r="CO435"/>
  <c r="CN435"/>
  <c r="CM435"/>
  <c r="CL435"/>
  <c r="CK435"/>
  <c r="CJ435"/>
  <c r="CI435"/>
  <c r="CH435"/>
  <c r="CG435"/>
  <c r="CF435"/>
  <c r="CE435"/>
  <c r="CD435"/>
  <c r="CC435"/>
  <c r="CB435"/>
  <c r="CA435"/>
  <c r="BZ435"/>
  <c r="BY435"/>
  <c r="BX435"/>
  <c r="BW435"/>
  <c r="BV435"/>
  <c r="BU435"/>
  <c r="BT435"/>
  <c r="BS435"/>
  <c r="BR435"/>
  <c r="BQ435"/>
  <c r="BP435"/>
  <c r="BO435"/>
  <c r="BN435"/>
  <c r="E435"/>
  <c r="D435"/>
  <c r="C435"/>
  <c r="B435"/>
  <c r="DU434"/>
  <c r="DT434"/>
  <c r="DS434"/>
  <c r="DR434"/>
  <c r="DQ434"/>
  <c r="DP434"/>
  <c r="DO434"/>
  <c r="DN434"/>
  <c r="DM434"/>
  <c r="DL434"/>
  <c r="DK434"/>
  <c r="DJ434"/>
  <c r="DI434"/>
  <c r="DH434"/>
  <c r="DG434"/>
  <c r="DF434"/>
  <c r="DE434"/>
  <c r="DD434"/>
  <c r="DC434"/>
  <c r="DB434"/>
  <c r="DA434"/>
  <c r="CZ434"/>
  <c r="CY434"/>
  <c r="CX434"/>
  <c r="CW434"/>
  <c r="CV434"/>
  <c r="CU434"/>
  <c r="CT434"/>
  <c r="CS434"/>
  <c r="CR434"/>
  <c r="CQ434"/>
  <c r="CP434"/>
  <c r="CO434"/>
  <c r="CN434"/>
  <c r="CM434"/>
  <c r="CL434"/>
  <c r="CK434"/>
  <c r="CJ434"/>
  <c r="CI434"/>
  <c r="CH434"/>
  <c r="CG434"/>
  <c r="CF434"/>
  <c r="CE434"/>
  <c r="CD434"/>
  <c r="CC434"/>
  <c r="CB434"/>
  <c r="CA434"/>
  <c r="BZ434"/>
  <c r="BY434"/>
  <c r="BX434"/>
  <c r="BW434"/>
  <c r="BV434"/>
  <c r="BU434"/>
  <c r="BT434"/>
  <c r="BS434"/>
  <c r="BR434"/>
  <c r="BQ434"/>
  <c r="BP434"/>
  <c r="BO434"/>
  <c r="BN434"/>
  <c r="E434"/>
  <c r="D434"/>
  <c r="C434"/>
  <c r="B434"/>
  <c r="DU433"/>
  <c r="DT433"/>
  <c r="DS433"/>
  <c r="DR433"/>
  <c r="DQ433"/>
  <c r="DP433"/>
  <c r="DO433"/>
  <c r="DN433"/>
  <c r="DM433"/>
  <c r="DL433"/>
  <c r="DK433"/>
  <c r="DJ433"/>
  <c r="DI433"/>
  <c r="DH433"/>
  <c r="DG433"/>
  <c r="DF433"/>
  <c r="DE433"/>
  <c r="DD433"/>
  <c r="DC433"/>
  <c r="DB433"/>
  <c r="DA433"/>
  <c r="CZ433"/>
  <c r="CY433"/>
  <c r="CX433"/>
  <c r="CW433"/>
  <c r="CV433"/>
  <c r="CU433"/>
  <c r="CT433"/>
  <c r="CS433"/>
  <c r="CR433"/>
  <c r="CQ433"/>
  <c r="CP433"/>
  <c r="CO433"/>
  <c r="CN433"/>
  <c r="CM433"/>
  <c r="CL433"/>
  <c r="CK433"/>
  <c r="CJ433"/>
  <c r="CI433"/>
  <c r="CH433"/>
  <c r="CG433"/>
  <c r="CF433"/>
  <c r="CE433"/>
  <c r="CD433"/>
  <c r="CC433"/>
  <c r="CB433"/>
  <c r="CA433"/>
  <c r="BZ433"/>
  <c r="BY433"/>
  <c r="BX433"/>
  <c r="BW433"/>
  <c r="BV433"/>
  <c r="BU433"/>
  <c r="BT433"/>
  <c r="BS433"/>
  <c r="BR433"/>
  <c r="BQ433"/>
  <c r="BP433"/>
  <c r="BO433"/>
  <c r="BN433"/>
  <c r="E433"/>
  <c r="D433"/>
  <c r="C433"/>
  <c r="B433"/>
  <c r="DU432"/>
  <c r="DT432"/>
  <c r="DS432"/>
  <c r="DR432"/>
  <c r="DQ432"/>
  <c r="DP432"/>
  <c r="DO432"/>
  <c r="DN432"/>
  <c r="DM432"/>
  <c r="DL432"/>
  <c r="DK432"/>
  <c r="DJ432"/>
  <c r="DI432"/>
  <c r="DH432"/>
  <c r="DG432"/>
  <c r="DF432"/>
  <c r="DE432"/>
  <c r="DD432"/>
  <c r="DC432"/>
  <c r="DB432"/>
  <c r="DA432"/>
  <c r="CZ432"/>
  <c r="CY432"/>
  <c r="CX432"/>
  <c r="CW432"/>
  <c r="CV432"/>
  <c r="CU432"/>
  <c r="CT432"/>
  <c r="CS432"/>
  <c r="CR432"/>
  <c r="CQ432"/>
  <c r="CP432"/>
  <c r="CO432"/>
  <c r="CN432"/>
  <c r="CM432"/>
  <c r="CL432"/>
  <c r="CK432"/>
  <c r="CJ432"/>
  <c r="CI432"/>
  <c r="CH432"/>
  <c r="CG432"/>
  <c r="CF432"/>
  <c r="CE432"/>
  <c r="CD432"/>
  <c r="CC432"/>
  <c r="CB432"/>
  <c r="CA432"/>
  <c r="BZ432"/>
  <c r="BY432"/>
  <c r="BX432"/>
  <c r="BW432"/>
  <c r="BV432"/>
  <c r="BU432"/>
  <c r="BT432"/>
  <c r="BS432"/>
  <c r="BR432"/>
  <c r="BQ432"/>
  <c r="BP432"/>
  <c r="BO432"/>
  <c r="BN432"/>
  <c r="E432"/>
  <c r="D432"/>
  <c r="C432"/>
  <c r="B432"/>
  <c r="DU431"/>
  <c r="DT431"/>
  <c r="DS431"/>
  <c r="DR431"/>
  <c r="DQ431"/>
  <c r="DP431"/>
  <c r="DO431"/>
  <c r="DN431"/>
  <c r="DM431"/>
  <c r="DL431"/>
  <c r="DK431"/>
  <c r="DJ431"/>
  <c r="DI431"/>
  <c r="DH431"/>
  <c r="DG431"/>
  <c r="DF431"/>
  <c r="DE431"/>
  <c r="DD431"/>
  <c r="DC431"/>
  <c r="DB431"/>
  <c r="DA431"/>
  <c r="CZ431"/>
  <c r="CY431"/>
  <c r="CX431"/>
  <c r="CW431"/>
  <c r="CV431"/>
  <c r="CU431"/>
  <c r="CT431"/>
  <c r="CS431"/>
  <c r="CR431"/>
  <c r="CQ431"/>
  <c r="CP431"/>
  <c r="CO431"/>
  <c r="CN431"/>
  <c r="CM431"/>
  <c r="CL431"/>
  <c r="CK431"/>
  <c r="CJ431"/>
  <c r="CI431"/>
  <c r="CH431"/>
  <c r="CG431"/>
  <c r="CF431"/>
  <c r="CE431"/>
  <c r="CD431"/>
  <c r="CC431"/>
  <c r="CB431"/>
  <c r="CA431"/>
  <c r="BZ431"/>
  <c r="BY431"/>
  <c r="BX431"/>
  <c r="BW431"/>
  <c r="BV431"/>
  <c r="BU431"/>
  <c r="BT431"/>
  <c r="BS431"/>
  <c r="BR431"/>
  <c r="BQ431"/>
  <c r="BP431"/>
  <c r="BO431"/>
  <c r="BN431"/>
  <c r="E431"/>
  <c r="D431"/>
  <c r="C431"/>
  <c r="B431"/>
  <c r="DU430"/>
  <c r="DT430"/>
  <c r="DS430"/>
  <c r="DR430"/>
  <c r="DQ430"/>
  <c r="DP430"/>
  <c r="DO430"/>
  <c r="DN430"/>
  <c r="DM430"/>
  <c r="DL430"/>
  <c r="DK430"/>
  <c r="DJ430"/>
  <c r="DI430"/>
  <c r="DH430"/>
  <c r="DG430"/>
  <c r="DF430"/>
  <c r="DE430"/>
  <c r="DD430"/>
  <c r="DC430"/>
  <c r="DB430"/>
  <c r="DA430"/>
  <c r="CZ430"/>
  <c r="CY430"/>
  <c r="CX430"/>
  <c r="CW430"/>
  <c r="CV430"/>
  <c r="CU430"/>
  <c r="CT430"/>
  <c r="CS430"/>
  <c r="CR430"/>
  <c r="CQ430"/>
  <c r="CP430"/>
  <c r="CO430"/>
  <c r="CN430"/>
  <c r="CM430"/>
  <c r="CL430"/>
  <c r="CK430"/>
  <c r="CJ430"/>
  <c r="CI430"/>
  <c r="CH430"/>
  <c r="CG430"/>
  <c r="CF430"/>
  <c r="CE430"/>
  <c r="CD430"/>
  <c r="CC430"/>
  <c r="CB430"/>
  <c r="CA430"/>
  <c r="BZ430"/>
  <c r="BY430"/>
  <c r="BX430"/>
  <c r="BW430"/>
  <c r="BV430"/>
  <c r="BU430"/>
  <c r="BT430"/>
  <c r="BS430"/>
  <c r="BR430"/>
  <c r="BQ430"/>
  <c r="BP430"/>
  <c r="BO430"/>
  <c r="BN430"/>
  <c r="E430"/>
  <c r="D430"/>
  <c r="C430"/>
  <c r="B430"/>
  <c r="DU429"/>
  <c r="DT429"/>
  <c r="DS429"/>
  <c r="DR429"/>
  <c r="DQ429"/>
  <c r="DP429"/>
  <c r="DO429"/>
  <c r="DN429"/>
  <c r="DM429"/>
  <c r="DL429"/>
  <c r="DK429"/>
  <c r="DJ429"/>
  <c r="DI429"/>
  <c r="DH429"/>
  <c r="DG429"/>
  <c r="DF429"/>
  <c r="DE429"/>
  <c r="DD429"/>
  <c r="DC429"/>
  <c r="DB429"/>
  <c r="DA429"/>
  <c r="CZ429"/>
  <c r="CY429"/>
  <c r="CX429"/>
  <c r="CW429"/>
  <c r="CV429"/>
  <c r="CU429"/>
  <c r="CT429"/>
  <c r="CS429"/>
  <c r="CR429"/>
  <c r="CQ429"/>
  <c r="CP429"/>
  <c r="CO429"/>
  <c r="CN429"/>
  <c r="CM429"/>
  <c r="CL429"/>
  <c r="CK429"/>
  <c r="CJ429"/>
  <c r="CI429"/>
  <c r="CH429"/>
  <c r="CG429"/>
  <c r="CF429"/>
  <c r="CE429"/>
  <c r="CD429"/>
  <c r="CC429"/>
  <c r="CB429"/>
  <c r="CA429"/>
  <c r="BZ429"/>
  <c r="BY429"/>
  <c r="BX429"/>
  <c r="BW429"/>
  <c r="BV429"/>
  <c r="BU429"/>
  <c r="BT429"/>
  <c r="BS429"/>
  <c r="BR429"/>
  <c r="BQ429"/>
  <c r="BP429"/>
  <c r="BO429"/>
  <c r="BN429"/>
  <c r="E429"/>
  <c r="D429"/>
  <c r="C429"/>
  <c r="B429"/>
  <c r="DU428"/>
  <c r="DT428"/>
  <c r="DS428"/>
  <c r="DR428"/>
  <c r="DQ428"/>
  <c r="DP428"/>
  <c r="DO428"/>
  <c r="DN428"/>
  <c r="DM428"/>
  <c r="DL428"/>
  <c r="DK428"/>
  <c r="DJ428"/>
  <c r="DI428"/>
  <c r="DH428"/>
  <c r="DG428"/>
  <c r="DF428"/>
  <c r="DE428"/>
  <c r="DD428"/>
  <c r="DC428"/>
  <c r="DB428"/>
  <c r="DA428"/>
  <c r="CZ428"/>
  <c r="CY428"/>
  <c r="CX428"/>
  <c r="CW428"/>
  <c r="CV428"/>
  <c r="CU428"/>
  <c r="CT428"/>
  <c r="CS428"/>
  <c r="CR428"/>
  <c r="CQ428"/>
  <c r="CP428"/>
  <c r="CO428"/>
  <c r="CN428"/>
  <c r="CM428"/>
  <c r="CL428"/>
  <c r="CK428"/>
  <c r="CJ428"/>
  <c r="CI428"/>
  <c r="CH428"/>
  <c r="CG428"/>
  <c r="CF428"/>
  <c r="CE428"/>
  <c r="CD428"/>
  <c r="CC428"/>
  <c r="CB428"/>
  <c r="CA428"/>
  <c r="BZ428"/>
  <c r="BY428"/>
  <c r="BX428"/>
  <c r="BW428"/>
  <c r="BV428"/>
  <c r="BU428"/>
  <c r="BT428"/>
  <c r="BS428"/>
  <c r="BR428"/>
  <c r="BQ428"/>
  <c r="BP428"/>
  <c r="BO428"/>
  <c r="BN428"/>
  <c r="E428"/>
  <c r="D428"/>
  <c r="C428"/>
  <c r="B428"/>
  <c r="DU427"/>
  <c r="DT427"/>
  <c r="DS427"/>
  <c r="DR427"/>
  <c r="DQ427"/>
  <c r="DP427"/>
  <c r="DO427"/>
  <c r="DN427"/>
  <c r="DM427"/>
  <c r="DL427"/>
  <c r="DK427"/>
  <c r="DJ427"/>
  <c r="DI427"/>
  <c r="DH427"/>
  <c r="DG427"/>
  <c r="DF427"/>
  <c r="DE427"/>
  <c r="DD427"/>
  <c r="DC427"/>
  <c r="DB427"/>
  <c r="DA427"/>
  <c r="CZ427"/>
  <c r="CY427"/>
  <c r="CX427"/>
  <c r="CW427"/>
  <c r="CV427"/>
  <c r="CU427"/>
  <c r="CT427"/>
  <c r="CS427"/>
  <c r="CR427"/>
  <c r="CQ427"/>
  <c r="CP427"/>
  <c r="CO427"/>
  <c r="CN427"/>
  <c r="CM427"/>
  <c r="CL427"/>
  <c r="CK427"/>
  <c r="CJ427"/>
  <c r="CI427"/>
  <c r="CH427"/>
  <c r="CG427"/>
  <c r="CF427"/>
  <c r="CE427"/>
  <c r="CD427"/>
  <c r="CC427"/>
  <c r="CB427"/>
  <c r="CA427"/>
  <c r="BZ427"/>
  <c r="BY427"/>
  <c r="BX427"/>
  <c r="BW427"/>
  <c r="BV427"/>
  <c r="BU427"/>
  <c r="BT427"/>
  <c r="BS427"/>
  <c r="BR427"/>
  <c r="BQ427"/>
  <c r="BP427"/>
  <c r="BO427"/>
  <c r="BN427"/>
  <c r="E427"/>
  <c r="D427"/>
  <c r="C427"/>
  <c r="B427"/>
  <c r="DU426"/>
  <c r="DT426"/>
  <c r="DS426"/>
  <c r="DR426"/>
  <c r="DQ426"/>
  <c r="DP426"/>
  <c r="DO426"/>
  <c r="DN426"/>
  <c r="DM426"/>
  <c r="DL426"/>
  <c r="DK426"/>
  <c r="DJ426"/>
  <c r="DI426"/>
  <c r="DH426"/>
  <c r="DG426"/>
  <c r="DF426"/>
  <c r="DE426"/>
  <c r="DD426"/>
  <c r="DC426"/>
  <c r="DB426"/>
  <c r="DA426"/>
  <c r="CZ426"/>
  <c r="CY426"/>
  <c r="CX426"/>
  <c r="CW426"/>
  <c r="CV426"/>
  <c r="CU426"/>
  <c r="CT426"/>
  <c r="CS426"/>
  <c r="CR426"/>
  <c r="CQ426"/>
  <c r="CP426"/>
  <c r="CO426"/>
  <c r="CN426"/>
  <c r="CM426"/>
  <c r="CL426"/>
  <c r="CK426"/>
  <c r="CJ426"/>
  <c r="CI426"/>
  <c r="CH426"/>
  <c r="CG426"/>
  <c r="CF426"/>
  <c r="CE426"/>
  <c r="CD426"/>
  <c r="CC426"/>
  <c r="CB426"/>
  <c r="CA426"/>
  <c r="BZ426"/>
  <c r="BY426"/>
  <c r="BX426"/>
  <c r="BW426"/>
  <c r="BV426"/>
  <c r="BU426"/>
  <c r="BT426"/>
  <c r="BS426"/>
  <c r="BR426"/>
  <c r="BQ426"/>
  <c r="BP426"/>
  <c r="BO426"/>
  <c r="BN426"/>
  <c r="E426"/>
  <c r="D426"/>
  <c r="C426"/>
  <c r="B426"/>
  <c r="DU425"/>
  <c r="DT425"/>
  <c r="DS425"/>
  <c r="DR425"/>
  <c r="DQ425"/>
  <c r="DP425"/>
  <c r="DO425"/>
  <c r="DN425"/>
  <c r="DM425"/>
  <c r="DL425"/>
  <c r="DK425"/>
  <c r="DJ425"/>
  <c r="DI425"/>
  <c r="DH425"/>
  <c r="DG425"/>
  <c r="DF425"/>
  <c r="DE425"/>
  <c r="DD425"/>
  <c r="DC425"/>
  <c r="DB425"/>
  <c r="DA425"/>
  <c r="CZ425"/>
  <c r="CY425"/>
  <c r="CX425"/>
  <c r="CW425"/>
  <c r="CV425"/>
  <c r="CU425"/>
  <c r="CT425"/>
  <c r="CS425"/>
  <c r="CR425"/>
  <c r="CQ425"/>
  <c r="CP425"/>
  <c r="CO425"/>
  <c r="CN425"/>
  <c r="CM425"/>
  <c r="CL425"/>
  <c r="CK425"/>
  <c r="CJ425"/>
  <c r="CI425"/>
  <c r="CH425"/>
  <c r="CG425"/>
  <c r="CF425"/>
  <c r="CE425"/>
  <c r="CD425"/>
  <c r="CC425"/>
  <c r="CB425"/>
  <c r="CA425"/>
  <c r="BZ425"/>
  <c r="BY425"/>
  <c r="BX425"/>
  <c r="BW425"/>
  <c r="BV425"/>
  <c r="BU425"/>
  <c r="BT425"/>
  <c r="BS425"/>
  <c r="BR425"/>
  <c r="BQ425"/>
  <c r="BP425"/>
  <c r="BO425"/>
  <c r="BN425"/>
  <c r="E425"/>
  <c r="D425"/>
  <c r="C425"/>
  <c r="B425"/>
  <c r="DU424"/>
  <c r="DT424"/>
  <c r="DS424"/>
  <c r="DR424"/>
  <c r="DQ424"/>
  <c r="DP424"/>
  <c r="DO424"/>
  <c r="DN424"/>
  <c r="DM424"/>
  <c r="DL424"/>
  <c r="DK424"/>
  <c r="DJ424"/>
  <c r="DI424"/>
  <c r="DH424"/>
  <c r="DG424"/>
  <c r="DF424"/>
  <c r="DE424"/>
  <c r="DD424"/>
  <c r="DC424"/>
  <c r="DB424"/>
  <c r="DA424"/>
  <c r="CZ424"/>
  <c r="CY424"/>
  <c r="CX424"/>
  <c r="CW424"/>
  <c r="CV424"/>
  <c r="CU424"/>
  <c r="CT424"/>
  <c r="CS424"/>
  <c r="CR424"/>
  <c r="CQ424"/>
  <c r="CP424"/>
  <c r="CO424"/>
  <c r="CN424"/>
  <c r="CM424"/>
  <c r="CL424"/>
  <c r="CK424"/>
  <c r="CJ424"/>
  <c r="CI424"/>
  <c r="CH424"/>
  <c r="CG424"/>
  <c r="CF424"/>
  <c r="CE424"/>
  <c r="CD424"/>
  <c r="CC424"/>
  <c r="CB424"/>
  <c r="CA424"/>
  <c r="BZ424"/>
  <c r="BY424"/>
  <c r="BX424"/>
  <c r="BW424"/>
  <c r="BV424"/>
  <c r="BU424"/>
  <c r="BT424"/>
  <c r="BS424"/>
  <c r="BR424"/>
  <c r="BQ424"/>
  <c r="BP424"/>
  <c r="BO424"/>
  <c r="BN424"/>
  <c r="E424"/>
  <c r="D424"/>
  <c r="C424"/>
  <c r="B424"/>
  <c r="DU423"/>
  <c r="DT423"/>
  <c r="DS423"/>
  <c r="DR423"/>
  <c r="DQ423"/>
  <c r="DP423"/>
  <c r="DO423"/>
  <c r="DN423"/>
  <c r="DM423"/>
  <c r="DL423"/>
  <c r="DK423"/>
  <c r="DJ423"/>
  <c r="DI423"/>
  <c r="DH423"/>
  <c r="DG423"/>
  <c r="DF423"/>
  <c r="DE423"/>
  <c r="DD423"/>
  <c r="DC423"/>
  <c r="DB423"/>
  <c r="DA423"/>
  <c r="CZ423"/>
  <c r="CY423"/>
  <c r="CX423"/>
  <c r="CW423"/>
  <c r="CV423"/>
  <c r="CU423"/>
  <c r="CT423"/>
  <c r="CS423"/>
  <c r="CR423"/>
  <c r="CQ423"/>
  <c r="CP423"/>
  <c r="CO423"/>
  <c r="CN423"/>
  <c r="CM423"/>
  <c r="CL423"/>
  <c r="CK423"/>
  <c r="CJ423"/>
  <c r="CI423"/>
  <c r="CH423"/>
  <c r="CG423"/>
  <c r="CF423"/>
  <c r="CE423"/>
  <c r="CD423"/>
  <c r="CC423"/>
  <c r="CB423"/>
  <c r="CA423"/>
  <c r="BZ423"/>
  <c r="BY423"/>
  <c r="BX423"/>
  <c r="BW423"/>
  <c r="BV423"/>
  <c r="BU423"/>
  <c r="BT423"/>
  <c r="BS423"/>
  <c r="BR423"/>
  <c r="BQ423"/>
  <c r="BP423"/>
  <c r="BO423"/>
  <c r="BN423"/>
  <c r="E423"/>
  <c r="D423"/>
  <c r="C423"/>
  <c r="B423"/>
  <c r="DU422"/>
  <c r="DT422"/>
  <c r="DS422"/>
  <c r="DR422"/>
  <c r="DQ422"/>
  <c r="DP422"/>
  <c r="DO422"/>
  <c r="DN422"/>
  <c r="DM422"/>
  <c r="DL422"/>
  <c r="DK422"/>
  <c r="DJ422"/>
  <c r="DI422"/>
  <c r="DH422"/>
  <c r="DG422"/>
  <c r="DF422"/>
  <c r="DE422"/>
  <c r="DD422"/>
  <c r="DC422"/>
  <c r="DB422"/>
  <c r="DA422"/>
  <c r="CZ422"/>
  <c r="CY422"/>
  <c r="CX422"/>
  <c r="CW422"/>
  <c r="CV422"/>
  <c r="CU422"/>
  <c r="CT422"/>
  <c r="CS422"/>
  <c r="CR422"/>
  <c r="CQ422"/>
  <c r="CP422"/>
  <c r="CO422"/>
  <c r="CN422"/>
  <c r="CM422"/>
  <c r="CL422"/>
  <c r="CK422"/>
  <c r="CJ422"/>
  <c r="CI422"/>
  <c r="CH422"/>
  <c r="CG422"/>
  <c r="CF422"/>
  <c r="CE422"/>
  <c r="CD422"/>
  <c r="CC422"/>
  <c r="CB422"/>
  <c r="CA422"/>
  <c r="BZ422"/>
  <c r="BY422"/>
  <c r="BX422"/>
  <c r="BW422"/>
  <c r="BV422"/>
  <c r="BU422"/>
  <c r="BT422"/>
  <c r="BS422"/>
  <c r="BR422"/>
  <c r="BQ422"/>
  <c r="BP422"/>
  <c r="BO422"/>
  <c r="BN422"/>
  <c r="E422"/>
  <c r="D422"/>
  <c r="C422"/>
  <c r="B422"/>
  <c r="DU421"/>
  <c r="DT421"/>
  <c r="DS421"/>
  <c r="DR421"/>
  <c r="DQ421"/>
  <c r="DP421"/>
  <c r="DO421"/>
  <c r="DN421"/>
  <c r="DM421"/>
  <c r="DL421"/>
  <c r="DK421"/>
  <c r="DJ421"/>
  <c r="DI421"/>
  <c r="DH421"/>
  <c r="DG421"/>
  <c r="DF421"/>
  <c r="DE421"/>
  <c r="DD421"/>
  <c r="DC421"/>
  <c r="DB421"/>
  <c r="DA421"/>
  <c r="CZ421"/>
  <c r="CY421"/>
  <c r="CX421"/>
  <c r="CW421"/>
  <c r="CV421"/>
  <c r="CU421"/>
  <c r="CT421"/>
  <c r="CS421"/>
  <c r="CR421"/>
  <c r="CQ421"/>
  <c r="CP421"/>
  <c r="CO421"/>
  <c r="CN421"/>
  <c r="CM421"/>
  <c r="CL421"/>
  <c r="CK421"/>
  <c r="CJ421"/>
  <c r="CI421"/>
  <c r="CH421"/>
  <c r="CG421"/>
  <c r="CF421"/>
  <c r="CE421"/>
  <c r="CD421"/>
  <c r="CC421"/>
  <c r="CB421"/>
  <c r="CA421"/>
  <c r="BZ421"/>
  <c r="BY421"/>
  <c r="BX421"/>
  <c r="BW421"/>
  <c r="BV421"/>
  <c r="BU421"/>
  <c r="BT421"/>
  <c r="BS421"/>
  <c r="BR421"/>
  <c r="BQ421"/>
  <c r="BP421"/>
  <c r="BO421"/>
  <c r="BN421"/>
  <c r="E421"/>
  <c r="D421"/>
  <c r="C421"/>
  <c r="B421"/>
  <c r="DU420"/>
  <c r="DT420"/>
  <c r="DS420"/>
  <c r="DR420"/>
  <c r="DQ420"/>
  <c r="DP420"/>
  <c r="DO420"/>
  <c r="DN420"/>
  <c r="DM420"/>
  <c r="DL420"/>
  <c r="DK420"/>
  <c r="DJ420"/>
  <c r="DI420"/>
  <c r="DH420"/>
  <c r="DG420"/>
  <c r="DF420"/>
  <c r="DE420"/>
  <c r="DD420"/>
  <c r="DC420"/>
  <c r="DB420"/>
  <c r="DA420"/>
  <c r="CZ420"/>
  <c r="CY420"/>
  <c r="CX420"/>
  <c r="CW420"/>
  <c r="CV420"/>
  <c r="CU420"/>
  <c r="CT420"/>
  <c r="CS420"/>
  <c r="CR420"/>
  <c r="CQ420"/>
  <c r="CP420"/>
  <c r="CO420"/>
  <c r="CN420"/>
  <c r="CM420"/>
  <c r="CL420"/>
  <c r="CK420"/>
  <c r="CJ420"/>
  <c r="CI420"/>
  <c r="CH420"/>
  <c r="CG420"/>
  <c r="CF420"/>
  <c r="CE420"/>
  <c r="CD420"/>
  <c r="CC420"/>
  <c r="CB420"/>
  <c r="CA420"/>
  <c r="BZ420"/>
  <c r="BY420"/>
  <c r="BX420"/>
  <c r="BW420"/>
  <c r="BV420"/>
  <c r="BU420"/>
  <c r="BT420"/>
  <c r="BS420"/>
  <c r="BR420"/>
  <c r="BQ420"/>
  <c r="BP420"/>
  <c r="BO420"/>
  <c r="BN420"/>
  <c r="DU419"/>
  <c r="DT419"/>
  <c r="DS419"/>
  <c r="DR419"/>
  <c r="DQ419"/>
  <c r="DP419"/>
  <c r="DO419"/>
  <c r="DN419"/>
  <c r="DM419"/>
  <c r="DL419"/>
  <c r="DK419"/>
  <c r="DJ419"/>
  <c r="DI419"/>
  <c r="DH419"/>
  <c r="DG419"/>
  <c r="DF419"/>
  <c r="DE419"/>
  <c r="DD419"/>
  <c r="DC419"/>
  <c r="DB419"/>
  <c r="DA419"/>
  <c r="CZ419"/>
  <c r="CY419"/>
  <c r="CX419"/>
  <c r="CW419"/>
  <c r="CV419"/>
  <c r="CU419"/>
  <c r="CT419"/>
  <c r="CS419"/>
  <c r="CR419"/>
  <c r="CQ419"/>
  <c r="CP419"/>
  <c r="CO419"/>
  <c r="CN419"/>
  <c r="CM419"/>
  <c r="CL419"/>
  <c r="CK419"/>
  <c r="CJ419"/>
  <c r="CI419"/>
  <c r="CH419"/>
  <c r="CG419"/>
  <c r="CF419"/>
  <c r="CE419"/>
  <c r="CD419"/>
  <c r="CC419"/>
  <c r="CB419"/>
  <c r="CA419"/>
  <c r="BZ419"/>
  <c r="BY419"/>
  <c r="BX419"/>
  <c r="BW419"/>
  <c r="BV419"/>
  <c r="BU419"/>
  <c r="BT419"/>
  <c r="BS419"/>
  <c r="BR419"/>
  <c r="BQ419"/>
  <c r="BP419"/>
  <c r="BO419"/>
  <c r="BN419"/>
  <c r="A419"/>
  <c r="DU418"/>
  <c r="DT418"/>
  <c r="DS418"/>
  <c r="DR418"/>
  <c r="DQ418"/>
  <c r="DP418"/>
  <c r="DO418"/>
  <c r="DN418"/>
  <c r="DM418"/>
  <c r="DL418"/>
  <c r="DK418"/>
  <c r="DJ418"/>
  <c r="DI418"/>
  <c r="DH418"/>
  <c r="DG418"/>
  <c r="DF418"/>
  <c r="DE418"/>
  <c r="DD418"/>
  <c r="DC418"/>
  <c r="DB418"/>
  <c r="DA418"/>
  <c r="CZ418"/>
  <c r="CY418"/>
  <c r="CX418"/>
  <c r="CW418"/>
  <c r="CV418"/>
  <c r="CU418"/>
  <c r="CT418"/>
  <c r="CS418"/>
  <c r="CR418"/>
  <c r="CQ418"/>
  <c r="CP418"/>
  <c r="CO418"/>
  <c r="CN418"/>
  <c r="CM418"/>
  <c r="CL418"/>
  <c r="CK418"/>
  <c r="CJ418"/>
  <c r="CI418"/>
  <c r="CH418"/>
  <c r="CG418"/>
  <c r="CF418"/>
  <c r="CE418"/>
  <c r="CD418"/>
  <c r="CC418"/>
  <c r="CB418"/>
  <c r="CA418"/>
  <c r="BZ418"/>
  <c r="BY418"/>
  <c r="BX418"/>
  <c r="BW418"/>
  <c r="BV418"/>
  <c r="BU418"/>
  <c r="BT418"/>
  <c r="BS418"/>
  <c r="BR418"/>
  <c r="BQ418"/>
  <c r="BP418"/>
  <c r="BO418"/>
  <c r="BN418"/>
  <c r="B418"/>
  <c r="B834" s="1"/>
  <c r="A418"/>
  <c r="DU417"/>
  <c r="DT417"/>
  <c r="DS417"/>
  <c r="DR417"/>
  <c r="DQ417"/>
  <c r="DP417"/>
  <c r="DO417"/>
  <c r="DN417"/>
  <c r="DM417"/>
  <c r="DL417"/>
  <c r="DK417"/>
  <c r="DJ417"/>
  <c r="DI417"/>
  <c r="DH417"/>
  <c r="DG417"/>
  <c r="DF417"/>
  <c r="DE417"/>
  <c r="DD417"/>
  <c r="DC417"/>
  <c r="DB417"/>
  <c r="DA417"/>
  <c r="CZ417"/>
  <c r="CY417"/>
  <c r="CX417"/>
  <c r="CW417"/>
  <c r="CV417"/>
  <c r="CU417"/>
  <c r="CT417"/>
  <c r="CS417"/>
  <c r="CR417"/>
  <c r="CQ417"/>
  <c r="CP417"/>
  <c r="CO417"/>
  <c r="CN417"/>
  <c r="CM417"/>
  <c r="CL417"/>
  <c r="CK417"/>
  <c r="CJ417"/>
  <c r="CI417"/>
  <c r="CH417"/>
  <c r="CG417"/>
  <c r="CF417"/>
  <c r="CE417"/>
  <c r="CD417"/>
  <c r="CC417"/>
  <c r="CB417"/>
  <c r="CA417"/>
  <c r="BZ417"/>
  <c r="BY417"/>
  <c r="BX417"/>
  <c r="BW417"/>
  <c r="BV417"/>
  <c r="BU417"/>
  <c r="BT417"/>
  <c r="BS417"/>
  <c r="BR417"/>
  <c r="BQ417"/>
  <c r="BP417"/>
  <c r="BO417"/>
  <c r="BN417"/>
  <c r="C417"/>
  <c r="A417"/>
  <c r="DU416"/>
  <c r="DT416"/>
  <c r="DS416"/>
  <c r="DR416"/>
  <c r="DQ416"/>
  <c r="DP416"/>
  <c r="DO416"/>
  <c r="DN416"/>
  <c r="DM416"/>
  <c r="DL416"/>
  <c r="DK416"/>
  <c r="DJ416"/>
  <c r="DI416"/>
  <c r="DH416"/>
  <c r="DG416"/>
  <c r="DF416"/>
  <c r="DE416"/>
  <c r="DD416"/>
  <c r="DC416"/>
  <c r="DB416"/>
  <c r="DA416"/>
  <c r="CZ416"/>
  <c r="CY416"/>
  <c r="CX416"/>
  <c r="CW416"/>
  <c r="CV416"/>
  <c r="CU416"/>
  <c r="CT416"/>
  <c r="CS416"/>
  <c r="CR416"/>
  <c r="CQ416"/>
  <c r="CP416"/>
  <c r="CO416"/>
  <c r="CN416"/>
  <c r="CM416"/>
  <c r="CL416"/>
  <c r="CK416"/>
  <c r="CJ416"/>
  <c r="CI416"/>
  <c r="CH416"/>
  <c r="CG416"/>
  <c r="CF416"/>
  <c r="CE416"/>
  <c r="CD416"/>
  <c r="CC416"/>
  <c r="CB416"/>
  <c r="CA416"/>
  <c r="BZ416"/>
  <c r="BY416"/>
  <c r="BX416"/>
  <c r="BW416"/>
  <c r="BV416"/>
  <c r="BU416"/>
  <c r="BT416"/>
  <c r="BS416"/>
  <c r="BR416"/>
  <c r="BQ416"/>
  <c r="BP416"/>
  <c r="BO416"/>
  <c r="BN416"/>
  <c r="B416"/>
  <c r="A416"/>
  <c r="DU415"/>
  <c r="DT415"/>
  <c r="DS415"/>
  <c r="DR415"/>
  <c r="DQ415"/>
  <c r="DP415"/>
  <c r="DO415"/>
  <c r="DN415"/>
  <c r="DM415"/>
  <c r="DL415"/>
  <c r="DK415"/>
  <c r="DJ415"/>
  <c r="DI415"/>
  <c r="DH415"/>
  <c r="DG415"/>
  <c r="DF415"/>
  <c r="DE415"/>
  <c r="DD415"/>
  <c r="DC415"/>
  <c r="DB415"/>
  <c r="DA415"/>
  <c r="CZ415"/>
  <c r="CY415"/>
  <c r="CX415"/>
  <c r="CW415"/>
  <c r="CV415"/>
  <c r="CU415"/>
  <c r="CT415"/>
  <c r="CS415"/>
  <c r="CR415"/>
  <c r="CQ415"/>
  <c r="CP415"/>
  <c r="CO415"/>
  <c r="CN415"/>
  <c r="CM415"/>
  <c r="CL415"/>
  <c r="CK415"/>
  <c r="CJ415"/>
  <c r="CI415"/>
  <c r="CH415"/>
  <c r="CG415"/>
  <c r="CF415"/>
  <c r="CE415"/>
  <c r="CD415"/>
  <c r="CC415"/>
  <c r="CB415"/>
  <c r="CA415"/>
  <c r="BZ415"/>
  <c r="BY415"/>
  <c r="BX415"/>
  <c r="BW415"/>
  <c r="BV415"/>
  <c r="BU415"/>
  <c r="BT415"/>
  <c r="BS415"/>
  <c r="BR415"/>
  <c r="BQ415"/>
  <c r="BP415"/>
  <c r="BO415"/>
  <c r="BN415"/>
  <c r="C415"/>
  <c r="B415"/>
  <c r="A415"/>
  <c r="DU414"/>
  <c r="DT414"/>
  <c r="DS414"/>
  <c r="DR414"/>
  <c r="DQ414"/>
  <c r="DP414"/>
  <c r="DO414"/>
  <c r="DN414"/>
  <c r="DM414"/>
  <c r="DL414"/>
  <c r="DK414"/>
  <c r="DJ414"/>
  <c r="DI414"/>
  <c r="DH414"/>
  <c r="DG414"/>
  <c r="DF414"/>
  <c r="DE414"/>
  <c r="DD414"/>
  <c r="DC414"/>
  <c r="DB414"/>
  <c r="DA414"/>
  <c r="CZ414"/>
  <c r="CY414"/>
  <c r="CX414"/>
  <c r="CW414"/>
  <c r="CV414"/>
  <c r="CU414"/>
  <c r="CT414"/>
  <c r="CS414"/>
  <c r="CR414"/>
  <c r="CQ414"/>
  <c r="CP414"/>
  <c r="CO414"/>
  <c r="CN414"/>
  <c r="CM414"/>
  <c r="CL414"/>
  <c r="CK414"/>
  <c r="CJ414"/>
  <c r="CI414"/>
  <c r="CH414"/>
  <c r="CG414"/>
  <c r="CF414"/>
  <c r="CE414"/>
  <c r="CD414"/>
  <c r="CC414"/>
  <c r="CB414"/>
  <c r="CA414"/>
  <c r="BZ414"/>
  <c r="BY414"/>
  <c r="BX414"/>
  <c r="BW414"/>
  <c r="BV414"/>
  <c r="BU414"/>
  <c r="BT414"/>
  <c r="BS414"/>
  <c r="BR414"/>
  <c r="BQ414"/>
  <c r="BP414"/>
  <c r="BO414"/>
  <c r="BN414"/>
  <c r="B414"/>
  <c r="A414"/>
  <c r="DU413"/>
  <c r="DT413"/>
  <c r="DS413"/>
  <c r="DR413"/>
  <c r="DQ413"/>
  <c r="DP413"/>
  <c r="DO413"/>
  <c r="DN413"/>
  <c r="DM413"/>
  <c r="DL413"/>
  <c r="DK413"/>
  <c r="DJ413"/>
  <c r="DI413"/>
  <c r="DH413"/>
  <c r="DG413"/>
  <c r="DF413"/>
  <c r="DE413"/>
  <c r="DD413"/>
  <c r="DC413"/>
  <c r="DB413"/>
  <c r="DA413"/>
  <c r="CZ413"/>
  <c r="CY413"/>
  <c r="CX413"/>
  <c r="CW413"/>
  <c r="CV413"/>
  <c r="CU413"/>
  <c r="CT413"/>
  <c r="CS413"/>
  <c r="CR413"/>
  <c r="CQ413"/>
  <c r="CP413"/>
  <c r="CO413"/>
  <c r="CN413"/>
  <c r="CM413"/>
  <c r="CL413"/>
  <c r="CK413"/>
  <c r="CJ413"/>
  <c r="CI413"/>
  <c r="CH413"/>
  <c r="CG413"/>
  <c r="CF413"/>
  <c r="CE413"/>
  <c r="CD413"/>
  <c r="CC413"/>
  <c r="CB413"/>
  <c r="CA413"/>
  <c r="BZ413"/>
  <c r="BY413"/>
  <c r="BX413"/>
  <c r="BW413"/>
  <c r="BV413"/>
  <c r="BU413"/>
  <c r="BT413"/>
  <c r="BS413"/>
  <c r="BR413"/>
  <c r="BQ413"/>
  <c r="BP413"/>
  <c r="BO413"/>
  <c r="BN413"/>
  <c r="DU412"/>
  <c r="DT412"/>
  <c r="DS412"/>
  <c r="DR412"/>
  <c r="DQ412"/>
  <c r="DP412"/>
  <c r="DO412"/>
  <c r="DN412"/>
  <c r="DM412"/>
  <c r="DL412"/>
  <c r="DK412"/>
  <c r="DJ412"/>
  <c r="DI412"/>
  <c r="DH412"/>
  <c r="DG412"/>
  <c r="DF412"/>
  <c r="DE412"/>
  <c r="DD412"/>
  <c r="DC412"/>
  <c r="DB412"/>
  <c r="DA412"/>
  <c r="CZ412"/>
  <c r="CY412"/>
  <c r="CX412"/>
  <c r="CW412"/>
  <c r="CV412"/>
  <c r="CU412"/>
  <c r="CT412"/>
  <c r="CS412"/>
  <c r="CR412"/>
  <c r="CQ412"/>
  <c r="CP412"/>
  <c r="CO412"/>
  <c r="CN412"/>
  <c r="CM412"/>
  <c r="CL412"/>
  <c r="CK412"/>
  <c r="CJ412"/>
  <c r="CI412"/>
  <c r="CH412"/>
  <c r="CG412"/>
  <c r="CF412"/>
  <c r="CE412"/>
  <c r="CD412"/>
  <c r="CC412"/>
  <c r="CB412"/>
  <c r="CA412"/>
  <c r="BZ412"/>
  <c r="BY412"/>
  <c r="BX412"/>
  <c r="BW412"/>
  <c r="BV412"/>
  <c r="BU412"/>
  <c r="BT412"/>
  <c r="BS412"/>
  <c r="BR412"/>
  <c r="BQ412"/>
  <c r="BP412"/>
  <c r="BO412"/>
  <c r="BN412"/>
  <c r="A412"/>
  <c r="DU411"/>
  <c r="DT411"/>
  <c r="DS411"/>
  <c r="DR411"/>
  <c r="DQ411"/>
  <c r="DP411"/>
  <c r="DO411"/>
  <c r="DN411"/>
  <c r="DM411"/>
  <c r="DL411"/>
  <c r="DK411"/>
  <c r="DJ411"/>
  <c r="DI411"/>
  <c r="DH411"/>
  <c r="DG411"/>
  <c r="DF411"/>
  <c r="DE411"/>
  <c r="DD411"/>
  <c r="DC411"/>
  <c r="DB411"/>
  <c r="DA411"/>
  <c r="CZ411"/>
  <c r="CY411"/>
  <c r="CX411"/>
  <c r="CW411"/>
  <c r="CV411"/>
  <c r="CU411"/>
  <c r="CT411"/>
  <c r="CS411"/>
  <c r="CR411"/>
  <c r="CQ411"/>
  <c r="CP411"/>
  <c r="CO411"/>
  <c r="CN411"/>
  <c r="CM411"/>
  <c r="CL411"/>
  <c r="CK411"/>
  <c r="CJ411"/>
  <c r="CI411"/>
  <c r="CH411"/>
  <c r="CG411"/>
  <c r="CF411"/>
  <c r="CE411"/>
  <c r="CD411"/>
  <c r="CC411"/>
  <c r="CB411"/>
  <c r="CA411"/>
  <c r="BZ411"/>
  <c r="BY411"/>
  <c r="BX411"/>
  <c r="BW411"/>
  <c r="BV411"/>
  <c r="BU411"/>
  <c r="BT411"/>
  <c r="BS411"/>
  <c r="BR411"/>
  <c r="BQ411"/>
  <c r="BP411"/>
  <c r="BO411"/>
  <c r="BN411"/>
  <c r="BM411"/>
  <c r="BL411"/>
  <c r="BK411"/>
  <c r="BJ411"/>
  <c r="BI411"/>
  <c r="BH411"/>
  <c r="BG411"/>
  <c r="BF411"/>
  <c r="BE411"/>
  <c r="BD411"/>
  <c r="BC411"/>
  <c r="BB411"/>
  <c r="BA411"/>
  <c r="AZ411"/>
  <c r="AY411"/>
  <c r="AX411"/>
  <c r="AW411"/>
  <c r="AV411"/>
  <c r="AU411"/>
  <c r="AT411"/>
  <c r="AS411"/>
  <c r="AR411"/>
  <c r="AQ411"/>
  <c r="AP411"/>
  <c r="AO411"/>
  <c r="AN411"/>
  <c r="AM411"/>
  <c r="AL411"/>
  <c r="AK411"/>
  <c r="AJ411"/>
  <c r="AI411"/>
  <c r="AH411"/>
  <c r="AG411"/>
  <c r="AF411"/>
  <c r="AE411"/>
  <c r="AD411"/>
  <c r="AC411"/>
  <c r="AB411"/>
  <c r="AA411"/>
  <c r="Z411"/>
  <c r="Y411"/>
  <c r="X411"/>
  <c r="W411"/>
  <c r="V411"/>
  <c r="U411"/>
  <c r="T411"/>
  <c r="S411"/>
  <c r="R411"/>
  <c r="Q411"/>
  <c r="P411"/>
  <c r="O411"/>
  <c r="N411"/>
  <c r="M411"/>
  <c r="L411"/>
  <c r="K411"/>
  <c r="J411"/>
  <c r="I411"/>
  <c r="H411"/>
  <c r="G411"/>
  <c r="F411"/>
  <c r="E411"/>
  <c r="D411"/>
  <c r="C411"/>
  <c r="B411"/>
  <c r="A411"/>
  <c r="DU410"/>
  <c r="DT410"/>
  <c r="DS410"/>
  <c r="DR410"/>
  <c r="DQ410"/>
  <c r="DP410"/>
  <c r="DO410"/>
  <c r="DN410"/>
  <c r="DM410"/>
  <c r="DL410"/>
  <c r="DK410"/>
  <c r="DJ410"/>
  <c r="DI410"/>
  <c r="DH410"/>
  <c r="DG410"/>
  <c r="DF410"/>
  <c r="DE410"/>
  <c r="DD410"/>
  <c r="DC410"/>
  <c r="DB410"/>
  <c r="DA410"/>
  <c r="CZ410"/>
  <c r="CY410"/>
  <c r="CX410"/>
  <c r="CW410"/>
  <c r="CV410"/>
  <c r="CU410"/>
  <c r="CT410"/>
  <c r="CS410"/>
  <c r="CR410"/>
  <c r="CQ410"/>
  <c r="CP410"/>
  <c r="CO410"/>
  <c r="CN410"/>
  <c r="CM410"/>
  <c r="CL410"/>
  <c r="CK410"/>
  <c r="CJ410"/>
  <c r="CI410"/>
  <c r="CH410"/>
  <c r="CG410"/>
  <c r="CF410"/>
  <c r="CE410"/>
  <c r="CD410"/>
  <c r="CC410"/>
  <c r="CB410"/>
  <c r="CA410"/>
  <c r="BZ410"/>
  <c r="BY410"/>
  <c r="BX410"/>
  <c r="BW410"/>
  <c r="BV410"/>
  <c r="BU410"/>
  <c r="BT410"/>
  <c r="BS410"/>
  <c r="BR410"/>
  <c r="BQ410"/>
  <c r="BP410"/>
  <c r="BO410"/>
  <c r="BN410"/>
  <c r="DU409"/>
  <c r="DT409"/>
  <c r="DS409"/>
  <c r="DR409"/>
  <c r="DQ409"/>
  <c r="DP409"/>
  <c r="DO409"/>
  <c r="DN409"/>
  <c r="DM409"/>
  <c r="DL409"/>
  <c r="DK409"/>
  <c r="DJ409"/>
  <c r="DI409"/>
  <c r="DH409"/>
  <c r="DG409"/>
  <c r="DF409"/>
  <c r="DE409"/>
  <c r="DD409"/>
  <c r="DC409"/>
  <c r="DB409"/>
  <c r="DA409"/>
  <c r="CZ409"/>
  <c r="CY409"/>
  <c r="CX409"/>
  <c r="CW409"/>
  <c r="CV409"/>
  <c r="CU409"/>
  <c r="CT409"/>
  <c r="CS409"/>
  <c r="CR409"/>
  <c r="CQ409"/>
  <c r="CP409"/>
  <c r="CO409"/>
  <c r="CN409"/>
  <c r="CM409"/>
  <c r="CL409"/>
  <c r="CK409"/>
  <c r="CJ409"/>
  <c r="CI409"/>
  <c r="CH409"/>
  <c r="CG409"/>
  <c r="CF409"/>
  <c r="CE409"/>
  <c r="CD409"/>
  <c r="CC409"/>
  <c r="CB409"/>
  <c r="CA409"/>
  <c r="BZ409"/>
  <c r="BY409"/>
  <c r="BX409"/>
  <c r="BW409"/>
  <c r="BV409"/>
  <c r="BU409"/>
  <c r="BT409"/>
  <c r="BS409"/>
  <c r="BR409"/>
  <c r="BQ409"/>
  <c r="BP409"/>
  <c r="BO409"/>
  <c r="BN409"/>
  <c r="DU408"/>
  <c r="DT408"/>
  <c r="DS408"/>
  <c r="DR408"/>
  <c r="DQ408"/>
  <c r="DP408"/>
  <c r="DO408"/>
  <c r="DN408"/>
  <c r="DM408"/>
  <c r="DL408"/>
  <c r="DK408"/>
  <c r="DJ408"/>
  <c r="DI408"/>
  <c r="DH408"/>
  <c r="DG408"/>
  <c r="DF408"/>
  <c r="DE408"/>
  <c r="DD408"/>
  <c r="DC408"/>
  <c r="DB408"/>
  <c r="DA408"/>
  <c r="CZ408"/>
  <c r="CY408"/>
  <c r="CX408"/>
  <c r="CW408"/>
  <c r="CV408"/>
  <c r="CU408"/>
  <c r="CT408"/>
  <c r="CS408"/>
  <c r="CR408"/>
  <c r="CQ408"/>
  <c r="CP408"/>
  <c r="CO408"/>
  <c r="CN408"/>
  <c r="CM408"/>
  <c r="CL408"/>
  <c r="CK408"/>
  <c r="CJ408"/>
  <c r="CI408"/>
  <c r="CH408"/>
  <c r="CG408"/>
  <c r="CF408"/>
  <c r="CE408"/>
  <c r="CD408"/>
  <c r="CC408"/>
  <c r="CB408"/>
  <c r="CA408"/>
  <c r="BZ408"/>
  <c r="BY408"/>
  <c r="BX408"/>
  <c r="BW408"/>
  <c r="BV408"/>
  <c r="BU408"/>
  <c r="BT408"/>
  <c r="BS408"/>
  <c r="BR408"/>
  <c r="BQ408"/>
  <c r="BP408"/>
  <c r="BO408"/>
  <c r="BN408"/>
  <c r="DU407"/>
  <c r="DT407"/>
  <c r="DS407"/>
  <c r="DR407"/>
  <c r="DQ407"/>
  <c r="DP407"/>
  <c r="DO407"/>
  <c r="DN407"/>
  <c r="DM407"/>
  <c r="DL407"/>
  <c r="DK407"/>
  <c r="DJ407"/>
  <c r="DI407"/>
  <c r="DH407"/>
  <c r="DG407"/>
  <c r="DF407"/>
  <c r="DE407"/>
  <c r="DD407"/>
  <c r="DC407"/>
  <c r="DB407"/>
  <c r="DA407"/>
  <c r="CZ407"/>
  <c r="CY407"/>
  <c r="CX407"/>
  <c r="CW407"/>
  <c r="CV407"/>
  <c r="CU407"/>
  <c r="CT407"/>
  <c r="CS407"/>
  <c r="CR407"/>
  <c r="CQ407"/>
  <c r="CP407"/>
  <c r="CO407"/>
  <c r="CN407"/>
  <c r="CM407"/>
  <c r="CL407"/>
  <c r="CK407"/>
  <c r="CJ407"/>
  <c r="CI407"/>
  <c r="CH407"/>
  <c r="CG407"/>
  <c r="CF407"/>
  <c r="CE407"/>
  <c r="CD407"/>
  <c r="CC407"/>
  <c r="CB407"/>
  <c r="CA407"/>
  <c r="BZ407"/>
  <c r="BY407"/>
  <c r="BX407"/>
  <c r="BW407"/>
  <c r="BV407"/>
  <c r="BU407"/>
  <c r="BT407"/>
  <c r="BS407"/>
  <c r="BR407"/>
  <c r="BQ407"/>
  <c r="BP407"/>
  <c r="BO407"/>
  <c r="BN407"/>
  <c r="DU406"/>
  <c r="DT406"/>
  <c r="DS406"/>
  <c r="DR406"/>
  <c r="DQ406"/>
  <c r="DP406"/>
  <c r="DO406"/>
  <c r="DN406"/>
  <c r="DM406"/>
  <c r="DL406"/>
  <c r="DK406"/>
  <c r="DJ406"/>
  <c r="DI406"/>
  <c r="DH406"/>
  <c r="DG406"/>
  <c r="DF406"/>
  <c r="DE406"/>
  <c r="DD406"/>
  <c r="DC406"/>
  <c r="DB406"/>
  <c r="DA406"/>
  <c r="CZ406"/>
  <c r="CY406"/>
  <c r="CX406"/>
  <c r="CW406"/>
  <c r="CV406"/>
  <c r="CU406"/>
  <c r="CT406"/>
  <c r="CS406"/>
  <c r="CR406"/>
  <c r="CQ406"/>
  <c r="CP406"/>
  <c r="CO406"/>
  <c r="CN406"/>
  <c r="CM406"/>
  <c r="CL406"/>
  <c r="CK406"/>
  <c r="CJ406"/>
  <c r="CI406"/>
  <c r="CH406"/>
  <c r="CG406"/>
  <c r="CF406"/>
  <c r="CE406"/>
  <c r="CD406"/>
  <c r="CC406"/>
  <c r="CB406"/>
  <c r="CA406"/>
  <c r="BZ406"/>
  <c r="BY406"/>
  <c r="BX406"/>
  <c r="BW406"/>
  <c r="BV406"/>
  <c r="BU406"/>
  <c r="BT406"/>
  <c r="BS406"/>
  <c r="BR406"/>
  <c r="BQ406"/>
  <c r="BP406"/>
  <c r="BO406"/>
  <c r="BN406"/>
  <c r="DU405"/>
  <c r="DT405"/>
  <c r="DS405"/>
  <c r="DR405"/>
  <c r="DQ405"/>
  <c r="DP405"/>
  <c r="DO405"/>
  <c r="DN405"/>
  <c r="DM405"/>
  <c r="DL405"/>
  <c r="DK405"/>
  <c r="DJ405"/>
  <c r="DI405"/>
  <c r="DH405"/>
  <c r="DG405"/>
  <c r="DF405"/>
  <c r="DE405"/>
  <c r="DD405"/>
  <c r="DC405"/>
  <c r="DB405"/>
  <c r="DA405"/>
  <c r="CZ405"/>
  <c r="CY405"/>
  <c r="CX405"/>
  <c r="CW405"/>
  <c r="CV405"/>
  <c r="CU405"/>
  <c r="CT405"/>
  <c r="CS405"/>
  <c r="CR405"/>
  <c r="CQ405"/>
  <c r="CP405"/>
  <c r="CO405"/>
  <c r="CN405"/>
  <c r="CM405"/>
  <c r="CL405"/>
  <c r="CK405"/>
  <c r="CJ405"/>
  <c r="CI405"/>
  <c r="CH405"/>
  <c r="CG405"/>
  <c r="CF405"/>
  <c r="CE405"/>
  <c r="CD405"/>
  <c r="CC405"/>
  <c r="CB405"/>
  <c r="CA405"/>
  <c r="BZ405"/>
  <c r="BY405"/>
  <c r="BX405"/>
  <c r="BW405"/>
  <c r="BV405"/>
  <c r="BU405"/>
  <c r="BT405"/>
  <c r="BS405"/>
  <c r="BR405"/>
  <c r="BQ405"/>
  <c r="BP405"/>
  <c r="BO405"/>
  <c r="BN405"/>
  <c r="DU404"/>
  <c r="DT404"/>
  <c r="DS404"/>
  <c r="DR404"/>
  <c r="DQ404"/>
  <c r="DP404"/>
  <c r="DO404"/>
  <c r="DN404"/>
  <c r="DM404"/>
  <c r="DL404"/>
  <c r="DK404"/>
  <c r="DJ404"/>
  <c r="DI404"/>
  <c r="DH404"/>
  <c r="DG404"/>
  <c r="DF404"/>
  <c r="DE404"/>
  <c r="DD404"/>
  <c r="DC404"/>
  <c r="DB404"/>
  <c r="DA404"/>
  <c r="CZ404"/>
  <c r="CY404"/>
  <c r="CX404"/>
  <c r="CW404"/>
  <c r="CV404"/>
  <c r="CU404"/>
  <c r="CT404"/>
  <c r="CS404"/>
  <c r="CR404"/>
  <c r="CQ404"/>
  <c r="CP404"/>
  <c r="CO404"/>
  <c r="CN404"/>
  <c r="CM404"/>
  <c r="CL404"/>
  <c r="CK404"/>
  <c r="CJ404"/>
  <c r="CI404"/>
  <c r="CH404"/>
  <c r="CG404"/>
  <c r="CF404"/>
  <c r="CE404"/>
  <c r="CD404"/>
  <c r="CC404"/>
  <c r="CB404"/>
  <c r="CA404"/>
  <c r="BZ404"/>
  <c r="BY404"/>
  <c r="BX404"/>
  <c r="BW404"/>
  <c r="BV404"/>
  <c r="BU404"/>
  <c r="BT404"/>
  <c r="BS404"/>
  <c r="BR404"/>
  <c r="BQ404"/>
  <c r="BP404"/>
  <c r="BO404"/>
  <c r="BN404"/>
  <c r="DU403"/>
  <c r="DT403"/>
  <c r="DS403"/>
  <c r="DR403"/>
  <c r="DQ403"/>
  <c r="DP403"/>
  <c r="DO403"/>
  <c r="DN403"/>
  <c r="DM403"/>
  <c r="DL403"/>
  <c r="DK403"/>
  <c r="DJ403"/>
  <c r="DI403"/>
  <c r="DH403"/>
  <c r="DG403"/>
  <c r="DF403"/>
  <c r="DE403"/>
  <c r="DD403"/>
  <c r="DC403"/>
  <c r="DB403"/>
  <c r="DA403"/>
  <c r="CZ403"/>
  <c r="CY403"/>
  <c r="CX403"/>
  <c r="CW403"/>
  <c r="CV403"/>
  <c r="CU403"/>
  <c r="CT403"/>
  <c r="CS403"/>
  <c r="CR403"/>
  <c r="CQ403"/>
  <c r="CP403"/>
  <c r="CO403"/>
  <c r="CN403"/>
  <c r="CM403"/>
  <c r="CL403"/>
  <c r="CK403"/>
  <c r="CJ403"/>
  <c r="CI403"/>
  <c r="CH403"/>
  <c r="CG403"/>
  <c r="CF403"/>
  <c r="CE403"/>
  <c r="CD403"/>
  <c r="CC403"/>
  <c r="CB403"/>
  <c r="CA403"/>
  <c r="BZ403"/>
  <c r="BY403"/>
  <c r="BX403"/>
  <c r="BW403"/>
  <c r="BV403"/>
  <c r="BU403"/>
  <c r="BT403"/>
  <c r="BS403"/>
  <c r="BR403"/>
  <c r="BQ403"/>
  <c r="BP403"/>
  <c r="BO403"/>
  <c r="BN403"/>
  <c r="E403"/>
  <c r="E825" s="1"/>
  <c r="D403"/>
  <c r="D825" s="1"/>
  <c r="C403"/>
  <c r="C825" s="1"/>
  <c r="B403"/>
  <c r="B825" s="1"/>
  <c r="A403"/>
  <c r="DU402"/>
  <c r="DT402"/>
  <c r="DS402"/>
  <c r="DR402"/>
  <c r="DQ402"/>
  <c r="DP402"/>
  <c r="DO402"/>
  <c r="DN402"/>
  <c r="DM402"/>
  <c r="DL402"/>
  <c r="DK402"/>
  <c r="DJ402"/>
  <c r="DI402"/>
  <c r="DH402"/>
  <c r="DG402"/>
  <c r="DF402"/>
  <c r="DE402"/>
  <c r="DD402"/>
  <c r="DC402"/>
  <c r="DB402"/>
  <c r="DA402"/>
  <c r="CZ402"/>
  <c r="CY402"/>
  <c r="CX402"/>
  <c r="CW402"/>
  <c r="CV402"/>
  <c r="CU402"/>
  <c r="CT402"/>
  <c r="CS402"/>
  <c r="CR402"/>
  <c r="CQ402"/>
  <c r="CP402"/>
  <c r="CO402"/>
  <c r="CN402"/>
  <c r="CM402"/>
  <c r="CL402"/>
  <c r="CK402"/>
  <c r="CJ402"/>
  <c r="CI402"/>
  <c r="CH402"/>
  <c r="CG402"/>
  <c r="CF402"/>
  <c r="CE402"/>
  <c r="CD402"/>
  <c r="CC402"/>
  <c r="CB402"/>
  <c r="CA402"/>
  <c r="BZ402"/>
  <c r="BY402"/>
  <c r="BX402"/>
  <c r="BW402"/>
  <c r="BV402"/>
  <c r="BU402"/>
  <c r="BT402"/>
  <c r="BS402"/>
  <c r="BR402"/>
  <c r="BQ402"/>
  <c r="BP402"/>
  <c r="BO402"/>
  <c r="BN402"/>
  <c r="E402"/>
  <c r="E824" s="1"/>
  <c r="D402"/>
  <c r="D824" s="1"/>
  <c r="C402"/>
  <c r="B402"/>
  <c r="B824" s="1"/>
  <c r="A402"/>
  <c r="A824" s="1"/>
  <c r="DU401"/>
  <c r="DT401"/>
  <c r="DS401"/>
  <c r="DR401"/>
  <c r="DQ401"/>
  <c r="DP401"/>
  <c r="DO401"/>
  <c r="DN401"/>
  <c r="DM401"/>
  <c r="DL401"/>
  <c r="DK401"/>
  <c r="DJ401"/>
  <c r="DI401"/>
  <c r="DH401"/>
  <c r="DG401"/>
  <c r="DF401"/>
  <c r="DE401"/>
  <c r="DD401"/>
  <c r="DC401"/>
  <c r="DB401"/>
  <c r="DA401"/>
  <c r="CZ401"/>
  <c r="CY401"/>
  <c r="CX401"/>
  <c r="CW401"/>
  <c r="CV401"/>
  <c r="CU401"/>
  <c r="CT401"/>
  <c r="CS401"/>
  <c r="CR401"/>
  <c r="CQ401"/>
  <c r="CP401"/>
  <c r="CO401"/>
  <c r="CN401"/>
  <c r="CM401"/>
  <c r="CL401"/>
  <c r="CK401"/>
  <c r="CJ401"/>
  <c r="CI401"/>
  <c r="CH401"/>
  <c r="CG401"/>
  <c r="CF401"/>
  <c r="CE401"/>
  <c r="CD401"/>
  <c r="CC401"/>
  <c r="CB401"/>
  <c r="CA401"/>
  <c r="BZ401"/>
  <c r="BY401"/>
  <c r="BX401"/>
  <c r="BW401"/>
  <c r="BV401"/>
  <c r="BU401"/>
  <c r="BT401"/>
  <c r="BS401"/>
  <c r="BR401"/>
  <c r="BQ401"/>
  <c r="BP401"/>
  <c r="BO401"/>
  <c r="BN401"/>
  <c r="E401"/>
  <c r="E823" s="1"/>
  <c r="D401"/>
  <c r="D823" s="1"/>
  <c r="C401"/>
  <c r="C823" s="1"/>
  <c r="B401"/>
  <c r="B823" s="1"/>
  <c r="A401"/>
  <c r="A823" s="1"/>
  <c r="DU400"/>
  <c r="DT400"/>
  <c r="DS400"/>
  <c r="DR400"/>
  <c r="DQ400"/>
  <c r="DP400"/>
  <c r="DO400"/>
  <c r="DN400"/>
  <c r="DM400"/>
  <c r="DL400"/>
  <c r="DK400"/>
  <c r="DJ400"/>
  <c r="DI400"/>
  <c r="DH400"/>
  <c r="DG400"/>
  <c r="DF400"/>
  <c r="DE400"/>
  <c r="DD400"/>
  <c r="DC400"/>
  <c r="DB400"/>
  <c r="DA400"/>
  <c r="CZ400"/>
  <c r="CY400"/>
  <c r="CX400"/>
  <c r="CW400"/>
  <c r="CV400"/>
  <c r="CU400"/>
  <c r="CT400"/>
  <c r="CS400"/>
  <c r="CR400"/>
  <c r="CQ400"/>
  <c r="CP400"/>
  <c r="CO400"/>
  <c r="CN400"/>
  <c r="CM400"/>
  <c r="CL400"/>
  <c r="CK400"/>
  <c r="CJ400"/>
  <c r="CI400"/>
  <c r="CH400"/>
  <c r="CG400"/>
  <c r="CF400"/>
  <c r="CE400"/>
  <c r="CD400"/>
  <c r="CC400"/>
  <c r="CB400"/>
  <c r="CA400"/>
  <c r="BZ400"/>
  <c r="BY400"/>
  <c r="BX400"/>
  <c r="BW400"/>
  <c r="BV400"/>
  <c r="BU400"/>
  <c r="BT400"/>
  <c r="BS400"/>
  <c r="BR400"/>
  <c r="BQ400"/>
  <c r="BP400"/>
  <c r="BO400"/>
  <c r="BN400"/>
  <c r="E400"/>
  <c r="E822" s="1"/>
  <c r="D400"/>
  <c r="D822" s="1"/>
  <c r="C400"/>
  <c r="C822" s="1"/>
  <c r="B400"/>
  <c r="B400" i="2" s="1"/>
  <c r="A400" i="3"/>
  <c r="A822" s="1"/>
  <c r="DU399"/>
  <c r="DT399"/>
  <c r="DS399"/>
  <c r="DR399"/>
  <c r="DQ399"/>
  <c r="DP399"/>
  <c r="DO399"/>
  <c r="DN399"/>
  <c r="DM399"/>
  <c r="DL399"/>
  <c r="DK399"/>
  <c r="DJ399"/>
  <c r="DI399"/>
  <c r="DH399"/>
  <c r="DG399"/>
  <c r="DF399"/>
  <c r="DE399"/>
  <c r="DD399"/>
  <c r="DC399"/>
  <c r="DB399"/>
  <c r="DA399"/>
  <c r="CZ399"/>
  <c r="CY399"/>
  <c r="CX399"/>
  <c r="CW399"/>
  <c r="CV399"/>
  <c r="CU399"/>
  <c r="CT399"/>
  <c r="CS399"/>
  <c r="CR399"/>
  <c r="CQ399"/>
  <c r="CP399"/>
  <c r="CO399"/>
  <c r="CN399"/>
  <c r="CM399"/>
  <c r="CL399"/>
  <c r="CK399"/>
  <c r="CJ399"/>
  <c r="CI399"/>
  <c r="CH399"/>
  <c r="CG399"/>
  <c r="CF399"/>
  <c r="CE399"/>
  <c r="CD399"/>
  <c r="CC399"/>
  <c r="CB399"/>
  <c r="CA399"/>
  <c r="BZ399"/>
  <c r="BY399"/>
  <c r="BX399"/>
  <c r="BW399"/>
  <c r="BV399"/>
  <c r="BU399"/>
  <c r="BT399"/>
  <c r="BS399"/>
  <c r="BR399"/>
  <c r="BQ399"/>
  <c r="BP399"/>
  <c r="BO399"/>
  <c r="BN399"/>
  <c r="E399"/>
  <c r="E821" s="1"/>
  <c r="D399"/>
  <c r="D821" s="1"/>
  <c r="C399"/>
  <c r="C821" s="1"/>
  <c r="B399"/>
  <c r="B821" s="1"/>
  <c r="A399"/>
  <c r="A821" s="1"/>
  <c r="DU398"/>
  <c r="DT398"/>
  <c r="DS398"/>
  <c r="DR398"/>
  <c r="DQ398"/>
  <c r="DP398"/>
  <c r="DO398"/>
  <c r="DN398"/>
  <c r="DM398"/>
  <c r="DL398"/>
  <c r="DK398"/>
  <c r="DJ398"/>
  <c r="DI398"/>
  <c r="DH398"/>
  <c r="DG398"/>
  <c r="DF398"/>
  <c r="DE398"/>
  <c r="DD398"/>
  <c r="DC398"/>
  <c r="DB398"/>
  <c r="DA398"/>
  <c r="CZ398"/>
  <c r="CY398"/>
  <c r="CX398"/>
  <c r="CW398"/>
  <c r="CV398"/>
  <c r="CU398"/>
  <c r="CT398"/>
  <c r="CS398"/>
  <c r="CR398"/>
  <c r="CQ398"/>
  <c r="CP398"/>
  <c r="CO398"/>
  <c r="CN398"/>
  <c r="CM398"/>
  <c r="CL398"/>
  <c r="CK398"/>
  <c r="CJ398"/>
  <c r="CI398"/>
  <c r="CH398"/>
  <c r="CG398"/>
  <c r="CF398"/>
  <c r="CE398"/>
  <c r="CD398"/>
  <c r="CC398"/>
  <c r="CB398"/>
  <c r="CA398"/>
  <c r="BZ398"/>
  <c r="BY398"/>
  <c r="BX398"/>
  <c r="BW398"/>
  <c r="BV398"/>
  <c r="BU398"/>
  <c r="BT398"/>
  <c r="BS398"/>
  <c r="BR398"/>
  <c r="BQ398"/>
  <c r="BP398"/>
  <c r="BO398"/>
  <c r="BN398"/>
  <c r="E398"/>
  <c r="E820" s="1"/>
  <c r="D398"/>
  <c r="D398" i="2" s="1"/>
  <c r="C398" i="3"/>
  <c r="C820" s="1"/>
  <c r="B398"/>
  <c r="B820" s="1"/>
  <c r="A398"/>
  <c r="A820" s="1"/>
  <c r="DU397"/>
  <c r="DT397"/>
  <c r="DS397"/>
  <c r="DR397"/>
  <c r="DQ397"/>
  <c r="DP397"/>
  <c r="DO397"/>
  <c r="DN397"/>
  <c r="DM397"/>
  <c r="DL397"/>
  <c r="DK397"/>
  <c r="DJ397"/>
  <c r="DI397"/>
  <c r="DH397"/>
  <c r="DG397"/>
  <c r="DF397"/>
  <c r="DE397"/>
  <c r="DD397"/>
  <c r="DC397"/>
  <c r="DB397"/>
  <c r="DA397"/>
  <c r="CZ397"/>
  <c r="CY397"/>
  <c r="CX397"/>
  <c r="CW397"/>
  <c r="CV397"/>
  <c r="CU397"/>
  <c r="CT397"/>
  <c r="CS397"/>
  <c r="CR397"/>
  <c r="CQ397"/>
  <c r="CP397"/>
  <c r="CO397"/>
  <c r="CN397"/>
  <c r="CM397"/>
  <c r="CL397"/>
  <c r="CK397"/>
  <c r="CJ397"/>
  <c r="CI397"/>
  <c r="CH397"/>
  <c r="CG397"/>
  <c r="CF397"/>
  <c r="CE397"/>
  <c r="CD397"/>
  <c r="CC397"/>
  <c r="CB397"/>
  <c r="CA397"/>
  <c r="BZ397"/>
  <c r="BY397"/>
  <c r="BX397"/>
  <c r="BW397"/>
  <c r="BV397"/>
  <c r="BU397"/>
  <c r="BT397"/>
  <c r="BS397"/>
  <c r="BR397"/>
  <c r="BQ397"/>
  <c r="BP397"/>
  <c r="BO397"/>
  <c r="BN397"/>
  <c r="E397"/>
  <c r="E819" s="1"/>
  <c r="D397"/>
  <c r="D819" s="1"/>
  <c r="C397"/>
  <c r="C819" s="1"/>
  <c r="B397"/>
  <c r="B819" s="1"/>
  <c r="A397"/>
  <c r="A819" s="1"/>
  <c r="DU396"/>
  <c r="DT396"/>
  <c r="DS396"/>
  <c r="DR396"/>
  <c r="DQ396"/>
  <c r="DP396"/>
  <c r="DO396"/>
  <c r="DN396"/>
  <c r="DM396"/>
  <c r="DL396"/>
  <c r="DK396"/>
  <c r="DJ396"/>
  <c r="DI396"/>
  <c r="DH396"/>
  <c r="DG396"/>
  <c r="DF396"/>
  <c r="DE396"/>
  <c r="DD396"/>
  <c r="DC396"/>
  <c r="DB396"/>
  <c r="DA396"/>
  <c r="CZ396"/>
  <c r="CY396"/>
  <c r="CX396"/>
  <c r="CW396"/>
  <c r="CV396"/>
  <c r="CU396"/>
  <c r="CT396"/>
  <c r="CS396"/>
  <c r="CR396"/>
  <c r="CQ396"/>
  <c r="CP396"/>
  <c r="CO396"/>
  <c r="CN396"/>
  <c r="CM396"/>
  <c r="CL396"/>
  <c r="CK396"/>
  <c r="CJ396"/>
  <c r="CI396"/>
  <c r="CH396"/>
  <c r="CG396"/>
  <c r="CF396"/>
  <c r="CE396"/>
  <c r="CD396"/>
  <c r="CC396"/>
  <c r="CB396"/>
  <c r="CA396"/>
  <c r="BZ396"/>
  <c r="BY396"/>
  <c r="BX396"/>
  <c r="BW396"/>
  <c r="BV396"/>
  <c r="BU396"/>
  <c r="BT396"/>
  <c r="BS396"/>
  <c r="BR396"/>
  <c r="BQ396"/>
  <c r="BP396"/>
  <c r="BO396"/>
  <c r="BN396"/>
  <c r="E396"/>
  <c r="E818" s="1"/>
  <c r="D396"/>
  <c r="D818" s="1"/>
  <c r="C396"/>
  <c r="C818" s="1"/>
  <c r="B396"/>
  <c r="B818" s="1"/>
  <c r="A396"/>
  <c r="DU395"/>
  <c r="DT395"/>
  <c r="DS395"/>
  <c r="DR395"/>
  <c r="DQ395"/>
  <c r="DP395"/>
  <c r="DO395"/>
  <c r="DN395"/>
  <c r="DM395"/>
  <c r="DL395"/>
  <c r="DK395"/>
  <c r="DJ395"/>
  <c r="DI395"/>
  <c r="DH395"/>
  <c r="DG395"/>
  <c r="DF395"/>
  <c r="DE395"/>
  <c r="DD395"/>
  <c r="DC395"/>
  <c r="DB395"/>
  <c r="DA395"/>
  <c r="CZ395"/>
  <c r="CY395"/>
  <c r="CX395"/>
  <c r="CW395"/>
  <c r="CV395"/>
  <c r="CU395"/>
  <c r="CT395"/>
  <c r="CS395"/>
  <c r="CR395"/>
  <c r="CQ395"/>
  <c r="CP395"/>
  <c r="CO395"/>
  <c r="CN395"/>
  <c r="CM395"/>
  <c r="CL395"/>
  <c r="CK395"/>
  <c r="CJ395"/>
  <c r="CI395"/>
  <c r="CH395"/>
  <c r="CG395"/>
  <c r="CF395"/>
  <c r="CE395"/>
  <c r="CD395"/>
  <c r="CC395"/>
  <c r="CB395"/>
  <c r="CA395"/>
  <c r="BZ395"/>
  <c r="BY395"/>
  <c r="BX395"/>
  <c r="BW395"/>
  <c r="BV395"/>
  <c r="BU395"/>
  <c r="BT395"/>
  <c r="BS395"/>
  <c r="BR395"/>
  <c r="BQ395"/>
  <c r="BP395"/>
  <c r="BO395"/>
  <c r="BN395"/>
  <c r="E395"/>
  <c r="E817" s="1"/>
  <c r="D395"/>
  <c r="D817" s="1"/>
  <c r="C395"/>
  <c r="C817" s="1"/>
  <c r="B395"/>
  <c r="B817" s="1"/>
  <c r="A395"/>
  <c r="DU394"/>
  <c r="DT394"/>
  <c r="DS394"/>
  <c r="DR394"/>
  <c r="DQ394"/>
  <c r="DP394"/>
  <c r="DO394"/>
  <c r="DN394"/>
  <c r="DM394"/>
  <c r="DL394"/>
  <c r="DK394"/>
  <c r="DJ394"/>
  <c r="DI394"/>
  <c r="DH394"/>
  <c r="DG394"/>
  <c r="DF394"/>
  <c r="DE394"/>
  <c r="DD394"/>
  <c r="DC394"/>
  <c r="DB394"/>
  <c r="DA394"/>
  <c r="CZ394"/>
  <c r="CY394"/>
  <c r="CX394"/>
  <c r="CW394"/>
  <c r="CV394"/>
  <c r="CU394"/>
  <c r="CT394"/>
  <c r="CS394"/>
  <c r="CR394"/>
  <c r="CQ394"/>
  <c r="CP394"/>
  <c r="CO394"/>
  <c r="CN394"/>
  <c r="CM394"/>
  <c r="CL394"/>
  <c r="CK394"/>
  <c r="CJ394"/>
  <c r="CI394"/>
  <c r="CH394"/>
  <c r="CG394"/>
  <c r="CF394"/>
  <c r="CE394"/>
  <c r="CD394"/>
  <c r="CC394"/>
  <c r="CB394"/>
  <c r="CA394"/>
  <c r="BZ394"/>
  <c r="BY394"/>
  <c r="BX394"/>
  <c r="BW394"/>
  <c r="BV394"/>
  <c r="BU394"/>
  <c r="BT394"/>
  <c r="BS394"/>
  <c r="BR394"/>
  <c r="BQ394"/>
  <c r="BP394"/>
  <c r="BO394"/>
  <c r="BN394"/>
  <c r="E394"/>
  <c r="E816" s="1"/>
  <c r="D394"/>
  <c r="D816" s="1"/>
  <c r="C394"/>
  <c r="C816" s="1"/>
  <c r="B394"/>
  <c r="B816" s="1"/>
  <c r="A394"/>
  <c r="DU393"/>
  <c r="DT393"/>
  <c r="DS393"/>
  <c r="DR393"/>
  <c r="DQ393"/>
  <c r="DP393"/>
  <c r="DO393"/>
  <c r="DN393"/>
  <c r="DM393"/>
  <c r="DL393"/>
  <c r="DK393"/>
  <c r="DJ393"/>
  <c r="DI393"/>
  <c r="DH393"/>
  <c r="DG393"/>
  <c r="DF393"/>
  <c r="DE393"/>
  <c r="DD393"/>
  <c r="DC393"/>
  <c r="DB393"/>
  <c r="DA393"/>
  <c r="CZ393"/>
  <c r="CY393"/>
  <c r="CX393"/>
  <c r="CW393"/>
  <c r="CV393"/>
  <c r="CU393"/>
  <c r="CT393"/>
  <c r="CS393"/>
  <c r="CR393"/>
  <c r="CQ393"/>
  <c r="CP393"/>
  <c r="CO393"/>
  <c r="CN393"/>
  <c r="CM393"/>
  <c r="CL393"/>
  <c r="CK393"/>
  <c r="CJ393"/>
  <c r="CI393"/>
  <c r="CH393"/>
  <c r="CG393"/>
  <c r="CF393"/>
  <c r="CE393"/>
  <c r="CD393"/>
  <c r="CC393"/>
  <c r="CB393"/>
  <c r="CA393"/>
  <c r="BZ393"/>
  <c r="BY393"/>
  <c r="BX393"/>
  <c r="BW393"/>
  <c r="BV393"/>
  <c r="BU393"/>
  <c r="BT393"/>
  <c r="BS393"/>
  <c r="BR393"/>
  <c r="BQ393"/>
  <c r="BP393"/>
  <c r="BO393"/>
  <c r="BN393"/>
  <c r="E393"/>
  <c r="E815" s="1"/>
  <c r="D393"/>
  <c r="D815" s="1"/>
  <c r="C393"/>
  <c r="C815" s="1"/>
  <c r="B393"/>
  <c r="B815" s="1"/>
  <c r="A393"/>
  <c r="A815" s="1"/>
  <c r="DU392"/>
  <c r="DT392"/>
  <c r="DS392"/>
  <c r="DR392"/>
  <c r="DQ392"/>
  <c r="DP392"/>
  <c r="DO392"/>
  <c r="DN392"/>
  <c r="DM392"/>
  <c r="DL392"/>
  <c r="DK392"/>
  <c r="DJ392"/>
  <c r="DI392"/>
  <c r="DH392"/>
  <c r="DG392"/>
  <c r="DF392"/>
  <c r="DE392"/>
  <c r="DD392"/>
  <c r="DC392"/>
  <c r="DB392"/>
  <c r="DA392"/>
  <c r="CZ392"/>
  <c r="CY392"/>
  <c r="CX392"/>
  <c r="CW392"/>
  <c r="CV392"/>
  <c r="CU392"/>
  <c r="CT392"/>
  <c r="CS392"/>
  <c r="CR392"/>
  <c r="CQ392"/>
  <c r="CP392"/>
  <c r="CO392"/>
  <c r="CN392"/>
  <c r="CM392"/>
  <c r="CL392"/>
  <c r="CK392"/>
  <c r="CJ392"/>
  <c r="CI392"/>
  <c r="CH392"/>
  <c r="CG392"/>
  <c r="CF392"/>
  <c r="CE392"/>
  <c r="CD392"/>
  <c r="CC392"/>
  <c r="CB392"/>
  <c r="CA392"/>
  <c r="BZ392"/>
  <c r="BY392"/>
  <c r="BX392"/>
  <c r="BW392"/>
  <c r="BV392"/>
  <c r="BU392"/>
  <c r="BT392"/>
  <c r="BS392"/>
  <c r="BR392"/>
  <c r="BQ392"/>
  <c r="BP392"/>
  <c r="BO392"/>
  <c r="BN392"/>
  <c r="E392"/>
  <c r="E814" s="1"/>
  <c r="D392"/>
  <c r="D814" s="1"/>
  <c r="C392"/>
  <c r="C814" s="1"/>
  <c r="B392"/>
  <c r="B814" s="1"/>
  <c r="A392"/>
  <c r="A814" s="1"/>
  <c r="DU391"/>
  <c r="DT391"/>
  <c r="DS391"/>
  <c r="DR391"/>
  <c r="DQ391"/>
  <c r="DP391"/>
  <c r="DO391"/>
  <c r="DN391"/>
  <c r="DM391"/>
  <c r="DL391"/>
  <c r="DK391"/>
  <c r="DJ391"/>
  <c r="DI391"/>
  <c r="DH391"/>
  <c r="DG391"/>
  <c r="DF391"/>
  <c r="DE391"/>
  <c r="DD391"/>
  <c r="DC391"/>
  <c r="DB391"/>
  <c r="DA391"/>
  <c r="CZ391"/>
  <c r="CY391"/>
  <c r="CX391"/>
  <c r="CW391"/>
  <c r="CV391"/>
  <c r="CU391"/>
  <c r="CT391"/>
  <c r="CS391"/>
  <c r="CR391"/>
  <c r="CQ391"/>
  <c r="CP391"/>
  <c r="CO391"/>
  <c r="CN391"/>
  <c r="CM391"/>
  <c r="CL391"/>
  <c r="CK391"/>
  <c r="CJ391"/>
  <c r="CI391"/>
  <c r="CH391"/>
  <c r="CG391"/>
  <c r="CF391"/>
  <c r="CE391"/>
  <c r="CD391"/>
  <c r="CC391"/>
  <c r="CB391"/>
  <c r="CA391"/>
  <c r="BZ391"/>
  <c r="BY391"/>
  <c r="BX391"/>
  <c r="BW391"/>
  <c r="BV391"/>
  <c r="BU391"/>
  <c r="BT391"/>
  <c r="BS391"/>
  <c r="BR391"/>
  <c r="BQ391"/>
  <c r="BP391"/>
  <c r="BO391"/>
  <c r="BN391"/>
  <c r="E391"/>
  <c r="E813" s="1"/>
  <c r="D391"/>
  <c r="D813" s="1"/>
  <c r="C391"/>
  <c r="C813" s="1"/>
  <c r="B391"/>
  <c r="B813" s="1"/>
  <c r="A391"/>
  <c r="A813" s="1"/>
  <c r="DU390"/>
  <c r="DT390"/>
  <c r="DS390"/>
  <c r="DR390"/>
  <c r="DQ390"/>
  <c r="DP390"/>
  <c r="DO390"/>
  <c r="DN390"/>
  <c r="DM390"/>
  <c r="DL390"/>
  <c r="DK390"/>
  <c r="DJ390"/>
  <c r="DI390"/>
  <c r="DH390"/>
  <c r="DG390"/>
  <c r="DF390"/>
  <c r="DE390"/>
  <c r="DD390"/>
  <c r="DC390"/>
  <c r="DB390"/>
  <c r="DA390"/>
  <c r="CZ390"/>
  <c r="CY390"/>
  <c r="CX390"/>
  <c r="CW390"/>
  <c r="CV390"/>
  <c r="CU390"/>
  <c r="CT390"/>
  <c r="CS390"/>
  <c r="CR390"/>
  <c r="CQ390"/>
  <c r="CP390"/>
  <c r="CO390"/>
  <c r="CN390"/>
  <c r="CM390"/>
  <c r="CL390"/>
  <c r="CK390"/>
  <c r="CJ390"/>
  <c r="CI390"/>
  <c r="CH390"/>
  <c r="CG390"/>
  <c r="CF390"/>
  <c r="CE390"/>
  <c r="CD390"/>
  <c r="CC390"/>
  <c r="CB390"/>
  <c r="CA390"/>
  <c r="BZ390"/>
  <c r="BY390"/>
  <c r="BX390"/>
  <c r="BW390"/>
  <c r="BV390"/>
  <c r="BU390"/>
  <c r="BT390"/>
  <c r="BS390"/>
  <c r="BR390"/>
  <c r="BQ390"/>
  <c r="BP390"/>
  <c r="BO390"/>
  <c r="BN390"/>
  <c r="E390"/>
  <c r="D390"/>
  <c r="D812" s="1"/>
  <c r="C390"/>
  <c r="C812" s="1"/>
  <c r="B390"/>
  <c r="B812" s="1"/>
  <c r="A390"/>
  <c r="A812" s="1"/>
  <c r="DU389"/>
  <c r="DT389"/>
  <c r="DS389"/>
  <c r="DR389"/>
  <c r="DQ389"/>
  <c r="DP389"/>
  <c r="DO389"/>
  <c r="DN389"/>
  <c r="DM389"/>
  <c r="DL389"/>
  <c r="DK389"/>
  <c r="DJ389"/>
  <c r="DI389"/>
  <c r="DH389"/>
  <c r="DG389"/>
  <c r="DF389"/>
  <c r="DE389"/>
  <c r="DD389"/>
  <c r="DC389"/>
  <c r="DB389"/>
  <c r="DA389"/>
  <c r="CZ389"/>
  <c r="CY389"/>
  <c r="CX389"/>
  <c r="CW389"/>
  <c r="CV389"/>
  <c r="CU389"/>
  <c r="CT389"/>
  <c r="CS389"/>
  <c r="CR389"/>
  <c r="CQ389"/>
  <c r="CP389"/>
  <c r="CO389"/>
  <c r="CN389"/>
  <c r="CM389"/>
  <c r="CL389"/>
  <c r="CK389"/>
  <c r="CJ389"/>
  <c r="CI389"/>
  <c r="CH389"/>
  <c r="CG389"/>
  <c r="CF389"/>
  <c r="CE389"/>
  <c r="CD389"/>
  <c r="CC389"/>
  <c r="CB389"/>
  <c r="CA389"/>
  <c r="BZ389"/>
  <c r="BY389"/>
  <c r="BX389"/>
  <c r="BW389"/>
  <c r="BV389"/>
  <c r="BU389"/>
  <c r="BT389"/>
  <c r="BS389"/>
  <c r="BR389"/>
  <c r="BQ389"/>
  <c r="BP389"/>
  <c r="BO389"/>
  <c r="BN389"/>
  <c r="E389"/>
  <c r="E811" s="1"/>
  <c r="D389"/>
  <c r="D811" s="1"/>
  <c r="C389"/>
  <c r="C811" s="1"/>
  <c r="B389"/>
  <c r="B811" s="1"/>
  <c r="A389"/>
  <c r="A811" s="1"/>
  <c r="DU388"/>
  <c r="DT388"/>
  <c r="DS388"/>
  <c r="DR388"/>
  <c r="DQ388"/>
  <c r="DP388"/>
  <c r="DO388"/>
  <c r="DN388"/>
  <c r="DM388"/>
  <c r="DL388"/>
  <c r="DK388"/>
  <c r="DJ388"/>
  <c r="DI388"/>
  <c r="DH388"/>
  <c r="DG388"/>
  <c r="DF388"/>
  <c r="DE388"/>
  <c r="DD388"/>
  <c r="DC388"/>
  <c r="DB388"/>
  <c r="DA388"/>
  <c r="CZ388"/>
  <c r="CY388"/>
  <c r="CX388"/>
  <c r="CW388"/>
  <c r="CV388"/>
  <c r="CU388"/>
  <c r="CT388"/>
  <c r="CS388"/>
  <c r="CR388"/>
  <c r="CQ388"/>
  <c r="CP388"/>
  <c r="CO388"/>
  <c r="CN388"/>
  <c r="CM388"/>
  <c r="CL388"/>
  <c r="CK388"/>
  <c r="CJ388"/>
  <c r="CI388"/>
  <c r="CH388"/>
  <c r="CG388"/>
  <c r="CF388"/>
  <c r="CE388"/>
  <c r="CD388"/>
  <c r="CC388"/>
  <c r="CB388"/>
  <c r="CA388"/>
  <c r="BZ388"/>
  <c r="BY388"/>
  <c r="BX388"/>
  <c r="BW388"/>
  <c r="BV388"/>
  <c r="BU388"/>
  <c r="BT388"/>
  <c r="BS388"/>
  <c r="BR388"/>
  <c r="BQ388"/>
  <c r="BP388"/>
  <c r="BO388"/>
  <c r="BN388"/>
  <c r="E388"/>
  <c r="B388"/>
  <c r="A388"/>
  <c r="DU387"/>
  <c r="DT387"/>
  <c r="DS387"/>
  <c r="DR387"/>
  <c r="DQ387"/>
  <c r="DP387"/>
  <c r="DO387"/>
  <c r="DN387"/>
  <c r="DM387"/>
  <c r="DL387"/>
  <c r="DK387"/>
  <c r="DJ387"/>
  <c r="DI387"/>
  <c r="DH387"/>
  <c r="DG387"/>
  <c r="DF387"/>
  <c r="DE387"/>
  <c r="DD387"/>
  <c r="DC387"/>
  <c r="DB387"/>
  <c r="DA387"/>
  <c r="CZ387"/>
  <c r="CY387"/>
  <c r="CX387"/>
  <c r="CW387"/>
  <c r="CV387"/>
  <c r="CU387"/>
  <c r="CT387"/>
  <c r="CS387"/>
  <c r="CR387"/>
  <c r="CQ387"/>
  <c r="CP387"/>
  <c r="CO387"/>
  <c r="CN387"/>
  <c r="CM387"/>
  <c r="CL387"/>
  <c r="CK387"/>
  <c r="CJ387"/>
  <c r="CI387"/>
  <c r="CH387"/>
  <c r="CG387"/>
  <c r="CF387"/>
  <c r="CE387"/>
  <c r="CD387"/>
  <c r="CC387"/>
  <c r="CB387"/>
  <c r="CA387"/>
  <c r="BZ387"/>
  <c r="BY387"/>
  <c r="BX387"/>
  <c r="BW387"/>
  <c r="BV387"/>
  <c r="BU387"/>
  <c r="BT387"/>
  <c r="BS387"/>
  <c r="BR387"/>
  <c r="BQ387"/>
  <c r="BP387"/>
  <c r="BO387"/>
  <c r="BN387"/>
  <c r="E387"/>
  <c r="B387"/>
  <c r="A387"/>
  <c r="DU386"/>
  <c r="DT386"/>
  <c r="DS386"/>
  <c r="DR386"/>
  <c r="DQ386"/>
  <c r="DP386"/>
  <c r="DO386"/>
  <c r="DN386"/>
  <c r="DM386"/>
  <c r="DL386"/>
  <c r="DK386"/>
  <c r="DJ386"/>
  <c r="DI386"/>
  <c r="DH386"/>
  <c r="DG386"/>
  <c r="DF386"/>
  <c r="DE386"/>
  <c r="DD386"/>
  <c r="DC386"/>
  <c r="DB386"/>
  <c r="DA386"/>
  <c r="CZ386"/>
  <c r="CY386"/>
  <c r="CX386"/>
  <c r="CW386"/>
  <c r="CV386"/>
  <c r="CU386"/>
  <c r="CT386"/>
  <c r="CS386"/>
  <c r="CR386"/>
  <c r="CQ386"/>
  <c r="CP386"/>
  <c r="CO386"/>
  <c r="CN386"/>
  <c r="CM386"/>
  <c r="CL386"/>
  <c r="CK386"/>
  <c r="CJ386"/>
  <c r="CI386"/>
  <c r="CH386"/>
  <c r="CG386"/>
  <c r="CF386"/>
  <c r="CE386"/>
  <c r="CD386"/>
  <c r="CC386"/>
  <c r="CB386"/>
  <c r="CA386"/>
  <c r="BZ386"/>
  <c r="BY386"/>
  <c r="BX386"/>
  <c r="BW386"/>
  <c r="BV386"/>
  <c r="BU386"/>
  <c r="BT386"/>
  <c r="BS386"/>
  <c r="BR386"/>
  <c r="BQ386"/>
  <c r="BP386"/>
  <c r="BO386"/>
  <c r="BN386"/>
  <c r="E386"/>
  <c r="B386"/>
  <c r="A386"/>
  <c r="DU385"/>
  <c r="DT385"/>
  <c r="DS385"/>
  <c r="DR385"/>
  <c r="DQ385"/>
  <c r="DP385"/>
  <c r="DO385"/>
  <c r="DN385"/>
  <c r="DM385"/>
  <c r="DL385"/>
  <c r="DK385"/>
  <c r="DJ385"/>
  <c r="DI385"/>
  <c r="DH385"/>
  <c r="DG385"/>
  <c r="DF385"/>
  <c r="DE385"/>
  <c r="DD385"/>
  <c r="DC385"/>
  <c r="DB385"/>
  <c r="DA385"/>
  <c r="CZ385"/>
  <c r="CY385"/>
  <c r="CX385"/>
  <c r="CW385"/>
  <c r="CV385"/>
  <c r="CU385"/>
  <c r="CT385"/>
  <c r="CS385"/>
  <c r="CR385"/>
  <c r="CQ385"/>
  <c r="CP385"/>
  <c r="CO385"/>
  <c r="CN385"/>
  <c r="CM385"/>
  <c r="CL385"/>
  <c r="CK385"/>
  <c r="CJ385"/>
  <c r="CI385"/>
  <c r="CH385"/>
  <c r="CG385"/>
  <c r="CF385"/>
  <c r="CE385"/>
  <c r="CD385"/>
  <c r="CC385"/>
  <c r="CB385"/>
  <c r="CA385"/>
  <c r="BZ385"/>
  <c r="BY385"/>
  <c r="BX385"/>
  <c r="BW385"/>
  <c r="BV385"/>
  <c r="BU385"/>
  <c r="BT385"/>
  <c r="BS385"/>
  <c r="BR385"/>
  <c r="BQ385"/>
  <c r="BP385"/>
  <c r="BO385"/>
  <c r="BN385"/>
  <c r="E385"/>
  <c r="B385"/>
  <c r="A385"/>
  <c r="DU384"/>
  <c r="DT384"/>
  <c r="DS384"/>
  <c r="DR384"/>
  <c r="DQ384"/>
  <c r="DP384"/>
  <c r="DO384"/>
  <c r="DN384"/>
  <c r="DM384"/>
  <c r="DL384"/>
  <c r="DK384"/>
  <c r="DJ384"/>
  <c r="DI384"/>
  <c r="DH384"/>
  <c r="DG384"/>
  <c r="DF384"/>
  <c r="DE384"/>
  <c r="DD384"/>
  <c r="DC384"/>
  <c r="DB384"/>
  <c r="DA384"/>
  <c r="CZ384"/>
  <c r="CY384"/>
  <c r="CX384"/>
  <c r="CW384"/>
  <c r="CV384"/>
  <c r="CU384"/>
  <c r="CT384"/>
  <c r="CS384"/>
  <c r="CR384"/>
  <c r="CQ384"/>
  <c r="CP384"/>
  <c r="CO384"/>
  <c r="CN384"/>
  <c r="CM384"/>
  <c r="CL384"/>
  <c r="CK384"/>
  <c r="CJ384"/>
  <c r="CI384"/>
  <c r="CH384"/>
  <c r="CG384"/>
  <c r="CF384"/>
  <c r="CE384"/>
  <c r="CD384"/>
  <c r="CC384"/>
  <c r="CB384"/>
  <c r="CA384"/>
  <c r="BZ384"/>
  <c r="BY384"/>
  <c r="BX384"/>
  <c r="BW384"/>
  <c r="BV384"/>
  <c r="BU384"/>
  <c r="BT384"/>
  <c r="BS384"/>
  <c r="BR384"/>
  <c r="BQ384"/>
  <c r="BP384"/>
  <c r="BO384"/>
  <c r="BN384"/>
  <c r="E384"/>
  <c r="B384"/>
  <c r="A384"/>
  <c r="DU383"/>
  <c r="DT383"/>
  <c r="DS383"/>
  <c r="DR383"/>
  <c r="DQ383"/>
  <c r="DP383"/>
  <c r="DO383"/>
  <c r="DN383"/>
  <c r="DM383"/>
  <c r="DL383"/>
  <c r="DK383"/>
  <c r="DJ383"/>
  <c r="DI383"/>
  <c r="DH383"/>
  <c r="DG383"/>
  <c r="DF383"/>
  <c r="DE383"/>
  <c r="DD383"/>
  <c r="DC383"/>
  <c r="DB383"/>
  <c r="DA383"/>
  <c r="CZ383"/>
  <c r="CY383"/>
  <c r="CX383"/>
  <c r="CW383"/>
  <c r="CV383"/>
  <c r="CU383"/>
  <c r="CT383"/>
  <c r="CS383"/>
  <c r="CR383"/>
  <c r="CQ383"/>
  <c r="CP383"/>
  <c r="CO383"/>
  <c r="CN383"/>
  <c r="CM383"/>
  <c r="CL383"/>
  <c r="CK383"/>
  <c r="CJ383"/>
  <c r="CI383"/>
  <c r="CH383"/>
  <c r="CG383"/>
  <c r="CF383"/>
  <c r="CE383"/>
  <c r="CD383"/>
  <c r="CC383"/>
  <c r="CB383"/>
  <c r="CA383"/>
  <c r="BZ383"/>
  <c r="BY383"/>
  <c r="BX383"/>
  <c r="BW383"/>
  <c r="BV383"/>
  <c r="BU383"/>
  <c r="BT383"/>
  <c r="BS383"/>
  <c r="BR383"/>
  <c r="BQ383"/>
  <c r="BP383"/>
  <c r="BO383"/>
  <c r="BN383"/>
  <c r="E383"/>
  <c r="B383"/>
  <c r="A383"/>
  <c r="DU382"/>
  <c r="DT382"/>
  <c r="DS382"/>
  <c r="DR382"/>
  <c r="DQ382"/>
  <c r="DP382"/>
  <c r="DO382"/>
  <c r="DN382"/>
  <c r="DM382"/>
  <c r="DL382"/>
  <c r="DK382"/>
  <c r="DJ382"/>
  <c r="DI382"/>
  <c r="DH382"/>
  <c r="DG382"/>
  <c r="DF382"/>
  <c r="DE382"/>
  <c r="DD382"/>
  <c r="DC382"/>
  <c r="DB382"/>
  <c r="DA382"/>
  <c r="CZ382"/>
  <c r="CY382"/>
  <c r="CX382"/>
  <c r="CW382"/>
  <c r="CV382"/>
  <c r="CU382"/>
  <c r="CT382"/>
  <c r="CS382"/>
  <c r="CR382"/>
  <c r="CQ382"/>
  <c r="CP382"/>
  <c r="CO382"/>
  <c r="CN382"/>
  <c r="CM382"/>
  <c r="CL382"/>
  <c r="CK382"/>
  <c r="CJ382"/>
  <c r="CI382"/>
  <c r="CH382"/>
  <c r="CG382"/>
  <c r="CF382"/>
  <c r="CE382"/>
  <c r="CD382"/>
  <c r="CC382"/>
  <c r="CB382"/>
  <c r="CA382"/>
  <c r="BZ382"/>
  <c r="BY382"/>
  <c r="BX382"/>
  <c r="BW382"/>
  <c r="BV382"/>
  <c r="BU382"/>
  <c r="BT382"/>
  <c r="BS382"/>
  <c r="BR382"/>
  <c r="BQ382"/>
  <c r="BP382"/>
  <c r="BO382"/>
  <c r="BN382"/>
  <c r="E382"/>
  <c r="B382"/>
  <c r="A382"/>
  <c r="DU381"/>
  <c r="DT381"/>
  <c r="DS381"/>
  <c r="DR381"/>
  <c r="DQ381"/>
  <c r="DP381"/>
  <c r="DO381"/>
  <c r="DN381"/>
  <c r="DM381"/>
  <c r="DL381"/>
  <c r="DK381"/>
  <c r="DJ381"/>
  <c r="DI381"/>
  <c r="DH381"/>
  <c r="DG381"/>
  <c r="DF381"/>
  <c r="DE381"/>
  <c r="DD381"/>
  <c r="DC381"/>
  <c r="DB381"/>
  <c r="DA381"/>
  <c r="CZ381"/>
  <c r="CY381"/>
  <c r="CX381"/>
  <c r="CW381"/>
  <c r="CV381"/>
  <c r="CU381"/>
  <c r="CT381"/>
  <c r="CS381"/>
  <c r="CR381"/>
  <c r="CQ381"/>
  <c r="CP381"/>
  <c r="CO381"/>
  <c r="CN381"/>
  <c r="CM381"/>
  <c r="CL381"/>
  <c r="CK381"/>
  <c r="CJ381"/>
  <c r="CI381"/>
  <c r="CH381"/>
  <c r="CG381"/>
  <c r="CF381"/>
  <c r="CE381"/>
  <c r="CD381"/>
  <c r="CC381"/>
  <c r="CB381"/>
  <c r="CA381"/>
  <c r="BZ381"/>
  <c r="BY381"/>
  <c r="BX381"/>
  <c r="BW381"/>
  <c r="BV381"/>
  <c r="BU381"/>
  <c r="BT381"/>
  <c r="BS381"/>
  <c r="BR381"/>
  <c r="BQ381"/>
  <c r="BP381"/>
  <c r="BO381"/>
  <c r="BN381"/>
  <c r="E381"/>
  <c r="B381"/>
  <c r="A381"/>
  <c r="DU380"/>
  <c r="DT380"/>
  <c r="DS380"/>
  <c r="DR380"/>
  <c r="DQ380"/>
  <c r="DP380"/>
  <c r="DO380"/>
  <c r="DN380"/>
  <c r="DM380"/>
  <c r="DL380"/>
  <c r="DK380"/>
  <c r="DJ380"/>
  <c r="DI380"/>
  <c r="DH380"/>
  <c r="DG380"/>
  <c r="DF380"/>
  <c r="DE380"/>
  <c r="DD380"/>
  <c r="DC380"/>
  <c r="DB380"/>
  <c r="DA380"/>
  <c r="CZ380"/>
  <c r="CY380"/>
  <c r="CX380"/>
  <c r="CW380"/>
  <c r="CV380"/>
  <c r="CU380"/>
  <c r="CT380"/>
  <c r="CS380"/>
  <c r="CR380"/>
  <c r="CQ380"/>
  <c r="CP380"/>
  <c r="CO380"/>
  <c r="CN380"/>
  <c r="CM380"/>
  <c r="CL380"/>
  <c r="CK380"/>
  <c r="CJ380"/>
  <c r="CI380"/>
  <c r="CH380"/>
  <c r="CG380"/>
  <c r="CF380"/>
  <c r="CE380"/>
  <c r="CD380"/>
  <c r="CC380"/>
  <c r="CB380"/>
  <c r="CA380"/>
  <c r="BZ380"/>
  <c r="BY380"/>
  <c r="BX380"/>
  <c r="BW380"/>
  <c r="BV380"/>
  <c r="BU380"/>
  <c r="BT380"/>
  <c r="BS380"/>
  <c r="BR380"/>
  <c r="BQ380"/>
  <c r="BP380"/>
  <c r="BO380"/>
  <c r="BN380"/>
  <c r="E380"/>
  <c r="B380"/>
  <c r="A380"/>
  <c r="DU379"/>
  <c r="DT379"/>
  <c r="DS379"/>
  <c r="DR379"/>
  <c r="DQ379"/>
  <c r="DP379"/>
  <c r="DO379"/>
  <c r="DN379"/>
  <c r="DM379"/>
  <c r="DL379"/>
  <c r="DK379"/>
  <c r="DJ379"/>
  <c r="DI379"/>
  <c r="DH379"/>
  <c r="DG379"/>
  <c r="DF379"/>
  <c r="DE379"/>
  <c r="DD379"/>
  <c r="DC379"/>
  <c r="DB379"/>
  <c r="DA379"/>
  <c r="CZ379"/>
  <c r="CY379"/>
  <c r="CX379"/>
  <c r="CW379"/>
  <c r="CV379"/>
  <c r="CU379"/>
  <c r="CT379"/>
  <c r="CS379"/>
  <c r="CR379"/>
  <c r="CQ379"/>
  <c r="CP379"/>
  <c r="CO379"/>
  <c r="CN379"/>
  <c r="CM379"/>
  <c r="CL379"/>
  <c r="CK379"/>
  <c r="CJ379"/>
  <c r="CI379"/>
  <c r="CH379"/>
  <c r="CG379"/>
  <c r="CF379"/>
  <c r="CE379"/>
  <c r="CD379"/>
  <c r="CC379"/>
  <c r="CB379"/>
  <c r="CA379"/>
  <c r="BZ379"/>
  <c r="BY379"/>
  <c r="BX379"/>
  <c r="BW379"/>
  <c r="BV379"/>
  <c r="BU379"/>
  <c r="BT379"/>
  <c r="BS379"/>
  <c r="BR379"/>
  <c r="BQ379"/>
  <c r="BP379"/>
  <c r="BO379"/>
  <c r="BN379"/>
  <c r="E379"/>
  <c r="B379"/>
  <c r="A379"/>
  <c r="DU378"/>
  <c r="DT378"/>
  <c r="DS378"/>
  <c r="DR378"/>
  <c r="DQ378"/>
  <c r="DP378"/>
  <c r="DO378"/>
  <c r="DN378"/>
  <c r="DM378"/>
  <c r="DL378"/>
  <c r="DK378"/>
  <c r="DJ378"/>
  <c r="DI378"/>
  <c r="DH378"/>
  <c r="DG378"/>
  <c r="DF378"/>
  <c r="DE378"/>
  <c r="DD378"/>
  <c r="DC378"/>
  <c r="DB378"/>
  <c r="DA378"/>
  <c r="CZ378"/>
  <c r="CY378"/>
  <c r="CX378"/>
  <c r="CW378"/>
  <c r="CV378"/>
  <c r="CU378"/>
  <c r="CT378"/>
  <c r="CS378"/>
  <c r="CR378"/>
  <c r="CQ378"/>
  <c r="CP378"/>
  <c r="CO378"/>
  <c r="CN378"/>
  <c r="CM378"/>
  <c r="CL378"/>
  <c r="CK378"/>
  <c r="CJ378"/>
  <c r="CI378"/>
  <c r="CH378"/>
  <c r="CG378"/>
  <c r="CF378"/>
  <c r="CE378"/>
  <c r="CD378"/>
  <c r="CC378"/>
  <c r="CB378"/>
  <c r="CA378"/>
  <c r="BZ378"/>
  <c r="BY378"/>
  <c r="BX378"/>
  <c r="BW378"/>
  <c r="BV378"/>
  <c r="BU378"/>
  <c r="BT378"/>
  <c r="BS378"/>
  <c r="BR378"/>
  <c r="BQ378"/>
  <c r="BP378"/>
  <c r="BO378"/>
  <c r="BN378"/>
  <c r="E378"/>
  <c r="B378"/>
  <c r="A378"/>
  <c r="DU377"/>
  <c r="DT377"/>
  <c r="DS377"/>
  <c r="DR377"/>
  <c r="DQ377"/>
  <c r="DP377"/>
  <c r="DO377"/>
  <c r="DN377"/>
  <c r="DM377"/>
  <c r="DL377"/>
  <c r="DK377"/>
  <c r="DJ377"/>
  <c r="DI377"/>
  <c r="DH377"/>
  <c r="DG377"/>
  <c r="DF377"/>
  <c r="DE377"/>
  <c r="DD377"/>
  <c r="DC377"/>
  <c r="DB377"/>
  <c r="DA377"/>
  <c r="CZ377"/>
  <c r="CY377"/>
  <c r="CX377"/>
  <c r="CW377"/>
  <c r="CV377"/>
  <c r="CU377"/>
  <c r="CT377"/>
  <c r="CS377"/>
  <c r="CR377"/>
  <c r="CQ377"/>
  <c r="CP377"/>
  <c r="CO377"/>
  <c r="CN377"/>
  <c r="CM377"/>
  <c r="CL377"/>
  <c r="CK377"/>
  <c r="CJ377"/>
  <c r="CI377"/>
  <c r="CH377"/>
  <c r="CG377"/>
  <c r="CF377"/>
  <c r="CE377"/>
  <c r="CD377"/>
  <c r="CC377"/>
  <c r="CB377"/>
  <c r="CA377"/>
  <c r="BZ377"/>
  <c r="BY377"/>
  <c r="BX377"/>
  <c r="BW377"/>
  <c r="BV377"/>
  <c r="BU377"/>
  <c r="BT377"/>
  <c r="BS377"/>
  <c r="BR377"/>
  <c r="BQ377"/>
  <c r="BP377"/>
  <c r="BO377"/>
  <c r="BN377"/>
  <c r="E377"/>
  <c r="B377"/>
  <c r="A377"/>
  <c r="DU376"/>
  <c r="DT376"/>
  <c r="DS376"/>
  <c r="DR376"/>
  <c r="DQ376"/>
  <c r="DP376"/>
  <c r="DO376"/>
  <c r="DN376"/>
  <c r="DM376"/>
  <c r="DL376"/>
  <c r="DK376"/>
  <c r="DJ376"/>
  <c r="DI376"/>
  <c r="DH376"/>
  <c r="DG376"/>
  <c r="DF376"/>
  <c r="DE376"/>
  <c r="DD376"/>
  <c r="DC376"/>
  <c r="DB376"/>
  <c r="DA376"/>
  <c r="CZ376"/>
  <c r="CY376"/>
  <c r="CX376"/>
  <c r="CW376"/>
  <c r="CV376"/>
  <c r="CU376"/>
  <c r="CT376"/>
  <c r="CS376"/>
  <c r="CR376"/>
  <c r="CQ376"/>
  <c r="CP376"/>
  <c r="CO376"/>
  <c r="CN376"/>
  <c r="CM376"/>
  <c r="CL376"/>
  <c r="CK376"/>
  <c r="CJ376"/>
  <c r="CI376"/>
  <c r="CH376"/>
  <c r="CG376"/>
  <c r="CF376"/>
  <c r="CE376"/>
  <c r="CD376"/>
  <c r="CC376"/>
  <c r="CB376"/>
  <c r="CA376"/>
  <c r="BZ376"/>
  <c r="BY376"/>
  <c r="BX376"/>
  <c r="BW376"/>
  <c r="BV376"/>
  <c r="BU376"/>
  <c r="BT376"/>
  <c r="BS376"/>
  <c r="BR376"/>
  <c r="BQ376"/>
  <c r="BP376"/>
  <c r="BO376"/>
  <c r="BN376"/>
  <c r="E376"/>
  <c r="B376"/>
  <c r="A376"/>
  <c r="DU375"/>
  <c r="DT375"/>
  <c r="DS375"/>
  <c r="DR375"/>
  <c r="DQ375"/>
  <c r="DP375"/>
  <c r="DO375"/>
  <c r="DN375"/>
  <c r="DM375"/>
  <c r="DL375"/>
  <c r="DK375"/>
  <c r="DJ375"/>
  <c r="DI375"/>
  <c r="DH375"/>
  <c r="DG375"/>
  <c r="DF375"/>
  <c r="DE375"/>
  <c r="DD375"/>
  <c r="DC375"/>
  <c r="DB375"/>
  <c r="DA375"/>
  <c r="CZ375"/>
  <c r="CY375"/>
  <c r="CX375"/>
  <c r="CW375"/>
  <c r="CV375"/>
  <c r="CU375"/>
  <c r="CT375"/>
  <c r="CS375"/>
  <c r="CR375"/>
  <c r="CQ375"/>
  <c r="CP375"/>
  <c r="CO375"/>
  <c r="CN375"/>
  <c r="CM375"/>
  <c r="CL375"/>
  <c r="CK375"/>
  <c r="CJ375"/>
  <c r="CI375"/>
  <c r="CH375"/>
  <c r="CG375"/>
  <c r="CF375"/>
  <c r="CE375"/>
  <c r="CD375"/>
  <c r="CC375"/>
  <c r="CB375"/>
  <c r="CA375"/>
  <c r="BZ375"/>
  <c r="BY375"/>
  <c r="BX375"/>
  <c r="BW375"/>
  <c r="BV375"/>
  <c r="BU375"/>
  <c r="BT375"/>
  <c r="BS375"/>
  <c r="BR375"/>
  <c r="BQ375"/>
  <c r="BP375"/>
  <c r="BO375"/>
  <c r="BN375"/>
  <c r="E375"/>
  <c r="B375"/>
  <c r="A375"/>
  <c r="DU374"/>
  <c r="DT374"/>
  <c r="DS374"/>
  <c r="DR374"/>
  <c r="DQ374"/>
  <c r="DP374"/>
  <c r="DO374"/>
  <c r="DN374"/>
  <c r="DM374"/>
  <c r="DL374"/>
  <c r="DK374"/>
  <c r="DJ374"/>
  <c r="DI374"/>
  <c r="DH374"/>
  <c r="DG374"/>
  <c r="DF374"/>
  <c r="DE374"/>
  <c r="DD374"/>
  <c r="DC374"/>
  <c r="DB374"/>
  <c r="DA374"/>
  <c r="CZ374"/>
  <c r="CY374"/>
  <c r="CX374"/>
  <c r="CW374"/>
  <c r="CV374"/>
  <c r="CU374"/>
  <c r="CT374"/>
  <c r="CS374"/>
  <c r="CR374"/>
  <c r="CQ374"/>
  <c r="CP374"/>
  <c r="CO374"/>
  <c r="CN374"/>
  <c r="CM374"/>
  <c r="CL374"/>
  <c r="CK374"/>
  <c r="CJ374"/>
  <c r="CI374"/>
  <c r="CH374"/>
  <c r="CG374"/>
  <c r="CF374"/>
  <c r="CE374"/>
  <c r="CD374"/>
  <c r="CC374"/>
  <c r="CB374"/>
  <c r="CA374"/>
  <c r="BZ374"/>
  <c r="BY374"/>
  <c r="BX374"/>
  <c r="BW374"/>
  <c r="BV374"/>
  <c r="BU374"/>
  <c r="BT374"/>
  <c r="BS374"/>
  <c r="BR374"/>
  <c r="BQ374"/>
  <c r="BP374"/>
  <c r="BO374"/>
  <c r="BN374"/>
  <c r="E374"/>
  <c r="B374"/>
  <c r="A374"/>
  <c r="DU373"/>
  <c r="DT373"/>
  <c r="DS373"/>
  <c r="DR373"/>
  <c r="DQ373"/>
  <c r="DP373"/>
  <c r="DO373"/>
  <c r="DN373"/>
  <c r="DM373"/>
  <c r="DL373"/>
  <c r="DK373"/>
  <c r="DJ373"/>
  <c r="DI373"/>
  <c r="DH373"/>
  <c r="DG373"/>
  <c r="DF373"/>
  <c r="DE373"/>
  <c r="DD373"/>
  <c r="DC373"/>
  <c r="DB373"/>
  <c r="DA373"/>
  <c r="CZ373"/>
  <c r="CY373"/>
  <c r="CX373"/>
  <c r="CW373"/>
  <c r="CV373"/>
  <c r="CU373"/>
  <c r="CT373"/>
  <c r="CS373"/>
  <c r="CR373"/>
  <c r="CQ373"/>
  <c r="CP373"/>
  <c r="CO373"/>
  <c r="CN373"/>
  <c r="CM373"/>
  <c r="CL373"/>
  <c r="CK373"/>
  <c r="CJ373"/>
  <c r="CI373"/>
  <c r="CH373"/>
  <c r="CG373"/>
  <c r="CF373"/>
  <c r="CE373"/>
  <c r="CD373"/>
  <c r="CC373"/>
  <c r="CB373"/>
  <c r="CA373"/>
  <c r="BZ373"/>
  <c r="BY373"/>
  <c r="BX373"/>
  <c r="BW373"/>
  <c r="BV373"/>
  <c r="BU373"/>
  <c r="BT373"/>
  <c r="BS373"/>
  <c r="BR373"/>
  <c r="BQ373"/>
  <c r="BP373"/>
  <c r="BO373"/>
  <c r="BN373"/>
  <c r="E373"/>
  <c r="B373"/>
  <c r="A373"/>
  <c r="DU372"/>
  <c r="DT372"/>
  <c r="DS372"/>
  <c r="DR372"/>
  <c r="DQ372"/>
  <c r="DP372"/>
  <c r="DO372"/>
  <c r="DN372"/>
  <c r="DM372"/>
  <c r="DL372"/>
  <c r="DK372"/>
  <c r="DJ372"/>
  <c r="DI372"/>
  <c r="DH372"/>
  <c r="DG372"/>
  <c r="DF372"/>
  <c r="DE372"/>
  <c r="DD372"/>
  <c r="DC372"/>
  <c r="DB372"/>
  <c r="DA372"/>
  <c r="CZ372"/>
  <c r="CY372"/>
  <c r="CX372"/>
  <c r="CW372"/>
  <c r="CV372"/>
  <c r="CU372"/>
  <c r="CT372"/>
  <c r="CS372"/>
  <c r="CR372"/>
  <c r="CQ372"/>
  <c r="CP372"/>
  <c r="CO372"/>
  <c r="CN372"/>
  <c r="CM372"/>
  <c r="CL372"/>
  <c r="CK372"/>
  <c r="CJ372"/>
  <c r="CI372"/>
  <c r="CH372"/>
  <c r="CG372"/>
  <c r="CF372"/>
  <c r="CE372"/>
  <c r="CD372"/>
  <c r="CC372"/>
  <c r="CB372"/>
  <c r="CA372"/>
  <c r="BZ372"/>
  <c r="BY372"/>
  <c r="BX372"/>
  <c r="BW372"/>
  <c r="BV372"/>
  <c r="BU372"/>
  <c r="BT372"/>
  <c r="BS372"/>
  <c r="BR372"/>
  <c r="BQ372"/>
  <c r="BP372"/>
  <c r="BO372"/>
  <c r="BN372"/>
  <c r="E372"/>
  <c r="B372"/>
  <c r="A372"/>
  <c r="DU371"/>
  <c r="DT371"/>
  <c r="DS371"/>
  <c r="DR371"/>
  <c r="DQ371"/>
  <c r="DP371"/>
  <c r="DO371"/>
  <c r="DN371"/>
  <c r="DM371"/>
  <c r="DL371"/>
  <c r="DK371"/>
  <c r="DJ371"/>
  <c r="DI371"/>
  <c r="DH371"/>
  <c r="DG371"/>
  <c r="DF371"/>
  <c r="DE371"/>
  <c r="DD371"/>
  <c r="DC371"/>
  <c r="DB371"/>
  <c r="DA371"/>
  <c r="CZ371"/>
  <c r="CY371"/>
  <c r="CX371"/>
  <c r="CW371"/>
  <c r="CV371"/>
  <c r="CU371"/>
  <c r="CT371"/>
  <c r="CS371"/>
  <c r="CR371"/>
  <c r="CQ371"/>
  <c r="CP371"/>
  <c r="CO371"/>
  <c r="CN371"/>
  <c r="CM371"/>
  <c r="CL371"/>
  <c r="CK371"/>
  <c r="CJ371"/>
  <c r="CI371"/>
  <c r="CH371"/>
  <c r="CG371"/>
  <c r="CF371"/>
  <c r="CE371"/>
  <c r="CD371"/>
  <c r="CC371"/>
  <c r="CB371"/>
  <c r="CA371"/>
  <c r="BZ371"/>
  <c r="BY371"/>
  <c r="BX371"/>
  <c r="BW371"/>
  <c r="BV371"/>
  <c r="BU371"/>
  <c r="BT371"/>
  <c r="BS371"/>
  <c r="BR371"/>
  <c r="BQ371"/>
  <c r="BP371"/>
  <c r="BO371"/>
  <c r="BN371"/>
  <c r="E371"/>
  <c r="E810" s="1"/>
  <c r="D371"/>
  <c r="D810" s="1"/>
  <c r="C371"/>
  <c r="C810" s="1"/>
  <c r="B371"/>
  <c r="B810" s="1"/>
  <c r="A371"/>
  <c r="A810" s="1"/>
  <c r="DU370"/>
  <c r="DT370"/>
  <c r="DS370"/>
  <c r="DR370"/>
  <c r="DQ370"/>
  <c r="DP370"/>
  <c r="DO370"/>
  <c r="DN370"/>
  <c r="DM370"/>
  <c r="DL370"/>
  <c r="DK370"/>
  <c r="DJ370"/>
  <c r="DI370"/>
  <c r="DH370"/>
  <c r="DG370"/>
  <c r="DF370"/>
  <c r="DE370"/>
  <c r="DD370"/>
  <c r="DC370"/>
  <c r="DB370"/>
  <c r="DA370"/>
  <c r="CZ370"/>
  <c r="CY370"/>
  <c r="CX370"/>
  <c r="CW370"/>
  <c r="CV370"/>
  <c r="CU370"/>
  <c r="CT370"/>
  <c r="CS370"/>
  <c r="CR370"/>
  <c r="CQ370"/>
  <c r="CP370"/>
  <c r="CO370"/>
  <c r="CN370"/>
  <c r="CM370"/>
  <c r="CL370"/>
  <c r="CK370"/>
  <c r="CJ370"/>
  <c r="CI370"/>
  <c r="CH370"/>
  <c r="CG370"/>
  <c r="CF370"/>
  <c r="CE370"/>
  <c r="CD370"/>
  <c r="CC370"/>
  <c r="CB370"/>
  <c r="CA370"/>
  <c r="BZ370"/>
  <c r="BY370"/>
  <c r="BX370"/>
  <c r="BW370"/>
  <c r="BV370"/>
  <c r="BU370"/>
  <c r="BT370"/>
  <c r="BS370"/>
  <c r="BR370"/>
  <c r="BQ370"/>
  <c r="BP370"/>
  <c r="BO370"/>
  <c r="BN370"/>
  <c r="E370"/>
  <c r="E809" s="1"/>
  <c r="D370"/>
  <c r="D809" s="1"/>
  <c r="C370"/>
  <c r="C809" s="1"/>
  <c r="B370"/>
  <c r="B809" s="1"/>
  <c r="A370"/>
  <c r="A809" s="1"/>
  <c r="DU369"/>
  <c r="DT369"/>
  <c r="DS369"/>
  <c r="DR369"/>
  <c r="DQ369"/>
  <c r="DP369"/>
  <c r="DO369"/>
  <c r="DN369"/>
  <c r="DM369"/>
  <c r="DL369"/>
  <c r="DK369"/>
  <c r="DJ369"/>
  <c r="DI369"/>
  <c r="DH369"/>
  <c r="DG369"/>
  <c r="DF369"/>
  <c r="DE369"/>
  <c r="DD369"/>
  <c r="DC369"/>
  <c r="DB369"/>
  <c r="DA369"/>
  <c r="CZ369"/>
  <c r="CY369"/>
  <c r="CX369"/>
  <c r="CW369"/>
  <c r="CV369"/>
  <c r="CU369"/>
  <c r="CT369"/>
  <c r="CS369"/>
  <c r="CR369"/>
  <c r="CQ369"/>
  <c r="CP369"/>
  <c r="CO369"/>
  <c r="CN369"/>
  <c r="CM369"/>
  <c r="CL369"/>
  <c r="CK369"/>
  <c r="CJ369"/>
  <c r="CI369"/>
  <c r="CH369"/>
  <c r="CG369"/>
  <c r="CF369"/>
  <c r="CE369"/>
  <c r="CD369"/>
  <c r="CC369"/>
  <c r="CB369"/>
  <c r="CA369"/>
  <c r="BZ369"/>
  <c r="BY369"/>
  <c r="BX369"/>
  <c r="BW369"/>
  <c r="BV369"/>
  <c r="BU369"/>
  <c r="BT369"/>
  <c r="BS369"/>
  <c r="BR369"/>
  <c r="BQ369"/>
  <c r="BP369"/>
  <c r="BO369"/>
  <c r="BN369"/>
  <c r="E369"/>
  <c r="E808" s="1"/>
  <c r="D369"/>
  <c r="D808" s="1"/>
  <c r="C369"/>
  <c r="C808" s="1"/>
  <c r="B369"/>
  <c r="B808" s="1"/>
  <c r="A369"/>
  <c r="A808" s="1"/>
  <c r="DU368"/>
  <c r="DT368"/>
  <c r="DS368"/>
  <c r="DR368"/>
  <c r="DQ368"/>
  <c r="DP368"/>
  <c r="DO368"/>
  <c r="DN368"/>
  <c r="DM368"/>
  <c r="DL368"/>
  <c r="DK368"/>
  <c r="DJ368"/>
  <c r="DI368"/>
  <c r="DH368"/>
  <c r="DG368"/>
  <c r="DF368"/>
  <c r="DE368"/>
  <c r="DD368"/>
  <c r="DC368"/>
  <c r="DB368"/>
  <c r="DA368"/>
  <c r="CZ368"/>
  <c r="CY368"/>
  <c r="CX368"/>
  <c r="CW368"/>
  <c r="CV368"/>
  <c r="CU368"/>
  <c r="CT368"/>
  <c r="CS368"/>
  <c r="CR368"/>
  <c r="CQ368"/>
  <c r="CP368"/>
  <c r="CO368"/>
  <c r="CN368"/>
  <c r="CM368"/>
  <c r="CL368"/>
  <c r="CK368"/>
  <c r="CJ368"/>
  <c r="CI368"/>
  <c r="CH368"/>
  <c r="CG368"/>
  <c r="CF368"/>
  <c r="CE368"/>
  <c r="CD368"/>
  <c r="CC368"/>
  <c r="CB368"/>
  <c r="CA368"/>
  <c r="BZ368"/>
  <c r="BY368"/>
  <c r="BX368"/>
  <c r="BW368"/>
  <c r="BV368"/>
  <c r="BU368"/>
  <c r="BT368"/>
  <c r="BS368"/>
  <c r="BR368"/>
  <c r="BQ368"/>
  <c r="BP368"/>
  <c r="BO368"/>
  <c r="BN368"/>
  <c r="E368"/>
  <c r="E807" s="1"/>
  <c r="D368"/>
  <c r="D807" s="1"/>
  <c r="C368"/>
  <c r="C807" s="1"/>
  <c r="B368"/>
  <c r="B807" s="1"/>
  <c r="A368"/>
  <c r="A807" s="1"/>
  <c r="DU367"/>
  <c r="DT367"/>
  <c r="DS367"/>
  <c r="DR367"/>
  <c r="DQ367"/>
  <c r="DP367"/>
  <c r="DO367"/>
  <c r="DN367"/>
  <c r="DM367"/>
  <c r="DL367"/>
  <c r="DK367"/>
  <c r="DJ367"/>
  <c r="DI367"/>
  <c r="DH367"/>
  <c r="DG367"/>
  <c r="DF367"/>
  <c r="DE367"/>
  <c r="DD367"/>
  <c r="DC367"/>
  <c r="DB367"/>
  <c r="DA367"/>
  <c r="CZ367"/>
  <c r="CY367"/>
  <c r="CX367"/>
  <c r="CW367"/>
  <c r="CV367"/>
  <c r="CU367"/>
  <c r="CT367"/>
  <c r="CS367"/>
  <c r="CR367"/>
  <c r="CQ367"/>
  <c r="CP367"/>
  <c r="CO367"/>
  <c r="CN367"/>
  <c r="CM367"/>
  <c r="CL367"/>
  <c r="CK367"/>
  <c r="CJ367"/>
  <c r="CI367"/>
  <c r="CH367"/>
  <c r="CG367"/>
  <c r="CF367"/>
  <c r="CE367"/>
  <c r="CD367"/>
  <c r="CC367"/>
  <c r="CB367"/>
  <c r="CA367"/>
  <c r="BZ367"/>
  <c r="BY367"/>
  <c r="BX367"/>
  <c r="BW367"/>
  <c r="BV367"/>
  <c r="BU367"/>
  <c r="BT367"/>
  <c r="BS367"/>
  <c r="BR367"/>
  <c r="BQ367"/>
  <c r="BP367"/>
  <c r="BO367"/>
  <c r="BN367"/>
  <c r="E367"/>
  <c r="E806" s="1"/>
  <c r="D367"/>
  <c r="D806" s="1"/>
  <c r="C367"/>
  <c r="C806" s="1"/>
  <c r="B367"/>
  <c r="B806" s="1"/>
  <c r="A367"/>
  <c r="A806" s="1"/>
  <c r="DU366"/>
  <c r="DT366"/>
  <c r="DS366"/>
  <c r="DR366"/>
  <c r="DQ366"/>
  <c r="DP366"/>
  <c r="DO366"/>
  <c r="DN366"/>
  <c r="DM366"/>
  <c r="DL366"/>
  <c r="DK366"/>
  <c r="DJ366"/>
  <c r="DI366"/>
  <c r="DH366"/>
  <c r="DG366"/>
  <c r="DF366"/>
  <c r="DE366"/>
  <c r="DD366"/>
  <c r="DC366"/>
  <c r="DB366"/>
  <c r="DA366"/>
  <c r="CZ366"/>
  <c r="CY366"/>
  <c r="CX366"/>
  <c r="CW366"/>
  <c r="CV366"/>
  <c r="CU366"/>
  <c r="CT366"/>
  <c r="CS366"/>
  <c r="CR366"/>
  <c r="CQ366"/>
  <c r="CP366"/>
  <c r="CO366"/>
  <c r="CN366"/>
  <c r="CM366"/>
  <c r="CL366"/>
  <c r="CK366"/>
  <c r="CJ366"/>
  <c r="CI366"/>
  <c r="CH366"/>
  <c r="CG366"/>
  <c r="CF366"/>
  <c r="CE366"/>
  <c r="CD366"/>
  <c r="CC366"/>
  <c r="CB366"/>
  <c r="CA366"/>
  <c r="BZ366"/>
  <c r="BY366"/>
  <c r="BX366"/>
  <c r="BW366"/>
  <c r="BV366"/>
  <c r="BU366"/>
  <c r="BT366"/>
  <c r="BS366"/>
  <c r="BR366"/>
  <c r="BQ366"/>
  <c r="BP366"/>
  <c r="BO366"/>
  <c r="BN366"/>
  <c r="E366"/>
  <c r="E805" s="1"/>
  <c r="D366"/>
  <c r="D805" s="1"/>
  <c r="C366"/>
  <c r="C805" s="1"/>
  <c r="B366"/>
  <c r="B805" s="1"/>
  <c r="A366"/>
  <c r="A805" s="1"/>
  <c r="DU365"/>
  <c r="DT365"/>
  <c r="DS365"/>
  <c r="DR365"/>
  <c r="DQ365"/>
  <c r="DP365"/>
  <c r="DO365"/>
  <c r="DN365"/>
  <c r="DM365"/>
  <c r="DL365"/>
  <c r="DK365"/>
  <c r="DJ365"/>
  <c r="DI365"/>
  <c r="DH365"/>
  <c r="DG365"/>
  <c r="DF365"/>
  <c r="DE365"/>
  <c r="DD365"/>
  <c r="DC365"/>
  <c r="DB365"/>
  <c r="DA365"/>
  <c r="CZ365"/>
  <c r="CY365"/>
  <c r="CX365"/>
  <c r="CW365"/>
  <c r="CV365"/>
  <c r="CU365"/>
  <c r="CT365"/>
  <c r="CS365"/>
  <c r="CR365"/>
  <c r="CQ365"/>
  <c r="CP365"/>
  <c r="CO365"/>
  <c r="CN365"/>
  <c r="CM365"/>
  <c r="CL365"/>
  <c r="CK365"/>
  <c r="CJ365"/>
  <c r="CI365"/>
  <c r="CH365"/>
  <c r="CG365"/>
  <c r="CF365"/>
  <c r="CE365"/>
  <c r="CD365"/>
  <c r="CC365"/>
  <c r="CB365"/>
  <c r="CA365"/>
  <c r="BZ365"/>
  <c r="BY365"/>
  <c r="BX365"/>
  <c r="BW365"/>
  <c r="BV365"/>
  <c r="BU365"/>
  <c r="BT365"/>
  <c r="BS365"/>
  <c r="BR365"/>
  <c r="BQ365"/>
  <c r="BP365"/>
  <c r="BO365"/>
  <c r="BN365"/>
  <c r="E365"/>
  <c r="E804" s="1"/>
  <c r="D365"/>
  <c r="D804" s="1"/>
  <c r="C365"/>
  <c r="C804" s="1"/>
  <c r="B365"/>
  <c r="B804" s="1"/>
  <c r="A365"/>
  <c r="A804" s="1"/>
  <c r="DU364"/>
  <c r="DT364"/>
  <c r="DS364"/>
  <c r="DR364"/>
  <c r="DQ364"/>
  <c r="DP364"/>
  <c r="DO364"/>
  <c r="DN364"/>
  <c r="DM364"/>
  <c r="DL364"/>
  <c r="DK364"/>
  <c r="DJ364"/>
  <c r="DI364"/>
  <c r="DH364"/>
  <c r="DG364"/>
  <c r="DF364"/>
  <c r="DE364"/>
  <c r="DD364"/>
  <c r="DC364"/>
  <c r="DB364"/>
  <c r="DA364"/>
  <c r="CZ364"/>
  <c r="CY364"/>
  <c r="CX364"/>
  <c r="CW364"/>
  <c r="CV364"/>
  <c r="CU364"/>
  <c r="CT364"/>
  <c r="CS364"/>
  <c r="CR364"/>
  <c r="CQ364"/>
  <c r="CP364"/>
  <c r="CO364"/>
  <c r="CN364"/>
  <c r="CM364"/>
  <c r="CL364"/>
  <c r="CK364"/>
  <c r="CJ364"/>
  <c r="CI364"/>
  <c r="CH364"/>
  <c r="CG364"/>
  <c r="CF364"/>
  <c r="CE364"/>
  <c r="CD364"/>
  <c r="CC364"/>
  <c r="CB364"/>
  <c r="CA364"/>
  <c r="BZ364"/>
  <c r="BY364"/>
  <c r="BX364"/>
  <c r="BW364"/>
  <c r="BV364"/>
  <c r="BU364"/>
  <c r="BT364"/>
  <c r="BS364"/>
  <c r="BR364"/>
  <c r="BQ364"/>
  <c r="BP364"/>
  <c r="BO364"/>
  <c r="BN364"/>
  <c r="E364"/>
  <c r="E803" s="1"/>
  <c r="D364"/>
  <c r="D803" s="1"/>
  <c r="C364"/>
  <c r="C803" s="1"/>
  <c r="B364"/>
  <c r="B803" s="1"/>
  <c r="A364"/>
  <c r="A803" s="1"/>
  <c r="DU363"/>
  <c r="DT363"/>
  <c r="DS363"/>
  <c r="DR363"/>
  <c r="DQ363"/>
  <c r="DP363"/>
  <c r="DO363"/>
  <c r="DN363"/>
  <c r="DM363"/>
  <c r="DL363"/>
  <c r="DK363"/>
  <c r="DJ363"/>
  <c r="DI363"/>
  <c r="DH363"/>
  <c r="DG363"/>
  <c r="DF363"/>
  <c r="DE363"/>
  <c r="DD363"/>
  <c r="DC363"/>
  <c r="DB363"/>
  <c r="DA363"/>
  <c r="CZ363"/>
  <c r="CY363"/>
  <c r="CX363"/>
  <c r="CW363"/>
  <c r="CV363"/>
  <c r="CU363"/>
  <c r="CT363"/>
  <c r="CS363"/>
  <c r="CR363"/>
  <c r="CQ363"/>
  <c r="CP363"/>
  <c r="CO363"/>
  <c r="CN363"/>
  <c r="CM363"/>
  <c r="CL363"/>
  <c r="CK363"/>
  <c r="CJ363"/>
  <c r="CI363"/>
  <c r="CH363"/>
  <c r="CG363"/>
  <c r="CF363"/>
  <c r="CE363"/>
  <c r="CD363"/>
  <c r="CC363"/>
  <c r="CB363"/>
  <c r="CA363"/>
  <c r="BZ363"/>
  <c r="BY363"/>
  <c r="BX363"/>
  <c r="BW363"/>
  <c r="BV363"/>
  <c r="BU363"/>
  <c r="BT363"/>
  <c r="BS363"/>
  <c r="BR363"/>
  <c r="BQ363"/>
  <c r="BP363"/>
  <c r="BO363"/>
  <c r="BN363"/>
  <c r="E363"/>
  <c r="E802" s="1"/>
  <c r="D363"/>
  <c r="D802" s="1"/>
  <c r="C363"/>
  <c r="C802" s="1"/>
  <c r="B363"/>
  <c r="B802" s="1"/>
  <c r="A363"/>
  <c r="A802" s="1"/>
  <c r="DU362"/>
  <c r="DT362"/>
  <c r="DS362"/>
  <c r="DR362"/>
  <c r="DQ362"/>
  <c r="DP362"/>
  <c r="DO362"/>
  <c r="DN362"/>
  <c r="DM362"/>
  <c r="DL362"/>
  <c r="DK362"/>
  <c r="DJ362"/>
  <c r="DI362"/>
  <c r="DH362"/>
  <c r="DG362"/>
  <c r="DF362"/>
  <c r="DE362"/>
  <c r="DD362"/>
  <c r="DC362"/>
  <c r="DB362"/>
  <c r="DA362"/>
  <c r="CZ362"/>
  <c r="CY362"/>
  <c r="CX362"/>
  <c r="CW362"/>
  <c r="CV362"/>
  <c r="CU362"/>
  <c r="CT362"/>
  <c r="CS362"/>
  <c r="CR362"/>
  <c r="CQ362"/>
  <c r="CP362"/>
  <c r="CO362"/>
  <c r="CN362"/>
  <c r="CM362"/>
  <c r="CL362"/>
  <c r="CK362"/>
  <c r="CJ362"/>
  <c r="CI362"/>
  <c r="CH362"/>
  <c r="CG362"/>
  <c r="CF362"/>
  <c r="CE362"/>
  <c r="CD362"/>
  <c r="CC362"/>
  <c r="CB362"/>
  <c r="CA362"/>
  <c r="BZ362"/>
  <c r="BY362"/>
  <c r="BX362"/>
  <c r="BW362"/>
  <c r="BV362"/>
  <c r="BU362"/>
  <c r="BT362"/>
  <c r="BS362"/>
  <c r="BR362"/>
  <c r="BQ362"/>
  <c r="BP362"/>
  <c r="BO362"/>
  <c r="BN362"/>
  <c r="E362"/>
  <c r="E801" s="1"/>
  <c r="D362"/>
  <c r="D801" s="1"/>
  <c r="C362"/>
  <c r="C801" s="1"/>
  <c r="B362"/>
  <c r="B801" s="1"/>
  <c r="A362"/>
  <c r="A801" s="1"/>
  <c r="DU361"/>
  <c r="DT361"/>
  <c r="DS361"/>
  <c r="DR361"/>
  <c r="DQ361"/>
  <c r="DP361"/>
  <c r="DO361"/>
  <c r="DN361"/>
  <c r="DM361"/>
  <c r="DL361"/>
  <c r="DK361"/>
  <c r="DJ361"/>
  <c r="DI361"/>
  <c r="DH361"/>
  <c r="DG361"/>
  <c r="DF361"/>
  <c r="DE361"/>
  <c r="DD361"/>
  <c r="DC361"/>
  <c r="DB361"/>
  <c r="DA361"/>
  <c r="CZ361"/>
  <c r="CY361"/>
  <c r="CX361"/>
  <c r="CW361"/>
  <c r="CV361"/>
  <c r="CU361"/>
  <c r="CT361"/>
  <c r="CS361"/>
  <c r="CR361"/>
  <c r="CQ361"/>
  <c r="CP361"/>
  <c r="CO361"/>
  <c r="CN361"/>
  <c r="CM361"/>
  <c r="CL361"/>
  <c r="CK361"/>
  <c r="CJ361"/>
  <c r="CI361"/>
  <c r="CH361"/>
  <c r="CG361"/>
  <c r="CF361"/>
  <c r="CE361"/>
  <c r="CD361"/>
  <c r="CC361"/>
  <c r="CB361"/>
  <c r="CA361"/>
  <c r="BZ361"/>
  <c r="BY361"/>
  <c r="BX361"/>
  <c r="BW361"/>
  <c r="BV361"/>
  <c r="BU361"/>
  <c r="BT361"/>
  <c r="BS361"/>
  <c r="BR361"/>
  <c r="BQ361"/>
  <c r="BP361"/>
  <c r="BO361"/>
  <c r="BN361"/>
  <c r="E361"/>
  <c r="E800" s="1"/>
  <c r="D361"/>
  <c r="D800" s="1"/>
  <c r="C361"/>
  <c r="C800" s="1"/>
  <c r="B361"/>
  <c r="B800" s="1"/>
  <c r="A361"/>
  <c r="A800" s="1"/>
  <c r="DU360"/>
  <c r="DT360"/>
  <c r="DS360"/>
  <c r="DR360"/>
  <c r="DQ360"/>
  <c r="DP360"/>
  <c r="DO360"/>
  <c r="DN360"/>
  <c r="DM360"/>
  <c r="DL360"/>
  <c r="DK360"/>
  <c r="DJ360"/>
  <c r="DI360"/>
  <c r="DH360"/>
  <c r="DG360"/>
  <c r="DF360"/>
  <c r="DE360"/>
  <c r="DD360"/>
  <c r="DC360"/>
  <c r="DB360"/>
  <c r="DA360"/>
  <c r="CZ360"/>
  <c r="CY360"/>
  <c r="CX360"/>
  <c r="CW360"/>
  <c r="CV360"/>
  <c r="CU360"/>
  <c r="CT360"/>
  <c r="CS360"/>
  <c r="CR360"/>
  <c r="CQ360"/>
  <c r="CP360"/>
  <c r="CO360"/>
  <c r="CN360"/>
  <c r="CM360"/>
  <c r="CL360"/>
  <c r="CK360"/>
  <c r="CJ360"/>
  <c r="CI360"/>
  <c r="CH360"/>
  <c r="CG360"/>
  <c r="CF360"/>
  <c r="CE360"/>
  <c r="CD360"/>
  <c r="CC360"/>
  <c r="CB360"/>
  <c r="CA360"/>
  <c r="BZ360"/>
  <c r="BY360"/>
  <c r="BX360"/>
  <c r="BW360"/>
  <c r="BV360"/>
  <c r="BU360"/>
  <c r="BT360"/>
  <c r="BS360"/>
  <c r="BR360"/>
  <c r="BQ360"/>
  <c r="BP360"/>
  <c r="BO360"/>
  <c r="BN360"/>
  <c r="E360"/>
  <c r="E799" s="1"/>
  <c r="D360"/>
  <c r="D799" s="1"/>
  <c r="C360"/>
  <c r="C799" s="1"/>
  <c r="B360"/>
  <c r="B799" s="1"/>
  <c r="A360"/>
  <c r="A799" s="1"/>
  <c r="DU359"/>
  <c r="DT359"/>
  <c r="DS359"/>
  <c r="DR359"/>
  <c r="DQ359"/>
  <c r="DP359"/>
  <c r="DO359"/>
  <c r="DN359"/>
  <c r="DM359"/>
  <c r="DL359"/>
  <c r="DK359"/>
  <c r="DJ359"/>
  <c r="DI359"/>
  <c r="DH359"/>
  <c r="DG359"/>
  <c r="DF359"/>
  <c r="DE359"/>
  <c r="DD359"/>
  <c r="DC359"/>
  <c r="DB359"/>
  <c r="DA359"/>
  <c r="CZ359"/>
  <c r="CY359"/>
  <c r="CX359"/>
  <c r="CW359"/>
  <c r="CV359"/>
  <c r="CU359"/>
  <c r="CT359"/>
  <c r="CS359"/>
  <c r="CR359"/>
  <c r="CQ359"/>
  <c r="CP359"/>
  <c r="CO359"/>
  <c r="CN359"/>
  <c r="CM359"/>
  <c r="CL359"/>
  <c r="CK359"/>
  <c r="CJ359"/>
  <c r="CI359"/>
  <c r="CH359"/>
  <c r="CG359"/>
  <c r="CF359"/>
  <c r="CE359"/>
  <c r="CD359"/>
  <c r="CC359"/>
  <c r="CB359"/>
  <c r="CA359"/>
  <c r="BZ359"/>
  <c r="BY359"/>
  <c r="BX359"/>
  <c r="BW359"/>
  <c r="BV359"/>
  <c r="BU359"/>
  <c r="BT359"/>
  <c r="BS359"/>
  <c r="BR359"/>
  <c r="BQ359"/>
  <c r="BP359"/>
  <c r="BO359"/>
  <c r="BN359"/>
  <c r="E359"/>
  <c r="E798" s="1"/>
  <c r="D359"/>
  <c r="D798" s="1"/>
  <c r="C359"/>
  <c r="C798" s="1"/>
  <c r="B359"/>
  <c r="B798" s="1"/>
  <c r="A359"/>
  <c r="A798" s="1"/>
  <c r="DU358"/>
  <c r="DT358"/>
  <c r="DS358"/>
  <c r="DR358"/>
  <c r="DQ358"/>
  <c r="DP358"/>
  <c r="DO358"/>
  <c r="DN358"/>
  <c r="DM358"/>
  <c r="DL358"/>
  <c r="DK358"/>
  <c r="DJ358"/>
  <c r="DI358"/>
  <c r="DH358"/>
  <c r="DG358"/>
  <c r="DF358"/>
  <c r="DE358"/>
  <c r="DD358"/>
  <c r="DC358"/>
  <c r="DB358"/>
  <c r="DA358"/>
  <c r="CZ358"/>
  <c r="CY358"/>
  <c r="CX358"/>
  <c r="CW358"/>
  <c r="CV358"/>
  <c r="CU358"/>
  <c r="CT358"/>
  <c r="CS358"/>
  <c r="CR358"/>
  <c r="CQ358"/>
  <c r="CP358"/>
  <c r="CO358"/>
  <c r="CN358"/>
  <c r="CM358"/>
  <c r="CL358"/>
  <c r="CK358"/>
  <c r="CJ358"/>
  <c r="CI358"/>
  <c r="CH358"/>
  <c r="CG358"/>
  <c r="CF358"/>
  <c r="CE358"/>
  <c r="CD358"/>
  <c r="CC358"/>
  <c r="CB358"/>
  <c r="CA358"/>
  <c r="BZ358"/>
  <c r="BY358"/>
  <c r="BX358"/>
  <c r="BW358"/>
  <c r="BV358"/>
  <c r="BU358"/>
  <c r="BT358"/>
  <c r="BS358"/>
  <c r="BR358"/>
  <c r="BQ358"/>
  <c r="BP358"/>
  <c r="BO358"/>
  <c r="BN358"/>
  <c r="E358"/>
  <c r="E797" s="1"/>
  <c r="D358"/>
  <c r="C358"/>
  <c r="B358"/>
  <c r="B797" s="1"/>
  <c r="A358"/>
  <c r="A797" s="1"/>
  <c r="DU357"/>
  <c r="DT357"/>
  <c r="DS357"/>
  <c r="DR357"/>
  <c r="DQ357"/>
  <c r="DP357"/>
  <c r="DO357"/>
  <c r="DN357"/>
  <c r="DM357"/>
  <c r="DL357"/>
  <c r="DK357"/>
  <c r="DJ357"/>
  <c r="DI357"/>
  <c r="DH357"/>
  <c r="DG357"/>
  <c r="DF357"/>
  <c r="DE357"/>
  <c r="DD357"/>
  <c r="DC357"/>
  <c r="DB357"/>
  <c r="DA357"/>
  <c r="CZ357"/>
  <c r="CY357"/>
  <c r="CX357"/>
  <c r="CW357"/>
  <c r="CV357"/>
  <c r="CU357"/>
  <c r="CT357"/>
  <c r="CS357"/>
  <c r="CR357"/>
  <c r="CQ357"/>
  <c r="CP357"/>
  <c r="CO357"/>
  <c r="CN357"/>
  <c r="CM357"/>
  <c r="CL357"/>
  <c r="CK357"/>
  <c r="CJ357"/>
  <c r="CI357"/>
  <c r="CH357"/>
  <c r="CG357"/>
  <c r="CF357"/>
  <c r="CE357"/>
  <c r="CD357"/>
  <c r="CC357"/>
  <c r="CB357"/>
  <c r="CA357"/>
  <c r="BZ357"/>
  <c r="BY357"/>
  <c r="BX357"/>
  <c r="BW357"/>
  <c r="BV357"/>
  <c r="BU357"/>
  <c r="BT357"/>
  <c r="BS357"/>
  <c r="BR357"/>
  <c r="BQ357"/>
  <c r="BP357"/>
  <c r="BO357"/>
  <c r="BN357"/>
  <c r="E357"/>
  <c r="E796" s="1"/>
  <c r="D357"/>
  <c r="D796" s="1"/>
  <c r="C357"/>
  <c r="C796" s="1"/>
  <c r="B357"/>
  <c r="B796" s="1"/>
  <c r="A357"/>
  <c r="A796" s="1"/>
  <c r="DU356"/>
  <c r="DT356"/>
  <c r="DS356"/>
  <c r="DR356"/>
  <c r="DQ356"/>
  <c r="DP356"/>
  <c r="DO356"/>
  <c r="DN356"/>
  <c r="DM356"/>
  <c r="DL356"/>
  <c r="DK356"/>
  <c r="DJ356"/>
  <c r="DI356"/>
  <c r="DH356"/>
  <c r="DG356"/>
  <c r="DF356"/>
  <c r="DE356"/>
  <c r="DD356"/>
  <c r="DC356"/>
  <c r="DB356"/>
  <c r="DA356"/>
  <c r="CZ356"/>
  <c r="CY356"/>
  <c r="CX356"/>
  <c r="CW356"/>
  <c r="CV356"/>
  <c r="CU356"/>
  <c r="CT356"/>
  <c r="CS356"/>
  <c r="CR356"/>
  <c r="CQ356"/>
  <c r="CP356"/>
  <c r="CO356"/>
  <c r="CN356"/>
  <c r="CM356"/>
  <c r="CL356"/>
  <c r="CK356"/>
  <c r="CJ356"/>
  <c r="CI356"/>
  <c r="CH356"/>
  <c r="CG356"/>
  <c r="CF356"/>
  <c r="CE356"/>
  <c r="CD356"/>
  <c r="CC356"/>
  <c r="CB356"/>
  <c r="CA356"/>
  <c r="BZ356"/>
  <c r="BY356"/>
  <c r="BX356"/>
  <c r="BW356"/>
  <c r="BV356"/>
  <c r="BU356"/>
  <c r="BT356"/>
  <c r="BS356"/>
  <c r="BR356"/>
  <c r="BQ356"/>
  <c r="BP356"/>
  <c r="BO356"/>
  <c r="BN356"/>
  <c r="E356"/>
  <c r="B356"/>
  <c r="A356"/>
  <c r="DU355"/>
  <c r="DT355"/>
  <c r="DS355"/>
  <c r="DR355"/>
  <c r="DQ355"/>
  <c r="DP355"/>
  <c r="DO355"/>
  <c r="DN355"/>
  <c r="DM355"/>
  <c r="DL355"/>
  <c r="DK355"/>
  <c r="DJ355"/>
  <c r="DI355"/>
  <c r="DH355"/>
  <c r="DG355"/>
  <c r="DF355"/>
  <c r="DE355"/>
  <c r="DD355"/>
  <c r="DC355"/>
  <c r="DB355"/>
  <c r="DA355"/>
  <c r="CZ355"/>
  <c r="CY355"/>
  <c r="CX355"/>
  <c r="CW355"/>
  <c r="CV355"/>
  <c r="CU355"/>
  <c r="CT355"/>
  <c r="CS355"/>
  <c r="CR355"/>
  <c r="CQ355"/>
  <c r="CP355"/>
  <c r="CO355"/>
  <c r="CN355"/>
  <c r="CM355"/>
  <c r="CL355"/>
  <c r="CK355"/>
  <c r="CJ355"/>
  <c r="CI355"/>
  <c r="CH355"/>
  <c r="CG355"/>
  <c r="CF355"/>
  <c r="CE355"/>
  <c r="CD355"/>
  <c r="CC355"/>
  <c r="CB355"/>
  <c r="CA355"/>
  <c r="BZ355"/>
  <c r="BY355"/>
  <c r="BX355"/>
  <c r="BW355"/>
  <c r="BV355"/>
  <c r="BU355"/>
  <c r="BT355"/>
  <c r="BS355"/>
  <c r="BR355"/>
  <c r="BQ355"/>
  <c r="BP355"/>
  <c r="BO355"/>
  <c r="BN355"/>
  <c r="E355"/>
  <c r="E795" s="1"/>
  <c r="D355"/>
  <c r="D795" s="1"/>
  <c r="C355"/>
  <c r="C795" s="1"/>
  <c r="B355"/>
  <c r="B795" s="1"/>
  <c r="A355"/>
  <c r="A795" s="1"/>
  <c r="DU354"/>
  <c r="DT354"/>
  <c r="DS354"/>
  <c r="DR354"/>
  <c r="DQ354"/>
  <c r="DP354"/>
  <c r="DO354"/>
  <c r="DN354"/>
  <c r="DM354"/>
  <c r="DL354"/>
  <c r="DK354"/>
  <c r="DJ354"/>
  <c r="DI354"/>
  <c r="DH354"/>
  <c r="DG354"/>
  <c r="DF354"/>
  <c r="DE354"/>
  <c r="DD354"/>
  <c r="DC354"/>
  <c r="DB354"/>
  <c r="DA354"/>
  <c r="CZ354"/>
  <c r="CY354"/>
  <c r="CX354"/>
  <c r="CW354"/>
  <c r="CV354"/>
  <c r="CU354"/>
  <c r="CT354"/>
  <c r="CS354"/>
  <c r="CR354"/>
  <c r="CQ354"/>
  <c r="CP354"/>
  <c r="CO354"/>
  <c r="CN354"/>
  <c r="CM354"/>
  <c r="CL354"/>
  <c r="CK354"/>
  <c r="CJ354"/>
  <c r="CI354"/>
  <c r="CH354"/>
  <c r="CG354"/>
  <c r="CF354"/>
  <c r="CE354"/>
  <c r="CD354"/>
  <c r="CC354"/>
  <c r="CB354"/>
  <c r="CA354"/>
  <c r="BZ354"/>
  <c r="BY354"/>
  <c r="BX354"/>
  <c r="BW354"/>
  <c r="BV354"/>
  <c r="BU354"/>
  <c r="BT354"/>
  <c r="BS354"/>
  <c r="BR354"/>
  <c r="BQ354"/>
  <c r="BP354"/>
  <c r="BO354"/>
  <c r="BN354"/>
  <c r="E354"/>
  <c r="E794" s="1"/>
  <c r="D354"/>
  <c r="D794" s="1"/>
  <c r="C354"/>
  <c r="C794" s="1"/>
  <c r="B354"/>
  <c r="B794" s="1"/>
  <c r="A354"/>
  <c r="A794" s="1"/>
  <c r="DU353"/>
  <c r="DT353"/>
  <c r="DS353"/>
  <c r="DR353"/>
  <c r="DQ353"/>
  <c r="DP353"/>
  <c r="DO353"/>
  <c r="DN353"/>
  <c r="DM353"/>
  <c r="DL353"/>
  <c r="DK353"/>
  <c r="DJ353"/>
  <c r="DI353"/>
  <c r="DH353"/>
  <c r="DG353"/>
  <c r="DF353"/>
  <c r="DE353"/>
  <c r="DD353"/>
  <c r="DC353"/>
  <c r="DB353"/>
  <c r="DA353"/>
  <c r="CZ353"/>
  <c r="CY353"/>
  <c r="CX353"/>
  <c r="CW353"/>
  <c r="CV353"/>
  <c r="CU353"/>
  <c r="CT353"/>
  <c r="CS353"/>
  <c r="CR353"/>
  <c r="CQ353"/>
  <c r="CP353"/>
  <c r="CO353"/>
  <c r="CN353"/>
  <c r="CM353"/>
  <c r="CL353"/>
  <c r="CK353"/>
  <c r="CJ353"/>
  <c r="CI353"/>
  <c r="CH353"/>
  <c r="CG353"/>
  <c r="CF353"/>
  <c r="CE353"/>
  <c r="CD353"/>
  <c r="CC353"/>
  <c r="CB353"/>
  <c r="CA353"/>
  <c r="BZ353"/>
  <c r="BY353"/>
  <c r="BX353"/>
  <c r="BW353"/>
  <c r="BV353"/>
  <c r="BU353"/>
  <c r="BT353"/>
  <c r="BS353"/>
  <c r="BR353"/>
  <c r="BQ353"/>
  <c r="BP353"/>
  <c r="BO353"/>
  <c r="BN353"/>
  <c r="E353"/>
  <c r="E793" s="1"/>
  <c r="D353"/>
  <c r="D793" s="1"/>
  <c r="C353"/>
  <c r="C793" s="1"/>
  <c r="B353"/>
  <c r="B793" s="1"/>
  <c r="A353"/>
  <c r="A793" s="1"/>
  <c r="DU352"/>
  <c r="DT352"/>
  <c r="DS352"/>
  <c r="DR352"/>
  <c r="DQ352"/>
  <c r="DP352"/>
  <c r="DO352"/>
  <c r="DN352"/>
  <c r="DM352"/>
  <c r="DL352"/>
  <c r="DK352"/>
  <c r="DJ352"/>
  <c r="DI352"/>
  <c r="DH352"/>
  <c r="DG352"/>
  <c r="DF352"/>
  <c r="DE352"/>
  <c r="DD352"/>
  <c r="DC352"/>
  <c r="DB352"/>
  <c r="DA352"/>
  <c r="CZ352"/>
  <c r="CY352"/>
  <c r="CX352"/>
  <c r="CW352"/>
  <c r="CV352"/>
  <c r="CU352"/>
  <c r="CT352"/>
  <c r="CS352"/>
  <c r="CR352"/>
  <c r="CQ352"/>
  <c r="CP352"/>
  <c r="CO352"/>
  <c r="CN352"/>
  <c r="CM352"/>
  <c r="CL352"/>
  <c r="CK352"/>
  <c r="CJ352"/>
  <c r="CI352"/>
  <c r="CH352"/>
  <c r="CG352"/>
  <c r="CF352"/>
  <c r="CE352"/>
  <c r="CD352"/>
  <c r="CC352"/>
  <c r="CB352"/>
  <c r="CA352"/>
  <c r="BZ352"/>
  <c r="BY352"/>
  <c r="BX352"/>
  <c r="BW352"/>
  <c r="BV352"/>
  <c r="BU352"/>
  <c r="BT352"/>
  <c r="BS352"/>
  <c r="BR352"/>
  <c r="BQ352"/>
  <c r="BP352"/>
  <c r="BO352"/>
  <c r="BN352"/>
  <c r="E352"/>
  <c r="E792" s="1"/>
  <c r="D352"/>
  <c r="D792" s="1"/>
  <c r="C352"/>
  <c r="C792" s="1"/>
  <c r="B352"/>
  <c r="B792" s="1"/>
  <c r="A352"/>
  <c r="A792" s="1"/>
  <c r="DU351"/>
  <c r="DT351"/>
  <c r="DS351"/>
  <c r="DR351"/>
  <c r="DQ351"/>
  <c r="DP351"/>
  <c r="DO351"/>
  <c r="DN351"/>
  <c r="DM351"/>
  <c r="DL351"/>
  <c r="DK351"/>
  <c r="DJ351"/>
  <c r="DI351"/>
  <c r="DH351"/>
  <c r="DG351"/>
  <c r="DF351"/>
  <c r="DE351"/>
  <c r="DD351"/>
  <c r="DC351"/>
  <c r="DB351"/>
  <c r="DA351"/>
  <c r="CZ351"/>
  <c r="CY351"/>
  <c r="CX351"/>
  <c r="CW351"/>
  <c r="CV351"/>
  <c r="CU351"/>
  <c r="CT351"/>
  <c r="CS351"/>
  <c r="CR351"/>
  <c r="CQ351"/>
  <c r="CP351"/>
  <c r="CO351"/>
  <c r="CN351"/>
  <c r="CM351"/>
  <c r="CL351"/>
  <c r="CK351"/>
  <c r="CJ351"/>
  <c r="CI351"/>
  <c r="CH351"/>
  <c r="CG351"/>
  <c r="CF351"/>
  <c r="CE351"/>
  <c r="CD351"/>
  <c r="CC351"/>
  <c r="CB351"/>
  <c r="CA351"/>
  <c r="BZ351"/>
  <c r="BY351"/>
  <c r="BX351"/>
  <c r="BW351"/>
  <c r="BV351"/>
  <c r="BU351"/>
  <c r="BT351"/>
  <c r="BS351"/>
  <c r="BR351"/>
  <c r="BQ351"/>
  <c r="BP351"/>
  <c r="BO351"/>
  <c r="BN351"/>
  <c r="E351"/>
  <c r="E791" s="1"/>
  <c r="D351"/>
  <c r="D791" s="1"/>
  <c r="C351"/>
  <c r="C791" s="1"/>
  <c r="B351"/>
  <c r="B791" s="1"/>
  <c r="A351"/>
  <c r="A791" s="1"/>
  <c r="DU350"/>
  <c r="DT350"/>
  <c r="DS350"/>
  <c r="DR350"/>
  <c r="DQ350"/>
  <c r="DP350"/>
  <c r="DO350"/>
  <c r="DN350"/>
  <c r="DM350"/>
  <c r="DL350"/>
  <c r="DK350"/>
  <c r="DJ350"/>
  <c r="DI350"/>
  <c r="DH350"/>
  <c r="DG350"/>
  <c r="DF350"/>
  <c r="DE350"/>
  <c r="DD350"/>
  <c r="DC350"/>
  <c r="DB350"/>
  <c r="DA350"/>
  <c r="CZ350"/>
  <c r="CY350"/>
  <c r="CX350"/>
  <c r="CW350"/>
  <c r="CV350"/>
  <c r="CU350"/>
  <c r="CT350"/>
  <c r="CS350"/>
  <c r="CR350"/>
  <c r="CQ350"/>
  <c r="CP350"/>
  <c r="CO350"/>
  <c r="CN350"/>
  <c r="CM350"/>
  <c r="CL350"/>
  <c r="CK350"/>
  <c r="CJ350"/>
  <c r="CI350"/>
  <c r="CH350"/>
  <c r="CG350"/>
  <c r="CF350"/>
  <c r="CE350"/>
  <c r="CD350"/>
  <c r="CC350"/>
  <c r="CB350"/>
  <c r="CA350"/>
  <c r="BZ350"/>
  <c r="BY350"/>
  <c r="BX350"/>
  <c r="BW350"/>
  <c r="BV350"/>
  <c r="BU350"/>
  <c r="BT350"/>
  <c r="BS350"/>
  <c r="BR350"/>
  <c r="BQ350"/>
  <c r="BP350"/>
  <c r="BO350"/>
  <c r="BN350"/>
  <c r="E350"/>
  <c r="E790" s="1"/>
  <c r="D350"/>
  <c r="D790" s="1"/>
  <c r="C350"/>
  <c r="C790" s="1"/>
  <c r="B350"/>
  <c r="A350"/>
  <c r="A790" s="1"/>
  <c r="DU349"/>
  <c r="DT349"/>
  <c r="DS349"/>
  <c r="DR349"/>
  <c r="DQ349"/>
  <c r="DP349"/>
  <c r="DO349"/>
  <c r="DN349"/>
  <c r="DM349"/>
  <c r="DL349"/>
  <c r="DK349"/>
  <c r="DJ349"/>
  <c r="DI349"/>
  <c r="DH349"/>
  <c r="DG349"/>
  <c r="DF349"/>
  <c r="DE349"/>
  <c r="DD349"/>
  <c r="DC349"/>
  <c r="DB349"/>
  <c r="DA349"/>
  <c r="CZ349"/>
  <c r="CY349"/>
  <c r="CX349"/>
  <c r="CW349"/>
  <c r="CV349"/>
  <c r="CU349"/>
  <c r="CT349"/>
  <c r="CS349"/>
  <c r="CR349"/>
  <c r="CQ349"/>
  <c r="CP349"/>
  <c r="CO349"/>
  <c r="CN349"/>
  <c r="CM349"/>
  <c r="CL349"/>
  <c r="CK349"/>
  <c r="CJ349"/>
  <c r="CI349"/>
  <c r="CH349"/>
  <c r="CG349"/>
  <c r="CF349"/>
  <c r="CE349"/>
  <c r="CD349"/>
  <c r="CC349"/>
  <c r="CB349"/>
  <c r="CA349"/>
  <c r="BZ349"/>
  <c r="BY349"/>
  <c r="BX349"/>
  <c r="BW349"/>
  <c r="BV349"/>
  <c r="BU349"/>
  <c r="BT349"/>
  <c r="BS349"/>
  <c r="BR349"/>
  <c r="BQ349"/>
  <c r="BP349"/>
  <c r="BO349"/>
  <c r="BN349"/>
  <c r="E349"/>
  <c r="E789" s="1"/>
  <c r="D349"/>
  <c r="D789" s="1"/>
  <c r="C349"/>
  <c r="C789" s="1"/>
  <c r="B349"/>
  <c r="B789" s="1"/>
  <c r="A349"/>
  <c r="A789" s="1"/>
  <c r="DU348"/>
  <c r="DT348"/>
  <c r="DS348"/>
  <c r="DR348"/>
  <c r="DQ348"/>
  <c r="DP348"/>
  <c r="DO348"/>
  <c r="DN348"/>
  <c r="DM348"/>
  <c r="DL348"/>
  <c r="DK348"/>
  <c r="DJ348"/>
  <c r="DI348"/>
  <c r="DH348"/>
  <c r="DG348"/>
  <c r="DF348"/>
  <c r="DE348"/>
  <c r="DD348"/>
  <c r="DC348"/>
  <c r="DB348"/>
  <c r="DA348"/>
  <c r="CZ348"/>
  <c r="CY348"/>
  <c r="CX348"/>
  <c r="CW348"/>
  <c r="CV348"/>
  <c r="CU348"/>
  <c r="CT348"/>
  <c r="CS348"/>
  <c r="CR348"/>
  <c r="CQ348"/>
  <c r="CP348"/>
  <c r="CO348"/>
  <c r="CN348"/>
  <c r="CM348"/>
  <c r="CL348"/>
  <c r="CK348"/>
  <c r="CJ348"/>
  <c r="CI348"/>
  <c r="CH348"/>
  <c r="CG348"/>
  <c r="CF348"/>
  <c r="CE348"/>
  <c r="CD348"/>
  <c r="CC348"/>
  <c r="CB348"/>
  <c r="CA348"/>
  <c r="BZ348"/>
  <c r="BY348"/>
  <c r="BX348"/>
  <c r="BW348"/>
  <c r="BV348"/>
  <c r="BU348"/>
  <c r="BT348"/>
  <c r="BS348"/>
  <c r="BR348"/>
  <c r="BQ348"/>
  <c r="BP348"/>
  <c r="BO348"/>
  <c r="BN348"/>
  <c r="E348"/>
  <c r="E788" s="1"/>
  <c r="D348"/>
  <c r="D788" s="1"/>
  <c r="C348"/>
  <c r="C788" s="1"/>
  <c r="B348"/>
  <c r="B788" s="1"/>
  <c r="A348"/>
  <c r="A788" s="1"/>
  <c r="DU347"/>
  <c r="DT347"/>
  <c r="DS347"/>
  <c r="DR347"/>
  <c r="DQ347"/>
  <c r="DP347"/>
  <c r="DO347"/>
  <c r="DN347"/>
  <c r="DM347"/>
  <c r="DL347"/>
  <c r="DK347"/>
  <c r="DJ347"/>
  <c r="DI347"/>
  <c r="DH347"/>
  <c r="DG347"/>
  <c r="DF347"/>
  <c r="DE347"/>
  <c r="DD347"/>
  <c r="DC347"/>
  <c r="DB347"/>
  <c r="DA347"/>
  <c r="CZ347"/>
  <c r="CY347"/>
  <c r="CX347"/>
  <c r="CW347"/>
  <c r="CV347"/>
  <c r="CU347"/>
  <c r="CT347"/>
  <c r="CS347"/>
  <c r="CR347"/>
  <c r="CQ347"/>
  <c r="CP347"/>
  <c r="CO347"/>
  <c r="CN347"/>
  <c r="CM347"/>
  <c r="CL347"/>
  <c r="CK347"/>
  <c r="CJ347"/>
  <c r="CI347"/>
  <c r="CH347"/>
  <c r="CG347"/>
  <c r="CF347"/>
  <c r="CE347"/>
  <c r="CD347"/>
  <c r="CC347"/>
  <c r="CB347"/>
  <c r="CA347"/>
  <c r="BZ347"/>
  <c r="BY347"/>
  <c r="BX347"/>
  <c r="BW347"/>
  <c r="BV347"/>
  <c r="BU347"/>
  <c r="BT347"/>
  <c r="BS347"/>
  <c r="BR347"/>
  <c r="BQ347"/>
  <c r="BP347"/>
  <c r="BO347"/>
  <c r="BN347"/>
  <c r="E347"/>
  <c r="E787" s="1"/>
  <c r="D347"/>
  <c r="D787" s="1"/>
  <c r="C347"/>
  <c r="C787" s="1"/>
  <c r="B347"/>
  <c r="B787" s="1"/>
  <c r="A347"/>
  <c r="A787" s="1"/>
  <c r="DU346"/>
  <c r="DT346"/>
  <c r="DS346"/>
  <c r="DR346"/>
  <c r="DQ346"/>
  <c r="DP346"/>
  <c r="DO346"/>
  <c r="DN346"/>
  <c r="DM346"/>
  <c r="DL346"/>
  <c r="DK346"/>
  <c r="DJ346"/>
  <c r="DI346"/>
  <c r="DH346"/>
  <c r="DG346"/>
  <c r="DF346"/>
  <c r="DE346"/>
  <c r="DD346"/>
  <c r="DC346"/>
  <c r="DB346"/>
  <c r="DA346"/>
  <c r="CZ346"/>
  <c r="CY346"/>
  <c r="CX346"/>
  <c r="CW346"/>
  <c r="CV346"/>
  <c r="CU346"/>
  <c r="CT346"/>
  <c r="CS346"/>
  <c r="CR346"/>
  <c r="CQ346"/>
  <c r="CP346"/>
  <c r="CO346"/>
  <c r="CN346"/>
  <c r="CM346"/>
  <c r="CL346"/>
  <c r="CK346"/>
  <c r="CJ346"/>
  <c r="CI346"/>
  <c r="CH346"/>
  <c r="CG346"/>
  <c r="CF346"/>
  <c r="CE346"/>
  <c r="CD346"/>
  <c r="CC346"/>
  <c r="CB346"/>
  <c r="CA346"/>
  <c r="BZ346"/>
  <c r="BY346"/>
  <c r="BX346"/>
  <c r="BW346"/>
  <c r="BV346"/>
  <c r="BU346"/>
  <c r="BT346"/>
  <c r="BS346"/>
  <c r="BR346"/>
  <c r="BQ346"/>
  <c r="BP346"/>
  <c r="BO346"/>
  <c r="BN346"/>
  <c r="E346"/>
  <c r="E786" s="1"/>
  <c r="D346"/>
  <c r="D786" s="1"/>
  <c r="C346"/>
  <c r="C786" s="1"/>
  <c r="B346"/>
  <c r="B786" s="1"/>
  <c r="A346"/>
  <c r="A786" s="1"/>
  <c r="DU345"/>
  <c r="DT345"/>
  <c r="DS345"/>
  <c r="DR345"/>
  <c r="DQ345"/>
  <c r="DP345"/>
  <c r="DO345"/>
  <c r="DN345"/>
  <c r="DM345"/>
  <c r="DL345"/>
  <c r="DK345"/>
  <c r="DJ345"/>
  <c r="DI345"/>
  <c r="DH345"/>
  <c r="DG345"/>
  <c r="DF345"/>
  <c r="DE345"/>
  <c r="DD345"/>
  <c r="DC345"/>
  <c r="DB345"/>
  <c r="DA345"/>
  <c r="CZ345"/>
  <c r="CY345"/>
  <c r="CX345"/>
  <c r="CW345"/>
  <c r="CV345"/>
  <c r="CU345"/>
  <c r="CT345"/>
  <c r="CS345"/>
  <c r="CR345"/>
  <c r="CQ345"/>
  <c r="CP345"/>
  <c r="CO345"/>
  <c r="CN345"/>
  <c r="CM345"/>
  <c r="CL345"/>
  <c r="CK345"/>
  <c r="CJ345"/>
  <c r="CI345"/>
  <c r="CH345"/>
  <c r="CG345"/>
  <c r="CF345"/>
  <c r="CE345"/>
  <c r="CD345"/>
  <c r="CC345"/>
  <c r="CB345"/>
  <c r="CA345"/>
  <c r="BZ345"/>
  <c r="BY345"/>
  <c r="BX345"/>
  <c r="BW345"/>
  <c r="BV345"/>
  <c r="BU345"/>
  <c r="BT345"/>
  <c r="BS345"/>
  <c r="BR345"/>
  <c r="BQ345"/>
  <c r="BP345"/>
  <c r="BO345"/>
  <c r="BN345"/>
  <c r="E345"/>
  <c r="E785" s="1"/>
  <c r="D345"/>
  <c r="D785" s="1"/>
  <c r="C345"/>
  <c r="C785" s="1"/>
  <c r="B345"/>
  <c r="B785" s="1"/>
  <c r="A345"/>
  <c r="A785" s="1"/>
  <c r="DU344"/>
  <c r="DT344"/>
  <c r="DS344"/>
  <c r="DR344"/>
  <c r="DQ344"/>
  <c r="DP344"/>
  <c r="DO344"/>
  <c r="DN344"/>
  <c r="DM344"/>
  <c r="DL344"/>
  <c r="DK344"/>
  <c r="DJ344"/>
  <c r="DI344"/>
  <c r="DH344"/>
  <c r="DG344"/>
  <c r="DF344"/>
  <c r="DE344"/>
  <c r="DD344"/>
  <c r="DC344"/>
  <c r="DB344"/>
  <c r="DA344"/>
  <c r="CZ344"/>
  <c r="CY344"/>
  <c r="CX344"/>
  <c r="CW344"/>
  <c r="CV344"/>
  <c r="CU344"/>
  <c r="CT344"/>
  <c r="CS344"/>
  <c r="CR344"/>
  <c r="CQ344"/>
  <c r="CP344"/>
  <c r="CO344"/>
  <c r="CN344"/>
  <c r="CM344"/>
  <c r="CL344"/>
  <c r="CK344"/>
  <c r="CJ344"/>
  <c r="CI344"/>
  <c r="CH344"/>
  <c r="CG344"/>
  <c r="CF344"/>
  <c r="CE344"/>
  <c r="CD344"/>
  <c r="CC344"/>
  <c r="CB344"/>
  <c r="CA344"/>
  <c r="BZ344"/>
  <c r="BY344"/>
  <c r="BX344"/>
  <c r="BW344"/>
  <c r="BV344"/>
  <c r="BU344"/>
  <c r="BT344"/>
  <c r="BS344"/>
  <c r="BR344"/>
  <c r="BQ344"/>
  <c r="BP344"/>
  <c r="BO344"/>
  <c r="BN344"/>
  <c r="E344"/>
  <c r="E784" s="1"/>
  <c r="D344"/>
  <c r="D784" s="1"/>
  <c r="C344"/>
  <c r="C784" s="1"/>
  <c r="B344"/>
  <c r="B784" s="1"/>
  <c r="A344"/>
  <c r="A784" s="1"/>
  <c r="DU343"/>
  <c r="DT343"/>
  <c r="DS343"/>
  <c r="DR343"/>
  <c r="DQ343"/>
  <c r="DP343"/>
  <c r="DO343"/>
  <c r="DN343"/>
  <c r="DM343"/>
  <c r="DL343"/>
  <c r="DK343"/>
  <c r="DJ343"/>
  <c r="DI343"/>
  <c r="DH343"/>
  <c r="DG343"/>
  <c r="DF343"/>
  <c r="DE343"/>
  <c r="DD343"/>
  <c r="DC343"/>
  <c r="DB343"/>
  <c r="DA343"/>
  <c r="CZ343"/>
  <c r="CY343"/>
  <c r="CX343"/>
  <c r="CW343"/>
  <c r="CV343"/>
  <c r="CU343"/>
  <c r="CT343"/>
  <c r="CS343"/>
  <c r="CR343"/>
  <c r="CQ343"/>
  <c r="CP343"/>
  <c r="CO343"/>
  <c r="CN343"/>
  <c r="CM343"/>
  <c r="CL343"/>
  <c r="CK343"/>
  <c r="CJ343"/>
  <c r="CI343"/>
  <c r="CH343"/>
  <c r="CG343"/>
  <c r="CF343"/>
  <c r="CE343"/>
  <c r="CD343"/>
  <c r="CC343"/>
  <c r="CB343"/>
  <c r="CA343"/>
  <c r="BZ343"/>
  <c r="BY343"/>
  <c r="BX343"/>
  <c r="BW343"/>
  <c r="BV343"/>
  <c r="BU343"/>
  <c r="BT343"/>
  <c r="BS343"/>
  <c r="BR343"/>
  <c r="BQ343"/>
  <c r="BP343"/>
  <c r="BO343"/>
  <c r="BN343"/>
  <c r="E343"/>
  <c r="E783" s="1"/>
  <c r="D343"/>
  <c r="D783" s="1"/>
  <c r="C343"/>
  <c r="C783" s="1"/>
  <c r="B343"/>
  <c r="B783" s="1"/>
  <c r="A343"/>
  <c r="A783" s="1"/>
  <c r="DU342"/>
  <c r="DT342"/>
  <c r="DS342"/>
  <c r="DR342"/>
  <c r="DQ342"/>
  <c r="DP342"/>
  <c r="DO342"/>
  <c r="DN342"/>
  <c r="DM342"/>
  <c r="DL342"/>
  <c r="DK342"/>
  <c r="DJ342"/>
  <c r="DI342"/>
  <c r="DH342"/>
  <c r="DG342"/>
  <c r="DF342"/>
  <c r="DE342"/>
  <c r="DD342"/>
  <c r="DC342"/>
  <c r="DB342"/>
  <c r="DA342"/>
  <c r="CZ342"/>
  <c r="CY342"/>
  <c r="CX342"/>
  <c r="CW342"/>
  <c r="CV342"/>
  <c r="CU342"/>
  <c r="CT342"/>
  <c r="CS342"/>
  <c r="CR342"/>
  <c r="CQ342"/>
  <c r="CP342"/>
  <c r="CO342"/>
  <c r="CN342"/>
  <c r="CM342"/>
  <c r="CL342"/>
  <c r="CK342"/>
  <c r="CJ342"/>
  <c r="CI342"/>
  <c r="CH342"/>
  <c r="CG342"/>
  <c r="CF342"/>
  <c r="CE342"/>
  <c r="CD342"/>
  <c r="CC342"/>
  <c r="CB342"/>
  <c r="CA342"/>
  <c r="BZ342"/>
  <c r="BY342"/>
  <c r="BX342"/>
  <c r="BW342"/>
  <c r="BV342"/>
  <c r="BU342"/>
  <c r="BT342"/>
  <c r="BS342"/>
  <c r="BR342"/>
  <c r="BQ342"/>
  <c r="BP342"/>
  <c r="BO342"/>
  <c r="BN342"/>
  <c r="E342"/>
  <c r="E782" s="1"/>
  <c r="D342"/>
  <c r="D782" s="1"/>
  <c r="C342"/>
  <c r="C782" s="1"/>
  <c r="B342"/>
  <c r="B782" s="1"/>
  <c r="A342"/>
  <c r="A782" s="1"/>
  <c r="DU341"/>
  <c r="DT341"/>
  <c r="DS341"/>
  <c r="DR341"/>
  <c r="DQ341"/>
  <c r="DP341"/>
  <c r="DO341"/>
  <c r="DN341"/>
  <c r="DM341"/>
  <c r="DL341"/>
  <c r="DK341"/>
  <c r="DJ341"/>
  <c r="DI341"/>
  <c r="DH341"/>
  <c r="DG341"/>
  <c r="DF341"/>
  <c r="DE341"/>
  <c r="DD341"/>
  <c r="DC341"/>
  <c r="DB341"/>
  <c r="DA341"/>
  <c r="CZ341"/>
  <c r="CY341"/>
  <c r="CX341"/>
  <c r="CW341"/>
  <c r="CV341"/>
  <c r="CU341"/>
  <c r="CT341"/>
  <c r="CS341"/>
  <c r="CR341"/>
  <c r="CQ341"/>
  <c r="CP341"/>
  <c r="CO341"/>
  <c r="CN341"/>
  <c r="CM341"/>
  <c r="CL341"/>
  <c r="CK341"/>
  <c r="CJ341"/>
  <c r="CI341"/>
  <c r="CH341"/>
  <c r="CG341"/>
  <c r="CF341"/>
  <c r="CE341"/>
  <c r="CD341"/>
  <c r="CC341"/>
  <c r="CB341"/>
  <c r="CA341"/>
  <c r="BZ341"/>
  <c r="BY341"/>
  <c r="BX341"/>
  <c r="BW341"/>
  <c r="BV341"/>
  <c r="BU341"/>
  <c r="BT341"/>
  <c r="BS341"/>
  <c r="BR341"/>
  <c r="BQ341"/>
  <c r="BP341"/>
  <c r="BO341"/>
  <c r="BN341"/>
  <c r="E341"/>
  <c r="E781" s="1"/>
  <c r="D341"/>
  <c r="D781" s="1"/>
  <c r="C341"/>
  <c r="C781" s="1"/>
  <c r="B341"/>
  <c r="B781" s="1"/>
  <c r="A341"/>
  <c r="A781" s="1"/>
  <c r="DU340"/>
  <c r="DT340"/>
  <c r="DS340"/>
  <c r="DR340"/>
  <c r="DQ340"/>
  <c r="DP340"/>
  <c r="DO340"/>
  <c r="DN340"/>
  <c r="DM340"/>
  <c r="DL340"/>
  <c r="DK340"/>
  <c r="DJ340"/>
  <c r="DI340"/>
  <c r="DH340"/>
  <c r="DG340"/>
  <c r="DF340"/>
  <c r="DE340"/>
  <c r="DD340"/>
  <c r="DC340"/>
  <c r="DB340"/>
  <c r="DA340"/>
  <c r="CZ340"/>
  <c r="CY340"/>
  <c r="CX340"/>
  <c r="CW340"/>
  <c r="CV340"/>
  <c r="CU340"/>
  <c r="CT340"/>
  <c r="CS340"/>
  <c r="CR340"/>
  <c r="CQ340"/>
  <c r="CP340"/>
  <c r="CO340"/>
  <c r="CN340"/>
  <c r="CM340"/>
  <c r="CL340"/>
  <c r="CK340"/>
  <c r="CJ340"/>
  <c r="CI340"/>
  <c r="CH340"/>
  <c r="CG340"/>
  <c r="CF340"/>
  <c r="CE340"/>
  <c r="CD340"/>
  <c r="CC340"/>
  <c r="CB340"/>
  <c r="CA340"/>
  <c r="BZ340"/>
  <c r="BY340"/>
  <c r="BX340"/>
  <c r="BW340"/>
  <c r="BV340"/>
  <c r="BU340"/>
  <c r="BT340"/>
  <c r="BS340"/>
  <c r="BR340"/>
  <c r="BQ340"/>
  <c r="BP340"/>
  <c r="BO340"/>
  <c r="BN340"/>
  <c r="E340"/>
  <c r="B340"/>
  <c r="A340"/>
  <c r="DU339"/>
  <c r="DT339"/>
  <c r="DS339"/>
  <c r="DR339"/>
  <c r="DQ339"/>
  <c r="DP339"/>
  <c r="DO339"/>
  <c r="DN339"/>
  <c r="DM339"/>
  <c r="DL339"/>
  <c r="DK339"/>
  <c r="DJ339"/>
  <c r="DI339"/>
  <c r="DH339"/>
  <c r="DG339"/>
  <c r="DF339"/>
  <c r="DE339"/>
  <c r="DD339"/>
  <c r="DC339"/>
  <c r="DB339"/>
  <c r="DA339"/>
  <c r="CZ339"/>
  <c r="CY339"/>
  <c r="CX339"/>
  <c r="CW339"/>
  <c r="CV339"/>
  <c r="CU339"/>
  <c r="CT339"/>
  <c r="CS339"/>
  <c r="CR339"/>
  <c r="CQ339"/>
  <c r="CP339"/>
  <c r="CO339"/>
  <c r="CN339"/>
  <c r="CM339"/>
  <c r="CL339"/>
  <c r="CK339"/>
  <c r="CJ339"/>
  <c r="CI339"/>
  <c r="CH339"/>
  <c r="CG339"/>
  <c r="CF339"/>
  <c r="CE339"/>
  <c r="CD339"/>
  <c r="CC339"/>
  <c r="CB339"/>
  <c r="CA339"/>
  <c r="BZ339"/>
  <c r="BY339"/>
  <c r="BX339"/>
  <c r="BW339"/>
  <c r="BV339"/>
  <c r="BU339"/>
  <c r="BT339"/>
  <c r="BS339"/>
  <c r="BR339"/>
  <c r="BQ339"/>
  <c r="BP339"/>
  <c r="BO339"/>
  <c r="BN339"/>
  <c r="E339"/>
  <c r="E780" s="1"/>
  <c r="D339"/>
  <c r="D780" s="1"/>
  <c r="C339"/>
  <c r="C780" s="1"/>
  <c r="B339"/>
  <c r="B780" s="1"/>
  <c r="A339"/>
  <c r="A780" s="1"/>
  <c r="DU338"/>
  <c r="DT338"/>
  <c r="DS338"/>
  <c r="DR338"/>
  <c r="DQ338"/>
  <c r="DP338"/>
  <c r="DO338"/>
  <c r="DN338"/>
  <c r="DM338"/>
  <c r="DL338"/>
  <c r="DK338"/>
  <c r="DJ338"/>
  <c r="DI338"/>
  <c r="DH338"/>
  <c r="DG338"/>
  <c r="DF338"/>
  <c r="DE338"/>
  <c r="DD338"/>
  <c r="DC338"/>
  <c r="DB338"/>
  <c r="DA338"/>
  <c r="CZ338"/>
  <c r="CY338"/>
  <c r="CX338"/>
  <c r="CW338"/>
  <c r="CV338"/>
  <c r="CU338"/>
  <c r="CT338"/>
  <c r="CS338"/>
  <c r="CR338"/>
  <c r="CQ338"/>
  <c r="CP338"/>
  <c r="CO338"/>
  <c r="CN338"/>
  <c r="CM338"/>
  <c r="CL338"/>
  <c r="CK338"/>
  <c r="CJ338"/>
  <c r="CI338"/>
  <c r="CH338"/>
  <c r="CG338"/>
  <c r="CF338"/>
  <c r="CE338"/>
  <c r="CD338"/>
  <c r="CC338"/>
  <c r="CB338"/>
  <c r="CA338"/>
  <c r="BZ338"/>
  <c r="BY338"/>
  <c r="BX338"/>
  <c r="BW338"/>
  <c r="BV338"/>
  <c r="BU338"/>
  <c r="BT338"/>
  <c r="BS338"/>
  <c r="BR338"/>
  <c r="BQ338"/>
  <c r="BP338"/>
  <c r="BO338"/>
  <c r="BN338"/>
  <c r="E338"/>
  <c r="E779" s="1"/>
  <c r="D338"/>
  <c r="D779" s="1"/>
  <c r="C338"/>
  <c r="C779" s="1"/>
  <c r="B338"/>
  <c r="B779" s="1"/>
  <c r="A338"/>
  <c r="A779" s="1"/>
  <c r="DU337"/>
  <c r="DT337"/>
  <c r="DS337"/>
  <c r="DR337"/>
  <c r="DQ337"/>
  <c r="DP337"/>
  <c r="DO337"/>
  <c r="DN337"/>
  <c r="DM337"/>
  <c r="DL337"/>
  <c r="DK337"/>
  <c r="DJ337"/>
  <c r="DI337"/>
  <c r="DH337"/>
  <c r="DG337"/>
  <c r="DF337"/>
  <c r="DE337"/>
  <c r="DD337"/>
  <c r="DC337"/>
  <c r="DB337"/>
  <c r="DA337"/>
  <c r="CZ337"/>
  <c r="CY337"/>
  <c r="CX337"/>
  <c r="CW337"/>
  <c r="CV337"/>
  <c r="CU337"/>
  <c r="CT337"/>
  <c r="CS337"/>
  <c r="CR337"/>
  <c r="CQ337"/>
  <c r="CP337"/>
  <c r="CO337"/>
  <c r="CN337"/>
  <c r="CM337"/>
  <c r="CL337"/>
  <c r="CK337"/>
  <c r="CJ337"/>
  <c r="CI337"/>
  <c r="CH337"/>
  <c r="CG337"/>
  <c r="CF337"/>
  <c r="CE337"/>
  <c r="CD337"/>
  <c r="CC337"/>
  <c r="CB337"/>
  <c r="CA337"/>
  <c r="BZ337"/>
  <c r="BY337"/>
  <c r="BX337"/>
  <c r="BW337"/>
  <c r="BV337"/>
  <c r="BU337"/>
  <c r="BT337"/>
  <c r="BS337"/>
  <c r="BR337"/>
  <c r="BQ337"/>
  <c r="BP337"/>
  <c r="BO337"/>
  <c r="BN337"/>
  <c r="E337"/>
  <c r="E778" s="1"/>
  <c r="D337"/>
  <c r="D778" s="1"/>
  <c r="C337"/>
  <c r="C778" s="1"/>
  <c r="B337"/>
  <c r="B778" s="1"/>
  <c r="A337"/>
  <c r="A778" s="1"/>
  <c r="DU336"/>
  <c r="DT336"/>
  <c r="DS336"/>
  <c r="DR336"/>
  <c r="DQ336"/>
  <c r="DP336"/>
  <c r="DO336"/>
  <c r="DN336"/>
  <c r="DM336"/>
  <c r="DL336"/>
  <c r="DK336"/>
  <c r="DJ336"/>
  <c r="DI336"/>
  <c r="DH336"/>
  <c r="DG336"/>
  <c r="DF336"/>
  <c r="DE336"/>
  <c r="DD336"/>
  <c r="DC336"/>
  <c r="DB336"/>
  <c r="DA336"/>
  <c r="CZ336"/>
  <c r="CY336"/>
  <c r="CX336"/>
  <c r="CW336"/>
  <c r="CV336"/>
  <c r="CU336"/>
  <c r="CT336"/>
  <c r="CS336"/>
  <c r="CR336"/>
  <c r="CQ336"/>
  <c r="CP336"/>
  <c r="CO336"/>
  <c r="CN336"/>
  <c r="CM336"/>
  <c r="CL336"/>
  <c r="CK336"/>
  <c r="CJ336"/>
  <c r="CI336"/>
  <c r="CH336"/>
  <c r="CG336"/>
  <c r="CF336"/>
  <c r="CE336"/>
  <c r="CD336"/>
  <c r="CC336"/>
  <c r="CB336"/>
  <c r="CA336"/>
  <c r="BZ336"/>
  <c r="BY336"/>
  <c r="BX336"/>
  <c r="BW336"/>
  <c r="BV336"/>
  <c r="BU336"/>
  <c r="BT336"/>
  <c r="BS336"/>
  <c r="BR336"/>
  <c r="BQ336"/>
  <c r="BP336"/>
  <c r="BO336"/>
  <c r="BN336"/>
  <c r="E336"/>
  <c r="E777" s="1"/>
  <c r="D336"/>
  <c r="D777" s="1"/>
  <c r="C336"/>
  <c r="C777" s="1"/>
  <c r="B336"/>
  <c r="B777" s="1"/>
  <c r="A336"/>
  <c r="A777" s="1"/>
  <c r="DU335"/>
  <c r="DT335"/>
  <c r="DS335"/>
  <c r="DR335"/>
  <c r="DQ335"/>
  <c r="DP335"/>
  <c r="DO335"/>
  <c r="DN335"/>
  <c r="DM335"/>
  <c r="DL335"/>
  <c r="DK335"/>
  <c r="DJ335"/>
  <c r="DI335"/>
  <c r="DH335"/>
  <c r="DG335"/>
  <c r="DF335"/>
  <c r="DE335"/>
  <c r="DD335"/>
  <c r="DC335"/>
  <c r="DB335"/>
  <c r="DA335"/>
  <c r="CZ335"/>
  <c r="CY335"/>
  <c r="CX335"/>
  <c r="CW335"/>
  <c r="CV335"/>
  <c r="CU335"/>
  <c r="CT335"/>
  <c r="CS335"/>
  <c r="CR335"/>
  <c r="CQ335"/>
  <c r="CP335"/>
  <c r="CO335"/>
  <c r="CN335"/>
  <c r="CM335"/>
  <c r="CL335"/>
  <c r="CK335"/>
  <c r="CJ335"/>
  <c r="CI335"/>
  <c r="CH335"/>
  <c r="CG335"/>
  <c r="CF335"/>
  <c r="CE335"/>
  <c r="CD335"/>
  <c r="CC335"/>
  <c r="CB335"/>
  <c r="CA335"/>
  <c r="BZ335"/>
  <c r="BY335"/>
  <c r="BX335"/>
  <c r="BW335"/>
  <c r="BV335"/>
  <c r="BU335"/>
  <c r="BT335"/>
  <c r="BS335"/>
  <c r="BR335"/>
  <c r="BQ335"/>
  <c r="BP335"/>
  <c r="BO335"/>
  <c r="BN335"/>
  <c r="E335"/>
  <c r="E776" s="1"/>
  <c r="D335"/>
  <c r="D776" s="1"/>
  <c r="C335"/>
  <c r="C776" s="1"/>
  <c r="B335"/>
  <c r="B776" s="1"/>
  <c r="A335"/>
  <c r="A776" s="1"/>
  <c r="DU334"/>
  <c r="DT334"/>
  <c r="DS334"/>
  <c r="DR334"/>
  <c r="DQ334"/>
  <c r="DP334"/>
  <c r="DO334"/>
  <c r="DN334"/>
  <c r="DM334"/>
  <c r="DL334"/>
  <c r="DK334"/>
  <c r="DJ334"/>
  <c r="DI334"/>
  <c r="DH334"/>
  <c r="DG334"/>
  <c r="DF334"/>
  <c r="DE334"/>
  <c r="DD334"/>
  <c r="DC334"/>
  <c r="DB334"/>
  <c r="DA334"/>
  <c r="CZ334"/>
  <c r="CY334"/>
  <c r="CX334"/>
  <c r="CW334"/>
  <c r="CV334"/>
  <c r="CU334"/>
  <c r="CT334"/>
  <c r="CS334"/>
  <c r="CR334"/>
  <c r="CQ334"/>
  <c r="CP334"/>
  <c r="CO334"/>
  <c r="CN334"/>
  <c r="CM334"/>
  <c r="CL334"/>
  <c r="CK334"/>
  <c r="CJ334"/>
  <c r="CI334"/>
  <c r="CH334"/>
  <c r="CG334"/>
  <c r="CF334"/>
  <c r="CE334"/>
  <c r="CD334"/>
  <c r="CC334"/>
  <c r="CB334"/>
  <c r="CA334"/>
  <c r="BZ334"/>
  <c r="BY334"/>
  <c r="BX334"/>
  <c r="BW334"/>
  <c r="BV334"/>
  <c r="BU334"/>
  <c r="BT334"/>
  <c r="BS334"/>
  <c r="BR334"/>
  <c r="BQ334"/>
  <c r="BP334"/>
  <c r="BO334"/>
  <c r="BN334"/>
  <c r="E334"/>
  <c r="E775" s="1"/>
  <c r="D334"/>
  <c r="D775" s="1"/>
  <c r="C334"/>
  <c r="C775" s="1"/>
  <c r="B334"/>
  <c r="B775" s="1"/>
  <c r="A334"/>
  <c r="A775" s="1"/>
  <c r="DU333"/>
  <c r="DT333"/>
  <c r="DS333"/>
  <c r="DR333"/>
  <c r="DQ333"/>
  <c r="DP333"/>
  <c r="DO333"/>
  <c r="DN333"/>
  <c r="DM333"/>
  <c r="DL333"/>
  <c r="DK333"/>
  <c r="DJ333"/>
  <c r="DI333"/>
  <c r="DH333"/>
  <c r="DG333"/>
  <c r="DF333"/>
  <c r="DE333"/>
  <c r="DD333"/>
  <c r="DC333"/>
  <c r="DB333"/>
  <c r="DA333"/>
  <c r="CZ333"/>
  <c r="CY333"/>
  <c r="CX333"/>
  <c r="CW333"/>
  <c r="CV333"/>
  <c r="CU333"/>
  <c r="CT333"/>
  <c r="CS333"/>
  <c r="CR333"/>
  <c r="CQ333"/>
  <c r="CP333"/>
  <c r="CO333"/>
  <c r="CN333"/>
  <c r="CM333"/>
  <c r="CL333"/>
  <c r="CK333"/>
  <c r="CJ333"/>
  <c r="CI333"/>
  <c r="CH333"/>
  <c r="CG333"/>
  <c r="CF333"/>
  <c r="CE333"/>
  <c r="CD333"/>
  <c r="CC333"/>
  <c r="CB333"/>
  <c r="CA333"/>
  <c r="BZ333"/>
  <c r="BY333"/>
  <c r="BX333"/>
  <c r="BW333"/>
  <c r="BV333"/>
  <c r="BU333"/>
  <c r="BT333"/>
  <c r="BS333"/>
  <c r="BR333"/>
  <c r="BQ333"/>
  <c r="BP333"/>
  <c r="BO333"/>
  <c r="BN333"/>
  <c r="E333"/>
  <c r="E774" s="1"/>
  <c r="D333"/>
  <c r="D774" s="1"/>
  <c r="C333"/>
  <c r="C774" s="1"/>
  <c r="B333"/>
  <c r="B774" s="1"/>
  <c r="A333"/>
  <c r="A774" s="1"/>
  <c r="DU332"/>
  <c r="DT332"/>
  <c r="DS332"/>
  <c r="DR332"/>
  <c r="DQ332"/>
  <c r="DP332"/>
  <c r="DO332"/>
  <c r="DN332"/>
  <c r="DM332"/>
  <c r="DL332"/>
  <c r="DK332"/>
  <c r="DJ332"/>
  <c r="DI332"/>
  <c r="DH332"/>
  <c r="DG332"/>
  <c r="DF332"/>
  <c r="DE332"/>
  <c r="DD332"/>
  <c r="DC332"/>
  <c r="DB332"/>
  <c r="DA332"/>
  <c r="CZ332"/>
  <c r="CY332"/>
  <c r="CX332"/>
  <c r="CW332"/>
  <c r="CV332"/>
  <c r="CU332"/>
  <c r="CT332"/>
  <c r="CS332"/>
  <c r="CR332"/>
  <c r="CQ332"/>
  <c r="CP332"/>
  <c r="CO332"/>
  <c r="CN332"/>
  <c r="CM332"/>
  <c r="CL332"/>
  <c r="CK332"/>
  <c r="CJ332"/>
  <c r="CI332"/>
  <c r="CH332"/>
  <c r="CG332"/>
  <c r="CF332"/>
  <c r="CE332"/>
  <c r="CD332"/>
  <c r="CC332"/>
  <c r="CB332"/>
  <c r="CA332"/>
  <c r="BZ332"/>
  <c r="BY332"/>
  <c r="BX332"/>
  <c r="BW332"/>
  <c r="BV332"/>
  <c r="BU332"/>
  <c r="BT332"/>
  <c r="BS332"/>
  <c r="BR332"/>
  <c r="BQ332"/>
  <c r="BP332"/>
  <c r="BO332"/>
  <c r="BN332"/>
  <c r="E332"/>
  <c r="E773" s="1"/>
  <c r="D332"/>
  <c r="D773" s="1"/>
  <c r="C332"/>
  <c r="C773" s="1"/>
  <c r="B332"/>
  <c r="B773" s="1"/>
  <c r="A332"/>
  <c r="A773" s="1"/>
  <c r="DU331"/>
  <c r="DT331"/>
  <c r="DS331"/>
  <c r="DR331"/>
  <c r="DQ331"/>
  <c r="DP331"/>
  <c r="DO331"/>
  <c r="DN331"/>
  <c r="DM331"/>
  <c r="DL331"/>
  <c r="DK331"/>
  <c r="DJ331"/>
  <c r="DI331"/>
  <c r="DH331"/>
  <c r="DG331"/>
  <c r="DF331"/>
  <c r="DE331"/>
  <c r="DD331"/>
  <c r="DC331"/>
  <c r="DB331"/>
  <c r="DA331"/>
  <c r="CZ331"/>
  <c r="CY331"/>
  <c r="CX331"/>
  <c r="CW331"/>
  <c r="CV331"/>
  <c r="CU331"/>
  <c r="CT331"/>
  <c r="CS331"/>
  <c r="CR331"/>
  <c r="CQ331"/>
  <c r="CP331"/>
  <c r="CO331"/>
  <c r="CN331"/>
  <c r="CM331"/>
  <c r="CL331"/>
  <c r="CK331"/>
  <c r="CJ331"/>
  <c r="CI331"/>
  <c r="CH331"/>
  <c r="CG331"/>
  <c r="CF331"/>
  <c r="CE331"/>
  <c r="CD331"/>
  <c r="CC331"/>
  <c r="CB331"/>
  <c r="CA331"/>
  <c r="BZ331"/>
  <c r="BY331"/>
  <c r="BX331"/>
  <c r="BW331"/>
  <c r="BV331"/>
  <c r="BU331"/>
  <c r="BT331"/>
  <c r="BS331"/>
  <c r="BR331"/>
  <c r="BQ331"/>
  <c r="BP331"/>
  <c r="BO331"/>
  <c r="BN331"/>
  <c r="E331"/>
  <c r="E772" s="1"/>
  <c r="D331"/>
  <c r="D772" s="1"/>
  <c r="C331"/>
  <c r="C772" s="1"/>
  <c r="B331"/>
  <c r="B772" s="1"/>
  <c r="A331"/>
  <c r="A772" s="1"/>
  <c r="DU330"/>
  <c r="DT330"/>
  <c r="DS330"/>
  <c r="DR330"/>
  <c r="DQ330"/>
  <c r="DP330"/>
  <c r="DO330"/>
  <c r="DN330"/>
  <c r="DM330"/>
  <c r="DL330"/>
  <c r="DK330"/>
  <c r="DJ330"/>
  <c r="DI330"/>
  <c r="DH330"/>
  <c r="DG330"/>
  <c r="DF330"/>
  <c r="DE330"/>
  <c r="DD330"/>
  <c r="DC330"/>
  <c r="DB330"/>
  <c r="DA330"/>
  <c r="CZ330"/>
  <c r="CY330"/>
  <c r="CX330"/>
  <c r="CW330"/>
  <c r="CV330"/>
  <c r="CU330"/>
  <c r="CT330"/>
  <c r="CS330"/>
  <c r="CR330"/>
  <c r="CQ330"/>
  <c r="CP330"/>
  <c r="CO330"/>
  <c r="CN330"/>
  <c r="CM330"/>
  <c r="CL330"/>
  <c r="CK330"/>
  <c r="CJ330"/>
  <c r="CI330"/>
  <c r="CH330"/>
  <c r="CG330"/>
  <c r="CF330"/>
  <c r="CE330"/>
  <c r="CD330"/>
  <c r="CC330"/>
  <c r="CB330"/>
  <c r="CA330"/>
  <c r="BZ330"/>
  <c r="BY330"/>
  <c r="BX330"/>
  <c r="BW330"/>
  <c r="BV330"/>
  <c r="BU330"/>
  <c r="BT330"/>
  <c r="BS330"/>
  <c r="BR330"/>
  <c r="BQ330"/>
  <c r="BP330"/>
  <c r="BO330"/>
  <c r="BN330"/>
  <c r="E330"/>
  <c r="E771" s="1"/>
  <c r="D330"/>
  <c r="D771" s="1"/>
  <c r="C330"/>
  <c r="C771" s="1"/>
  <c r="B330"/>
  <c r="B771" s="1"/>
  <c r="A330"/>
  <c r="A771" s="1"/>
  <c r="DU329"/>
  <c r="DT329"/>
  <c r="DS329"/>
  <c r="DR329"/>
  <c r="DQ329"/>
  <c r="DP329"/>
  <c r="DO329"/>
  <c r="DN329"/>
  <c r="DM329"/>
  <c r="DL329"/>
  <c r="DK329"/>
  <c r="DJ329"/>
  <c r="DI329"/>
  <c r="DH329"/>
  <c r="DG329"/>
  <c r="DF329"/>
  <c r="DE329"/>
  <c r="DD329"/>
  <c r="DC329"/>
  <c r="DB329"/>
  <c r="DA329"/>
  <c r="CZ329"/>
  <c r="CY329"/>
  <c r="CX329"/>
  <c r="CW329"/>
  <c r="CV329"/>
  <c r="CU329"/>
  <c r="CT329"/>
  <c r="CS329"/>
  <c r="CR329"/>
  <c r="CQ329"/>
  <c r="CP329"/>
  <c r="CO329"/>
  <c r="CN329"/>
  <c r="CM329"/>
  <c r="CL329"/>
  <c r="CK329"/>
  <c r="CJ329"/>
  <c r="CI329"/>
  <c r="CH329"/>
  <c r="CG329"/>
  <c r="CF329"/>
  <c r="CE329"/>
  <c r="CD329"/>
  <c r="CC329"/>
  <c r="CB329"/>
  <c r="CA329"/>
  <c r="BZ329"/>
  <c r="BY329"/>
  <c r="BX329"/>
  <c r="BW329"/>
  <c r="BV329"/>
  <c r="BU329"/>
  <c r="BT329"/>
  <c r="BS329"/>
  <c r="BR329"/>
  <c r="BQ329"/>
  <c r="BP329"/>
  <c r="BO329"/>
  <c r="BN329"/>
  <c r="E329"/>
  <c r="E770" s="1"/>
  <c r="D329"/>
  <c r="D770" s="1"/>
  <c r="C329"/>
  <c r="C770" s="1"/>
  <c r="B329"/>
  <c r="B770" s="1"/>
  <c r="A329"/>
  <c r="A770" s="1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BV328"/>
  <c r="BU328"/>
  <c r="BT328"/>
  <c r="BS328"/>
  <c r="BR328"/>
  <c r="BQ328"/>
  <c r="BP328"/>
  <c r="BO328"/>
  <c r="BN328"/>
  <c r="E328"/>
  <c r="E769" s="1"/>
  <c r="D328"/>
  <c r="D769" s="1"/>
  <c r="C328"/>
  <c r="C769" s="1"/>
  <c r="B328"/>
  <c r="B769" s="1"/>
  <c r="A328"/>
  <c r="A769" s="1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BV327"/>
  <c r="BU327"/>
  <c r="BT327"/>
  <c r="BS327"/>
  <c r="BR327"/>
  <c r="BQ327"/>
  <c r="BP327"/>
  <c r="BO327"/>
  <c r="BN327"/>
  <c r="E327"/>
  <c r="E768" s="1"/>
  <c r="D327"/>
  <c r="D768" s="1"/>
  <c r="C327"/>
  <c r="C768" s="1"/>
  <c r="B327"/>
  <c r="B768" s="1"/>
  <c r="A327"/>
  <c r="A768" s="1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BV326"/>
  <c r="BU326"/>
  <c r="BT326"/>
  <c r="BS326"/>
  <c r="BR326"/>
  <c r="BQ326"/>
  <c r="BP326"/>
  <c r="BO326"/>
  <c r="BN326"/>
  <c r="E326"/>
  <c r="E767" s="1"/>
  <c r="D326"/>
  <c r="D767" s="1"/>
  <c r="C326"/>
  <c r="C767" s="1"/>
  <c r="B326"/>
  <c r="B767" s="1"/>
  <c r="A326"/>
  <c r="A767" s="1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BV325"/>
  <c r="BU325"/>
  <c r="BT325"/>
  <c r="BS325"/>
  <c r="BR325"/>
  <c r="BQ325"/>
  <c r="BP325"/>
  <c r="BO325"/>
  <c r="BN325"/>
  <c r="E325"/>
  <c r="E766" s="1"/>
  <c r="D325"/>
  <c r="D766" s="1"/>
  <c r="C325"/>
  <c r="C766" s="1"/>
  <c r="B325"/>
  <c r="B766" s="1"/>
  <c r="A325"/>
  <c r="A766" s="1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BV324"/>
  <c r="BU324"/>
  <c r="BT324"/>
  <c r="BS324"/>
  <c r="BR324"/>
  <c r="BQ324"/>
  <c r="BP324"/>
  <c r="BO324"/>
  <c r="BN324"/>
  <c r="E324"/>
  <c r="B324"/>
  <c r="A324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BV323"/>
  <c r="BU323"/>
  <c r="BT323"/>
  <c r="BS323"/>
  <c r="BR323"/>
  <c r="BQ323"/>
  <c r="BP323"/>
  <c r="BO323"/>
  <c r="BN323"/>
  <c r="E323"/>
  <c r="E765" s="1"/>
  <c r="D323"/>
  <c r="C323"/>
  <c r="C765" s="1"/>
  <c r="B323"/>
  <c r="B765" s="1"/>
  <c r="A323"/>
  <c r="A765" s="1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BV322"/>
  <c r="BU322"/>
  <c r="BT322"/>
  <c r="BS322"/>
  <c r="BR322"/>
  <c r="BQ322"/>
  <c r="BP322"/>
  <c r="BO322"/>
  <c r="BN322"/>
  <c r="E322"/>
  <c r="E764" s="1"/>
  <c r="D322"/>
  <c r="D764" s="1"/>
  <c r="C322"/>
  <c r="C764" s="1"/>
  <c r="B322"/>
  <c r="B764" s="1"/>
  <c r="A322"/>
  <c r="A764" s="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BV321"/>
  <c r="BU321"/>
  <c r="BT321"/>
  <c r="BS321"/>
  <c r="BR321"/>
  <c r="BQ321"/>
  <c r="BP321"/>
  <c r="BO321"/>
  <c r="BN321"/>
  <c r="E321"/>
  <c r="E763" s="1"/>
  <c r="D321"/>
  <c r="D763" s="1"/>
  <c r="C321"/>
  <c r="C763" s="1"/>
  <c r="B321"/>
  <c r="B763" s="1"/>
  <c r="A321"/>
  <c r="A763" s="1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BV320"/>
  <c r="BU320"/>
  <c r="BT320"/>
  <c r="BS320"/>
  <c r="BR320"/>
  <c r="BQ320"/>
  <c r="BP320"/>
  <c r="BO320"/>
  <c r="BN320"/>
  <c r="E320"/>
  <c r="E762" s="1"/>
  <c r="D320"/>
  <c r="D762" s="1"/>
  <c r="C320"/>
  <c r="C762" s="1"/>
  <c r="B320"/>
  <c r="B762" s="1"/>
  <c r="A320"/>
  <c r="A762" s="1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BV319"/>
  <c r="BU319"/>
  <c r="BT319"/>
  <c r="BS319"/>
  <c r="BR319"/>
  <c r="BQ319"/>
  <c r="BP319"/>
  <c r="BO319"/>
  <c r="BN319"/>
  <c r="E319"/>
  <c r="E761" s="1"/>
  <c r="D319"/>
  <c r="D761" s="1"/>
  <c r="C319"/>
  <c r="C761" s="1"/>
  <c r="B319"/>
  <c r="B761" s="1"/>
  <c r="A319"/>
  <c r="A761" s="1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BV318"/>
  <c r="BU318"/>
  <c r="BT318"/>
  <c r="BS318"/>
  <c r="BR318"/>
  <c r="BQ318"/>
  <c r="BP318"/>
  <c r="BO318"/>
  <c r="BN318"/>
  <c r="E318"/>
  <c r="E760" s="1"/>
  <c r="D318"/>
  <c r="D760" s="1"/>
  <c r="C318"/>
  <c r="C760" s="1"/>
  <c r="B318"/>
  <c r="B760" s="1"/>
  <c r="A318"/>
  <c r="A760" s="1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BV317"/>
  <c r="BU317"/>
  <c r="BT317"/>
  <c r="BS317"/>
  <c r="BR317"/>
  <c r="BQ317"/>
  <c r="BP317"/>
  <c r="BO317"/>
  <c r="BN317"/>
  <c r="E317"/>
  <c r="E759" s="1"/>
  <c r="D317"/>
  <c r="D759" s="1"/>
  <c r="C317"/>
  <c r="C759" s="1"/>
  <c r="B317"/>
  <c r="B759" s="1"/>
  <c r="A317"/>
  <c r="A759" s="1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BV316"/>
  <c r="BU316"/>
  <c r="BT316"/>
  <c r="BS316"/>
  <c r="BR316"/>
  <c r="BQ316"/>
  <c r="BP316"/>
  <c r="BO316"/>
  <c r="BN316"/>
  <c r="E316"/>
  <c r="E758" s="1"/>
  <c r="D316"/>
  <c r="D758" s="1"/>
  <c r="C316"/>
  <c r="C758" s="1"/>
  <c r="B316"/>
  <c r="B758" s="1"/>
  <c r="A316"/>
  <c r="A758" s="1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BV315"/>
  <c r="BU315"/>
  <c r="BT315"/>
  <c r="BS315"/>
  <c r="BR315"/>
  <c r="BQ315"/>
  <c r="BP315"/>
  <c r="BO315"/>
  <c r="BN315"/>
  <c r="E315"/>
  <c r="E757" s="1"/>
  <c r="D315"/>
  <c r="D757" s="1"/>
  <c r="C315"/>
  <c r="C757" s="1"/>
  <c r="B315"/>
  <c r="B757" s="1"/>
  <c r="A315"/>
  <c r="A757" s="1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BV314"/>
  <c r="BU314"/>
  <c r="BT314"/>
  <c r="BS314"/>
  <c r="BR314"/>
  <c r="BQ314"/>
  <c r="BP314"/>
  <c r="BO314"/>
  <c r="BN314"/>
  <c r="E314"/>
  <c r="E756" s="1"/>
  <c r="D314"/>
  <c r="D756" s="1"/>
  <c r="C314"/>
  <c r="C756" s="1"/>
  <c r="B314"/>
  <c r="B756" s="1"/>
  <c r="A314"/>
  <c r="A756" s="1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BV313"/>
  <c r="BU313"/>
  <c r="BT313"/>
  <c r="BS313"/>
  <c r="BR313"/>
  <c r="BQ313"/>
  <c r="BP313"/>
  <c r="BO313"/>
  <c r="BN313"/>
  <c r="E313"/>
  <c r="E755" s="1"/>
  <c r="D313"/>
  <c r="D755" s="1"/>
  <c r="C313"/>
  <c r="C755" s="1"/>
  <c r="B313"/>
  <c r="B755" s="1"/>
  <c r="A313"/>
  <c r="A755" s="1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BV312"/>
  <c r="BU312"/>
  <c r="BT312"/>
  <c r="BS312"/>
  <c r="BR312"/>
  <c r="BQ312"/>
  <c r="BP312"/>
  <c r="BO312"/>
  <c r="BN312"/>
  <c r="E312"/>
  <c r="E754" s="1"/>
  <c r="D312"/>
  <c r="D754" s="1"/>
  <c r="C312"/>
  <c r="C754" s="1"/>
  <c r="B312"/>
  <c r="B754" s="1"/>
  <c r="A312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BV311"/>
  <c r="BU311"/>
  <c r="BT311"/>
  <c r="BS311"/>
  <c r="BR311"/>
  <c r="BQ311"/>
  <c r="BP311"/>
  <c r="BO311"/>
  <c r="BN311"/>
  <c r="E311"/>
  <c r="E753" s="1"/>
  <c r="D311"/>
  <c r="D753" s="1"/>
  <c r="C311"/>
  <c r="C753" s="1"/>
  <c r="B311"/>
  <c r="B753" s="1"/>
  <c r="A311"/>
  <c r="A753" s="1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BV310"/>
  <c r="BU310"/>
  <c r="BT310"/>
  <c r="BS310"/>
  <c r="BR310"/>
  <c r="BQ310"/>
  <c r="BP310"/>
  <c r="BO310"/>
  <c r="BN310"/>
  <c r="E310"/>
  <c r="E752" s="1"/>
  <c r="D310"/>
  <c r="D752" s="1"/>
  <c r="C310"/>
  <c r="C752" s="1"/>
  <c r="B310"/>
  <c r="B752" s="1"/>
  <c r="A310"/>
  <c r="A752" s="1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BV309"/>
  <c r="BU309"/>
  <c r="BT309"/>
  <c r="BS309"/>
  <c r="BR309"/>
  <c r="BQ309"/>
  <c r="BP309"/>
  <c r="BO309"/>
  <c r="BN309"/>
  <c r="E309"/>
  <c r="E751" s="1"/>
  <c r="D309"/>
  <c r="D751" s="1"/>
  <c r="C309"/>
  <c r="C751" s="1"/>
  <c r="B309"/>
  <c r="B751" s="1"/>
  <c r="A309"/>
  <c r="A751" s="1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BV308"/>
  <c r="BU308"/>
  <c r="BT308"/>
  <c r="BS308"/>
  <c r="BR308"/>
  <c r="BQ308"/>
  <c r="BP308"/>
  <c r="BO308"/>
  <c r="BN308"/>
  <c r="E308"/>
  <c r="B308"/>
  <c r="A308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BV307"/>
  <c r="BU307"/>
  <c r="BT307"/>
  <c r="BS307"/>
  <c r="BR307"/>
  <c r="BQ307"/>
  <c r="BP307"/>
  <c r="BO307"/>
  <c r="BN307"/>
  <c r="E307"/>
  <c r="E750" s="1"/>
  <c r="D307"/>
  <c r="D750" s="1"/>
  <c r="C307"/>
  <c r="C750" s="1"/>
  <c r="B307"/>
  <c r="B750" s="1"/>
  <c r="A307"/>
  <c r="A750" s="1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BV306"/>
  <c r="BU306"/>
  <c r="BT306"/>
  <c r="BS306"/>
  <c r="BR306"/>
  <c r="BQ306"/>
  <c r="BP306"/>
  <c r="BO306"/>
  <c r="BN306"/>
  <c r="E306"/>
  <c r="E749" s="1"/>
  <c r="D306"/>
  <c r="D749" s="1"/>
  <c r="C306"/>
  <c r="C749" s="1"/>
  <c r="B306"/>
  <c r="B749" s="1"/>
  <c r="A306"/>
  <c r="A749" s="1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BV305"/>
  <c r="BU305"/>
  <c r="BT305"/>
  <c r="BS305"/>
  <c r="BR305"/>
  <c r="BQ305"/>
  <c r="BP305"/>
  <c r="BO305"/>
  <c r="BN305"/>
  <c r="E305"/>
  <c r="E748" s="1"/>
  <c r="D305"/>
  <c r="D748" s="1"/>
  <c r="C305"/>
  <c r="C748" s="1"/>
  <c r="B305"/>
  <c r="B748" s="1"/>
  <c r="A305"/>
  <c r="A748" s="1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E304"/>
  <c r="E747" s="1"/>
  <c r="D304"/>
  <c r="D747" s="1"/>
  <c r="C304"/>
  <c r="C747" s="1"/>
  <c r="B304"/>
  <c r="B747" s="1"/>
  <c r="A304"/>
  <c r="A747" s="1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E303"/>
  <c r="E746" s="1"/>
  <c r="D303"/>
  <c r="D746" s="1"/>
  <c r="C303"/>
  <c r="C746" s="1"/>
  <c r="B303"/>
  <c r="B746" s="1"/>
  <c r="A303"/>
  <c r="A746" s="1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BV302"/>
  <c r="BU302"/>
  <c r="BT302"/>
  <c r="BS302"/>
  <c r="BR302"/>
  <c r="BQ302"/>
  <c r="BP302"/>
  <c r="BO302"/>
  <c r="BN302"/>
  <c r="E302"/>
  <c r="E745" s="1"/>
  <c r="D302"/>
  <c r="D745" s="1"/>
  <c r="C302"/>
  <c r="C745" s="1"/>
  <c r="B302"/>
  <c r="B745" s="1"/>
  <c r="A302"/>
  <c r="A745" s="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BV301"/>
  <c r="BU301"/>
  <c r="BT301"/>
  <c r="BS301"/>
  <c r="BR301"/>
  <c r="BQ301"/>
  <c r="BP301"/>
  <c r="BO301"/>
  <c r="BN301"/>
  <c r="E301"/>
  <c r="E744" s="1"/>
  <c r="D301"/>
  <c r="D744" s="1"/>
  <c r="C301"/>
  <c r="C744" s="1"/>
  <c r="B301"/>
  <c r="B744" s="1"/>
  <c r="A301"/>
  <c r="A744" s="1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BV300"/>
  <c r="BU300"/>
  <c r="BT300"/>
  <c r="BS300"/>
  <c r="BR300"/>
  <c r="BQ300"/>
  <c r="BP300"/>
  <c r="BO300"/>
  <c r="BN300"/>
  <c r="E300"/>
  <c r="E743" s="1"/>
  <c r="D300"/>
  <c r="D743" s="1"/>
  <c r="C300"/>
  <c r="C743" s="1"/>
  <c r="B300"/>
  <c r="B743" s="1"/>
  <c r="A300"/>
  <c r="A743" s="1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BV299"/>
  <c r="BU299"/>
  <c r="BT299"/>
  <c r="BS299"/>
  <c r="BR299"/>
  <c r="BQ299"/>
  <c r="BP299"/>
  <c r="BO299"/>
  <c r="BN299"/>
  <c r="E299"/>
  <c r="E742" s="1"/>
  <c r="D299"/>
  <c r="D742" s="1"/>
  <c r="C299"/>
  <c r="C742" s="1"/>
  <c r="B299"/>
  <c r="B742" s="1"/>
  <c r="A299"/>
  <c r="A742" s="1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E298"/>
  <c r="E741" s="1"/>
  <c r="D298"/>
  <c r="D741" s="1"/>
  <c r="C298"/>
  <c r="C741" s="1"/>
  <c r="B298"/>
  <c r="B741" s="1"/>
  <c r="A298"/>
  <c r="A741" s="1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BV297"/>
  <c r="BU297"/>
  <c r="BT297"/>
  <c r="BS297"/>
  <c r="BR297"/>
  <c r="BQ297"/>
  <c r="BP297"/>
  <c r="BO297"/>
  <c r="BN297"/>
  <c r="E297"/>
  <c r="E740" s="1"/>
  <c r="D297"/>
  <c r="D740" s="1"/>
  <c r="C297"/>
  <c r="C740" s="1"/>
  <c r="B297"/>
  <c r="B740" s="1"/>
  <c r="A297"/>
  <c r="A740" s="1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BV296"/>
  <c r="BU296"/>
  <c r="BT296"/>
  <c r="BS296"/>
  <c r="BR296"/>
  <c r="BQ296"/>
  <c r="BP296"/>
  <c r="BO296"/>
  <c r="BN296"/>
  <c r="E296"/>
  <c r="E739" s="1"/>
  <c r="D296"/>
  <c r="D739" s="1"/>
  <c r="C296"/>
  <c r="C739" s="1"/>
  <c r="B296"/>
  <c r="B739" s="1"/>
  <c r="A296"/>
  <c r="A739" s="1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BV295"/>
  <c r="BU295"/>
  <c r="BT295"/>
  <c r="BS295"/>
  <c r="BR295"/>
  <c r="BQ295"/>
  <c r="BP295"/>
  <c r="BO295"/>
  <c r="BN295"/>
  <c r="E295"/>
  <c r="E738" s="1"/>
  <c r="D295"/>
  <c r="D738" s="1"/>
  <c r="C295"/>
  <c r="C738" s="1"/>
  <c r="B295"/>
  <c r="B738" s="1"/>
  <c r="A295"/>
  <c r="A738" s="1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BV294"/>
  <c r="BU294"/>
  <c r="BT294"/>
  <c r="BS294"/>
  <c r="BR294"/>
  <c r="BQ294"/>
  <c r="BP294"/>
  <c r="BO294"/>
  <c r="BN294"/>
  <c r="E294"/>
  <c r="E737" s="1"/>
  <c r="D294"/>
  <c r="D737" s="1"/>
  <c r="C294"/>
  <c r="C737" s="1"/>
  <c r="B294"/>
  <c r="B737" s="1"/>
  <c r="A294"/>
  <c r="A737" s="1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BV293"/>
  <c r="BU293"/>
  <c r="BT293"/>
  <c r="BS293"/>
  <c r="BR293"/>
  <c r="BQ293"/>
  <c r="BP293"/>
  <c r="BO293"/>
  <c r="BN293"/>
  <c r="E293"/>
  <c r="E736" s="1"/>
  <c r="D293"/>
  <c r="D736" s="1"/>
  <c r="C293"/>
  <c r="C736" s="1"/>
  <c r="B293"/>
  <c r="B736" s="1"/>
  <c r="A293"/>
  <c r="A736" s="1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BV292"/>
  <c r="BU292"/>
  <c r="BT292"/>
  <c r="BS292"/>
  <c r="BR292"/>
  <c r="BQ292"/>
  <c r="BP292"/>
  <c r="BO292"/>
  <c r="BN292"/>
  <c r="E292"/>
  <c r="B292"/>
  <c r="A292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BV291"/>
  <c r="BU291"/>
  <c r="BT291"/>
  <c r="BS291"/>
  <c r="BR291"/>
  <c r="BQ291"/>
  <c r="BP291"/>
  <c r="BO291"/>
  <c r="BN291"/>
  <c r="E291"/>
  <c r="E735" s="1"/>
  <c r="D291"/>
  <c r="D735" s="1"/>
  <c r="C291"/>
  <c r="C735" s="1"/>
  <c r="B291"/>
  <c r="B735" s="1"/>
  <c r="A291"/>
  <c r="A735" s="1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BV290"/>
  <c r="BU290"/>
  <c r="BT290"/>
  <c r="BS290"/>
  <c r="BR290"/>
  <c r="BQ290"/>
  <c r="BP290"/>
  <c r="BO290"/>
  <c r="BN290"/>
  <c r="E290"/>
  <c r="E734" s="1"/>
  <c r="D290"/>
  <c r="D734" s="1"/>
  <c r="C290"/>
  <c r="C734" s="1"/>
  <c r="B290"/>
  <c r="B734" s="1"/>
  <c r="A290"/>
  <c r="A734" s="1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BV289"/>
  <c r="BU289"/>
  <c r="BT289"/>
  <c r="BS289"/>
  <c r="BR289"/>
  <c r="BQ289"/>
  <c r="BP289"/>
  <c r="BO289"/>
  <c r="BN289"/>
  <c r="E289"/>
  <c r="E733" s="1"/>
  <c r="D289"/>
  <c r="D733" s="1"/>
  <c r="C289"/>
  <c r="C733" s="1"/>
  <c r="B289"/>
  <c r="B733" s="1"/>
  <c r="A289"/>
  <c r="A733" s="1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BV288"/>
  <c r="BU288"/>
  <c r="BT288"/>
  <c r="BS288"/>
  <c r="BR288"/>
  <c r="BQ288"/>
  <c r="BP288"/>
  <c r="BO288"/>
  <c r="BN288"/>
  <c r="E288"/>
  <c r="E732" s="1"/>
  <c r="D288"/>
  <c r="D732" s="1"/>
  <c r="C288"/>
  <c r="C732" s="1"/>
  <c r="B288"/>
  <c r="B732" s="1"/>
  <c r="A288"/>
  <c r="A732" s="1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BV287"/>
  <c r="BU287"/>
  <c r="BT287"/>
  <c r="BS287"/>
  <c r="BR287"/>
  <c r="BQ287"/>
  <c r="BP287"/>
  <c r="BO287"/>
  <c r="BN287"/>
  <c r="E287"/>
  <c r="E731" s="1"/>
  <c r="D287"/>
  <c r="D731" s="1"/>
  <c r="C287"/>
  <c r="C731" s="1"/>
  <c r="B287"/>
  <c r="B731" s="1"/>
  <c r="A287"/>
  <c r="A731" s="1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BV286"/>
  <c r="BU286"/>
  <c r="BT286"/>
  <c r="BS286"/>
  <c r="BR286"/>
  <c r="BQ286"/>
  <c r="BP286"/>
  <c r="BO286"/>
  <c r="BN286"/>
  <c r="E286"/>
  <c r="E730" s="1"/>
  <c r="D286"/>
  <c r="D730" s="1"/>
  <c r="C286"/>
  <c r="C730" s="1"/>
  <c r="B286"/>
  <c r="B730" s="1"/>
  <c r="A286"/>
  <c r="A730" s="1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BV285"/>
  <c r="BU285"/>
  <c r="BT285"/>
  <c r="BS285"/>
  <c r="BR285"/>
  <c r="BQ285"/>
  <c r="BP285"/>
  <c r="BO285"/>
  <c r="BN285"/>
  <c r="E285"/>
  <c r="E729" s="1"/>
  <c r="D285"/>
  <c r="D729" s="1"/>
  <c r="C285"/>
  <c r="C729" s="1"/>
  <c r="B285"/>
  <c r="B729" s="1"/>
  <c r="A285"/>
  <c r="A729" s="1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BV284"/>
  <c r="BU284"/>
  <c r="BT284"/>
  <c r="BS284"/>
  <c r="BR284"/>
  <c r="BQ284"/>
  <c r="BP284"/>
  <c r="BO284"/>
  <c r="BN284"/>
  <c r="E284"/>
  <c r="E728" s="1"/>
  <c r="D284"/>
  <c r="D728" s="1"/>
  <c r="C284"/>
  <c r="C728" s="1"/>
  <c r="B284"/>
  <c r="B728" s="1"/>
  <c r="A284"/>
  <c r="A728" s="1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BV283"/>
  <c r="BU283"/>
  <c r="BT283"/>
  <c r="BS283"/>
  <c r="BR283"/>
  <c r="BQ283"/>
  <c r="BP283"/>
  <c r="BO283"/>
  <c r="BN283"/>
  <c r="E283"/>
  <c r="E727" s="1"/>
  <c r="D283"/>
  <c r="D727" s="1"/>
  <c r="C283"/>
  <c r="C727" s="1"/>
  <c r="B283"/>
  <c r="B727" s="1"/>
  <c r="A283"/>
  <c r="A727" s="1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BV282"/>
  <c r="BU282"/>
  <c r="BT282"/>
  <c r="BS282"/>
  <c r="BR282"/>
  <c r="BQ282"/>
  <c r="BP282"/>
  <c r="BO282"/>
  <c r="BN282"/>
  <c r="E282"/>
  <c r="E726" s="1"/>
  <c r="D282"/>
  <c r="D726" s="1"/>
  <c r="C282"/>
  <c r="C726" s="1"/>
  <c r="B282"/>
  <c r="B726" s="1"/>
  <c r="A282"/>
  <c r="A726" s="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BV281"/>
  <c r="BU281"/>
  <c r="BT281"/>
  <c r="BS281"/>
  <c r="BR281"/>
  <c r="BQ281"/>
  <c r="BP281"/>
  <c r="BO281"/>
  <c r="BN281"/>
  <c r="E281"/>
  <c r="E725" s="1"/>
  <c r="D281"/>
  <c r="D725" s="1"/>
  <c r="C281"/>
  <c r="C725" s="1"/>
  <c r="B281"/>
  <c r="B725" s="1"/>
  <c r="A281"/>
  <c r="A725" s="1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BV280"/>
  <c r="BU280"/>
  <c r="BT280"/>
  <c r="BS280"/>
  <c r="BR280"/>
  <c r="BQ280"/>
  <c r="BP280"/>
  <c r="BO280"/>
  <c r="BN280"/>
  <c r="E280"/>
  <c r="E724" s="1"/>
  <c r="D280"/>
  <c r="D724" s="1"/>
  <c r="C280"/>
  <c r="C724" s="1"/>
  <c r="B280"/>
  <c r="B724" s="1"/>
  <c r="A280"/>
  <c r="A724" s="1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BV279"/>
  <c r="BU279"/>
  <c r="BT279"/>
  <c r="BS279"/>
  <c r="BR279"/>
  <c r="BQ279"/>
  <c r="BP279"/>
  <c r="BO279"/>
  <c r="BN279"/>
  <c r="E279"/>
  <c r="E723" s="1"/>
  <c r="D279"/>
  <c r="D723" s="1"/>
  <c r="C279"/>
  <c r="C723" s="1"/>
  <c r="B279"/>
  <c r="B723" s="1"/>
  <c r="A279"/>
  <c r="A723" s="1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O278"/>
  <c r="BN278"/>
  <c r="E278"/>
  <c r="E722" s="1"/>
  <c r="D278"/>
  <c r="D722" s="1"/>
  <c r="C278"/>
  <c r="C722" s="1"/>
  <c r="B278"/>
  <c r="B722" s="1"/>
  <c r="A278"/>
  <c r="A722" s="1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E277"/>
  <c r="E721" s="1"/>
  <c r="D277"/>
  <c r="D721" s="1"/>
  <c r="C277"/>
  <c r="C721" s="1"/>
  <c r="B277"/>
  <c r="B721" s="1"/>
  <c r="A277"/>
  <c r="A721" s="1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E276"/>
  <c r="B276"/>
  <c r="A276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O275"/>
  <c r="BN275"/>
  <c r="E275"/>
  <c r="E720" s="1"/>
  <c r="D275"/>
  <c r="D720" s="1"/>
  <c r="C275"/>
  <c r="C720" s="1"/>
  <c r="B275"/>
  <c r="B720" s="1"/>
  <c r="A275"/>
  <c r="A720" s="1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BV274"/>
  <c r="BU274"/>
  <c r="BT274"/>
  <c r="BS274"/>
  <c r="BR274"/>
  <c r="BQ274"/>
  <c r="BP274"/>
  <c r="BO274"/>
  <c r="BN274"/>
  <c r="E274"/>
  <c r="E719" s="1"/>
  <c r="D274"/>
  <c r="D719" s="1"/>
  <c r="C274"/>
  <c r="C719" s="1"/>
  <c r="B274"/>
  <c r="B719" s="1"/>
  <c r="A274"/>
  <c r="A719" s="1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Z273"/>
  <c r="CY273"/>
  <c r="CX273"/>
  <c r="CW273"/>
  <c r="CV273"/>
  <c r="CU273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BV273"/>
  <c r="BU273"/>
  <c r="BT273"/>
  <c r="BS273"/>
  <c r="BR273"/>
  <c r="BQ273"/>
  <c r="BP273"/>
  <c r="BO273"/>
  <c r="BN273"/>
  <c r="E273"/>
  <c r="E718" s="1"/>
  <c r="D273"/>
  <c r="D718" s="1"/>
  <c r="C273"/>
  <c r="C718" s="1"/>
  <c r="B273"/>
  <c r="B718" s="1"/>
  <c r="A273"/>
  <c r="A718" s="1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BV272"/>
  <c r="BU272"/>
  <c r="BT272"/>
  <c r="BS272"/>
  <c r="BR272"/>
  <c r="BQ272"/>
  <c r="BP272"/>
  <c r="BO272"/>
  <c r="BN272"/>
  <c r="E272"/>
  <c r="E717" s="1"/>
  <c r="D272"/>
  <c r="D717" s="1"/>
  <c r="C272"/>
  <c r="C717" s="1"/>
  <c r="B272"/>
  <c r="B717" s="1"/>
  <c r="A272"/>
  <c r="A717" s="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O271"/>
  <c r="BN271"/>
  <c r="E271"/>
  <c r="E716" s="1"/>
  <c r="D271"/>
  <c r="D716" s="1"/>
  <c r="C271"/>
  <c r="C716" s="1"/>
  <c r="B271"/>
  <c r="B716" s="1"/>
  <c r="A271"/>
  <c r="A716" s="1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O270"/>
  <c r="BN270"/>
  <c r="E270"/>
  <c r="E715" s="1"/>
  <c r="D270"/>
  <c r="D715" s="1"/>
  <c r="C270"/>
  <c r="C715" s="1"/>
  <c r="B270"/>
  <c r="B715" s="1"/>
  <c r="A270"/>
  <c r="A715" s="1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O269"/>
  <c r="BN269"/>
  <c r="E269"/>
  <c r="E714" s="1"/>
  <c r="D269"/>
  <c r="D714" s="1"/>
  <c r="C269"/>
  <c r="C714" s="1"/>
  <c r="B269"/>
  <c r="B714" s="1"/>
  <c r="A269"/>
  <c r="A714" s="1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O268"/>
  <c r="BN268"/>
  <c r="E268"/>
  <c r="E713" s="1"/>
  <c r="D268"/>
  <c r="D713" s="1"/>
  <c r="C268"/>
  <c r="C713" s="1"/>
  <c r="B268"/>
  <c r="B713" s="1"/>
  <c r="A268"/>
  <c r="A713" s="1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O267"/>
  <c r="BN267"/>
  <c r="E267"/>
  <c r="E712" s="1"/>
  <c r="D267"/>
  <c r="D712" s="1"/>
  <c r="C267"/>
  <c r="B267"/>
  <c r="B712" s="1"/>
  <c r="A267"/>
  <c r="A712" s="1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E266"/>
  <c r="E711" s="1"/>
  <c r="D266"/>
  <c r="D711" s="1"/>
  <c r="C266"/>
  <c r="C711" s="1"/>
  <c r="B266"/>
  <c r="B711" s="1"/>
  <c r="A266"/>
  <c r="A711" s="1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E265"/>
  <c r="E710" s="1"/>
  <c r="D265"/>
  <c r="D710" s="1"/>
  <c r="C265"/>
  <c r="C710" s="1"/>
  <c r="B265"/>
  <c r="B710" s="1"/>
  <c r="A265"/>
  <c r="A710" s="1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BV264"/>
  <c r="BU264"/>
  <c r="BT264"/>
  <c r="BS264"/>
  <c r="BR264"/>
  <c r="BQ264"/>
  <c r="BP264"/>
  <c r="BO264"/>
  <c r="BN264"/>
  <c r="E264"/>
  <c r="E709" s="1"/>
  <c r="D264"/>
  <c r="D709" s="1"/>
  <c r="C264"/>
  <c r="C709" s="1"/>
  <c r="B264"/>
  <c r="B709" s="1"/>
  <c r="A264"/>
  <c r="A709" s="1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BV263"/>
  <c r="BU263"/>
  <c r="BT263"/>
  <c r="BS263"/>
  <c r="BR263"/>
  <c r="BQ263"/>
  <c r="BP263"/>
  <c r="BO263"/>
  <c r="BN263"/>
  <c r="E263"/>
  <c r="E708" s="1"/>
  <c r="D263"/>
  <c r="D708" s="1"/>
  <c r="C263"/>
  <c r="C708" s="1"/>
  <c r="B263"/>
  <c r="B708" s="1"/>
  <c r="A263"/>
  <c r="A708" s="1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N262"/>
  <c r="E262"/>
  <c r="E707" s="1"/>
  <c r="D262"/>
  <c r="D707" s="1"/>
  <c r="C262"/>
  <c r="C707" s="1"/>
  <c r="B262"/>
  <c r="B707" s="1"/>
  <c r="A262"/>
  <c r="A707" s="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N261"/>
  <c r="E261"/>
  <c r="E706" s="1"/>
  <c r="D261"/>
  <c r="D706" s="1"/>
  <c r="C261"/>
  <c r="C706" s="1"/>
  <c r="B261"/>
  <c r="B706" s="1"/>
  <c r="A261"/>
  <c r="A706" s="1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N260"/>
  <c r="E260"/>
  <c r="B260"/>
  <c r="A260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N259"/>
  <c r="E259"/>
  <c r="E705" s="1"/>
  <c r="D259"/>
  <c r="D705" s="1"/>
  <c r="C259"/>
  <c r="C705" s="1"/>
  <c r="B259"/>
  <c r="B705" s="1"/>
  <c r="A259"/>
  <c r="A705" s="1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E258"/>
  <c r="E704" s="1"/>
  <c r="D258"/>
  <c r="D704" s="1"/>
  <c r="C258"/>
  <c r="C704" s="1"/>
  <c r="B258"/>
  <c r="B704" s="1"/>
  <c r="A258"/>
  <c r="A704" s="1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E257"/>
  <c r="E703" s="1"/>
  <c r="D257"/>
  <c r="D703" s="1"/>
  <c r="C257"/>
  <c r="C703" s="1"/>
  <c r="B257"/>
  <c r="B703" s="1"/>
  <c r="A257"/>
  <c r="A703" s="1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E256"/>
  <c r="E702" s="1"/>
  <c r="D256"/>
  <c r="D702" s="1"/>
  <c r="C256"/>
  <c r="C702" s="1"/>
  <c r="B256"/>
  <c r="B702" s="1"/>
  <c r="A256"/>
  <c r="A702" s="1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E255"/>
  <c r="E701" s="1"/>
  <c r="D255"/>
  <c r="D701" s="1"/>
  <c r="C255"/>
  <c r="C701" s="1"/>
  <c r="B255"/>
  <c r="B701" s="1"/>
  <c r="A255"/>
  <c r="A701" s="1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E254"/>
  <c r="E700" s="1"/>
  <c r="D254"/>
  <c r="D700" s="1"/>
  <c r="C254"/>
  <c r="C700" s="1"/>
  <c r="B254"/>
  <c r="B700" s="1"/>
  <c r="A254"/>
  <c r="A700" s="1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E253"/>
  <c r="E699" s="1"/>
  <c r="D253"/>
  <c r="D699" s="1"/>
  <c r="C253"/>
  <c r="C699" s="1"/>
  <c r="B253"/>
  <c r="B699" s="1"/>
  <c r="A253"/>
  <c r="A699" s="1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E252"/>
  <c r="E698" s="1"/>
  <c r="D252"/>
  <c r="D698" s="1"/>
  <c r="C252"/>
  <c r="C698" s="1"/>
  <c r="B252"/>
  <c r="B698" s="1"/>
  <c r="A252"/>
  <c r="A698" s="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E251"/>
  <c r="E697" s="1"/>
  <c r="D251"/>
  <c r="D697" s="1"/>
  <c r="C251"/>
  <c r="C697" s="1"/>
  <c r="B251"/>
  <c r="B697" s="1"/>
  <c r="A251"/>
  <c r="A697" s="1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BV250"/>
  <c r="BU250"/>
  <c r="BT250"/>
  <c r="BS250"/>
  <c r="BR250"/>
  <c r="BQ250"/>
  <c r="BP250"/>
  <c r="BO250"/>
  <c r="BN250"/>
  <c r="E250"/>
  <c r="E696" s="1"/>
  <c r="D250"/>
  <c r="D696" s="1"/>
  <c r="C250"/>
  <c r="C696" s="1"/>
  <c r="B250"/>
  <c r="B696" s="1"/>
  <c r="A250"/>
  <c r="A696" s="1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E249"/>
  <c r="E695" s="1"/>
  <c r="D249"/>
  <c r="D695" s="1"/>
  <c r="C249"/>
  <c r="C695" s="1"/>
  <c r="B249"/>
  <c r="B695" s="1"/>
  <c r="A249"/>
  <c r="A695" s="1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E248"/>
  <c r="E694" s="1"/>
  <c r="D248"/>
  <c r="D694" s="1"/>
  <c r="C248"/>
  <c r="C694" s="1"/>
  <c r="B248"/>
  <c r="B694" s="1"/>
  <c r="A248"/>
  <c r="A694" s="1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E247"/>
  <c r="E693" s="1"/>
  <c r="D247"/>
  <c r="D693" s="1"/>
  <c r="C247"/>
  <c r="C693" s="1"/>
  <c r="B247"/>
  <c r="B693" s="1"/>
  <c r="A247"/>
  <c r="A693" s="1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E246"/>
  <c r="E692" s="1"/>
  <c r="D246"/>
  <c r="D692" s="1"/>
  <c r="C246"/>
  <c r="C692" s="1"/>
  <c r="B246"/>
  <c r="B692" s="1"/>
  <c r="A246"/>
  <c r="A692" s="1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E245"/>
  <c r="E691" s="1"/>
  <c r="D245"/>
  <c r="D691" s="1"/>
  <c r="C245"/>
  <c r="C691" s="1"/>
  <c r="B245"/>
  <c r="B691" s="1"/>
  <c r="A245"/>
  <c r="A691" s="1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E244"/>
  <c r="B244"/>
  <c r="A244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E243"/>
  <c r="E690" s="1"/>
  <c r="D243"/>
  <c r="D690" s="1"/>
  <c r="C243"/>
  <c r="C690" s="1"/>
  <c r="B243"/>
  <c r="B690" s="1"/>
  <c r="A243"/>
  <c r="A690" s="1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E242"/>
  <c r="E689" s="1"/>
  <c r="D242"/>
  <c r="D689" s="1"/>
  <c r="C242"/>
  <c r="C689" s="1"/>
  <c r="B242"/>
  <c r="B689" s="1"/>
  <c r="A242"/>
  <c r="A689" s="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E241"/>
  <c r="E688" s="1"/>
  <c r="D241"/>
  <c r="D688" s="1"/>
  <c r="C241"/>
  <c r="C688" s="1"/>
  <c r="B241"/>
  <c r="B688" s="1"/>
  <c r="A241"/>
  <c r="A688" s="1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E240"/>
  <c r="E687" s="1"/>
  <c r="D240"/>
  <c r="D687" s="1"/>
  <c r="C240"/>
  <c r="C687" s="1"/>
  <c r="B240"/>
  <c r="B687" s="1"/>
  <c r="A240"/>
  <c r="A687" s="1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E239"/>
  <c r="E686" s="1"/>
  <c r="D239"/>
  <c r="D686" s="1"/>
  <c r="C239"/>
  <c r="C686" s="1"/>
  <c r="B239"/>
  <c r="B686" s="1"/>
  <c r="A239"/>
  <c r="A686" s="1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E238"/>
  <c r="E685" s="1"/>
  <c r="D238"/>
  <c r="D685" s="1"/>
  <c r="C238"/>
  <c r="C685" s="1"/>
  <c r="B238"/>
  <c r="B685" s="1"/>
  <c r="A238"/>
  <c r="A685" s="1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BW237"/>
  <c r="BV237"/>
  <c r="BU237"/>
  <c r="BT237"/>
  <c r="BS237"/>
  <c r="BR237"/>
  <c r="BQ237"/>
  <c r="BP237"/>
  <c r="BO237"/>
  <c r="BN237"/>
  <c r="E237"/>
  <c r="E684" s="1"/>
  <c r="D237"/>
  <c r="D684" s="1"/>
  <c r="C237"/>
  <c r="C684" s="1"/>
  <c r="B237"/>
  <c r="B684" s="1"/>
  <c r="A237"/>
  <c r="A684" s="1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E236"/>
  <c r="E683" s="1"/>
  <c r="D236"/>
  <c r="D683" s="1"/>
  <c r="C236"/>
  <c r="C683" s="1"/>
  <c r="B236"/>
  <c r="B683" s="1"/>
  <c r="A236"/>
  <c r="A683" s="1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E235"/>
  <c r="E682" s="1"/>
  <c r="D235"/>
  <c r="D682" s="1"/>
  <c r="C235"/>
  <c r="C682" s="1"/>
  <c r="B235"/>
  <c r="B682" s="1"/>
  <c r="A235"/>
  <c r="A682" s="1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E234"/>
  <c r="E681" s="1"/>
  <c r="D234"/>
  <c r="D681" s="1"/>
  <c r="C234"/>
  <c r="C681" s="1"/>
  <c r="B234"/>
  <c r="B681" s="1"/>
  <c r="A234"/>
  <c r="A681" s="1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E233"/>
  <c r="E680" s="1"/>
  <c r="D233"/>
  <c r="D680" s="1"/>
  <c r="C233"/>
  <c r="C680" s="1"/>
  <c r="B233"/>
  <c r="B680" s="1"/>
  <c r="A233"/>
  <c r="A680" s="1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E232"/>
  <c r="E679" s="1"/>
  <c r="D232"/>
  <c r="D679" s="1"/>
  <c r="C232"/>
  <c r="C679" s="1"/>
  <c r="B232"/>
  <c r="B679" s="1"/>
  <c r="A232"/>
  <c r="A679" s="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E231"/>
  <c r="E678" s="1"/>
  <c r="D231"/>
  <c r="D678" s="1"/>
  <c r="C231"/>
  <c r="C678" s="1"/>
  <c r="B231"/>
  <c r="B678" s="1"/>
  <c r="A231"/>
  <c r="A678" s="1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E230"/>
  <c r="E677" s="1"/>
  <c r="D230"/>
  <c r="D677" s="1"/>
  <c r="C230"/>
  <c r="C677" s="1"/>
  <c r="B230"/>
  <c r="B677" s="1"/>
  <c r="A230"/>
  <c r="A677" s="1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E229"/>
  <c r="E676" s="1"/>
  <c r="D229"/>
  <c r="D676" s="1"/>
  <c r="C229"/>
  <c r="C676" s="1"/>
  <c r="B229"/>
  <c r="B676" s="1"/>
  <c r="A229"/>
  <c r="A676" s="1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E228"/>
  <c r="B228"/>
  <c r="A228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E227"/>
  <c r="E675" s="1"/>
  <c r="D227"/>
  <c r="D675" s="1"/>
  <c r="C227"/>
  <c r="C675" s="1"/>
  <c r="B227"/>
  <c r="B675" s="1"/>
  <c r="A227"/>
  <c r="A675" s="1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E226"/>
  <c r="E674" s="1"/>
  <c r="D226"/>
  <c r="D674" s="1"/>
  <c r="C226"/>
  <c r="C674" s="1"/>
  <c r="B226"/>
  <c r="B674" s="1"/>
  <c r="A226"/>
  <c r="A674" s="1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E225"/>
  <c r="E673" s="1"/>
  <c r="D225"/>
  <c r="D673" s="1"/>
  <c r="C225"/>
  <c r="C673" s="1"/>
  <c r="B225"/>
  <c r="B673" s="1"/>
  <c r="A225"/>
  <c r="A673" s="1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C224"/>
  <c r="CB224"/>
  <c r="CA224"/>
  <c r="BZ224"/>
  <c r="BY224"/>
  <c r="BX224"/>
  <c r="BW224"/>
  <c r="BV224"/>
  <c r="BU224"/>
  <c r="BT224"/>
  <c r="BS224"/>
  <c r="BR224"/>
  <c r="BQ224"/>
  <c r="BP224"/>
  <c r="BO224"/>
  <c r="BN224"/>
  <c r="E224"/>
  <c r="E672" s="1"/>
  <c r="D224"/>
  <c r="D672" s="1"/>
  <c r="C224"/>
  <c r="C672" s="1"/>
  <c r="B224"/>
  <c r="B672" s="1"/>
  <c r="A224"/>
  <c r="A672" s="1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B223"/>
  <c r="DA223"/>
  <c r="CZ223"/>
  <c r="CY223"/>
  <c r="CX223"/>
  <c r="CW223"/>
  <c r="CV223"/>
  <c r="CU223"/>
  <c r="CT223"/>
  <c r="CS223"/>
  <c r="CR223"/>
  <c r="CQ223"/>
  <c r="CP223"/>
  <c r="CO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BV223"/>
  <c r="BU223"/>
  <c r="BT223"/>
  <c r="BS223"/>
  <c r="BR223"/>
  <c r="BQ223"/>
  <c r="BP223"/>
  <c r="BO223"/>
  <c r="BN223"/>
  <c r="E223"/>
  <c r="E671" s="1"/>
  <c r="D223"/>
  <c r="D671" s="1"/>
  <c r="C223"/>
  <c r="C671" s="1"/>
  <c r="B223"/>
  <c r="B671" s="1"/>
  <c r="A223"/>
  <c r="A671" s="1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E222"/>
  <c r="E670" s="1"/>
  <c r="D222"/>
  <c r="D670" s="1"/>
  <c r="C222"/>
  <c r="C670" s="1"/>
  <c r="B222"/>
  <c r="B670" s="1"/>
  <c r="A222"/>
  <c r="A670" s="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E221"/>
  <c r="E669" s="1"/>
  <c r="D221"/>
  <c r="D669" s="1"/>
  <c r="C221"/>
  <c r="C669" s="1"/>
  <c r="B221"/>
  <c r="B669" s="1"/>
  <c r="A221"/>
  <c r="A669" s="1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E220"/>
  <c r="E668" s="1"/>
  <c r="D220"/>
  <c r="D668" s="1"/>
  <c r="C220"/>
  <c r="C668" s="1"/>
  <c r="B220"/>
  <c r="B668" s="1"/>
  <c r="A220"/>
  <c r="A668" s="1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E219"/>
  <c r="E667" s="1"/>
  <c r="D219"/>
  <c r="D667" s="1"/>
  <c r="C219"/>
  <c r="C667" s="1"/>
  <c r="B219"/>
  <c r="B667" s="1"/>
  <c r="A219"/>
  <c r="A667" s="1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E218"/>
  <c r="E666" s="1"/>
  <c r="D218"/>
  <c r="D666" s="1"/>
  <c r="C218"/>
  <c r="C666" s="1"/>
  <c r="B218"/>
  <c r="B666" s="1"/>
  <c r="A218"/>
  <c r="A666" s="1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E217"/>
  <c r="E665" s="1"/>
  <c r="D217"/>
  <c r="D665" s="1"/>
  <c r="C217"/>
  <c r="C665" s="1"/>
  <c r="B217"/>
  <c r="B665" s="1"/>
  <c r="A217"/>
  <c r="A665" s="1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E216"/>
  <c r="E664" s="1"/>
  <c r="D216"/>
  <c r="D664" s="1"/>
  <c r="C216"/>
  <c r="C664" s="1"/>
  <c r="B216"/>
  <c r="B664" s="1"/>
  <c r="A216"/>
  <c r="A664" s="1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E215"/>
  <c r="E663" s="1"/>
  <c r="D215"/>
  <c r="D663" s="1"/>
  <c r="C215"/>
  <c r="C663" s="1"/>
  <c r="B215"/>
  <c r="B663" s="1"/>
  <c r="A215"/>
  <c r="A663" s="1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E214"/>
  <c r="E662" s="1"/>
  <c r="D214"/>
  <c r="D662" s="1"/>
  <c r="C214"/>
  <c r="C662" s="1"/>
  <c r="B214"/>
  <c r="B662" s="1"/>
  <c r="A214"/>
  <c r="A662" s="1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E213"/>
  <c r="E661" s="1"/>
  <c r="D213"/>
  <c r="D661" s="1"/>
  <c r="C213"/>
  <c r="C661" s="1"/>
  <c r="B213"/>
  <c r="B661" s="1"/>
  <c r="A213"/>
  <c r="A661" s="1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E212"/>
  <c r="B212"/>
  <c r="A212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BV211"/>
  <c r="BU211"/>
  <c r="BT211"/>
  <c r="BS211"/>
  <c r="BR211"/>
  <c r="BQ211"/>
  <c r="BP211"/>
  <c r="BO211"/>
  <c r="BN211"/>
  <c r="E211"/>
  <c r="E660" s="1"/>
  <c r="D211"/>
  <c r="D660" s="1"/>
  <c r="C211"/>
  <c r="C660" s="1"/>
  <c r="B211"/>
  <c r="B660" s="1"/>
  <c r="A211"/>
  <c r="A660" s="1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E210"/>
  <c r="E659" s="1"/>
  <c r="D210"/>
  <c r="D659" s="1"/>
  <c r="C210"/>
  <c r="C659" s="1"/>
  <c r="B210"/>
  <c r="B659" s="1"/>
  <c r="A210"/>
  <c r="A659" s="1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E209"/>
  <c r="E658" s="1"/>
  <c r="D209"/>
  <c r="D658" s="1"/>
  <c r="C209"/>
  <c r="C658" s="1"/>
  <c r="B209"/>
  <c r="B658" s="1"/>
  <c r="A209"/>
  <c r="A658" s="1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E208"/>
  <c r="E657" s="1"/>
  <c r="D208"/>
  <c r="D657" s="1"/>
  <c r="C208"/>
  <c r="C657" s="1"/>
  <c r="B208"/>
  <c r="B657" s="1"/>
  <c r="A208"/>
  <c r="A657" s="1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E207"/>
  <c r="E656" s="1"/>
  <c r="D207"/>
  <c r="D656" s="1"/>
  <c r="C207"/>
  <c r="C656" s="1"/>
  <c r="B207"/>
  <c r="B656" s="1"/>
  <c r="A207"/>
  <c r="A656" s="1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E206"/>
  <c r="E655" s="1"/>
  <c r="D206"/>
  <c r="D655" s="1"/>
  <c r="C206"/>
  <c r="C655" s="1"/>
  <c r="B206"/>
  <c r="B655" s="1"/>
  <c r="A206"/>
  <c r="A655" s="1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E205"/>
  <c r="E654" s="1"/>
  <c r="D205"/>
  <c r="D654" s="1"/>
  <c r="C205"/>
  <c r="C654" s="1"/>
  <c r="B205"/>
  <c r="B654" s="1"/>
  <c r="A205"/>
  <c r="A654" s="1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E204"/>
  <c r="E653" s="1"/>
  <c r="D204"/>
  <c r="D653" s="1"/>
  <c r="C204"/>
  <c r="C653" s="1"/>
  <c r="B204"/>
  <c r="B653" s="1"/>
  <c r="A204"/>
  <c r="A653" s="1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E203"/>
  <c r="E652" s="1"/>
  <c r="D203"/>
  <c r="D652" s="1"/>
  <c r="C203"/>
  <c r="C652" s="1"/>
  <c r="B203"/>
  <c r="B652" s="1"/>
  <c r="A203"/>
  <c r="A652" s="1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E202"/>
  <c r="E651" s="1"/>
  <c r="D202"/>
  <c r="D651" s="1"/>
  <c r="C202"/>
  <c r="C651" s="1"/>
  <c r="B202"/>
  <c r="B651" s="1"/>
  <c r="A202"/>
  <c r="A651" s="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E201"/>
  <c r="E650" s="1"/>
  <c r="D201"/>
  <c r="D650" s="1"/>
  <c r="C201"/>
  <c r="C650" s="1"/>
  <c r="B201"/>
  <c r="B650" s="1"/>
  <c r="A201"/>
  <c r="A650" s="1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E200"/>
  <c r="E649" s="1"/>
  <c r="D200"/>
  <c r="D649" s="1"/>
  <c r="C200"/>
  <c r="C649" s="1"/>
  <c r="B200"/>
  <c r="B649" s="1"/>
  <c r="A200"/>
  <c r="A649" s="1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E199"/>
  <c r="E648" s="1"/>
  <c r="D199"/>
  <c r="D648" s="1"/>
  <c r="C199"/>
  <c r="C648" s="1"/>
  <c r="B199"/>
  <c r="B648" s="1"/>
  <c r="A199"/>
  <c r="A648" s="1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BV198"/>
  <c r="BU198"/>
  <c r="BT198"/>
  <c r="BS198"/>
  <c r="BR198"/>
  <c r="BQ198"/>
  <c r="BP198"/>
  <c r="BO198"/>
  <c r="BN198"/>
  <c r="E198"/>
  <c r="E647" s="1"/>
  <c r="D198"/>
  <c r="D647" s="1"/>
  <c r="C198"/>
  <c r="C647" s="1"/>
  <c r="B198"/>
  <c r="B647" s="1"/>
  <c r="A198"/>
  <c r="A647" s="1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E197"/>
  <c r="E646" s="1"/>
  <c r="D197"/>
  <c r="D646" s="1"/>
  <c r="C197"/>
  <c r="C646" s="1"/>
  <c r="B197"/>
  <c r="B646" s="1"/>
  <c r="A197"/>
  <c r="A646" s="1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E196"/>
  <c r="B196"/>
  <c r="A196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E195"/>
  <c r="E645" s="1"/>
  <c r="D195"/>
  <c r="D645" s="1"/>
  <c r="C195"/>
  <c r="C645" s="1"/>
  <c r="B195"/>
  <c r="B645" s="1"/>
  <c r="A195"/>
  <c r="A645" s="1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E194"/>
  <c r="E644" s="1"/>
  <c r="D194"/>
  <c r="D644" s="1"/>
  <c r="C194"/>
  <c r="C644" s="1"/>
  <c r="B194"/>
  <c r="B644" s="1"/>
  <c r="A194"/>
  <c r="A644" s="1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E193"/>
  <c r="E643" s="1"/>
  <c r="D193"/>
  <c r="D643" s="1"/>
  <c r="C193"/>
  <c r="C643" s="1"/>
  <c r="B193"/>
  <c r="B643" s="1"/>
  <c r="A193"/>
  <c r="A643" s="1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E192"/>
  <c r="E642" s="1"/>
  <c r="D192"/>
  <c r="D642" s="1"/>
  <c r="C192"/>
  <c r="C642" s="1"/>
  <c r="B192"/>
  <c r="B642" s="1"/>
  <c r="A192"/>
  <c r="A642" s="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E191"/>
  <c r="E641" s="1"/>
  <c r="D191"/>
  <c r="D641" s="1"/>
  <c r="C191"/>
  <c r="C641" s="1"/>
  <c r="B191"/>
  <c r="B641" s="1"/>
  <c r="A191"/>
  <c r="A641" s="1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E190"/>
  <c r="E640" s="1"/>
  <c r="D190"/>
  <c r="D640" s="1"/>
  <c r="C190"/>
  <c r="C640" s="1"/>
  <c r="B190"/>
  <c r="B640" s="1"/>
  <c r="A190"/>
  <c r="A640" s="1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E189"/>
  <c r="E639" s="1"/>
  <c r="D189"/>
  <c r="D639" s="1"/>
  <c r="C189"/>
  <c r="C639" s="1"/>
  <c r="B189"/>
  <c r="B639" s="1"/>
  <c r="A189"/>
  <c r="A639" s="1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E188"/>
  <c r="E638" s="1"/>
  <c r="D188"/>
  <c r="D638" s="1"/>
  <c r="C188"/>
  <c r="C638" s="1"/>
  <c r="B188"/>
  <c r="B638" s="1"/>
  <c r="A188"/>
  <c r="A638" s="1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E187"/>
  <c r="E637" s="1"/>
  <c r="D187"/>
  <c r="D637" s="1"/>
  <c r="C187"/>
  <c r="C637" s="1"/>
  <c r="B187"/>
  <c r="B637" s="1"/>
  <c r="A187"/>
  <c r="A637" s="1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E186"/>
  <c r="E636" s="1"/>
  <c r="D186"/>
  <c r="D636" s="1"/>
  <c r="C186"/>
  <c r="C636" s="1"/>
  <c r="B186"/>
  <c r="B636" s="1"/>
  <c r="A186"/>
  <c r="A636" s="1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BV185"/>
  <c r="BU185"/>
  <c r="BT185"/>
  <c r="BS185"/>
  <c r="BR185"/>
  <c r="BQ185"/>
  <c r="BP185"/>
  <c r="BO185"/>
  <c r="BN185"/>
  <c r="E185"/>
  <c r="E635" s="1"/>
  <c r="D185"/>
  <c r="D635" s="1"/>
  <c r="C185"/>
  <c r="C635" s="1"/>
  <c r="B185"/>
  <c r="B635" s="1"/>
  <c r="A185"/>
  <c r="A635" s="1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E184"/>
  <c r="E634" s="1"/>
  <c r="D184"/>
  <c r="D634" s="1"/>
  <c r="C184"/>
  <c r="C634" s="1"/>
  <c r="B184"/>
  <c r="B634" s="1"/>
  <c r="A184"/>
  <c r="A634" s="1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E183"/>
  <c r="E633" s="1"/>
  <c r="D183"/>
  <c r="D633" s="1"/>
  <c r="C183"/>
  <c r="C633" s="1"/>
  <c r="B183"/>
  <c r="B633" s="1"/>
  <c r="A183"/>
  <c r="A633" s="1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E182"/>
  <c r="E632" s="1"/>
  <c r="D182"/>
  <c r="D632" s="1"/>
  <c r="C182"/>
  <c r="C632" s="1"/>
  <c r="B182"/>
  <c r="B632" s="1"/>
  <c r="A182"/>
  <c r="A632" s="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E181"/>
  <c r="E631" s="1"/>
  <c r="D181"/>
  <c r="D631" s="1"/>
  <c r="C181"/>
  <c r="C631" s="1"/>
  <c r="B181"/>
  <c r="B631" s="1"/>
  <c r="A181"/>
  <c r="A631" s="1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E180"/>
  <c r="B180"/>
  <c r="A180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E179"/>
  <c r="E630" s="1"/>
  <c r="D179"/>
  <c r="D630" s="1"/>
  <c r="C179"/>
  <c r="C630" s="1"/>
  <c r="B179"/>
  <c r="B630" s="1"/>
  <c r="A179"/>
  <c r="A630" s="1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E178"/>
  <c r="E629" s="1"/>
  <c r="D178"/>
  <c r="D629" s="1"/>
  <c r="C178"/>
  <c r="C629" s="1"/>
  <c r="B178"/>
  <c r="B629" s="1"/>
  <c r="A178"/>
  <c r="A629" s="1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E177"/>
  <c r="E628" s="1"/>
  <c r="D177"/>
  <c r="D628" s="1"/>
  <c r="C177"/>
  <c r="C628" s="1"/>
  <c r="B177"/>
  <c r="B628" s="1"/>
  <c r="A177"/>
  <c r="A628" s="1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E176"/>
  <c r="E627" s="1"/>
  <c r="D176"/>
  <c r="D627" s="1"/>
  <c r="C176"/>
  <c r="C627" s="1"/>
  <c r="B176"/>
  <c r="B627" s="1"/>
  <c r="A176"/>
  <c r="A627" s="1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E175"/>
  <c r="E626" s="1"/>
  <c r="D175"/>
  <c r="D626" s="1"/>
  <c r="C175"/>
  <c r="C626" s="1"/>
  <c r="B175"/>
  <c r="B626" s="1"/>
  <c r="A175"/>
  <c r="A626" s="1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E174"/>
  <c r="E625" s="1"/>
  <c r="D174"/>
  <c r="D625" s="1"/>
  <c r="C174"/>
  <c r="C625" s="1"/>
  <c r="B174"/>
  <c r="B625" s="1"/>
  <c r="A174"/>
  <c r="A625" s="1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E173"/>
  <c r="E624" s="1"/>
  <c r="D173"/>
  <c r="D624" s="1"/>
  <c r="C173"/>
  <c r="C624" s="1"/>
  <c r="B173"/>
  <c r="B624" s="1"/>
  <c r="A173"/>
  <c r="A624" s="1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BV172"/>
  <c r="BU172"/>
  <c r="BT172"/>
  <c r="BS172"/>
  <c r="BR172"/>
  <c r="BQ172"/>
  <c r="BP172"/>
  <c r="BO172"/>
  <c r="BN172"/>
  <c r="E172"/>
  <c r="E623" s="1"/>
  <c r="D172"/>
  <c r="D623" s="1"/>
  <c r="C172"/>
  <c r="C623" s="1"/>
  <c r="B172"/>
  <c r="B623" s="1"/>
  <c r="A172"/>
  <c r="A623" s="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E171"/>
  <c r="E622" s="1"/>
  <c r="D171"/>
  <c r="D622" s="1"/>
  <c r="C171"/>
  <c r="C622" s="1"/>
  <c r="B171"/>
  <c r="B622" s="1"/>
  <c r="A171"/>
  <c r="A622" s="1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E170"/>
  <c r="E621" s="1"/>
  <c r="D170"/>
  <c r="D621" s="1"/>
  <c r="C170"/>
  <c r="C621" s="1"/>
  <c r="B170"/>
  <c r="B621" s="1"/>
  <c r="A170"/>
  <c r="A621" s="1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E169"/>
  <c r="E620" s="1"/>
  <c r="D169"/>
  <c r="D620" s="1"/>
  <c r="C169"/>
  <c r="C620" s="1"/>
  <c r="B169"/>
  <c r="B620" s="1"/>
  <c r="A169"/>
  <c r="A620" s="1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E168"/>
  <c r="E619" s="1"/>
  <c r="D168"/>
  <c r="D619" s="1"/>
  <c r="C168"/>
  <c r="C619" s="1"/>
  <c r="B168"/>
  <c r="B619" s="1"/>
  <c r="A168"/>
  <c r="A619" s="1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E167"/>
  <c r="E618" s="1"/>
  <c r="D167"/>
  <c r="D618" s="1"/>
  <c r="C167"/>
  <c r="C618" s="1"/>
  <c r="B167"/>
  <c r="B618" s="1"/>
  <c r="A167"/>
  <c r="A618" s="1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E166"/>
  <c r="E617" s="1"/>
  <c r="D166"/>
  <c r="D617" s="1"/>
  <c r="C166"/>
  <c r="C617" s="1"/>
  <c r="B166"/>
  <c r="B617" s="1"/>
  <c r="A166"/>
  <c r="A617" s="1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E165"/>
  <c r="E616" s="1"/>
  <c r="D165"/>
  <c r="D616" s="1"/>
  <c r="C165"/>
  <c r="C616" s="1"/>
  <c r="B165"/>
  <c r="B616" s="1"/>
  <c r="A165"/>
  <c r="A616" s="1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E164"/>
  <c r="B164"/>
  <c r="A164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E163"/>
  <c r="E615" s="1"/>
  <c r="D163"/>
  <c r="D615" s="1"/>
  <c r="C163"/>
  <c r="C615" s="1"/>
  <c r="B163"/>
  <c r="B615" s="1"/>
  <c r="A163"/>
  <c r="A615" s="1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E162"/>
  <c r="E614" s="1"/>
  <c r="D162"/>
  <c r="D614" s="1"/>
  <c r="C162"/>
  <c r="C614" s="1"/>
  <c r="B162"/>
  <c r="B614" s="1"/>
  <c r="A162"/>
  <c r="A614" s="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E161"/>
  <c r="E613" s="1"/>
  <c r="D161"/>
  <c r="D613" s="1"/>
  <c r="C161"/>
  <c r="C613" s="1"/>
  <c r="B161"/>
  <c r="B613" s="1"/>
  <c r="A161"/>
  <c r="A613" s="1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E160"/>
  <c r="E612" s="1"/>
  <c r="D160"/>
  <c r="D612" s="1"/>
  <c r="C160"/>
  <c r="C612" s="1"/>
  <c r="B160"/>
  <c r="B612" s="1"/>
  <c r="A160"/>
  <c r="A612" s="1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E159"/>
  <c r="E611" s="1"/>
  <c r="D159"/>
  <c r="D611" s="1"/>
  <c r="C159"/>
  <c r="C611" s="1"/>
  <c r="B159"/>
  <c r="B611" s="1"/>
  <c r="A159"/>
  <c r="A611" s="1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E158"/>
  <c r="E610" s="1"/>
  <c r="D158"/>
  <c r="D610" s="1"/>
  <c r="C158"/>
  <c r="C610" s="1"/>
  <c r="B158"/>
  <c r="B610" s="1"/>
  <c r="A158"/>
  <c r="A610" s="1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E157"/>
  <c r="E609" s="1"/>
  <c r="D157"/>
  <c r="D609" s="1"/>
  <c r="C157"/>
  <c r="C609" s="1"/>
  <c r="B157"/>
  <c r="B609" s="1"/>
  <c r="A157"/>
  <c r="A609" s="1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E156"/>
  <c r="E608" s="1"/>
  <c r="D156"/>
  <c r="D608" s="1"/>
  <c r="C156"/>
  <c r="C608" s="1"/>
  <c r="B156"/>
  <c r="B608" s="1"/>
  <c r="A156"/>
  <c r="A608" s="1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E155"/>
  <c r="E607" s="1"/>
  <c r="D155"/>
  <c r="D607" s="1"/>
  <c r="C155"/>
  <c r="C607" s="1"/>
  <c r="B155"/>
  <c r="B607" s="1"/>
  <c r="A155"/>
  <c r="A607" s="1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E154"/>
  <c r="E606" s="1"/>
  <c r="D154"/>
  <c r="D606" s="1"/>
  <c r="C154"/>
  <c r="C606" s="1"/>
  <c r="B154"/>
  <c r="B606" s="1"/>
  <c r="A154"/>
  <c r="A606" s="1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E153"/>
  <c r="E605" s="1"/>
  <c r="D153"/>
  <c r="D605" s="1"/>
  <c r="C153"/>
  <c r="C605" s="1"/>
  <c r="B153"/>
  <c r="B605" s="1"/>
  <c r="A153"/>
  <c r="A605" s="1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E152"/>
  <c r="E604" s="1"/>
  <c r="D152"/>
  <c r="D604" s="1"/>
  <c r="C152"/>
  <c r="C604" s="1"/>
  <c r="B152"/>
  <c r="B604" s="1"/>
  <c r="A152"/>
  <c r="A604" s="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E151"/>
  <c r="E603" s="1"/>
  <c r="D151"/>
  <c r="D603" s="1"/>
  <c r="C151"/>
  <c r="C603" s="1"/>
  <c r="B151"/>
  <c r="B603" s="1"/>
  <c r="A151"/>
  <c r="A603" s="1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E150"/>
  <c r="E602" s="1"/>
  <c r="D150"/>
  <c r="D602" s="1"/>
  <c r="C150"/>
  <c r="C602" s="1"/>
  <c r="B150"/>
  <c r="B602" s="1"/>
  <c r="A150"/>
  <c r="A602" s="1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E149"/>
  <c r="E601" s="1"/>
  <c r="D149"/>
  <c r="D601" s="1"/>
  <c r="C149"/>
  <c r="C601" s="1"/>
  <c r="B149"/>
  <c r="B601" s="1"/>
  <c r="A149"/>
  <c r="A601" s="1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E148"/>
  <c r="B148"/>
  <c r="A148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E147"/>
  <c r="E600" s="1"/>
  <c r="D147"/>
  <c r="D600" s="1"/>
  <c r="C147"/>
  <c r="C600" s="1"/>
  <c r="B147"/>
  <c r="B600" s="1"/>
  <c r="A147"/>
  <c r="A600" s="1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E146"/>
  <c r="E599" s="1"/>
  <c r="D146"/>
  <c r="D599" s="1"/>
  <c r="C146"/>
  <c r="C599" s="1"/>
  <c r="B146"/>
  <c r="B599" s="1"/>
  <c r="A146"/>
  <c r="A599" s="1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E145"/>
  <c r="E598" s="1"/>
  <c r="D145"/>
  <c r="D598" s="1"/>
  <c r="C145"/>
  <c r="C598" s="1"/>
  <c r="B145"/>
  <c r="B598" s="1"/>
  <c r="A145"/>
  <c r="A598" s="1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E144"/>
  <c r="E597" s="1"/>
  <c r="D144"/>
  <c r="D597" s="1"/>
  <c r="C144"/>
  <c r="C597" s="1"/>
  <c r="B144"/>
  <c r="B597" s="1"/>
  <c r="A144"/>
  <c r="A597" s="1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E143"/>
  <c r="E596" s="1"/>
  <c r="D143"/>
  <c r="D596" s="1"/>
  <c r="C143"/>
  <c r="C596" s="1"/>
  <c r="B143"/>
  <c r="B596" s="1"/>
  <c r="A143"/>
  <c r="A596" s="1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E142"/>
  <c r="E595" s="1"/>
  <c r="D142"/>
  <c r="D595" s="1"/>
  <c r="C142"/>
  <c r="C595" s="1"/>
  <c r="B142"/>
  <c r="B595" s="1"/>
  <c r="A142"/>
  <c r="A595" s="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E141"/>
  <c r="E594" s="1"/>
  <c r="D141"/>
  <c r="D594" s="1"/>
  <c r="C141"/>
  <c r="C594" s="1"/>
  <c r="B141"/>
  <c r="B594" s="1"/>
  <c r="A141"/>
  <c r="A594" s="1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E140"/>
  <c r="E593" s="1"/>
  <c r="D140"/>
  <c r="D593" s="1"/>
  <c r="C140"/>
  <c r="C593" s="1"/>
  <c r="B140"/>
  <c r="B593" s="1"/>
  <c r="A140"/>
  <c r="A593" s="1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E139"/>
  <c r="E592" s="1"/>
  <c r="D139"/>
  <c r="D592" s="1"/>
  <c r="C139"/>
  <c r="C592" s="1"/>
  <c r="B139"/>
  <c r="B592" s="1"/>
  <c r="A139"/>
  <c r="A592" s="1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E138"/>
  <c r="E591" s="1"/>
  <c r="D138"/>
  <c r="D591" s="1"/>
  <c r="C138"/>
  <c r="C591" s="1"/>
  <c r="B138"/>
  <c r="B591" s="1"/>
  <c r="A138"/>
  <c r="A591" s="1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E137"/>
  <c r="E590" s="1"/>
  <c r="D137"/>
  <c r="D590" s="1"/>
  <c r="C137"/>
  <c r="C590" s="1"/>
  <c r="B137"/>
  <c r="B590" s="1"/>
  <c r="A137"/>
  <c r="A590" s="1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E136"/>
  <c r="E589" s="1"/>
  <c r="D136"/>
  <c r="D589" s="1"/>
  <c r="C136"/>
  <c r="C589" s="1"/>
  <c r="B136"/>
  <c r="B589" s="1"/>
  <c r="A136"/>
  <c r="A589" s="1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E135"/>
  <c r="E588" s="1"/>
  <c r="D135"/>
  <c r="D588" s="1"/>
  <c r="C135"/>
  <c r="C588" s="1"/>
  <c r="B135"/>
  <c r="B588" s="1"/>
  <c r="A135"/>
  <c r="A588" s="1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E134"/>
  <c r="E587" s="1"/>
  <c r="D134"/>
  <c r="D587" s="1"/>
  <c r="C134"/>
  <c r="B134"/>
  <c r="B587" s="1"/>
  <c r="A134"/>
  <c r="A587" s="1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E133"/>
  <c r="E586" s="1"/>
  <c r="D133"/>
  <c r="D586" s="1"/>
  <c r="C133"/>
  <c r="C586" s="1"/>
  <c r="B133"/>
  <c r="B586" s="1"/>
  <c r="A133"/>
  <c r="A586" s="1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E132"/>
  <c r="B132"/>
  <c r="A132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E131"/>
  <c r="E585" s="1"/>
  <c r="D131"/>
  <c r="D585" s="1"/>
  <c r="C131"/>
  <c r="C585" s="1"/>
  <c r="B131"/>
  <c r="B585" s="1"/>
  <c r="A131"/>
  <c r="A585" s="1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E130"/>
  <c r="E584" s="1"/>
  <c r="D130"/>
  <c r="D584" s="1"/>
  <c r="C130"/>
  <c r="C584" s="1"/>
  <c r="B130"/>
  <c r="B584" s="1"/>
  <c r="A130"/>
  <c r="A584" s="1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E129"/>
  <c r="E583" s="1"/>
  <c r="D129"/>
  <c r="D583" s="1"/>
  <c r="C129"/>
  <c r="C583" s="1"/>
  <c r="B129"/>
  <c r="B583" s="1"/>
  <c r="A129"/>
  <c r="A583" s="1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E128"/>
  <c r="E582" s="1"/>
  <c r="D128"/>
  <c r="D582" s="1"/>
  <c r="C128"/>
  <c r="C582" s="1"/>
  <c r="B128"/>
  <c r="B582" s="1"/>
  <c r="A128"/>
  <c r="A582" s="1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E127"/>
  <c r="E581" s="1"/>
  <c r="D127"/>
  <c r="D581" s="1"/>
  <c r="C127"/>
  <c r="C581" s="1"/>
  <c r="B127"/>
  <c r="B581" s="1"/>
  <c r="A127"/>
  <c r="A581" s="1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E126"/>
  <c r="E580" s="1"/>
  <c r="D126"/>
  <c r="D580" s="1"/>
  <c r="C126"/>
  <c r="C580" s="1"/>
  <c r="B126"/>
  <c r="B580" s="1"/>
  <c r="A126"/>
  <c r="A580" s="1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E125"/>
  <c r="E579" s="1"/>
  <c r="D125"/>
  <c r="D579" s="1"/>
  <c r="C125"/>
  <c r="C579" s="1"/>
  <c r="B125"/>
  <c r="B579" s="1"/>
  <c r="A125"/>
  <c r="A579" s="1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E124"/>
  <c r="E578" s="1"/>
  <c r="D124"/>
  <c r="D578" s="1"/>
  <c r="C124"/>
  <c r="C578" s="1"/>
  <c r="B124"/>
  <c r="B578" s="1"/>
  <c r="A124"/>
  <c r="A578" s="1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E123"/>
  <c r="E577" s="1"/>
  <c r="D123"/>
  <c r="D577" s="1"/>
  <c r="C123"/>
  <c r="C577" s="1"/>
  <c r="B123"/>
  <c r="B577" s="1"/>
  <c r="A123"/>
  <c r="A577" s="1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E122"/>
  <c r="E576" s="1"/>
  <c r="D122"/>
  <c r="D576" s="1"/>
  <c r="C122"/>
  <c r="C576" s="1"/>
  <c r="B122"/>
  <c r="B576" s="1"/>
  <c r="A122"/>
  <c r="A576" s="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E121"/>
  <c r="E575" s="1"/>
  <c r="D121"/>
  <c r="D575" s="1"/>
  <c r="C121"/>
  <c r="C575" s="1"/>
  <c r="B121"/>
  <c r="B575" s="1"/>
  <c r="A121"/>
  <c r="A575" s="1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E120"/>
  <c r="E574" s="1"/>
  <c r="D120"/>
  <c r="D574" s="1"/>
  <c r="C120"/>
  <c r="C574" s="1"/>
  <c r="B120"/>
  <c r="B574" s="1"/>
  <c r="A120"/>
  <c r="A574" s="1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E119"/>
  <c r="E573" s="1"/>
  <c r="D119"/>
  <c r="D573" s="1"/>
  <c r="C119"/>
  <c r="C573" s="1"/>
  <c r="B119"/>
  <c r="B573" s="1"/>
  <c r="A119"/>
  <c r="A573" s="1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E118"/>
  <c r="E572" s="1"/>
  <c r="D118"/>
  <c r="D572" s="1"/>
  <c r="C118"/>
  <c r="C572" s="1"/>
  <c r="B118"/>
  <c r="B572" s="1"/>
  <c r="A118"/>
  <c r="A572" s="1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E117"/>
  <c r="E571" s="1"/>
  <c r="D117"/>
  <c r="D571" s="1"/>
  <c r="C117"/>
  <c r="C571" s="1"/>
  <c r="B117"/>
  <c r="B571" s="1"/>
  <c r="A117"/>
  <c r="A571" s="1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E116"/>
  <c r="B116"/>
  <c r="A116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E115"/>
  <c r="E570" s="1"/>
  <c r="D115"/>
  <c r="D570" s="1"/>
  <c r="C115"/>
  <c r="C570" s="1"/>
  <c r="B115"/>
  <c r="B570" s="1"/>
  <c r="A115"/>
  <c r="A570" s="1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E114"/>
  <c r="E569" s="1"/>
  <c r="D114"/>
  <c r="D569" s="1"/>
  <c r="C114"/>
  <c r="C569" s="1"/>
  <c r="B114"/>
  <c r="B569" s="1"/>
  <c r="A114"/>
  <c r="A569" s="1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E113"/>
  <c r="E568" s="1"/>
  <c r="D113"/>
  <c r="D568" s="1"/>
  <c r="C113"/>
  <c r="C568" s="1"/>
  <c r="B113"/>
  <c r="B568" s="1"/>
  <c r="A113"/>
  <c r="A568" s="1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E112"/>
  <c r="E567" s="1"/>
  <c r="D112"/>
  <c r="D567" s="1"/>
  <c r="C112"/>
  <c r="C567" s="1"/>
  <c r="B112"/>
  <c r="B567" s="1"/>
  <c r="A112"/>
  <c r="A567" s="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E111"/>
  <c r="E566" s="1"/>
  <c r="D111"/>
  <c r="D566" s="1"/>
  <c r="C111"/>
  <c r="C566" s="1"/>
  <c r="B111"/>
  <c r="B566" s="1"/>
  <c r="A111"/>
  <c r="A566" s="1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E110"/>
  <c r="E565" s="1"/>
  <c r="D110"/>
  <c r="D565" s="1"/>
  <c r="C110"/>
  <c r="C565" s="1"/>
  <c r="B110"/>
  <c r="B565" s="1"/>
  <c r="A110"/>
  <c r="A565" s="1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E109"/>
  <c r="E564" s="1"/>
  <c r="D109"/>
  <c r="D564" s="1"/>
  <c r="C109"/>
  <c r="C564" s="1"/>
  <c r="B109"/>
  <c r="B564" s="1"/>
  <c r="A109"/>
  <c r="A564" s="1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E108"/>
  <c r="E563" s="1"/>
  <c r="D108"/>
  <c r="D563" s="1"/>
  <c r="C108"/>
  <c r="C563" s="1"/>
  <c r="B108"/>
  <c r="B563" s="1"/>
  <c r="A108"/>
  <c r="A563" s="1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E107"/>
  <c r="E562" s="1"/>
  <c r="D107"/>
  <c r="D562" s="1"/>
  <c r="C107"/>
  <c r="C562" s="1"/>
  <c r="B107"/>
  <c r="B562" s="1"/>
  <c r="A107"/>
  <c r="A562" s="1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E106"/>
  <c r="E561" s="1"/>
  <c r="D106"/>
  <c r="D561" s="1"/>
  <c r="C106"/>
  <c r="C561" s="1"/>
  <c r="B106"/>
  <c r="B561" s="1"/>
  <c r="A106"/>
  <c r="A561" s="1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E105"/>
  <c r="E560" s="1"/>
  <c r="D105"/>
  <c r="D560" s="1"/>
  <c r="C105"/>
  <c r="C560" s="1"/>
  <c r="B105"/>
  <c r="B560" s="1"/>
  <c r="A105"/>
  <c r="A560" s="1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E104"/>
  <c r="E559" s="1"/>
  <c r="D104"/>
  <c r="D559" s="1"/>
  <c r="C104"/>
  <c r="C559" s="1"/>
  <c r="B104"/>
  <c r="B559" s="1"/>
  <c r="A104"/>
  <c r="A559" s="1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E103"/>
  <c r="E558" s="1"/>
  <c r="D103"/>
  <c r="D558" s="1"/>
  <c r="C103"/>
  <c r="C558" s="1"/>
  <c r="B103"/>
  <c r="B558" s="1"/>
  <c r="A103"/>
  <c r="A558" s="1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E102"/>
  <c r="E557" s="1"/>
  <c r="D102"/>
  <c r="D557" s="1"/>
  <c r="C102"/>
  <c r="C557" s="1"/>
  <c r="B102"/>
  <c r="B557" s="1"/>
  <c r="A102"/>
  <c r="A557" s="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E101"/>
  <c r="E556" s="1"/>
  <c r="D101"/>
  <c r="D556" s="1"/>
  <c r="C101"/>
  <c r="C556" s="1"/>
  <c r="B101"/>
  <c r="B556" s="1"/>
  <c r="A101"/>
  <c r="A556" s="1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E100"/>
  <c r="B100"/>
  <c r="A100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E99"/>
  <c r="E555" s="1"/>
  <c r="D99"/>
  <c r="D555" s="1"/>
  <c r="C99"/>
  <c r="C555" s="1"/>
  <c r="B99"/>
  <c r="B555" s="1"/>
  <c r="A99"/>
  <c r="A555" s="1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E98"/>
  <c r="E554" s="1"/>
  <c r="D98"/>
  <c r="D554" s="1"/>
  <c r="C98"/>
  <c r="C554" s="1"/>
  <c r="B98"/>
  <c r="B554" s="1"/>
  <c r="A98"/>
  <c r="A554" s="1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E97"/>
  <c r="E553" s="1"/>
  <c r="D97"/>
  <c r="D553" s="1"/>
  <c r="C97"/>
  <c r="C553" s="1"/>
  <c r="B97"/>
  <c r="B553" s="1"/>
  <c r="A97"/>
  <c r="A553" s="1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E96"/>
  <c r="E552" s="1"/>
  <c r="D96"/>
  <c r="D552" s="1"/>
  <c r="C96"/>
  <c r="C552" s="1"/>
  <c r="B96"/>
  <c r="B552" s="1"/>
  <c r="A96"/>
  <c r="A552" s="1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E95"/>
  <c r="E551" s="1"/>
  <c r="D95"/>
  <c r="D551" s="1"/>
  <c r="C95"/>
  <c r="C551" s="1"/>
  <c r="B95"/>
  <c r="B551" s="1"/>
  <c r="A95"/>
  <c r="A551" s="1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E94"/>
  <c r="E550" s="1"/>
  <c r="D94"/>
  <c r="D550" s="1"/>
  <c r="C94"/>
  <c r="C550" s="1"/>
  <c r="B94"/>
  <c r="B550" s="1"/>
  <c r="A94"/>
  <c r="A550" s="1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E93"/>
  <c r="E549" s="1"/>
  <c r="D93"/>
  <c r="D549" s="1"/>
  <c r="C93"/>
  <c r="C549" s="1"/>
  <c r="B93"/>
  <c r="B549" s="1"/>
  <c r="A93"/>
  <c r="A549" s="1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E92"/>
  <c r="E548" s="1"/>
  <c r="D92"/>
  <c r="D548" s="1"/>
  <c r="C92"/>
  <c r="C548" s="1"/>
  <c r="B92"/>
  <c r="B548" s="1"/>
  <c r="A92"/>
  <c r="A548" s="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E91"/>
  <c r="E547" s="1"/>
  <c r="D91"/>
  <c r="D547" s="1"/>
  <c r="C91"/>
  <c r="C547" s="1"/>
  <c r="B91"/>
  <c r="B547" s="1"/>
  <c r="A91"/>
  <c r="A547" s="1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E90"/>
  <c r="E546" s="1"/>
  <c r="D90"/>
  <c r="D546" s="1"/>
  <c r="C90"/>
  <c r="C546" s="1"/>
  <c r="B90"/>
  <c r="B546" s="1"/>
  <c r="A90"/>
  <c r="A546" s="1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E89"/>
  <c r="E545" s="1"/>
  <c r="D89"/>
  <c r="D545" s="1"/>
  <c r="C89"/>
  <c r="C545" s="1"/>
  <c r="B89"/>
  <c r="B545" s="1"/>
  <c r="A89"/>
  <c r="A545" s="1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E88"/>
  <c r="E544" s="1"/>
  <c r="D88"/>
  <c r="D544" s="1"/>
  <c r="C88"/>
  <c r="C544" s="1"/>
  <c r="B88"/>
  <c r="B544" s="1"/>
  <c r="A88"/>
  <c r="A544" s="1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E87"/>
  <c r="E543" s="1"/>
  <c r="D87"/>
  <c r="D543" s="1"/>
  <c r="C87"/>
  <c r="C543" s="1"/>
  <c r="B87"/>
  <c r="B543" s="1"/>
  <c r="A87"/>
  <c r="A543" s="1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E86"/>
  <c r="E542" s="1"/>
  <c r="D86"/>
  <c r="D542" s="1"/>
  <c r="C86"/>
  <c r="C542" s="1"/>
  <c r="B86"/>
  <c r="B542" s="1"/>
  <c r="A86"/>
  <c r="A542" s="1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E85"/>
  <c r="E541" s="1"/>
  <c r="D85"/>
  <c r="D541" s="1"/>
  <c r="C85"/>
  <c r="C541" s="1"/>
  <c r="B85"/>
  <c r="B541" s="1"/>
  <c r="A85"/>
  <c r="A541" s="1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E84"/>
  <c r="B84"/>
  <c r="A84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E83"/>
  <c r="E540" s="1"/>
  <c r="D83"/>
  <c r="D540" s="1"/>
  <c r="C83"/>
  <c r="C540" s="1"/>
  <c r="B83"/>
  <c r="B540" s="1"/>
  <c r="A83"/>
  <c r="A540" s="1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E82"/>
  <c r="E539" s="1"/>
  <c r="D82"/>
  <c r="D539" s="1"/>
  <c r="C82"/>
  <c r="C539" s="1"/>
  <c r="B82"/>
  <c r="B539" s="1"/>
  <c r="A82"/>
  <c r="A539" s="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E81"/>
  <c r="E538" s="1"/>
  <c r="D81"/>
  <c r="D538" s="1"/>
  <c r="C81"/>
  <c r="C538" s="1"/>
  <c r="B81"/>
  <c r="B538" s="1"/>
  <c r="A81"/>
  <c r="A538" s="1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E80"/>
  <c r="E537" s="1"/>
  <c r="D80"/>
  <c r="D537" s="1"/>
  <c r="C80"/>
  <c r="C537" s="1"/>
  <c r="B80"/>
  <c r="B537" s="1"/>
  <c r="A80"/>
  <c r="A537" s="1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E79"/>
  <c r="E536" s="1"/>
  <c r="D79"/>
  <c r="D536" s="1"/>
  <c r="C79"/>
  <c r="C536" s="1"/>
  <c r="B79"/>
  <c r="B536" s="1"/>
  <c r="A79"/>
  <c r="A536" s="1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E78"/>
  <c r="E535" s="1"/>
  <c r="D78"/>
  <c r="D535" s="1"/>
  <c r="C78"/>
  <c r="C535" s="1"/>
  <c r="B78"/>
  <c r="B535" s="1"/>
  <c r="A78"/>
  <c r="A535" s="1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E77"/>
  <c r="E534" s="1"/>
  <c r="D77"/>
  <c r="D534" s="1"/>
  <c r="C77"/>
  <c r="C534" s="1"/>
  <c r="B77"/>
  <c r="B534" s="1"/>
  <c r="A77"/>
  <c r="A534" s="1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E76"/>
  <c r="E533" s="1"/>
  <c r="D76"/>
  <c r="D533" s="1"/>
  <c r="C76"/>
  <c r="C533" s="1"/>
  <c r="B76"/>
  <c r="B533" s="1"/>
  <c r="A76"/>
  <c r="A533" s="1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E75"/>
  <c r="E532" s="1"/>
  <c r="D75"/>
  <c r="D532" s="1"/>
  <c r="C75"/>
  <c r="C532" s="1"/>
  <c r="B75"/>
  <c r="B532" s="1"/>
  <c r="A75"/>
  <c r="A532" s="1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E74"/>
  <c r="E531" s="1"/>
  <c r="D74"/>
  <c r="D531" s="1"/>
  <c r="C74"/>
  <c r="C531" s="1"/>
  <c r="B74"/>
  <c r="B531" s="1"/>
  <c r="A74"/>
  <c r="A531" s="1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E73"/>
  <c r="E530" s="1"/>
  <c r="D73"/>
  <c r="D530" s="1"/>
  <c r="C73"/>
  <c r="C530" s="1"/>
  <c r="B73"/>
  <c r="B530" s="1"/>
  <c r="A73"/>
  <c r="A530" s="1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E72"/>
  <c r="E529" s="1"/>
  <c r="D72"/>
  <c r="D529" s="1"/>
  <c r="C72"/>
  <c r="C529" s="1"/>
  <c r="B72"/>
  <c r="B529" s="1"/>
  <c r="A72"/>
  <c r="A529" s="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E71"/>
  <c r="E528" s="1"/>
  <c r="D71"/>
  <c r="D528" s="1"/>
  <c r="C71"/>
  <c r="C528" s="1"/>
  <c r="B71"/>
  <c r="B528" s="1"/>
  <c r="A71"/>
  <c r="A528" s="1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E70"/>
  <c r="E527" s="1"/>
  <c r="D70"/>
  <c r="D527" s="1"/>
  <c r="C70"/>
  <c r="C527" s="1"/>
  <c r="B70"/>
  <c r="B527" s="1"/>
  <c r="A70"/>
  <c r="A527" s="1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E69"/>
  <c r="E526" s="1"/>
  <c r="D69"/>
  <c r="D526" s="1"/>
  <c r="C69"/>
  <c r="C526" s="1"/>
  <c r="B69"/>
  <c r="B526" s="1"/>
  <c r="A69"/>
  <c r="A526" s="1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E68"/>
  <c r="B68"/>
  <c r="A68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E67"/>
  <c r="E525" s="1"/>
  <c r="D67"/>
  <c r="D525" s="1"/>
  <c r="C67"/>
  <c r="C525" s="1"/>
  <c r="B67"/>
  <c r="B525" s="1"/>
  <c r="A67"/>
  <c r="A525" s="1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E66"/>
  <c r="E524" s="1"/>
  <c r="D66"/>
  <c r="D524" s="1"/>
  <c r="C66"/>
  <c r="C524" s="1"/>
  <c r="B66"/>
  <c r="B524" s="1"/>
  <c r="A66"/>
  <c r="A524" s="1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E65"/>
  <c r="E523" s="1"/>
  <c r="D65"/>
  <c r="D523" s="1"/>
  <c r="C65"/>
  <c r="C523" s="1"/>
  <c r="B65"/>
  <c r="B523" s="1"/>
  <c r="A65"/>
  <c r="A523" s="1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E64"/>
  <c r="E522" s="1"/>
  <c r="D64"/>
  <c r="D522" s="1"/>
  <c r="C64"/>
  <c r="C522" s="1"/>
  <c r="B64"/>
  <c r="B522" s="1"/>
  <c r="A64"/>
  <c r="A522" s="1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E63"/>
  <c r="E521" s="1"/>
  <c r="D63"/>
  <c r="D521" s="1"/>
  <c r="C63"/>
  <c r="C521" s="1"/>
  <c r="B63"/>
  <c r="B521" s="1"/>
  <c r="A63"/>
  <c r="A521" s="1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E62"/>
  <c r="E520" s="1"/>
  <c r="D62"/>
  <c r="D520" s="1"/>
  <c r="C62"/>
  <c r="C520" s="1"/>
  <c r="B62"/>
  <c r="B520" s="1"/>
  <c r="A62"/>
  <c r="A520" s="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E61"/>
  <c r="E519" s="1"/>
  <c r="D61"/>
  <c r="D519" s="1"/>
  <c r="C61"/>
  <c r="C519" s="1"/>
  <c r="B61"/>
  <c r="B519" s="1"/>
  <c r="A61"/>
  <c r="A519" s="1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E60"/>
  <c r="E518" s="1"/>
  <c r="D60"/>
  <c r="D518" s="1"/>
  <c r="C60"/>
  <c r="C518" s="1"/>
  <c r="B60"/>
  <c r="B518" s="1"/>
  <c r="A60"/>
  <c r="A518" s="1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E59"/>
  <c r="E517" s="1"/>
  <c r="D59"/>
  <c r="D517" s="1"/>
  <c r="C59"/>
  <c r="C517" s="1"/>
  <c r="B59"/>
  <c r="B517" s="1"/>
  <c r="A59"/>
  <c r="A517" s="1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E58"/>
  <c r="E516" s="1"/>
  <c r="D58"/>
  <c r="D516" s="1"/>
  <c r="C58"/>
  <c r="C516" s="1"/>
  <c r="B58"/>
  <c r="B516" s="1"/>
  <c r="A58"/>
  <c r="A516" s="1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E57"/>
  <c r="E515" s="1"/>
  <c r="D57"/>
  <c r="D515" s="1"/>
  <c r="C57"/>
  <c r="C515" s="1"/>
  <c r="B57"/>
  <c r="B515" s="1"/>
  <c r="A57"/>
  <c r="A515" s="1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E56"/>
  <c r="E514" s="1"/>
  <c r="D56"/>
  <c r="D514" s="1"/>
  <c r="C56"/>
  <c r="C514" s="1"/>
  <c r="B56"/>
  <c r="B514" s="1"/>
  <c r="A56"/>
  <c r="A514" s="1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E55"/>
  <c r="E513" s="1"/>
  <c r="D55"/>
  <c r="D513" s="1"/>
  <c r="C55"/>
  <c r="C513" s="1"/>
  <c r="B55"/>
  <c r="B513" s="1"/>
  <c r="A55"/>
  <c r="A513" s="1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E54"/>
  <c r="E512" s="1"/>
  <c r="D54"/>
  <c r="D512" s="1"/>
  <c r="C54"/>
  <c r="C512" s="1"/>
  <c r="B54"/>
  <c r="B512" s="1"/>
  <c r="A54"/>
  <c r="A512" s="1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E53"/>
  <c r="E511" s="1"/>
  <c r="D53"/>
  <c r="D511" s="1"/>
  <c r="C53"/>
  <c r="C511" s="1"/>
  <c r="B53"/>
  <c r="B511" s="1"/>
  <c r="A53"/>
  <c r="A511" s="1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E52"/>
  <c r="B52"/>
  <c r="A52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E51"/>
  <c r="E510" s="1"/>
  <c r="D51"/>
  <c r="D510" s="1"/>
  <c r="C51"/>
  <c r="C510" s="1"/>
  <c r="B51"/>
  <c r="B510" s="1"/>
  <c r="A51"/>
  <c r="A510" s="1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E50"/>
  <c r="E509" s="1"/>
  <c r="D50"/>
  <c r="D509" s="1"/>
  <c r="C50"/>
  <c r="C509" s="1"/>
  <c r="B50"/>
  <c r="B509" s="1"/>
  <c r="A50"/>
  <c r="A509" s="1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E49"/>
  <c r="E508" s="1"/>
  <c r="D49"/>
  <c r="D508" s="1"/>
  <c r="C49"/>
  <c r="C508" s="1"/>
  <c r="B49"/>
  <c r="B508" s="1"/>
  <c r="A49"/>
  <c r="A508" s="1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E48"/>
  <c r="E507" s="1"/>
  <c r="D48"/>
  <c r="D507" s="1"/>
  <c r="C48"/>
  <c r="C507" s="1"/>
  <c r="B48"/>
  <c r="B507" s="1"/>
  <c r="A48"/>
  <c r="A507" s="1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E47"/>
  <c r="E506" s="1"/>
  <c r="D47"/>
  <c r="D506" s="1"/>
  <c r="C47"/>
  <c r="C506" s="1"/>
  <c r="B47"/>
  <c r="B506" s="1"/>
  <c r="A47"/>
  <c r="A506" s="1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E46"/>
  <c r="E505" s="1"/>
  <c r="D46"/>
  <c r="D505" s="1"/>
  <c r="C46"/>
  <c r="C505" s="1"/>
  <c r="B46"/>
  <c r="B505" s="1"/>
  <c r="A46"/>
  <c r="A505" s="1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E45"/>
  <c r="E504" s="1"/>
  <c r="D45"/>
  <c r="D504" s="1"/>
  <c r="C45"/>
  <c r="C504" s="1"/>
  <c r="B45"/>
  <c r="B504" s="1"/>
  <c r="A45"/>
  <c r="A504" s="1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E44"/>
  <c r="E503" s="1"/>
  <c r="D44"/>
  <c r="D503" s="1"/>
  <c r="C44"/>
  <c r="C503" s="1"/>
  <c r="B44"/>
  <c r="B503" s="1"/>
  <c r="A44"/>
  <c r="A503" s="1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E43"/>
  <c r="E502" s="1"/>
  <c r="D43"/>
  <c r="D502" s="1"/>
  <c r="C43"/>
  <c r="C502" s="1"/>
  <c r="B43"/>
  <c r="B502" s="1"/>
  <c r="A43"/>
  <c r="A502" s="1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E42"/>
  <c r="E501" s="1"/>
  <c r="D42"/>
  <c r="D501" s="1"/>
  <c r="C42"/>
  <c r="C501" s="1"/>
  <c r="B42"/>
  <c r="B501" s="1"/>
  <c r="A42"/>
  <c r="A501" s="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E41"/>
  <c r="E500" s="1"/>
  <c r="D41"/>
  <c r="D500" s="1"/>
  <c r="C41"/>
  <c r="C500" s="1"/>
  <c r="B41"/>
  <c r="B500" s="1"/>
  <c r="A41"/>
  <c r="A500" s="1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E40"/>
  <c r="E499" s="1"/>
  <c r="D40"/>
  <c r="D499" s="1"/>
  <c r="C40"/>
  <c r="C499" s="1"/>
  <c r="B40"/>
  <c r="B499" s="1"/>
  <c r="A40"/>
  <c r="A499" s="1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E39"/>
  <c r="E498" s="1"/>
  <c r="D39"/>
  <c r="D498" s="1"/>
  <c r="C39"/>
  <c r="C498" s="1"/>
  <c r="B39"/>
  <c r="B498" s="1"/>
  <c r="A39"/>
  <c r="A498" s="1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E38"/>
  <c r="E497" s="1"/>
  <c r="D38"/>
  <c r="D497" s="1"/>
  <c r="C38"/>
  <c r="C497" s="1"/>
  <c r="B38"/>
  <c r="B497" s="1"/>
  <c r="A38"/>
  <c r="A497" s="1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E37"/>
  <c r="E496" s="1"/>
  <c r="D37"/>
  <c r="D496" s="1"/>
  <c r="C37"/>
  <c r="C496" s="1"/>
  <c r="B37"/>
  <c r="B496" s="1"/>
  <c r="A37"/>
  <c r="A496" s="1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E36"/>
  <c r="B36"/>
  <c r="A36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E35"/>
  <c r="E495" s="1"/>
  <c r="D35"/>
  <c r="D495" s="1"/>
  <c r="C35"/>
  <c r="C495" s="1"/>
  <c r="B35"/>
  <c r="B495" s="1"/>
  <c r="A35"/>
  <c r="A495" s="1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E34"/>
  <c r="E494" s="1"/>
  <c r="D34"/>
  <c r="D494" s="1"/>
  <c r="C34"/>
  <c r="C494" s="1"/>
  <c r="B34"/>
  <c r="B494" s="1"/>
  <c r="A34"/>
  <c r="A494" s="1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E33"/>
  <c r="E493" s="1"/>
  <c r="D33"/>
  <c r="D493" s="1"/>
  <c r="C33"/>
  <c r="C493" s="1"/>
  <c r="B33"/>
  <c r="B493" s="1"/>
  <c r="A33"/>
  <c r="A493" s="1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E32"/>
  <c r="E492" s="1"/>
  <c r="D32"/>
  <c r="D492" s="1"/>
  <c r="C32"/>
  <c r="C492" s="1"/>
  <c r="B32"/>
  <c r="B492" s="1"/>
  <c r="A32"/>
  <c r="A492" s="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E31"/>
  <c r="E491" s="1"/>
  <c r="D31"/>
  <c r="D491" s="1"/>
  <c r="C31"/>
  <c r="C491" s="1"/>
  <c r="B31"/>
  <c r="B491" s="1"/>
  <c r="A31"/>
  <c r="A491" s="1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E30"/>
  <c r="E490" s="1"/>
  <c r="D30"/>
  <c r="D490" s="1"/>
  <c r="C30"/>
  <c r="C490" s="1"/>
  <c r="B30"/>
  <c r="B490" s="1"/>
  <c r="A30"/>
  <c r="A490" s="1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E29"/>
  <c r="E489" s="1"/>
  <c r="D29"/>
  <c r="D489" s="1"/>
  <c r="C29"/>
  <c r="C489" s="1"/>
  <c r="B29"/>
  <c r="B489" s="1"/>
  <c r="A29"/>
  <c r="A489" s="1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E28"/>
  <c r="E488" s="1"/>
  <c r="D28"/>
  <c r="D488" s="1"/>
  <c r="C28"/>
  <c r="C488" s="1"/>
  <c r="B28"/>
  <c r="B488" s="1"/>
  <c r="A28"/>
  <c r="A488" s="1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E27"/>
  <c r="E487" s="1"/>
  <c r="D27"/>
  <c r="D487" s="1"/>
  <c r="C27"/>
  <c r="C487" s="1"/>
  <c r="B27"/>
  <c r="B487" s="1"/>
  <c r="A27"/>
  <c r="A487" s="1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E26"/>
  <c r="E486" s="1"/>
  <c r="D26"/>
  <c r="D486" s="1"/>
  <c r="C26"/>
  <c r="C486" s="1"/>
  <c r="B26"/>
  <c r="B486" s="1"/>
  <c r="A26"/>
  <c r="A486" s="1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E25"/>
  <c r="E485" s="1"/>
  <c r="D25"/>
  <c r="D485" s="1"/>
  <c r="C25"/>
  <c r="C485" s="1"/>
  <c r="B25"/>
  <c r="B485" s="1"/>
  <c r="A25"/>
  <c r="A485" s="1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E24"/>
  <c r="E484" s="1"/>
  <c r="D24"/>
  <c r="D484" s="1"/>
  <c r="C24"/>
  <c r="C484" s="1"/>
  <c r="B24"/>
  <c r="B484" s="1"/>
  <c r="A24"/>
  <c r="A484" s="1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E23"/>
  <c r="E483" s="1"/>
  <c r="D23"/>
  <c r="D483" s="1"/>
  <c r="C23"/>
  <c r="C483" s="1"/>
  <c r="B23"/>
  <c r="B483" s="1"/>
  <c r="A23"/>
  <c r="A483" s="1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E22"/>
  <c r="E482" s="1"/>
  <c r="D22"/>
  <c r="D482" s="1"/>
  <c r="C22"/>
  <c r="C482" s="1"/>
  <c r="B22"/>
  <c r="B482" s="1"/>
  <c r="A22"/>
  <c r="A482" s="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E21"/>
  <c r="E481" s="1"/>
  <c r="D21"/>
  <c r="D481" s="1"/>
  <c r="C21"/>
  <c r="C481" s="1"/>
  <c r="B21"/>
  <c r="B481" s="1"/>
  <c r="A21"/>
  <c r="A481" s="1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E20"/>
  <c r="B20"/>
  <c r="A20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E19"/>
  <c r="E480" s="1"/>
  <c r="D19"/>
  <c r="D480" s="1"/>
  <c r="C19"/>
  <c r="C480" s="1"/>
  <c r="B19"/>
  <c r="B480" s="1"/>
  <c r="A19"/>
  <c r="A480" s="1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E18"/>
  <c r="E479" s="1"/>
  <c r="D18"/>
  <c r="D479" s="1"/>
  <c r="C18"/>
  <c r="C479" s="1"/>
  <c r="B18"/>
  <c r="B479" s="1"/>
  <c r="A18"/>
  <c r="A479" s="1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E17"/>
  <c r="E478" s="1"/>
  <c r="D17"/>
  <c r="D478" s="1"/>
  <c r="C17"/>
  <c r="C478" s="1"/>
  <c r="B17"/>
  <c r="B478" s="1"/>
  <c r="A17"/>
  <c r="A478" s="1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E16"/>
  <c r="E477" s="1"/>
  <c r="D16"/>
  <c r="D477" s="1"/>
  <c r="C16"/>
  <c r="C477" s="1"/>
  <c r="B16"/>
  <c r="B477" s="1"/>
  <c r="A16"/>
  <c r="A477" s="1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E15"/>
  <c r="E476" s="1"/>
  <c r="D15"/>
  <c r="D476" s="1"/>
  <c r="C15"/>
  <c r="C476" s="1"/>
  <c r="B15"/>
  <c r="B476" s="1"/>
  <c r="A15"/>
  <c r="A476" s="1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E14"/>
  <c r="E475" s="1"/>
  <c r="D14"/>
  <c r="D475" s="1"/>
  <c r="C14"/>
  <c r="C475" s="1"/>
  <c r="B14"/>
  <c r="B475" s="1"/>
  <c r="A14"/>
  <c r="A475" s="1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E13"/>
  <c r="E474" s="1"/>
  <c r="D13"/>
  <c r="D474" s="1"/>
  <c r="C13"/>
  <c r="C474" s="1"/>
  <c r="B13"/>
  <c r="B474" s="1"/>
  <c r="A13"/>
  <c r="A474" s="1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E12"/>
  <c r="E473" s="1"/>
  <c r="D12"/>
  <c r="D473" s="1"/>
  <c r="C12"/>
  <c r="C473" s="1"/>
  <c r="B12"/>
  <c r="B473" s="1"/>
  <c r="A12"/>
  <c r="A473" s="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E11"/>
  <c r="E472" s="1"/>
  <c r="D11"/>
  <c r="D472" s="1"/>
  <c r="C11"/>
  <c r="C472" s="1"/>
  <c r="B11"/>
  <c r="B472" s="1"/>
  <c r="A11"/>
  <c r="A472" s="1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E10"/>
  <c r="E471" s="1"/>
  <c r="D10"/>
  <c r="D471" s="1"/>
  <c r="C10"/>
  <c r="C471" s="1"/>
  <c r="B10"/>
  <c r="B471" s="1"/>
  <c r="A10"/>
  <c r="A471" s="1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E9"/>
  <c r="E470" s="1"/>
  <c r="D9"/>
  <c r="D470" s="1"/>
  <c r="C9"/>
  <c r="C470" s="1"/>
  <c r="B9"/>
  <c r="B470" s="1"/>
  <c r="A9"/>
  <c r="A470" s="1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E8"/>
  <c r="E469" s="1"/>
  <c r="D8"/>
  <c r="D469" s="1"/>
  <c r="C8"/>
  <c r="C469" s="1"/>
  <c r="B8"/>
  <c r="B469" s="1"/>
  <c r="A8"/>
  <c r="A469" s="1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E7"/>
  <c r="E468" s="1"/>
  <c r="D7"/>
  <c r="D468" s="1"/>
  <c r="C7"/>
  <c r="C468" s="1"/>
  <c r="B7"/>
  <c r="B468" s="1"/>
  <c r="A7"/>
  <c r="A468" s="1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E6"/>
  <c r="E467" s="1"/>
  <c r="D6"/>
  <c r="D467" s="1"/>
  <c r="C6"/>
  <c r="C467" s="1"/>
  <c r="B6"/>
  <c r="B467" s="1"/>
  <c r="A6"/>
  <c r="A467" s="1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E5"/>
  <c r="E466" s="1"/>
  <c r="D5"/>
  <c r="D466" s="1"/>
  <c r="C5"/>
  <c r="C466" s="1"/>
  <c r="B5"/>
  <c r="B466" s="1"/>
  <c r="A5"/>
  <c r="A466" s="1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E4"/>
  <c r="B4"/>
  <c r="A4"/>
  <c r="DU3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E3"/>
  <c r="B3"/>
  <c r="A3"/>
  <c r="E2"/>
  <c r="D2"/>
  <c r="C2"/>
  <c r="B2"/>
  <c r="A2"/>
  <c r="E403" i="2"/>
  <c r="D403"/>
  <c r="C403"/>
  <c r="B403"/>
  <c r="A403"/>
  <c r="E402"/>
  <c r="D402"/>
  <c r="C402"/>
  <c r="B402"/>
  <c r="A402"/>
  <c r="E401"/>
  <c r="D401"/>
  <c r="C401"/>
  <c r="B401"/>
  <c r="A401"/>
  <c r="E400"/>
  <c r="D400"/>
  <c r="C400"/>
  <c r="E399"/>
  <c r="D399"/>
  <c r="C399"/>
  <c r="B399"/>
  <c r="A399"/>
  <c r="E398"/>
  <c r="A398"/>
  <c r="E397"/>
  <c r="D397"/>
  <c r="C397"/>
  <c r="B397"/>
  <c r="A397"/>
  <c r="C396"/>
  <c r="B396"/>
  <c r="A396"/>
  <c r="E395"/>
  <c r="D395"/>
  <c r="C395"/>
  <c r="B395"/>
  <c r="A395"/>
  <c r="E394"/>
  <c r="D394"/>
  <c r="C394"/>
  <c r="B394"/>
  <c r="E393"/>
  <c r="D393"/>
  <c r="C393"/>
  <c r="B393"/>
  <c r="A393"/>
  <c r="E392"/>
  <c r="D392"/>
  <c r="C392"/>
  <c r="B392"/>
  <c r="A392"/>
  <c r="E391"/>
  <c r="D391"/>
  <c r="C391"/>
  <c r="B391"/>
  <c r="A391"/>
  <c r="E390"/>
  <c r="D390"/>
  <c r="C390"/>
  <c r="B390"/>
  <c r="A390"/>
  <c r="E389"/>
  <c r="D389"/>
  <c r="C389"/>
  <c r="B389"/>
  <c r="A389"/>
  <c r="E388"/>
  <c r="D388"/>
  <c r="C388"/>
  <c r="B388"/>
  <c r="A388"/>
  <c r="E387"/>
  <c r="D387"/>
  <c r="C387"/>
  <c r="B387"/>
  <c r="A387"/>
  <c r="E386"/>
  <c r="D386"/>
  <c r="C386"/>
  <c r="B386"/>
  <c r="A386"/>
  <c r="E385"/>
  <c r="D385"/>
  <c r="C385"/>
  <c r="B385"/>
  <c r="A385"/>
  <c r="E384"/>
  <c r="D384"/>
  <c r="C384"/>
  <c r="B384"/>
  <c r="A384"/>
  <c r="E383"/>
  <c r="D383"/>
  <c r="C383"/>
  <c r="B383"/>
  <c r="A383"/>
  <c r="E382"/>
  <c r="D382"/>
  <c r="C382"/>
  <c r="B382"/>
  <c r="A382"/>
  <c r="E381"/>
  <c r="D381"/>
  <c r="C381"/>
  <c r="B381"/>
  <c r="A381"/>
  <c r="E380"/>
  <c r="D380"/>
  <c r="C380"/>
  <c r="B380"/>
  <c r="A380"/>
  <c r="E379"/>
  <c r="D379"/>
  <c r="C379"/>
  <c r="B379"/>
  <c r="A379"/>
  <c r="E378"/>
  <c r="D378"/>
  <c r="C378"/>
  <c r="B378"/>
  <c r="A378"/>
  <c r="E377"/>
  <c r="D377"/>
  <c r="C377"/>
  <c r="B377"/>
  <c r="A377"/>
  <c r="E376"/>
  <c r="D376"/>
  <c r="C376"/>
  <c r="B376"/>
  <c r="A376"/>
  <c r="E375"/>
  <c r="D375"/>
  <c r="C375"/>
  <c r="B375"/>
  <c r="A375"/>
  <c r="E374"/>
  <c r="D374"/>
  <c r="C374"/>
  <c r="B374"/>
  <c r="A374"/>
  <c r="E373"/>
  <c r="D373"/>
  <c r="C373"/>
  <c r="B373"/>
  <c r="A373"/>
  <c r="E372"/>
  <c r="D372"/>
  <c r="C372"/>
  <c r="B372"/>
  <c r="A372"/>
  <c r="E371"/>
  <c r="D371"/>
  <c r="C371"/>
  <c r="B371"/>
  <c r="A371"/>
  <c r="E370"/>
  <c r="D370"/>
  <c r="C370"/>
  <c r="B370"/>
  <c r="A370"/>
  <c r="E369"/>
  <c r="D369"/>
  <c r="C369"/>
  <c r="B369"/>
  <c r="A369"/>
  <c r="E368"/>
  <c r="D368"/>
  <c r="C368"/>
  <c r="B368"/>
  <c r="A368"/>
  <c r="E367"/>
  <c r="D367"/>
  <c r="C367"/>
  <c r="B367"/>
  <c r="A367"/>
  <c r="E366"/>
  <c r="D366"/>
  <c r="C366"/>
  <c r="B366"/>
  <c r="A366"/>
  <c r="E365"/>
  <c r="D365"/>
  <c r="C365"/>
  <c r="B365"/>
  <c r="A365"/>
  <c r="E364"/>
  <c r="D364"/>
  <c r="C364"/>
  <c r="B364"/>
  <c r="A364"/>
  <c r="E363"/>
  <c r="D363"/>
  <c r="C363"/>
  <c r="B363"/>
  <c r="A363"/>
  <c r="E362"/>
  <c r="D362"/>
  <c r="C362"/>
  <c r="B362"/>
  <c r="A362"/>
  <c r="E361"/>
  <c r="D361"/>
  <c r="C361"/>
  <c r="B361"/>
  <c r="A361"/>
  <c r="E360"/>
  <c r="D360"/>
  <c r="C360"/>
  <c r="B360"/>
  <c r="A360"/>
  <c r="E359"/>
  <c r="D359"/>
  <c r="C359"/>
  <c r="B359"/>
  <c r="A359"/>
  <c r="E358"/>
  <c r="D358"/>
  <c r="C358"/>
  <c r="B358"/>
  <c r="A358"/>
  <c r="E357"/>
  <c r="D357"/>
  <c r="C357"/>
  <c r="B357"/>
  <c r="A357"/>
  <c r="E356"/>
  <c r="D356"/>
  <c r="C356"/>
  <c r="B356"/>
  <c r="A356"/>
  <c r="E355"/>
  <c r="D355"/>
  <c r="C355"/>
  <c r="B355"/>
  <c r="A355"/>
  <c r="E354"/>
  <c r="D354"/>
  <c r="C354"/>
  <c r="B354"/>
  <c r="A354"/>
  <c r="E353"/>
  <c r="D353"/>
  <c r="C353"/>
  <c r="B353"/>
  <c r="A353"/>
  <c r="E352"/>
  <c r="D352"/>
  <c r="C352"/>
  <c r="B352"/>
  <c r="A352"/>
  <c r="E351"/>
  <c r="D351"/>
  <c r="C351"/>
  <c r="B351"/>
  <c r="A351"/>
  <c r="E350"/>
  <c r="D350"/>
  <c r="C350"/>
  <c r="B350"/>
  <c r="A350"/>
  <c r="E349"/>
  <c r="D349"/>
  <c r="C349"/>
  <c r="B349"/>
  <c r="A349"/>
  <c r="E348"/>
  <c r="D348"/>
  <c r="C348"/>
  <c r="B348"/>
  <c r="A348"/>
  <c r="E347"/>
  <c r="D347"/>
  <c r="C347"/>
  <c r="B347"/>
  <c r="A347"/>
  <c r="E346"/>
  <c r="D346"/>
  <c r="C346"/>
  <c r="B346"/>
  <c r="A346"/>
  <c r="E345"/>
  <c r="D345"/>
  <c r="C345"/>
  <c r="B345"/>
  <c r="A345"/>
  <c r="E344"/>
  <c r="D344"/>
  <c r="C344"/>
  <c r="B344"/>
  <c r="A344"/>
  <c r="E343"/>
  <c r="D343"/>
  <c r="C343"/>
  <c r="B343"/>
  <c r="A343"/>
  <c r="E342"/>
  <c r="D342"/>
  <c r="C342"/>
  <c r="B342"/>
  <c r="A342"/>
  <c r="E341"/>
  <c r="D341"/>
  <c r="C341"/>
  <c r="B341"/>
  <c r="A341"/>
  <c r="E340"/>
  <c r="D340"/>
  <c r="C340"/>
  <c r="B340"/>
  <c r="A340"/>
  <c r="E339"/>
  <c r="D339"/>
  <c r="C339"/>
  <c r="B339"/>
  <c r="A339"/>
  <c r="E338"/>
  <c r="D338"/>
  <c r="C338"/>
  <c r="B338"/>
  <c r="A338"/>
  <c r="E337"/>
  <c r="D337"/>
  <c r="C337"/>
  <c r="B337"/>
  <c r="A337"/>
  <c r="E336"/>
  <c r="D336"/>
  <c r="C336"/>
  <c r="B336"/>
  <c r="A336"/>
  <c r="E335"/>
  <c r="D335"/>
  <c r="C335"/>
  <c r="B335"/>
  <c r="A335"/>
  <c r="E334"/>
  <c r="D334"/>
  <c r="C334"/>
  <c r="B334"/>
  <c r="A334"/>
  <c r="E333"/>
  <c r="D333"/>
  <c r="C333"/>
  <c r="B333"/>
  <c r="A333"/>
  <c r="E332"/>
  <c r="D332"/>
  <c r="C332"/>
  <c r="B332"/>
  <c r="A332"/>
  <c r="E331"/>
  <c r="D331"/>
  <c r="C331"/>
  <c r="B331"/>
  <c r="A331"/>
  <c r="E330"/>
  <c r="D330"/>
  <c r="C330"/>
  <c r="B330"/>
  <c r="A330"/>
  <c r="E329"/>
  <c r="D329"/>
  <c r="C329"/>
  <c r="B329"/>
  <c r="A329"/>
  <c r="E328"/>
  <c r="D328"/>
  <c r="C328"/>
  <c r="B328"/>
  <c r="A328"/>
  <c r="E327"/>
  <c r="D327"/>
  <c r="C327"/>
  <c r="B327"/>
  <c r="A327"/>
  <c r="E326"/>
  <c r="D326"/>
  <c r="C326"/>
  <c r="B326"/>
  <c r="A326"/>
  <c r="E325"/>
  <c r="D325"/>
  <c r="C325"/>
  <c r="B325"/>
  <c r="A325"/>
  <c r="E324"/>
  <c r="D324"/>
  <c r="C324"/>
  <c r="B324"/>
  <c r="A324"/>
  <c r="E323"/>
  <c r="D323"/>
  <c r="C323"/>
  <c r="B323"/>
  <c r="A323"/>
  <c r="E322"/>
  <c r="D322"/>
  <c r="C322"/>
  <c r="B322"/>
  <c r="A322"/>
  <c r="E321"/>
  <c r="D321"/>
  <c r="C321"/>
  <c r="B321"/>
  <c r="A321"/>
  <c r="E320"/>
  <c r="D320"/>
  <c r="C320"/>
  <c r="B320"/>
  <c r="A320"/>
  <c r="E319"/>
  <c r="D319"/>
  <c r="C319"/>
  <c r="B319"/>
  <c r="A319"/>
  <c r="E318"/>
  <c r="D318"/>
  <c r="C318"/>
  <c r="B318"/>
  <c r="A318"/>
  <c r="E317"/>
  <c r="D317"/>
  <c r="C317"/>
  <c r="B317"/>
  <c r="A317"/>
  <c r="E316"/>
  <c r="D316"/>
  <c r="C316"/>
  <c r="B316"/>
  <c r="A316"/>
  <c r="E315"/>
  <c r="D315"/>
  <c r="C315"/>
  <c r="B315"/>
  <c r="A315"/>
  <c r="E314"/>
  <c r="D314"/>
  <c r="C314"/>
  <c r="B314"/>
  <c r="A314"/>
  <c r="E313"/>
  <c r="D313"/>
  <c r="C313"/>
  <c r="B313"/>
  <c r="A313"/>
  <c r="E312"/>
  <c r="D312"/>
  <c r="C312"/>
  <c r="B312"/>
  <c r="A312"/>
  <c r="E311"/>
  <c r="D311"/>
  <c r="C311"/>
  <c r="B311"/>
  <c r="A311"/>
  <c r="E310"/>
  <c r="D310"/>
  <c r="C310"/>
  <c r="B310"/>
  <c r="A310"/>
  <c r="E309"/>
  <c r="D309"/>
  <c r="C309"/>
  <c r="B309"/>
  <c r="A309"/>
  <c r="E308"/>
  <c r="D308"/>
  <c r="C308"/>
  <c r="B308"/>
  <c r="A308"/>
  <c r="E307"/>
  <c r="D307"/>
  <c r="C307"/>
  <c r="B307"/>
  <c r="A307"/>
  <c r="E306"/>
  <c r="D306"/>
  <c r="C306"/>
  <c r="B306"/>
  <c r="A306"/>
  <c r="E305"/>
  <c r="D305"/>
  <c r="C305"/>
  <c r="B305"/>
  <c r="A305"/>
  <c r="E304"/>
  <c r="D304"/>
  <c r="C304"/>
  <c r="B304"/>
  <c r="A304"/>
  <c r="E303"/>
  <c r="D303"/>
  <c r="C303"/>
  <c r="B303"/>
  <c r="A303"/>
  <c r="E302"/>
  <c r="D302"/>
  <c r="C302"/>
  <c r="B302"/>
  <c r="A302"/>
  <c r="E301"/>
  <c r="D301"/>
  <c r="C301"/>
  <c r="B301"/>
  <c r="A301"/>
  <c r="E300"/>
  <c r="D300"/>
  <c r="C300"/>
  <c r="B300"/>
  <c r="A300"/>
  <c r="E299"/>
  <c r="D299"/>
  <c r="C299"/>
  <c r="B299"/>
  <c r="A299"/>
  <c r="E298"/>
  <c r="D298"/>
  <c r="C298"/>
  <c r="B298"/>
  <c r="A298"/>
  <c r="E297"/>
  <c r="D297"/>
  <c r="C297"/>
  <c r="B297"/>
  <c r="A297"/>
  <c r="E296"/>
  <c r="D296"/>
  <c r="C296"/>
  <c r="B296"/>
  <c r="A296"/>
  <c r="E295"/>
  <c r="D295"/>
  <c r="C295"/>
  <c r="B295"/>
  <c r="A295"/>
  <c r="E294"/>
  <c r="D294"/>
  <c r="C294"/>
  <c r="B294"/>
  <c r="A294"/>
  <c r="E293"/>
  <c r="D293"/>
  <c r="C293"/>
  <c r="B293"/>
  <c r="A293"/>
  <c r="E292"/>
  <c r="D292"/>
  <c r="C292"/>
  <c r="B292"/>
  <c r="A292"/>
  <c r="E291"/>
  <c r="D291"/>
  <c r="C291"/>
  <c r="B291"/>
  <c r="A291"/>
  <c r="E290"/>
  <c r="D290"/>
  <c r="C290"/>
  <c r="B290"/>
  <c r="A290"/>
  <c r="E289"/>
  <c r="D289"/>
  <c r="C289"/>
  <c r="B289"/>
  <c r="A289"/>
  <c r="E288"/>
  <c r="D288"/>
  <c r="C288"/>
  <c r="B288"/>
  <c r="A288"/>
  <c r="E287"/>
  <c r="D287"/>
  <c r="C287"/>
  <c r="B287"/>
  <c r="A287"/>
  <c r="E286"/>
  <c r="D286"/>
  <c r="C286"/>
  <c r="B286"/>
  <c r="A286"/>
  <c r="E285"/>
  <c r="D285"/>
  <c r="C285"/>
  <c r="B285"/>
  <c r="A285"/>
  <c r="E284"/>
  <c r="D284"/>
  <c r="C284"/>
  <c r="B284"/>
  <c r="A284"/>
  <c r="E283"/>
  <c r="D283"/>
  <c r="C283"/>
  <c r="B283"/>
  <c r="A283"/>
  <c r="E282"/>
  <c r="D282"/>
  <c r="C282"/>
  <c r="B282"/>
  <c r="A282"/>
  <c r="E281"/>
  <c r="D281"/>
  <c r="C281"/>
  <c r="B281"/>
  <c r="A281"/>
  <c r="E280"/>
  <c r="D280"/>
  <c r="C280"/>
  <c r="B280"/>
  <c r="A280"/>
  <c r="E279"/>
  <c r="D279"/>
  <c r="C279"/>
  <c r="B279"/>
  <c r="A279"/>
  <c r="E278"/>
  <c r="D278"/>
  <c r="C278"/>
  <c r="B278"/>
  <c r="A278"/>
  <c r="E277"/>
  <c r="D277"/>
  <c r="C277"/>
  <c r="B277"/>
  <c r="A277"/>
  <c r="E276"/>
  <c r="D276"/>
  <c r="C276"/>
  <c r="B276"/>
  <c r="A276"/>
  <c r="E275"/>
  <c r="D275"/>
  <c r="C275"/>
  <c r="B275"/>
  <c r="A275"/>
  <c r="E274"/>
  <c r="D274"/>
  <c r="C274"/>
  <c r="B274"/>
  <c r="A274"/>
  <c r="E273"/>
  <c r="D273"/>
  <c r="C273"/>
  <c r="B273"/>
  <c r="A273"/>
  <c r="E272"/>
  <c r="D272"/>
  <c r="C272"/>
  <c r="B272"/>
  <c r="A272"/>
  <c r="E271"/>
  <c r="D271"/>
  <c r="C271"/>
  <c r="B271"/>
  <c r="A271"/>
  <c r="E270"/>
  <c r="D270"/>
  <c r="C270"/>
  <c r="B270"/>
  <c r="A270"/>
  <c r="E269"/>
  <c r="D269"/>
  <c r="C269"/>
  <c r="B269"/>
  <c r="A269"/>
  <c r="E268"/>
  <c r="D268"/>
  <c r="C268"/>
  <c r="B268"/>
  <c r="A268"/>
  <c r="E267"/>
  <c r="D267"/>
  <c r="C267"/>
  <c r="B267"/>
  <c r="A267"/>
  <c r="E266"/>
  <c r="D266"/>
  <c r="C266"/>
  <c r="B266"/>
  <c r="A266"/>
  <c r="E265"/>
  <c r="D265"/>
  <c r="C265"/>
  <c r="B265"/>
  <c r="A265"/>
  <c r="E264"/>
  <c r="D264"/>
  <c r="C264"/>
  <c r="B264"/>
  <c r="A264"/>
  <c r="E263"/>
  <c r="D263"/>
  <c r="C263"/>
  <c r="B263"/>
  <c r="A263"/>
  <c r="E262"/>
  <c r="D262"/>
  <c r="C262"/>
  <c r="B262"/>
  <c r="A262"/>
  <c r="E261"/>
  <c r="D261"/>
  <c r="C261"/>
  <c r="B261"/>
  <c r="A261"/>
  <c r="E260"/>
  <c r="D260"/>
  <c r="C260"/>
  <c r="B260"/>
  <c r="A260"/>
  <c r="E259"/>
  <c r="D259"/>
  <c r="C259"/>
  <c r="B259"/>
  <c r="A259"/>
  <c r="E258"/>
  <c r="D258"/>
  <c r="C258"/>
  <c r="B258"/>
  <c r="A258"/>
  <c r="E257"/>
  <c r="D257"/>
  <c r="C257"/>
  <c r="B257"/>
  <c r="A257"/>
  <c r="E256"/>
  <c r="D256"/>
  <c r="C256"/>
  <c r="B256"/>
  <c r="A256"/>
  <c r="E255"/>
  <c r="D255"/>
  <c r="C255"/>
  <c r="B255"/>
  <c r="A255"/>
  <c r="E254"/>
  <c r="D254"/>
  <c r="C254"/>
  <c r="B254"/>
  <c r="A254"/>
  <c r="E253"/>
  <c r="D253"/>
  <c r="C253"/>
  <c r="B253"/>
  <c r="A253"/>
  <c r="E252"/>
  <c r="D252"/>
  <c r="C252"/>
  <c r="B252"/>
  <c r="A252"/>
  <c r="E251"/>
  <c r="D251"/>
  <c r="C251"/>
  <c r="B251"/>
  <c r="A251"/>
  <c r="E250"/>
  <c r="D250"/>
  <c r="C250"/>
  <c r="B250"/>
  <c r="A250"/>
  <c r="E249"/>
  <c r="D249"/>
  <c r="C249"/>
  <c r="B249"/>
  <c r="A249"/>
  <c r="E248"/>
  <c r="D248"/>
  <c r="C248"/>
  <c r="B248"/>
  <c r="A248"/>
  <c r="E247"/>
  <c r="D247"/>
  <c r="C247"/>
  <c r="B247"/>
  <c r="A247"/>
  <c r="E246"/>
  <c r="D246"/>
  <c r="C246"/>
  <c r="B246"/>
  <c r="A246"/>
  <c r="E245"/>
  <c r="D245"/>
  <c r="C245"/>
  <c r="B245"/>
  <c r="A245"/>
  <c r="E244"/>
  <c r="D244"/>
  <c r="C244"/>
  <c r="B244"/>
  <c r="A244"/>
  <c r="E243"/>
  <c r="D243"/>
  <c r="C243"/>
  <c r="B243"/>
  <c r="A243"/>
  <c r="E242"/>
  <c r="D242"/>
  <c r="C242"/>
  <c r="B242"/>
  <c r="A242"/>
  <c r="E241"/>
  <c r="D241"/>
  <c r="C241"/>
  <c r="B241"/>
  <c r="A241"/>
  <c r="E240"/>
  <c r="D240"/>
  <c r="C240"/>
  <c r="B240"/>
  <c r="A240"/>
  <c r="E239"/>
  <c r="D239"/>
  <c r="C239"/>
  <c r="B239"/>
  <c r="A239"/>
  <c r="E238"/>
  <c r="D238"/>
  <c r="C238"/>
  <c r="B238"/>
  <c r="A238"/>
  <c r="E237"/>
  <c r="D237"/>
  <c r="C237"/>
  <c r="B237"/>
  <c r="A237"/>
  <c r="E236"/>
  <c r="D236"/>
  <c r="C236"/>
  <c r="B236"/>
  <c r="A236"/>
  <c r="E235"/>
  <c r="D235"/>
  <c r="C235"/>
  <c r="B235"/>
  <c r="A235"/>
  <c r="E234"/>
  <c r="D234"/>
  <c r="C234"/>
  <c r="B234"/>
  <c r="A234"/>
  <c r="E233"/>
  <c r="D233"/>
  <c r="C233"/>
  <c r="B233"/>
  <c r="A233"/>
  <c r="E232"/>
  <c r="D232"/>
  <c r="C232"/>
  <c r="B232"/>
  <c r="A232"/>
  <c r="E231"/>
  <c r="D231"/>
  <c r="C231"/>
  <c r="B231"/>
  <c r="A231"/>
  <c r="E230"/>
  <c r="D230"/>
  <c r="C230"/>
  <c r="B230"/>
  <c r="A230"/>
  <c r="E229"/>
  <c r="D229"/>
  <c r="C229"/>
  <c r="B229"/>
  <c r="A229"/>
  <c r="E228"/>
  <c r="D228"/>
  <c r="C228"/>
  <c r="B228"/>
  <c r="A228"/>
  <c r="E227"/>
  <c r="D227"/>
  <c r="C227"/>
  <c r="B227"/>
  <c r="A227"/>
  <c r="E226"/>
  <c r="D226"/>
  <c r="C226"/>
  <c r="B226"/>
  <c r="A226"/>
  <c r="E225"/>
  <c r="D225"/>
  <c r="C225"/>
  <c r="B225"/>
  <c r="A225"/>
  <c r="E224"/>
  <c r="D224"/>
  <c r="C224"/>
  <c r="B224"/>
  <c r="A224"/>
  <c r="E223"/>
  <c r="D223"/>
  <c r="C223"/>
  <c r="B223"/>
  <c r="A223"/>
  <c r="E222"/>
  <c r="D222"/>
  <c r="C222"/>
  <c r="B222"/>
  <c r="A222"/>
  <c r="E221"/>
  <c r="D221"/>
  <c r="C221"/>
  <c r="B221"/>
  <c r="A221"/>
  <c r="E220"/>
  <c r="D220"/>
  <c r="C220"/>
  <c r="B220"/>
  <c r="A220"/>
  <c r="E219"/>
  <c r="D219"/>
  <c r="C219"/>
  <c r="B219"/>
  <c r="A219"/>
  <c r="E218"/>
  <c r="D218"/>
  <c r="C218"/>
  <c r="B218"/>
  <c r="A218"/>
  <c r="E217"/>
  <c r="D217"/>
  <c r="C217"/>
  <c r="B217"/>
  <c r="A217"/>
  <c r="E216"/>
  <c r="D216"/>
  <c r="C216"/>
  <c r="B216"/>
  <c r="A216"/>
  <c r="E215"/>
  <c r="D215"/>
  <c r="C215"/>
  <c r="B215"/>
  <c r="A215"/>
  <c r="E214"/>
  <c r="D214"/>
  <c r="C214"/>
  <c r="B214"/>
  <c r="A214"/>
  <c r="E213"/>
  <c r="D213"/>
  <c r="C213"/>
  <c r="B213"/>
  <c r="A213"/>
  <c r="E212"/>
  <c r="D212"/>
  <c r="C212"/>
  <c r="B212"/>
  <c r="A212"/>
  <c r="E211"/>
  <c r="D211"/>
  <c r="C211"/>
  <c r="B211"/>
  <c r="A211"/>
  <c r="E210"/>
  <c r="D210"/>
  <c r="C210"/>
  <c r="B210"/>
  <c r="A210"/>
  <c r="E209"/>
  <c r="D209"/>
  <c r="C209"/>
  <c r="B209"/>
  <c r="A209"/>
  <c r="E208"/>
  <c r="D208"/>
  <c r="C208"/>
  <c r="B208"/>
  <c r="A208"/>
  <c r="E207"/>
  <c r="D207"/>
  <c r="C207"/>
  <c r="B207"/>
  <c r="A207"/>
  <c r="E206"/>
  <c r="D206"/>
  <c r="C206"/>
  <c r="B206"/>
  <c r="A206"/>
  <c r="E205"/>
  <c r="D205"/>
  <c r="C205"/>
  <c r="B205"/>
  <c r="A205"/>
  <c r="E204"/>
  <c r="D204"/>
  <c r="C204"/>
  <c r="B204"/>
  <c r="A204"/>
  <c r="E203"/>
  <c r="D203"/>
  <c r="C203"/>
  <c r="B203"/>
  <c r="A203"/>
  <c r="E202"/>
  <c r="D202"/>
  <c r="C202"/>
  <c r="B202"/>
  <c r="A202"/>
  <c r="E201"/>
  <c r="D201"/>
  <c r="C201"/>
  <c r="B201"/>
  <c r="A201"/>
  <c r="E200"/>
  <c r="D200"/>
  <c r="C200"/>
  <c r="B200"/>
  <c r="A200"/>
  <c r="E199"/>
  <c r="D199"/>
  <c r="C199"/>
  <c r="B199"/>
  <c r="A199"/>
  <c r="E198"/>
  <c r="D198"/>
  <c r="C198"/>
  <c r="B198"/>
  <c r="A198"/>
  <c r="E197"/>
  <c r="D197"/>
  <c r="C197"/>
  <c r="B197"/>
  <c r="A197"/>
  <c r="E196"/>
  <c r="D196"/>
  <c r="C196"/>
  <c r="B196"/>
  <c r="A196"/>
  <c r="E195"/>
  <c r="D195"/>
  <c r="C195"/>
  <c r="B195"/>
  <c r="A195"/>
  <c r="E194"/>
  <c r="D194"/>
  <c r="C194"/>
  <c r="B194"/>
  <c r="A194"/>
  <c r="E193"/>
  <c r="D193"/>
  <c r="C193"/>
  <c r="B193"/>
  <c r="A193"/>
  <c r="E192"/>
  <c r="D192"/>
  <c r="C192"/>
  <c r="B192"/>
  <c r="A192"/>
  <c r="E191"/>
  <c r="D191"/>
  <c r="C191"/>
  <c r="B191"/>
  <c r="A191"/>
  <c r="E190"/>
  <c r="D190"/>
  <c r="C190"/>
  <c r="B190"/>
  <c r="A190"/>
  <c r="E189"/>
  <c r="D189"/>
  <c r="C189"/>
  <c r="B189"/>
  <c r="A189"/>
  <c r="E188"/>
  <c r="D188"/>
  <c r="C188"/>
  <c r="B188"/>
  <c r="A188"/>
  <c r="E187"/>
  <c r="D187"/>
  <c r="C187"/>
  <c r="B187"/>
  <c r="A187"/>
  <c r="E186"/>
  <c r="D186"/>
  <c r="C186"/>
  <c r="B186"/>
  <c r="A186"/>
  <c r="E185"/>
  <c r="D185"/>
  <c r="C185"/>
  <c r="B185"/>
  <c r="A185"/>
  <c r="E184"/>
  <c r="D184"/>
  <c r="C184"/>
  <c r="B184"/>
  <c r="A184"/>
  <c r="E183"/>
  <c r="D183"/>
  <c r="C183"/>
  <c r="B183"/>
  <c r="A183"/>
  <c r="E182"/>
  <c r="D182"/>
  <c r="C182"/>
  <c r="B182"/>
  <c r="A182"/>
  <c r="E181"/>
  <c r="D181"/>
  <c r="C181"/>
  <c r="B181"/>
  <c r="A181"/>
  <c r="E180"/>
  <c r="D180"/>
  <c r="C180"/>
  <c r="B180"/>
  <c r="A180"/>
  <c r="E179"/>
  <c r="D179"/>
  <c r="C179"/>
  <c r="B179"/>
  <c r="A179"/>
  <c r="E178"/>
  <c r="D178"/>
  <c r="C178"/>
  <c r="B178"/>
  <c r="A178"/>
  <c r="E177"/>
  <c r="D177"/>
  <c r="C177"/>
  <c r="B177"/>
  <c r="A177"/>
  <c r="E176"/>
  <c r="D176"/>
  <c r="C176"/>
  <c r="B176"/>
  <c r="A176"/>
  <c r="E175"/>
  <c r="D175"/>
  <c r="C175"/>
  <c r="B175"/>
  <c r="A175"/>
  <c r="E174"/>
  <c r="D174"/>
  <c r="C174"/>
  <c r="B174"/>
  <c r="A174"/>
  <c r="E173"/>
  <c r="D173"/>
  <c r="C173"/>
  <c r="B173"/>
  <c r="A173"/>
  <c r="E172"/>
  <c r="D172"/>
  <c r="C172"/>
  <c r="B172"/>
  <c r="A172"/>
  <c r="E171"/>
  <c r="D171"/>
  <c r="C171"/>
  <c r="B171"/>
  <c r="A171"/>
  <c r="E170"/>
  <c r="D170"/>
  <c r="C170"/>
  <c r="B170"/>
  <c r="A170"/>
  <c r="E169"/>
  <c r="D169"/>
  <c r="C169"/>
  <c r="B169"/>
  <c r="A169"/>
  <c r="E168"/>
  <c r="D168"/>
  <c r="C168"/>
  <c r="B168"/>
  <c r="A168"/>
  <c r="E167"/>
  <c r="D167"/>
  <c r="C167"/>
  <c r="B167"/>
  <c r="A167"/>
  <c r="E166"/>
  <c r="D166"/>
  <c r="C166"/>
  <c r="B166"/>
  <c r="A166"/>
  <c r="E165"/>
  <c r="D165"/>
  <c r="C165"/>
  <c r="B165"/>
  <c r="A165"/>
  <c r="E164"/>
  <c r="D164"/>
  <c r="C164"/>
  <c r="B164"/>
  <c r="A164"/>
  <c r="E163"/>
  <c r="D163"/>
  <c r="C163"/>
  <c r="B163"/>
  <c r="A163"/>
  <c r="E162"/>
  <c r="D162"/>
  <c r="C162"/>
  <c r="B162"/>
  <c r="A162"/>
  <c r="E161"/>
  <c r="D161"/>
  <c r="C161"/>
  <c r="B161"/>
  <c r="A161"/>
  <c r="E160"/>
  <c r="D160"/>
  <c r="C160"/>
  <c r="B160"/>
  <c r="A160"/>
  <c r="E159"/>
  <c r="D159"/>
  <c r="C159"/>
  <c r="B159"/>
  <c r="A159"/>
  <c r="E158"/>
  <c r="D158"/>
  <c r="C158"/>
  <c r="B158"/>
  <c r="A158"/>
  <c r="E157"/>
  <c r="D157"/>
  <c r="C157"/>
  <c r="B157"/>
  <c r="A157"/>
  <c r="E156"/>
  <c r="D156"/>
  <c r="C156"/>
  <c r="B156"/>
  <c r="A156"/>
  <c r="E155"/>
  <c r="D155"/>
  <c r="C155"/>
  <c r="B155"/>
  <c r="A155"/>
  <c r="E154"/>
  <c r="D154"/>
  <c r="C154"/>
  <c r="B154"/>
  <c r="A154"/>
  <c r="E153"/>
  <c r="D153"/>
  <c r="C153"/>
  <c r="B153"/>
  <c r="A153"/>
  <c r="E152"/>
  <c r="D152"/>
  <c r="C152"/>
  <c r="B152"/>
  <c r="A152"/>
  <c r="E151"/>
  <c r="D151"/>
  <c r="C151"/>
  <c r="B151"/>
  <c r="A151"/>
  <c r="E150"/>
  <c r="D150"/>
  <c r="C150"/>
  <c r="B150"/>
  <c r="A150"/>
  <c r="E149"/>
  <c r="D149"/>
  <c r="C149"/>
  <c r="B149"/>
  <c r="A149"/>
  <c r="E148"/>
  <c r="D148"/>
  <c r="C148"/>
  <c r="B148"/>
  <c r="A148"/>
  <c r="E147"/>
  <c r="D147"/>
  <c r="C147"/>
  <c r="B147"/>
  <c r="A147"/>
  <c r="E146"/>
  <c r="D146"/>
  <c r="C146"/>
  <c r="B146"/>
  <c r="A146"/>
  <c r="E145"/>
  <c r="D145"/>
  <c r="C145"/>
  <c r="B145"/>
  <c r="A145"/>
  <c r="E144"/>
  <c r="D144"/>
  <c r="C144"/>
  <c r="B144"/>
  <c r="A144"/>
  <c r="E143"/>
  <c r="D143"/>
  <c r="C143"/>
  <c r="B143"/>
  <c r="A143"/>
  <c r="E142"/>
  <c r="D142"/>
  <c r="C142"/>
  <c r="B142"/>
  <c r="A142"/>
  <c r="E141"/>
  <c r="D141"/>
  <c r="C141"/>
  <c r="B141"/>
  <c r="A141"/>
  <c r="E140"/>
  <c r="D140"/>
  <c r="C140"/>
  <c r="B140"/>
  <c r="A140"/>
  <c r="E139"/>
  <c r="D139"/>
  <c r="C139"/>
  <c r="B139"/>
  <c r="A139"/>
  <c r="E138"/>
  <c r="D138"/>
  <c r="C138"/>
  <c r="B138"/>
  <c r="A138"/>
  <c r="E137"/>
  <c r="D137"/>
  <c r="C137"/>
  <c r="B137"/>
  <c r="A137"/>
  <c r="E136"/>
  <c r="D136"/>
  <c r="C136"/>
  <c r="B136"/>
  <c r="A136"/>
  <c r="E135"/>
  <c r="D135"/>
  <c r="C135"/>
  <c r="B135"/>
  <c r="A135"/>
  <c r="E134"/>
  <c r="D134"/>
  <c r="B134"/>
  <c r="A134"/>
  <c r="E133"/>
  <c r="D133"/>
  <c r="C133"/>
  <c r="B133"/>
  <c r="A133"/>
  <c r="E132"/>
  <c r="D132"/>
  <c r="C132"/>
  <c r="B132"/>
  <c r="A132"/>
  <c r="E131"/>
  <c r="D131"/>
  <c r="C131"/>
  <c r="B131"/>
  <c r="A131"/>
  <c r="E130"/>
  <c r="D130"/>
  <c r="C130"/>
  <c r="B130"/>
  <c r="A130"/>
  <c r="E129"/>
  <c r="D129"/>
  <c r="C129"/>
  <c r="B129"/>
  <c r="A129"/>
  <c r="E128"/>
  <c r="D128"/>
  <c r="C128"/>
  <c r="B128"/>
  <c r="A128"/>
  <c r="E127"/>
  <c r="D127"/>
  <c r="C127"/>
  <c r="B127"/>
  <c r="A127"/>
  <c r="E126"/>
  <c r="D126"/>
  <c r="C126"/>
  <c r="B126"/>
  <c r="A126"/>
  <c r="E125"/>
  <c r="D125"/>
  <c r="C125"/>
  <c r="B125"/>
  <c r="A125"/>
  <c r="E124"/>
  <c r="D124"/>
  <c r="C124"/>
  <c r="B124"/>
  <c r="A124"/>
  <c r="E123"/>
  <c r="D123"/>
  <c r="C123"/>
  <c r="B123"/>
  <c r="A123"/>
  <c r="E122"/>
  <c r="D122"/>
  <c r="C122"/>
  <c r="B122"/>
  <c r="A122"/>
  <c r="E121"/>
  <c r="D121"/>
  <c r="C121"/>
  <c r="B121"/>
  <c r="A121"/>
  <c r="E120"/>
  <c r="D120"/>
  <c r="C120"/>
  <c r="B120"/>
  <c r="A120"/>
  <c r="E119"/>
  <c r="D119"/>
  <c r="C119"/>
  <c r="B119"/>
  <c r="A119"/>
  <c r="E118"/>
  <c r="D118"/>
  <c r="C118"/>
  <c r="B118"/>
  <c r="A118"/>
  <c r="E117"/>
  <c r="D117"/>
  <c r="C117"/>
  <c r="B117"/>
  <c r="A117"/>
  <c r="E116"/>
  <c r="D116"/>
  <c r="C116"/>
  <c r="B116"/>
  <c r="A116"/>
  <c r="E115"/>
  <c r="D115"/>
  <c r="C115"/>
  <c r="B115"/>
  <c r="A115"/>
  <c r="E114"/>
  <c r="D114"/>
  <c r="C114"/>
  <c r="B114"/>
  <c r="A114"/>
  <c r="E113"/>
  <c r="D113"/>
  <c r="C113"/>
  <c r="B113"/>
  <c r="A113"/>
  <c r="E112"/>
  <c r="D112"/>
  <c r="C112"/>
  <c r="B112"/>
  <c r="A112"/>
  <c r="E111"/>
  <c r="D111"/>
  <c r="C111"/>
  <c r="B111"/>
  <c r="A111"/>
  <c r="E110"/>
  <c r="D110"/>
  <c r="C110"/>
  <c r="B110"/>
  <c r="A110"/>
  <c r="E109"/>
  <c r="D109"/>
  <c r="C109"/>
  <c r="B109"/>
  <c r="A109"/>
  <c r="E108"/>
  <c r="D108"/>
  <c r="C108"/>
  <c r="B108"/>
  <c r="A108"/>
  <c r="E107"/>
  <c r="D107"/>
  <c r="C107"/>
  <c r="B107"/>
  <c r="A107"/>
  <c r="E106"/>
  <c r="D106"/>
  <c r="C106"/>
  <c r="B106"/>
  <c r="A106"/>
  <c r="E105"/>
  <c r="D105"/>
  <c r="C105"/>
  <c r="B105"/>
  <c r="A105"/>
  <c r="E104"/>
  <c r="D104"/>
  <c r="C104"/>
  <c r="B104"/>
  <c r="A104"/>
  <c r="E103"/>
  <c r="D103"/>
  <c r="C103"/>
  <c r="B103"/>
  <c r="A103"/>
  <c r="E102"/>
  <c r="D102"/>
  <c r="C102"/>
  <c r="B102"/>
  <c r="A102"/>
  <c r="E101"/>
  <c r="D101"/>
  <c r="C101"/>
  <c r="B101"/>
  <c r="A101"/>
  <c r="E100"/>
  <c r="D100"/>
  <c r="C100"/>
  <c r="B100"/>
  <c r="A100"/>
  <c r="E99"/>
  <c r="D99"/>
  <c r="C99"/>
  <c r="B99"/>
  <c r="A99"/>
  <c r="E98"/>
  <c r="D98"/>
  <c r="C98"/>
  <c r="B98"/>
  <c r="A98"/>
  <c r="E97"/>
  <c r="D97"/>
  <c r="C97"/>
  <c r="B97"/>
  <c r="A97"/>
  <c r="E96"/>
  <c r="D96"/>
  <c r="C96"/>
  <c r="B96"/>
  <c r="A96"/>
  <c r="E95"/>
  <c r="D95"/>
  <c r="C95"/>
  <c r="B95"/>
  <c r="A95"/>
  <c r="E94"/>
  <c r="D94"/>
  <c r="C94"/>
  <c r="B94"/>
  <c r="A94"/>
  <c r="E93"/>
  <c r="D93"/>
  <c r="C93"/>
  <c r="B93"/>
  <c r="A93"/>
  <c r="E92"/>
  <c r="D92"/>
  <c r="C92"/>
  <c r="B92"/>
  <c r="A92"/>
  <c r="E91"/>
  <c r="D91"/>
  <c r="C91"/>
  <c r="B91"/>
  <c r="A91"/>
  <c r="E90"/>
  <c r="D90"/>
  <c r="C90"/>
  <c r="B90"/>
  <c r="A90"/>
  <c r="E89"/>
  <c r="D89"/>
  <c r="C89"/>
  <c r="B89"/>
  <c r="A89"/>
  <c r="E88"/>
  <c r="D88"/>
  <c r="C88"/>
  <c r="B88"/>
  <c r="A88"/>
  <c r="E87"/>
  <c r="D87"/>
  <c r="C87"/>
  <c r="B87"/>
  <c r="A87"/>
  <c r="E86"/>
  <c r="D86"/>
  <c r="C86"/>
  <c r="B86"/>
  <c r="A86"/>
  <c r="E85"/>
  <c r="D85"/>
  <c r="C85"/>
  <c r="B85"/>
  <c r="A85"/>
  <c r="E84"/>
  <c r="D84"/>
  <c r="C84"/>
  <c r="B84"/>
  <c r="A84"/>
  <c r="E83"/>
  <c r="D83"/>
  <c r="C83"/>
  <c r="B83"/>
  <c r="A83"/>
  <c r="E82"/>
  <c r="D82"/>
  <c r="C82"/>
  <c r="B82"/>
  <c r="A82"/>
  <c r="E81"/>
  <c r="D81"/>
  <c r="C81"/>
  <c r="B81"/>
  <c r="A81"/>
  <c r="E80"/>
  <c r="D80"/>
  <c r="C80"/>
  <c r="B80"/>
  <c r="A80"/>
  <c r="E79"/>
  <c r="D79"/>
  <c r="C79"/>
  <c r="B79"/>
  <c r="A79"/>
  <c r="E78"/>
  <c r="D78"/>
  <c r="C78"/>
  <c r="B78"/>
  <c r="A78"/>
  <c r="E77"/>
  <c r="D77"/>
  <c r="C77"/>
  <c r="B77"/>
  <c r="A77"/>
  <c r="E76"/>
  <c r="D76"/>
  <c r="C76"/>
  <c r="B76"/>
  <c r="A76"/>
  <c r="E75"/>
  <c r="D75"/>
  <c r="C75"/>
  <c r="B75"/>
  <c r="A75"/>
  <c r="E74"/>
  <c r="D74"/>
  <c r="C74"/>
  <c r="B74"/>
  <c r="A74"/>
  <c r="E73"/>
  <c r="D73"/>
  <c r="C73"/>
  <c r="B73"/>
  <c r="A73"/>
  <c r="E72"/>
  <c r="D72"/>
  <c r="C72"/>
  <c r="B72"/>
  <c r="A72"/>
  <c r="E71"/>
  <c r="D71"/>
  <c r="C71"/>
  <c r="B71"/>
  <c r="A71"/>
  <c r="E70"/>
  <c r="D70"/>
  <c r="C70"/>
  <c r="B70"/>
  <c r="A70"/>
  <c r="E69"/>
  <c r="D69"/>
  <c r="C69"/>
  <c r="B69"/>
  <c r="A69"/>
  <c r="E68"/>
  <c r="D68"/>
  <c r="C68"/>
  <c r="B68"/>
  <c r="A68"/>
  <c r="E67"/>
  <c r="D67"/>
  <c r="C67"/>
  <c r="B67"/>
  <c r="A67"/>
  <c r="E66"/>
  <c r="D66"/>
  <c r="C66"/>
  <c r="B66"/>
  <c r="A66"/>
  <c r="E65"/>
  <c r="D65"/>
  <c r="C65"/>
  <c r="B65"/>
  <c r="A65"/>
  <c r="E64"/>
  <c r="D64"/>
  <c r="C64"/>
  <c r="B64"/>
  <c r="A64"/>
  <c r="E63"/>
  <c r="D63"/>
  <c r="C63"/>
  <c r="B63"/>
  <c r="A63"/>
  <c r="E62"/>
  <c r="D62"/>
  <c r="C62"/>
  <c r="B62"/>
  <c r="A62"/>
  <c r="E61"/>
  <c r="D61"/>
  <c r="C61"/>
  <c r="B61"/>
  <c r="A61"/>
  <c r="E60"/>
  <c r="D60"/>
  <c r="C60"/>
  <c r="B60"/>
  <c r="A60"/>
  <c r="E59"/>
  <c r="D59"/>
  <c r="C59"/>
  <c r="B59"/>
  <c r="A59"/>
  <c r="E58"/>
  <c r="D58"/>
  <c r="C58"/>
  <c r="B58"/>
  <c r="A58"/>
  <c r="E57"/>
  <c r="D57"/>
  <c r="C57"/>
  <c r="B57"/>
  <c r="A57"/>
  <c r="E56"/>
  <c r="D56"/>
  <c r="C56"/>
  <c r="B56"/>
  <c r="A56"/>
  <c r="E55"/>
  <c r="D55"/>
  <c r="C55"/>
  <c r="B55"/>
  <c r="A55"/>
  <c r="E54"/>
  <c r="D54"/>
  <c r="C54"/>
  <c r="B54"/>
  <c r="A54"/>
  <c r="E53"/>
  <c r="D53"/>
  <c r="C53"/>
  <c r="B53"/>
  <c r="A53"/>
  <c r="E52"/>
  <c r="D52"/>
  <c r="C52"/>
  <c r="B52"/>
  <c r="A52"/>
  <c r="E51"/>
  <c r="D51"/>
  <c r="C51"/>
  <c r="B51"/>
  <c r="A51"/>
  <c r="E50"/>
  <c r="D50"/>
  <c r="C50"/>
  <c r="B50"/>
  <c r="A50"/>
  <c r="E49"/>
  <c r="D49"/>
  <c r="C49"/>
  <c r="B49"/>
  <c r="A49"/>
  <c r="E48"/>
  <c r="D48"/>
  <c r="C48"/>
  <c r="B48"/>
  <c r="A48"/>
  <c r="E47"/>
  <c r="D47"/>
  <c r="C47"/>
  <c r="B47"/>
  <c r="A47"/>
  <c r="E46"/>
  <c r="D46"/>
  <c r="C46"/>
  <c r="B46"/>
  <c r="A46"/>
  <c r="E45"/>
  <c r="D45"/>
  <c r="C45"/>
  <c r="B45"/>
  <c r="A45"/>
  <c r="E44"/>
  <c r="D44"/>
  <c r="C44"/>
  <c r="B44"/>
  <c r="A44"/>
  <c r="E43"/>
  <c r="D43"/>
  <c r="C43"/>
  <c r="B43"/>
  <c r="A43"/>
  <c r="E42"/>
  <c r="D42"/>
  <c r="C42"/>
  <c r="B42"/>
  <c r="A42"/>
  <c r="E41"/>
  <c r="D41"/>
  <c r="C41"/>
  <c r="B41"/>
  <c r="A41"/>
  <c r="E40"/>
  <c r="D40"/>
  <c r="C40"/>
  <c r="B40"/>
  <c r="A40"/>
  <c r="E39"/>
  <c r="D39"/>
  <c r="C39"/>
  <c r="B39"/>
  <c r="A39"/>
  <c r="E38"/>
  <c r="D38"/>
  <c r="C38"/>
  <c r="B38"/>
  <c r="A38"/>
  <c r="E37"/>
  <c r="D37"/>
  <c r="C37"/>
  <c r="B37"/>
  <c r="A37"/>
  <c r="E36"/>
  <c r="D36"/>
  <c r="C36"/>
  <c r="B36"/>
  <c r="A36"/>
  <c r="E35"/>
  <c r="D35"/>
  <c r="C35"/>
  <c r="B35"/>
  <c r="A35"/>
  <c r="E34"/>
  <c r="D34"/>
  <c r="C34"/>
  <c r="B34"/>
  <c r="A34"/>
  <c r="E33"/>
  <c r="D33"/>
  <c r="C33"/>
  <c r="B33"/>
  <c r="A33"/>
  <c r="E32"/>
  <c r="D32"/>
  <c r="C32"/>
  <c r="B32"/>
  <c r="A32"/>
  <c r="E31"/>
  <c r="D31"/>
  <c r="C31"/>
  <c r="B31"/>
  <c r="A31"/>
  <c r="E30"/>
  <c r="D30"/>
  <c r="C30"/>
  <c r="B30"/>
  <c r="A30"/>
  <c r="E29"/>
  <c r="D29"/>
  <c r="C29"/>
  <c r="B29"/>
  <c r="A29"/>
  <c r="E28"/>
  <c r="D28"/>
  <c r="C28"/>
  <c r="B28"/>
  <c r="A28"/>
  <c r="E27"/>
  <c r="D27"/>
  <c r="C27"/>
  <c r="B27"/>
  <c r="A27"/>
  <c r="E26"/>
  <c r="D26"/>
  <c r="C26"/>
  <c r="B26"/>
  <c r="A26"/>
  <c r="E25"/>
  <c r="D25"/>
  <c r="C25"/>
  <c r="B25"/>
  <c r="A25"/>
  <c r="E24"/>
  <c r="D24"/>
  <c r="C24"/>
  <c r="B24"/>
  <c r="A24"/>
  <c r="E23"/>
  <c r="D23"/>
  <c r="C23"/>
  <c r="B23"/>
  <c r="A23"/>
  <c r="E22"/>
  <c r="D22"/>
  <c r="C22"/>
  <c r="B22"/>
  <c r="A22"/>
  <c r="E21"/>
  <c r="D21"/>
  <c r="C21"/>
  <c r="B21"/>
  <c r="A21"/>
  <c r="E20"/>
  <c r="D20"/>
  <c r="C20"/>
  <c r="B20"/>
  <c r="A20"/>
  <c r="E19"/>
  <c r="D19"/>
  <c r="C19"/>
  <c r="B19"/>
  <c r="A19"/>
  <c r="E18"/>
  <c r="D18"/>
  <c r="C18"/>
  <c r="B18"/>
  <c r="A18"/>
  <c r="E17"/>
  <c r="D17"/>
  <c r="C17"/>
  <c r="B17"/>
  <c r="A17"/>
  <c r="E16"/>
  <c r="D16"/>
  <c r="C16"/>
  <c r="B16"/>
  <c r="A16"/>
  <c r="E15"/>
  <c r="D15"/>
  <c r="C15"/>
  <c r="B15"/>
  <c r="A15"/>
  <c r="E14"/>
  <c r="D14"/>
  <c r="C14"/>
  <c r="B14"/>
  <c r="A14"/>
  <c r="E13"/>
  <c r="D13"/>
  <c r="C13"/>
  <c r="B13"/>
  <c r="A13"/>
  <c r="E12"/>
  <c r="D12"/>
  <c r="C12"/>
  <c r="B12"/>
  <c r="A12"/>
  <c r="E11"/>
  <c r="D11"/>
  <c r="C11"/>
  <c r="B11"/>
  <c r="A11"/>
  <c r="E10"/>
  <c r="D10"/>
  <c r="C10"/>
  <c r="B10"/>
  <c r="A10"/>
  <c r="E9"/>
  <c r="D9"/>
  <c r="C9"/>
  <c r="B9"/>
  <c r="A9"/>
  <c r="E8"/>
  <c r="D8"/>
  <c r="C8"/>
  <c r="B8"/>
  <c r="A8"/>
  <c r="E7"/>
  <c r="D7"/>
  <c r="C7"/>
  <c r="B7"/>
  <c r="A7"/>
  <c r="E6"/>
  <c r="D6"/>
  <c r="C6"/>
  <c r="B6"/>
  <c r="A6"/>
  <c r="E5"/>
  <c r="D5"/>
  <c r="C5"/>
  <c r="B5"/>
  <c r="A5"/>
  <c r="E4"/>
  <c r="D4"/>
  <c r="C4"/>
  <c r="B4"/>
  <c r="A4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A3"/>
  <c r="E2"/>
  <c r="D2"/>
  <c r="C2"/>
  <c r="B2"/>
  <c r="A2"/>
  <c r="A413" i="3"/>
  <c r="B822" l="1"/>
  <c r="D820"/>
  <c r="E396" i="2"/>
  <c r="C398"/>
  <c r="A400"/>
  <c r="D396"/>
  <c r="B398"/>
  <c r="C587" i="3"/>
  <c r="C134" i="2"/>
  <c r="A816" i="3"/>
  <c r="A394" i="2"/>
  <c r="B417" i="3"/>
  <c r="F699"/>
  <c r="F438"/>
  <c r="C840"/>
  <c r="C848"/>
  <c r="C838"/>
  <c r="C842"/>
  <c r="C846"/>
  <c r="C850"/>
  <c r="F813"/>
  <c r="F781"/>
  <c r="F749"/>
  <c r="F717"/>
  <c r="F685"/>
  <c r="F653"/>
  <c r="F621"/>
  <c r="F589"/>
  <c r="F557"/>
  <c r="F818"/>
  <c r="F786"/>
  <c r="F754"/>
  <c r="F722"/>
  <c r="F690"/>
  <c r="F658"/>
  <c r="F626"/>
  <c r="F594"/>
  <c r="F562"/>
  <c r="F464"/>
  <c r="F521"/>
  <c r="F489"/>
  <c r="F449"/>
  <c r="F808"/>
  <c r="F776"/>
  <c r="F744"/>
  <c r="F712"/>
  <c r="F680"/>
  <c r="F648"/>
  <c r="F616"/>
  <c r="F584"/>
  <c r="F552"/>
  <c r="F426"/>
  <c r="F502"/>
  <c r="F470"/>
  <c r="F444"/>
  <c r="F772"/>
  <c r="F644"/>
  <c r="F462"/>
  <c r="F739"/>
  <c r="F611"/>
  <c r="F520"/>
  <c r="F488"/>
  <c r="F431"/>
  <c r="F572"/>
  <c r="F468"/>
  <c r="F747"/>
  <c r="F454"/>
  <c r="F507"/>
  <c r="F524"/>
  <c r="F523"/>
  <c r="F455"/>
  <c r="F789"/>
  <c r="F725"/>
  <c r="F661"/>
  <c r="F597"/>
  <c r="F533"/>
  <c r="F762"/>
  <c r="F698"/>
  <c r="F634"/>
  <c r="F570"/>
  <c r="F529"/>
  <c r="F465"/>
  <c r="F784"/>
  <c r="F720"/>
  <c r="F656"/>
  <c r="F592"/>
  <c r="F442"/>
  <c r="F478"/>
  <c r="F804"/>
  <c r="F548"/>
  <c r="F643"/>
  <c r="F496"/>
  <c r="F636"/>
  <c r="F812"/>
  <c r="F603"/>
  <c r="F652"/>
  <c r="F825"/>
  <c r="F761"/>
  <c r="F697"/>
  <c r="F633"/>
  <c r="F537"/>
  <c r="F766"/>
  <c r="F702"/>
  <c r="F638"/>
  <c r="F574"/>
  <c r="F424"/>
  <c r="F469"/>
  <c r="F791"/>
  <c r="F727"/>
  <c r="F663"/>
  <c r="F599"/>
  <c r="F450"/>
  <c r="F482"/>
  <c r="F820"/>
  <c r="F564"/>
  <c r="F659"/>
  <c r="F503"/>
  <c r="F668"/>
  <c r="F780"/>
  <c r="F797"/>
  <c r="F765"/>
  <c r="F733"/>
  <c r="F701"/>
  <c r="F669"/>
  <c r="F637"/>
  <c r="F573"/>
  <c r="F541"/>
  <c r="F770"/>
  <c r="F706"/>
  <c r="F642"/>
  <c r="F578"/>
  <c r="F432"/>
  <c r="F473"/>
  <c r="F792"/>
  <c r="F728"/>
  <c r="F664"/>
  <c r="F600"/>
  <c r="F458"/>
  <c r="F443"/>
  <c r="F708"/>
  <c r="F580"/>
  <c r="F675"/>
  <c r="F504"/>
  <c r="F700"/>
  <c r="F452"/>
  <c r="F731"/>
  <c r="F635"/>
  <c r="F737"/>
  <c r="F705"/>
  <c r="F641"/>
  <c r="F577"/>
  <c r="F806"/>
  <c r="F742"/>
  <c r="F678"/>
  <c r="F614"/>
  <c r="F550"/>
  <c r="F509"/>
  <c r="F425"/>
  <c r="F735"/>
  <c r="F671"/>
  <c r="F607"/>
  <c r="F543"/>
  <c r="F490"/>
  <c r="F445"/>
  <c r="F596"/>
  <c r="F691"/>
  <c r="F511"/>
  <c r="F732"/>
  <c r="F439"/>
  <c r="F795"/>
  <c r="F763"/>
  <c r="F709"/>
  <c r="F645"/>
  <c r="F549"/>
  <c r="F778"/>
  <c r="F714"/>
  <c r="F650"/>
  <c r="F586"/>
  <c r="F448"/>
  <c r="F481"/>
  <c r="F800"/>
  <c r="F736"/>
  <c r="F672"/>
  <c r="F608"/>
  <c r="F544"/>
  <c r="F494"/>
  <c r="F461"/>
  <c r="F612"/>
  <c r="F707"/>
  <c r="F512"/>
  <c r="F764"/>
  <c r="F437"/>
  <c r="F811"/>
  <c r="F423"/>
  <c r="F809"/>
  <c r="F745"/>
  <c r="F681"/>
  <c r="F617"/>
  <c r="F553"/>
  <c r="F782"/>
  <c r="F718"/>
  <c r="F654"/>
  <c r="F590"/>
  <c r="F456"/>
  <c r="F485"/>
  <c r="F807"/>
  <c r="F743"/>
  <c r="F679"/>
  <c r="F615"/>
  <c r="F551"/>
  <c r="F530"/>
  <c r="F466"/>
  <c r="F756"/>
  <c r="F446"/>
  <c r="F595"/>
  <c r="F487"/>
  <c r="F540"/>
  <c r="F715"/>
  <c r="F475"/>
  <c r="F436"/>
  <c r="F817"/>
  <c r="F785"/>
  <c r="F753"/>
  <c r="F721"/>
  <c r="F689"/>
  <c r="F657"/>
  <c r="F625"/>
  <c r="F593"/>
  <c r="F561"/>
  <c r="F822"/>
  <c r="F790"/>
  <c r="F758"/>
  <c r="F726"/>
  <c r="F694"/>
  <c r="F662"/>
  <c r="F630"/>
  <c r="F598"/>
  <c r="F566"/>
  <c r="F536"/>
  <c r="F525"/>
  <c r="F493"/>
  <c r="F457"/>
  <c r="F815"/>
  <c r="F783"/>
  <c r="F751"/>
  <c r="F719"/>
  <c r="F687"/>
  <c r="F655"/>
  <c r="F623"/>
  <c r="F591"/>
  <c r="F559"/>
  <c r="F434"/>
  <c r="F506"/>
  <c r="F474"/>
  <c r="F460"/>
  <c r="F788"/>
  <c r="F660"/>
  <c r="F535"/>
  <c r="F755"/>
  <c r="F627"/>
  <c r="F527"/>
  <c r="F495"/>
  <c r="F447"/>
  <c r="F604"/>
  <c r="F483"/>
  <c r="F779"/>
  <c r="F532"/>
  <c r="F539"/>
  <c r="F531"/>
  <c r="F421"/>
  <c r="F571"/>
  <c r="F821"/>
  <c r="F757"/>
  <c r="F693"/>
  <c r="F629"/>
  <c r="F565"/>
  <c r="F794"/>
  <c r="F730"/>
  <c r="F666"/>
  <c r="F602"/>
  <c r="F538"/>
  <c r="F497"/>
  <c r="F816"/>
  <c r="F752"/>
  <c r="F688"/>
  <c r="F624"/>
  <c r="F560"/>
  <c r="F510"/>
  <c r="F427"/>
  <c r="F676"/>
  <c r="F771"/>
  <c r="F528"/>
  <c r="F463"/>
  <c r="F484"/>
  <c r="F555"/>
  <c r="F556"/>
  <c r="F476"/>
  <c r="F793"/>
  <c r="F729"/>
  <c r="F665"/>
  <c r="F601"/>
  <c r="F569"/>
  <c r="F798"/>
  <c r="F734"/>
  <c r="F670"/>
  <c r="F606"/>
  <c r="F542"/>
  <c r="F501"/>
  <c r="F823"/>
  <c r="F759"/>
  <c r="F695"/>
  <c r="F631"/>
  <c r="F567"/>
  <c r="F514"/>
  <c r="F435"/>
  <c r="F692"/>
  <c r="F787"/>
  <c r="F534"/>
  <c r="F471"/>
  <c r="F499"/>
  <c r="F587"/>
  <c r="F667"/>
  <c r="F620"/>
  <c r="F491"/>
  <c r="F605"/>
  <c r="F802"/>
  <c r="F738"/>
  <c r="F674"/>
  <c r="F610"/>
  <c r="F546"/>
  <c r="F505"/>
  <c r="F824"/>
  <c r="F760"/>
  <c r="F696"/>
  <c r="F632"/>
  <c r="F568"/>
  <c r="F518"/>
  <c r="F486"/>
  <c r="F429"/>
  <c r="F803"/>
  <c r="F547"/>
  <c r="F472"/>
  <c r="F500"/>
  <c r="F619"/>
  <c r="F684"/>
  <c r="F508"/>
  <c r="F801"/>
  <c r="F769"/>
  <c r="F673"/>
  <c r="F609"/>
  <c r="F545"/>
  <c r="F774"/>
  <c r="F710"/>
  <c r="F646"/>
  <c r="F582"/>
  <c r="F440"/>
  <c r="F477"/>
  <c r="F799"/>
  <c r="F767"/>
  <c r="F703"/>
  <c r="F639"/>
  <c r="F575"/>
  <c r="F522"/>
  <c r="F451"/>
  <c r="F724"/>
  <c r="F819"/>
  <c r="F563"/>
  <c r="F479"/>
  <c r="F515"/>
  <c r="F651"/>
  <c r="F748"/>
  <c r="F588"/>
  <c r="F805"/>
  <c r="F773"/>
  <c r="F741"/>
  <c r="F677"/>
  <c r="F613"/>
  <c r="F581"/>
  <c r="F810"/>
  <c r="F746"/>
  <c r="F682"/>
  <c r="F618"/>
  <c r="F554"/>
  <c r="F513"/>
  <c r="F433"/>
  <c r="F768"/>
  <c r="F704"/>
  <c r="F640"/>
  <c r="F576"/>
  <c r="F526"/>
  <c r="F459"/>
  <c r="F740"/>
  <c r="F430"/>
  <c r="F579"/>
  <c r="F480"/>
  <c r="F516"/>
  <c r="F683"/>
  <c r="F453"/>
  <c r="F716"/>
  <c r="F777"/>
  <c r="F713"/>
  <c r="F649"/>
  <c r="F585"/>
  <c r="F814"/>
  <c r="F750"/>
  <c r="F686"/>
  <c r="F622"/>
  <c r="F558"/>
  <c r="F517"/>
  <c r="F441"/>
  <c r="F775"/>
  <c r="F711"/>
  <c r="F647"/>
  <c r="F583"/>
  <c r="F498"/>
  <c r="F428"/>
  <c r="F628"/>
  <c r="F723"/>
  <c r="F519"/>
  <c r="F796"/>
  <c r="F467"/>
  <c r="F422"/>
  <c r="F492"/>
  <c r="B850" l="1"/>
  <c r="B846"/>
  <c r="B842"/>
  <c r="B838"/>
  <c r="B848"/>
  <c r="B840"/>
  <c r="BJ844" l="1"/>
  <c r="BJ845" s="1"/>
  <c r="BB844"/>
  <c r="BB845" s="1"/>
  <c r="AT844"/>
  <c r="AT845" s="1"/>
  <c r="AL844"/>
  <c r="AL845" s="1"/>
  <c r="AD844"/>
  <c r="AD845" s="1"/>
  <c r="V844"/>
  <c r="V845" s="1"/>
  <c r="N844"/>
  <c r="N845" s="1"/>
  <c r="F844"/>
  <c r="F845" s="1"/>
  <c r="BC844"/>
  <c r="BC845" s="1"/>
  <c r="AU844"/>
  <c r="AU845" s="1"/>
  <c r="AM844"/>
  <c r="AM845" s="1"/>
  <c r="AE844"/>
  <c r="AE845" s="1"/>
  <c r="W844"/>
  <c r="W845" s="1"/>
  <c r="O844"/>
  <c r="O845" s="1"/>
  <c r="G844"/>
  <c r="G845" s="1"/>
  <c r="BD844"/>
  <c r="BD845" s="1"/>
  <c r="AV844"/>
  <c r="AV845" s="1"/>
  <c r="AN844"/>
  <c r="AN845" s="1"/>
  <c r="AF844"/>
  <c r="AF845" s="1"/>
  <c r="X844"/>
  <c r="X845" s="1"/>
  <c r="P844"/>
  <c r="P845" s="1"/>
  <c r="H844"/>
  <c r="H845" s="1"/>
  <c r="BE844"/>
  <c r="BE845" s="1"/>
  <c r="AW844"/>
  <c r="AW845" s="1"/>
  <c r="AO844"/>
  <c r="AO845" s="1"/>
  <c r="AG844"/>
  <c r="AG845" s="1"/>
  <c r="Y844"/>
  <c r="Y845" s="1"/>
  <c r="Q844"/>
  <c r="Q845" s="1"/>
  <c r="I844"/>
  <c r="I845" s="1"/>
  <c r="AX844"/>
  <c r="AX845" s="1"/>
  <c r="AH844"/>
  <c r="AH845" s="1"/>
  <c r="R844"/>
  <c r="R845" s="1"/>
  <c r="B844"/>
  <c r="B845" s="1"/>
  <c r="AY844"/>
  <c r="AY845" s="1"/>
  <c r="AI844"/>
  <c r="AI845" s="1"/>
  <c r="S844"/>
  <c r="S845" s="1"/>
  <c r="C844"/>
  <c r="C845" s="1"/>
  <c r="AZ844"/>
  <c r="AZ845" s="1"/>
  <c r="AJ844"/>
  <c r="AJ845" s="1"/>
  <c r="T844"/>
  <c r="T845" s="1"/>
  <c r="D844"/>
  <c r="D845" s="1"/>
  <c r="BA844"/>
  <c r="BA845" s="1"/>
  <c r="AK844"/>
  <c r="AK845" s="1"/>
  <c r="U844"/>
  <c r="U845" s="1"/>
  <c r="E844"/>
  <c r="E845" s="1"/>
  <c r="AP844"/>
  <c r="AP845" s="1"/>
  <c r="J844"/>
  <c r="J845" s="1"/>
  <c r="AQ844"/>
  <c r="AQ845" s="1"/>
  <c r="K844"/>
  <c r="K845" s="1"/>
  <c r="AR844"/>
  <c r="AR845" s="1"/>
  <c r="L844"/>
  <c r="L845" s="1"/>
  <c r="AS844"/>
  <c r="AS845" s="1"/>
  <c r="M844"/>
  <c r="M845" s="1"/>
  <c r="AA844"/>
  <c r="AA845" s="1"/>
  <c r="AC844"/>
  <c r="AC845" s="1"/>
  <c r="BF844"/>
  <c r="BF845" s="1"/>
  <c r="BH844"/>
  <c r="BH845" s="1"/>
  <c r="BG844"/>
  <c r="BG845" s="1"/>
  <c r="AB844"/>
  <c r="AB845" s="1"/>
  <c r="Z844"/>
  <c r="Z845" s="1"/>
  <c r="BI844"/>
  <c r="BI845" s="1"/>
  <c r="BJ852"/>
  <c r="BJ853" s="1"/>
  <c r="BB852"/>
  <c r="BB853" s="1"/>
  <c r="AT852"/>
  <c r="AT853" s="1"/>
  <c r="AL852"/>
  <c r="AL853" s="1"/>
  <c r="AD852"/>
  <c r="AD853" s="1"/>
  <c r="V852"/>
  <c r="V853" s="1"/>
  <c r="N852"/>
  <c r="N853" s="1"/>
  <c r="F852"/>
  <c r="F853" s="1"/>
  <c r="BC852"/>
  <c r="BC853" s="1"/>
  <c r="AU852"/>
  <c r="AU853" s="1"/>
  <c r="AM852"/>
  <c r="AM853" s="1"/>
  <c r="AE852"/>
  <c r="AE853" s="1"/>
  <c r="W852"/>
  <c r="W853" s="1"/>
  <c r="O852"/>
  <c r="O853" s="1"/>
  <c r="G852"/>
  <c r="G853" s="1"/>
  <c r="BD852"/>
  <c r="BD853" s="1"/>
  <c r="AV852"/>
  <c r="AV853" s="1"/>
  <c r="AN852"/>
  <c r="AN853" s="1"/>
  <c r="AF852"/>
  <c r="AF853" s="1"/>
  <c r="X852"/>
  <c r="X853" s="1"/>
  <c r="P852"/>
  <c r="P853" s="1"/>
  <c r="H852"/>
  <c r="H853" s="1"/>
  <c r="BE852"/>
  <c r="BE853" s="1"/>
  <c r="AW852"/>
  <c r="AW853" s="1"/>
  <c r="AO852"/>
  <c r="AO853" s="1"/>
  <c r="AG852"/>
  <c r="AG853" s="1"/>
  <c r="Y852"/>
  <c r="Y853" s="1"/>
  <c r="Q852"/>
  <c r="Q853" s="1"/>
  <c r="I852"/>
  <c r="I853" s="1"/>
  <c r="AX852"/>
  <c r="AX853" s="1"/>
  <c r="AH852"/>
  <c r="AH853" s="1"/>
  <c r="R852"/>
  <c r="R853" s="1"/>
  <c r="B852"/>
  <c r="B853" s="1"/>
  <c r="AY852"/>
  <c r="AY853" s="1"/>
  <c r="AI852"/>
  <c r="AI853" s="1"/>
  <c r="S852"/>
  <c r="S853" s="1"/>
  <c r="C852"/>
  <c r="C853" s="1"/>
  <c r="AZ852"/>
  <c r="AZ853" s="1"/>
  <c r="AJ852"/>
  <c r="AJ853" s="1"/>
  <c r="T852"/>
  <c r="T853" s="1"/>
  <c r="D852"/>
  <c r="D853" s="1"/>
  <c r="BA852"/>
  <c r="BA853" s="1"/>
  <c r="AK852"/>
  <c r="AK853" s="1"/>
  <c r="U852"/>
  <c r="U853" s="1"/>
  <c r="E852"/>
  <c r="E853" s="1"/>
  <c r="AQ852"/>
  <c r="AQ853" s="1"/>
  <c r="K852"/>
  <c r="K853" s="1"/>
  <c r="AR852"/>
  <c r="AR853" s="1"/>
  <c r="L852"/>
  <c r="L853" s="1"/>
  <c r="AS852"/>
  <c r="AS853" s="1"/>
  <c r="M852"/>
  <c r="M853" s="1"/>
  <c r="BF852"/>
  <c r="BF853" s="1"/>
  <c r="Z852"/>
  <c r="Z853" s="1"/>
  <c r="AB852"/>
  <c r="AB853" s="1"/>
  <c r="AP852"/>
  <c r="AP853" s="1"/>
  <c r="BG852"/>
  <c r="BG853" s="1"/>
  <c r="BI852"/>
  <c r="BI853" s="1"/>
  <c r="AC852"/>
  <c r="AC853" s="1"/>
  <c r="J852"/>
  <c r="J853" s="1"/>
  <c r="AA852"/>
  <c r="AA853" s="1"/>
  <c r="BH852"/>
  <c r="BH853" s="1"/>
  <c r="BO2" l="1"/>
  <c r="G2"/>
  <c r="AY2"/>
  <c r="DG2"/>
  <c r="DC2"/>
  <c r="AU2"/>
  <c r="BB2"/>
  <c r="DJ2"/>
  <c r="DF2"/>
  <c r="AX2"/>
  <c r="BW2"/>
  <c r="O2"/>
  <c r="AB2"/>
  <c r="CJ2"/>
  <c r="AW2"/>
  <c r="DE2"/>
  <c r="DD2"/>
  <c r="AV2"/>
  <c r="T2"/>
  <c r="CB2"/>
  <c r="AA2"/>
  <c r="CI2"/>
  <c r="DT2"/>
  <c r="BL2"/>
  <c r="BX2"/>
  <c r="P2"/>
  <c r="BP2"/>
  <c r="H2"/>
  <c r="BN2"/>
  <c r="F2"/>
  <c r="L2"/>
  <c r="BT2"/>
  <c r="S2"/>
  <c r="CA2"/>
  <c r="Z2"/>
  <c r="CH2"/>
  <c r="AG2"/>
  <c r="CO2"/>
  <c r="CL2"/>
  <c r="AD2"/>
  <c r="DA2"/>
  <c r="AS2"/>
  <c r="DK2"/>
  <c r="BC2"/>
  <c r="DI2"/>
  <c r="BA2"/>
  <c r="K2"/>
  <c r="BS2"/>
  <c r="R2"/>
  <c r="BZ2"/>
  <c r="Y2"/>
  <c r="CG2"/>
  <c r="BV2"/>
  <c r="N2"/>
  <c r="DN2"/>
  <c r="BF2"/>
  <c r="DL2"/>
  <c r="BD2"/>
  <c r="AQ2"/>
  <c r="CY2"/>
  <c r="CV2"/>
  <c r="AN2"/>
  <c r="AI2"/>
  <c r="CQ2"/>
  <c r="CF2"/>
  <c r="X2"/>
  <c r="AO2"/>
  <c r="CW2"/>
  <c r="CN2"/>
  <c r="AF2"/>
  <c r="BU2"/>
  <c r="M2"/>
  <c r="CU2"/>
  <c r="AM2"/>
  <c r="CS2"/>
  <c r="AK2"/>
  <c r="BH2"/>
  <c r="DP2"/>
  <c r="BR2"/>
  <c r="J2"/>
  <c r="Q2"/>
  <c r="BY2"/>
  <c r="DS2"/>
  <c r="BK2"/>
  <c r="AR2"/>
  <c r="CZ2"/>
  <c r="BM2"/>
  <c r="DU2"/>
  <c r="DR2"/>
  <c r="BJ2"/>
  <c r="AJ2"/>
  <c r="CR2"/>
  <c r="BE2"/>
  <c r="DM2"/>
  <c r="CM2"/>
  <c r="AE2"/>
  <c r="CT2"/>
  <c r="AL2"/>
  <c r="CX2"/>
  <c r="AP2"/>
  <c r="CK2"/>
  <c r="AC2"/>
  <c r="CD2"/>
  <c r="V2"/>
  <c r="CP2"/>
  <c r="AH2"/>
  <c r="DQ2"/>
  <c r="BI2"/>
  <c r="AT2"/>
  <c r="DB2"/>
  <c r="CE2"/>
  <c r="W2"/>
  <c r="CC2"/>
  <c r="U2"/>
  <c r="AZ2"/>
  <c r="DH2"/>
  <c r="BG2"/>
  <c r="DO2"/>
  <c r="I2"/>
  <c r="BQ2"/>
  <c r="BL78"/>
  <c r="BL43"/>
  <c r="BL51"/>
  <c r="BL71"/>
  <c r="BL115"/>
  <c r="BL72"/>
  <c r="BL291"/>
  <c r="BL31"/>
  <c r="BL123"/>
  <c r="BL108"/>
  <c r="BL107"/>
  <c r="BL283"/>
  <c r="BL134"/>
  <c r="BL29"/>
  <c r="BL135"/>
  <c r="BL21"/>
  <c r="BL23"/>
  <c r="BL59"/>
  <c r="BL136"/>
  <c r="BL142"/>
  <c r="BL250"/>
  <c r="BL67"/>
  <c r="BL258"/>
  <c r="BL8"/>
  <c r="BL16"/>
  <c r="BL44"/>
  <c r="BL70"/>
  <c r="BL131"/>
  <c r="BL10"/>
  <c r="BL18"/>
  <c r="BL38"/>
  <c r="BL79"/>
  <c r="BL143"/>
  <c r="BL182"/>
  <c r="BL229"/>
  <c r="BL5"/>
  <c r="BL26"/>
  <c r="BL34"/>
  <c r="BL80"/>
  <c r="BL144"/>
  <c r="BL11"/>
  <c r="BL19"/>
  <c r="BL39"/>
  <c r="BL95"/>
  <c r="BL161"/>
  <c r="BL13"/>
  <c r="BL28"/>
  <c r="BL87"/>
  <c r="BL6"/>
  <c r="BL14"/>
  <c r="BL24"/>
  <c r="BL32"/>
  <c r="BL60"/>
  <c r="BL88"/>
  <c r="BL96"/>
  <c r="BL124"/>
  <c r="BL153"/>
  <c r="BL156"/>
  <c r="BL9"/>
  <c r="BL17"/>
  <c r="BL27"/>
  <c r="BL35"/>
  <c r="BL37"/>
  <c r="BL41"/>
  <c r="BL49"/>
  <c r="BL53"/>
  <c r="BL61"/>
  <c r="BL89"/>
  <c r="BL97"/>
  <c r="BL105"/>
  <c r="BL113"/>
  <c r="BL117"/>
  <c r="BL125"/>
  <c r="BL170"/>
  <c r="BL233"/>
  <c r="BL284"/>
  <c r="BL349"/>
  <c r="BL12"/>
  <c r="BL22"/>
  <c r="BL30"/>
  <c r="BL40"/>
  <c r="BL54"/>
  <c r="BL62"/>
  <c r="BL90"/>
  <c r="BL98"/>
  <c r="BL118"/>
  <c r="BL126"/>
  <c r="BL172"/>
  <c r="BL178"/>
  <c r="BL299"/>
  <c r="BL7"/>
  <c r="BL15"/>
  <c r="BL25"/>
  <c r="BL33"/>
  <c r="BL42"/>
  <c r="BL50"/>
  <c r="BL69"/>
  <c r="BL77"/>
  <c r="BL106"/>
  <c r="BL114"/>
  <c r="BL133"/>
  <c r="BL141"/>
  <c r="BL47"/>
  <c r="BL57"/>
  <c r="BL65"/>
  <c r="BL75"/>
  <c r="BL83"/>
  <c r="BL85"/>
  <c r="BL93"/>
  <c r="BL103"/>
  <c r="BL111"/>
  <c r="BL121"/>
  <c r="BL129"/>
  <c r="BL139"/>
  <c r="BL147"/>
  <c r="BL149"/>
  <c r="BL171"/>
  <c r="BL179"/>
  <c r="BL184"/>
  <c r="BL189"/>
  <c r="BL298"/>
  <c r="BL45"/>
  <c r="BL55"/>
  <c r="BL63"/>
  <c r="BL73"/>
  <c r="BL81"/>
  <c r="BL91"/>
  <c r="BL99"/>
  <c r="BL101"/>
  <c r="BL109"/>
  <c r="BL119"/>
  <c r="BL127"/>
  <c r="BL137"/>
  <c r="BL145"/>
  <c r="BL197"/>
  <c r="BL200"/>
  <c r="BL205"/>
  <c r="BL208"/>
  <c r="BL224"/>
  <c r="BL232"/>
  <c r="BL48"/>
  <c r="BL58"/>
  <c r="BL66"/>
  <c r="BL76"/>
  <c r="BL86"/>
  <c r="BL94"/>
  <c r="BL104"/>
  <c r="BL112"/>
  <c r="BL122"/>
  <c r="BL130"/>
  <c r="BL140"/>
  <c r="BL151"/>
  <c r="BL160"/>
  <c r="BL166"/>
  <c r="BL174"/>
  <c r="BL215"/>
  <c r="BL220"/>
  <c r="BL46"/>
  <c r="BL56"/>
  <c r="BL64"/>
  <c r="BL74"/>
  <c r="BL82"/>
  <c r="BL92"/>
  <c r="BL102"/>
  <c r="BL110"/>
  <c r="BL120"/>
  <c r="BL128"/>
  <c r="BL138"/>
  <c r="BL146"/>
  <c r="BL152"/>
  <c r="BL154"/>
  <c r="BL162"/>
  <c r="BL181"/>
  <c r="BL191"/>
  <c r="BL159"/>
  <c r="BL169"/>
  <c r="BL177"/>
  <c r="BL195"/>
  <c r="BL202"/>
  <c r="BL210"/>
  <c r="BL217"/>
  <c r="BL307"/>
  <c r="BL157"/>
  <c r="BL167"/>
  <c r="BL175"/>
  <c r="BL185"/>
  <c r="BL187"/>
  <c r="BL190"/>
  <c r="BL218"/>
  <c r="BL331"/>
  <c r="BL155"/>
  <c r="BL163"/>
  <c r="BL165"/>
  <c r="BL173"/>
  <c r="BL183"/>
  <c r="BL188"/>
  <c r="BL192"/>
  <c r="BL234"/>
  <c r="BL240"/>
  <c r="BL241"/>
  <c r="BL249"/>
  <c r="BL257"/>
  <c r="BL150"/>
  <c r="BL158"/>
  <c r="BL168"/>
  <c r="BL176"/>
  <c r="BL186"/>
  <c r="BL199"/>
  <c r="BL207"/>
  <c r="BL242"/>
  <c r="BL332"/>
  <c r="BL193"/>
  <c r="BL203"/>
  <c r="BL211"/>
  <c r="BL213"/>
  <c r="BL221"/>
  <c r="BL227"/>
  <c r="BL251"/>
  <c r="BL198"/>
  <c r="BL206"/>
  <c r="BL216"/>
  <c r="BL252"/>
  <c r="BL259"/>
  <c r="BL270"/>
  <c r="BL271"/>
  <c r="BL201"/>
  <c r="BL209"/>
  <c r="BL219"/>
  <c r="BL231"/>
  <c r="BL239"/>
  <c r="BL262"/>
  <c r="BL263"/>
  <c r="BL194"/>
  <c r="BL204"/>
  <c r="BL214"/>
  <c r="BL222"/>
  <c r="BL223"/>
  <c r="BL318"/>
  <c r="BL398"/>
  <c r="BL237"/>
  <c r="BL247"/>
  <c r="BL255"/>
  <c r="BL225"/>
  <c r="BL235"/>
  <c r="BL243"/>
  <c r="BL245"/>
  <c r="BL253"/>
  <c r="BL265"/>
  <c r="BL273"/>
  <c r="BL280"/>
  <c r="BL288"/>
  <c r="BL293"/>
  <c r="BL301"/>
  <c r="BL230"/>
  <c r="BL238"/>
  <c r="BL248"/>
  <c r="BL256"/>
  <c r="BL266"/>
  <c r="BL274"/>
  <c r="BL281"/>
  <c r="BL289"/>
  <c r="BL294"/>
  <c r="BL302"/>
  <c r="BL320"/>
  <c r="BL373"/>
  <c r="BL393"/>
  <c r="BL226"/>
  <c r="BL236"/>
  <c r="BL246"/>
  <c r="BL254"/>
  <c r="BL351"/>
  <c r="BL268"/>
  <c r="BL278"/>
  <c r="BL286"/>
  <c r="BL296"/>
  <c r="BL304"/>
  <c r="BL312"/>
  <c r="BL325"/>
  <c r="BL333"/>
  <c r="BL341"/>
  <c r="BL261"/>
  <c r="BL269"/>
  <c r="BL279"/>
  <c r="BL287"/>
  <c r="BL297"/>
  <c r="BL305"/>
  <c r="BL313"/>
  <c r="BL321"/>
  <c r="BL336"/>
  <c r="BL360"/>
  <c r="BL264"/>
  <c r="BL272"/>
  <c r="BL282"/>
  <c r="BL290"/>
  <c r="BL300"/>
  <c r="BL314"/>
  <c r="BL322"/>
  <c r="BL330"/>
  <c r="BL267"/>
  <c r="BL275"/>
  <c r="BL277"/>
  <c r="BL285"/>
  <c r="BL295"/>
  <c r="BL303"/>
  <c r="BL310"/>
  <c r="BL315"/>
  <c r="BL323"/>
  <c r="BL366"/>
  <c r="BL328"/>
  <c r="BL338"/>
  <c r="BL306"/>
  <c r="BL316"/>
  <c r="BL326"/>
  <c r="BL334"/>
  <c r="BL348"/>
  <c r="BL353"/>
  <c r="BL369"/>
  <c r="BL311"/>
  <c r="BL319"/>
  <c r="BL329"/>
  <c r="BL339"/>
  <c r="BL342"/>
  <c r="BL309"/>
  <c r="BL317"/>
  <c r="BL327"/>
  <c r="BL335"/>
  <c r="BL343"/>
  <c r="BL350"/>
  <c r="BL399"/>
  <c r="BL346"/>
  <c r="BL361"/>
  <c r="BL377"/>
  <c r="BL386"/>
  <c r="BL344"/>
  <c r="BL337"/>
  <c r="BL347"/>
  <c r="BL354"/>
  <c r="BL358"/>
  <c r="BL363"/>
  <c r="BL375"/>
  <c r="BL395"/>
  <c r="BL345"/>
  <c r="BL364"/>
  <c r="BL370"/>
  <c r="BL359"/>
  <c r="BL367"/>
  <c r="BL390"/>
  <c r="BL401"/>
  <c r="BL352"/>
  <c r="BL362"/>
  <c r="BL378"/>
  <c r="BL380"/>
  <c r="BL396"/>
  <c r="BL355"/>
  <c r="BL357"/>
  <c r="BL365"/>
  <c r="BL391"/>
  <c r="BL381"/>
  <c r="BL383"/>
  <c r="BL385"/>
  <c r="BL403"/>
  <c r="BL368"/>
  <c r="BL374"/>
  <c r="BL382"/>
  <c r="BL394"/>
  <c r="BL402"/>
  <c r="BL371"/>
  <c r="BL379"/>
  <c r="BL387"/>
  <c r="BL389"/>
  <c r="BL397"/>
  <c r="BL376"/>
  <c r="BL384"/>
  <c r="BL392"/>
  <c r="BL400"/>
  <c r="AD30"/>
  <c r="AD115"/>
  <c r="AD56"/>
  <c r="AD44"/>
  <c r="AD109"/>
  <c r="AD184"/>
  <c r="AD120"/>
  <c r="AD110"/>
  <c r="AD182"/>
  <c r="AD28"/>
  <c r="AD41"/>
  <c r="AD51"/>
  <c r="AD102"/>
  <c r="AD13"/>
  <c r="AD101"/>
  <c r="AD10"/>
  <c r="AD219"/>
  <c r="AD326"/>
  <c r="AD22"/>
  <c r="AD45"/>
  <c r="AD46"/>
  <c r="AD43"/>
  <c r="AD64"/>
  <c r="AD71"/>
  <c r="AD108"/>
  <c r="AD6"/>
  <c r="AD107"/>
  <c r="AD128"/>
  <c r="AD135"/>
  <c r="AD5"/>
  <c r="AD15"/>
  <c r="AD162"/>
  <c r="AD23"/>
  <c r="AD31"/>
  <c r="AD283"/>
  <c r="AD291"/>
  <c r="AD7"/>
  <c r="AD25"/>
  <c r="AD33"/>
  <c r="AD79"/>
  <c r="AD143"/>
  <c r="AD18"/>
  <c r="AD38"/>
  <c r="AD92"/>
  <c r="AD243"/>
  <c r="AD12"/>
  <c r="AD40"/>
  <c r="AD8"/>
  <c r="AD16"/>
  <c r="AD26"/>
  <c r="AD34"/>
  <c r="AD72"/>
  <c r="AD73"/>
  <c r="AD80"/>
  <c r="AD81"/>
  <c r="AD136"/>
  <c r="AD137"/>
  <c r="AD144"/>
  <c r="AD145"/>
  <c r="AD154"/>
  <c r="AD158"/>
  <c r="AD163"/>
  <c r="AD303"/>
  <c r="AD11"/>
  <c r="AD19"/>
  <c r="AD21"/>
  <c r="AD29"/>
  <c r="AD39"/>
  <c r="AD74"/>
  <c r="AD82"/>
  <c r="AD138"/>
  <c r="AD146"/>
  <c r="AD155"/>
  <c r="AD166"/>
  <c r="AD14"/>
  <c r="AD24"/>
  <c r="AD32"/>
  <c r="AD53"/>
  <c r="AD61"/>
  <c r="AD89"/>
  <c r="AD97"/>
  <c r="AD117"/>
  <c r="AD125"/>
  <c r="AD150"/>
  <c r="AD174"/>
  <c r="AD214"/>
  <c r="AD222"/>
  <c r="AD9"/>
  <c r="AD17"/>
  <c r="AD27"/>
  <c r="AD35"/>
  <c r="AD37"/>
  <c r="AD54"/>
  <c r="AD55"/>
  <c r="AD62"/>
  <c r="AD63"/>
  <c r="AD90"/>
  <c r="AD91"/>
  <c r="AD98"/>
  <c r="AD99"/>
  <c r="AD118"/>
  <c r="AD119"/>
  <c r="AD126"/>
  <c r="AD127"/>
  <c r="AD242"/>
  <c r="AD334"/>
  <c r="AD49"/>
  <c r="AD59"/>
  <c r="AD67"/>
  <c r="AD69"/>
  <c r="AD77"/>
  <c r="AD87"/>
  <c r="AD95"/>
  <c r="AD105"/>
  <c r="AD113"/>
  <c r="AD123"/>
  <c r="AD131"/>
  <c r="AD133"/>
  <c r="AD141"/>
  <c r="AD156"/>
  <c r="AD183"/>
  <c r="AD286"/>
  <c r="AD47"/>
  <c r="AD57"/>
  <c r="AD65"/>
  <c r="AD75"/>
  <c r="AD83"/>
  <c r="AD85"/>
  <c r="AD93"/>
  <c r="AD103"/>
  <c r="AD111"/>
  <c r="AD121"/>
  <c r="AD129"/>
  <c r="AD139"/>
  <c r="AD147"/>
  <c r="AD149"/>
  <c r="AD172"/>
  <c r="AD186"/>
  <c r="AD204"/>
  <c r="AD226"/>
  <c r="AD42"/>
  <c r="AD50"/>
  <c r="AD60"/>
  <c r="AD70"/>
  <c r="AD78"/>
  <c r="AD88"/>
  <c r="AD96"/>
  <c r="AD106"/>
  <c r="AD114"/>
  <c r="AD124"/>
  <c r="AD134"/>
  <c r="AD142"/>
  <c r="AD165"/>
  <c r="AD173"/>
  <c r="AD199"/>
  <c r="AD207"/>
  <c r="AD48"/>
  <c r="AD58"/>
  <c r="AD66"/>
  <c r="AD76"/>
  <c r="AD86"/>
  <c r="AD94"/>
  <c r="AD104"/>
  <c r="AD112"/>
  <c r="AD122"/>
  <c r="AD130"/>
  <c r="AD140"/>
  <c r="AD168"/>
  <c r="AD176"/>
  <c r="AD357"/>
  <c r="AD153"/>
  <c r="AD161"/>
  <c r="AD171"/>
  <c r="AD179"/>
  <c r="AD181"/>
  <c r="AD189"/>
  <c r="AD191"/>
  <c r="AD201"/>
  <c r="AD209"/>
  <c r="AD262"/>
  <c r="AD151"/>
  <c r="AD159"/>
  <c r="AD169"/>
  <c r="AD177"/>
  <c r="AD190"/>
  <c r="AD192"/>
  <c r="AD193"/>
  <c r="AD202"/>
  <c r="AD210"/>
  <c r="AD217"/>
  <c r="AD278"/>
  <c r="AD157"/>
  <c r="AD167"/>
  <c r="AD175"/>
  <c r="AD185"/>
  <c r="AD194"/>
  <c r="AD233"/>
  <c r="AD295"/>
  <c r="AD300"/>
  <c r="AD152"/>
  <c r="AD160"/>
  <c r="AD170"/>
  <c r="AD178"/>
  <c r="AD187"/>
  <c r="AD220"/>
  <c r="AD231"/>
  <c r="AD234"/>
  <c r="AD235"/>
  <c r="AD241"/>
  <c r="AD325"/>
  <c r="AD327"/>
  <c r="AD195"/>
  <c r="AD197"/>
  <c r="AD205"/>
  <c r="AD215"/>
  <c r="AD223"/>
  <c r="AD236"/>
  <c r="AD333"/>
  <c r="AD200"/>
  <c r="AD208"/>
  <c r="AD218"/>
  <c r="AD251"/>
  <c r="AD259"/>
  <c r="AD275"/>
  <c r="AD203"/>
  <c r="AD211"/>
  <c r="AD213"/>
  <c r="AD221"/>
  <c r="AD224"/>
  <c r="AD225"/>
  <c r="AD245"/>
  <c r="AD252"/>
  <c r="AD253"/>
  <c r="AD267"/>
  <c r="AD272"/>
  <c r="AD343"/>
  <c r="AD188"/>
  <c r="AD198"/>
  <c r="AD206"/>
  <c r="AD216"/>
  <c r="AD246"/>
  <c r="AD254"/>
  <c r="AD264"/>
  <c r="AD360"/>
  <c r="AD239"/>
  <c r="AD249"/>
  <c r="AD257"/>
  <c r="AD277"/>
  <c r="AD285"/>
  <c r="AD312"/>
  <c r="AD335"/>
  <c r="AD227"/>
  <c r="AD229"/>
  <c r="AD237"/>
  <c r="AD247"/>
  <c r="AD255"/>
  <c r="AD306"/>
  <c r="AD314"/>
  <c r="AD350"/>
  <c r="AD351"/>
  <c r="AD232"/>
  <c r="AD240"/>
  <c r="AD250"/>
  <c r="AD258"/>
  <c r="AD265"/>
  <c r="AD273"/>
  <c r="AD293"/>
  <c r="AD301"/>
  <c r="AD307"/>
  <c r="AD309"/>
  <c r="AD323"/>
  <c r="AD230"/>
  <c r="AD238"/>
  <c r="AD248"/>
  <c r="AD256"/>
  <c r="AD268"/>
  <c r="AD282"/>
  <c r="AD290"/>
  <c r="AD296"/>
  <c r="AD304"/>
  <c r="AD270"/>
  <c r="AD280"/>
  <c r="AD288"/>
  <c r="AD298"/>
  <c r="AD332"/>
  <c r="AD355"/>
  <c r="AD263"/>
  <c r="AD271"/>
  <c r="AD281"/>
  <c r="AD289"/>
  <c r="AD299"/>
  <c r="AD315"/>
  <c r="AD316"/>
  <c r="AD266"/>
  <c r="AD274"/>
  <c r="AD284"/>
  <c r="AD294"/>
  <c r="AD302"/>
  <c r="AD362"/>
  <c r="AD373"/>
  <c r="AD261"/>
  <c r="AD269"/>
  <c r="AD279"/>
  <c r="AD287"/>
  <c r="AD297"/>
  <c r="AD305"/>
  <c r="AD317"/>
  <c r="AD322"/>
  <c r="AD342"/>
  <c r="AD358"/>
  <c r="AD320"/>
  <c r="AD330"/>
  <c r="AD397"/>
  <c r="AD310"/>
  <c r="AD318"/>
  <c r="AD328"/>
  <c r="AD336"/>
  <c r="AD338"/>
  <c r="AD313"/>
  <c r="AD321"/>
  <c r="AD331"/>
  <c r="AD344"/>
  <c r="AD390"/>
  <c r="AD311"/>
  <c r="AD319"/>
  <c r="AD329"/>
  <c r="AD345"/>
  <c r="AD363"/>
  <c r="AD348"/>
  <c r="AD378"/>
  <c r="AD387"/>
  <c r="AD401"/>
  <c r="AD346"/>
  <c r="AD369"/>
  <c r="AD400"/>
  <c r="AD339"/>
  <c r="AD341"/>
  <c r="AD349"/>
  <c r="AD353"/>
  <c r="AD365"/>
  <c r="AD376"/>
  <c r="AD337"/>
  <c r="AD347"/>
  <c r="AD352"/>
  <c r="AD366"/>
  <c r="AD375"/>
  <c r="AD395"/>
  <c r="AD361"/>
  <c r="AD392"/>
  <c r="AD354"/>
  <c r="AD364"/>
  <c r="AD371"/>
  <c r="AD379"/>
  <c r="AD381"/>
  <c r="AD383"/>
  <c r="AD403"/>
  <c r="AD359"/>
  <c r="AD367"/>
  <c r="AD393"/>
  <c r="AD398"/>
  <c r="AD368"/>
  <c r="AD384"/>
  <c r="AD386"/>
  <c r="AD389"/>
  <c r="AD370"/>
  <c r="AD380"/>
  <c r="AD396"/>
  <c r="AD377"/>
  <c r="AD385"/>
  <c r="AD391"/>
  <c r="AD399"/>
  <c r="AD374"/>
  <c r="AD382"/>
  <c r="AD394"/>
  <c r="AD402"/>
  <c r="BF42"/>
  <c r="BF193"/>
  <c r="BF19"/>
  <c r="BF85"/>
  <c r="BF6"/>
  <c r="BF69"/>
  <c r="BF149"/>
  <c r="BF14"/>
  <c r="BF10"/>
  <c r="BF11"/>
  <c r="BF65"/>
  <c r="BF105"/>
  <c r="BF106"/>
  <c r="BF21"/>
  <c r="BF39"/>
  <c r="BF41"/>
  <c r="BF129"/>
  <c r="BF133"/>
  <c r="BF29"/>
  <c r="BF49"/>
  <c r="BF57"/>
  <c r="BF151"/>
  <c r="BF27"/>
  <c r="BF50"/>
  <c r="BF113"/>
  <c r="BF121"/>
  <c r="BF336"/>
  <c r="BF35"/>
  <c r="BF114"/>
  <c r="BF8"/>
  <c r="BF16"/>
  <c r="BF76"/>
  <c r="BF77"/>
  <c r="BF140"/>
  <c r="BF141"/>
  <c r="BF24"/>
  <c r="BF32"/>
  <c r="BF182"/>
  <c r="BF186"/>
  <c r="BF329"/>
  <c r="BF9"/>
  <c r="BF17"/>
  <c r="BF26"/>
  <c r="BF34"/>
  <c r="BF37"/>
  <c r="BF93"/>
  <c r="BF239"/>
  <c r="BF289"/>
  <c r="BF12"/>
  <c r="BF22"/>
  <c r="BF30"/>
  <c r="BF40"/>
  <c r="BF58"/>
  <c r="BF66"/>
  <c r="BF70"/>
  <c r="BF78"/>
  <c r="BF86"/>
  <c r="BF94"/>
  <c r="BF122"/>
  <c r="BF130"/>
  <c r="BF134"/>
  <c r="BF142"/>
  <c r="BF7"/>
  <c r="BF15"/>
  <c r="BF25"/>
  <c r="BF33"/>
  <c r="BF47"/>
  <c r="BF59"/>
  <c r="BF67"/>
  <c r="BF87"/>
  <c r="BF95"/>
  <c r="BF103"/>
  <c r="BF111"/>
  <c r="BF123"/>
  <c r="BF131"/>
  <c r="BF159"/>
  <c r="BF160"/>
  <c r="BF187"/>
  <c r="BF240"/>
  <c r="BF18"/>
  <c r="BF28"/>
  <c r="BF38"/>
  <c r="BF168"/>
  <c r="BF287"/>
  <c r="BF5"/>
  <c r="BF13"/>
  <c r="BF23"/>
  <c r="BF31"/>
  <c r="BF48"/>
  <c r="BF60"/>
  <c r="BF75"/>
  <c r="BF83"/>
  <c r="BF88"/>
  <c r="BF96"/>
  <c r="BF104"/>
  <c r="BF112"/>
  <c r="BF124"/>
  <c r="BF139"/>
  <c r="BF147"/>
  <c r="BF152"/>
  <c r="BF172"/>
  <c r="BF176"/>
  <c r="BF238"/>
  <c r="BF45"/>
  <c r="BF55"/>
  <c r="BF63"/>
  <c r="BF73"/>
  <c r="BF81"/>
  <c r="BF91"/>
  <c r="BF99"/>
  <c r="BF101"/>
  <c r="BF109"/>
  <c r="BF119"/>
  <c r="BF127"/>
  <c r="BF137"/>
  <c r="BF145"/>
  <c r="BF154"/>
  <c r="BF162"/>
  <c r="BF169"/>
  <c r="BF177"/>
  <c r="BF261"/>
  <c r="BF279"/>
  <c r="BF304"/>
  <c r="BF43"/>
  <c r="BF51"/>
  <c r="BF53"/>
  <c r="BF61"/>
  <c r="BF71"/>
  <c r="BF79"/>
  <c r="BF89"/>
  <c r="BF97"/>
  <c r="BF107"/>
  <c r="BF115"/>
  <c r="BF117"/>
  <c r="BF125"/>
  <c r="BF135"/>
  <c r="BF143"/>
  <c r="BF170"/>
  <c r="BF178"/>
  <c r="BF188"/>
  <c r="BF255"/>
  <c r="BF256"/>
  <c r="BF46"/>
  <c r="BF56"/>
  <c r="BF64"/>
  <c r="BF74"/>
  <c r="BF82"/>
  <c r="BF92"/>
  <c r="BF102"/>
  <c r="BF110"/>
  <c r="BF120"/>
  <c r="BF128"/>
  <c r="BF138"/>
  <c r="BF146"/>
  <c r="BF158"/>
  <c r="BF189"/>
  <c r="BF200"/>
  <c r="BF208"/>
  <c r="BF232"/>
  <c r="BF44"/>
  <c r="BF54"/>
  <c r="BF62"/>
  <c r="BF72"/>
  <c r="BF80"/>
  <c r="BF90"/>
  <c r="BF98"/>
  <c r="BF108"/>
  <c r="BF118"/>
  <c r="BF126"/>
  <c r="BF136"/>
  <c r="BF144"/>
  <c r="BF150"/>
  <c r="BF213"/>
  <c r="BF216"/>
  <c r="BF221"/>
  <c r="BF247"/>
  <c r="BF248"/>
  <c r="BF157"/>
  <c r="BF167"/>
  <c r="BF175"/>
  <c r="BF185"/>
  <c r="BF198"/>
  <c r="BF206"/>
  <c r="BF215"/>
  <c r="BF296"/>
  <c r="BF155"/>
  <c r="BF163"/>
  <c r="BF165"/>
  <c r="BF173"/>
  <c r="BF183"/>
  <c r="BF195"/>
  <c r="BF264"/>
  <c r="BF153"/>
  <c r="BF161"/>
  <c r="BF171"/>
  <c r="BF179"/>
  <c r="BF181"/>
  <c r="BF203"/>
  <c r="BF211"/>
  <c r="BF218"/>
  <c r="BF229"/>
  <c r="BF281"/>
  <c r="BF156"/>
  <c r="BF166"/>
  <c r="BF174"/>
  <c r="BF184"/>
  <c r="BF190"/>
  <c r="BF197"/>
  <c r="BF205"/>
  <c r="BF231"/>
  <c r="BF191"/>
  <c r="BF201"/>
  <c r="BF209"/>
  <c r="BF219"/>
  <c r="BF249"/>
  <c r="BF257"/>
  <c r="BF300"/>
  <c r="BF313"/>
  <c r="BF321"/>
  <c r="BF194"/>
  <c r="BF204"/>
  <c r="BF214"/>
  <c r="BF222"/>
  <c r="BF225"/>
  <c r="BF316"/>
  <c r="BF385"/>
  <c r="BF199"/>
  <c r="BF207"/>
  <c r="BF217"/>
  <c r="BF230"/>
  <c r="BF237"/>
  <c r="BF250"/>
  <c r="BF258"/>
  <c r="BF268"/>
  <c r="BF319"/>
  <c r="BF192"/>
  <c r="BF202"/>
  <c r="BF210"/>
  <c r="BF220"/>
  <c r="BF227"/>
  <c r="BF272"/>
  <c r="BF306"/>
  <c r="BF235"/>
  <c r="BF243"/>
  <c r="BF245"/>
  <c r="BF253"/>
  <c r="BF269"/>
  <c r="BF282"/>
  <c r="BF290"/>
  <c r="BF297"/>
  <c r="BF305"/>
  <c r="BF330"/>
  <c r="BF331"/>
  <c r="BF223"/>
  <c r="BF233"/>
  <c r="BF241"/>
  <c r="BF251"/>
  <c r="BF259"/>
  <c r="BF263"/>
  <c r="BF271"/>
  <c r="BF278"/>
  <c r="BF286"/>
  <c r="BF299"/>
  <c r="BF347"/>
  <c r="BF226"/>
  <c r="BF236"/>
  <c r="BF246"/>
  <c r="BF254"/>
  <c r="BF224"/>
  <c r="BF234"/>
  <c r="BF242"/>
  <c r="BF252"/>
  <c r="BF339"/>
  <c r="BF266"/>
  <c r="BF274"/>
  <c r="BF284"/>
  <c r="BF294"/>
  <c r="BF302"/>
  <c r="BF310"/>
  <c r="BF358"/>
  <c r="BF362"/>
  <c r="BF397"/>
  <c r="BF267"/>
  <c r="BF275"/>
  <c r="BF277"/>
  <c r="BF285"/>
  <c r="BF295"/>
  <c r="BF303"/>
  <c r="BF311"/>
  <c r="BF349"/>
  <c r="BF262"/>
  <c r="BF270"/>
  <c r="BF280"/>
  <c r="BF288"/>
  <c r="BF298"/>
  <c r="BF312"/>
  <c r="BF318"/>
  <c r="BF320"/>
  <c r="BF328"/>
  <c r="BF265"/>
  <c r="BF273"/>
  <c r="BF283"/>
  <c r="BF291"/>
  <c r="BF293"/>
  <c r="BF301"/>
  <c r="BF402"/>
  <c r="BF326"/>
  <c r="BF334"/>
  <c r="BF342"/>
  <c r="BF354"/>
  <c r="BF314"/>
  <c r="BF322"/>
  <c r="BF332"/>
  <c r="BF344"/>
  <c r="BF346"/>
  <c r="BF359"/>
  <c r="BF307"/>
  <c r="BF309"/>
  <c r="BF317"/>
  <c r="BF327"/>
  <c r="BF335"/>
  <c r="BF337"/>
  <c r="BF391"/>
  <c r="BF315"/>
  <c r="BF323"/>
  <c r="BF325"/>
  <c r="BF333"/>
  <c r="BF338"/>
  <c r="BF341"/>
  <c r="BF348"/>
  <c r="BF383"/>
  <c r="BF393"/>
  <c r="BF364"/>
  <c r="BF367"/>
  <c r="BF368"/>
  <c r="BF371"/>
  <c r="BF382"/>
  <c r="BF387"/>
  <c r="BF396"/>
  <c r="BF350"/>
  <c r="BF366"/>
  <c r="BF380"/>
  <c r="BF345"/>
  <c r="BF361"/>
  <c r="BF343"/>
  <c r="BF351"/>
  <c r="BF352"/>
  <c r="BF355"/>
  <c r="BF357"/>
  <c r="BF365"/>
  <c r="BF374"/>
  <c r="BF360"/>
  <c r="BF379"/>
  <c r="BF399"/>
  <c r="BF353"/>
  <c r="BF363"/>
  <c r="BF370"/>
  <c r="BF375"/>
  <c r="BF377"/>
  <c r="BF394"/>
  <c r="BF389"/>
  <c r="BF401"/>
  <c r="BF376"/>
  <c r="BF384"/>
  <c r="BF392"/>
  <c r="BF400"/>
  <c r="BF369"/>
  <c r="BF373"/>
  <c r="BF381"/>
  <c r="BF395"/>
  <c r="BF403"/>
  <c r="BF378"/>
  <c r="BF386"/>
  <c r="BF390"/>
  <c r="BF398"/>
  <c r="M7"/>
  <c r="M165"/>
  <c r="M9"/>
  <c r="M12"/>
  <c r="M15"/>
  <c r="M177"/>
  <c r="M30"/>
  <c r="M209"/>
  <c r="M28"/>
  <c r="M160"/>
  <c r="M190"/>
  <c r="M40"/>
  <c r="M161"/>
  <c r="M77"/>
  <c r="M78"/>
  <c r="M86"/>
  <c r="M169"/>
  <c r="M22"/>
  <c r="M94"/>
  <c r="M141"/>
  <c r="M142"/>
  <c r="M17"/>
  <c r="M37"/>
  <c r="M66"/>
  <c r="M130"/>
  <c r="M10"/>
  <c r="M42"/>
  <c r="M50"/>
  <c r="M58"/>
  <c r="M106"/>
  <c r="M114"/>
  <c r="M122"/>
  <c r="M153"/>
  <c r="M214"/>
  <c r="M222"/>
  <c r="M25"/>
  <c r="M33"/>
  <c r="M43"/>
  <c r="M51"/>
  <c r="M69"/>
  <c r="M70"/>
  <c r="M107"/>
  <c r="M115"/>
  <c r="M133"/>
  <c r="M134"/>
  <c r="M173"/>
  <c r="M18"/>
  <c r="M27"/>
  <c r="M35"/>
  <c r="M38"/>
  <c r="M307"/>
  <c r="M5"/>
  <c r="M13"/>
  <c r="M23"/>
  <c r="M31"/>
  <c r="M41"/>
  <c r="M59"/>
  <c r="M67"/>
  <c r="M71"/>
  <c r="M79"/>
  <c r="M87"/>
  <c r="M95"/>
  <c r="M123"/>
  <c r="M131"/>
  <c r="M135"/>
  <c r="M143"/>
  <c r="M150"/>
  <c r="M152"/>
  <c r="M201"/>
  <c r="M8"/>
  <c r="M16"/>
  <c r="M26"/>
  <c r="M34"/>
  <c r="M48"/>
  <c r="M60"/>
  <c r="M88"/>
  <c r="M96"/>
  <c r="M104"/>
  <c r="M112"/>
  <c r="M124"/>
  <c r="M239"/>
  <c r="M273"/>
  <c r="M11"/>
  <c r="M19"/>
  <c r="M21"/>
  <c r="M29"/>
  <c r="M39"/>
  <c r="M181"/>
  <c r="M183"/>
  <c r="M217"/>
  <c r="M6"/>
  <c r="M14"/>
  <c r="M24"/>
  <c r="M32"/>
  <c r="M49"/>
  <c r="M53"/>
  <c r="M61"/>
  <c r="M76"/>
  <c r="M89"/>
  <c r="M97"/>
  <c r="M105"/>
  <c r="M113"/>
  <c r="M117"/>
  <c r="M125"/>
  <c r="M140"/>
  <c r="M256"/>
  <c r="M46"/>
  <c r="M56"/>
  <c r="M64"/>
  <c r="M74"/>
  <c r="M82"/>
  <c r="M92"/>
  <c r="M102"/>
  <c r="M110"/>
  <c r="M120"/>
  <c r="M128"/>
  <c r="M138"/>
  <c r="M146"/>
  <c r="M155"/>
  <c r="M163"/>
  <c r="M170"/>
  <c r="M178"/>
  <c r="M194"/>
  <c r="M233"/>
  <c r="M44"/>
  <c r="M54"/>
  <c r="M62"/>
  <c r="M72"/>
  <c r="M80"/>
  <c r="M90"/>
  <c r="M98"/>
  <c r="M108"/>
  <c r="M118"/>
  <c r="M126"/>
  <c r="M136"/>
  <c r="M144"/>
  <c r="M171"/>
  <c r="M179"/>
  <c r="M248"/>
  <c r="M47"/>
  <c r="M57"/>
  <c r="M65"/>
  <c r="M75"/>
  <c r="M83"/>
  <c r="M85"/>
  <c r="M93"/>
  <c r="M103"/>
  <c r="M111"/>
  <c r="M121"/>
  <c r="M129"/>
  <c r="M139"/>
  <c r="M147"/>
  <c r="M149"/>
  <c r="M151"/>
  <c r="M159"/>
  <c r="M240"/>
  <c r="M45"/>
  <c r="M55"/>
  <c r="M63"/>
  <c r="M73"/>
  <c r="M81"/>
  <c r="M91"/>
  <c r="M99"/>
  <c r="M101"/>
  <c r="M109"/>
  <c r="M119"/>
  <c r="M127"/>
  <c r="M137"/>
  <c r="M145"/>
  <c r="M191"/>
  <c r="M158"/>
  <c r="M168"/>
  <c r="M176"/>
  <c r="M186"/>
  <c r="M199"/>
  <c r="M207"/>
  <c r="M216"/>
  <c r="M232"/>
  <c r="M265"/>
  <c r="M156"/>
  <c r="M166"/>
  <c r="M174"/>
  <c r="M184"/>
  <c r="M188"/>
  <c r="M241"/>
  <c r="M249"/>
  <c r="M257"/>
  <c r="M269"/>
  <c r="M154"/>
  <c r="M162"/>
  <c r="M172"/>
  <c r="M182"/>
  <c r="M187"/>
  <c r="M204"/>
  <c r="M219"/>
  <c r="M261"/>
  <c r="M350"/>
  <c r="M157"/>
  <c r="M167"/>
  <c r="M175"/>
  <c r="M185"/>
  <c r="M189"/>
  <c r="M198"/>
  <c r="M206"/>
  <c r="M226"/>
  <c r="M230"/>
  <c r="M293"/>
  <c r="M192"/>
  <c r="M202"/>
  <c r="M210"/>
  <c r="M220"/>
  <c r="M231"/>
  <c r="M250"/>
  <c r="M258"/>
  <c r="M280"/>
  <c r="M282"/>
  <c r="M195"/>
  <c r="M197"/>
  <c r="M205"/>
  <c r="M215"/>
  <c r="M223"/>
  <c r="M262"/>
  <c r="M288"/>
  <c r="M290"/>
  <c r="M305"/>
  <c r="M319"/>
  <c r="M386"/>
  <c r="M200"/>
  <c r="M208"/>
  <c r="M218"/>
  <c r="M238"/>
  <c r="M251"/>
  <c r="M259"/>
  <c r="M297"/>
  <c r="M312"/>
  <c r="M193"/>
  <c r="M203"/>
  <c r="M211"/>
  <c r="M213"/>
  <c r="M221"/>
  <c r="M301"/>
  <c r="M236"/>
  <c r="M246"/>
  <c r="M254"/>
  <c r="M270"/>
  <c r="M283"/>
  <c r="M291"/>
  <c r="M298"/>
  <c r="M311"/>
  <c r="M322"/>
  <c r="M224"/>
  <c r="M234"/>
  <c r="M242"/>
  <c r="M252"/>
  <c r="M264"/>
  <c r="M272"/>
  <c r="M279"/>
  <c r="M287"/>
  <c r="M300"/>
  <c r="M338"/>
  <c r="M381"/>
  <c r="M227"/>
  <c r="M229"/>
  <c r="M237"/>
  <c r="M247"/>
  <c r="M255"/>
  <c r="M313"/>
  <c r="M330"/>
  <c r="M331"/>
  <c r="M332"/>
  <c r="M389"/>
  <c r="M225"/>
  <c r="M235"/>
  <c r="M243"/>
  <c r="M245"/>
  <c r="M253"/>
  <c r="M337"/>
  <c r="M384"/>
  <c r="M267"/>
  <c r="M275"/>
  <c r="M277"/>
  <c r="M285"/>
  <c r="M295"/>
  <c r="M303"/>
  <c r="M317"/>
  <c r="M339"/>
  <c r="M268"/>
  <c r="M278"/>
  <c r="M286"/>
  <c r="M296"/>
  <c r="M304"/>
  <c r="M306"/>
  <c r="M341"/>
  <c r="M263"/>
  <c r="M271"/>
  <c r="M281"/>
  <c r="M289"/>
  <c r="M299"/>
  <c r="M309"/>
  <c r="M314"/>
  <c r="M321"/>
  <c r="M329"/>
  <c r="M342"/>
  <c r="M343"/>
  <c r="M266"/>
  <c r="M274"/>
  <c r="M284"/>
  <c r="M294"/>
  <c r="M302"/>
  <c r="M320"/>
  <c r="M348"/>
  <c r="M359"/>
  <c r="M382"/>
  <c r="M327"/>
  <c r="M335"/>
  <c r="M345"/>
  <c r="M315"/>
  <c r="M323"/>
  <c r="M325"/>
  <c r="M333"/>
  <c r="M347"/>
  <c r="M363"/>
  <c r="M365"/>
  <c r="M310"/>
  <c r="M318"/>
  <c r="M328"/>
  <c r="M336"/>
  <c r="M355"/>
  <c r="M371"/>
  <c r="M400"/>
  <c r="M316"/>
  <c r="M326"/>
  <c r="M334"/>
  <c r="M349"/>
  <c r="M360"/>
  <c r="M362"/>
  <c r="M353"/>
  <c r="M367"/>
  <c r="M398"/>
  <c r="M351"/>
  <c r="M357"/>
  <c r="M379"/>
  <c r="M346"/>
  <c r="M344"/>
  <c r="M352"/>
  <c r="M394"/>
  <c r="M403"/>
  <c r="M358"/>
  <c r="M366"/>
  <c r="M368"/>
  <c r="M373"/>
  <c r="M387"/>
  <c r="M395"/>
  <c r="M361"/>
  <c r="M390"/>
  <c r="M402"/>
  <c r="M354"/>
  <c r="M364"/>
  <c r="M376"/>
  <c r="M378"/>
  <c r="M397"/>
  <c r="M369"/>
  <c r="M374"/>
  <c r="M392"/>
  <c r="M375"/>
  <c r="M383"/>
  <c r="M393"/>
  <c r="M401"/>
  <c r="M370"/>
  <c r="M380"/>
  <c r="M396"/>
  <c r="M377"/>
  <c r="M385"/>
  <c r="M391"/>
  <c r="M399"/>
  <c r="J29"/>
  <c r="J35"/>
  <c r="J272"/>
  <c r="J168"/>
  <c r="J21"/>
  <c r="J140"/>
  <c r="J151"/>
  <c r="J221"/>
  <c r="J8"/>
  <c r="J93"/>
  <c r="J213"/>
  <c r="J141"/>
  <c r="J27"/>
  <c r="J172"/>
  <c r="J6"/>
  <c r="J11"/>
  <c r="J14"/>
  <c r="J19"/>
  <c r="J39"/>
  <c r="J76"/>
  <c r="J77"/>
  <c r="J16"/>
  <c r="J85"/>
  <c r="J149"/>
  <c r="J159"/>
  <c r="J160"/>
  <c r="J176"/>
  <c r="J330"/>
  <c r="J9"/>
  <c r="J65"/>
  <c r="J129"/>
  <c r="J240"/>
  <c r="J10"/>
  <c r="J24"/>
  <c r="J32"/>
  <c r="J49"/>
  <c r="J57"/>
  <c r="J105"/>
  <c r="J113"/>
  <c r="J121"/>
  <c r="J17"/>
  <c r="J26"/>
  <c r="J34"/>
  <c r="J37"/>
  <c r="J42"/>
  <c r="J50"/>
  <c r="J69"/>
  <c r="J106"/>
  <c r="J114"/>
  <c r="J133"/>
  <c r="J208"/>
  <c r="J12"/>
  <c r="J22"/>
  <c r="J30"/>
  <c r="J40"/>
  <c r="J58"/>
  <c r="J66"/>
  <c r="J70"/>
  <c r="J78"/>
  <c r="J86"/>
  <c r="J94"/>
  <c r="J122"/>
  <c r="J130"/>
  <c r="J134"/>
  <c r="J142"/>
  <c r="J7"/>
  <c r="J15"/>
  <c r="J25"/>
  <c r="J33"/>
  <c r="J47"/>
  <c r="J59"/>
  <c r="J67"/>
  <c r="J87"/>
  <c r="J95"/>
  <c r="J103"/>
  <c r="J111"/>
  <c r="J123"/>
  <c r="J131"/>
  <c r="J18"/>
  <c r="J28"/>
  <c r="J38"/>
  <c r="J152"/>
  <c r="J200"/>
  <c r="J5"/>
  <c r="J13"/>
  <c r="J23"/>
  <c r="J31"/>
  <c r="J41"/>
  <c r="J48"/>
  <c r="J60"/>
  <c r="J75"/>
  <c r="J83"/>
  <c r="J88"/>
  <c r="J96"/>
  <c r="J104"/>
  <c r="J112"/>
  <c r="J124"/>
  <c r="J139"/>
  <c r="J147"/>
  <c r="J182"/>
  <c r="J186"/>
  <c r="J216"/>
  <c r="J45"/>
  <c r="J55"/>
  <c r="J63"/>
  <c r="J73"/>
  <c r="J81"/>
  <c r="J91"/>
  <c r="J99"/>
  <c r="J101"/>
  <c r="J109"/>
  <c r="J119"/>
  <c r="J127"/>
  <c r="J137"/>
  <c r="J145"/>
  <c r="J154"/>
  <c r="J162"/>
  <c r="J169"/>
  <c r="J177"/>
  <c r="J225"/>
  <c r="J256"/>
  <c r="J43"/>
  <c r="J51"/>
  <c r="J53"/>
  <c r="J61"/>
  <c r="J71"/>
  <c r="J79"/>
  <c r="J89"/>
  <c r="J97"/>
  <c r="J107"/>
  <c r="J115"/>
  <c r="J117"/>
  <c r="J125"/>
  <c r="J135"/>
  <c r="J143"/>
  <c r="J170"/>
  <c r="J178"/>
  <c r="J46"/>
  <c r="J56"/>
  <c r="J64"/>
  <c r="J74"/>
  <c r="J82"/>
  <c r="J92"/>
  <c r="J102"/>
  <c r="J110"/>
  <c r="J120"/>
  <c r="J128"/>
  <c r="J138"/>
  <c r="J146"/>
  <c r="J150"/>
  <c r="J158"/>
  <c r="J248"/>
  <c r="J44"/>
  <c r="J54"/>
  <c r="J62"/>
  <c r="J72"/>
  <c r="J80"/>
  <c r="J90"/>
  <c r="J98"/>
  <c r="J108"/>
  <c r="J118"/>
  <c r="J126"/>
  <c r="J136"/>
  <c r="J144"/>
  <c r="J187"/>
  <c r="J189"/>
  <c r="J190"/>
  <c r="J193"/>
  <c r="J157"/>
  <c r="J167"/>
  <c r="J175"/>
  <c r="J185"/>
  <c r="J198"/>
  <c r="J206"/>
  <c r="J215"/>
  <c r="J223"/>
  <c r="J155"/>
  <c r="J163"/>
  <c r="J165"/>
  <c r="J173"/>
  <c r="J183"/>
  <c r="J195"/>
  <c r="J229"/>
  <c r="J232"/>
  <c r="J238"/>
  <c r="J239"/>
  <c r="J247"/>
  <c r="J255"/>
  <c r="J362"/>
  <c r="J153"/>
  <c r="J161"/>
  <c r="J171"/>
  <c r="J179"/>
  <c r="J181"/>
  <c r="J203"/>
  <c r="J211"/>
  <c r="J218"/>
  <c r="J268"/>
  <c r="J156"/>
  <c r="J166"/>
  <c r="J174"/>
  <c r="J184"/>
  <c r="J188"/>
  <c r="J197"/>
  <c r="J205"/>
  <c r="J261"/>
  <c r="J300"/>
  <c r="J331"/>
  <c r="J347"/>
  <c r="J191"/>
  <c r="J201"/>
  <c r="J209"/>
  <c r="J219"/>
  <c r="J230"/>
  <c r="J249"/>
  <c r="J257"/>
  <c r="J264"/>
  <c r="J320"/>
  <c r="J194"/>
  <c r="J204"/>
  <c r="J214"/>
  <c r="J222"/>
  <c r="J227"/>
  <c r="J231"/>
  <c r="J279"/>
  <c r="J281"/>
  <c r="J199"/>
  <c r="J207"/>
  <c r="J217"/>
  <c r="J237"/>
  <c r="J250"/>
  <c r="J258"/>
  <c r="J287"/>
  <c r="J289"/>
  <c r="J304"/>
  <c r="J349"/>
  <c r="J192"/>
  <c r="J202"/>
  <c r="J210"/>
  <c r="J220"/>
  <c r="J296"/>
  <c r="J312"/>
  <c r="J235"/>
  <c r="J243"/>
  <c r="J245"/>
  <c r="J253"/>
  <c r="J269"/>
  <c r="J282"/>
  <c r="J290"/>
  <c r="J297"/>
  <c r="J305"/>
  <c r="J318"/>
  <c r="J321"/>
  <c r="J233"/>
  <c r="J241"/>
  <c r="J251"/>
  <c r="J259"/>
  <c r="J263"/>
  <c r="J271"/>
  <c r="J278"/>
  <c r="J286"/>
  <c r="J299"/>
  <c r="J306"/>
  <c r="J311"/>
  <c r="J361"/>
  <c r="J374"/>
  <c r="J226"/>
  <c r="J236"/>
  <c r="J246"/>
  <c r="J254"/>
  <c r="J329"/>
  <c r="J224"/>
  <c r="J234"/>
  <c r="J242"/>
  <c r="J252"/>
  <c r="J310"/>
  <c r="J359"/>
  <c r="J266"/>
  <c r="J274"/>
  <c r="J284"/>
  <c r="J294"/>
  <c r="J302"/>
  <c r="J316"/>
  <c r="J337"/>
  <c r="J338"/>
  <c r="J267"/>
  <c r="J275"/>
  <c r="J277"/>
  <c r="J285"/>
  <c r="J295"/>
  <c r="J303"/>
  <c r="J364"/>
  <c r="J262"/>
  <c r="J270"/>
  <c r="J280"/>
  <c r="J288"/>
  <c r="J298"/>
  <c r="J313"/>
  <c r="J328"/>
  <c r="J336"/>
  <c r="J341"/>
  <c r="J265"/>
  <c r="J273"/>
  <c r="J283"/>
  <c r="J291"/>
  <c r="J293"/>
  <c r="J301"/>
  <c r="J319"/>
  <c r="J342"/>
  <c r="J354"/>
  <c r="J326"/>
  <c r="J334"/>
  <c r="J344"/>
  <c r="J370"/>
  <c r="J314"/>
  <c r="J322"/>
  <c r="J332"/>
  <c r="J346"/>
  <c r="J307"/>
  <c r="J309"/>
  <c r="J317"/>
  <c r="J327"/>
  <c r="J335"/>
  <c r="J339"/>
  <c r="J358"/>
  <c r="J315"/>
  <c r="J323"/>
  <c r="J325"/>
  <c r="J333"/>
  <c r="J348"/>
  <c r="J352"/>
  <c r="J366"/>
  <c r="J350"/>
  <c r="J368"/>
  <c r="J385"/>
  <c r="J393"/>
  <c r="J402"/>
  <c r="J345"/>
  <c r="J367"/>
  <c r="J343"/>
  <c r="J351"/>
  <c r="J379"/>
  <c r="J383"/>
  <c r="J397"/>
  <c r="J399"/>
  <c r="J355"/>
  <c r="J357"/>
  <c r="J365"/>
  <c r="J375"/>
  <c r="J377"/>
  <c r="J394"/>
  <c r="J360"/>
  <c r="J371"/>
  <c r="J389"/>
  <c r="J401"/>
  <c r="J353"/>
  <c r="J363"/>
  <c r="J380"/>
  <c r="J382"/>
  <c r="J396"/>
  <c r="J387"/>
  <c r="J391"/>
  <c r="J376"/>
  <c r="J384"/>
  <c r="J392"/>
  <c r="J400"/>
  <c r="J369"/>
  <c r="J373"/>
  <c r="J381"/>
  <c r="J395"/>
  <c r="J403"/>
  <c r="J378"/>
  <c r="J386"/>
  <c r="J390"/>
  <c r="J398"/>
  <c r="AE131"/>
  <c r="AE123"/>
  <c r="AE67"/>
  <c r="AE195"/>
  <c r="AE28"/>
  <c r="AE31"/>
  <c r="AE47"/>
  <c r="AE69"/>
  <c r="AE16"/>
  <c r="AE41"/>
  <c r="AE23"/>
  <c r="AE133"/>
  <c r="AE121"/>
  <c r="AE46"/>
  <c r="AE10"/>
  <c r="AE87"/>
  <c r="AE110"/>
  <c r="AE111"/>
  <c r="AE186"/>
  <c r="AE77"/>
  <c r="AE5"/>
  <c r="AE15"/>
  <c r="AE58"/>
  <c r="AE141"/>
  <c r="AE181"/>
  <c r="AE285"/>
  <c r="AE13"/>
  <c r="AE57"/>
  <c r="AE59"/>
  <c r="AE102"/>
  <c r="AE103"/>
  <c r="AE122"/>
  <c r="AE185"/>
  <c r="AE7"/>
  <c r="AE25"/>
  <c r="AE33"/>
  <c r="AE18"/>
  <c r="AE38"/>
  <c r="AE93"/>
  <c r="AE94"/>
  <c r="AE8"/>
  <c r="AE26"/>
  <c r="AE34"/>
  <c r="AE85"/>
  <c r="AE86"/>
  <c r="AE149"/>
  <c r="AE217"/>
  <c r="AE9"/>
  <c r="AE65"/>
  <c r="AE66"/>
  <c r="AE95"/>
  <c r="AE129"/>
  <c r="AE130"/>
  <c r="AE11"/>
  <c r="AE19"/>
  <c r="AE21"/>
  <c r="AE29"/>
  <c r="AE39"/>
  <c r="AE48"/>
  <c r="AE74"/>
  <c r="AE82"/>
  <c r="AE104"/>
  <c r="AE112"/>
  <c r="AE138"/>
  <c r="AE146"/>
  <c r="AE168"/>
  <c r="AE169"/>
  <c r="AE345"/>
  <c r="AE6"/>
  <c r="AE14"/>
  <c r="AE24"/>
  <c r="AE32"/>
  <c r="AE75"/>
  <c r="AE83"/>
  <c r="AE139"/>
  <c r="AE147"/>
  <c r="AE167"/>
  <c r="AE176"/>
  <c r="AE177"/>
  <c r="AE215"/>
  <c r="AE223"/>
  <c r="AE320"/>
  <c r="AE335"/>
  <c r="AE17"/>
  <c r="AE27"/>
  <c r="AE35"/>
  <c r="AE37"/>
  <c r="AE49"/>
  <c r="AE76"/>
  <c r="AE105"/>
  <c r="AE113"/>
  <c r="AE140"/>
  <c r="AE171"/>
  <c r="AE175"/>
  <c r="AE12"/>
  <c r="AE22"/>
  <c r="AE30"/>
  <c r="AE40"/>
  <c r="AE56"/>
  <c r="AE64"/>
  <c r="AE92"/>
  <c r="AE120"/>
  <c r="AE128"/>
  <c r="AE179"/>
  <c r="AE227"/>
  <c r="AE319"/>
  <c r="AE44"/>
  <c r="AE54"/>
  <c r="AE62"/>
  <c r="AE72"/>
  <c r="AE80"/>
  <c r="AE90"/>
  <c r="AE98"/>
  <c r="AE108"/>
  <c r="AE118"/>
  <c r="AE126"/>
  <c r="AE136"/>
  <c r="AE144"/>
  <c r="AE151"/>
  <c r="AE157"/>
  <c r="AE158"/>
  <c r="AE281"/>
  <c r="AE42"/>
  <c r="AE50"/>
  <c r="AE60"/>
  <c r="AE70"/>
  <c r="AE78"/>
  <c r="AE88"/>
  <c r="AE96"/>
  <c r="AE106"/>
  <c r="AE114"/>
  <c r="AE124"/>
  <c r="AE134"/>
  <c r="AE142"/>
  <c r="AE159"/>
  <c r="AE194"/>
  <c r="AE199"/>
  <c r="AE202"/>
  <c r="AE207"/>
  <c r="AE210"/>
  <c r="AE296"/>
  <c r="AE45"/>
  <c r="AE55"/>
  <c r="AE63"/>
  <c r="AE73"/>
  <c r="AE81"/>
  <c r="AE91"/>
  <c r="AE99"/>
  <c r="AE101"/>
  <c r="AE109"/>
  <c r="AE119"/>
  <c r="AE127"/>
  <c r="AE137"/>
  <c r="AE145"/>
  <c r="AE192"/>
  <c r="AE43"/>
  <c r="AE51"/>
  <c r="AE53"/>
  <c r="AE61"/>
  <c r="AE71"/>
  <c r="AE79"/>
  <c r="AE89"/>
  <c r="AE97"/>
  <c r="AE107"/>
  <c r="AE115"/>
  <c r="AE117"/>
  <c r="AE125"/>
  <c r="AE135"/>
  <c r="AE143"/>
  <c r="AE150"/>
  <c r="AE153"/>
  <c r="AE161"/>
  <c r="AE189"/>
  <c r="AE156"/>
  <c r="AE166"/>
  <c r="AE174"/>
  <c r="AE184"/>
  <c r="AE154"/>
  <c r="AE162"/>
  <c r="AE172"/>
  <c r="AE182"/>
  <c r="AE204"/>
  <c r="AE289"/>
  <c r="AE304"/>
  <c r="AE152"/>
  <c r="AE160"/>
  <c r="AE170"/>
  <c r="AE178"/>
  <c r="AE187"/>
  <c r="AE197"/>
  <c r="AE205"/>
  <c r="AE220"/>
  <c r="AE231"/>
  <c r="AE248"/>
  <c r="AE256"/>
  <c r="AE298"/>
  <c r="AE155"/>
  <c r="AE163"/>
  <c r="AE165"/>
  <c r="AE173"/>
  <c r="AE183"/>
  <c r="AE188"/>
  <c r="AE214"/>
  <c r="AE222"/>
  <c r="AE236"/>
  <c r="AE249"/>
  <c r="AE257"/>
  <c r="AE190"/>
  <c r="AE200"/>
  <c r="AE208"/>
  <c r="AE218"/>
  <c r="AE237"/>
  <c r="AE315"/>
  <c r="AE318"/>
  <c r="AE369"/>
  <c r="AE193"/>
  <c r="AE203"/>
  <c r="AE211"/>
  <c r="AE213"/>
  <c r="AE221"/>
  <c r="AE224"/>
  <c r="AE229"/>
  <c r="AE238"/>
  <c r="AE268"/>
  <c r="AE198"/>
  <c r="AE206"/>
  <c r="AE216"/>
  <c r="AE230"/>
  <c r="AE246"/>
  <c r="AE254"/>
  <c r="AE270"/>
  <c r="AE191"/>
  <c r="AE201"/>
  <c r="AE209"/>
  <c r="AE219"/>
  <c r="AE226"/>
  <c r="AE239"/>
  <c r="AE247"/>
  <c r="AE255"/>
  <c r="AE277"/>
  <c r="AE327"/>
  <c r="AE328"/>
  <c r="AE352"/>
  <c r="AE234"/>
  <c r="AE242"/>
  <c r="AE252"/>
  <c r="AE262"/>
  <c r="AE263"/>
  <c r="AE271"/>
  <c r="AE278"/>
  <c r="AE286"/>
  <c r="AE299"/>
  <c r="AE310"/>
  <c r="AE336"/>
  <c r="AE232"/>
  <c r="AE240"/>
  <c r="AE250"/>
  <c r="AE258"/>
  <c r="AE339"/>
  <c r="AE225"/>
  <c r="AE235"/>
  <c r="AE243"/>
  <c r="AE245"/>
  <c r="AE253"/>
  <c r="AE267"/>
  <c r="AE275"/>
  <c r="AE280"/>
  <c r="AE288"/>
  <c r="AE295"/>
  <c r="AE303"/>
  <c r="AE233"/>
  <c r="AE241"/>
  <c r="AE251"/>
  <c r="AE259"/>
  <c r="AE347"/>
  <c r="AE265"/>
  <c r="AE273"/>
  <c r="AE283"/>
  <c r="AE291"/>
  <c r="AE293"/>
  <c r="AE301"/>
  <c r="AE307"/>
  <c r="AE309"/>
  <c r="AE337"/>
  <c r="AE338"/>
  <c r="AE266"/>
  <c r="AE274"/>
  <c r="AE284"/>
  <c r="AE294"/>
  <c r="AE302"/>
  <c r="AE311"/>
  <c r="AE329"/>
  <c r="AE378"/>
  <c r="AE380"/>
  <c r="AE261"/>
  <c r="AE269"/>
  <c r="AE279"/>
  <c r="AE287"/>
  <c r="AE297"/>
  <c r="AE305"/>
  <c r="AE317"/>
  <c r="AE375"/>
  <c r="AE264"/>
  <c r="AE272"/>
  <c r="AE282"/>
  <c r="AE290"/>
  <c r="AE300"/>
  <c r="AE312"/>
  <c r="AE330"/>
  <c r="AE343"/>
  <c r="AE323"/>
  <c r="AE325"/>
  <c r="AE333"/>
  <c r="AE346"/>
  <c r="AE357"/>
  <c r="AE366"/>
  <c r="AE313"/>
  <c r="AE321"/>
  <c r="AE331"/>
  <c r="AE341"/>
  <c r="AE306"/>
  <c r="AE316"/>
  <c r="AE326"/>
  <c r="AE334"/>
  <c r="AE348"/>
  <c r="AE395"/>
  <c r="AE314"/>
  <c r="AE322"/>
  <c r="AE332"/>
  <c r="AE392"/>
  <c r="AE401"/>
  <c r="AE351"/>
  <c r="AE355"/>
  <c r="AE358"/>
  <c r="AE363"/>
  <c r="AE373"/>
  <c r="AE390"/>
  <c r="AE349"/>
  <c r="AE353"/>
  <c r="AE365"/>
  <c r="AE370"/>
  <c r="AE376"/>
  <c r="AE396"/>
  <c r="AE344"/>
  <c r="AE360"/>
  <c r="AE342"/>
  <c r="AE350"/>
  <c r="AE361"/>
  <c r="AE354"/>
  <c r="AE364"/>
  <c r="AE371"/>
  <c r="AE381"/>
  <c r="AE383"/>
  <c r="AE403"/>
  <c r="AE359"/>
  <c r="AE367"/>
  <c r="AE393"/>
  <c r="AE398"/>
  <c r="AE362"/>
  <c r="AE384"/>
  <c r="AE386"/>
  <c r="AE400"/>
  <c r="AE377"/>
  <c r="AE385"/>
  <c r="AE391"/>
  <c r="AE399"/>
  <c r="AE368"/>
  <c r="AE374"/>
  <c r="AE382"/>
  <c r="AE394"/>
  <c r="AE402"/>
  <c r="AE379"/>
  <c r="AE387"/>
  <c r="AE389"/>
  <c r="AE397"/>
  <c r="V90"/>
  <c r="V176"/>
  <c r="V23"/>
  <c r="V5"/>
  <c r="V6"/>
  <c r="V7"/>
  <c r="V183"/>
  <c r="V219"/>
  <c r="V18"/>
  <c r="V89"/>
  <c r="V97"/>
  <c r="V38"/>
  <c r="V40"/>
  <c r="V98"/>
  <c r="V192"/>
  <c r="V12"/>
  <c r="V99"/>
  <c r="V91"/>
  <c r="V204"/>
  <c r="V25"/>
  <c r="V31"/>
  <c r="V236"/>
  <c r="V33"/>
  <c r="V63"/>
  <c r="V72"/>
  <c r="V73"/>
  <c r="V127"/>
  <c r="V136"/>
  <c r="V137"/>
  <c r="V173"/>
  <c r="V210"/>
  <c r="V13"/>
  <c r="V28"/>
  <c r="V41"/>
  <c r="V55"/>
  <c r="V61"/>
  <c r="V62"/>
  <c r="V74"/>
  <c r="V119"/>
  <c r="V125"/>
  <c r="V126"/>
  <c r="V138"/>
  <c r="V172"/>
  <c r="V193"/>
  <c r="V202"/>
  <c r="V220"/>
  <c r="V15"/>
  <c r="V22"/>
  <c r="V30"/>
  <c r="V53"/>
  <c r="V54"/>
  <c r="V80"/>
  <c r="V81"/>
  <c r="V117"/>
  <c r="V118"/>
  <c r="V144"/>
  <c r="V145"/>
  <c r="V252"/>
  <c r="V10"/>
  <c r="V82"/>
  <c r="V146"/>
  <c r="V246"/>
  <c r="V254"/>
  <c r="V8"/>
  <c r="V16"/>
  <c r="V26"/>
  <c r="V34"/>
  <c r="V56"/>
  <c r="V64"/>
  <c r="V92"/>
  <c r="V120"/>
  <c r="V128"/>
  <c r="V186"/>
  <c r="V217"/>
  <c r="V265"/>
  <c r="V11"/>
  <c r="V19"/>
  <c r="V21"/>
  <c r="V29"/>
  <c r="V39"/>
  <c r="V43"/>
  <c r="V51"/>
  <c r="V107"/>
  <c r="V115"/>
  <c r="V245"/>
  <c r="V14"/>
  <c r="V24"/>
  <c r="V32"/>
  <c r="V44"/>
  <c r="V45"/>
  <c r="V101"/>
  <c r="V108"/>
  <c r="V109"/>
  <c r="V156"/>
  <c r="V253"/>
  <c r="V9"/>
  <c r="V17"/>
  <c r="V27"/>
  <c r="V35"/>
  <c r="V37"/>
  <c r="V46"/>
  <c r="V71"/>
  <c r="V79"/>
  <c r="V102"/>
  <c r="V110"/>
  <c r="V135"/>
  <c r="V143"/>
  <c r="V165"/>
  <c r="V168"/>
  <c r="V49"/>
  <c r="V59"/>
  <c r="V67"/>
  <c r="V69"/>
  <c r="V77"/>
  <c r="V87"/>
  <c r="V95"/>
  <c r="V105"/>
  <c r="V113"/>
  <c r="V123"/>
  <c r="V131"/>
  <c r="V133"/>
  <c r="V141"/>
  <c r="V166"/>
  <c r="V174"/>
  <c r="V189"/>
  <c r="V47"/>
  <c r="V57"/>
  <c r="V65"/>
  <c r="V75"/>
  <c r="V83"/>
  <c r="V85"/>
  <c r="V93"/>
  <c r="V103"/>
  <c r="V111"/>
  <c r="V121"/>
  <c r="V129"/>
  <c r="V139"/>
  <c r="V147"/>
  <c r="V149"/>
  <c r="V154"/>
  <c r="V162"/>
  <c r="V42"/>
  <c r="V50"/>
  <c r="V60"/>
  <c r="V70"/>
  <c r="V78"/>
  <c r="V88"/>
  <c r="V96"/>
  <c r="V106"/>
  <c r="V114"/>
  <c r="V124"/>
  <c r="V134"/>
  <c r="V142"/>
  <c r="V150"/>
  <c r="V155"/>
  <c r="V163"/>
  <c r="V182"/>
  <c r="V322"/>
  <c r="V48"/>
  <c r="V58"/>
  <c r="V66"/>
  <c r="V76"/>
  <c r="V86"/>
  <c r="V94"/>
  <c r="V104"/>
  <c r="V112"/>
  <c r="V122"/>
  <c r="V130"/>
  <c r="V140"/>
  <c r="V158"/>
  <c r="V184"/>
  <c r="V194"/>
  <c r="V199"/>
  <c r="V207"/>
  <c r="V153"/>
  <c r="V161"/>
  <c r="V171"/>
  <c r="V179"/>
  <c r="V181"/>
  <c r="V190"/>
  <c r="V251"/>
  <c r="V259"/>
  <c r="V282"/>
  <c r="V151"/>
  <c r="V159"/>
  <c r="V169"/>
  <c r="V177"/>
  <c r="V214"/>
  <c r="V222"/>
  <c r="V224"/>
  <c r="V262"/>
  <c r="V268"/>
  <c r="V157"/>
  <c r="V167"/>
  <c r="V175"/>
  <c r="V185"/>
  <c r="V187"/>
  <c r="V201"/>
  <c r="V209"/>
  <c r="V277"/>
  <c r="V290"/>
  <c r="V307"/>
  <c r="V320"/>
  <c r="V152"/>
  <c r="V160"/>
  <c r="V170"/>
  <c r="V178"/>
  <c r="V191"/>
  <c r="V225"/>
  <c r="V273"/>
  <c r="V285"/>
  <c r="V195"/>
  <c r="V197"/>
  <c r="V205"/>
  <c r="V215"/>
  <c r="V223"/>
  <c r="V304"/>
  <c r="V335"/>
  <c r="V200"/>
  <c r="V208"/>
  <c r="V218"/>
  <c r="V226"/>
  <c r="V296"/>
  <c r="V301"/>
  <c r="V203"/>
  <c r="V211"/>
  <c r="V213"/>
  <c r="V221"/>
  <c r="V231"/>
  <c r="V233"/>
  <c r="V241"/>
  <c r="V293"/>
  <c r="V188"/>
  <c r="V198"/>
  <c r="V206"/>
  <c r="V216"/>
  <c r="V234"/>
  <c r="V235"/>
  <c r="V242"/>
  <c r="V243"/>
  <c r="V314"/>
  <c r="V323"/>
  <c r="V371"/>
  <c r="V239"/>
  <c r="V249"/>
  <c r="V257"/>
  <c r="V267"/>
  <c r="V275"/>
  <c r="V295"/>
  <c r="V303"/>
  <c r="V317"/>
  <c r="V327"/>
  <c r="V227"/>
  <c r="V229"/>
  <c r="V237"/>
  <c r="V247"/>
  <c r="V255"/>
  <c r="V232"/>
  <c r="V240"/>
  <c r="V250"/>
  <c r="V258"/>
  <c r="V283"/>
  <c r="V291"/>
  <c r="V230"/>
  <c r="V238"/>
  <c r="V248"/>
  <c r="V256"/>
  <c r="V264"/>
  <c r="V272"/>
  <c r="V278"/>
  <c r="V286"/>
  <c r="V300"/>
  <c r="V309"/>
  <c r="V270"/>
  <c r="V280"/>
  <c r="V288"/>
  <c r="V298"/>
  <c r="V315"/>
  <c r="V316"/>
  <c r="V263"/>
  <c r="V271"/>
  <c r="V281"/>
  <c r="V289"/>
  <c r="V299"/>
  <c r="V312"/>
  <c r="V363"/>
  <c r="V266"/>
  <c r="V274"/>
  <c r="V284"/>
  <c r="V294"/>
  <c r="V302"/>
  <c r="V306"/>
  <c r="V332"/>
  <c r="V261"/>
  <c r="V269"/>
  <c r="V279"/>
  <c r="V287"/>
  <c r="V297"/>
  <c r="V305"/>
  <c r="V325"/>
  <c r="V326"/>
  <c r="V333"/>
  <c r="V334"/>
  <c r="V398"/>
  <c r="V330"/>
  <c r="V338"/>
  <c r="V344"/>
  <c r="V355"/>
  <c r="V358"/>
  <c r="V310"/>
  <c r="V318"/>
  <c r="V328"/>
  <c r="V336"/>
  <c r="V342"/>
  <c r="V345"/>
  <c r="V350"/>
  <c r="V353"/>
  <c r="V360"/>
  <c r="V369"/>
  <c r="V376"/>
  <c r="V378"/>
  <c r="V313"/>
  <c r="V321"/>
  <c r="V331"/>
  <c r="V351"/>
  <c r="V352"/>
  <c r="V357"/>
  <c r="V311"/>
  <c r="V319"/>
  <c r="V329"/>
  <c r="V343"/>
  <c r="V348"/>
  <c r="V365"/>
  <c r="V379"/>
  <c r="V393"/>
  <c r="V397"/>
  <c r="V346"/>
  <c r="V366"/>
  <c r="V339"/>
  <c r="V341"/>
  <c r="V349"/>
  <c r="V362"/>
  <c r="V383"/>
  <c r="V392"/>
  <c r="V403"/>
  <c r="V337"/>
  <c r="V347"/>
  <c r="V381"/>
  <c r="V361"/>
  <c r="V384"/>
  <c r="V386"/>
  <c r="V389"/>
  <c r="V354"/>
  <c r="V364"/>
  <c r="V368"/>
  <c r="V400"/>
  <c r="V359"/>
  <c r="V367"/>
  <c r="V373"/>
  <c r="V375"/>
  <c r="V387"/>
  <c r="V395"/>
  <c r="V390"/>
  <c r="V401"/>
  <c r="V370"/>
  <c r="V380"/>
  <c r="V396"/>
  <c r="V377"/>
  <c r="V385"/>
  <c r="V391"/>
  <c r="V399"/>
  <c r="V374"/>
  <c r="V382"/>
  <c r="V394"/>
  <c r="V402"/>
  <c r="W64"/>
  <c r="W38"/>
  <c r="W7"/>
  <c r="W128"/>
  <c r="W25"/>
  <c r="W92"/>
  <c r="W48"/>
  <c r="W18"/>
  <c r="W112"/>
  <c r="W188"/>
  <c r="W238"/>
  <c r="W8"/>
  <c r="W33"/>
  <c r="W26"/>
  <c r="W34"/>
  <c r="W104"/>
  <c r="W9"/>
  <c r="W13"/>
  <c r="W28"/>
  <c r="W41"/>
  <c r="W49"/>
  <c r="W56"/>
  <c r="W74"/>
  <c r="W105"/>
  <c r="W113"/>
  <c r="W120"/>
  <c r="W138"/>
  <c r="W224"/>
  <c r="W15"/>
  <c r="W75"/>
  <c r="W139"/>
  <c r="W10"/>
  <c r="W76"/>
  <c r="W82"/>
  <c r="W140"/>
  <c r="W146"/>
  <c r="W5"/>
  <c r="W16"/>
  <c r="W23"/>
  <c r="W31"/>
  <c r="W83"/>
  <c r="W147"/>
  <c r="W11"/>
  <c r="W19"/>
  <c r="W21"/>
  <c r="W29"/>
  <c r="W39"/>
  <c r="W57"/>
  <c r="W65"/>
  <c r="W69"/>
  <c r="W77"/>
  <c r="W85"/>
  <c r="W93"/>
  <c r="W121"/>
  <c r="W129"/>
  <c r="W133"/>
  <c r="W141"/>
  <c r="W149"/>
  <c r="W6"/>
  <c r="W14"/>
  <c r="W24"/>
  <c r="W32"/>
  <c r="W58"/>
  <c r="W66"/>
  <c r="W86"/>
  <c r="W94"/>
  <c r="W122"/>
  <c r="W130"/>
  <c r="W157"/>
  <c r="W158"/>
  <c r="W229"/>
  <c r="W237"/>
  <c r="W17"/>
  <c r="W27"/>
  <c r="W35"/>
  <c r="W37"/>
  <c r="W46"/>
  <c r="W102"/>
  <c r="W110"/>
  <c r="W159"/>
  <c r="W161"/>
  <c r="W215"/>
  <c r="W223"/>
  <c r="W267"/>
  <c r="W12"/>
  <c r="W22"/>
  <c r="W30"/>
  <c r="W40"/>
  <c r="W47"/>
  <c r="W59"/>
  <c r="W67"/>
  <c r="W87"/>
  <c r="W95"/>
  <c r="W103"/>
  <c r="W111"/>
  <c r="W123"/>
  <c r="W131"/>
  <c r="W153"/>
  <c r="W214"/>
  <c r="W222"/>
  <c r="W44"/>
  <c r="W54"/>
  <c r="W62"/>
  <c r="W72"/>
  <c r="W80"/>
  <c r="W90"/>
  <c r="W98"/>
  <c r="W108"/>
  <c r="W118"/>
  <c r="W126"/>
  <c r="W136"/>
  <c r="W144"/>
  <c r="W167"/>
  <c r="W168"/>
  <c r="W175"/>
  <c r="W176"/>
  <c r="W187"/>
  <c r="W263"/>
  <c r="W278"/>
  <c r="W42"/>
  <c r="W50"/>
  <c r="W60"/>
  <c r="W70"/>
  <c r="W78"/>
  <c r="W88"/>
  <c r="W96"/>
  <c r="W106"/>
  <c r="W114"/>
  <c r="W124"/>
  <c r="W134"/>
  <c r="W142"/>
  <c r="W150"/>
  <c r="W169"/>
  <c r="W177"/>
  <c r="W181"/>
  <c r="W45"/>
  <c r="W55"/>
  <c r="W63"/>
  <c r="W73"/>
  <c r="W81"/>
  <c r="W91"/>
  <c r="W99"/>
  <c r="W101"/>
  <c r="W109"/>
  <c r="W119"/>
  <c r="W127"/>
  <c r="W137"/>
  <c r="W145"/>
  <c r="W204"/>
  <c r="W230"/>
  <c r="W43"/>
  <c r="W51"/>
  <c r="W53"/>
  <c r="W61"/>
  <c r="W71"/>
  <c r="W79"/>
  <c r="W89"/>
  <c r="W97"/>
  <c r="W107"/>
  <c r="W115"/>
  <c r="W117"/>
  <c r="W125"/>
  <c r="W135"/>
  <c r="W143"/>
  <c r="W151"/>
  <c r="W171"/>
  <c r="W179"/>
  <c r="W185"/>
  <c r="W186"/>
  <c r="W192"/>
  <c r="W156"/>
  <c r="W166"/>
  <c r="W174"/>
  <c r="W184"/>
  <c r="W194"/>
  <c r="W197"/>
  <c r="W205"/>
  <c r="W220"/>
  <c r="W239"/>
  <c r="W246"/>
  <c r="W247"/>
  <c r="W254"/>
  <c r="W255"/>
  <c r="W154"/>
  <c r="W162"/>
  <c r="W172"/>
  <c r="W182"/>
  <c r="W199"/>
  <c r="W207"/>
  <c r="W280"/>
  <c r="W152"/>
  <c r="W160"/>
  <c r="W170"/>
  <c r="W178"/>
  <c r="W286"/>
  <c r="W288"/>
  <c r="W155"/>
  <c r="W163"/>
  <c r="W165"/>
  <c r="W173"/>
  <c r="W183"/>
  <c r="W189"/>
  <c r="W195"/>
  <c r="W202"/>
  <c r="W210"/>
  <c r="W217"/>
  <c r="W190"/>
  <c r="W200"/>
  <c r="W208"/>
  <c r="W218"/>
  <c r="W226"/>
  <c r="W248"/>
  <c r="W256"/>
  <c r="W299"/>
  <c r="W303"/>
  <c r="W336"/>
  <c r="W346"/>
  <c r="W193"/>
  <c r="W203"/>
  <c r="W211"/>
  <c r="W213"/>
  <c r="W221"/>
  <c r="W231"/>
  <c r="W295"/>
  <c r="W198"/>
  <c r="W206"/>
  <c r="W216"/>
  <c r="W227"/>
  <c r="W249"/>
  <c r="W257"/>
  <c r="W191"/>
  <c r="W201"/>
  <c r="W209"/>
  <c r="W219"/>
  <c r="W236"/>
  <c r="W271"/>
  <c r="W275"/>
  <c r="W317"/>
  <c r="W330"/>
  <c r="W234"/>
  <c r="W242"/>
  <c r="W252"/>
  <c r="W268"/>
  <c r="W281"/>
  <c r="W289"/>
  <c r="W296"/>
  <c r="W304"/>
  <c r="W315"/>
  <c r="W328"/>
  <c r="W329"/>
  <c r="W232"/>
  <c r="W240"/>
  <c r="W250"/>
  <c r="W258"/>
  <c r="W310"/>
  <c r="W365"/>
  <c r="W225"/>
  <c r="W235"/>
  <c r="W243"/>
  <c r="W245"/>
  <c r="W253"/>
  <c r="W270"/>
  <c r="W277"/>
  <c r="W285"/>
  <c r="W298"/>
  <c r="W312"/>
  <c r="W233"/>
  <c r="W241"/>
  <c r="W251"/>
  <c r="W259"/>
  <c r="W262"/>
  <c r="W307"/>
  <c r="W320"/>
  <c r="W265"/>
  <c r="W273"/>
  <c r="W283"/>
  <c r="W291"/>
  <c r="W293"/>
  <c r="W301"/>
  <c r="W311"/>
  <c r="W343"/>
  <c r="W266"/>
  <c r="W274"/>
  <c r="W284"/>
  <c r="W294"/>
  <c r="W302"/>
  <c r="W318"/>
  <c r="W338"/>
  <c r="W348"/>
  <c r="W261"/>
  <c r="W269"/>
  <c r="W279"/>
  <c r="W287"/>
  <c r="W297"/>
  <c r="W305"/>
  <c r="W319"/>
  <c r="W264"/>
  <c r="W272"/>
  <c r="W282"/>
  <c r="W290"/>
  <c r="W300"/>
  <c r="W309"/>
  <c r="W327"/>
  <c r="W335"/>
  <c r="W345"/>
  <c r="W323"/>
  <c r="W325"/>
  <c r="W333"/>
  <c r="W341"/>
  <c r="W313"/>
  <c r="W321"/>
  <c r="W331"/>
  <c r="W339"/>
  <c r="W381"/>
  <c r="W386"/>
  <c r="W306"/>
  <c r="W316"/>
  <c r="W326"/>
  <c r="W334"/>
  <c r="W366"/>
  <c r="W384"/>
  <c r="W393"/>
  <c r="W314"/>
  <c r="W322"/>
  <c r="W332"/>
  <c r="W337"/>
  <c r="W347"/>
  <c r="W370"/>
  <c r="W351"/>
  <c r="W353"/>
  <c r="W360"/>
  <c r="W349"/>
  <c r="W361"/>
  <c r="W383"/>
  <c r="W392"/>
  <c r="W403"/>
  <c r="W344"/>
  <c r="W352"/>
  <c r="W357"/>
  <c r="W342"/>
  <c r="W350"/>
  <c r="W355"/>
  <c r="W358"/>
  <c r="W363"/>
  <c r="W371"/>
  <c r="W398"/>
  <c r="W354"/>
  <c r="W364"/>
  <c r="W400"/>
  <c r="W359"/>
  <c r="W367"/>
  <c r="W373"/>
  <c r="W375"/>
  <c r="W395"/>
  <c r="W362"/>
  <c r="W390"/>
  <c r="W401"/>
  <c r="W369"/>
  <c r="W376"/>
  <c r="W378"/>
  <c r="W380"/>
  <c r="W396"/>
  <c r="W377"/>
  <c r="W385"/>
  <c r="W391"/>
  <c r="W399"/>
  <c r="W368"/>
  <c r="W374"/>
  <c r="W382"/>
  <c r="W394"/>
  <c r="W402"/>
  <c r="W379"/>
  <c r="W387"/>
  <c r="W389"/>
  <c r="W397"/>
  <c r="BE5"/>
  <c r="BE92"/>
  <c r="BE62"/>
  <c r="BE129"/>
  <c r="BE13"/>
  <c r="BE99"/>
  <c r="BE6"/>
  <c r="BE252"/>
  <c r="BE63"/>
  <c r="BE85"/>
  <c r="BE26"/>
  <c r="BE128"/>
  <c r="BE39"/>
  <c r="BE41"/>
  <c r="BE64"/>
  <c r="BE11"/>
  <c r="BE19"/>
  <c r="BE65"/>
  <c r="BE93"/>
  <c r="BE149"/>
  <c r="BE247"/>
  <c r="BE34"/>
  <c r="BE91"/>
  <c r="BE98"/>
  <c r="BE126"/>
  <c r="BE127"/>
  <c r="BE56"/>
  <c r="BE57"/>
  <c r="BE90"/>
  <c r="BE151"/>
  <c r="BE120"/>
  <c r="BE121"/>
  <c r="BE7"/>
  <c r="BE14"/>
  <c r="BE21"/>
  <c r="BE29"/>
  <c r="BE54"/>
  <c r="BE55"/>
  <c r="BE75"/>
  <c r="BE118"/>
  <c r="BE119"/>
  <c r="BE139"/>
  <c r="BE8"/>
  <c r="BE16"/>
  <c r="BE23"/>
  <c r="BE31"/>
  <c r="BE83"/>
  <c r="BE147"/>
  <c r="BE175"/>
  <c r="BE185"/>
  <c r="BE261"/>
  <c r="BE24"/>
  <c r="BE32"/>
  <c r="BE9"/>
  <c r="BE17"/>
  <c r="BE27"/>
  <c r="BE35"/>
  <c r="BE37"/>
  <c r="BE44"/>
  <c r="BE108"/>
  <c r="BE220"/>
  <c r="BE12"/>
  <c r="BE22"/>
  <c r="BE30"/>
  <c r="BE40"/>
  <c r="BE45"/>
  <c r="BE46"/>
  <c r="BE101"/>
  <c r="BE102"/>
  <c r="BE109"/>
  <c r="BE110"/>
  <c r="BE15"/>
  <c r="BE25"/>
  <c r="BE33"/>
  <c r="BE47"/>
  <c r="BE72"/>
  <c r="BE80"/>
  <c r="BE103"/>
  <c r="BE111"/>
  <c r="BE136"/>
  <c r="BE144"/>
  <c r="BE165"/>
  <c r="BE166"/>
  <c r="BE169"/>
  <c r="BE254"/>
  <c r="BE10"/>
  <c r="BE18"/>
  <c r="BE28"/>
  <c r="BE38"/>
  <c r="BE73"/>
  <c r="BE74"/>
  <c r="BE81"/>
  <c r="BE82"/>
  <c r="BE137"/>
  <c r="BE138"/>
  <c r="BE145"/>
  <c r="BE146"/>
  <c r="BE167"/>
  <c r="BE173"/>
  <c r="BE174"/>
  <c r="BE177"/>
  <c r="BE246"/>
  <c r="BE42"/>
  <c r="BE50"/>
  <c r="BE60"/>
  <c r="BE70"/>
  <c r="BE78"/>
  <c r="BE88"/>
  <c r="BE96"/>
  <c r="BE106"/>
  <c r="BE114"/>
  <c r="BE124"/>
  <c r="BE134"/>
  <c r="BE142"/>
  <c r="BE48"/>
  <c r="BE58"/>
  <c r="BE66"/>
  <c r="BE76"/>
  <c r="BE86"/>
  <c r="BE94"/>
  <c r="BE104"/>
  <c r="BE112"/>
  <c r="BE122"/>
  <c r="BE130"/>
  <c r="BE140"/>
  <c r="BE155"/>
  <c r="BE156"/>
  <c r="BE163"/>
  <c r="BE187"/>
  <c r="BE194"/>
  <c r="BE195"/>
  <c r="BE43"/>
  <c r="BE51"/>
  <c r="BE53"/>
  <c r="BE61"/>
  <c r="BE71"/>
  <c r="BE79"/>
  <c r="BE89"/>
  <c r="BE97"/>
  <c r="BE107"/>
  <c r="BE115"/>
  <c r="BE117"/>
  <c r="BE125"/>
  <c r="BE135"/>
  <c r="BE143"/>
  <c r="BE157"/>
  <c r="BE183"/>
  <c r="BE184"/>
  <c r="BE190"/>
  <c r="BE197"/>
  <c r="BE202"/>
  <c r="BE205"/>
  <c r="BE210"/>
  <c r="BE255"/>
  <c r="BE49"/>
  <c r="BE59"/>
  <c r="BE67"/>
  <c r="BE69"/>
  <c r="BE77"/>
  <c r="BE87"/>
  <c r="BE95"/>
  <c r="BE105"/>
  <c r="BE113"/>
  <c r="BE123"/>
  <c r="BE131"/>
  <c r="BE133"/>
  <c r="BE141"/>
  <c r="BE159"/>
  <c r="BE215"/>
  <c r="BE283"/>
  <c r="BE154"/>
  <c r="BE162"/>
  <c r="BE172"/>
  <c r="BE182"/>
  <c r="BE192"/>
  <c r="BE213"/>
  <c r="BE221"/>
  <c r="BE245"/>
  <c r="BE253"/>
  <c r="BE291"/>
  <c r="BE302"/>
  <c r="BE304"/>
  <c r="BE305"/>
  <c r="BE152"/>
  <c r="BE160"/>
  <c r="BE170"/>
  <c r="BE178"/>
  <c r="BE193"/>
  <c r="BE200"/>
  <c r="BE208"/>
  <c r="BE227"/>
  <c r="BE353"/>
  <c r="BE150"/>
  <c r="BE158"/>
  <c r="BE168"/>
  <c r="BE176"/>
  <c r="BE186"/>
  <c r="BE153"/>
  <c r="BE161"/>
  <c r="BE171"/>
  <c r="BE179"/>
  <c r="BE181"/>
  <c r="BE203"/>
  <c r="BE211"/>
  <c r="BE218"/>
  <c r="BE188"/>
  <c r="BE198"/>
  <c r="BE206"/>
  <c r="BE216"/>
  <c r="BE223"/>
  <c r="BE224"/>
  <c r="BE229"/>
  <c r="BE294"/>
  <c r="BE296"/>
  <c r="BE297"/>
  <c r="BE310"/>
  <c r="BE191"/>
  <c r="BE201"/>
  <c r="BE209"/>
  <c r="BE219"/>
  <c r="BE234"/>
  <c r="BE242"/>
  <c r="BE204"/>
  <c r="BE214"/>
  <c r="BE222"/>
  <c r="BE225"/>
  <c r="BE235"/>
  <c r="BE236"/>
  <c r="BE243"/>
  <c r="BE274"/>
  <c r="BE189"/>
  <c r="BE199"/>
  <c r="BE207"/>
  <c r="BE217"/>
  <c r="BE226"/>
  <c r="BE237"/>
  <c r="BE266"/>
  <c r="BE268"/>
  <c r="BE269"/>
  <c r="BE232"/>
  <c r="BE240"/>
  <c r="BE250"/>
  <c r="BE258"/>
  <c r="BE341"/>
  <c r="BE230"/>
  <c r="BE238"/>
  <c r="BE248"/>
  <c r="BE256"/>
  <c r="BE284"/>
  <c r="BE345"/>
  <c r="BE354"/>
  <c r="BE233"/>
  <c r="BE241"/>
  <c r="BE251"/>
  <c r="BE259"/>
  <c r="BE278"/>
  <c r="BE286"/>
  <c r="BE231"/>
  <c r="BE239"/>
  <c r="BE249"/>
  <c r="BE257"/>
  <c r="BE265"/>
  <c r="BE273"/>
  <c r="BE279"/>
  <c r="BE287"/>
  <c r="BE293"/>
  <c r="BE301"/>
  <c r="BE313"/>
  <c r="BE315"/>
  <c r="BE337"/>
  <c r="BE263"/>
  <c r="BE271"/>
  <c r="BE281"/>
  <c r="BE289"/>
  <c r="BE299"/>
  <c r="BE309"/>
  <c r="BE323"/>
  <c r="BE378"/>
  <c r="BE390"/>
  <c r="BE264"/>
  <c r="BE272"/>
  <c r="BE282"/>
  <c r="BE290"/>
  <c r="BE300"/>
  <c r="BE306"/>
  <c r="BE316"/>
  <c r="BE325"/>
  <c r="BE333"/>
  <c r="BE351"/>
  <c r="BE267"/>
  <c r="BE275"/>
  <c r="BE277"/>
  <c r="BE285"/>
  <c r="BE295"/>
  <c r="BE303"/>
  <c r="BE307"/>
  <c r="BE317"/>
  <c r="BE326"/>
  <c r="BE327"/>
  <c r="BE334"/>
  <c r="BE335"/>
  <c r="BE352"/>
  <c r="BE364"/>
  <c r="BE262"/>
  <c r="BE270"/>
  <c r="BE280"/>
  <c r="BE288"/>
  <c r="BE298"/>
  <c r="BE318"/>
  <c r="BE328"/>
  <c r="BE363"/>
  <c r="BE367"/>
  <c r="BE321"/>
  <c r="BE331"/>
  <c r="BE339"/>
  <c r="BE401"/>
  <c r="BE311"/>
  <c r="BE319"/>
  <c r="BE329"/>
  <c r="BE336"/>
  <c r="BE343"/>
  <c r="BE361"/>
  <c r="BE314"/>
  <c r="BE322"/>
  <c r="BE332"/>
  <c r="BE344"/>
  <c r="BE346"/>
  <c r="BE312"/>
  <c r="BE320"/>
  <c r="BE330"/>
  <c r="BE358"/>
  <c r="BE382"/>
  <c r="BE396"/>
  <c r="BE349"/>
  <c r="BE383"/>
  <c r="BE347"/>
  <c r="BE359"/>
  <c r="BE342"/>
  <c r="BE350"/>
  <c r="BE366"/>
  <c r="BE380"/>
  <c r="BE338"/>
  <c r="BE348"/>
  <c r="BE385"/>
  <c r="BE391"/>
  <c r="BE402"/>
  <c r="BE362"/>
  <c r="BE368"/>
  <c r="BE393"/>
  <c r="BE398"/>
  <c r="BE355"/>
  <c r="BE357"/>
  <c r="BE365"/>
  <c r="BE369"/>
  <c r="BE374"/>
  <c r="BE386"/>
  <c r="BE360"/>
  <c r="BE399"/>
  <c r="BE370"/>
  <c r="BE375"/>
  <c r="BE377"/>
  <c r="BE394"/>
  <c r="BE371"/>
  <c r="BE379"/>
  <c r="BE387"/>
  <c r="BE389"/>
  <c r="BE397"/>
  <c r="BE376"/>
  <c r="BE384"/>
  <c r="BE392"/>
  <c r="BE400"/>
  <c r="BE373"/>
  <c r="BE381"/>
  <c r="BE395"/>
  <c r="BE403"/>
  <c r="BG70"/>
  <c r="BG61"/>
  <c r="BG29"/>
  <c r="BG106"/>
  <c r="BG6"/>
  <c r="BG63"/>
  <c r="BG44"/>
  <c r="BG62"/>
  <c r="BG91"/>
  <c r="BG127"/>
  <c r="BG107"/>
  <c r="BG21"/>
  <c r="BG5"/>
  <c r="BG14"/>
  <c r="BG40"/>
  <c r="BG43"/>
  <c r="BG126"/>
  <c r="BG12"/>
  <c r="BG42"/>
  <c r="BG108"/>
  <c r="BG134"/>
  <c r="BG27"/>
  <c r="BG50"/>
  <c r="BG90"/>
  <c r="BG125"/>
  <c r="BG35"/>
  <c r="BG51"/>
  <c r="BG54"/>
  <c r="BG55"/>
  <c r="BG89"/>
  <c r="BG97"/>
  <c r="BG114"/>
  <c r="BG245"/>
  <c r="BG115"/>
  <c r="BG118"/>
  <c r="BG119"/>
  <c r="BG253"/>
  <c r="BG53"/>
  <c r="BG117"/>
  <c r="BG22"/>
  <c r="BG24"/>
  <c r="BG30"/>
  <c r="BG32"/>
  <c r="BG78"/>
  <c r="BG142"/>
  <c r="BG9"/>
  <c r="BG17"/>
  <c r="BG37"/>
  <c r="BG198"/>
  <c r="BG223"/>
  <c r="BG11"/>
  <c r="BG19"/>
  <c r="BG39"/>
  <c r="BG98"/>
  <c r="BG99"/>
  <c r="BG213"/>
  <c r="BG221"/>
  <c r="BG7"/>
  <c r="BG15"/>
  <c r="BG25"/>
  <c r="BG33"/>
  <c r="BG45"/>
  <c r="BG101"/>
  <c r="BG109"/>
  <c r="BG162"/>
  <c r="BG282"/>
  <c r="BG339"/>
  <c r="BG10"/>
  <c r="BG18"/>
  <c r="BG28"/>
  <c r="BG38"/>
  <c r="BG71"/>
  <c r="BG72"/>
  <c r="BG79"/>
  <c r="BG80"/>
  <c r="BG135"/>
  <c r="BG136"/>
  <c r="BG143"/>
  <c r="BG144"/>
  <c r="BG154"/>
  <c r="BG161"/>
  <c r="BG163"/>
  <c r="BG13"/>
  <c r="BG23"/>
  <c r="BG31"/>
  <c r="BG60"/>
  <c r="BG73"/>
  <c r="BG81"/>
  <c r="BG88"/>
  <c r="BG96"/>
  <c r="BG124"/>
  <c r="BG137"/>
  <c r="BG145"/>
  <c r="BG153"/>
  <c r="BG155"/>
  <c r="BG167"/>
  <c r="BG206"/>
  <c r="BG8"/>
  <c r="BG16"/>
  <c r="BG26"/>
  <c r="BG34"/>
  <c r="BG175"/>
  <c r="BG191"/>
  <c r="BG48"/>
  <c r="BG58"/>
  <c r="BG66"/>
  <c r="BG76"/>
  <c r="BG86"/>
  <c r="BG94"/>
  <c r="BG104"/>
  <c r="BG112"/>
  <c r="BG122"/>
  <c r="BG130"/>
  <c r="BG140"/>
  <c r="BG152"/>
  <c r="BG181"/>
  <c r="BG182"/>
  <c r="BG323"/>
  <c r="BG46"/>
  <c r="BG56"/>
  <c r="BG64"/>
  <c r="BG74"/>
  <c r="BG82"/>
  <c r="BG92"/>
  <c r="BG102"/>
  <c r="BG110"/>
  <c r="BG120"/>
  <c r="BG128"/>
  <c r="BG138"/>
  <c r="BG146"/>
  <c r="BG157"/>
  <c r="BG183"/>
  <c r="BG192"/>
  <c r="BG290"/>
  <c r="BG41"/>
  <c r="BG49"/>
  <c r="BG59"/>
  <c r="BG67"/>
  <c r="BG69"/>
  <c r="BG77"/>
  <c r="BG87"/>
  <c r="BG95"/>
  <c r="BG105"/>
  <c r="BG113"/>
  <c r="BG123"/>
  <c r="BG131"/>
  <c r="BG133"/>
  <c r="BG141"/>
  <c r="BG171"/>
  <c r="BG172"/>
  <c r="BG179"/>
  <c r="BG185"/>
  <c r="BG201"/>
  <c r="BG203"/>
  <c r="BG209"/>
  <c r="BG211"/>
  <c r="BG224"/>
  <c r="BG47"/>
  <c r="BG57"/>
  <c r="BG65"/>
  <c r="BG75"/>
  <c r="BG83"/>
  <c r="BG85"/>
  <c r="BG93"/>
  <c r="BG103"/>
  <c r="BG111"/>
  <c r="BG121"/>
  <c r="BG129"/>
  <c r="BG139"/>
  <c r="BG147"/>
  <c r="BG149"/>
  <c r="BG165"/>
  <c r="BG173"/>
  <c r="BG218"/>
  <c r="BG219"/>
  <c r="BG240"/>
  <c r="BG160"/>
  <c r="BG170"/>
  <c r="BG178"/>
  <c r="BG188"/>
  <c r="BG193"/>
  <c r="BG200"/>
  <c r="BG208"/>
  <c r="BG299"/>
  <c r="BG303"/>
  <c r="BG341"/>
  <c r="BG150"/>
  <c r="BG158"/>
  <c r="BG168"/>
  <c r="BG176"/>
  <c r="BG186"/>
  <c r="BG189"/>
  <c r="BG216"/>
  <c r="BG284"/>
  <c r="BG156"/>
  <c r="BG166"/>
  <c r="BG174"/>
  <c r="BG184"/>
  <c r="BG190"/>
  <c r="BG151"/>
  <c r="BG159"/>
  <c r="BG169"/>
  <c r="BG177"/>
  <c r="BG232"/>
  <c r="BG194"/>
  <c r="BG204"/>
  <c r="BG214"/>
  <c r="BG222"/>
  <c r="BG225"/>
  <c r="BG233"/>
  <c r="BG234"/>
  <c r="BG241"/>
  <c r="BG242"/>
  <c r="BG295"/>
  <c r="BG199"/>
  <c r="BG207"/>
  <c r="BG217"/>
  <c r="BG230"/>
  <c r="BG235"/>
  <c r="BG243"/>
  <c r="BG250"/>
  <c r="BG258"/>
  <c r="BG325"/>
  <c r="BG344"/>
  <c r="BG202"/>
  <c r="BG210"/>
  <c r="BG220"/>
  <c r="BG271"/>
  <c r="BG275"/>
  <c r="BG187"/>
  <c r="BG195"/>
  <c r="BG197"/>
  <c r="BG205"/>
  <c r="BG215"/>
  <c r="BG251"/>
  <c r="BG252"/>
  <c r="BG259"/>
  <c r="BG263"/>
  <c r="BG267"/>
  <c r="BG238"/>
  <c r="BG248"/>
  <c r="BG256"/>
  <c r="BG306"/>
  <c r="BG316"/>
  <c r="BG332"/>
  <c r="BG333"/>
  <c r="BG349"/>
  <c r="BG374"/>
  <c r="BG226"/>
  <c r="BG236"/>
  <c r="BG246"/>
  <c r="BG254"/>
  <c r="BG277"/>
  <c r="BG285"/>
  <c r="BG231"/>
  <c r="BG239"/>
  <c r="BG249"/>
  <c r="BG257"/>
  <c r="BG264"/>
  <c r="BG272"/>
  <c r="BG300"/>
  <c r="BG311"/>
  <c r="BG227"/>
  <c r="BG229"/>
  <c r="BG237"/>
  <c r="BG247"/>
  <c r="BG255"/>
  <c r="BG261"/>
  <c r="BG266"/>
  <c r="BG274"/>
  <c r="BG281"/>
  <c r="BG289"/>
  <c r="BG294"/>
  <c r="BG302"/>
  <c r="BG319"/>
  <c r="BG322"/>
  <c r="BG269"/>
  <c r="BG279"/>
  <c r="BG287"/>
  <c r="BG297"/>
  <c r="BG305"/>
  <c r="BG314"/>
  <c r="BG315"/>
  <c r="BG331"/>
  <c r="BG262"/>
  <c r="BG270"/>
  <c r="BG280"/>
  <c r="BG288"/>
  <c r="BG298"/>
  <c r="BG326"/>
  <c r="BG334"/>
  <c r="BG342"/>
  <c r="BG343"/>
  <c r="BG265"/>
  <c r="BG273"/>
  <c r="BG283"/>
  <c r="BG291"/>
  <c r="BG293"/>
  <c r="BG301"/>
  <c r="BG268"/>
  <c r="BG278"/>
  <c r="BG286"/>
  <c r="BG296"/>
  <c r="BG304"/>
  <c r="BG313"/>
  <c r="BG321"/>
  <c r="BG392"/>
  <c r="BG329"/>
  <c r="BG350"/>
  <c r="BG351"/>
  <c r="BG357"/>
  <c r="BG364"/>
  <c r="BG368"/>
  <c r="BG307"/>
  <c r="BG309"/>
  <c r="BG317"/>
  <c r="BG327"/>
  <c r="BG335"/>
  <c r="BG337"/>
  <c r="BG371"/>
  <c r="BG312"/>
  <c r="BG320"/>
  <c r="BG330"/>
  <c r="BG352"/>
  <c r="BG387"/>
  <c r="BG397"/>
  <c r="BG310"/>
  <c r="BG318"/>
  <c r="BG328"/>
  <c r="BG367"/>
  <c r="BG347"/>
  <c r="BG355"/>
  <c r="BG359"/>
  <c r="BG345"/>
  <c r="BG361"/>
  <c r="BG365"/>
  <c r="BG376"/>
  <c r="BG338"/>
  <c r="BG348"/>
  <c r="BG385"/>
  <c r="BG391"/>
  <c r="BG402"/>
  <c r="BG336"/>
  <c r="BG346"/>
  <c r="BG354"/>
  <c r="BG362"/>
  <c r="BG360"/>
  <c r="BG379"/>
  <c r="BG399"/>
  <c r="BG353"/>
  <c r="BG363"/>
  <c r="BG370"/>
  <c r="BG377"/>
  <c r="BG394"/>
  <c r="BG358"/>
  <c r="BG366"/>
  <c r="BG384"/>
  <c r="BG389"/>
  <c r="BG380"/>
  <c r="BG382"/>
  <c r="BG396"/>
  <c r="BG400"/>
  <c r="BG369"/>
  <c r="BG373"/>
  <c r="BG381"/>
  <c r="BG395"/>
  <c r="BG403"/>
  <c r="BG378"/>
  <c r="BG386"/>
  <c r="BG390"/>
  <c r="BG398"/>
  <c r="BG375"/>
  <c r="BG383"/>
  <c r="BG393"/>
  <c r="BG401"/>
  <c r="O129"/>
  <c r="O10"/>
  <c r="O31"/>
  <c r="O16"/>
  <c r="O41"/>
  <c r="O13"/>
  <c r="O207"/>
  <c r="O9"/>
  <c r="O15"/>
  <c r="O86"/>
  <c r="O176"/>
  <c r="O227"/>
  <c r="O8"/>
  <c r="O66"/>
  <c r="O85"/>
  <c r="O94"/>
  <c r="O171"/>
  <c r="O236"/>
  <c r="O23"/>
  <c r="O28"/>
  <c r="O65"/>
  <c r="O93"/>
  <c r="O95"/>
  <c r="O130"/>
  <c r="O149"/>
  <c r="O167"/>
  <c r="O177"/>
  <c r="O179"/>
  <c r="O5"/>
  <c r="O25"/>
  <c r="O33"/>
  <c r="O46"/>
  <c r="O57"/>
  <c r="O58"/>
  <c r="O87"/>
  <c r="O102"/>
  <c r="O110"/>
  <c r="O121"/>
  <c r="O122"/>
  <c r="O150"/>
  <c r="O175"/>
  <c r="O18"/>
  <c r="O38"/>
  <c r="O47"/>
  <c r="O67"/>
  <c r="O69"/>
  <c r="O103"/>
  <c r="O111"/>
  <c r="O131"/>
  <c r="O133"/>
  <c r="O210"/>
  <c r="O7"/>
  <c r="O26"/>
  <c r="O34"/>
  <c r="O59"/>
  <c r="O123"/>
  <c r="O77"/>
  <c r="O141"/>
  <c r="O168"/>
  <c r="O169"/>
  <c r="O257"/>
  <c r="O11"/>
  <c r="O19"/>
  <c r="O21"/>
  <c r="O29"/>
  <c r="O39"/>
  <c r="O48"/>
  <c r="O74"/>
  <c r="O82"/>
  <c r="O104"/>
  <c r="O112"/>
  <c r="O138"/>
  <c r="O146"/>
  <c r="O202"/>
  <c r="O6"/>
  <c r="O14"/>
  <c r="O24"/>
  <c r="O32"/>
  <c r="O75"/>
  <c r="O83"/>
  <c r="O139"/>
  <c r="O147"/>
  <c r="O181"/>
  <c r="O199"/>
  <c r="O17"/>
  <c r="O27"/>
  <c r="O35"/>
  <c r="O37"/>
  <c r="O49"/>
  <c r="O76"/>
  <c r="O105"/>
  <c r="O113"/>
  <c r="O140"/>
  <c r="O185"/>
  <c r="O186"/>
  <c r="O12"/>
  <c r="O22"/>
  <c r="O30"/>
  <c r="O40"/>
  <c r="O56"/>
  <c r="O64"/>
  <c r="O92"/>
  <c r="O120"/>
  <c r="O128"/>
  <c r="O44"/>
  <c r="O54"/>
  <c r="O62"/>
  <c r="O72"/>
  <c r="O80"/>
  <c r="O90"/>
  <c r="O98"/>
  <c r="O108"/>
  <c r="O118"/>
  <c r="O126"/>
  <c r="O136"/>
  <c r="O144"/>
  <c r="O157"/>
  <c r="O158"/>
  <c r="O192"/>
  <c r="O215"/>
  <c r="O217"/>
  <c r="O223"/>
  <c r="O268"/>
  <c r="O42"/>
  <c r="O50"/>
  <c r="O60"/>
  <c r="O70"/>
  <c r="O78"/>
  <c r="O88"/>
  <c r="O96"/>
  <c r="O106"/>
  <c r="O114"/>
  <c r="O124"/>
  <c r="O134"/>
  <c r="O142"/>
  <c r="O151"/>
  <c r="O159"/>
  <c r="O188"/>
  <c r="O249"/>
  <c r="O45"/>
  <c r="O55"/>
  <c r="O63"/>
  <c r="O73"/>
  <c r="O81"/>
  <c r="O91"/>
  <c r="O99"/>
  <c r="O101"/>
  <c r="O109"/>
  <c r="O119"/>
  <c r="O127"/>
  <c r="O137"/>
  <c r="O145"/>
  <c r="O189"/>
  <c r="O43"/>
  <c r="O51"/>
  <c r="O53"/>
  <c r="O61"/>
  <c r="O71"/>
  <c r="O79"/>
  <c r="O89"/>
  <c r="O97"/>
  <c r="O107"/>
  <c r="O115"/>
  <c r="O117"/>
  <c r="O125"/>
  <c r="O135"/>
  <c r="O143"/>
  <c r="O153"/>
  <c r="O161"/>
  <c r="O195"/>
  <c r="O226"/>
  <c r="O277"/>
  <c r="O156"/>
  <c r="O166"/>
  <c r="O174"/>
  <c r="O184"/>
  <c r="O248"/>
  <c r="O256"/>
  <c r="O154"/>
  <c r="O162"/>
  <c r="O172"/>
  <c r="O182"/>
  <c r="O187"/>
  <c r="O204"/>
  <c r="O231"/>
  <c r="O270"/>
  <c r="O152"/>
  <c r="O160"/>
  <c r="O170"/>
  <c r="O178"/>
  <c r="O197"/>
  <c r="O205"/>
  <c r="O220"/>
  <c r="O230"/>
  <c r="O317"/>
  <c r="O155"/>
  <c r="O163"/>
  <c r="O165"/>
  <c r="O173"/>
  <c r="O183"/>
  <c r="O194"/>
  <c r="O214"/>
  <c r="O222"/>
  <c r="O190"/>
  <c r="O200"/>
  <c r="O208"/>
  <c r="O218"/>
  <c r="O237"/>
  <c r="O281"/>
  <c r="O285"/>
  <c r="O193"/>
  <c r="O203"/>
  <c r="O211"/>
  <c r="O213"/>
  <c r="O221"/>
  <c r="O238"/>
  <c r="O289"/>
  <c r="O304"/>
  <c r="O336"/>
  <c r="O198"/>
  <c r="O206"/>
  <c r="O216"/>
  <c r="O246"/>
  <c r="O254"/>
  <c r="O296"/>
  <c r="O191"/>
  <c r="O201"/>
  <c r="O209"/>
  <c r="O219"/>
  <c r="O224"/>
  <c r="O229"/>
  <c r="O239"/>
  <c r="O247"/>
  <c r="O255"/>
  <c r="O298"/>
  <c r="O234"/>
  <c r="O242"/>
  <c r="O252"/>
  <c r="O263"/>
  <c r="O271"/>
  <c r="O278"/>
  <c r="O286"/>
  <c r="O299"/>
  <c r="O309"/>
  <c r="O341"/>
  <c r="O345"/>
  <c r="O232"/>
  <c r="O240"/>
  <c r="O250"/>
  <c r="O258"/>
  <c r="O262"/>
  <c r="O327"/>
  <c r="O225"/>
  <c r="O235"/>
  <c r="O243"/>
  <c r="O245"/>
  <c r="O253"/>
  <c r="O267"/>
  <c r="O275"/>
  <c r="O280"/>
  <c r="O288"/>
  <c r="O295"/>
  <c r="O303"/>
  <c r="O319"/>
  <c r="O328"/>
  <c r="O335"/>
  <c r="O353"/>
  <c r="O365"/>
  <c r="O233"/>
  <c r="O241"/>
  <c r="O251"/>
  <c r="O259"/>
  <c r="O312"/>
  <c r="O265"/>
  <c r="O273"/>
  <c r="O283"/>
  <c r="O291"/>
  <c r="O293"/>
  <c r="O301"/>
  <c r="O318"/>
  <c r="O266"/>
  <c r="O274"/>
  <c r="O284"/>
  <c r="O294"/>
  <c r="O302"/>
  <c r="O320"/>
  <c r="O329"/>
  <c r="O261"/>
  <c r="O269"/>
  <c r="O279"/>
  <c r="O287"/>
  <c r="O297"/>
  <c r="O305"/>
  <c r="O307"/>
  <c r="O310"/>
  <c r="O315"/>
  <c r="O264"/>
  <c r="O272"/>
  <c r="O282"/>
  <c r="O290"/>
  <c r="O300"/>
  <c r="O311"/>
  <c r="O330"/>
  <c r="O347"/>
  <c r="O373"/>
  <c r="O323"/>
  <c r="O325"/>
  <c r="O333"/>
  <c r="O339"/>
  <c r="O346"/>
  <c r="O361"/>
  <c r="O313"/>
  <c r="O321"/>
  <c r="O331"/>
  <c r="O343"/>
  <c r="O371"/>
  <c r="O400"/>
  <c r="O306"/>
  <c r="O316"/>
  <c r="O326"/>
  <c r="O334"/>
  <c r="O337"/>
  <c r="O348"/>
  <c r="O386"/>
  <c r="O314"/>
  <c r="O322"/>
  <c r="O332"/>
  <c r="O338"/>
  <c r="O366"/>
  <c r="O390"/>
  <c r="O351"/>
  <c r="O357"/>
  <c r="O349"/>
  <c r="O355"/>
  <c r="O358"/>
  <c r="O363"/>
  <c r="O375"/>
  <c r="O384"/>
  <c r="O395"/>
  <c r="O344"/>
  <c r="O352"/>
  <c r="O342"/>
  <c r="O350"/>
  <c r="O360"/>
  <c r="O401"/>
  <c r="O354"/>
  <c r="O364"/>
  <c r="O376"/>
  <c r="O378"/>
  <c r="O380"/>
  <c r="O396"/>
  <c r="O359"/>
  <c r="O367"/>
  <c r="O369"/>
  <c r="O392"/>
  <c r="O362"/>
  <c r="O381"/>
  <c r="O383"/>
  <c r="O403"/>
  <c r="O370"/>
  <c r="O393"/>
  <c r="O398"/>
  <c r="O377"/>
  <c r="O385"/>
  <c r="O391"/>
  <c r="O399"/>
  <c r="O368"/>
  <c r="O374"/>
  <c r="O382"/>
  <c r="O394"/>
  <c r="O402"/>
  <c r="O379"/>
  <c r="O387"/>
  <c r="O389"/>
  <c r="O397"/>
  <c r="AP159"/>
  <c r="AP77"/>
  <c r="AP76"/>
  <c r="AP216"/>
  <c r="AP140"/>
  <c r="AP21"/>
  <c r="AP176"/>
  <c r="AP141"/>
  <c r="AP29"/>
  <c r="AP35"/>
  <c r="AP150"/>
  <c r="AP9"/>
  <c r="AP27"/>
  <c r="AP11"/>
  <c r="AP14"/>
  <c r="AP19"/>
  <c r="AP93"/>
  <c r="AP39"/>
  <c r="AP10"/>
  <c r="AP160"/>
  <c r="AP6"/>
  <c r="AP16"/>
  <c r="AP85"/>
  <c r="AP149"/>
  <c r="AP172"/>
  <c r="AP189"/>
  <c r="AP65"/>
  <c r="AP129"/>
  <c r="AP168"/>
  <c r="AP8"/>
  <c r="AP24"/>
  <c r="AP32"/>
  <c r="AP49"/>
  <c r="AP57"/>
  <c r="AP105"/>
  <c r="AP113"/>
  <c r="AP121"/>
  <c r="AP200"/>
  <c r="AP17"/>
  <c r="AP26"/>
  <c r="AP34"/>
  <c r="AP37"/>
  <c r="AP42"/>
  <c r="AP50"/>
  <c r="AP69"/>
  <c r="AP106"/>
  <c r="AP114"/>
  <c r="AP133"/>
  <c r="AP312"/>
  <c r="AP12"/>
  <c r="AP22"/>
  <c r="AP30"/>
  <c r="AP40"/>
  <c r="AP58"/>
  <c r="AP66"/>
  <c r="AP70"/>
  <c r="AP78"/>
  <c r="AP86"/>
  <c r="AP94"/>
  <c r="AP122"/>
  <c r="AP130"/>
  <c r="AP134"/>
  <c r="AP142"/>
  <c r="AP300"/>
  <c r="AP7"/>
  <c r="AP15"/>
  <c r="AP25"/>
  <c r="AP33"/>
  <c r="AP47"/>
  <c r="AP59"/>
  <c r="AP67"/>
  <c r="AP87"/>
  <c r="AP95"/>
  <c r="AP103"/>
  <c r="AP111"/>
  <c r="AP123"/>
  <c r="AP131"/>
  <c r="AP190"/>
  <c r="AP256"/>
  <c r="AP18"/>
  <c r="AP28"/>
  <c r="AP38"/>
  <c r="AP213"/>
  <c r="AP221"/>
  <c r="AP227"/>
  <c r="AP248"/>
  <c r="AP5"/>
  <c r="AP13"/>
  <c r="AP23"/>
  <c r="AP31"/>
  <c r="AP41"/>
  <c r="AP48"/>
  <c r="AP60"/>
  <c r="AP75"/>
  <c r="AP83"/>
  <c r="AP88"/>
  <c r="AP96"/>
  <c r="AP104"/>
  <c r="AP112"/>
  <c r="AP124"/>
  <c r="AP139"/>
  <c r="AP147"/>
  <c r="AP182"/>
  <c r="AP186"/>
  <c r="AP208"/>
  <c r="AP45"/>
  <c r="AP55"/>
  <c r="AP63"/>
  <c r="AP73"/>
  <c r="AP81"/>
  <c r="AP91"/>
  <c r="AP99"/>
  <c r="AP101"/>
  <c r="AP109"/>
  <c r="AP119"/>
  <c r="AP127"/>
  <c r="AP137"/>
  <c r="AP145"/>
  <c r="AP151"/>
  <c r="AP154"/>
  <c r="AP162"/>
  <c r="AP169"/>
  <c r="AP177"/>
  <c r="AP240"/>
  <c r="AP43"/>
  <c r="AP51"/>
  <c r="AP53"/>
  <c r="AP61"/>
  <c r="AP71"/>
  <c r="AP79"/>
  <c r="AP89"/>
  <c r="AP97"/>
  <c r="AP107"/>
  <c r="AP115"/>
  <c r="AP117"/>
  <c r="AP125"/>
  <c r="AP135"/>
  <c r="AP143"/>
  <c r="AP170"/>
  <c r="AP178"/>
  <c r="AP46"/>
  <c r="AP56"/>
  <c r="AP64"/>
  <c r="AP74"/>
  <c r="AP82"/>
  <c r="AP92"/>
  <c r="AP102"/>
  <c r="AP110"/>
  <c r="AP120"/>
  <c r="AP128"/>
  <c r="AP138"/>
  <c r="AP146"/>
  <c r="AP152"/>
  <c r="AP158"/>
  <c r="AP193"/>
  <c r="AP44"/>
  <c r="AP54"/>
  <c r="AP62"/>
  <c r="AP72"/>
  <c r="AP80"/>
  <c r="AP90"/>
  <c r="AP98"/>
  <c r="AP108"/>
  <c r="AP118"/>
  <c r="AP126"/>
  <c r="AP136"/>
  <c r="AP144"/>
  <c r="AP231"/>
  <c r="AP157"/>
  <c r="AP167"/>
  <c r="AP175"/>
  <c r="AP185"/>
  <c r="AP198"/>
  <c r="AP206"/>
  <c r="AP215"/>
  <c r="AP223"/>
  <c r="AP268"/>
  <c r="AP155"/>
  <c r="AP163"/>
  <c r="AP165"/>
  <c r="AP173"/>
  <c r="AP183"/>
  <c r="AP187"/>
  <c r="AP195"/>
  <c r="AP232"/>
  <c r="AP238"/>
  <c r="AP239"/>
  <c r="AP247"/>
  <c r="AP255"/>
  <c r="AP306"/>
  <c r="AP153"/>
  <c r="AP161"/>
  <c r="AP171"/>
  <c r="AP179"/>
  <c r="AP181"/>
  <c r="AP203"/>
  <c r="AP211"/>
  <c r="AP218"/>
  <c r="AP230"/>
  <c r="AP156"/>
  <c r="AP166"/>
  <c r="AP174"/>
  <c r="AP184"/>
  <c r="AP188"/>
  <c r="AP197"/>
  <c r="AP205"/>
  <c r="AP272"/>
  <c r="AP191"/>
  <c r="AP201"/>
  <c r="AP209"/>
  <c r="AP219"/>
  <c r="AP249"/>
  <c r="AP257"/>
  <c r="AP264"/>
  <c r="AP330"/>
  <c r="AP331"/>
  <c r="AP194"/>
  <c r="AP204"/>
  <c r="AP214"/>
  <c r="AP222"/>
  <c r="AP229"/>
  <c r="AP279"/>
  <c r="AP281"/>
  <c r="AP342"/>
  <c r="AP199"/>
  <c r="AP207"/>
  <c r="AP217"/>
  <c r="AP237"/>
  <c r="AP250"/>
  <c r="AP258"/>
  <c r="AP287"/>
  <c r="AP289"/>
  <c r="AP304"/>
  <c r="AP310"/>
  <c r="AP192"/>
  <c r="AP202"/>
  <c r="AP210"/>
  <c r="AP220"/>
  <c r="AP225"/>
  <c r="AP296"/>
  <c r="AP235"/>
  <c r="AP243"/>
  <c r="AP245"/>
  <c r="AP253"/>
  <c r="AP261"/>
  <c r="AP269"/>
  <c r="AP282"/>
  <c r="AP290"/>
  <c r="AP297"/>
  <c r="AP305"/>
  <c r="AP321"/>
  <c r="AP394"/>
  <c r="AP233"/>
  <c r="AP241"/>
  <c r="AP251"/>
  <c r="AP259"/>
  <c r="AP263"/>
  <c r="AP271"/>
  <c r="AP278"/>
  <c r="AP286"/>
  <c r="AP299"/>
  <c r="AP349"/>
  <c r="AP396"/>
  <c r="AP226"/>
  <c r="AP236"/>
  <c r="AP246"/>
  <c r="AP254"/>
  <c r="AP319"/>
  <c r="AP329"/>
  <c r="AP347"/>
  <c r="AP224"/>
  <c r="AP234"/>
  <c r="AP242"/>
  <c r="AP252"/>
  <c r="AP318"/>
  <c r="AP266"/>
  <c r="AP274"/>
  <c r="AP284"/>
  <c r="AP294"/>
  <c r="AP302"/>
  <c r="AP313"/>
  <c r="AP341"/>
  <c r="AP366"/>
  <c r="AP387"/>
  <c r="AP267"/>
  <c r="AP275"/>
  <c r="AP277"/>
  <c r="AP285"/>
  <c r="AP295"/>
  <c r="AP303"/>
  <c r="AP344"/>
  <c r="AP382"/>
  <c r="AP262"/>
  <c r="AP270"/>
  <c r="AP280"/>
  <c r="AP288"/>
  <c r="AP298"/>
  <c r="AP316"/>
  <c r="AP320"/>
  <c r="AP328"/>
  <c r="AP337"/>
  <c r="AP338"/>
  <c r="AP265"/>
  <c r="AP273"/>
  <c r="AP283"/>
  <c r="AP291"/>
  <c r="AP293"/>
  <c r="AP301"/>
  <c r="AP311"/>
  <c r="AP336"/>
  <c r="AP326"/>
  <c r="AP334"/>
  <c r="AP314"/>
  <c r="AP322"/>
  <c r="AP332"/>
  <c r="AP346"/>
  <c r="AP307"/>
  <c r="AP309"/>
  <c r="AP317"/>
  <c r="AP327"/>
  <c r="AP335"/>
  <c r="AP339"/>
  <c r="AP315"/>
  <c r="AP323"/>
  <c r="AP325"/>
  <c r="AP333"/>
  <c r="AP348"/>
  <c r="AP354"/>
  <c r="AP358"/>
  <c r="AP362"/>
  <c r="AP375"/>
  <c r="AP380"/>
  <c r="AP389"/>
  <c r="AP350"/>
  <c r="AP364"/>
  <c r="AP391"/>
  <c r="AP345"/>
  <c r="AP352"/>
  <c r="AP359"/>
  <c r="AP401"/>
  <c r="AP343"/>
  <c r="AP351"/>
  <c r="AP361"/>
  <c r="AP370"/>
  <c r="AP377"/>
  <c r="AP355"/>
  <c r="AP357"/>
  <c r="AP365"/>
  <c r="AP367"/>
  <c r="AP383"/>
  <c r="AP385"/>
  <c r="AP402"/>
  <c r="AP360"/>
  <c r="AP371"/>
  <c r="AP393"/>
  <c r="AP397"/>
  <c r="AP353"/>
  <c r="AP363"/>
  <c r="AP374"/>
  <c r="AP368"/>
  <c r="AP379"/>
  <c r="AP399"/>
  <c r="AP376"/>
  <c r="AP384"/>
  <c r="AP392"/>
  <c r="AP400"/>
  <c r="AP369"/>
  <c r="AP373"/>
  <c r="AP381"/>
  <c r="AP395"/>
  <c r="AP403"/>
  <c r="AP378"/>
  <c r="AP386"/>
  <c r="AP390"/>
  <c r="AP398"/>
  <c r="AY188"/>
  <c r="AY145"/>
  <c r="AY37"/>
  <c r="AY45"/>
  <c r="AY173"/>
  <c r="AY96"/>
  <c r="AY172"/>
  <c r="AY281"/>
  <c r="AY9"/>
  <c r="AY11"/>
  <c r="AY88"/>
  <c r="AY17"/>
  <c r="AY19"/>
  <c r="AY109"/>
  <c r="AY216"/>
  <c r="AY81"/>
  <c r="AY241"/>
  <c r="AY266"/>
  <c r="AY6"/>
  <c r="AY22"/>
  <c r="AY24"/>
  <c r="AY39"/>
  <c r="AY171"/>
  <c r="AY30"/>
  <c r="AY32"/>
  <c r="AY101"/>
  <c r="AY179"/>
  <c r="AY234"/>
  <c r="AY5"/>
  <c r="AY27"/>
  <c r="AY35"/>
  <c r="AY60"/>
  <c r="AY71"/>
  <c r="AY72"/>
  <c r="AY124"/>
  <c r="AY135"/>
  <c r="AY136"/>
  <c r="AY12"/>
  <c r="AY14"/>
  <c r="AY21"/>
  <c r="AY29"/>
  <c r="AY40"/>
  <c r="AY73"/>
  <c r="AY137"/>
  <c r="AY165"/>
  <c r="AY218"/>
  <c r="AY333"/>
  <c r="AY79"/>
  <c r="AY80"/>
  <c r="AY143"/>
  <c r="AY144"/>
  <c r="AY198"/>
  <c r="AY225"/>
  <c r="AY7"/>
  <c r="AY15"/>
  <c r="AY25"/>
  <c r="AY33"/>
  <c r="AY53"/>
  <c r="AY54"/>
  <c r="AY61"/>
  <c r="AY62"/>
  <c r="AY89"/>
  <c r="AY90"/>
  <c r="AY97"/>
  <c r="AY98"/>
  <c r="AY117"/>
  <c r="AY118"/>
  <c r="AY125"/>
  <c r="AY126"/>
  <c r="AY181"/>
  <c r="AY182"/>
  <c r="AY183"/>
  <c r="AY235"/>
  <c r="AY10"/>
  <c r="AY18"/>
  <c r="AY28"/>
  <c r="AY38"/>
  <c r="AY42"/>
  <c r="AY50"/>
  <c r="AY55"/>
  <c r="AY63"/>
  <c r="AY91"/>
  <c r="AY99"/>
  <c r="AY106"/>
  <c r="AY114"/>
  <c r="AY119"/>
  <c r="AY127"/>
  <c r="AY185"/>
  <c r="AY224"/>
  <c r="AY242"/>
  <c r="AY13"/>
  <c r="AY23"/>
  <c r="AY31"/>
  <c r="AY157"/>
  <c r="AY8"/>
  <c r="AY16"/>
  <c r="AY26"/>
  <c r="AY34"/>
  <c r="AY43"/>
  <c r="AY44"/>
  <c r="AY51"/>
  <c r="AY70"/>
  <c r="AY78"/>
  <c r="AY107"/>
  <c r="AY108"/>
  <c r="AY115"/>
  <c r="AY134"/>
  <c r="AY142"/>
  <c r="AY206"/>
  <c r="AY272"/>
  <c r="AY48"/>
  <c r="AY58"/>
  <c r="AY66"/>
  <c r="AY76"/>
  <c r="AY86"/>
  <c r="AY94"/>
  <c r="AY104"/>
  <c r="AY112"/>
  <c r="AY122"/>
  <c r="AY130"/>
  <c r="AY140"/>
  <c r="AY46"/>
  <c r="AY56"/>
  <c r="AY64"/>
  <c r="AY74"/>
  <c r="AY82"/>
  <c r="AY92"/>
  <c r="AY102"/>
  <c r="AY110"/>
  <c r="AY120"/>
  <c r="AY128"/>
  <c r="AY138"/>
  <c r="AY146"/>
  <c r="AY167"/>
  <c r="AY175"/>
  <c r="AY233"/>
  <c r="AY332"/>
  <c r="AY41"/>
  <c r="AY49"/>
  <c r="AY59"/>
  <c r="AY67"/>
  <c r="AY69"/>
  <c r="AY77"/>
  <c r="AY87"/>
  <c r="AY95"/>
  <c r="AY105"/>
  <c r="AY113"/>
  <c r="AY123"/>
  <c r="AY131"/>
  <c r="AY133"/>
  <c r="AY141"/>
  <c r="AY153"/>
  <c r="AY154"/>
  <c r="AY161"/>
  <c r="AY162"/>
  <c r="AY277"/>
  <c r="AY47"/>
  <c r="AY57"/>
  <c r="AY65"/>
  <c r="AY75"/>
  <c r="AY83"/>
  <c r="AY85"/>
  <c r="AY93"/>
  <c r="AY103"/>
  <c r="AY111"/>
  <c r="AY121"/>
  <c r="AY129"/>
  <c r="AY139"/>
  <c r="AY147"/>
  <c r="AY149"/>
  <c r="AY152"/>
  <c r="AY155"/>
  <c r="AY163"/>
  <c r="AY201"/>
  <c r="AY203"/>
  <c r="AY209"/>
  <c r="AY211"/>
  <c r="AY160"/>
  <c r="AY170"/>
  <c r="AY178"/>
  <c r="AY189"/>
  <c r="AY243"/>
  <c r="AY250"/>
  <c r="AY258"/>
  <c r="AY274"/>
  <c r="AY389"/>
  <c r="AY150"/>
  <c r="AY158"/>
  <c r="AY168"/>
  <c r="AY176"/>
  <c r="AY186"/>
  <c r="AY190"/>
  <c r="AY213"/>
  <c r="AY219"/>
  <c r="AY221"/>
  <c r="AY230"/>
  <c r="AY251"/>
  <c r="AY252"/>
  <c r="AY259"/>
  <c r="AY285"/>
  <c r="AY156"/>
  <c r="AY166"/>
  <c r="AY174"/>
  <c r="AY184"/>
  <c r="AY191"/>
  <c r="AY192"/>
  <c r="AY200"/>
  <c r="AY208"/>
  <c r="AY264"/>
  <c r="AY151"/>
  <c r="AY159"/>
  <c r="AY169"/>
  <c r="AY177"/>
  <c r="AY193"/>
  <c r="AY223"/>
  <c r="AY361"/>
  <c r="AY194"/>
  <c r="AY204"/>
  <c r="AY214"/>
  <c r="AY222"/>
  <c r="AY245"/>
  <c r="AY253"/>
  <c r="AY289"/>
  <c r="AY339"/>
  <c r="AY199"/>
  <c r="AY207"/>
  <c r="AY217"/>
  <c r="AY302"/>
  <c r="AY321"/>
  <c r="AY399"/>
  <c r="AY202"/>
  <c r="AY210"/>
  <c r="AY220"/>
  <c r="AY232"/>
  <c r="AY240"/>
  <c r="AY294"/>
  <c r="AY300"/>
  <c r="AY313"/>
  <c r="AY326"/>
  <c r="AY365"/>
  <c r="AY187"/>
  <c r="AY195"/>
  <c r="AY197"/>
  <c r="AY205"/>
  <c r="AY215"/>
  <c r="AY238"/>
  <c r="AY248"/>
  <c r="AY256"/>
  <c r="AY325"/>
  <c r="AY343"/>
  <c r="AY368"/>
  <c r="AY226"/>
  <c r="AY236"/>
  <c r="AY246"/>
  <c r="AY254"/>
  <c r="AY261"/>
  <c r="AY267"/>
  <c r="AY275"/>
  <c r="AY295"/>
  <c r="AY303"/>
  <c r="AY316"/>
  <c r="AY334"/>
  <c r="AY231"/>
  <c r="AY239"/>
  <c r="AY249"/>
  <c r="AY257"/>
  <c r="AY282"/>
  <c r="AY290"/>
  <c r="AY306"/>
  <c r="AY227"/>
  <c r="AY229"/>
  <c r="AY237"/>
  <c r="AY247"/>
  <c r="AY255"/>
  <c r="AY263"/>
  <c r="AY271"/>
  <c r="AY284"/>
  <c r="AY299"/>
  <c r="AY311"/>
  <c r="AY269"/>
  <c r="AY279"/>
  <c r="AY287"/>
  <c r="AY297"/>
  <c r="AY305"/>
  <c r="AY344"/>
  <c r="AY262"/>
  <c r="AY270"/>
  <c r="AY280"/>
  <c r="AY288"/>
  <c r="AY298"/>
  <c r="AY319"/>
  <c r="AY322"/>
  <c r="AY323"/>
  <c r="AY265"/>
  <c r="AY273"/>
  <c r="AY283"/>
  <c r="AY291"/>
  <c r="AY293"/>
  <c r="AY301"/>
  <c r="AY331"/>
  <c r="AY350"/>
  <c r="AY351"/>
  <c r="AY384"/>
  <c r="AY268"/>
  <c r="AY278"/>
  <c r="AY286"/>
  <c r="AY296"/>
  <c r="AY304"/>
  <c r="AY314"/>
  <c r="AY315"/>
  <c r="AY379"/>
  <c r="AY329"/>
  <c r="AY337"/>
  <c r="AY307"/>
  <c r="AY309"/>
  <c r="AY317"/>
  <c r="AY327"/>
  <c r="AY335"/>
  <c r="AY341"/>
  <c r="AY349"/>
  <c r="AY364"/>
  <c r="AY312"/>
  <c r="AY320"/>
  <c r="AY330"/>
  <c r="AY310"/>
  <c r="AY318"/>
  <c r="AY328"/>
  <c r="AY342"/>
  <c r="AY347"/>
  <c r="AY374"/>
  <c r="AY345"/>
  <c r="AY354"/>
  <c r="AY362"/>
  <c r="AY370"/>
  <c r="AY392"/>
  <c r="AY394"/>
  <c r="AY338"/>
  <c r="AY348"/>
  <c r="AY352"/>
  <c r="AY357"/>
  <c r="AY377"/>
  <c r="AY336"/>
  <c r="AY346"/>
  <c r="AY355"/>
  <c r="AY359"/>
  <c r="AY360"/>
  <c r="AY380"/>
  <c r="AY382"/>
  <c r="AY396"/>
  <c r="AY400"/>
  <c r="AY353"/>
  <c r="AY363"/>
  <c r="AY367"/>
  <c r="AY387"/>
  <c r="AY391"/>
  <c r="AY358"/>
  <c r="AY366"/>
  <c r="AY371"/>
  <c r="AY385"/>
  <c r="AY402"/>
  <c r="AY376"/>
  <c r="AY397"/>
  <c r="AY369"/>
  <c r="AY373"/>
  <c r="AY381"/>
  <c r="AY395"/>
  <c r="AY403"/>
  <c r="AY378"/>
  <c r="AY386"/>
  <c r="AY390"/>
  <c r="AY398"/>
  <c r="AY375"/>
  <c r="AY383"/>
  <c r="AY393"/>
  <c r="AY401"/>
  <c r="Y39"/>
  <c r="Y126"/>
  <c r="Y63"/>
  <c r="Y127"/>
  <c r="Y98"/>
  <c r="Y121"/>
  <c r="Y13"/>
  <c r="Y26"/>
  <c r="Y62"/>
  <c r="Y8"/>
  <c r="Y120"/>
  <c r="Y99"/>
  <c r="Y185"/>
  <c r="Y91"/>
  <c r="Y128"/>
  <c r="Y11"/>
  <c r="Y19"/>
  <c r="Y41"/>
  <c r="Y56"/>
  <c r="Y57"/>
  <c r="Y90"/>
  <c r="Y175"/>
  <c r="Y34"/>
  <c r="Y85"/>
  <c r="Y65"/>
  <c r="Y93"/>
  <c r="Y149"/>
  <c r="Y7"/>
  <c r="Y64"/>
  <c r="Y92"/>
  <c r="Y129"/>
  <c r="Y14"/>
  <c r="Y21"/>
  <c r="Y29"/>
  <c r="Y54"/>
  <c r="Y55"/>
  <c r="Y75"/>
  <c r="Y118"/>
  <c r="Y119"/>
  <c r="Y139"/>
  <c r="Y220"/>
  <c r="Y255"/>
  <c r="Y5"/>
  <c r="Y16"/>
  <c r="Y23"/>
  <c r="Y31"/>
  <c r="Y283"/>
  <c r="Y83"/>
  <c r="Y147"/>
  <c r="Y190"/>
  <c r="Y6"/>
  <c r="Y24"/>
  <c r="Y32"/>
  <c r="Y9"/>
  <c r="Y17"/>
  <c r="Y27"/>
  <c r="Y35"/>
  <c r="Y37"/>
  <c r="Y44"/>
  <c r="Y108"/>
  <c r="Y187"/>
  <c r="Y194"/>
  <c r="Y12"/>
  <c r="Y22"/>
  <c r="Y30"/>
  <c r="Y40"/>
  <c r="Y45"/>
  <c r="Y46"/>
  <c r="Y101"/>
  <c r="Y102"/>
  <c r="Y109"/>
  <c r="Y110"/>
  <c r="Y226"/>
  <c r="Y15"/>
  <c r="Y25"/>
  <c r="Y33"/>
  <c r="Y47"/>
  <c r="Y72"/>
  <c r="Y80"/>
  <c r="Y103"/>
  <c r="Y111"/>
  <c r="Y136"/>
  <c r="Y144"/>
  <c r="Y165"/>
  <c r="Y166"/>
  <c r="Y169"/>
  <c r="Y10"/>
  <c r="Y18"/>
  <c r="Y28"/>
  <c r="Y38"/>
  <c r="Y73"/>
  <c r="Y74"/>
  <c r="Y81"/>
  <c r="Y82"/>
  <c r="Y137"/>
  <c r="Y138"/>
  <c r="Y145"/>
  <c r="Y146"/>
  <c r="Y167"/>
  <c r="Y173"/>
  <c r="Y174"/>
  <c r="Y177"/>
  <c r="Y42"/>
  <c r="Y50"/>
  <c r="Y60"/>
  <c r="Y70"/>
  <c r="Y78"/>
  <c r="Y88"/>
  <c r="Y96"/>
  <c r="Y106"/>
  <c r="Y114"/>
  <c r="Y124"/>
  <c r="Y134"/>
  <c r="Y142"/>
  <c r="Y193"/>
  <c r="Y224"/>
  <c r="Y252"/>
  <c r="Y254"/>
  <c r="Y48"/>
  <c r="Y58"/>
  <c r="Y66"/>
  <c r="Y76"/>
  <c r="Y86"/>
  <c r="Y94"/>
  <c r="Y104"/>
  <c r="Y112"/>
  <c r="Y122"/>
  <c r="Y130"/>
  <c r="Y140"/>
  <c r="Y155"/>
  <c r="Y156"/>
  <c r="Y163"/>
  <c r="Y195"/>
  <c r="Y247"/>
  <c r="Y43"/>
  <c r="Y51"/>
  <c r="Y53"/>
  <c r="Y61"/>
  <c r="Y71"/>
  <c r="Y79"/>
  <c r="Y89"/>
  <c r="Y97"/>
  <c r="Y107"/>
  <c r="Y115"/>
  <c r="Y117"/>
  <c r="Y125"/>
  <c r="Y135"/>
  <c r="Y143"/>
  <c r="Y151"/>
  <c r="Y157"/>
  <c r="Y183"/>
  <c r="Y184"/>
  <c r="Y197"/>
  <c r="Y202"/>
  <c r="Y205"/>
  <c r="Y210"/>
  <c r="Y246"/>
  <c r="Y49"/>
  <c r="Y59"/>
  <c r="Y67"/>
  <c r="Y69"/>
  <c r="Y77"/>
  <c r="Y87"/>
  <c r="Y95"/>
  <c r="Y105"/>
  <c r="Y113"/>
  <c r="Y123"/>
  <c r="Y131"/>
  <c r="Y133"/>
  <c r="Y141"/>
  <c r="Y159"/>
  <c r="Y215"/>
  <c r="Y223"/>
  <c r="Y154"/>
  <c r="Y162"/>
  <c r="Y172"/>
  <c r="Y182"/>
  <c r="Y213"/>
  <c r="Y221"/>
  <c r="Y245"/>
  <c r="Y253"/>
  <c r="Y152"/>
  <c r="Y160"/>
  <c r="Y170"/>
  <c r="Y178"/>
  <c r="Y200"/>
  <c r="Y208"/>
  <c r="Y150"/>
  <c r="Y158"/>
  <c r="Y168"/>
  <c r="Y176"/>
  <c r="Y186"/>
  <c r="Y192"/>
  <c r="Y225"/>
  <c r="Y291"/>
  <c r="Y302"/>
  <c r="Y304"/>
  <c r="Y305"/>
  <c r="Y153"/>
  <c r="Y161"/>
  <c r="Y171"/>
  <c r="Y179"/>
  <c r="Y181"/>
  <c r="Y203"/>
  <c r="Y211"/>
  <c r="Y218"/>
  <c r="Y229"/>
  <c r="Y188"/>
  <c r="Y198"/>
  <c r="Y206"/>
  <c r="Y216"/>
  <c r="Y227"/>
  <c r="Y294"/>
  <c r="Y296"/>
  <c r="Y297"/>
  <c r="Y337"/>
  <c r="Y191"/>
  <c r="Y201"/>
  <c r="Y209"/>
  <c r="Y219"/>
  <c r="Y234"/>
  <c r="Y242"/>
  <c r="Y204"/>
  <c r="Y214"/>
  <c r="Y222"/>
  <c r="Y235"/>
  <c r="Y236"/>
  <c r="Y243"/>
  <c r="Y274"/>
  <c r="Y189"/>
  <c r="Y199"/>
  <c r="Y207"/>
  <c r="Y217"/>
  <c r="Y237"/>
  <c r="Y266"/>
  <c r="Y268"/>
  <c r="Y269"/>
  <c r="Y232"/>
  <c r="Y240"/>
  <c r="Y250"/>
  <c r="Y258"/>
  <c r="Y230"/>
  <c r="Y238"/>
  <c r="Y248"/>
  <c r="Y256"/>
  <c r="Y284"/>
  <c r="Y344"/>
  <c r="Y233"/>
  <c r="Y241"/>
  <c r="Y251"/>
  <c r="Y259"/>
  <c r="Y261"/>
  <c r="Y278"/>
  <c r="Y286"/>
  <c r="Y316"/>
  <c r="Y318"/>
  <c r="Y231"/>
  <c r="Y239"/>
  <c r="Y249"/>
  <c r="Y257"/>
  <c r="Y265"/>
  <c r="Y273"/>
  <c r="Y279"/>
  <c r="Y287"/>
  <c r="Y293"/>
  <c r="Y301"/>
  <c r="Y341"/>
  <c r="Y263"/>
  <c r="Y271"/>
  <c r="Y281"/>
  <c r="Y289"/>
  <c r="Y299"/>
  <c r="Y317"/>
  <c r="Y323"/>
  <c r="Y374"/>
  <c r="Y264"/>
  <c r="Y272"/>
  <c r="Y282"/>
  <c r="Y290"/>
  <c r="Y300"/>
  <c r="Y306"/>
  <c r="Y313"/>
  <c r="Y325"/>
  <c r="Y333"/>
  <c r="Y351"/>
  <c r="Y359"/>
  <c r="Y267"/>
  <c r="Y275"/>
  <c r="Y277"/>
  <c r="Y285"/>
  <c r="Y295"/>
  <c r="Y303"/>
  <c r="Y307"/>
  <c r="Y309"/>
  <c r="Y326"/>
  <c r="Y327"/>
  <c r="Y334"/>
  <c r="Y335"/>
  <c r="Y262"/>
  <c r="Y270"/>
  <c r="Y280"/>
  <c r="Y288"/>
  <c r="Y298"/>
  <c r="Y310"/>
  <c r="Y315"/>
  <c r="Y328"/>
  <c r="Y336"/>
  <c r="Y386"/>
  <c r="Y321"/>
  <c r="Y331"/>
  <c r="Y339"/>
  <c r="Y345"/>
  <c r="Y353"/>
  <c r="Y311"/>
  <c r="Y319"/>
  <c r="Y329"/>
  <c r="Y343"/>
  <c r="Y366"/>
  <c r="Y314"/>
  <c r="Y322"/>
  <c r="Y332"/>
  <c r="Y346"/>
  <c r="Y375"/>
  <c r="Y377"/>
  <c r="Y312"/>
  <c r="Y320"/>
  <c r="Y330"/>
  <c r="Y349"/>
  <c r="Y361"/>
  <c r="Y399"/>
  <c r="Y347"/>
  <c r="Y352"/>
  <c r="Y367"/>
  <c r="Y342"/>
  <c r="Y350"/>
  <c r="Y354"/>
  <c r="Y358"/>
  <c r="Y363"/>
  <c r="Y394"/>
  <c r="Y398"/>
  <c r="Y338"/>
  <c r="Y348"/>
  <c r="Y364"/>
  <c r="Y393"/>
  <c r="Y362"/>
  <c r="Y368"/>
  <c r="Y390"/>
  <c r="Y401"/>
  <c r="Y355"/>
  <c r="Y357"/>
  <c r="Y365"/>
  <c r="Y369"/>
  <c r="Y378"/>
  <c r="Y380"/>
  <c r="Y382"/>
  <c r="Y396"/>
  <c r="Y360"/>
  <c r="Y391"/>
  <c r="Y370"/>
  <c r="Y383"/>
  <c r="Y385"/>
  <c r="Y402"/>
  <c r="Y371"/>
  <c r="Y379"/>
  <c r="Y387"/>
  <c r="Y389"/>
  <c r="Y397"/>
  <c r="Y376"/>
  <c r="Y384"/>
  <c r="Y392"/>
  <c r="Y400"/>
  <c r="Y373"/>
  <c r="Y381"/>
  <c r="Y395"/>
  <c r="Y403"/>
  <c r="G34"/>
  <c r="G140"/>
  <c r="G76"/>
  <c r="G139"/>
  <c r="G146"/>
  <c r="G120"/>
  <c r="G25"/>
  <c r="G56"/>
  <c r="G105"/>
  <c r="G10"/>
  <c r="G33"/>
  <c r="G49"/>
  <c r="G147"/>
  <c r="G113"/>
  <c r="G26"/>
  <c r="G151"/>
  <c r="G7"/>
  <c r="G18"/>
  <c r="G74"/>
  <c r="G5"/>
  <c r="G38"/>
  <c r="G75"/>
  <c r="G82"/>
  <c r="G83"/>
  <c r="G138"/>
  <c r="G187"/>
  <c r="G13"/>
  <c r="G28"/>
  <c r="G41"/>
  <c r="G157"/>
  <c r="G158"/>
  <c r="G238"/>
  <c r="G8"/>
  <c r="G15"/>
  <c r="G92"/>
  <c r="G159"/>
  <c r="G161"/>
  <c r="G295"/>
  <c r="G9"/>
  <c r="G48"/>
  <c r="G104"/>
  <c r="G112"/>
  <c r="G16"/>
  <c r="G23"/>
  <c r="G31"/>
  <c r="G64"/>
  <c r="G128"/>
  <c r="G11"/>
  <c r="G19"/>
  <c r="G21"/>
  <c r="G29"/>
  <c r="G39"/>
  <c r="G57"/>
  <c r="G65"/>
  <c r="G69"/>
  <c r="G77"/>
  <c r="G85"/>
  <c r="G93"/>
  <c r="G121"/>
  <c r="G129"/>
  <c r="G133"/>
  <c r="G141"/>
  <c r="G149"/>
  <c r="G204"/>
  <c r="G6"/>
  <c r="G14"/>
  <c r="G24"/>
  <c r="G32"/>
  <c r="G58"/>
  <c r="G66"/>
  <c r="G86"/>
  <c r="G94"/>
  <c r="G122"/>
  <c r="G130"/>
  <c r="G150"/>
  <c r="G17"/>
  <c r="G27"/>
  <c r="G35"/>
  <c r="G37"/>
  <c r="G46"/>
  <c r="G102"/>
  <c r="G110"/>
  <c r="G12"/>
  <c r="G22"/>
  <c r="G30"/>
  <c r="G40"/>
  <c r="G47"/>
  <c r="G59"/>
  <c r="G67"/>
  <c r="G87"/>
  <c r="G95"/>
  <c r="G103"/>
  <c r="G111"/>
  <c r="G123"/>
  <c r="G131"/>
  <c r="G189"/>
  <c r="G348"/>
  <c r="G44"/>
  <c r="G54"/>
  <c r="G62"/>
  <c r="G72"/>
  <c r="G80"/>
  <c r="G90"/>
  <c r="G98"/>
  <c r="G108"/>
  <c r="G118"/>
  <c r="G126"/>
  <c r="G136"/>
  <c r="G144"/>
  <c r="G167"/>
  <c r="G168"/>
  <c r="G175"/>
  <c r="G176"/>
  <c r="G42"/>
  <c r="G50"/>
  <c r="G60"/>
  <c r="G70"/>
  <c r="G78"/>
  <c r="G88"/>
  <c r="G96"/>
  <c r="G106"/>
  <c r="G114"/>
  <c r="G124"/>
  <c r="G134"/>
  <c r="G142"/>
  <c r="G153"/>
  <c r="G169"/>
  <c r="G177"/>
  <c r="G181"/>
  <c r="G214"/>
  <c r="G215"/>
  <c r="G222"/>
  <c r="G223"/>
  <c r="G45"/>
  <c r="G55"/>
  <c r="G63"/>
  <c r="G73"/>
  <c r="G81"/>
  <c r="G91"/>
  <c r="G99"/>
  <c r="G101"/>
  <c r="G109"/>
  <c r="G119"/>
  <c r="G127"/>
  <c r="G137"/>
  <c r="G145"/>
  <c r="G43"/>
  <c r="G51"/>
  <c r="G53"/>
  <c r="G61"/>
  <c r="G71"/>
  <c r="G79"/>
  <c r="G89"/>
  <c r="G97"/>
  <c r="G107"/>
  <c r="G115"/>
  <c r="G117"/>
  <c r="G125"/>
  <c r="G135"/>
  <c r="G143"/>
  <c r="G171"/>
  <c r="G179"/>
  <c r="G185"/>
  <c r="G186"/>
  <c r="G188"/>
  <c r="G275"/>
  <c r="G307"/>
  <c r="G339"/>
  <c r="G156"/>
  <c r="G166"/>
  <c r="G174"/>
  <c r="G184"/>
  <c r="G192"/>
  <c r="G197"/>
  <c r="G205"/>
  <c r="G220"/>
  <c r="G154"/>
  <c r="G162"/>
  <c r="G172"/>
  <c r="G182"/>
  <c r="G194"/>
  <c r="G199"/>
  <c r="G207"/>
  <c r="G227"/>
  <c r="G237"/>
  <c r="G271"/>
  <c r="G328"/>
  <c r="G152"/>
  <c r="G160"/>
  <c r="G170"/>
  <c r="G178"/>
  <c r="G239"/>
  <c r="G246"/>
  <c r="G247"/>
  <c r="G254"/>
  <c r="G255"/>
  <c r="G353"/>
  <c r="G155"/>
  <c r="G163"/>
  <c r="G165"/>
  <c r="G173"/>
  <c r="G183"/>
  <c r="G195"/>
  <c r="G202"/>
  <c r="G210"/>
  <c r="G217"/>
  <c r="G299"/>
  <c r="G303"/>
  <c r="G329"/>
  <c r="G190"/>
  <c r="G200"/>
  <c r="G208"/>
  <c r="G218"/>
  <c r="G224"/>
  <c r="G229"/>
  <c r="G248"/>
  <c r="G256"/>
  <c r="G263"/>
  <c r="G267"/>
  <c r="G310"/>
  <c r="G193"/>
  <c r="G203"/>
  <c r="G211"/>
  <c r="G213"/>
  <c r="G221"/>
  <c r="G230"/>
  <c r="G278"/>
  <c r="G198"/>
  <c r="G206"/>
  <c r="G216"/>
  <c r="G226"/>
  <c r="G249"/>
  <c r="G257"/>
  <c r="G280"/>
  <c r="G286"/>
  <c r="G337"/>
  <c r="G191"/>
  <c r="G201"/>
  <c r="G209"/>
  <c r="G219"/>
  <c r="G231"/>
  <c r="G236"/>
  <c r="G262"/>
  <c r="G288"/>
  <c r="G234"/>
  <c r="G242"/>
  <c r="G252"/>
  <c r="G268"/>
  <c r="G281"/>
  <c r="G289"/>
  <c r="G296"/>
  <c r="G304"/>
  <c r="G232"/>
  <c r="G240"/>
  <c r="G250"/>
  <c r="G258"/>
  <c r="G309"/>
  <c r="G225"/>
  <c r="G235"/>
  <c r="G243"/>
  <c r="G245"/>
  <c r="G253"/>
  <c r="G270"/>
  <c r="G277"/>
  <c r="G285"/>
  <c r="G298"/>
  <c r="G311"/>
  <c r="G233"/>
  <c r="G241"/>
  <c r="G251"/>
  <c r="G259"/>
  <c r="G315"/>
  <c r="G319"/>
  <c r="G330"/>
  <c r="G336"/>
  <c r="G265"/>
  <c r="G273"/>
  <c r="G283"/>
  <c r="G291"/>
  <c r="G293"/>
  <c r="G301"/>
  <c r="G320"/>
  <c r="G365"/>
  <c r="G266"/>
  <c r="G274"/>
  <c r="G284"/>
  <c r="G294"/>
  <c r="G302"/>
  <c r="G317"/>
  <c r="G261"/>
  <c r="G269"/>
  <c r="G279"/>
  <c r="G287"/>
  <c r="G297"/>
  <c r="G305"/>
  <c r="G312"/>
  <c r="G378"/>
  <c r="G390"/>
  <c r="G264"/>
  <c r="G272"/>
  <c r="G282"/>
  <c r="G290"/>
  <c r="G300"/>
  <c r="G318"/>
  <c r="G327"/>
  <c r="G335"/>
  <c r="G341"/>
  <c r="G363"/>
  <c r="G323"/>
  <c r="G325"/>
  <c r="G333"/>
  <c r="G343"/>
  <c r="G401"/>
  <c r="G313"/>
  <c r="G321"/>
  <c r="G331"/>
  <c r="G361"/>
  <c r="G306"/>
  <c r="G316"/>
  <c r="G326"/>
  <c r="G334"/>
  <c r="G338"/>
  <c r="G345"/>
  <c r="G314"/>
  <c r="G322"/>
  <c r="G332"/>
  <c r="G346"/>
  <c r="G347"/>
  <c r="G355"/>
  <c r="G358"/>
  <c r="G376"/>
  <c r="G396"/>
  <c r="G351"/>
  <c r="G383"/>
  <c r="G392"/>
  <c r="G403"/>
  <c r="G349"/>
  <c r="G360"/>
  <c r="G381"/>
  <c r="G344"/>
  <c r="G352"/>
  <c r="G366"/>
  <c r="G369"/>
  <c r="G380"/>
  <c r="G342"/>
  <c r="G350"/>
  <c r="G357"/>
  <c r="G354"/>
  <c r="G364"/>
  <c r="G393"/>
  <c r="G398"/>
  <c r="G359"/>
  <c r="G367"/>
  <c r="G370"/>
  <c r="G384"/>
  <c r="G386"/>
  <c r="G362"/>
  <c r="G371"/>
  <c r="G400"/>
  <c r="G373"/>
  <c r="G375"/>
  <c r="G395"/>
  <c r="G377"/>
  <c r="G385"/>
  <c r="G391"/>
  <c r="G399"/>
  <c r="G368"/>
  <c r="G374"/>
  <c r="G382"/>
  <c r="G394"/>
  <c r="G402"/>
  <c r="G379"/>
  <c r="G387"/>
  <c r="G389"/>
  <c r="G397"/>
  <c r="AS28"/>
  <c r="AS15"/>
  <c r="AS141"/>
  <c r="AS142"/>
  <c r="AS12"/>
  <c r="AS30"/>
  <c r="AS173"/>
  <c r="AS94"/>
  <c r="AS77"/>
  <c r="AS78"/>
  <c r="AS86"/>
  <c r="AS153"/>
  <c r="AS40"/>
  <c r="AS10"/>
  <c r="AS22"/>
  <c r="AS7"/>
  <c r="AS17"/>
  <c r="AS37"/>
  <c r="AS66"/>
  <c r="AS130"/>
  <c r="AS169"/>
  <c r="AS42"/>
  <c r="AS50"/>
  <c r="AS58"/>
  <c r="AS106"/>
  <c r="AS114"/>
  <c r="AS122"/>
  <c r="AS217"/>
  <c r="AS9"/>
  <c r="AS25"/>
  <c r="AS33"/>
  <c r="AS43"/>
  <c r="AS51"/>
  <c r="AS69"/>
  <c r="AS70"/>
  <c r="AS107"/>
  <c r="AS115"/>
  <c r="AS133"/>
  <c r="AS134"/>
  <c r="AS177"/>
  <c r="AS194"/>
  <c r="AS18"/>
  <c r="AS27"/>
  <c r="AS35"/>
  <c r="AS38"/>
  <c r="AS160"/>
  <c r="AS161"/>
  <c r="AS165"/>
  <c r="AS201"/>
  <c r="AS5"/>
  <c r="AS13"/>
  <c r="AS23"/>
  <c r="AS31"/>
  <c r="AS41"/>
  <c r="AS59"/>
  <c r="AS67"/>
  <c r="AS71"/>
  <c r="AS79"/>
  <c r="AS87"/>
  <c r="AS95"/>
  <c r="AS123"/>
  <c r="AS131"/>
  <c r="AS135"/>
  <c r="AS143"/>
  <c r="AS8"/>
  <c r="AS16"/>
  <c r="AS26"/>
  <c r="AS34"/>
  <c r="AS48"/>
  <c r="AS60"/>
  <c r="AS88"/>
  <c r="AS96"/>
  <c r="AS104"/>
  <c r="AS112"/>
  <c r="AS124"/>
  <c r="AS209"/>
  <c r="AS214"/>
  <c r="AS222"/>
  <c r="AS248"/>
  <c r="AS11"/>
  <c r="AS19"/>
  <c r="AS21"/>
  <c r="AS29"/>
  <c r="AS39"/>
  <c r="AS151"/>
  <c r="AS181"/>
  <c r="AS183"/>
  <c r="AS233"/>
  <c r="AS240"/>
  <c r="AS6"/>
  <c r="AS14"/>
  <c r="AS24"/>
  <c r="AS32"/>
  <c r="AS49"/>
  <c r="AS53"/>
  <c r="AS61"/>
  <c r="AS76"/>
  <c r="AS89"/>
  <c r="AS97"/>
  <c r="AS105"/>
  <c r="AS113"/>
  <c r="AS117"/>
  <c r="AS125"/>
  <c r="AS140"/>
  <c r="AS46"/>
  <c r="AS56"/>
  <c r="AS64"/>
  <c r="AS74"/>
  <c r="AS82"/>
  <c r="AS92"/>
  <c r="AS102"/>
  <c r="AS110"/>
  <c r="AS120"/>
  <c r="AS128"/>
  <c r="AS138"/>
  <c r="AS146"/>
  <c r="AS152"/>
  <c r="AS155"/>
  <c r="AS163"/>
  <c r="AS170"/>
  <c r="AS178"/>
  <c r="AS190"/>
  <c r="AS239"/>
  <c r="AS269"/>
  <c r="AS44"/>
  <c r="AS54"/>
  <c r="AS62"/>
  <c r="AS72"/>
  <c r="AS80"/>
  <c r="AS90"/>
  <c r="AS98"/>
  <c r="AS108"/>
  <c r="AS118"/>
  <c r="AS126"/>
  <c r="AS136"/>
  <c r="AS144"/>
  <c r="AS171"/>
  <c r="AS179"/>
  <c r="AS47"/>
  <c r="AS57"/>
  <c r="AS65"/>
  <c r="AS75"/>
  <c r="AS83"/>
  <c r="AS85"/>
  <c r="AS93"/>
  <c r="AS103"/>
  <c r="AS111"/>
  <c r="AS121"/>
  <c r="AS129"/>
  <c r="AS139"/>
  <c r="AS147"/>
  <c r="AS149"/>
  <c r="AS159"/>
  <c r="AS191"/>
  <c r="AS256"/>
  <c r="AS319"/>
  <c r="AS45"/>
  <c r="AS55"/>
  <c r="AS63"/>
  <c r="AS73"/>
  <c r="AS81"/>
  <c r="AS91"/>
  <c r="AS99"/>
  <c r="AS101"/>
  <c r="AS109"/>
  <c r="AS119"/>
  <c r="AS127"/>
  <c r="AS137"/>
  <c r="AS145"/>
  <c r="AS150"/>
  <c r="AS273"/>
  <c r="AS293"/>
  <c r="AS158"/>
  <c r="AS168"/>
  <c r="AS176"/>
  <c r="AS186"/>
  <c r="AS187"/>
  <c r="AS199"/>
  <c r="AS207"/>
  <c r="AS216"/>
  <c r="AS231"/>
  <c r="AS232"/>
  <c r="AS156"/>
  <c r="AS166"/>
  <c r="AS174"/>
  <c r="AS184"/>
  <c r="AS188"/>
  <c r="AS241"/>
  <c r="AS249"/>
  <c r="AS257"/>
  <c r="AS154"/>
  <c r="AS162"/>
  <c r="AS172"/>
  <c r="AS182"/>
  <c r="AS204"/>
  <c r="AS219"/>
  <c r="AS265"/>
  <c r="AS157"/>
  <c r="AS167"/>
  <c r="AS175"/>
  <c r="AS185"/>
  <c r="AS189"/>
  <c r="AS198"/>
  <c r="AS206"/>
  <c r="AS192"/>
  <c r="AS202"/>
  <c r="AS210"/>
  <c r="AS220"/>
  <c r="AS250"/>
  <c r="AS258"/>
  <c r="AS280"/>
  <c r="AS282"/>
  <c r="AS311"/>
  <c r="AS195"/>
  <c r="AS197"/>
  <c r="AS205"/>
  <c r="AS215"/>
  <c r="AS223"/>
  <c r="AS230"/>
  <c r="AS288"/>
  <c r="AS290"/>
  <c r="AS305"/>
  <c r="AS200"/>
  <c r="AS208"/>
  <c r="AS218"/>
  <c r="AS238"/>
  <c r="AS251"/>
  <c r="AS259"/>
  <c r="AS297"/>
  <c r="AS193"/>
  <c r="AS203"/>
  <c r="AS211"/>
  <c r="AS213"/>
  <c r="AS221"/>
  <c r="AS226"/>
  <c r="AS301"/>
  <c r="AS236"/>
  <c r="AS246"/>
  <c r="AS254"/>
  <c r="AS262"/>
  <c r="AS270"/>
  <c r="AS283"/>
  <c r="AS291"/>
  <c r="AS298"/>
  <c r="AS313"/>
  <c r="AS322"/>
  <c r="AS337"/>
  <c r="AS350"/>
  <c r="AS402"/>
  <c r="AS224"/>
  <c r="AS234"/>
  <c r="AS242"/>
  <c r="AS252"/>
  <c r="AS264"/>
  <c r="AS272"/>
  <c r="AS279"/>
  <c r="AS287"/>
  <c r="AS300"/>
  <c r="AS341"/>
  <c r="AS227"/>
  <c r="AS229"/>
  <c r="AS237"/>
  <c r="AS247"/>
  <c r="AS255"/>
  <c r="AS330"/>
  <c r="AS331"/>
  <c r="AS332"/>
  <c r="AS345"/>
  <c r="AS225"/>
  <c r="AS235"/>
  <c r="AS243"/>
  <c r="AS245"/>
  <c r="AS253"/>
  <c r="AS261"/>
  <c r="AS307"/>
  <c r="AS267"/>
  <c r="AS275"/>
  <c r="AS277"/>
  <c r="AS285"/>
  <c r="AS295"/>
  <c r="AS303"/>
  <c r="AS309"/>
  <c r="AS314"/>
  <c r="AS342"/>
  <c r="AS343"/>
  <c r="AS376"/>
  <c r="AS268"/>
  <c r="AS278"/>
  <c r="AS286"/>
  <c r="AS296"/>
  <c r="AS304"/>
  <c r="AS306"/>
  <c r="AS320"/>
  <c r="AS338"/>
  <c r="AS373"/>
  <c r="AS263"/>
  <c r="AS271"/>
  <c r="AS281"/>
  <c r="AS289"/>
  <c r="AS299"/>
  <c r="AS317"/>
  <c r="AS321"/>
  <c r="AS329"/>
  <c r="AS339"/>
  <c r="AS357"/>
  <c r="AS266"/>
  <c r="AS274"/>
  <c r="AS284"/>
  <c r="AS294"/>
  <c r="AS302"/>
  <c r="AS312"/>
  <c r="AS348"/>
  <c r="AS327"/>
  <c r="AS335"/>
  <c r="AS390"/>
  <c r="AS315"/>
  <c r="AS323"/>
  <c r="AS325"/>
  <c r="AS333"/>
  <c r="AS347"/>
  <c r="AS310"/>
  <c r="AS318"/>
  <c r="AS328"/>
  <c r="AS316"/>
  <c r="AS326"/>
  <c r="AS334"/>
  <c r="AS336"/>
  <c r="AS349"/>
  <c r="AS352"/>
  <c r="AS353"/>
  <c r="AS355"/>
  <c r="AS359"/>
  <c r="AS363"/>
  <c r="AS395"/>
  <c r="AS351"/>
  <c r="AS365"/>
  <c r="AS397"/>
  <c r="AS346"/>
  <c r="AS360"/>
  <c r="AS374"/>
  <c r="AS378"/>
  <c r="AS387"/>
  <c r="AS344"/>
  <c r="AS362"/>
  <c r="AS371"/>
  <c r="AS392"/>
  <c r="AS358"/>
  <c r="AS366"/>
  <c r="AS368"/>
  <c r="AS379"/>
  <c r="AS381"/>
  <c r="AS403"/>
  <c r="AS361"/>
  <c r="AS394"/>
  <c r="AS398"/>
  <c r="AS354"/>
  <c r="AS364"/>
  <c r="AS384"/>
  <c r="AS386"/>
  <c r="AS389"/>
  <c r="AS369"/>
  <c r="AS382"/>
  <c r="AS400"/>
  <c r="AS367"/>
  <c r="AS375"/>
  <c r="AS383"/>
  <c r="AS393"/>
  <c r="AS401"/>
  <c r="AS370"/>
  <c r="AS380"/>
  <c r="AS396"/>
  <c r="AS377"/>
  <c r="AS385"/>
  <c r="AS391"/>
  <c r="AS399"/>
  <c r="X174"/>
  <c r="X181"/>
  <c r="X97"/>
  <c r="X218"/>
  <c r="X89"/>
  <c r="X124"/>
  <c r="X184"/>
  <c r="X41"/>
  <c r="X18"/>
  <c r="X8"/>
  <c r="X113"/>
  <c r="X19"/>
  <c r="X60"/>
  <c r="X39"/>
  <c r="X90"/>
  <c r="X105"/>
  <c r="X96"/>
  <c r="X207"/>
  <c r="X5"/>
  <c r="X11"/>
  <c r="X13"/>
  <c r="X38"/>
  <c r="X49"/>
  <c r="X88"/>
  <c r="X98"/>
  <c r="X26"/>
  <c r="X281"/>
  <c r="X28"/>
  <c r="X34"/>
  <c r="X42"/>
  <c r="X50"/>
  <c r="X61"/>
  <c r="X62"/>
  <c r="X69"/>
  <c r="X106"/>
  <c r="X114"/>
  <c r="X125"/>
  <c r="X126"/>
  <c r="X133"/>
  <c r="X10"/>
  <c r="X21"/>
  <c r="X29"/>
  <c r="X53"/>
  <c r="X54"/>
  <c r="X117"/>
  <c r="X118"/>
  <c r="X152"/>
  <c r="X205"/>
  <c r="X208"/>
  <c r="X16"/>
  <c r="X23"/>
  <c r="X31"/>
  <c r="X77"/>
  <c r="X141"/>
  <c r="X179"/>
  <c r="X6"/>
  <c r="X14"/>
  <c r="X24"/>
  <c r="X32"/>
  <c r="X43"/>
  <c r="X51"/>
  <c r="X107"/>
  <c r="X115"/>
  <c r="X151"/>
  <c r="X199"/>
  <c r="X200"/>
  <c r="X288"/>
  <c r="X9"/>
  <c r="X17"/>
  <c r="X27"/>
  <c r="X35"/>
  <c r="X37"/>
  <c r="X44"/>
  <c r="X70"/>
  <c r="X78"/>
  <c r="X108"/>
  <c r="X134"/>
  <c r="X142"/>
  <c r="X162"/>
  <c r="X197"/>
  <c r="X310"/>
  <c r="X12"/>
  <c r="X22"/>
  <c r="X30"/>
  <c r="X40"/>
  <c r="X59"/>
  <c r="X67"/>
  <c r="X71"/>
  <c r="X79"/>
  <c r="X87"/>
  <c r="X95"/>
  <c r="X123"/>
  <c r="X131"/>
  <c r="X135"/>
  <c r="X143"/>
  <c r="X154"/>
  <c r="X160"/>
  <c r="X7"/>
  <c r="X15"/>
  <c r="X25"/>
  <c r="X33"/>
  <c r="X72"/>
  <c r="X80"/>
  <c r="X136"/>
  <c r="X144"/>
  <c r="X166"/>
  <c r="X171"/>
  <c r="X47"/>
  <c r="X57"/>
  <c r="X65"/>
  <c r="X75"/>
  <c r="X83"/>
  <c r="X85"/>
  <c r="X93"/>
  <c r="X103"/>
  <c r="X111"/>
  <c r="X121"/>
  <c r="X129"/>
  <c r="X139"/>
  <c r="X147"/>
  <c r="X149"/>
  <c r="X153"/>
  <c r="X161"/>
  <c r="X190"/>
  <c r="X251"/>
  <c r="X360"/>
  <c r="X45"/>
  <c r="X55"/>
  <c r="X63"/>
  <c r="X73"/>
  <c r="X81"/>
  <c r="X91"/>
  <c r="X99"/>
  <c r="X101"/>
  <c r="X109"/>
  <c r="X119"/>
  <c r="X127"/>
  <c r="X137"/>
  <c r="X145"/>
  <c r="X182"/>
  <c r="X48"/>
  <c r="X58"/>
  <c r="X66"/>
  <c r="X76"/>
  <c r="X86"/>
  <c r="X94"/>
  <c r="X104"/>
  <c r="X112"/>
  <c r="X122"/>
  <c r="X130"/>
  <c r="X140"/>
  <c r="X156"/>
  <c r="X170"/>
  <c r="X178"/>
  <c r="X239"/>
  <c r="X46"/>
  <c r="X56"/>
  <c r="X64"/>
  <c r="X74"/>
  <c r="X82"/>
  <c r="X92"/>
  <c r="X102"/>
  <c r="X110"/>
  <c r="X120"/>
  <c r="X128"/>
  <c r="X138"/>
  <c r="X146"/>
  <c r="X172"/>
  <c r="X220"/>
  <c r="X229"/>
  <c r="X259"/>
  <c r="X262"/>
  <c r="X280"/>
  <c r="X159"/>
  <c r="X169"/>
  <c r="X177"/>
  <c r="X224"/>
  <c r="X252"/>
  <c r="X157"/>
  <c r="X167"/>
  <c r="X175"/>
  <c r="X185"/>
  <c r="X187"/>
  <c r="X188"/>
  <c r="X215"/>
  <c r="X223"/>
  <c r="X155"/>
  <c r="X163"/>
  <c r="X165"/>
  <c r="X173"/>
  <c r="X183"/>
  <c r="X189"/>
  <c r="X191"/>
  <c r="X195"/>
  <c r="X202"/>
  <c r="X210"/>
  <c r="X217"/>
  <c r="X266"/>
  <c r="X289"/>
  <c r="X150"/>
  <c r="X158"/>
  <c r="X168"/>
  <c r="X176"/>
  <c r="X186"/>
  <c r="X192"/>
  <c r="X265"/>
  <c r="X193"/>
  <c r="X203"/>
  <c r="X211"/>
  <c r="X213"/>
  <c r="X221"/>
  <c r="X231"/>
  <c r="X232"/>
  <c r="X240"/>
  <c r="X301"/>
  <c r="X302"/>
  <c r="X341"/>
  <c r="X198"/>
  <c r="X206"/>
  <c r="X216"/>
  <c r="X227"/>
  <c r="X233"/>
  <c r="X241"/>
  <c r="X249"/>
  <c r="X257"/>
  <c r="X293"/>
  <c r="X294"/>
  <c r="X315"/>
  <c r="X318"/>
  <c r="X363"/>
  <c r="X201"/>
  <c r="X209"/>
  <c r="X219"/>
  <c r="X234"/>
  <c r="X242"/>
  <c r="X358"/>
  <c r="X194"/>
  <c r="X204"/>
  <c r="X214"/>
  <c r="X222"/>
  <c r="X250"/>
  <c r="X258"/>
  <c r="X273"/>
  <c r="X274"/>
  <c r="X331"/>
  <c r="X237"/>
  <c r="X247"/>
  <c r="X255"/>
  <c r="X338"/>
  <c r="X225"/>
  <c r="X235"/>
  <c r="X243"/>
  <c r="X245"/>
  <c r="X253"/>
  <c r="X270"/>
  <c r="X283"/>
  <c r="X291"/>
  <c r="X298"/>
  <c r="X312"/>
  <c r="X353"/>
  <c r="X230"/>
  <c r="X238"/>
  <c r="X248"/>
  <c r="X256"/>
  <c r="X263"/>
  <c r="X271"/>
  <c r="X284"/>
  <c r="X299"/>
  <c r="X385"/>
  <c r="X226"/>
  <c r="X236"/>
  <c r="X246"/>
  <c r="X254"/>
  <c r="X321"/>
  <c r="X323"/>
  <c r="X348"/>
  <c r="X268"/>
  <c r="X278"/>
  <c r="X286"/>
  <c r="X296"/>
  <c r="X304"/>
  <c r="X322"/>
  <c r="X330"/>
  <c r="X342"/>
  <c r="X399"/>
  <c r="X261"/>
  <c r="X269"/>
  <c r="X279"/>
  <c r="X287"/>
  <c r="X297"/>
  <c r="X305"/>
  <c r="X332"/>
  <c r="X350"/>
  <c r="X264"/>
  <c r="X272"/>
  <c r="X282"/>
  <c r="X290"/>
  <c r="X300"/>
  <c r="X313"/>
  <c r="X325"/>
  <c r="X333"/>
  <c r="X339"/>
  <c r="X267"/>
  <c r="X275"/>
  <c r="X277"/>
  <c r="X285"/>
  <c r="X295"/>
  <c r="X303"/>
  <c r="X307"/>
  <c r="X314"/>
  <c r="X320"/>
  <c r="X328"/>
  <c r="X336"/>
  <c r="X349"/>
  <c r="X306"/>
  <c r="X316"/>
  <c r="X326"/>
  <c r="X334"/>
  <c r="X351"/>
  <c r="X383"/>
  <c r="X393"/>
  <c r="X403"/>
  <c r="X311"/>
  <c r="X319"/>
  <c r="X329"/>
  <c r="X343"/>
  <c r="X354"/>
  <c r="X364"/>
  <c r="X309"/>
  <c r="X317"/>
  <c r="X327"/>
  <c r="X335"/>
  <c r="X361"/>
  <c r="X398"/>
  <c r="X346"/>
  <c r="X366"/>
  <c r="X344"/>
  <c r="X337"/>
  <c r="X347"/>
  <c r="X370"/>
  <c r="X381"/>
  <c r="X345"/>
  <c r="X386"/>
  <c r="X359"/>
  <c r="X367"/>
  <c r="X373"/>
  <c r="X375"/>
  <c r="X377"/>
  <c r="X395"/>
  <c r="X352"/>
  <c r="X362"/>
  <c r="X390"/>
  <c r="X401"/>
  <c r="X355"/>
  <c r="X357"/>
  <c r="X365"/>
  <c r="X369"/>
  <c r="X378"/>
  <c r="X380"/>
  <c r="X396"/>
  <c r="X391"/>
  <c r="X368"/>
  <c r="X374"/>
  <c r="X382"/>
  <c r="X394"/>
  <c r="X402"/>
  <c r="X371"/>
  <c r="X379"/>
  <c r="X387"/>
  <c r="X389"/>
  <c r="X397"/>
  <c r="X376"/>
  <c r="X384"/>
  <c r="X392"/>
  <c r="X400"/>
  <c r="BJ102"/>
  <c r="BJ101"/>
  <c r="BJ51"/>
  <c r="BJ13"/>
  <c r="BJ44"/>
  <c r="BJ7"/>
  <c r="BJ56"/>
  <c r="BJ30"/>
  <c r="BJ108"/>
  <c r="BJ28"/>
  <c r="BJ43"/>
  <c r="BJ64"/>
  <c r="BJ71"/>
  <c r="BJ22"/>
  <c r="BJ107"/>
  <c r="BJ128"/>
  <c r="BJ135"/>
  <c r="BJ115"/>
  <c r="BJ120"/>
  <c r="BJ45"/>
  <c r="BJ46"/>
  <c r="BJ15"/>
  <c r="BJ109"/>
  <c r="BJ110"/>
  <c r="BJ193"/>
  <c r="BJ214"/>
  <c r="BJ222"/>
  <c r="BJ23"/>
  <c r="BJ31"/>
  <c r="BJ25"/>
  <c r="BJ33"/>
  <c r="BJ79"/>
  <c r="BJ143"/>
  <c r="BJ182"/>
  <c r="BJ184"/>
  <c r="BJ286"/>
  <c r="BJ10"/>
  <c r="BJ18"/>
  <c r="BJ38"/>
  <c r="BJ92"/>
  <c r="BJ162"/>
  <c r="BJ303"/>
  <c r="BJ5"/>
  <c r="BJ6"/>
  <c r="BJ12"/>
  <c r="BJ40"/>
  <c r="BJ351"/>
  <c r="BJ8"/>
  <c r="BJ16"/>
  <c r="BJ26"/>
  <c r="BJ34"/>
  <c r="BJ72"/>
  <c r="BJ73"/>
  <c r="BJ80"/>
  <c r="BJ81"/>
  <c r="BJ136"/>
  <c r="BJ137"/>
  <c r="BJ144"/>
  <c r="BJ145"/>
  <c r="BJ154"/>
  <c r="BJ158"/>
  <c r="BJ163"/>
  <c r="BJ192"/>
  <c r="BJ11"/>
  <c r="BJ19"/>
  <c r="BJ21"/>
  <c r="BJ29"/>
  <c r="BJ39"/>
  <c r="BJ74"/>
  <c r="BJ82"/>
  <c r="BJ138"/>
  <c r="BJ146"/>
  <c r="BJ155"/>
  <c r="BJ166"/>
  <c r="BJ219"/>
  <c r="BJ14"/>
  <c r="BJ24"/>
  <c r="BJ32"/>
  <c r="BJ53"/>
  <c r="BJ61"/>
  <c r="BJ89"/>
  <c r="BJ97"/>
  <c r="BJ117"/>
  <c r="BJ125"/>
  <c r="BJ174"/>
  <c r="BJ9"/>
  <c r="BJ17"/>
  <c r="BJ27"/>
  <c r="BJ35"/>
  <c r="BJ37"/>
  <c r="BJ54"/>
  <c r="BJ55"/>
  <c r="BJ62"/>
  <c r="BJ63"/>
  <c r="BJ90"/>
  <c r="BJ91"/>
  <c r="BJ98"/>
  <c r="BJ99"/>
  <c r="BJ118"/>
  <c r="BJ119"/>
  <c r="BJ126"/>
  <c r="BJ127"/>
  <c r="BJ41"/>
  <c r="BJ49"/>
  <c r="BJ59"/>
  <c r="BJ67"/>
  <c r="BJ69"/>
  <c r="BJ77"/>
  <c r="BJ87"/>
  <c r="BJ95"/>
  <c r="BJ105"/>
  <c r="BJ113"/>
  <c r="BJ123"/>
  <c r="BJ131"/>
  <c r="BJ133"/>
  <c r="BJ141"/>
  <c r="BJ156"/>
  <c r="BJ183"/>
  <c r="BJ47"/>
  <c r="BJ57"/>
  <c r="BJ65"/>
  <c r="BJ75"/>
  <c r="BJ83"/>
  <c r="BJ85"/>
  <c r="BJ93"/>
  <c r="BJ103"/>
  <c r="BJ111"/>
  <c r="BJ121"/>
  <c r="BJ129"/>
  <c r="BJ139"/>
  <c r="BJ147"/>
  <c r="BJ149"/>
  <c r="BJ150"/>
  <c r="BJ172"/>
  <c r="BJ186"/>
  <c r="BJ204"/>
  <c r="BJ307"/>
  <c r="BJ42"/>
  <c r="BJ50"/>
  <c r="BJ60"/>
  <c r="BJ70"/>
  <c r="BJ78"/>
  <c r="BJ88"/>
  <c r="BJ96"/>
  <c r="BJ106"/>
  <c r="BJ114"/>
  <c r="BJ124"/>
  <c r="BJ134"/>
  <c r="BJ142"/>
  <c r="BJ165"/>
  <c r="BJ173"/>
  <c r="BJ199"/>
  <c r="BJ207"/>
  <c r="BJ48"/>
  <c r="BJ58"/>
  <c r="BJ66"/>
  <c r="BJ76"/>
  <c r="BJ86"/>
  <c r="BJ94"/>
  <c r="BJ104"/>
  <c r="BJ112"/>
  <c r="BJ122"/>
  <c r="BJ130"/>
  <c r="BJ140"/>
  <c r="BJ168"/>
  <c r="BJ176"/>
  <c r="BJ242"/>
  <c r="BJ243"/>
  <c r="BJ278"/>
  <c r="BJ291"/>
  <c r="BJ403"/>
  <c r="BJ153"/>
  <c r="BJ161"/>
  <c r="BJ171"/>
  <c r="BJ179"/>
  <c r="BJ181"/>
  <c r="BJ189"/>
  <c r="BJ194"/>
  <c r="BJ201"/>
  <c r="BJ209"/>
  <c r="BJ223"/>
  <c r="BJ225"/>
  <c r="BJ295"/>
  <c r="BJ300"/>
  <c r="BJ333"/>
  <c r="BJ151"/>
  <c r="BJ159"/>
  <c r="BJ169"/>
  <c r="BJ177"/>
  <c r="BJ202"/>
  <c r="BJ210"/>
  <c r="BJ217"/>
  <c r="BJ283"/>
  <c r="BJ157"/>
  <c r="BJ167"/>
  <c r="BJ175"/>
  <c r="BJ185"/>
  <c r="BJ191"/>
  <c r="BJ233"/>
  <c r="BJ152"/>
  <c r="BJ160"/>
  <c r="BJ170"/>
  <c r="BJ178"/>
  <c r="BJ220"/>
  <c r="BJ224"/>
  <c r="BJ234"/>
  <c r="BJ235"/>
  <c r="BJ241"/>
  <c r="BJ187"/>
  <c r="BJ195"/>
  <c r="BJ197"/>
  <c r="BJ205"/>
  <c r="BJ215"/>
  <c r="BJ226"/>
  <c r="BJ236"/>
  <c r="BJ316"/>
  <c r="BJ325"/>
  <c r="BJ326"/>
  <c r="BJ327"/>
  <c r="BJ343"/>
  <c r="BJ190"/>
  <c r="BJ200"/>
  <c r="BJ208"/>
  <c r="BJ218"/>
  <c r="BJ251"/>
  <c r="BJ275"/>
  <c r="BJ306"/>
  <c r="BJ203"/>
  <c r="BJ211"/>
  <c r="BJ213"/>
  <c r="BJ221"/>
  <c r="BJ245"/>
  <c r="BJ252"/>
  <c r="BJ253"/>
  <c r="BJ267"/>
  <c r="BJ272"/>
  <c r="BJ350"/>
  <c r="BJ188"/>
  <c r="BJ198"/>
  <c r="BJ206"/>
  <c r="BJ216"/>
  <c r="BJ246"/>
  <c r="BJ254"/>
  <c r="BJ264"/>
  <c r="BJ312"/>
  <c r="BJ315"/>
  <c r="BJ334"/>
  <c r="BJ345"/>
  <c r="BJ231"/>
  <c r="BJ239"/>
  <c r="BJ249"/>
  <c r="BJ257"/>
  <c r="BJ277"/>
  <c r="BJ285"/>
  <c r="BJ335"/>
  <c r="BJ227"/>
  <c r="BJ229"/>
  <c r="BJ237"/>
  <c r="BJ247"/>
  <c r="BJ255"/>
  <c r="BJ366"/>
  <c r="BJ232"/>
  <c r="BJ240"/>
  <c r="BJ250"/>
  <c r="BJ258"/>
  <c r="BJ265"/>
  <c r="BJ273"/>
  <c r="BJ293"/>
  <c r="BJ301"/>
  <c r="BJ317"/>
  <c r="BJ323"/>
  <c r="BJ342"/>
  <c r="BJ230"/>
  <c r="BJ238"/>
  <c r="BJ248"/>
  <c r="BJ256"/>
  <c r="BJ268"/>
  <c r="BJ282"/>
  <c r="BJ290"/>
  <c r="BJ296"/>
  <c r="BJ304"/>
  <c r="BJ383"/>
  <c r="BJ262"/>
  <c r="BJ270"/>
  <c r="BJ280"/>
  <c r="BJ288"/>
  <c r="BJ298"/>
  <c r="BJ332"/>
  <c r="BJ263"/>
  <c r="BJ271"/>
  <c r="BJ281"/>
  <c r="BJ289"/>
  <c r="BJ299"/>
  <c r="BJ266"/>
  <c r="BJ274"/>
  <c r="BJ284"/>
  <c r="BJ294"/>
  <c r="BJ302"/>
  <c r="BJ336"/>
  <c r="BJ392"/>
  <c r="BJ259"/>
  <c r="BJ261"/>
  <c r="BJ269"/>
  <c r="BJ279"/>
  <c r="BJ287"/>
  <c r="BJ297"/>
  <c r="BJ305"/>
  <c r="BJ309"/>
  <c r="BJ314"/>
  <c r="BJ322"/>
  <c r="BJ344"/>
  <c r="BJ320"/>
  <c r="BJ330"/>
  <c r="BJ398"/>
  <c r="BJ310"/>
  <c r="BJ318"/>
  <c r="BJ328"/>
  <c r="BJ338"/>
  <c r="BJ352"/>
  <c r="BJ313"/>
  <c r="BJ321"/>
  <c r="BJ331"/>
  <c r="BJ365"/>
  <c r="BJ369"/>
  <c r="BJ311"/>
  <c r="BJ319"/>
  <c r="BJ329"/>
  <c r="BJ348"/>
  <c r="BJ360"/>
  <c r="BJ381"/>
  <c r="BJ346"/>
  <c r="BJ362"/>
  <c r="BJ386"/>
  <c r="BJ389"/>
  <c r="BJ339"/>
  <c r="BJ341"/>
  <c r="BJ349"/>
  <c r="BJ353"/>
  <c r="BJ357"/>
  <c r="BJ379"/>
  <c r="BJ393"/>
  <c r="BJ337"/>
  <c r="BJ347"/>
  <c r="BJ355"/>
  <c r="BJ358"/>
  <c r="BJ363"/>
  <c r="BJ384"/>
  <c r="BJ361"/>
  <c r="BJ400"/>
  <c r="BJ354"/>
  <c r="BJ364"/>
  <c r="BJ371"/>
  <c r="BJ373"/>
  <c r="BJ375"/>
  <c r="BJ387"/>
  <c r="BJ395"/>
  <c r="BJ359"/>
  <c r="BJ367"/>
  <c r="BJ390"/>
  <c r="BJ401"/>
  <c r="BJ368"/>
  <c r="BJ376"/>
  <c r="BJ378"/>
  <c r="BJ397"/>
  <c r="BJ370"/>
  <c r="BJ380"/>
  <c r="BJ396"/>
  <c r="BJ377"/>
  <c r="BJ385"/>
  <c r="BJ391"/>
  <c r="BJ399"/>
  <c r="BJ374"/>
  <c r="BJ382"/>
  <c r="BJ394"/>
  <c r="BJ402"/>
  <c r="U87"/>
  <c r="U18"/>
  <c r="U17"/>
  <c r="U35"/>
  <c r="U104"/>
  <c r="U7"/>
  <c r="U67"/>
  <c r="U112"/>
  <c r="U95"/>
  <c r="U251"/>
  <c r="U59"/>
  <c r="U88"/>
  <c r="U123"/>
  <c r="U96"/>
  <c r="U37"/>
  <c r="U48"/>
  <c r="U10"/>
  <c r="U38"/>
  <c r="U97"/>
  <c r="U131"/>
  <c r="U25"/>
  <c r="U150"/>
  <c r="U27"/>
  <c r="U33"/>
  <c r="U12"/>
  <c r="U40"/>
  <c r="U60"/>
  <c r="U71"/>
  <c r="U89"/>
  <c r="U124"/>
  <c r="U135"/>
  <c r="U214"/>
  <c r="U222"/>
  <c r="U9"/>
  <c r="U49"/>
  <c r="U105"/>
  <c r="U113"/>
  <c r="U28"/>
  <c r="U61"/>
  <c r="U79"/>
  <c r="U125"/>
  <c r="U143"/>
  <c r="U152"/>
  <c r="U171"/>
  <c r="U15"/>
  <c r="U22"/>
  <c r="U30"/>
  <c r="U53"/>
  <c r="U76"/>
  <c r="U117"/>
  <c r="U140"/>
  <c r="U178"/>
  <c r="U179"/>
  <c r="U190"/>
  <c r="U5"/>
  <c r="U13"/>
  <c r="U23"/>
  <c r="U31"/>
  <c r="U41"/>
  <c r="U42"/>
  <c r="U50"/>
  <c r="U106"/>
  <c r="U114"/>
  <c r="U258"/>
  <c r="U8"/>
  <c r="U16"/>
  <c r="U26"/>
  <c r="U34"/>
  <c r="U69"/>
  <c r="U77"/>
  <c r="U133"/>
  <c r="U141"/>
  <c r="U151"/>
  <c r="U189"/>
  <c r="U217"/>
  <c r="U250"/>
  <c r="U11"/>
  <c r="U19"/>
  <c r="U21"/>
  <c r="U29"/>
  <c r="U39"/>
  <c r="U43"/>
  <c r="U51"/>
  <c r="U58"/>
  <c r="U66"/>
  <c r="U70"/>
  <c r="U78"/>
  <c r="U86"/>
  <c r="U94"/>
  <c r="U107"/>
  <c r="U115"/>
  <c r="U122"/>
  <c r="U130"/>
  <c r="U134"/>
  <c r="U142"/>
  <c r="U163"/>
  <c r="U6"/>
  <c r="U14"/>
  <c r="U24"/>
  <c r="U32"/>
  <c r="U155"/>
  <c r="U159"/>
  <c r="U170"/>
  <c r="U259"/>
  <c r="U262"/>
  <c r="U46"/>
  <c r="U56"/>
  <c r="U64"/>
  <c r="U74"/>
  <c r="U82"/>
  <c r="U92"/>
  <c r="U102"/>
  <c r="U110"/>
  <c r="U120"/>
  <c r="U128"/>
  <c r="U138"/>
  <c r="U146"/>
  <c r="U160"/>
  <c r="U165"/>
  <c r="U173"/>
  <c r="U44"/>
  <c r="U54"/>
  <c r="U62"/>
  <c r="U72"/>
  <c r="U80"/>
  <c r="U90"/>
  <c r="U98"/>
  <c r="U108"/>
  <c r="U118"/>
  <c r="U126"/>
  <c r="U136"/>
  <c r="U144"/>
  <c r="U153"/>
  <c r="U161"/>
  <c r="U191"/>
  <c r="U272"/>
  <c r="U47"/>
  <c r="U57"/>
  <c r="U65"/>
  <c r="U75"/>
  <c r="U83"/>
  <c r="U85"/>
  <c r="U93"/>
  <c r="U103"/>
  <c r="U111"/>
  <c r="U121"/>
  <c r="U129"/>
  <c r="U139"/>
  <c r="U147"/>
  <c r="U149"/>
  <c r="U169"/>
  <c r="U177"/>
  <c r="U181"/>
  <c r="U264"/>
  <c r="U279"/>
  <c r="U45"/>
  <c r="U55"/>
  <c r="U63"/>
  <c r="U73"/>
  <c r="U81"/>
  <c r="U91"/>
  <c r="U99"/>
  <c r="U101"/>
  <c r="U109"/>
  <c r="U119"/>
  <c r="U127"/>
  <c r="U137"/>
  <c r="U145"/>
  <c r="U183"/>
  <c r="U198"/>
  <c r="U206"/>
  <c r="U392"/>
  <c r="U158"/>
  <c r="U168"/>
  <c r="U176"/>
  <c r="U186"/>
  <c r="U204"/>
  <c r="U219"/>
  <c r="U238"/>
  <c r="U270"/>
  <c r="U283"/>
  <c r="U156"/>
  <c r="U166"/>
  <c r="U174"/>
  <c r="U184"/>
  <c r="U194"/>
  <c r="U322"/>
  <c r="U154"/>
  <c r="U162"/>
  <c r="U172"/>
  <c r="U182"/>
  <c r="U188"/>
  <c r="U199"/>
  <c r="U207"/>
  <c r="U216"/>
  <c r="U287"/>
  <c r="U157"/>
  <c r="U167"/>
  <c r="U175"/>
  <c r="U185"/>
  <c r="U187"/>
  <c r="U201"/>
  <c r="U209"/>
  <c r="U192"/>
  <c r="U202"/>
  <c r="U210"/>
  <c r="U220"/>
  <c r="U230"/>
  <c r="U239"/>
  <c r="U291"/>
  <c r="U309"/>
  <c r="U195"/>
  <c r="U197"/>
  <c r="U205"/>
  <c r="U215"/>
  <c r="U223"/>
  <c r="U232"/>
  <c r="U240"/>
  <c r="U248"/>
  <c r="U256"/>
  <c r="U261"/>
  <c r="U298"/>
  <c r="U300"/>
  <c r="U200"/>
  <c r="U208"/>
  <c r="U218"/>
  <c r="U226"/>
  <c r="U402"/>
  <c r="U193"/>
  <c r="U203"/>
  <c r="U211"/>
  <c r="U213"/>
  <c r="U221"/>
  <c r="U231"/>
  <c r="U233"/>
  <c r="U241"/>
  <c r="U249"/>
  <c r="U257"/>
  <c r="U311"/>
  <c r="U343"/>
  <c r="U236"/>
  <c r="U246"/>
  <c r="U254"/>
  <c r="U265"/>
  <c r="U273"/>
  <c r="U280"/>
  <c r="U288"/>
  <c r="U293"/>
  <c r="U301"/>
  <c r="U355"/>
  <c r="U224"/>
  <c r="U234"/>
  <c r="U242"/>
  <c r="U252"/>
  <c r="U269"/>
  <c r="U282"/>
  <c r="U290"/>
  <c r="U297"/>
  <c r="U305"/>
  <c r="U330"/>
  <c r="U227"/>
  <c r="U229"/>
  <c r="U237"/>
  <c r="U247"/>
  <c r="U255"/>
  <c r="U225"/>
  <c r="U235"/>
  <c r="U243"/>
  <c r="U245"/>
  <c r="U253"/>
  <c r="U314"/>
  <c r="U267"/>
  <c r="U275"/>
  <c r="U277"/>
  <c r="U285"/>
  <c r="U295"/>
  <c r="U303"/>
  <c r="U307"/>
  <c r="U320"/>
  <c r="U321"/>
  <c r="U329"/>
  <c r="U341"/>
  <c r="U268"/>
  <c r="U278"/>
  <c r="U286"/>
  <c r="U296"/>
  <c r="U304"/>
  <c r="U317"/>
  <c r="U331"/>
  <c r="U337"/>
  <c r="U347"/>
  <c r="U397"/>
  <c r="U263"/>
  <c r="U271"/>
  <c r="U281"/>
  <c r="U289"/>
  <c r="U299"/>
  <c r="U312"/>
  <c r="U338"/>
  <c r="U349"/>
  <c r="U266"/>
  <c r="U274"/>
  <c r="U284"/>
  <c r="U294"/>
  <c r="U302"/>
  <c r="U306"/>
  <c r="U313"/>
  <c r="U319"/>
  <c r="U332"/>
  <c r="U327"/>
  <c r="U335"/>
  <c r="U348"/>
  <c r="U363"/>
  <c r="U365"/>
  <c r="U315"/>
  <c r="U323"/>
  <c r="U325"/>
  <c r="U333"/>
  <c r="U362"/>
  <c r="U310"/>
  <c r="U318"/>
  <c r="U328"/>
  <c r="U336"/>
  <c r="U339"/>
  <c r="U342"/>
  <c r="U345"/>
  <c r="U350"/>
  <c r="U379"/>
  <c r="U381"/>
  <c r="U403"/>
  <c r="U316"/>
  <c r="U326"/>
  <c r="U334"/>
  <c r="U359"/>
  <c r="U351"/>
  <c r="U353"/>
  <c r="U360"/>
  <c r="U374"/>
  <c r="U378"/>
  <c r="U346"/>
  <c r="U367"/>
  <c r="U390"/>
  <c r="U344"/>
  <c r="U352"/>
  <c r="U357"/>
  <c r="U369"/>
  <c r="U376"/>
  <c r="U358"/>
  <c r="U366"/>
  <c r="U371"/>
  <c r="U394"/>
  <c r="U398"/>
  <c r="U361"/>
  <c r="U384"/>
  <c r="U386"/>
  <c r="U389"/>
  <c r="U354"/>
  <c r="U364"/>
  <c r="U368"/>
  <c r="U382"/>
  <c r="U400"/>
  <c r="U373"/>
  <c r="U387"/>
  <c r="U395"/>
  <c r="U375"/>
  <c r="U383"/>
  <c r="U393"/>
  <c r="U401"/>
  <c r="U370"/>
  <c r="U380"/>
  <c r="U396"/>
  <c r="U377"/>
  <c r="U385"/>
  <c r="U391"/>
  <c r="U399"/>
  <c r="S11"/>
  <c r="S19"/>
  <c r="S5"/>
  <c r="S6"/>
  <c r="S17"/>
  <c r="S206"/>
  <c r="S37"/>
  <c r="S45"/>
  <c r="S88"/>
  <c r="S101"/>
  <c r="S165"/>
  <c r="S22"/>
  <c r="S24"/>
  <c r="S39"/>
  <c r="S96"/>
  <c r="S109"/>
  <c r="S30"/>
  <c r="S32"/>
  <c r="S81"/>
  <c r="S179"/>
  <c r="S145"/>
  <c r="S321"/>
  <c r="S27"/>
  <c r="S35"/>
  <c r="S60"/>
  <c r="S71"/>
  <c r="S72"/>
  <c r="S124"/>
  <c r="S135"/>
  <c r="S136"/>
  <c r="S173"/>
  <c r="S12"/>
  <c r="S14"/>
  <c r="S21"/>
  <c r="S29"/>
  <c r="S40"/>
  <c r="S73"/>
  <c r="S137"/>
  <c r="S172"/>
  <c r="S9"/>
  <c r="S79"/>
  <c r="S80"/>
  <c r="S143"/>
  <c r="S144"/>
  <c r="S152"/>
  <c r="S171"/>
  <c r="S7"/>
  <c r="S15"/>
  <c r="S25"/>
  <c r="S33"/>
  <c r="S53"/>
  <c r="S54"/>
  <c r="S61"/>
  <c r="S62"/>
  <c r="S89"/>
  <c r="S90"/>
  <c r="S97"/>
  <c r="S98"/>
  <c r="S117"/>
  <c r="S118"/>
  <c r="S125"/>
  <c r="S126"/>
  <c r="S181"/>
  <c r="S182"/>
  <c r="S183"/>
  <c r="S218"/>
  <c r="S10"/>
  <c r="S18"/>
  <c r="S28"/>
  <c r="S38"/>
  <c r="S42"/>
  <c r="S50"/>
  <c r="S55"/>
  <c r="S63"/>
  <c r="S91"/>
  <c r="S99"/>
  <c r="S106"/>
  <c r="S114"/>
  <c r="S119"/>
  <c r="S127"/>
  <c r="S185"/>
  <c r="S216"/>
  <c r="S13"/>
  <c r="S23"/>
  <c r="S31"/>
  <c r="S41"/>
  <c r="S157"/>
  <c r="S198"/>
  <c r="S8"/>
  <c r="S16"/>
  <c r="S26"/>
  <c r="S34"/>
  <c r="S43"/>
  <c r="S44"/>
  <c r="S51"/>
  <c r="S70"/>
  <c r="S78"/>
  <c r="S107"/>
  <c r="S108"/>
  <c r="S115"/>
  <c r="S134"/>
  <c r="S142"/>
  <c r="S233"/>
  <c r="S48"/>
  <c r="S58"/>
  <c r="S66"/>
  <c r="S76"/>
  <c r="S86"/>
  <c r="S94"/>
  <c r="S104"/>
  <c r="S112"/>
  <c r="S122"/>
  <c r="S130"/>
  <c r="S140"/>
  <c r="S188"/>
  <c r="S46"/>
  <c r="S56"/>
  <c r="S64"/>
  <c r="S74"/>
  <c r="S82"/>
  <c r="S92"/>
  <c r="S102"/>
  <c r="S110"/>
  <c r="S120"/>
  <c r="S128"/>
  <c r="S138"/>
  <c r="S146"/>
  <c r="S167"/>
  <c r="S175"/>
  <c r="S193"/>
  <c r="S241"/>
  <c r="S242"/>
  <c r="S326"/>
  <c r="S49"/>
  <c r="S59"/>
  <c r="S67"/>
  <c r="S69"/>
  <c r="S77"/>
  <c r="S87"/>
  <c r="S95"/>
  <c r="S105"/>
  <c r="S113"/>
  <c r="S123"/>
  <c r="S131"/>
  <c r="S133"/>
  <c r="S141"/>
  <c r="S153"/>
  <c r="S154"/>
  <c r="S161"/>
  <c r="S162"/>
  <c r="S272"/>
  <c r="S47"/>
  <c r="S57"/>
  <c r="S65"/>
  <c r="S75"/>
  <c r="S83"/>
  <c r="S85"/>
  <c r="S93"/>
  <c r="S103"/>
  <c r="S111"/>
  <c r="S121"/>
  <c r="S129"/>
  <c r="S139"/>
  <c r="S147"/>
  <c r="S149"/>
  <c r="S155"/>
  <c r="S163"/>
  <c r="S201"/>
  <c r="S203"/>
  <c r="S209"/>
  <c r="S211"/>
  <c r="S234"/>
  <c r="S235"/>
  <c r="S285"/>
  <c r="S343"/>
  <c r="S160"/>
  <c r="S170"/>
  <c r="S178"/>
  <c r="S189"/>
  <c r="S191"/>
  <c r="S192"/>
  <c r="S243"/>
  <c r="S250"/>
  <c r="S258"/>
  <c r="S264"/>
  <c r="S150"/>
  <c r="S158"/>
  <c r="S168"/>
  <c r="S176"/>
  <c r="S186"/>
  <c r="S190"/>
  <c r="S213"/>
  <c r="S219"/>
  <c r="S221"/>
  <c r="S251"/>
  <c r="S252"/>
  <c r="S259"/>
  <c r="S281"/>
  <c r="S156"/>
  <c r="S166"/>
  <c r="S174"/>
  <c r="S184"/>
  <c r="S200"/>
  <c r="S208"/>
  <c r="S274"/>
  <c r="S151"/>
  <c r="S159"/>
  <c r="S169"/>
  <c r="S177"/>
  <c r="S266"/>
  <c r="S277"/>
  <c r="S314"/>
  <c r="S194"/>
  <c r="S204"/>
  <c r="S214"/>
  <c r="S222"/>
  <c r="S224"/>
  <c r="S245"/>
  <c r="S253"/>
  <c r="S289"/>
  <c r="S199"/>
  <c r="S207"/>
  <c r="S217"/>
  <c r="S225"/>
  <c r="S302"/>
  <c r="S333"/>
  <c r="S202"/>
  <c r="S210"/>
  <c r="S220"/>
  <c r="S230"/>
  <c r="S232"/>
  <c r="S240"/>
  <c r="S261"/>
  <c r="S294"/>
  <c r="S300"/>
  <c r="S306"/>
  <c r="S315"/>
  <c r="S332"/>
  <c r="S187"/>
  <c r="S195"/>
  <c r="S197"/>
  <c r="S205"/>
  <c r="S215"/>
  <c r="S223"/>
  <c r="S238"/>
  <c r="S248"/>
  <c r="S256"/>
  <c r="S313"/>
  <c r="S325"/>
  <c r="S376"/>
  <c r="S387"/>
  <c r="S226"/>
  <c r="S236"/>
  <c r="S246"/>
  <c r="S254"/>
  <c r="S267"/>
  <c r="S275"/>
  <c r="S295"/>
  <c r="S303"/>
  <c r="S319"/>
  <c r="S334"/>
  <c r="S368"/>
  <c r="S231"/>
  <c r="S239"/>
  <c r="S249"/>
  <c r="S257"/>
  <c r="S282"/>
  <c r="S290"/>
  <c r="S227"/>
  <c r="S229"/>
  <c r="S237"/>
  <c r="S247"/>
  <c r="S255"/>
  <c r="S263"/>
  <c r="S271"/>
  <c r="S284"/>
  <c r="S299"/>
  <c r="S316"/>
  <c r="S269"/>
  <c r="S279"/>
  <c r="S287"/>
  <c r="S297"/>
  <c r="S305"/>
  <c r="S262"/>
  <c r="S270"/>
  <c r="S280"/>
  <c r="S288"/>
  <c r="S298"/>
  <c r="S311"/>
  <c r="S322"/>
  <c r="S323"/>
  <c r="S354"/>
  <c r="S400"/>
  <c r="S265"/>
  <c r="S273"/>
  <c r="S283"/>
  <c r="S291"/>
  <c r="S293"/>
  <c r="S301"/>
  <c r="S331"/>
  <c r="S350"/>
  <c r="S351"/>
  <c r="S359"/>
  <c r="S370"/>
  <c r="S268"/>
  <c r="S278"/>
  <c r="S286"/>
  <c r="S296"/>
  <c r="S304"/>
  <c r="S339"/>
  <c r="S329"/>
  <c r="S337"/>
  <c r="S307"/>
  <c r="S309"/>
  <c r="S317"/>
  <c r="S327"/>
  <c r="S335"/>
  <c r="S341"/>
  <c r="S344"/>
  <c r="S349"/>
  <c r="S355"/>
  <c r="S380"/>
  <c r="S382"/>
  <c r="S396"/>
  <c r="S312"/>
  <c r="S320"/>
  <c r="S330"/>
  <c r="S362"/>
  <c r="S310"/>
  <c r="S318"/>
  <c r="S328"/>
  <c r="S336"/>
  <c r="S342"/>
  <c r="S352"/>
  <c r="S357"/>
  <c r="S347"/>
  <c r="S364"/>
  <c r="S385"/>
  <c r="S391"/>
  <c r="S402"/>
  <c r="S345"/>
  <c r="S338"/>
  <c r="S348"/>
  <c r="S361"/>
  <c r="S365"/>
  <c r="S397"/>
  <c r="S346"/>
  <c r="S367"/>
  <c r="S360"/>
  <c r="S374"/>
  <c r="S392"/>
  <c r="S353"/>
  <c r="S363"/>
  <c r="S379"/>
  <c r="S399"/>
  <c r="S358"/>
  <c r="S366"/>
  <c r="S371"/>
  <c r="S377"/>
  <c r="S394"/>
  <c r="S384"/>
  <c r="S389"/>
  <c r="S369"/>
  <c r="S373"/>
  <c r="S381"/>
  <c r="S395"/>
  <c r="S403"/>
  <c r="S378"/>
  <c r="S386"/>
  <c r="S390"/>
  <c r="S398"/>
  <c r="S375"/>
  <c r="S383"/>
  <c r="S393"/>
  <c r="S401"/>
  <c r="BB12"/>
  <c r="BB40"/>
  <c r="BB38"/>
  <c r="BB90"/>
  <c r="BB10"/>
  <c r="BB18"/>
  <c r="BB23"/>
  <c r="BB89"/>
  <c r="BB97"/>
  <c r="BB173"/>
  <c r="BB25"/>
  <c r="BB31"/>
  <c r="BB99"/>
  <c r="BB33"/>
  <c r="BB91"/>
  <c r="BB217"/>
  <c r="BB98"/>
  <c r="BB172"/>
  <c r="BB5"/>
  <c r="BB6"/>
  <c r="BB63"/>
  <c r="BB72"/>
  <c r="BB73"/>
  <c r="BB127"/>
  <c r="BB136"/>
  <c r="BB137"/>
  <c r="BB193"/>
  <c r="BB13"/>
  <c r="BB28"/>
  <c r="BB55"/>
  <c r="BB61"/>
  <c r="BB62"/>
  <c r="BB74"/>
  <c r="BB119"/>
  <c r="BB125"/>
  <c r="BB126"/>
  <c r="BB138"/>
  <c r="BB176"/>
  <c r="BB226"/>
  <c r="BB7"/>
  <c r="BB15"/>
  <c r="BB22"/>
  <c r="BB30"/>
  <c r="BB53"/>
  <c r="BB54"/>
  <c r="BB80"/>
  <c r="BB81"/>
  <c r="BB117"/>
  <c r="BB118"/>
  <c r="BB144"/>
  <c r="BB145"/>
  <c r="BB183"/>
  <c r="BB273"/>
  <c r="BB82"/>
  <c r="BB146"/>
  <c r="BB8"/>
  <c r="BB16"/>
  <c r="BB26"/>
  <c r="BB34"/>
  <c r="BB41"/>
  <c r="BB56"/>
  <c r="BB64"/>
  <c r="BB92"/>
  <c r="BB120"/>
  <c r="BB128"/>
  <c r="BB186"/>
  <c r="BB210"/>
  <c r="BB335"/>
  <c r="BB11"/>
  <c r="BB19"/>
  <c r="BB21"/>
  <c r="BB29"/>
  <c r="BB39"/>
  <c r="BB43"/>
  <c r="BB51"/>
  <c r="BB107"/>
  <c r="BB115"/>
  <c r="BB192"/>
  <c r="BB220"/>
  <c r="BB14"/>
  <c r="BB24"/>
  <c r="BB32"/>
  <c r="BB44"/>
  <c r="BB45"/>
  <c r="BB101"/>
  <c r="BB108"/>
  <c r="BB109"/>
  <c r="BB156"/>
  <c r="BB189"/>
  <c r="BB204"/>
  <c r="BB219"/>
  <c r="BB9"/>
  <c r="BB17"/>
  <c r="BB27"/>
  <c r="BB35"/>
  <c r="BB37"/>
  <c r="BB46"/>
  <c r="BB71"/>
  <c r="BB79"/>
  <c r="BB102"/>
  <c r="BB110"/>
  <c r="BB135"/>
  <c r="BB143"/>
  <c r="BB150"/>
  <c r="BB165"/>
  <c r="BB168"/>
  <c r="BB202"/>
  <c r="BB49"/>
  <c r="BB59"/>
  <c r="BB67"/>
  <c r="BB69"/>
  <c r="BB77"/>
  <c r="BB87"/>
  <c r="BB95"/>
  <c r="BB105"/>
  <c r="BB113"/>
  <c r="BB123"/>
  <c r="BB131"/>
  <c r="BB133"/>
  <c r="BB141"/>
  <c r="BB166"/>
  <c r="BB174"/>
  <c r="BB191"/>
  <c r="BB236"/>
  <c r="BB245"/>
  <c r="BB246"/>
  <c r="BB47"/>
  <c r="BB57"/>
  <c r="BB65"/>
  <c r="BB75"/>
  <c r="BB83"/>
  <c r="BB85"/>
  <c r="BB93"/>
  <c r="BB103"/>
  <c r="BB111"/>
  <c r="BB121"/>
  <c r="BB129"/>
  <c r="BB139"/>
  <c r="BB147"/>
  <c r="BB149"/>
  <c r="BB154"/>
  <c r="BB162"/>
  <c r="BB42"/>
  <c r="BB50"/>
  <c r="BB60"/>
  <c r="BB70"/>
  <c r="BB78"/>
  <c r="BB88"/>
  <c r="BB96"/>
  <c r="BB106"/>
  <c r="BB114"/>
  <c r="BB124"/>
  <c r="BB134"/>
  <c r="BB142"/>
  <c r="BB155"/>
  <c r="BB163"/>
  <c r="BB182"/>
  <c r="BB285"/>
  <c r="BB312"/>
  <c r="BB48"/>
  <c r="BB58"/>
  <c r="BB66"/>
  <c r="BB76"/>
  <c r="BB86"/>
  <c r="BB94"/>
  <c r="BB104"/>
  <c r="BB112"/>
  <c r="BB122"/>
  <c r="BB130"/>
  <c r="BB140"/>
  <c r="BB158"/>
  <c r="BB184"/>
  <c r="BB199"/>
  <c r="BB207"/>
  <c r="BB252"/>
  <c r="BB253"/>
  <c r="BB254"/>
  <c r="BB268"/>
  <c r="BB153"/>
  <c r="BB161"/>
  <c r="BB171"/>
  <c r="BB179"/>
  <c r="BB181"/>
  <c r="BB190"/>
  <c r="BB251"/>
  <c r="BB259"/>
  <c r="BB277"/>
  <c r="BB290"/>
  <c r="BB151"/>
  <c r="BB159"/>
  <c r="BB169"/>
  <c r="BB177"/>
  <c r="BB214"/>
  <c r="BB222"/>
  <c r="BB265"/>
  <c r="BB157"/>
  <c r="BB167"/>
  <c r="BB175"/>
  <c r="BB185"/>
  <c r="BB201"/>
  <c r="BB209"/>
  <c r="BB282"/>
  <c r="BB323"/>
  <c r="BB152"/>
  <c r="BB160"/>
  <c r="BB170"/>
  <c r="BB178"/>
  <c r="BB194"/>
  <c r="BB187"/>
  <c r="BB195"/>
  <c r="BB197"/>
  <c r="BB205"/>
  <c r="BB215"/>
  <c r="BB304"/>
  <c r="BB322"/>
  <c r="BB387"/>
  <c r="BB200"/>
  <c r="BB208"/>
  <c r="BB218"/>
  <c r="BB296"/>
  <c r="BB301"/>
  <c r="BB203"/>
  <c r="BB211"/>
  <c r="BB213"/>
  <c r="BB221"/>
  <c r="BB223"/>
  <c r="BB233"/>
  <c r="BB241"/>
  <c r="BB293"/>
  <c r="BB188"/>
  <c r="BB198"/>
  <c r="BB206"/>
  <c r="BB216"/>
  <c r="BB224"/>
  <c r="BB225"/>
  <c r="BB234"/>
  <c r="BB235"/>
  <c r="BB242"/>
  <c r="BB243"/>
  <c r="BB309"/>
  <c r="BB231"/>
  <c r="BB239"/>
  <c r="BB249"/>
  <c r="BB257"/>
  <c r="BB267"/>
  <c r="BB275"/>
  <c r="BB295"/>
  <c r="BB303"/>
  <c r="BB327"/>
  <c r="BB375"/>
  <c r="BB227"/>
  <c r="BB229"/>
  <c r="BB237"/>
  <c r="BB247"/>
  <c r="BB255"/>
  <c r="BB307"/>
  <c r="BB232"/>
  <c r="BB240"/>
  <c r="BB250"/>
  <c r="BB258"/>
  <c r="BB283"/>
  <c r="BB291"/>
  <c r="BB314"/>
  <c r="BB366"/>
  <c r="BB230"/>
  <c r="BB238"/>
  <c r="BB248"/>
  <c r="BB256"/>
  <c r="BB264"/>
  <c r="BB272"/>
  <c r="BB278"/>
  <c r="BB286"/>
  <c r="BB300"/>
  <c r="BB317"/>
  <c r="BB344"/>
  <c r="BB262"/>
  <c r="BB270"/>
  <c r="BB280"/>
  <c r="BB288"/>
  <c r="BB298"/>
  <c r="BB353"/>
  <c r="BB263"/>
  <c r="BB271"/>
  <c r="BB281"/>
  <c r="BB289"/>
  <c r="BB299"/>
  <c r="BB345"/>
  <c r="BB266"/>
  <c r="BB274"/>
  <c r="BB284"/>
  <c r="BB294"/>
  <c r="BB302"/>
  <c r="BB306"/>
  <c r="BB315"/>
  <c r="BB316"/>
  <c r="BB332"/>
  <c r="BB261"/>
  <c r="BB269"/>
  <c r="BB279"/>
  <c r="BB287"/>
  <c r="BB297"/>
  <c r="BB305"/>
  <c r="BB325"/>
  <c r="BB326"/>
  <c r="BB333"/>
  <c r="BB334"/>
  <c r="BB320"/>
  <c r="BB330"/>
  <c r="BB338"/>
  <c r="BB362"/>
  <c r="BB395"/>
  <c r="BB310"/>
  <c r="BB318"/>
  <c r="BB328"/>
  <c r="BB342"/>
  <c r="BB350"/>
  <c r="BB401"/>
  <c r="BB313"/>
  <c r="BB321"/>
  <c r="BB331"/>
  <c r="BB351"/>
  <c r="BB311"/>
  <c r="BB319"/>
  <c r="BB329"/>
  <c r="BB336"/>
  <c r="BB343"/>
  <c r="BB365"/>
  <c r="BB384"/>
  <c r="BB348"/>
  <c r="BB352"/>
  <c r="BB357"/>
  <c r="BB369"/>
  <c r="BB346"/>
  <c r="BB355"/>
  <c r="BB358"/>
  <c r="BB363"/>
  <c r="BB371"/>
  <c r="BB373"/>
  <c r="BB390"/>
  <c r="BB339"/>
  <c r="BB341"/>
  <c r="BB349"/>
  <c r="BB386"/>
  <c r="BB389"/>
  <c r="BB400"/>
  <c r="BB337"/>
  <c r="BB347"/>
  <c r="BB360"/>
  <c r="BB361"/>
  <c r="BB367"/>
  <c r="BB376"/>
  <c r="BB378"/>
  <c r="BB397"/>
  <c r="BB354"/>
  <c r="BB364"/>
  <c r="BB368"/>
  <c r="BB392"/>
  <c r="BB359"/>
  <c r="BB379"/>
  <c r="BB381"/>
  <c r="BB383"/>
  <c r="BB403"/>
  <c r="BB393"/>
  <c r="BB398"/>
  <c r="BB370"/>
  <c r="BB380"/>
  <c r="BB396"/>
  <c r="BB377"/>
  <c r="BB385"/>
  <c r="BB391"/>
  <c r="BB399"/>
  <c r="BB374"/>
  <c r="BB382"/>
  <c r="BB394"/>
  <c r="BB402"/>
  <c r="AW144"/>
  <c r="AW32"/>
  <c r="AW7"/>
  <c r="AW81"/>
  <c r="AW8"/>
  <c r="AW108"/>
  <c r="AW110"/>
  <c r="AW45"/>
  <c r="AW145"/>
  <c r="AW46"/>
  <c r="AW146"/>
  <c r="AW195"/>
  <c r="AW14"/>
  <c r="AW16"/>
  <c r="AW44"/>
  <c r="AW80"/>
  <c r="AW82"/>
  <c r="AW109"/>
  <c r="AW21"/>
  <c r="AW23"/>
  <c r="AW5"/>
  <c r="AW6"/>
  <c r="AW29"/>
  <c r="AW31"/>
  <c r="AW102"/>
  <c r="AW24"/>
  <c r="AW101"/>
  <c r="AW26"/>
  <c r="AW34"/>
  <c r="AW47"/>
  <c r="AW103"/>
  <c r="AW111"/>
  <c r="AW11"/>
  <c r="AW19"/>
  <c r="AW39"/>
  <c r="AW229"/>
  <c r="AW243"/>
  <c r="AW13"/>
  <c r="AW41"/>
  <c r="AW72"/>
  <c r="AW136"/>
  <c r="AW73"/>
  <c r="AW74"/>
  <c r="AW137"/>
  <c r="AW138"/>
  <c r="AW155"/>
  <c r="AW159"/>
  <c r="AW223"/>
  <c r="AW278"/>
  <c r="AW9"/>
  <c r="AW17"/>
  <c r="AW27"/>
  <c r="AW35"/>
  <c r="AW37"/>
  <c r="AW75"/>
  <c r="AW83"/>
  <c r="AW139"/>
  <c r="AW147"/>
  <c r="AW151"/>
  <c r="AW193"/>
  <c r="AW211"/>
  <c r="AW306"/>
  <c r="AW12"/>
  <c r="AW22"/>
  <c r="AW30"/>
  <c r="AW40"/>
  <c r="AW54"/>
  <c r="AW62"/>
  <c r="AW90"/>
  <c r="AW98"/>
  <c r="AW118"/>
  <c r="AW126"/>
  <c r="AW183"/>
  <c r="AW184"/>
  <c r="AW15"/>
  <c r="AW25"/>
  <c r="AW33"/>
  <c r="AW55"/>
  <c r="AW56"/>
  <c r="AW63"/>
  <c r="AW64"/>
  <c r="AW91"/>
  <c r="AW92"/>
  <c r="AW99"/>
  <c r="AW119"/>
  <c r="AW120"/>
  <c r="AW127"/>
  <c r="AW128"/>
  <c r="AW10"/>
  <c r="AW18"/>
  <c r="AW28"/>
  <c r="AW38"/>
  <c r="AW57"/>
  <c r="AW65"/>
  <c r="AW85"/>
  <c r="AW93"/>
  <c r="AW121"/>
  <c r="AW129"/>
  <c r="AW149"/>
  <c r="AW156"/>
  <c r="AW157"/>
  <c r="AW163"/>
  <c r="AW203"/>
  <c r="AW42"/>
  <c r="AW50"/>
  <c r="AW60"/>
  <c r="AW70"/>
  <c r="AW78"/>
  <c r="AW88"/>
  <c r="AW96"/>
  <c r="AW106"/>
  <c r="AW114"/>
  <c r="AW124"/>
  <c r="AW134"/>
  <c r="AW142"/>
  <c r="AW185"/>
  <c r="AW218"/>
  <c r="AW315"/>
  <c r="AW48"/>
  <c r="AW58"/>
  <c r="AW66"/>
  <c r="AW76"/>
  <c r="AW86"/>
  <c r="AW94"/>
  <c r="AW104"/>
  <c r="AW112"/>
  <c r="AW122"/>
  <c r="AW130"/>
  <c r="AW140"/>
  <c r="AW165"/>
  <c r="AW166"/>
  <c r="AW173"/>
  <c r="AW174"/>
  <c r="AW234"/>
  <c r="AW237"/>
  <c r="AW317"/>
  <c r="AW43"/>
  <c r="AW51"/>
  <c r="AW53"/>
  <c r="AW61"/>
  <c r="AW71"/>
  <c r="AW79"/>
  <c r="AW89"/>
  <c r="AW97"/>
  <c r="AW107"/>
  <c r="AW115"/>
  <c r="AW117"/>
  <c r="AW125"/>
  <c r="AW135"/>
  <c r="AW143"/>
  <c r="AW167"/>
  <c r="AW175"/>
  <c r="AW307"/>
  <c r="AW49"/>
  <c r="AW59"/>
  <c r="AW67"/>
  <c r="AW69"/>
  <c r="AW77"/>
  <c r="AW87"/>
  <c r="AW95"/>
  <c r="AW105"/>
  <c r="AW113"/>
  <c r="AW123"/>
  <c r="AW131"/>
  <c r="AW133"/>
  <c r="AW141"/>
  <c r="AW169"/>
  <c r="AW177"/>
  <c r="AW200"/>
  <c r="AW202"/>
  <c r="AW208"/>
  <c r="AW210"/>
  <c r="AW265"/>
  <c r="AW154"/>
  <c r="AW162"/>
  <c r="AW172"/>
  <c r="AW182"/>
  <c r="AW194"/>
  <c r="AW224"/>
  <c r="AW235"/>
  <c r="AW236"/>
  <c r="AW242"/>
  <c r="AW393"/>
  <c r="AW152"/>
  <c r="AW160"/>
  <c r="AW170"/>
  <c r="AW178"/>
  <c r="AW197"/>
  <c r="AW205"/>
  <c r="AW220"/>
  <c r="AW273"/>
  <c r="AW336"/>
  <c r="AW150"/>
  <c r="AW158"/>
  <c r="AW168"/>
  <c r="AW176"/>
  <c r="AW186"/>
  <c r="AW190"/>
  <c r="AW213"/>
  <c r="AW221"/>
  <c r="AW153"/>
  <c r="AW161"/>
  <c r="AW171"/>
  <c r="AW179"/>
  <c r="AW181"/>
  <c r="AW187"/>
  <c r="AW192"/>
  <c r="AW215"/>
  <c r="AW225"/>
  <c r="AW318"/>
  <c r="AW188"/>
  <c r="AW198"/>
  <c r="AW206"/>
  <c r="AW216"/>
  <c r="AW226"/>
  <c r="AW252"/>
  <c r="AW279"/>
  <c r="AW284"/>
  <c r="AW286"/>
  <c r="AW191"/>
  <c r="AW201"/>
  <c r="AW209"/>
  <c r="AW219"/>
  <c r="AW227"/>
  <c r="AW245"/>
  <c r="AW246"/>
  <c r="AW253"/>
  <c r="AW254"/>
  <c r="AW261"/>
  <c r="AW287"/>
  <c r="AW310"/>
  <c r="AW339"/>
  <c r="AW204"/>
  <c r="AW214"/>
  <c r="AW222"/>
  <c r="AW247"/>
  <c r="AW255"/>
  <c r="AW301"/>
  <c r="AW325"/>
  <c r="AW383"/>
  <c r="AW189"/>
  <c r="AW199"/>
  <c r="AW207"/>
  <c r="AW217"/>
  <c r="AW293"/>
  <c r="AW232"/>
  <c r="AW240"/>
  <c r="AW250"/>
  <c r="AW258"/>
  <c r="AW353"/>
  <c r="AW358"/>
  <c r="AW230"/>
  <c r="AW238"/>
  <c r="AW248"/>
  <c r="AW256"/>
  <c r="AW266"/>
  <c r="AW274"/>
  <c r="AW294"/>
  <c r="AW302"/>
  <c r="AW328"/>
  <c r="AW333"/>
  <c r="AW233"/>
  <c r="AW241"/>
  <c r="AW251"/>
  <c r="AW259"/>
  <c r="AW268"/>
  <c r="AW296"/>
  <c r="AW304"/>
  <c r="AW363"/>
  <c r="AW231"/>
  <c r="AW239"/>
  <c r="AW249"/>
  <c r="AW257"/>
  <c r="AW269"/>
  <c r="AW283"/>
  <c r="AW291"/>
  <c r="AW297"/>
  <c r="AW305"/>
  <c r="AW367"/>
  <c r="AW263"/>
  <c r="AW271"/>
  <c r="AW281"/>
  <c r="AW289"/>
  <c r="AW299"/>
  <c r="AW316"/>
  <c r="AW326"/>
  <c r="AW327"/>
  <c r="AW334"/>
  <c r="AW335"/>
  <c r="AW264"/>
  <c r="AW272"/>
  <c r="AW282"/>
  <c r="AW290"/>
  <c r="AW300"/>
  <c r="AW398"/>
  <c r="AW267"/>
  <c r="AW275"/>
  <c r="AW277"/>
  <c r="AW285"/>
  <c r="AW295"/>
  <c r="AW303"/>
  <c r="AW313"/>
  <c r="AW323"/>
  <c r="AW346"/>
  <c r="AW262"/>
  <c r="AW270"/>
  <c r="AW280"/>
  <c r="AW288"/>
  <c r="AW298"/>
  <c r="AW309"/>
  <c r="AW341"/>
  <c r="AW345"/>
  <c r="AW321"/>
  <c r="AW331"/>
  <c r="AW343"/>
  <c r="AW344"/>
  <c r="AW399"/>
  <c r="AW402"/>
  <c r="AW311"/>
  <c r="AW319"/>
  <c r="AW329"/>
  <c r="AW337"/>
  <c r="AW314"/>
  <c r="AW322"/>
  <c r="AW332"/>
  <c r="AW354"/>
  <c r="AW364"/>
  <c r="AW312"/>
  <c r="AW320"/>
  <c r="AW330"/>
  <c r="AW351"/>
  <c r="AW359"/>
  <c r="AW361"/>
  <c r="AW385"/>
  <c r="AW349"/>
  <c r="AW366"/>
  <c r="AW347"/>
  <c r="AW374"/>
  <c r="AW342"/>
  <c r="AW350"/>
  <c r="AW368"/>
  <c r="AW369"/>
  <c r="AW338"/>
  <c r="AW348"/>
  <c r="AW352"/>
  <c r="AW386"/>
  <c r="AW362"/>
  <c r="AW375"/>
  <c r="AW377"/>
  <c r="AW394"/>
  <c r="AW355"/>
  <c r="AW357"/>
  <c r="AW365"/>
  <c r="AW370"/>
  <c r="AW390"/>
  <c r="AW401"/>
  <c r="AW360"/>
  <c r="AW378"/>
  <c r="AW380"/>
  <c r="AW382"/>
  <c r="AW396"/>
  <c r="AW391"/>
  <c r="AW371"/>
  <c r="AW379"/>
  <c r="AW387"/>
  <c r="AW389"/>
  <c r="AW397"/>
  <c r="AW376"/>
  <c r="AW384"/>
  <c r="AW392"/>
  <c r="AW400"/>
  <c r="AW373"/>
  <c r="AW381"/>
  <c r="AW395"/>
  <c r="AW403"/>
  <c r="L94"/>
  <c r="L91"/>
  <c r="L93"/>
  <c r="L14"/>
  <c r="L27"/>
  <c r="L35"/>
  <c r="L157"/>
  <c r="L6"/>
  <c r="L7"/>
  <c r="L9"/>
  <c r="L149"/>
  <c r="L170"/>
  <c r="L230"/>
  <c r="L178"/>
  <c r="L92"/>
  <c r="L99"/>
  <c r="L168"/>
  <c r="L225"/>
  <c r="L12"/>
  <c r="L311"/>
  <c r="L40"/>
  <c r="L76"/>
  <c r="L176"/>
  <c r="L8"/>
  <c r="L85"/>
  <c r="L140"/>
  <c r="L15"/>
  <c r="L22"/>
  <c r="L24"/>
  <c r="L30"/>
  <c r="L32"/>
  <c r="L65"/>
  <c r="L86"/>
  <c r="L129"/>
  <c r="L156"/>
  <c r="L266"/>
  <c r="L17"/>
  <c r="L37"/>
  <c r="L45"/>
  <c r="L57"/>
  <c r="L63"/>
  <c r="L64"/>
  <c r="L66"/>
  <c r="L101"/>
  <c r="L109"/>
  <c r="L121"/>
  <c r="L127"/>
  <c r="L128"/>
  <c r="L130"/>
  <c r="L55"/>
  <c r="L56"/>
  <c r="L58"/>
  <c r="L119"/>
  <c r="L120"/>
  <c r="L122"/>
  <c r="L25"/>
  <c r="L33"/>
  <c r="L10"/>
  <c r="L18"/>
  <c r="L28"/>
  <c r="L38"/>
  <c r="L46"/>
  <c r="L47"/>
  <c r="L102"/>
  <c r="L103"/>
  <c r="L110"/>
  <c r="L111"/>
  <c r="L206"/>
  <c r="L5"/>
  <c r="L13"/>
  <c r="L23"/>
  <c r="L31"/>
  <c r="L41"/>
  <c r="L73"/>
  <c r="L81"/>
  <c r="L137"/>
  <c r="L145"/>
  <c r="L16"/>
  <c r="L26"/>
  <c r="L34"/>
  <c r="L48"/>
  <c r="L74"/>
  <c r="L75"/>
  <c r="L82"/>
  <c r="L83"/>
  <c r="L104"/>
  <c r="L112"/>
  <c r="L138"/>
  <c r="L139"/>
  <c r="L146"/>
  <c r="L147"/>
  <c r="L229"/>
  <c r="L11"/>
  <c r="L19"/>
  <c r="L21"/>
  <c r="L29"/>
  <c r="L39"/>
  <c r="L198"/>
  <c r="L270"/>
  <c r="L316"/>
  <c r="L43"/>
  <c r="L51"/>
  <c r="L53"/>
  <c r="L61"/>
  <c r="L71"/>
  <c r="L79"/>
  <c r="L89"/>
  <c r="L97"/>
  <c r="L107"/>
  <c r="L115"/>
  <c r="L117"/>
  <c r="L125"/>
  <c r="L135"/>
  <c r="L143"/>
  <c r="L216"/>
  <c r="L255"/>
  <c r="L49"/>
  <c r="L59"/>
  <c r="L67"/>
  <c r="L69"/>
  <c r="L77"/>
  <c r="L87"/>
  <c r="L95"/>
  <c r="L105"/>
  <c r="L113"/>
  <c r="L123"/>
  <c r="L131"/>
  <c r="L133"/>
  <c r="L141"/>
  <c r="L150"/>
  <c r="L158"/>
  <c r="L184"/>
  <c r="L185"/>
  <c r="L44"/>
  <c r="L54"/>
  <c r="L62"/>
  <c r="L72"/>
  <c r="L80"/>
  <c r="L90"/>
  <c r="L98"/>
  <c r="L108"/>
  <c r="L118"/>
  <c r="L126"/>
  <c r="L136"/>
  <c r="L144"/>
  <c r="L186"/>
  <c r="L188"/>
  <c r="L247"/>
  <c r="L269"/>
  <c r="L364"/>
  <c r="L42"/>
  <c r="L50"/>
  <c r="L60"/>
  <c r="L70"/>
  <c r="L78"/>
  <c r="L88"/>
  <c r="L96"/>
  <c r="L106"/>
  <c r="L114"/>
  <c r="L124"/>
  <c r="L134"/>
  <c r="L142"/>
  <c r="L152"/>
  <c r="L160"/>
  <c r="L166"/>
  <c r="L167"/>
  <c r="L174"/>
  <c r="L175"/>
  <c r="L155"/>
  <c r="L163"/>
  <c r="L165"/>
  <c r="L173"/>
  <c r="L183"/>
  <c r="L194"/>
  <c r="L214"/>
  <c r="L222"/>
  <c r="L153"/>
  <c r="L161"/>
  <c r="L171"/>
  <c r="L179"/>
  <c r="L181"/>
  <c r="L201"/>
  <c r="L203"/>
  <c r="L209"/>
  <c r="L211"/>
  <c r="L246"/>
  <c r="L248"/>
  <c r="L254"/>
  <c r="L256"/>
  <c r="L151"/>
  <c r="L159"/>
  <c r="L169"/>
  <c r="L177"/>
  <c r="L191"/>
  <c r="L154"/>
  <c r="L162"/>
  <c r="L172"/>
  <c r="L182"/>
  <c r="L187"/>
  <c r="L193"/>
  <c r="L204"/>
  <c r="L213"/>
  <c r="L219"/>
  <c r="L221"/>
  <c r="L274"/>
  <c r="L298"/>
  <c r="L345"/>
  <c r="L189"/>
  <c r="L199"/>
  <c r="L207"/>
  <c r="L217"/>
  <c r="L226"/>
  <c r="L227"/>
  <c r="L235"/>
  <c r="L243"/>
  <c r="L277"/>
  <c r="L192"/>
  <c r="L202"/>
  <c r="L210"/>
  <c r="L220"/>
  <c r="L236"/>
  <c r="L237"/>
  <c r="L285"/>
  <c r="L334"/>
  <c r="L195"/>
  <c r="L197"/>
  <c r="L205"/>
  <c r="L215"/>
  <c r="L223"/>
  <c r="L302"/>
  <c r="L305"/>
  <c r="L190"/>
  <c r="L200"/>
  <c r="L208"/>
  <c r="L218"/>
  <c r="L238"/>
  <c r="L245"/>
  <c r="L253"/>
  <c r="L294"/>
  <c r="L297"/>
  <c r="L318"/>
  <c r="L233"/>
  <c r="L241"/>
  <c r="L251"/>
  <c r="L259"/>
  <c r="L284"/>
  <c r="L231"/>
  <c r="L239"/>
  <c r="L249"/>
  <c r="L257"/>
  <c r="L261"/>
  <c r="L307"/>
  <c r="L224"/>
  <c r="L234"/>
  <c r="L242"/>
  <c r="L252"/>
  <c r="L279"/>
  <c r="L287"/>
  <c r="L317"/>
  <c r="L326"/>
  <c r="L232"/>
  <c r="L240"/>
  <c r="L250"/>
  <c r="L258"/>
  <c r="L262"/>
  <c r="L267"/>
  <c r="L275"/>
  <c r="L280"/>
  <c r="L288"/>
  <c r="L295"/>
  <c r="L303"/>
  <c r="L264"/>
  <c r="L272"/>
  <c r="L282"/>
  <c r="L290"/>
  <c r="L300"/>
  <c r="L353"/>
  <c r="L392"/>
  <c r="L265"/>
  <c r="L273"/>
  <c r="L283"/>
  <c r="L291"/>
  <c r="L293"/>
  <c r="L301"/>
  <c r="L319"/>
  <c r="L327"/>
  <c r="L328"/>
  <c r="L335"/>
  <c r="L336"/>
  <c r="L403"/>
  <c r="L268"/>
  <c r="L278"/>
  <c r="L286"/>
  <c r="L296"/>
  <c r="L304"/>
  <c r="L306"/>
  <c r="L344"/>
  <c r="L394"/>
  <c r="L263"/>
  <c r="L271"/>
  <c r="L281"/>
  <c r="L289"/>
  <c r="L299"/>
  <c r="L309"/>
  <c r="L310"/>
  <c r="L314"/>
  <c r="L329"/>
  <c r="L346"/>
  <c r="L370"/>
  <c r="L322"/>
  <c r="L332"/>
  <c r="L338"/>
  <c r="L352"/>
  <c r="L312"/>
  <c r="L320"/>
  <c r="L330"/>
  <c r="L342"/>
  <c r="L367"/>
  <c r="L315"/>
  <c r="L323"/>
  <c r="L325"/>
  <c r="L333"/>
  <c r="L347"/>
  <c r="L365"/>
  <c r="L313"/>
  <c r="L321"/>
  <c r="L331"/>
  <c r="L337"/>
  <c r="L374"/>
  <c r="L377"/>
  <c r="L350"/>
  <c r="L360"/>
  <c r="L369"/>
  <c r="L381"/>
  <c r="L348"/>
  <c r="L354"/>
  <c r="L362"/>
  <c r="L371"/>
  <c r="L389"/>
  <c r="L343"/>
  <c r="L351"/>
  <c r="L357"/>
  <c r="L379"/>
  <c r="L399"/>
  <c r="L339"/>
  <c r="L341"/>
  <c r="L349"/>
  <c r="L355"/>
  <c r="L359"/>
  <c r="L384"/>
  <c r="L363"/>
  <c r="L382"/>
  <c r="L400"/>
  <c r="L358"/>
  <c r="L366"/>
  <c r="L368"/>
  <c r="L373"/>
  <c r="L387"/>
  <c r="L391"/>
  <c r="L395"/>
  <c r="L361"/>
  <c r="L385"/>
  <c r="L402"/>
  <c r="L376"/>
  <c r="L397"/>
  <c r="L378"/>
  <c r="L386"/>
  <c r="L390"/>
  <c r="L398"/>
  <c r="L375"/>
  <c r="L383"/>
  <c r="L393"/>
  <c r="L401"/>
  <c r="L380"/>
  <c r="L396"/>
  <c r="K99"/>
  <c r="K98"/>
  <c r="K142"/>
  <c r="K167"/>
  <c r="K209"/>
  <c r="K53"/>
  <c r="K162"/>
  <c r="K29"/>
  <c r="K27"/>
  <c r="K117"/>
  <c r="K14"/>
  <c r="K35"/>
  <c r="K5"/>
  <c r="K12"/>
  <c r="K211"/>
  <c r="K21"/>
  <c r="K40"/>
  <c r="K78"/>
  <c r="K9"/>
  <c r="K90"/>
  <c r="K91"/>
  <c r="K97"/>
  <c r="K154"/>
  <c r="K161"/>
  <c r="K163"/>
  <c r="K22"/>
  <c r="K24"/>
  <c r="K30"/>
  <c r="K32"/>
  <c r="K89"/>
  <c r="K155"/>
  <c r="K175"/>
  <c r="K17"/>
  <c r="K37"/>
  <c r="K42"/>
  <c r="K44"/>
  <c r="K50"/>
  <c r="K62"/>
  <c r="K63"/>
  <c r="K106"/>
  <c r="K108"/>
  <c r="K114"/>
  <c r="K126"/>
  <c r="K127"/>
  <c r="K193"/>
  <c r="K322"/>
  <c r="K6"/>
  <c r="K11"/>
  <c r="K19"/>
  <c r="K39"/>
  <c r="K43"/>
  <c r="K51"/>
  <c r="K54"/>
  <c r="K55"/>
  <c r="K61"/>
  <c r="K70"/>
  <c r="K107"/>
  <c r="K115"/>
  <c r="K118"/>
  <c r="K119"/>
  <c r="K125"/>
  <c r="K134"/>
  <c r="K7"/>
  <c r="K15"/>
  <c r="K25"/>
  <c r="K33"/>
  <c r="K45"/>
  <c r="K101"/>
  <c r="K109"/>
  <c r="K203"/>
  <c r="K219"/>
  <c r="K271"/>
  <c r="K10"/>
  <c r="K18"/>
  <c r="K28"/>
  <c r="K38"/>
  <c r="K71"/>
  <c r="K72"/>
  <c r="K79"/>
  <c r="K80"/>
  <c r="K135"/>
  <c r="K136"/>
  <c r="K143"/>
  <c r="K144"/>
  <c r="K152"/>
  <c r="K201"/>
  <c r="K218"/>
  <c r="K232"/>
  <c r="K13"/>
  <c r="K23"/>
  <c r="K31"/>
  <c r="K41"/>
  <c r="K60"/>
  <c r="K73"/>
  <c r="K81"/>
  <c r="K88"/>
  <c r="K96"/>
  <c r="K124"/>
  <c r="K137"/>
  <c r="K145"/>
  <c r="K189"/>
  <c r="K8"/>
  <c r="K16"/>
  <c r="K26"/>
  <c r="K34"/>
  <c r="K48"/>
  <c r="K58"/>
  <c r="K66"/>
  <c r="K76"/>
  <c r="K86"/>
  <c r="K94"/>
  <c r="K104"/>
  <c r="K112"/>
  <c r="K122"/>
  <c r="K130"/>
  <c r="K140"/>
  <c r="K153"/>
  <c r="K181"/>
  <c r="K182"/>
  <c r="K198"/>
  <c r="K206"/>
  <c r="K213"/>
  <c r="K221"/>
  <c r="K46"/>
  <c r="K56"/>
  <c r="K64"/>
  <c r="K74"/>
  <c r="K82"/>
  <c r="K92"/>
  <c r="K102"/>
  <c r="K110"/>
  <c r="K120"/>
  <c r="K128"/>
  <c r="K138"/>
  <c r="K146"/>
  <c r="K157"/>
  <c r="K183"/>
  <c r="K253"/>
  <c r="K49"/>
  <c r="K59"/>
  <c r="K67"/>
  <c r="K69"/>
  <c r="K77"/>
  <c r="K87"/>
  <c r="K95"/>
  <c r="K105"/>
  <c r="K113"/>
  <c r="K123"/>
  <c r="K131"/>
  <c r="K133"/>
  <c r="K141"/>
  <c r="K171"/>
  <c r="K172"/>
  <c r="K179"/>
  <c r="K185"/>
  <c r="K47"/>
  <c r="K57"/>
  <c r="K65"/>
  <c r="K75"/>
  <c r="K83"/>
  <c r="K85"/>
  <c r="K93"/>
  <c r="K103"/>
  <c r="K111"/>
  <c r="K121"/>
  <c r="K129"/>
  <c r="K139"/>
  <c r="K147"/>
  <c r="K149"/>
  <c r="K165"/>
  <c r="K173"/>
  <c r="K230"/>
  <c r="K245"/>
  <c r="K267"/>
  <c r="K160"/>
  <c r="K170"/>
  <c r="K178"/>
  <c r="K190"/>
  <c r="K200"/>
  <c r="K208"/>
  <c r="K225"/>
  <c r="K150"/>
  <c r="K158"/>
  <c r="K168"/>
  <c r="K176"/>
  <c r="K186"/>
  <c r="K216"/>
  <c r="K240"/>
  <c r="K263"/>
  <c r="K156"/>
  <c r="K166"/>
  <c r="K174"/>
  <c r="K184"/>
  <c r="K188"/>
  <c r="K224"/>
  <c r="K151"/>
  <c r="K159"/>
  <c r="K169"/>
  <c r="K177"/>
  <c r="K191"/>
  <c r="K192"/>
  <c r="K275"/>
  <c r="K295"/>
  <c r="K194"/>
  <c r="K204"/>
  <c r="K214"/>
  <c r="K222"/>
  <c r="K233"/>
  <c r="K234"/>
  <c r="K241"/>
  <c r="K242"/>
  <c r="K316"/>
  <c r="K199"/>
  <c r="K207"/>
  <c r="K217"/>
  <c r="K235"/>
  <c r="K243"/>
  <c r="K250"/>
  <c r="K258"/>
  <c r="K282"/>
  <c r="K337"/>
  <c r="K202"/>
  <c r="K210"/>
  <c r="K220"/>
  <c r="K284"/>
  <c r="K290"/>
  <c r="K333"/>
  <c r="K187"/>
  <c r="K195"/>
  <c r="K197"/>
  <c r="K205"/>
  <c r="K215"/>
  <c r="K223"/>
  <c r="K251"/>
  <c r="K252"/>
  <c r="K259"/>
  <c r="K299"/>
  <c r="K303"/>
  <c r="K332"/>
  <c r="K238"/>
  <c r="K248"/>
  <c r="K256"/>
  <c r="K314"/>
  <c r="K323"/>
  <c r="K357"/>
  <c r="K226"/>
  <c r="K236"/>
  <c r="K246"/>
  <c r="K254"/>
  <c r="K277"/>
  <c r="K285"/>
  <c r="K231"/>
  <c r="K239"/>
  <c r="K249"/>
  <c r="K257"/>
  <c r="K261"/>
  <c r="K264"/>
  <c r="K272"/>
  <c r="K300"/>
  <c r="K315"/>
  <c r="K325"/>
  <c r="K352"/>
  <c r="K227"/>
  <c r="K229"/>
  <c r="K237"/>
  <c r="K247"/>
  <c r="K255"/>
  <c r="K266"/>
  <c r="K274"/>
  <c r="K281"/>
  <c r="K289"/>
  <c r="K294"/>
  <c r="K302"/>
  <c r="K349"/>
  <c r="K269"/>
  <c r="K279"/>
  <c r="K287"/>
  <c r="K297"/>
  <c r="K305"/>
  <c r="K311"/>
  <c r="K331"/>
  <c r="K379"/>
  <c r="K262"/>
  <c r="K270"/>
  <c r="K280"/>
  <c r="K288"/>
  <c r="K298"/>
  <c r="K313"/>
  <c r="K326"/>
  <c r="K334"/>
  <c r="K355"/>
  <c r="K265"/>
  <c r="K273"/>
  <c r="K283"/>
  <c r="K291"/>
  <c r="K293"/>
  <c r="K301"/>
  <c r="K319"/>
  <c r="K268"/>
  <c r="K278"/>
  <c r="K286"/>
  <c r="K296"/>
  <c r="K304"/>
  <c r="K306"/>
  <c r="K321"/>
  <c r="K344"/>
  <c r="K329"/>
  <c r="K341"/>
  <c r="K350"/>
  <c r="K351"/>
  <c r="K359"/>
  <c r="K392"/>
  <c r="K307"/>
  <c r="K309"/>
  <c r="K317"/>
  <c r="K327"/>
  <c r="K335"/>
  <c r="K339"/>
  <c r="K394"/>
  <c r="K397"/>
  <c r="K312"/>
  <c r="K320"/>
  <c r="K330"/>
  <c r="K342"/>
  <c r="K310"/>
  <c r="K318"/>
  <c r="K328"/>
  <c r="K336"/>
  <c r="K343"/>
  <c r="K399"/>
  <c r="K347"/>
  <c r="K361"/>
  <c r="K365"/>
  <c r="K370"/>
  <c r="K376"/>
  <c r="K377"/>
  <c r="K345"/>
  <c r="K367"/>
  <c r="K338"/>
  <c r="K348"/>
  <c r="K354"/>
  <c r="K362"/>
  <c r="K346"/>
  <c r="K364"/>
  <c r="K374"/>
  <c r="K360"/>
  <c r="K371"/>
  <c r="K384"/>
  <c r="K389"/>
  <c r="K353"/>
  <c r="K363"/>
  <c r="K380"/>
  <c r="K382"/>
  <c r="K396"/>
  <c r="K400"/>
  <c r="K358"/>
  <c r="K366"/>
  <c r="K368"/>
  <c r="K387"/>
  <c r="K391"/>
  <c r="K385"/>
  <c r="K402"/>
  <c r="K369"/>
  <c r="K373"/>
  <c r="K381"/>
  <c r="K395"/>
  <c r="K403"/>
  <c r="K378"/>
  <c r="K386"/>
  <c r="K390"/>
  <c r="K398"/>
  <c r="K375"/>
  <c r="K383"/>
  <c r="K393"/>
  <c r="K401"/>
  <c r="AI22"/>
  <c r="AI24"/>
  <c r="AI37"/>
  <c r="AI135"/>
  <c r="AI11"/>
  <c r="AI19"/>
  <c r="AI39"/>
  <c r="AI72"/>
  <c r="AI136"/>
  <c r="AI201"/>
  <c r="AI225"/>
  <c r="AI6"/>
  <c r="AI73"/>
  <c r="AI71"/>
  <c r="AI30"/>
  <c r="AI32"/>
  <c r="AI192"/>
  <c r="AI79"/>
  <c r="AI80"/>
  <c r="AI137"/>
  <c r="AI60"/>
  <c r="AI143"/>
  <c r="AI144"/>
  <c r="AI185"/>
  <c r="AI191"/>
  <c r="AI17"/>
  <c r="AI124"/>
  <c r="AI157"/>
  <c r="AI81"/>
  <c r="AI145"/>
  <c r="AI9"/>
  <c r="AI27"/>
  <c r="AI35"/>
  <c r="AI252"/>
  <c r="AI12"/>
  <c r="AI14"/>
  <c r="AI21"/>
  <c r="AI29"/>
  <c r="AI40"/>
  <c r="AI45"/>
  <c r="AI96"/>
  <c r="AI101"/>
  <c r="AI109"/>
  <c r="AI203"/>
  <c r="AI5"/>
  <c r="AI88"/>
  <c r="AI181"/>
  <c r="AI182"/>
  <c r="AI183"/>
  <c r="AI7"/>
  <c r="AI15"/>
  <c r="AI25"/>
  <c r="AI33"/>
  <c r="AI53"/>
  <c r="AI54"/>
  <c r="AI61"/>
  <c r="AI62"/>
  <c r="AI89"/>
  <c r="AI90"/>
  <c r="AI97"/>
  <c r="AI98"/>
  <c r="AI117"/>
  <c r="AI118"/>
  <c r="AI125"/>
  <c r="AI126"/>
  <c r="AI165"/>
  <c r="AI10"/>
  <c r="AI18"/>
  <c r="AI28"/>
  <c r="AI38"/>
  <c r="AI42"/>
  <c r="AI50"/>
  <c r="AI55"/>
  <c r="AI63"/>
  <c r="AI91"/>
  <c r="AI99"/>
  <c r="AI106"/>
  <c r="AI114"/>
  <c r="AI119"/>
  <c r="AI127"/>
  <c r="AI171"/>
  <c r="AI172"/>
  <c r="AI173"/>
  <c r="AI13"/>
  <c r="AI23"/>
  <c r="AI31"/>
  <c r="AI41"/>
  <c r="AI152"/>
  <c r="AI179"/>
  <c r="AI211"/>
  <c r="AI259"/>
  <c r="AI8"/>
  <c r="AI16"/>
  <c r="AI26"/>
  <c r="AI34"/>
  <c r="AI43"/>
  <c r="AI44"/>
  <c r="AI51"/>
  <c r="AI70"/>
  <c r="AI78"/>
  <c r="AI107"/>
  <c r="AI108"/>
  <c r="AI115"/>
  <c r="AI134"/>
  <c r="AI142"/>
  <c r="AI209"/>
  <c r="AI251"/>
  <c r="AI48"/>
  <c r="AI58"/>
  <c r="AI66"/>
  <c r="AI76"/>
  <c r="AI86"/>
  <c r="AI94"/>
  <c r="AI104"/>
  <c r="AI112"/>
  <c r="AI122"/>
  <c r="AI130"/>
  <c r="AI140"/>
  <c r="AI241"/>
  <c r="AI242"/>
  <c r="AI289"/>
  <c r="AI46"/>
  <c r="AI56"/>
  <c r="AI64"/>
  <c r="AI74"/>
  <c r="AI82"/>
  <c r="AI92"/>
  <c r="AI102"/>
  <c r="AI110"/>
  <c r="AI120"/>
  <c r="AI128"/>
  <c r="AI138"/>
  <c r="AI146"/>
  <c r="AI167"/>
  <c r="AI175"/>
  <c r="AI198"/>
  <c r="AI206"/>
  <c r="AI216"/>
  <c r="AI261"/>
  <c r="AI294"/>
  <c r="AI300"/>
  <c r="AI337"/>
  <c r="AI364"/>
  <c r="AI49"/>
  <c r="AI59"/>
  <c r="AI67"/>
  <c r="AI69"/>
  <c r="AI77"/>
  <c r="AI87"/>
  <c r="AI95"/>
  <c r="AI105"/>
  <c r="AI113"/>
  <c r="AI123"/>
  <c r="AI131"/>
  <c r="AI133"/>
  <c r="AI141"/>
  <c r="AI153"/>
  <c r="AI154"/>
  <c r="AI161"/>
  <c r="AI162"/>
  <c r="AI190"/>
  <c r="AI218"/>
  <c r="AI235"/>
  <c r="AI47"/>
  <c r="AI57"/>
  <c r="AI65"/>
  <c r="AI75"/>
  <c r="AI83"/>
  <c r="AI85"/>
  <c r="AI93"/>
  <c r="AI103"/>
  <c r="AI111"/>
  <c r="AI121"/>
  <c r="AI129"/>
  <c r="AI139"/>
  <c r="AI147"/>
  <c r="AI149"/>
  <c r="AI155"/>
  <c r="AI163"/>
  <c r="AI193"/>
  <c r="AI160"/>
  <c r="AI170"/>
  <c r="AI178"/>
  <c r="AI315"/>
  <c r="AI150"/>
  <c r="AI158"/>
  <c r="AI168"/>
  <c r="AI176"/>
  <c r="AI186"/>
  <c r="AI188"/>
  <c r="AI213"/>
  <c r="AI219"/>
  <c r="AI221"/>
  <c r="AI233"/>
  <c r="AI234"/>
  <c r="AI302"/>
  <c r="AI341"/>
  <c r="AI359"/>
  <c r="AI156"/>
  <c r="AI166"/>
  <c r="AI174"/>
  <c r="AI184"/>
  <c r="AI189"/>
  <c r="AI200"/>
  <c r="AI208"/>
  <c r="AI243"/>
  <c r="AI250"/>
  <c r="AI258"/>
  <c r="AI151"/>
  <c r="AI159"/>
  <c r="AI169"/>
  <c r="AI177"/>
  <c r="AI224"/>
  <c r="AI334"/>
  <c r="AI194"/>
  <c r="AI204"/>
  <c r="AI214"/>
  <c r="AI222"/>
  <c r="AI230"/>
  <c r="AI245"/>
  <c r="AI253"/>
  <c r="AI274"/>
  <c r="AI199"/>
  <c r="AI207"/>
  <c r="AI217"/>
  <c r="AI266"/>
  <c r="AI272"/>
  <c r="AI202"/>
  <c r="AI210"/>
  <c r="AI220"/>
  <c r="AI232"/>
  <c r="AI240"/>
  <c r="AI264"/>
  <c r="AI277"/>
  <c r="AI314"/>
  <c r="AI376"/>
  <c r="AI187"/>
  <c r="AI195"/>
  <c r="AI197"/>
  <c r="AI205"/>
  <c r="AI215"/>
  <c r="AI223"/>
  <c r="AI281"/>
  <c r="AI285"/>
  <c r="AI325"/>
  <c r="AI354"/>
  <c r="AI238"/>
  <c r="AI248"/>
  <c r="AI256"/>
  <c r="AI352"/>
  <c r="AI226"/>
  <c r="AI236"/>
  <c r="AI246"/>
  <c r="AI254"/>
  <c r="AI267"/>
  <c r="AI275"/>
  <c r="AI295"/>
  <c r="AI303"/>
  <c r="AI311"/>
  <c r="AI321"/>
  <c r="AI231"/>
  <c r="AI239"/>
  <c r="AI249"/>
  <c r="AI257"/>
  <c r="AI282"/>
  <c r="AI290"/>
  <c r="AI227"/>
  <c r="AI229"/>
  <c r="AI237"/>
  <c r="AI247"/>
  <c r="AI255"/>
  <c r="AI263"/>
  <c r="AI271"/>
  <c r="AI284"/>
  <c r="AI299"/>
  <c r="AI326"/>
  <c r="AI332"/>
  <c r="AI333"/>
  <c r="AI269"/>
  <c r="AI279"/>
  <c r="AI287"/>
  <c r="AI297"/>
  <c r="AI305"/>
  <c r="AI316"/>
  <c r="AI350"/>
  <c r="AI351"/>
  <c r="AI262"/>
  <c r="AI270"/>
  <c r="AI280"/>
  <c r="AI288"/>
  <c r="AI298"/>
  <c r="AI306"/>
  <c r="AI322"/>
  <c r="AI323"/>
  <c r="AI362"/>
  <c r="AI265"/>
  <c r="AI273"/>
  <c r="AI283"/>
  <c r="AI291"/>
  <c r="AI293"/>
  <c r="AI301"/>
  <c r="AI313"/>
  <c r="AI331"/>
  <c r="AI342"/>
  <c r="AI365"/>
  <c r="AI268"/>
  <c r="AI278"/>
  <c r="AI286"/>
  <c r="AI296"/>
  <c r="AI304"/>
  <c r="AI319"/>
  <c r="AI361"/>
  <c r="AI371"/>
  <c r="AI329"/>
  <c r="AI339"/>
  <c r="AI344"/>
  <c r="AI307"/>
  <c r="AI309"/>
  <c r="AI317"/>
  <c r="AI327"/>
  <c r="AI335"/>
  <c r="AI349"/>
  <c r="AI374"/>
  <c r="AI312"/>
  <c r="AI320"/>
  <c r="AI330"/>
  <c r="AI343"/>
  <c r="AI310"/>
  <c r="AI318"/>
  <c r="AI328"/>
  <c r="AI355"/>
  <c r="AI347"/>
  <c r="AI392"/>
  <c r="AI345"/>
  <c r="AI385"/>
  <c r="AI402"/>
  <c r="AI338"/>
  <c r="AI348"/>
  <c r="AI367"/>
  <c r="AI336"/>
  <c r="AI346"/>
  <c r="AI357"/>
  <c r="AI379"/>
  <c r="AI397"/>
  <c r="AI399"/>
  <c r="AI360"/>
  <c r="AI368"/>
  <c r="AI377"/>
  <c r="AI394"/>
  <c r="AI353"/>
  <c r="AI363"/>
  <c r="AI384"/>
  <c r="AI389"/>
  <c r="AI358"/>
  <c r="AI366"/>
  <c r="AI380"/>
  <c r="AI382"/>
  <c r="AI396"/>
  <c r="AI400"/>
  <c r="AI370"/>
  <c r="AI387"/>
  <c r="AI391"/>
  <c r="AI369"/>
  <c r="AI373"/>
  <c r="AI381"/>
  <c r="AI395"/>
  <c r="AI403"/>
  <c r="AI378"/>
  <c r="AI386"/>
  <c r="AI390"/>
  <c r="AI398"/>
  <c r="AI375"/>
  <c r="AI383"/>
  <c r="AI393"/>
  <c r="AI401"/>
  <c r="BM21"/>
  <c r="BM47"/>
  <c r="BM210"/>
  <c r="BM190"/>
  <c r="BM72"/>
  <c r="BM23"/>
  <c r="BM74"/>
  <c r="BM136"/>
  <c r="BM32"/>
  <c r="BM73"/>
  <c r="BM6"/>
  <c r="BM24"/>
  <c r="BM29"/>
  <c r="BM31"/>
  <c r="BM103"/>
  <c r="BM137"/>
  <c r="BM138"/>
  <c r="BM111"/>
  <c r="BM8"/>
  <c r="BM14"/>
  <c r="BM16"/>
  <c r="BM301"/>
  <c r="BM5"/>
  <c r="BM26"/>
  <c r="BM34"/>
  <c r="BM80"/>
  <c r="BM144"/>
  <c r="BM183"/>
  <c r="BM184"/>
  <c r="BM11"/>
  <c r="BM19"/>
  <c r="BM39"/>
  <c r="BM81"/>
  <c r="BM82"/>
  <c r="BM145"/>
  <c r="BM146"/>
  <c r="BM13"/>
  <c r="BM156"/>
  <c r="BM157"/>
  <c r="BM163"/>
  <c r="BM7"/>
  <c r="BM44"/>
  <c r="BM45"/>
  <c r="BM46"/>
  <c r="BM101"/>
  <c r="BM102"/>
  <c r="BM108"/>
  <c r="BM109"/>
  <c r="BM110"/>
  <c r="BM9"/>
  <c r="BM17"/>
  <c r="BM27"/>
  <c r="BM35"/>
  <c r="BM37"/>
  <c r="BM75"/>
  <c r="BM83"/>
  <c r="BM139"/>
  <c r="BM147"/>
  <c r="BM155"/>
  <c r="BM159"/>
  <c r="BM187"/>
  <c r="BM208"/>
  <c r="BM227"/>
  <c r="BM12"/>
  <c r="BM22"/>
  <c r="BM30"/>
  <c r="BM40"/>
  <c r="BM54"/>
  <c r="BM62"/>
  <c r="BM90"/>
  <c r="BM98"/>
  <c r="BM118"/>
  <c r="BM126"/>
  <c r="BM15"/>
  <c r="BM25"/>
  <c r="BM33"/>
  <c r="BM55"/>
  <c r="BM56"/>
  <c r="BM63"/>
  <c r="BM64"/>
  <c r="BM91"/>
  <c r="BM92"/>
  <c r="BM99"/>
  <c r="BM119"/>
  <c r="BM120"/>
  <c r="BM127"/>
  <c r="BM128"/>
  <c r="BM202"/>
  <c r="BM218"/>
  <c r="BM316"/>
  <c r="BM10"/>
  <c r="BM18"/>
  <c r="BM28"/>
  <c r="BM38"/>
  <c r="BM57"/>
  <c r="BM65"/>
  <c r="BM85"/>
  <c r="BM93"/>
  <c r="BM121"/>
  <c r="BM129"/>
  <c r="BM149"/>
  <c r="BM200"/>
  <c r="BM225"/>
  <c r="BM42"/>
  <c r="BM50"/>
  <c r="BM60"/>
  <c r="BM70"/>
  <c r="BM78"/>
  <c r="BM88"/>
  <c r="BM96"/>
  <c r="BM106"/>
  <c r="BM114"/>
  <c r="BM124"/>
  <c r="BM134"/>
  <c r="BM142"/>
  <c r="BM185"/>
  <c r="BM192"/>
  <c r="BM195"/>
  <c r="BM234"/>
  <c r="BM287"/>
  <c r="BM48"/>
  <c r="BM58"/>
  <c r="BM66"/>
  <c r="BM76"/>
  <c r="BM86"/>
  <c r="BM94"/>
  <c r="BM104"/>
  <c r="BM112"/>
  <c r="BM122"/>
  <c r="BM130"/>
  <c r="BM140"/>
  <c r="BM151"/>
  <c r="BM165"/>
  <c r="BM166"/>
  <c r="BM173"/>
  <c r="BM174"/>
  <c r="BM203"/>
  <c r="BM211"/>
  <c r="BM43"/>
  <c r="BM51"/>
  <c r="BM53"/>
  <c r="BM61"/>
  <c r="BM71"/>
  <c r="BM79"/>
  <c r="BM89"/>
  <c r="BM97"/>
  <c r="BM107"/>
  <c r="BM115"/>
  <c r="BM117"/>
  <c r="BM125"/>
  <c r="BM135"/>
  <c r="BM143"/>
  <c r="BM167"/>
  <c r="BM175"/>
  <c r="BM328"/>
  <c r="BM41"/>
  <c r="BM49"/>
  <c r="BM59"/>
  <c r="BM67"/>
  <c r="BM69"/>
  <c r="BM77"/>
  <c r="BM87"/>
  <c r="BM95"/>
  <c r="BM105"/>
  <c r="BM113"/>
  <c r="BM123"/>
  <c r="BM131"/>
  <c r="BM133"/>
  <c r="BM141"/>
  <c r="BM169"/>
  <c r="BM177"/>
  <c r="BM286"/>
  <c r="BM154"/>
  <c r="BM162"/>
  <c r="BM172"/>
  <c r="BM182"/>
  <c r="BM284"/>
  <c r="BM293"/>
  <c r="BM152"/>
  <c r="BM160"/>
  <c r="BM170"/>
  <c r="BM178"/>
  <c r="BM197"/>
  <c r="BM205"/>
  <c r="BM220"/>
  <c r="BM150"/>
  <c r="BM158"/>
  <c r="BM168"/>
  <c r="BM176"/>
  <c r="BM186"/>
  <c r="BM213"/>
  <c r="BM221"/>
  <c r="BM226"/>
  <c r="BM235"/>
  <c r="BM236"/>
  <c r="BM242"/>
  <c r="BM153"/>
  <c r="BM161"/>
  <c r="BM171"/>
  <c r="BM179"/>
  <c r="BM181"/>
  <c r="BM193"/>
  <c r="BM215"/>
  <c r="BM237"/>
  <c r="BM243"/>
  <c r="BM279"/>
  <c r="BM188"/>
  <c r="BM198"/>
  <c r="BM206"/>
  <c r="BM216"/>
  <c r="BM252"/>
  <c r="BM191"/>
  <c r="BM201"/>
  <c r="BM209"/>
  <c r="BM219"/>
  <c r="BM245"/>
  <c r="BM246"/>
  <c r="BM253"/>
  <c r="BM254"/>
  <c r="BM273"/>
  <c r="BM194"/>
  <c r="BM204"/>
  <c r="BM214"/>
  <c r="BM222"/>
  <c r="BM247"/>
  <c r="BM255"/>
  <c r="BM265"/>
  <c r="BM189"/>
  <c r="BM199"/>
  <c r="BM207"/>
  <c r="BM217"/>
  <c r="BM224"/>
  <c r="BM229"/>
  <c r="BM278"/>
  <c r="BM333"/>
  <c r="BM232"/>
  <c r="BM240"/>
  <c r="BM250"/>
  <c r="BM258"/>
  <c r="BM230"/>
  <c r="BM238"/>
  <c r="BM248"/>
  <c r="BM256"/>
  <c r="BM261"/>
  <c r="BM266"/>
  <c r="BM274"/>
  <c r="BM294"/>
  <c r="BM302"/>
  <c r="BM317"/>
  <c r="BM223"/>
  <c r="BM233"/>
  <c r="BM241"/>
  <c r="BM251"/>
  <c r="BM268"/>
  <c r="BM296"/>
  <c r="BM304"/>
  <c r="BM313"/>
  <c r="BM231"/>
  <c r="BM239"/>
  <c r="BM249"/>
  <c r="BM257"/>
  <c r="BM259"/>
  <c r="BM269"/>
  <c r="BM283"/>
  <c r="BM291"/>
  <c r="BM297"/>
  <c r="BM305"/>
  <c r="BM307"/>
  <c r="BM325"/>
  <c r="BM364"/>
  <c r="BM263"/>
  <c r="BM271"/>
  <c r="BM281"/>
  <c r="BM289"/>
  <c r="BM299"/>
  <c r="BM318"/>
  <c r="BM326"/>
  <c r="BM327"/>
  <c r="BM334"/>
  <c r="BM335"/>
  <c r="BM343"/>
  <c r="BM345"/>
  <c r="BM346"/>
  <c r="BM394"/>
  <c r="BM264"/>
  <c r="BM272"/>
  <c r="BM282"/>
  <c r="BM290"/>
  <c r="BM300"/>
  <c r="BM309"/>
  <c r="BM337"/>
  <c r="BM352"/>
  <c r="BM267"/>
  <c r="BM275"/>
  <c r="BM277"/>
  <c r="BM285"/>
  <c r="BM295"/>
  <c r="BM303"/>
  <c r="BM310"/>
  <c r="BM315"/>
  <c r="BM323"/>
  <c r="BM344"/>
  <c r="BM367"/>
  <c r="BM262"/>
  <c r="BM270"/>
  <c r="BM280"/>
  <c r="BM288"/>
  <c r="BM298"/>
  <c r="BM306"/>
  <c r="BM321"/>
  <c r="BM331"/>
  <c r="BM341"/>
  <c r="BM361"/>
  <c r="BM311"/>
  <c r="BM319"/>
  <c r="BM329"/>
  <c r="BM339"/>
  <c r="BM314"/>
  <c r="BM322"/>
  <c r="BM332"/>
  <c r="BM336"/>
  <c r="BM386"/>
  <c r="BM312"/>
  <c r="BM320"/>
  <c r="BM330"/>
  <c r="BM351"/>
  <c r="BM366"/>
  <c r="BM370"/>
  <c r="BM374"/>
  <c r="BM377"/>
  <c r="BM390"/>
  <c r="BM349"/>
  <c r="BM353"/>
  <c r="BM347"/>
  <c r="BM354"/>
  <c r="BM358"/>
  <c r="BM363"/>
  <c r="BM375"/>
  <c r="BM342"/>
  <c r="BM350"/>
  <c r="BM399"/>
  <c r="BM338"/>
  <c r="BM348"/>
  <c r="BM359"/>
  <c r="BM401"/>
  <c r="BM362"/>
  <c r="BM378"/>
  <c r="BM380"/>
  <c r="BM382"/>
  <c r="BM396"/>
  <c r="BM355"/>
  <c r="BM357"/>
  <c r="BM365"/>
  <c r="BM391"/>
  <c r="BM360"/>
  <c r="BM368"/>
  <c r="BM383"/>
  <c r="BM385"/>
  <c r="BM402"/>
  <c r="BM369"/>
  <c r="BM393"/>
  <c r="BM398"/>
  <c r="BM371"/>
  <c r="BM379"/>
  <c r="BM387"/>
  <c r="BM389"/>
  <c r="BM397"/>
  <c r="BM376"/>
  <c r="BM384"/>
  <c r="BM392"/>
  <c r="BM400"/>
  <c r="BM373"/>
  <c r="BM381"/>
  <c r="BM395"/>
  <c r="BM403"/>
  <c r="I26"/>
  <c r="I55"/>
  <c r="I34"/>
  <c r="I119"/>
  <c r="I177"/>
  <c r="I54"/>
  <c r="I167"/>
  <c r="I8"/>
  <c r="I118"/>
  <c r="I7"/>
  <c r="I13"/>
  <c r="I215"/>
  <c r="I223"/>
  <c r="I6"/>
  <c r="I11"/>
  <c r="I19"/>
  <c r="I41"/>
  <c r="I75"/>
  <c r="I83"/>
  <c r="I166"/>
  <c r="I39"/>
  <c r="I139"/>
  <c r="I147"/>
  <c r="I169"/>
  <c r="I14"/>
  <c r="I21"/>
  <c r="I29"/>
  <c r="I92"/>
  <c r="I93"/>
  <c r="I98"/>
  <c r="I99"/>
  <c r="I165"/>
  <c r="I274"/>
  <c r="I16"/>
  <c r="I23"/>
  <c r="I31"/>
  <c r="I85"/>
  <c r="I90"/>
  <c r="I91"/>
  <c r="I149"/>
  <c r="I64"/>
  <c r="I65"/>
  <c r="I128"/>
  <c r="I129"/>
  <c r="I174"/>
  <c r="I210"/>
  <c r="I5"/>
  <c r="I24"/>
  <c r="I32"/>
  <c r="I56"/>
  <c r="I57"/>
  <c r="I62"/>
  <c r="I63"/>
  <c r="I120"/>
  <c r="I121"/>
  <c r="I126"/>
  <c r="I127"/>
  <c r="I173"/>
  <c r="I9"/>
  <c r="I17"/>
  <c r="I27"/>
  <c r="I35"/>
  <c r="I37"/>
  <c r="I44"/>
  <c r="I108"/>
  <c r="I175"/>
  <c r="I192"/>
  <c r="I205"/>
  <c r="I247"/>
  <c r="I255"/>
  <c r="I12"/>
  <c r="I22"/>
  <c r="I30"/>
  <c r="I40"/>
  <c r="I45"/>
  <c r="I46"/>
  <c r="I101"/>
  <c r="I102"/>
  <c r="I109"/>
  <c r="I110"/>
  <c r="I195"/>
  <c r="I202"/>
  <c r="I15"/>
  <c r="I25"/>
  <c r="I33"/>
  <c r="I47"/>
  <c r="I72"/>
  <c r="I80"/>
  <c r="I103"/>
  <c r="I111"/>
  <c r="I136"/>
  <c r="I144"/>
  <c r="I10"/>
  <c r="I18"/>
  <c r="I28"/>
  <c r="I38"/>
  <c r="I73"/>
  <c r="I74"/>
  <c r="I81"/>
  <c r="I82"/>
  <c r="I137"/>
  <c r="I138"/>
  <c r="I145"/>
  <c r="I146"/>
  <c r="I185"/>
  <c r="I187"/>
  <c r="I194"/>
  <c r="I197"/>
  <c r="I42"/>
  <c r="I50"/>
  <c r="I60"/>
  <c r="I70"/>
  <c r="I78"/>
  <c r="I88"/>
  <c r="I96"/>
  <c r="I106"/>
  <c r="I114"/>
  <c r="I124"/>
  <c r="I134"/>
  <c r="I142"/>
  <c r="I220"/>
  <c r="I229"/>
  <c r="I48"/>
  <c r="I58"/>
  <c r="I66"/>
  <c r="I76"/>
  <c r="I86"/>
  <c r="I94"/>
  <c r="I104"/>
  <c r="I112"/>
  <c r="I122"/>
  <c r="I130"/>
  <c r="I140"/>
  <c r="I155"/>
  <c r="I156"/>
  <c r="I163"/>
  <c r="I252"/>
  <c r="I254"/>
  <c r="I266"/>
  <c r="I43"/>
  <c r="I51"/>
  <c r="I53"/>
  <c r="I61"/>
  <c r="I71"/>
  <c r="I79"/>
  <c r="I89"/>
  <c r="I97"/>
  <c r="I107"/>
  <c r="I115"/>
  <c r="I117"/>
  <c r="I125"/>
  <c r="I135"/>
  <c r="I143"/>
  <c r="I157"/>
  <c r="I183"/>
  <c r="I184"/>
  <c r="I49"/>
  <c r="I59"/>
  <c r="I67"/>
  <c r="I69"/>
  <c r="I77"/>
  <c r="I87"/>
  <c r="I95"/>
  <c r="I105"/>
  <c r="I113"/>
  <c r="I123"/>
  <c r="I131"/>
  <c r="I133"/>
  <c r="I141"/>
  <c r="I151"/>
  <c r="I159"/>
  <c r="I246"/>
  <c r="I154"/>
  <c r="I162"/>
  <c r="I172"/>
  <c r="I182"/>
  <c r="I193"/>
  <c r="I213"/>
  <c r="I221"/>
  <c r="I339"/>
  <c r="I344"/>
  <c r="I152"/>
  <c r="I160"/>
  <c r="I170"/>
  <c r="I178"/>
  <c r="I190"/>
  <c r="I200"/>
  <c r="I208"/>
  <c r="I150"/>
  <c r="I158"/>
  <c r="I168"/>
  <c r="I176"/>
  <c r="I186"/>
  <c r="I245"/>
  <c r="I253"/>
  <c r="I269"/>
  <c r="I153"/>
  <c r="I161"/>
  <c r="I171"/>
  <c r="I179"/>
  <c r="I181"/>
  <c r="I203"/>
  <c r="I211"/>
  <c r="I218"/>
  <c r="I224"/>
  <c r="I268"/>
  <c r="I294"/>
  <c r="I296"/>
  <c r="I297"/>
  <c r="I310"/>
  <c r="I317"/>
  <c r="I188"/>
  <c r="I198"/>
  <c r="I206"/>
  <c r="I216"/>
  <c r="I225"/>
  <c r="I351"/>
  <c r="I366"/>
  <c r="I191"/>
  <c r="I201"/>
  <c r="I209"/>
  <c r="I219"/>
  <c r="I226"/>
  <c r="I234"/>
  <c r="I242"/>
  <c r="I204"/>
  <c r="I214"/>
  <c r="I222"/>
  <c r="I227"/>
  <c r="I235"/>
  <c r="I236"/>
  <c r="I243"/>
  <c r="I283"/>
  <c r="I309"/>
  <c r="I189"/>
  <c r="I199"/>
  <c r="I207"/>
  <c r="I217"/>
  <c r="I237"/>
  <c r="I291"/>
  <c r="I302"/>
  <c r="I304"/>
  <c r="I305"/>
  <c r="I315"/>
  <c r="I232"/>
  <c r="I240"/>
  <c r="I250"/>
  <c r="I258"/>
  <c r="I316"/>
  <c r="I383"/>
  <c r="I230"/>
  <c r="I238"/>
  <c r="I248"/>
  <c r="I256"/>
  <c r="I284"/>
  <c r="I233"/>
  <c r="I241"/>
  <c r="I251"/>
  <c r="I259"/>
  <c r="I278"/>
  <c r="I286"/>
  <c r="I306"/>
  <c r="I374"/>
  <c r="I231"/>
  <c r="I239"/>
  <c r="I249"/>
  <c r="I257"/>
  <c r="I261"/>
  <c r="I265"/>
  <c r="I273"/>
  <c r="I279"/>
  <c r="I287"/>
  <c r="I293"/>
  <c r="I301"/>
  <c r="I263"/>
  <c r="I271"/>
  <c r="I281"/>
  <c r="I289"/>
  <c r="I299"/>
  <c r="I307"/>
  <c r="I323"/>
  <c r="I264"/>
  <c r="I272"/>
  <c r="I282"/>
  <c r="I290"/>
  <c r="I300"/>
  <c r="I318"/>
  <c r="I325"/>
  <c r="I333"/>
  <c r="I267"/>
  <c r="I275"/>
  <c r="I277"/>
  <c r="I285"/>
  <c r="I295"/>
  <c r="I303"/>
  <c r="I326"/>
  <c r="I327"/>
  <c r="I334"/>
  <c r="I335"/>
  <c r="I262"/>
  <c r="I270"/>
  <c r="I280"/>
  <c r="I288"/>
  <c r="I298"/>
  <c r="I313"/>
  <c r="I328"/>
  <c r="I336"/>
  <c r="I343"/>
  <c r="I321"/>
  <c r="I331"/>
  <c r="I337"/>
  <c r="I364"/>
  <c r="I398"/>
  <c r="I311"/>
  <c r="I319"/>
  <c r="I329"/>
  <c r="I341"/>
  <c r="I345"/>
  <c r="I352"/>
  <c r="I314"/>
  <c r="I322"/>
  <c r="I332"/>
  <c r="I346"/>
  <c r="I367"/>
  <c r="I312"/>
  <c r="I320"/>
  <c r="I330"/>
  <c r="I369"/>
  <c r="I349"/>
  <c r="I359"/>
  <c r="I347"/>
  <c r="I353"/>
  <c r="I361"/>
  <c r="I370"/>
  <c r="I386"/>
  <c r="I342"/>
  <c r="I350"/>
  <c r="I368"/>
  <c r="I385"/>
  <c r="I391"/>
  <c r="I393"/>
  <c r="I402"/>
  <c r="I338"/>
  <c r="I348"/>
  <c r="I354"/>
  <c r="I358"/>
  <c r="I363"/>
  <c r="I362"/>
  <c r="I399"/>
  <c r="I355"/>
  <c r="I357"/>
  <c r="I365"/>
  <c r="I375"/>
  <c r="I377"/>
  <c r="I394"/>
  <c r="I360"/>
  <c r="I390"/>
  <c r="I401"/>
  <c r="I378"/>
  <c r="I380"/>
  <c r="I382"/>
  <c r="I396"/>
  <c r="I371"/>
  <c r="I379"/>
  <c r="I387"/>
  <c r="I389"/>
  <c r="I397"/>
  <c r="I376"/>
  <c r="I384"/>
  <c r="I392"/>
  <c r="I400"/>
  <c r="I373"/>
  <c r="I381"/>
  <c r="I395"/>
  <c r="I403"/>
  <c r="BH58"/>
  <c r="BH129"/>
  <c r="BH65"/>
  <c r="BH128"/>
  <c r="BH12"/>
  <c r="BH127"/>
  <c r="BH66"/>
  <c r="BH130"/>
  <c r="BH27"/>
  <c r="BH57"/>
  <c r="BH109"/>
  <c r="BH216"/>
  <c r="BH342"/>
  <c r="BH6"/>
  <c r="BH8"/>
  <c r="BH40"/>
  <c r="BH63"/>
  <c r="BH64"/>
  <c r="BH35"/>
  <c r="BH55"/>
  <c r="BH56"/>
  <c r="BH101"/>
  <c r="BH121"/>
  <c r="BH122"/>
  <c r="BH7"/>
  <c r="BH119"/>
  <c r="BH120"/>
  <c r="BH14"/>
  <c r="BH45"/>
  <c r="BH86"/>
  <c r="BH188"/>
  <c r="BH15"/>
  <c r="BH22"/>
  <c r="BH24"/>
  <c r="BH30"/>
  <c r="BH32"/>
  <c r="BH76"/>
  <c r="BH140"/>
  <c r="BH314"/>
  <c r="BH9"/>
  <c r="BH17"/>
  <c r="BH37"/>
  <c r="BH93"/>
  <c r="BH99"/>
  <c r="BH346"/>
  <c r="BH25"/>
  <c r="BH33"/>
  <c r="BH85"/>
  <c r="BH91"/>
  <c r="BH92"/>
  <c r="BH94"/>
  <c r="BH149"/>
  <c r="BH10"/>
  <c r="BH18"/>
  <c r="BH28"/>
  <c r="BH38"/>
  <c r="BH46"/>
  <c r="BH47"/>
  <c r="BH102"/>
  <c r="BH103"/>
  <c r="BH110"/>
  <c r="BH111"/>
  <c r="BH157"/>
  <c r="BH248"/>
  <c r="BH256"/>
  <c r="BH5"/>
  <c r="BH13"/>
  <c r="BH23"/>
  <c r="BH31"/>
  <c r="BH73"/>
  <c r="BH81"/>
  <c r="BH137"/>
  <c r="BH145"/>
  <c r="BH150"/>
  <c r="BH156"/>
  <c r="BH168"/>
  <c r="BH16"/>
  <c r="BH26"/>
  <c r="BH34"/>
  <c r="BH48"/>
  <c r="BH74"/>
  <c r="BH75"/>
  <c r="BH82"/>
  <c r="BH83"/>
  <c r="BH104"/>
  <c r="BH112"/>
  <c r="BH138"/>
  <c r="BH139"/>
  <c r="BH146"/>
  <c r="BH147"/>
  <c r="BH152"/>
  <c r="BH170"/>
  <c r="BH176"/>
  <c r="BH191"/>
  <c r="BH246"/>
  <c r="BH11"/>
  <c r="BH19"/>
  <c r="BH21"/>
  <c r="BH29"/>
  <c r="BH39"/>
  <c r="BH178"/>
  <c r="BH43"/>
  <c r="BH51"/>
  <c r="BH53"/>
  <c r="BH61"/>
  <c r="BH71"/>
  <c r="BH79"/>
  <c r="BH89"/>
  <c r="BH97"/>
  <c r="BH107"/>
  <c r="BH115"/>
  <c r="BH117"/>
  <c r="BH125"/>
  <c r="BH135"/>
  <c r="BH143"/>
  <c r="BH225"/>
  <c r="BH229"/>
  <c r="BH302"/>
  <c r="BH41"/>
  <c r="BH49"/>
  <c r="BH59"/>
  <c r="BH67"/>
  <c r="BH69"/>
  <c r="BH77"/>
  <c r="BH87"/>
  <c r="BH95"/>
  <c r="BH105"/>
  <c r="BH113"/>
  <c r="BH123"/>
  <c r="BH131"/>
  <c r="BH133"/>
  <c r="BH141"/>
  <c r="BH158"/>
  <c r="BH184"/>
  <c r="BH185"/>
  <c r="BH277"/>
  <c r="BH359"/>
  <c r="BH44"/>
  <c r="BH54"/>
  <c r="BH62"/>
  <c r="BH72"/>
  <c r="BH80"/>
  <c r="BH90"/>
  <c r="BH98"/>
  <c r="BH108"/>
  <c r="BH118"/>
  <c r="BH126"/>
  <c r="BH136"/>
  <c r="BH144"/>
  <c r="BH186"/>
  <c r="BH198"/>
  <c r="BH206"/>
  <c r="BH254"/>
  <c r="BH305"/>
  <c r="BH310"/>
  <c r="BH42"/>
  <c r="BH50"/>
  <c r="BH60"/>
  <c r="BH70"/>
  <c r="BH78"/>
  <c r="BH88"/>
  <c r="BH96"/>
  <c r="BH106"/>
  <c r="BH114"/>
  <c r="BH124"/>
  <c r="BH134"/>
  <c r="BH142"/>
  <c r="BH160"/>
  <c r="BH166"/>
  <c r="BH167"/>
  <c r="BH174"/>
  <c r="BH175"/>
  <c r="BH193"/>
  <c r="BH155"/>
  <c r="BH163"/>
  <c r="BH165"/>
  <c r="BH173"/>
  <c r="BH183"/>
  <c r="BH214"/>
  <c r="BH222"/>
  <c r="BH285"/>
  <c r="BH294"/>
  <c r="BH297"/>
  <c r="BH153"/>
  <c r="BH161"/>
  <c r="BH171"/>
  <c r="BH179"/>
  <c r="BH181"/>
  <c r="BH194"/>
  <c r="BH201"/>
  <c r="BH203"/>
  <c r="BH209"/>
  <c r="BH211"/>
  <c r="BH223"/>
  <c r="BH151"/>
  <c r="BH159"/>
  <c r="BH169"/>
  <c r="BH177"/>
  <c r="BH262"/>
  <c r="BH154"/>
  <c r="BH162"/>
  <c r="BH172"/>
  <c r="BH182"/>
  <c r="BH187"/>
  <c r="BH204"/>
  <c r="BH213"/>
  <c r="BH219"/>
  <c r="BH221"/>
  <c r="BH247"/>
  <c r="BH255"/>
  <c r="BH261"/>
  <c r="BH189"/>
  <c r="BH199"/>
  <c r="BH207"/>
  <c r="BH217"/>
  <c r="BH230"/>
  <c r="BH235"/>
  <c r="BH243"/>
  <c r="BH298"/>
  <c r="BH192"/>
  <c r="BH202"/>
  <c r="BH210"/>
  <c r="BH220"/>
  <c r="BH236"/>
  <c r="BH237"/>
  <c r="BH274"/>
  <c r="BH326"/>
  <c r="BH195"/>
  <c r="BH197"/>
  <c r="BH205"/>
  <c r="BH215"/>
  <c r="BH226"/>
  <c r="BH227"/>
  <c r="BH266"/>
  <c r="BH269"/>
  <c r="BH190"/>
  <c r="BH200"/>
  <c r="BH208"/>
  <c r="BH218"/>
  <c r="BH238"/>
  <c r="BH245"/>
  <c r="BH253"/>
  <c r="BH270"/>
  <c r="BH233"/>
  <c r="BH241"/>
  <c r="BH251"/>
  <c r="BH259"/>
  <c r="BH284"/>
  <c r="BH334"/>
  <c r="BH362"/>
  <c r="BH231"/>
  <c r="BH239"/>
  <c r="BH249"/>
  <c r="BH257"/>
  <c r="BH309"/>
  <c r="BH311"/>
  <c r="BH224"/>
  <c r="BH234"/>
  <c r="BH242"/>
  <c r="BH252"/>
  <c r="BH279"/>
  <c r="BH287"/>
  <c r="BH232"/>
  <c r="BH240"/>
  <c r="BH250"/>
  <c r="BH258"/>
  <c r="BH267"/>
  <c r="BH275"/>
  <c r="BH280"/>
  <c r="BH288"/>
  <c r="BH295"/>
  <c r="BH303"/>
  <c r="BH264"/>
  <c r="BH272"/>
  <c r="BH282"/>
  <c r="BH290"/>
  <c r="BH300"/>
  <c r="BH306"/>
  <c r="BH316"/>
  <c r="BH365"/>
  <c r="BH265"/>
  <c r="BH273"/>
  <c r="BH283"/>
  <c r="BH291"/>
  <c r="BH293"/>
  <c r="BH301"/>
  <c r="BH307"/>
  <c r="BH317"/>
  <c r="BH318"/>
  <c r="BH327"/>
  <c r="BH328"/>
  <c r="BH335"/>
  <c r="BH364"/>
  <c r="BH268"/>
  <c r="BH278"/>
  <c r="BH286"/>
  <c r="BH296"/>
  <c r="BH304"/>
  <c r="BH263"/>
  <c r="BH271"/>
  <c r="BH281"/>
  <c r="BH289"/>
  <c r="BH299"/>
  <c r="BH319"/>
  <c r="BH329"/>
  <c r="BH337"/>
  <c r="BH338"/>
  <c r="BH354"/>
  <c r="BH368"/>
  <c r="BH374"/>
  <c r="BH322"/>
  <c r="BH332"/>
  <c r="BH336"/>
  <c r="BH344"/>
  <c r="BH312"/>
  <c r="BH320"/>
  <c r="BH330"/>
  <c r="BH315"/>
  <c r="BH323"/>
  <c r="BH325"/>
  <c r="BH333"/>
  <c r="BH345"/>
  <c r="BH347"/>
  <c r="BH313"/>
  <c r="BH321"/>
  <c r="BH331"/>
  <c r="BH355"/>
  <c r="BH376"/>
  <c r="BH350"/>
  <c r="BH392"/>
  <c r="BH403"/>
  <c r="BH348"/>
  <c r="BH360"/>
  <c r="BH381"/>
  <c r="BH385"/>
  <c r="BH402"/>
  <c r="BH343"/>
  <c r="BH351"/>
  <c r="BH352"/>
  <c r="BH339"/>
  <c r="BH341"/>
  <c r="BH349"/>
  <c r="BH353"/>
  <c r="BH357"/>
  <c r="BH379"/>
  <c r="BH397"/>
  <c r="BH399"/>
  <c r="BH363"/>
  <c r="BH369"/>
  <c r="BH370"/>
  <c r="BH377"/>
  <c r="BH394"/>
  <c r="BH358"/>
  <c r="BH366"/>
  <c r="BH384"/>
  <c r="BH389"/>
  <c r="BH361"/>
  <c r="BH382"/>
  <c r="BH400"/>
  <c r="BH371"/>
  <c r="BH373"/>
  <c r="BH387"/>
  <c r="BH391"/>
  <c r="BH395"/>
  <c r="BH378"/>
  <c r="BH386"/>
  <c r="BH390"/>
  <c r="BH398"/>
  <c r="BH367"/>
  <c r="BH375"/>
  <c r="BH383"/>
  <c r="BH393"/>
  <c r="BH401"/>
  <c r="BH380"/>
  <c r="BH396"/>
  <c r="AT79"/>
  <c r="AT7"/>
  <c r="AT13"/>
  <c r="AT15"/>
  <c r="AT199"/>
  <c r="AT5"/>
  <c r="AT143"/>
  <c r="AT28"/>
  <c r="AT155"/>
  <c r="AT241"/>
  <c r="AT10"/>
  <c r="AT41"/>
  <c r="AT92"/>
  <c r="AT22"/>
  <c r="AT174"/>
  <c r="AT6"/>
  <c r="AT30"/>
  <c r="AT315"/>
  <c r="AT23"/>
  <c r="AT31"/>
  <c r="AT45"/>
  <c r="AT64"/>
  <c r="AT101"/>
  <c r="AT109"/>
  <c r="AT128"/>
  <c r="AT25"/>
  <c r="AT33"/>
  <c r="AT43"/>
  <c r="AT44"/>
  <c r="AT46"/>
  <c r="AT51"/>
  <c r="AT56"/>
  <c r="AT102"/>
  <c r="AT107"/>
  <c r="AT108"/>
  <c r="AT110"/>
  <c r="AT115"/>
  <c r="AT120"/>
  <c r="AT18"/>
  <c r="AT38"/>
  <c r="AT150"/>
  <c r="AT166"/>
  <c r="AT12"/>
  <c r="AT40"/>
  <c r="AT71"/>
  <c r="AT135"/>
  <c r="AT154"/>
  <c r="AT158"/>
  <c r="AT163"/>
  <c r="AT367"/>
  <c r="AT8"/>
  <c r="AT16"/>
  <c r="AT26"/>
  <c r="AT34"/>
  <c r="AT72"/>
  <c r="AT73"/>
  <c r="AT80"/>
  <c r="AT81"/>
  <c r="AT136"/>
  <c r="AT137"/>
  <c r="AT144"/>
  <c r="AT145"/>
  <c r="AT190"/>
  <c r="AT11"/>
  <c r="AT19"/>
  <c r="AT21"/>
  <c r="AT29"/>
  <c r="AT39"/>
  <c r="AT74"/>
  <c r="AT82"/>
  <c r="AT138"/>
  <c r="AT146"/>
  <c r="AT14"/>
  <c r="AT24"/>
  <c r="AT32"/>
  <c r="AT53"/>
  <c r="AT61"/>
  <c r="AT89"/>
  <c r="AT97"/>
  <c r="AT117"/>
  <c r="AT125"/>
  <c r="AT182"/>
  <c r="AT184"/>
  <c r="AT353"/>
  <c r="AT9"/>
  <c r="AT17"/>
  <c r="AT27"/>
  <c r="AT35"/>
  <c r="AT37"/>
  <c r="AT54"/>
  <c r="AT55"/>
  <c r="AT62"/>
  <c r="AT63"/>
  <c r="AT90"/>
  <c r="AT91"/>
  <c r="AT98"/>
  <c r="AT99"/>
  <c r="AT118"/>
  <c r="AT119"/>
  <c r="AT126"/>
  <c r="AT127"/>
  <c r="AT162"/>
  <c r="AT204"/>
  <c r="AT207"/>
  <c r="AT309"/>
  <c r="AT49"/>
  <c r="AT59"/>
  <c r="AT67"/>
  <c r="AT69"/>
  <c r="AT77"/>
  <c r="AT87"/>
  <c r="AT95"/>
  <c r="AT105"/>
  <c r="AT113"/>
  <c r="AT123"/>
  <c r="AT131"/>
  <c r="AT133"/>
  <c r="AT141"/>
  <c r="AT156"/>
  <c r="AT183"/>
  <c r="AT214"/>
  <c r="AT219"/>
  <c r="AT222"/>
  <c r="AT335"/>
  <c r="AT47"/>
  <c r="AT57"/>
  <c r="AT65"/>
  <c r="AT75"/>
  <c r="AT83"/>
  <c r="AT85"/>
  <c r="AT93"/>
  <c r="AT103"/>
  <c r="AT111"/>
  <c r="AT121"/>
  <c r="AT129"/>
  <c r="AT139"/>
  <c r="AT147"/>
  <c r="AT149"/>
  <c r="AT172"/>
  <c r="AT186"/>
  <c r="AT191"/>
  <c r="AT235"/>
  <c r="AT42"/>
  <c r="AT50"/>
  <c r="AT60"/>
  <c r="AT70"/>
  <c r="AT78"/>
  <c r="AT88"/>
  <c r="AT96"/>
  <c r="AT106"/>
  <c r="AT114"/>
  <c r="AT124"/>
  <c r="AT134"/>
  <c r="AT142"/>
  <c r="AT165"/>
  <c r="AT173"/>
  <c r="AT234"/>
  <c r="AT267"/>
  <c r="AT48"/>
  <c r="AT58"/>
  <c r="AT66"/>
  <c r="AT76"/>
  <c r="AT86"/>
  <c r="AT94"/>
  <c r="AT104"/>
  <c r="AT112"/>
  <c r="AT122"/>
  <c r="AT130"/>
  <c r="AT140"/>
  <c r="AT168"/>
  <c r="AT176"/>
  <c r="AT153"/>
  <c r="AT161"/>
  <c r="AT171"/>
  <c r="AT179"/>
  <c r="AT181"/>
  <c r="AT192"/>
  <c r="AT193"/>
  <c r="AT201"/>
  <c r="AT209"/>
  <c r="AT233"/>
  <c r="AT275"/>
  <c r="AT351"/>
  <c r="AT151"/>
  <c r="AT159"/>
  <c r="AT169"/>
  <c r="AT177"/>
  <c r="AT194"/>
  <c r="AT202"/>
  <c r="AT210"/>
  <c r="AT217"/>
  <c r="AT242"/>
  <c r="AT243"/>
  <c r="AT157"/>
  <c r="AT167"/>
  <c r="AT175"/>
  <c r="AT185"/>
  <c r="AT189"/>
  <c r="AT272"/>
  <c r="AT152"/>
  <c r="AT160"/>
  <c r="AT170"/>
  <c r="AT178"/>
  <c r="AT220"/>
  <c r="AT264"/>
  <c r="AT187"/>
  <c r="AT195"/>
  <c r="AT197"/>
  <c r="AT205"/>
  <c r="AT215"/>
  <c r="AT223"/>
  <c r="AT224"/>
  <c r="AT225"/>
  <c r="AT236"/>
  <c r="AT278"/>
  <c r="AT323"/>
  <c r="AT338"/>
  <c r="AT200"/>
  <c r="AT208"/>
  <c r="AT218"/>
  <c r="AT251"/>
  <c r="AT259"/>
  <c r="AT283"/>
  <c r="AT286"/>
  <c r="AT203"/>
  <c r="AT211"/>
  <c r="AT213"/>
  <c r="AT221"/>
  <c r="AT226"/>
  <c r="AT245"/>
  <c r="AT252"/>
  <c r="AT253"/>
  <c r="AT291"/>
  <c r="AT303"/>
  <c r="AT316"/>
  <c r="AT352"/>
  <c r="AT381"/>
  <c r="AT188"/>
  <c r="AT198"/>
  <c r="AT206"/>
  <c r="AT216"/>
  <c r="AT246"/>
  <c r="AT254"/>
  <c r="AT295"/>
  <c r="AT300"/>
  <c r="AT344"/>
  <c r="AT231"/>
  <c r="AT239"/>
  <c r="AT249"/>
  <c r="AT257"/>
  <c r="AT277"/>
  <c r="AT285"/>
  <c r="AT227"/>
  <c r="AT229"/>
  <c r="AT237"/>
  <c r="AT247"/>
  <c r="AT255"/>
  <c r="AT325"/>
  <c r="AT326"/>
  <c r="AT232"/>
  <c r="AT240"/>
  <c r="AT250"/>
  <c r="AT258"/>
  <c r="AT265"/>
  <c r="AT273"/>
  <c r="AT293"/>
  <c r="AT301"/>
  <c r="AT327"/>
  <c r="AT333"/>
  <c r="AT334"/>
  <c r="AT379"/>
  <c r="AT230"/>
  <c r="AT238"/>
  <c r="AT248"/>
  <c r="AT256"/>
  <c r="AT268"/>
  <c r="AT282"/>
  <c r="AT290"/>
  <c r="AT296"/>
  <c r="AT304"/>
  <c r="AT306"/>
  <c r="AT314"/>
  <c r="AT355"/>
  <c r="AT403"/>
  <c r="AT262"/>
  <c r="AT270"/>
  <c r="AT280"/>
  <c r="AT288"/>
  <c r="AT298"/>
  <c r="AT332"/>
  <c r="AT383"/>
  <c r="AT263"/>
  <c r="AT271"/>
  <c r="AT281"/>
  <c r="AT289"/>
  <c r="AT299"/>
  <c r="AT317"/>
  <c r="AT336"/>
  <c r="AT358"/>
  <c r="AT371"/>
  <c r="AT266"/>
  <c r="AT274"/>
  <c r="AT284"/>
  <c r="AT294"/>
  <c r="AT302"/>
  <c r="AT312"/>
  <c r="AT261"/>
  <c r="AT269"/>
  <c r="AT279"/>
  <c r="AT287"/>
  <c r="AT297"/>
  <c r="AT305"/>
  <c r="AT307"/>
  <c r="AT322"/>
  <c r="AT350"/>
  <c r="AT320"/>
  <c r="AT330"/>
  <c r="AT342"/>
  <c r="AT363"/>
  <c r="AT365"/>
  <c r="AT310"/>
  <c r="AT318"/>
  <c r="AT328"/>
  <c r="AT362"/>
  <c r="AT368"/>
  <c r="AT392"/>
  <c r="AT313"/>
  <c r="AT321"/>
  <c r="AT331"/>
  <c r="AT343"/>
  <c r="AT345"/>
  <c r="AT311"/>
  <c r="AT319"/>
  <c r="AT329"/>
  <c r="AT397"/>
  <c r="AT348"/>
  <c r="AT346"/>
  <c r="AT360"/>
  <c r="AT378"/>
  <c r="AT401"/>
  <c r="AT339"/>
  <c r="AT341"/>
  <c r="AT349"/>
  <c r="AT366"/>
  <c r="AT390"/>
  <c r="AT337"/>
  <c r="AT347"/>
  <c r="AT357"/>
  <c r="AT376"/>
  <c r="AT361"/>
  <c r="AT393"/>
  <c r="AT398"/>
  <c r="AT354"/>
  <c r="AT364"/>
  <c r="AT384"/>
  <c r="AT386"/>
  <c r="AT389"/>
  <c r="AT359"/>
  <c r="AT369"/>
  <c r="AT400"/>
  <c r="AT373"/>
  <c r="AT375"/>
  <c r="AT387"/>
  <c r="AT395"/>
  <c r="AT370"/>
  <c r="AT380"/>
  <c r="AT396"/>
  <c r="AT377"/>
  <c r="AT385"/>
  <c r="AT391"/>
  <c r="AT399"/>
  <c r="AT374"/>
  <c r="AT382"/>
  <c r="AT394"/>
  <c r="AT402"/>
  <c r="AK27"/>
  <c r="AK9"/>
  <c r="AK35"/>
  <c r="AK18"/>
  <c r="AK163"/>
  <c r="AK89"/>
  <c r="AK117"/>
  <c r="AK38"/>
  <c r="AK49"/>
  <c r="AK113"/>
  <c r="AK125"/>
  <c r="AK79"/>
  <c r="AK7"/>
  <c r="AK33"/>
  <c r="AK135"/>
  <c r="AK25"/>
  <c r="AK53"/>
  <c r="AK71"/>
  <c r="AK155"/>
  <c r="AK17"/>
  <c r="AK60"/>
  <c r="AK76"/>
  <c r="AK143"/>
  <c r="AK291"/>
  <c r="AK37"/>
  <c r="AK105"/>
  <c r="AK124"/>
  <c r="AK140"/>
  <c r="AK159"/>
  <c r="AK61"/>
  <c r="AK258"/>
  <c r="AK12"/>
  <c r="AK40"/>
  <c r="AK95"/>
  <c r="AK87"/>
  <c r="AK96"/>
  <c r="AK151"/>
  <c r="AK10"/>
  <c r="AK28"/>
  <c r="AK67"/>
  <c r="AK88"/>
  <c r="AK131"/>
  <c r="AK170"/>
  <c r="AK15"/>
  <c r="AK22"/>
  <c r="AK30"/>
  <c r="AK48"/>
  <c r="AK59"/>
  <c r="AK97"/>
  <c r="AK104"/>
  <c r="AK112"/>
  <c r="AK123"/>
  <c r="AK206"/>
  <c r="AK5"/>
  <c r="AK13"/>
  <c r="AK23"/>
  <c r="AK31"/>
  <c r="AK41"/>
  <c r="AK42"/>
  <c r="AK50"/>
  <c r="AK106"/>
  <c r="AK114"/>
  <c r="AK171"/>
  <c r="AK178"/>
  <c r="AK198"/>
  <c r="AK250"/>
  <c r="AK8"/>
  <c r="AK16"/>
  <c r="AK26"/>
  <c r="AK34"/>
  <c r="AK69"/>
  <c r="AK77"/>
  <c r="AK133"/>
  <c r="AK141"/>
  <c r="AK179"/>
  <c r="AK11"/>
  <c r="AK19"/>
  <c r="AK21"/>
  <c r="AK29"/>
  <c r="AK39"/>
  <c r="AK43"/>
  <c r="AK51"/>
  <c r="AK58"/>
  <c r="AK66"/>
  <c r="AK70"/>
  <c r="AK78"/>
  <c r="AK86"/>
  <c r="AK94"/>
  <c r="AK107"/>
  <c r="AK115"/>
  <c r="AK122"/>
  <c r="AK130"/>
  <c r="AK134"/>
  <c r="AK142"/>
  <c r="AK6"/>
  <c r="AK14"/>
  <c r="AK24"/>
  <c r="AK32"/>
  <c r="AK46"/>
  <c r="AK56"/>
  <c r="AK64"/>
  <c r="AK74"/>
  <c r="AK82"/>
  <c r="AK92"/>
  <c r="AK102"/>
  <c r="AK110"/>
  <c r="AK120"/>
  <c r="AK128"/>
  <c r="AK138"/>
  <c r="AK146"/>
  <c r="AK160"/>
  <c r="AK165"/>
  <c r="AK173"/>
  <c r="AK230"/>
  <c r="AK44"/>
  <c r="AK54"/>
  <c r="AK62"/>
  <c r="AK72"/>
  <c r="AK80"/>
  <c r="AK90"/>
  <c r="AK98"/>
  <c r="AK108"/>
  <c r="AK118"/>
  <c r="AK126"/>
  <c r="AK136"/>
  <c r="AK144"/>
  <c r="AK150"/>
  <c r="AK153"/>
  <c r="AK161"/>
  <c r="AK187"/>
  <c r="AK47"/>
  <c r="AK57"/>
  <c r="AK65"/>
  <c r="AK75"/>
  <c r="AK83"/>
  <c r="AK85"/>
  <c r="AK93"/>
  <c r="AK103"/>
  <c r="AK111"/>
  <c r="AK121"/>
  <c r="AK129"/>
  <c r="AK139"/>
  <c r="AK147"/>
  <c r="AK149"/>
  <c r="AK169"/>
  <c r="AK177"/>
  <c r="AK181"/>
  <c r="AK189"/>
  <c r="AK214"/>
  <c r="AK217"/>
  <c r="AK222"/>
  <c r="AK45"/>
  <c r="AK55"/>
  <c r="AK63"/>
  <c r="AK73"/>
  <c r="AK81"/>
  <c r="AK91"/>
  <c r="AK99"/>
  <c r="AK101"/>
  <c r="AK109"/>
  <c r="AK119"/>
  <c r="AK127"/>
  <c r="AK137"/>
  <c r="AK145"/>
  <c r="AK152"/>
  <c r="AK183"/>
  <c r="AK312"/>
  <c r="AK336"/>
  <c r="AK158"/>
  <c r="AK168"/>
  <c r="AK176"/>
  <c r="AK186"/>
  <c r="AK188"/>
  <c r="AK194"/>
  <c r="AK204"/>
  <c r="AK219"/>
  <c r="AK156"/>
  <c r="AK166"/>
  <c r="AK174"/>
  <c r="AK184"/>
  <c r="AK298"/>
  <c r="AK300"/>
  <c r="AK154"/>
  <c r="AK162"/>
  <c r="AK172"/>
  <c r="AK182"/>
  <c r="AK191"/>
  <c r="AK199"/>
  <c r="AK207"/>
  <c r="AK216"/>
  <c r="AK238"/>
  <c r="AK157"/>
  <c r="AK167"/>
  <c r="AK175"/>
  <c r="AK185"/>
  <c r="AK190"/>
  <c r="AK201"/>
  <c r="AK209"/>
  <c r="AK251"/>
  <c r="AK259"/>
  <c r="AK192"/>
  <c r="AK202"/>
  <c r="AK210"/>
  <c r="AK220"/>
  <c r="AK226"/>
  <c r="AK239"/>
  <c r="AK270"/>
  <c r="AK272"/>
  <c r="AK195"/>
  <c r="AK197"/>
  <c r="AK205"/>
  <c r="AK215"/>
  <c r="AK223"/>
  <c r="AK231"/>
  <c r="AK232"/>
  <c r="AK240"/>
  <c r="AK248"/>
  <c r="AK256"/>
  <c r="AK264"/>
  <c r="AK311"/>
  <c r="AK330"/>
  <c r="AK374"/>
  <c r="AK200"/>
  <c r="AK208"/>
  <c r="AK218"/>
  <c r="AK279"/>
  <c r="AK339"/>
  <c r="AK347"/>
  <c r="AK368"/>
  <c r="AK193"/>
  <c r="AK203"/>
  <c r="AK211"/>
  <c r="AK213"/>
  <c r="AK221"/>
  <c r="AK233"/>
  <c r="AK241"/>
  <c r="AK249"/>
  <c r="AK257"/>
  <c r="AK283"/>
  <c r="AK287"/>
  <c r="AK236"/>
  <c r="AK246"/>
  <c r="AK254"/>
  <c r="AK265"/>
  <c r="AK273"/>
  <c r="AK280"/>
  <c r="AK288"/>
  <c r="AK293"/>
  <c r="AK301"/>
  <c r="AK306"/>
  <c r="AK224"/>
  <c r="AK234"/>
  <c r="AK242"/>
  <c r="AK252"/>
  <c r="AK261"/>
  <c r="AK269"/>
  <c r="AK282"/>
  <c r="AK290"/>
  <c r="AK297"/>
  <c r="AK305"/>
  <c r="AK320"/>
  <c r="AK227"/>
  <c r="AK229"/>
  <c r="AK237"/>
  <c r="AK247"/>
  <c r="AK255"/>
  <c r="AK317"/>
  <c r="AK322"/>
  <c r="AK225"/>
  <c r="AK235"/>
  <c r="AK243"/>
  <c r="AK245"/>
  <c r="AK253"/>
  <c r="AK262"/>
  <c r="AK345"/>
  <c r="AK267"/>
  <c r="AK275"/>
  <c r="AK277"/>
  <c r="AK285"/>
  <c r="AK295"/>
  <c r="AK303"/>
  <c r="AK321"/>
  <c r="AK329"/>
  <c r="AK349"/>
  <c r="AK268"/>
  <c r="AK278"/>
  <c r="AK286"/>
  <c r="AK296"/>
  <c r="AK304"/>
  <c r="AK313"/>
  <c r="AK319"/>
  <c r="AK331"/>
  <c r="AK342"/>
  <c r="AK353"/>
  <c r="AK263"/>
  <c r="AK271"/>
  <c r="AK281"/>
  <c r="AK289"/>
  <c r="AK299"/>
  <c r="AK307"/>
  <c r="AK371"/>
  <c r="AK398"/>
  <c r="AK266"/>
  <c r="AK274"/>
  <c r="AK284"/>
  <c r="AK294"/>
  <c r="AK302"/>
  <c r="AK309"/>
  <c r="AK314"/>
  <c r="AK332"/>
  <c r="AK327"/>
  <c r="AK335"/>
  <c r="AK348"/>
  <c r="AK403"/>
  <c r="AK315"/>
  <c r="AK323"/>
  <c r="AK325"/>
  <c r="AK333"/>
  <c r="AK337"/>
  <c r="AK343"/>
  <c r="AK310"/>
  <c r="AK318"/>
  <c r="AK328"/>
  <c r="AK350"/>
  <c r="AK365"/>
  <c r="AK392"/>
  <c r="AK316"/>
  <c r="AK326"/>
  <c r="AK334"/>
  <c r="AK338"/>
  <c r="AK341"/>
  <c r="AK352"/>
  <c r="AK394"/>
  <c r="AK360"/>
  <c r="AK381"/>
  <c r="AK351"/>
  <c r="AK362"/>
  <c r="AK386"/>
  <c r="AK389"/>
  <c r="AK346"/>
  <c r="AK357"/>
  <c r="AK379"/>
  <c r="AK344"/>
  <c r="AK355"/>
  <c r="AK359"/>
  <c r="AK363"/>
  <c r="AK384"/>
  <c r="AK358"/>
  <c r="AK366"/>
  <c r="AK382"/>
  <c r="AK400"/>
  <c r="AK361"/>
  <c r="AK369"/>
  <c r="AK373"/>
  <c r="AK387"/>
  <c r="AK395"/>
  <c r="AK354"/>
  <c r="AK364"/>
  <c r="AK390"/>
  <c r="AK402"/>
  <c r="AK376"/>
  <c r="AK378"/>
  <c r="AK397"/>
  <c r="AK367"/>
  <c r="AK375"/>
  <c r="AK383"/>
  <c r="AK393"/>
  <c r="AK401"/>
  <c r="AK370"/>
  <c r="AK380"/>
  <c r="AK396"/>
  <c r="AK377"/>
  <c r="AK385"/>
  <c r="AK391"/>
  <c r="AK399"/>
  <c r="BI107"/>
  <c r="BI122"/>
  <c r="BI12"/>
  <c r="BI134"/>
  <c r="BI50"/>
  <c r="BI130"/>
  <c r="BI30"/>
  <c r="BI58"/>
  <c r="BI133"/>
  <c r="BI42"/>
  <c r="BI70"/>
  <c r="BI15"/>
  <c r="BI22"/>
  <c r="BI40"/>
  <c r="BI69"/>
  <c r="BI43"/>
  <c r="BI106"/>
  <c r="BI7"/>
  <c r="BI28"/>
  <c r="BI51"/>
  <c r="BI114"/>
  <c r="BI330"/>
  <c r="BI115"/>
  <c r="BI297"/>
  <c r="BI66"/>
  <c r="BI9"/>
  <c r="BI17"/>
  <c r="BI37"/>
  <c r="BI77"/>
  <c r="BI78"/>
  <c r="BI141"/>
  <c r="BI142"/>
  <c r="BI181"/>
  <c r="BI183"/>
  <c r="BI25"/>
  <c r="BI33"/>
  <c r="BI94"/>
  <c r="BI10"/>
  <c r="BI18"/>
  <c r="BI27"/>
  <c r="BI35"/>
  <c r="BI38"/>
  <c r="BI86"/>
  <c r="BI5"/>
  <c r="BI13"/>
  <c r="BI23"/>
  <c r="BI31"/>
  <c r="BI59"/>
  <c r="BI67"/>
  <c r="BI71"/>
  <c r="BI79"/>
  <c r="BI87"/>
  <c r="BI95"/>
  <c r="BI123"/>
  <c r="BI131"/>
  <c r="BI135"/>
  <c r="BI143"/>
  <c r="BI160"/>
  <c r="BI161"/>
  <c r="BI290"/>
  <c r="BI317"/>
  <c r="BI332"/>
  <c r="BI8"/>
  <c r="BI16"/>
  <c r="BI26"/>
  <c r="BI34"/>
  <c r="BI48"/>
  <c r="BI60"/>
  <c r="BI88"/>
  <c r="BI96"/>
  <c r="BI104"/>
  <c r="BI112"/>
  <c r="BI124"/>
  <c r="BI152"/>
  <c r="BI153"/>
  <c r="BI165"/>
  <c r="BI169"/>
  <c r="BI11"/>
  <c r="BI19"/>
  <c r="BI21"/>
  <c r="BI29"/>
  <c r="BI39"/>
  <c r="BI173"/>
  <c r="BI177"/>
  <c r="BI331"/>
  <c r="BI6"/>
  <c r="BI14"/>
  <c r="BI24"/>
  <c r="BI32"/>
  <c r="BI41"/>
  <c r="BI49"/>
  <c r="BI53"/>
  <c r="BI61"/>
  <c r="BI76"/>
  <c r="BI89"/>
  <c r="BI97"/>
  <c r="BI105"/>
  <c r="BI113"/>
  <c r="BI117"/>
  <c r="BI125"/>
  <c r="BI140"/>
  <c r="BI194"/>
  <c r="BI249"/>
  <c r="BI257"/>
  <c r="BI46"/>
  <c r="BI56"/>
  <c r="BI64"/>
  <c r="BI74"/>
  <c r="BI82"/>
  <c r="BI92"/>
  <c r="BI102"/>
  <c r="BI110"/>
  <c r="BI120"/>
  <c r="BI128"/>
  <c r="BI138"/>
  <c r="BI146"/>
  <c r="BI155"/>
  <c r="BI163"/>
  <c r="BI170"/>
  <c r="BI178"/>
  <c r="BI188"/>
  <c r="BI44"/>
  <c r="BI54"/>
  <c r="BI62"/>
  <c r="BI72"/>
  <c r="BI80"/>
  <c r="BI90"/>
  <c r="BI98"/>
  <c r="BI108"/>
  <c r="BI118"/>
  <c r="BI126"/>
  <c r="BI136"/>
  <c r="BI144"/>
  <c r="BI171"/>
  <c r="BI179"/>
  <c r="BI189"/>
  <c r="BI190"/>
  <c r="BI201"/>
  <c r="BI209"/>
  <c r="BI305"/>
  <c r="BI47"/>
  <c r="BI57"/>
  <c r="BI65"/>
  <c r="BI75"/>
  <c r="BI83"/>
  <c r="BI85"/>
  <c r="BI93"/>
  <c r="BI103"/>
  <c r="BI111"/>
  <c r="BI121"/>
  <c r="BI129"/>
  <c r="BI139"/>
  <c r="BI147"/>
  <c r="BI149"/>
  <c r="BI150"/>
  <c r="BI159"/>
  <c r="BI288"/>
  <c r="BI45"/>
  <c r="BI55"/>
  <c r="BI63"/>
  <c r="BI73"/>
  <c r="BI81"/>
  <c r="BI91"/>
  <c r="BI99"/>
  <c r="BI101"/>
  <c r="BI109"/>
  <c r="BI119"/>
  <c r="BI127"/>
  <c r="BI137"/>
  <c r="BI145"/>
  <c r="BI151"/>
  <c r="BI214"/>
  <c r="BI217"/>
  <c r="BI222"/>
  <c r="BI223"/>
  <c r="BI230"/>
  <c r="BI241"/>
  <c r="BI158"/>
  <c r="BI168"/>
  <c r="BI176"/>
  <c r="BI186"/>
  <c r="BI199"/>
  <c r="BI207"/>
  <c r="BI216"/>
  <c r="BI301"/>
  <c r="BI322"/>
  <c r="BI156"/>
  <c r="BI166"/>
  <c r="BI174"/>
  <c r="BI184"/>
  <c r="BI282"/>
  <c r="BI154"/>
  <c r="BI162"/>
  <c r="BI172"/>
  <c r="BI182"/>
  <c r="BI187"/>
  <c r="BI204"/>
  <c r="BI219"/>
  <c r="BI231"/>
  <c r="BI232"/>
  <c r="BI280"/>
  <c r="BI369"/>
  <c r="BI157"/>
  <c r="BI167"/>
  <c r="BI175"/>
  <c r="BI185"/>
  <c r="BI191"/>
  <c r="BI198"/>
  <c r="BI206"/>
  <c r="BI233"/>
  <c r="BI239"/>
  <c r="BI240"/>
  <c r="BI248"/>
  <c r="BI256"/>
  <c r="BI357"/>
  <c r="BI192"/>
  <c r="BI202"/>
  <c r="BI210"/>
  <c r="BI220"/>
  <c r="BI250"/>
  <c r="BI258"/>
  <c r="BI293"/>
  <c r="BI195"/>
  <c r="BI197"/>
  <c r="BI205"/>
  <c r="BI215"/>
  <c r="BI226"/>
  <c r="BI269"/>
  <c r="BI200"/>
  <c r="BI208"/>
  <c r="BI218"/>
  <c r="BI238"/>
  <c r="BI251"/>
  <c r="BI259"/>
  <c r="BI273"/>
  <c r="BI306"/>
  <c r="BI309"/>
  <c r="BI193"/>
  <c r="BI203"/>
  <c r="BI211"/>
  <c r="BI213"/>
  <c r="BI221"/>
  <c r="BI265"/>
  <c r="BI350"/>
  <c r="BI236"/>
  <c r="BI246"/>
  <c r="BI254"/>
  <c r="BI262"/>
  <c r="BI270"/>
  <c r="BI283"/>
  <c r="BI291"/>
  <c r="BI298"/>
  <c r="BI307"/>
  <c r="BI314"/>
  <c r="BI348"/>
  <c r="BI224"/>
  <c r="BI234"/>
  <c r="BI242"/>
  <c r="BI252"/>
  <c r="BI264"/>
  <c r="BI272"/>
  <c r="BI279"/>
  <c r="BI287"/>
  <c r="BI300"/>
  <c r="BI227"/>
  <c r="BI229"/>
  <c r="BI237"/>
  <c r="BI247"/>
  <c r="BI255"/>
  <c r="BI261"/>
  <c r="BI225"/>
  <c r="BI235"/>
  <c r="BI243"/>
  <c r="BI245"/>
  <c r="BI253"/>
  <c r="BI267"/>
  <c r="BI275"/>
  <c r="BI277"/>
  <c r="BI285"/>
  <c r="BI295"/>
  <c r="BI303"/>
  <c r="BI311"/>
  <c r="BI268"/>
  <c r="BI278"/>
  <c r="BI286"/>
  <c r="BI296"/>
  <c r="BI304"/>
  <c r="BI312"/>
  <c r="BI320"/>
  <c r="BI355"/>
  <c r="BI263"/>
  <c r="BI271"/>
  <c r="BI281"/>
  <c r="BI289"/>
  <c r="BI299"/>
  <c r="BI313"/>
  <c r="BI319"/>
  <c r="BI321"/>
  <c r="BI329"/>
  <c r="BI360"/>
  <c r="BI379"/>
  <c r="BI266"/>
  <c r="BI274"/>
  <c r="BI284"/>
  <c r="BI294"/>
  <c r="BI302"/>
  <c r="BI336"/>
  <c r="BI327"/>
  <c r="BI335"/>
  <c r="BI337"/>
  <c r="BI343"/>
  <c r="BI359"/>
  <c r="BI392"/>
  <c r="BI315"/>
  <c r="BI323"/>
  <c r="BI325"/>
  <c r="BI333"/>
  <c r="BI345"/>
  <c r="BI347"/>
  <c r="BI394"/>
  <c r="BI397"/>
  <c r="BI310"/>
  <c r="BI318"/>
  <c r="BI328"/>
  <c r="BI338"/>
  <c r="BI341"/>
  <c r="BI353"/>
  <c r="BI363"/>
  <c r="BI316"/>
  <c r="BI326"/>
  <c r="BI334"/>
  <c r="BI339"/>
  <c r="BI342"/>
  <c r="BI349"/>
  <c r="BI381"/>
  <c r="BI403"/>
  <c r="BI365"/>
  <c r="BI376"/>
  <c r="BI351"/>
  <c r="BI352"/>
  <c r="BI398"/>
  <c r="BI346"/>
  <c r="BI362"/>
  <c r="BI344"/>
  <c r="BI368"/>
  <c r="BI374"/>
  <c r="BI378"/>
  <c r="BI358"/>
  <c r="BI366"/>
  <c r="BI384"/>
  <c r="BI386"/>
  <c r="BI389"/>
  <c r="BI361"/>
  <c r="BI382"/>
  <c r="BI400"/>
  <c r="BI354"/>
  <c r="BI364"/>
  <c r="BI371"/>
  <c r="BI373"/>
  <c r="BI387"/>
  <c r="BI395"/>
  <c r="BI390"/>
  <c r="BI402"/>
  <c r="BI367"/>
  <c r="BI375"/>
  <c r="BI383"/>
  <c r="BI393"/>
  <c r="BI401"/>
  <c r="BI370"/>
  <c r="BI380"/>
  <c r="BI396"/>
  <c r="BI377"/>
  <c r="BI385"/>
  <c r="BI391"/>
  <c r="BI399"/>
  <c r="T24"/>
  <c r="T37"/>
  <c r="T46"/>
  <c r="T166"/>
  <c r="T201"/>
  <c r="T102"/>
  <c r="T15"/>
  <c r="T22"/>
  <c r="T33"/>
  <c r="T175"/>
  <c r="T6"/>
  <c r="T103"/>
  <c r="T110"/>
  <c r="T83"/>
  <c r="T111"/>
  <c r="T17"/>
  <c r="T47"/>
  <c r="T209"/>
  <c r="T213"/>
  <c r="T221"/>
  <c r="T30"/>
  <c r="T32"/>
  <c r="T82"/>
  <c r="T147"/>
  <c r="T146"/>
  <c r="T167"/>
  <c r="T25"/>
  <c r="T7"/>
  <c r="T8"/>
  <c r="T27"/>
  <c r="T35"/>
  <c r="T48"/>
  <c r="T104"/>
  <c r="T112"/>
  <c r="T174"/>
  <c r="T219"/>
  <c r="T12"/>
  <c r="T14"/>
  <c r="T40"/>
  <c r="T73"/>
  <c r="T137"/>
  <c r="T9"/>
  <c r="T74"/>
  <c r="T75"/>
  <c r="T138"/>
  <c r="T139"/>
  <c r="T81"/>
  <c r="T145"/>
  <c r="T203"/>
  <c r="T10"/>
  <c r="T18"/>
  <c r="T28"/>
  <c r="T38"/>
  <c r="T55"/>
  <c r="T63"/>
  <c r="T76"/>
  <c r="T91"/>
  <c r="T99"/>
  <c r="T119"/>
  <c r="T127"/>
  <c r="T140"/>
  <c r="T184"/>
  <c r="T185"/>
  <c r="T280"/>
  <c r="T5"/>
  <c r="T13"/>
  <c r="T23"/>
  <c r="T31"/>
  <c r="T41"/>
  <c r="T56"/>
  <c r="T57"/>
  <c r="T64"/>
  <c r="T65"/>
  <c r="T85"/>
  <c r="T92"/>
  <c r="T93"/>
  <c r="T120"/>
  <c r="T121"/>
  <c r="T128"/>
  <c r="T129"/>
  <c r="T149"/>
  <c r="T186"/>
  <c r="T187"/>
  <c r="T194"/>
  <c r="T235"/>
  <c r="T328"/>
  <c r="T16"/>
  <c r="T26"/>
  <c r="T34"/>
  <c r="T158"/>
  <c r="T275"/>
  <c r="T11"/>
  <c r="T19"/>
  <c r="T21"/>
  <c r="T29"/>
  <c r="T39"/>
  <c r="T45"/>
  <c r="T58"/>
  <c r="T66"/>
  <c r="T86"/>
  <c r="T94"/>
  <c r="T101"/>
  <c r="T109"/>
  <c r="T122"/>
  <c r="T130"/>
  <c r="T160"/>
  <c r="T211"/>
  <c r="T327"/>
  <c r="T43"/>
  <c r="T51"/>
  <c r="T53"/>
  <c r="T61"/>
  <c r="T71"/>
  <c r="T79"/>
  <c r="T89"/>
  <c r="T97"/>
  <c r="T107"/>
  <c r="T115"/>
  <c r="T117"/>
  <c r="T125"/>
  <c r="T135"/>
  <c r="T143"/>
  <c r="T152"/>
  <c r="T311"/>
  <c r="T49"/>
  <c r="T59"/>
  <c r="T67"/>
  <c r="T69"/>
  <c r="T77"/>
  <c r="T87"/>
  <c r="T95"/>
  <c r="T105"/>
  <c r="T113"/>
  <c r="T123"/>
  <c r="T131"/>
  <c r="T133"/>
  <c r="T141"/>
  <c r="T168"/>
  <c r="T176"/>
  <c r="T243"/>
  <c r="T284"/>
  <c r="T44"/>
  <c r="T54"/>
  <c r="T62"/>
  <c r="T72"/>
  <c r="T80"/>
  <c r="T90"/>
  <c r="T98"/>
  <c r="T108"/>
  <c r="T118"/>
  <c r="T126"/>
  <c r="T136"/>
  <c r="T144"/>
  <c r="T191"/>
  <c r="T42"/>
  <c r="T50"/>
  <c r="T60"/>
  <c r="T70"/>
  <c r="T78"/>
  <c r="T88"/>
  <c r="T96"/>
  <c r="T106"/>
  <c r="T114"/>
  <c r="T124"/>
  <c r="T134"/>
  <c r="T142"/>
  <c r="T150"/>
  <c r="T156"/>
  <c r="T157"/>
  <c r="T170"/>
  <c r="T178"/>
  <c r="T204"/>
  <c r="T236"/>
  <c r="T237"/>
  <c r="T238"/>
  <c r="T155"/>
  <c r="T163"/>
  <c r="T165"/>
  <c r="T173"/>
  <c r="T183"/>
  <c r="T193"/>
  <c r="T229"/>
  <c r="T153"/>
  <c r="T161"/>
  <c r="T171"/>
  <c r="T179"/>
  <c r="T181"/>
  <c r="T198"/>
  <c r="T206"/>
  <c r="T245"/>
  <c r="T253"/>
  <c r="T316"/>
  <c r="T151"/>
  <c r="T159"/>
  <c r="T169"/>
  <c r="T177"/>
  <c r="T214"/>
  <c r="T222"/>
  <c r="T267"/>
  <c r="T279"/>
  <c r="T345"/>
  <c r="T154"/>
  <c r="T162"/>
  <c r="T172"/>
  <c r="T182"/>
  <c r="T188"/>
  <c r="T216"/>
  <c r="T307"/>
  <c r="T189"/>
  <c r="T199"/>
  <c r="T207"/>
  <c r="T217"/>
  <c r="T225"/>
  <c r="T246"/>
  <c r="T247"/>
  <c r="T254"/>
  <c r="T255"/>
  <c r="T287"/>
  <c r="T288"/>
  <c r="T319"/>
  <c r="T334"/>
  <c r="T192"/>
  <c r="T202"/>
  <c r="T210"/>
  <c r="T220"/>
  <c r="T230"/>
  <c r="T303"/>
  <c r="T306"/>
  <c r="T391"/>
  <c r="T195"/>
  <c r="T197"/>
  <c r="T205"/>
  <c r="T215"/>
  <c r="T223"/>
  <c r="T248"/>
  <c r="T256"/>
  <c r="T295"/>
  <c r="T190"/>
  <c r="T200"/>
  <c r="T208"/>
  <c r="T218"/>
  <c r="T226"/>
  <c r="T227"/>
  <c r="T329"/>
  <c r="T233"/>
  <c r="T241"/>
  <c r="T251"/>
  <c r="T259"/>
  <c r="T262"/>
  <c r="T266"/>
  <c r="T274"/>
  <c r="T294"/>
  <c r="T302"/>
  <c r="T326"/>
  <c r="T364"/>
  <c r="T367"/>
  <c r="T231"/>
  <c r="T239"/>
  <c r="T249"/>
  <c r="T257"/>
  <c r="T335"/>
  <c r="T336"/>
  <c r="T224"/>
  <c r="T234"/>
  <c r="T242"/>
  <c r="T252"/>
  <c r="T269"/>
  <c r="T297"/>
  <c r="T305"/>
  <c r="T342"/>
  <c r="T344"/>
  <c r="T232"/>
  <c r="T240"/>
  <c r="T250"/>
  <c r="T258"/>
  <c r="T261"/>
  <c r="T270"/>
  <c r="T277"/>
  <c r="T285"/>
  <c r="T298"/>
  <c r="T264"/>
  <c r="T272"/>
  <c r="T282"/>
  <c r="T290"/>
  <c r="T300"/>
  <c r="T309"/>
  <c r="T310"/>
  <c r="T314"/>
  <c r="T357"/>
  <c r="T265"/>
  <c r="T273"/>
  <c r="T283"/>
  <c r="T291"/>
  <c r="T293"/>
  <c r="T301"/>
  <c r="T268"/>
  <c r="T278"/>
  <c r="T286"/>
  <c r="T296"/>
  <c r="T304"/>
  <c r="T317"/>
  <c r="T318"/>
  <c r="T337"/>
  <c r="T347"/>
  <c r="T352"/>
  <c r="T263"/>
  <c r="T271"/>
  <c r="T281"/>
  <c r="T289"/>
  <c r="T299"/>
  <c r="T322"/>
  <c r="T332"/>
  <c r="T312"/>
  <c r="T320"/>
  <c r="T330"/>
  <c r="T338"/>
  <c r="T385"/>
  <c r="T315"/>
  <c r="T323"/>
  <c r="T325"/>
  <c r="T333"/>
  <c r="T369"/>
  <c r="T376"/>
  <c r="T313"/>
  <c r="T321"/>
  <c r="T331"/>
  <c r="T346"/>
  <c r="T373"/>
  <c r="T402"/>
  <c r="T350"/>
  <c r="T355"/>
  <c r="T359"/>
  <c r="T395"/>
  <c r="T348"/>
  <c r="T365"/>
  <c r="T397"/>
  <c r="T343"/>
  <c r="T351"/>
  <c r="T353"/>
  <c r="T360"/>
  <c r="T374"/>
  <c r="T387"/>
  <c r="T339"/>
  <c r="T341"/>
  <c r="T349"/>
  <c r="T354"/>
  <c r="T362"/>
  <c r="T368"/>
  <c r="T370"/>
  <c r="T392"/>
  <c r="T363"/>
  <c r="T379"/>
  <c r="T381"/>
  <c r="T399"/>
  <c r="T403"/>
  <c r="T358"/>
  <c r="T366"/>
  <c r="T371"/>
  <c r="T377"/>
  <c r="T394"/>
  <c r="T361"/>
  <c r="T384"/>
  <c r="T389"/>
  <c r="T382"/>
  <c r="T400"/>
  <c r="T378"/>
  <c r="T386"/>
  <c r="T390"/>
  <c r="T398"/>
  <c r="T375"/>
  <c r="T383"/>
  <c r="T393"/>
  <c r="T401"/>
  <c r="T380"/>
  <c r="T396"/>
  <c r="AO165"/>
  <c r="AO147"/>
  <c r="AO202"/>
  <c r="AO5"/>
  <c r="AO118"/>
  <c r="AO34"/>
  <c r="AO26"/>
  <c r="AO119"/>
  <c r="AO139"/>
  <c r="AO195"/>
  <c r="AO75"/>
  <c r="AO83"/>
  <c r="AO13"/>
  <c r="AO173"/>
  <c r="AO11"/>
  <c r="AO19"/>
  <c r="AO41"/>
  <c r="AO205"/>
  <c r="AO39"/>
  <c r="AO54"/>
  <c r="AO55"/>
  <c r="AO174"/>
  <c r="AO14"/>
  <c r="AO21"/>
  <c r="AO29"/>
  <c r="AO92"/>
  <c r="AO93"/>
  <c r="AO98"/>
  <c r="AO99"/>
  <c r="AO197"/>
  <c r="AO252"/>
  <c r="AO6"/>
  <c r="AO16"/>
  <c r="AO23"/>
  <c r="AO31"/>
  <c r="AO85"/>
  <c r="AO90"/>
  <c r="AO91"/>
  <c r="AO149"/>
  <c r="AO169"/>
  <c r="AO318"/>
  <c r="AO7"/>
  <c r="AO64"/>
  <c r="AO65"/>
  <c r="AO128"/>
  <c r="AO129"/>
  <c r="AO246"/>
  <c r="AO8"/>
  <c r="AO24"/>
  <c r="AO32"/>
  <c r="AO56"/>
  <c r="AO57"/>
  <c r="AO62"/>
  <c r="AO63"/>
  <c r="AO120"/>
  <c r="AO121"/>
  <c r="AO126"/>
  <c r="AO127"/>
  <c r="AO166"/>
  <c r="AO167"/>
  <c r="AO177"/>
  <c r="AO294"/>
  <c r="AO9"/>
  <c r="AO17"/>
  <c r="AO27"/>
  <c r="AO35"/>
  <c r="AO37"/>
  <c r="AO44"/>
  <c r="AO108"/>
  <c r="AO175"/>
  <c r="AO215"/>
  <c r="AO223"/>
  <c r="AO226"/>
  <c r="AO268"/>
  <c r="AO12"/>
  <c r="AO22"/>
  <c r="AO30"/>
  <c r="AO40"/>
  <c r="AO45"/>
  <c r="AO46"/>
  <c r="AO101"/>
  <c r="AO102"/>
  <c r="AO109"/>
  <c r="AO110"/>
  <c r="AO15"/>
  <c r="AO25"/>
  <c r="AO33"/>
  <c r="AO47"/>
  <c r="AO72"/>
  <c r="AO80"/>
  <c r="AO103"/>
  <c r="AO111"/>
  <c r="AO136"/>
  <c r="AO144"/>
  <c r="AO210"/>
  <c r="AO296"/>
  <c r="AO10"/>
  <c r="AO18"/>
  <c r="AO28"/>
  <c r="AO38"/>
  <c r="AO73"/>
  <c r="AO74"/>
  <c r="AO81"/>
  <c r="AO82"/>
  <c r="AO137"/>
  <c r="AO138"/>
  <c r="AO145"/>
  <c r="AO146"/>
  <c r="AO151"/>
  <c r="AO185"/>
  <c r="AO254"/>
  <c r="AO42"/>
  <c r="AO50"/>
  <c r="AO60"/>
  <c r="AO70"/>
  <c r="AO78"/>
  <c r="AO88"/>
  <c r="AO96"/>
  <c r="AO106"/>
  <c r="AO114"/>
  <c r="AO124"/>
  <c r="AO134"/>
  <c r="AO142"/>
  <c r="AO187"/>
  <c r="AO220"/>
  <c r="AO247"/>
  <c r="AO266"/>
  <c r="AO306"/>
  <c r="AO48"/>
  <c r="AO58"/>
  <c r="AO66"/>
  <c r="AO76"/>
  <c r="AO86"/>
  <c r="AO94"/>
  <c r="AO104"/>
  <c r="AO112"/>
  <c r="AO122"/>
  <c r="AO130"/>
  <c r="AO140"/>
  <c r="AO155"/>
  <c r="AO156"/>
  <c r="AO163"/>
  <c r="AO225"/>
  <c r="AO43"/>
  <c r="AO51"/>
  <c r="AO53"/>
  <c r="AO61"/>
  <c r="AO71"/>
  <c r="AO79"/>
  <c r="AO89"/>
  <c r="AO97"/>
  <c r="AO107"/>
  <c r="AO115"/>
  <c r="AO117"/>
  <c r="AO125"/>
  <c r="AO135"/>
  <c r="AO143"/>
  <c r="AO157"/>
  <c r="AO183"/>
  <c r="AO184"/>
  <c r="AO49"/>
  <c r="AO59"/>
  <c r="AO67"/>
  <c r="AO69"/>
  <c r="AO77"/>
  <c r="AO87"/>
  <c r="AO95"/>
  <c r="AO105"/>
  <c r="AO113"/>
  <c r="AO123"/>
  <c r="AO131"/>
  <c r="AO133"/>
  <c r="AO141"/>
  <c r="AO159"/>
  <c r="AO255"/>
  <c r="AO297"/>
  <c r="AO154"/>
  <c r="AO162"/>
  <c r="AO172"/>
  <c r="AO182"/>
  <c r="AO213"/>
  <c r="AO221"/>
  <c r="AO227"/>
  <c r="AO261"/>
  <c r="AO269"/>
  <c r="AO152"/>
  <c r="AO160"/>
  <c r="AO170"/>
  <c r="AO178"/>
  <c r="AO190"/>
  <c r="AO192"/>
  <c r="AO200"/>
  <c r="AO208"/>
  <c r="AO274"/>
  <c r="AO345"/>
  <c r="AO150"/>
  <c r="AO158"/>
  <c r="AO168"/>
  <c r="AO176"/>
  <c r="AO186"/>
  <c r="AO193"/>
  <c r="AO245"/>
  <c r="AO253"/>
  <c r="AO153"/>
  <c r="AO161"/>
  <c r="AO171"/>
  <c r="AO179"/>
  <c r="AO181"/>
  <c r="AO194"/>
  <c r="AO203"/>
  <c r="AO211"/>
  <c r="AO218"/>
  <c r="AO188"/>
  <c r="AO198"/>
  <c r="AO206"/>
  <c r="AO216"/>
  <c r="AO317"/>
  <c r="AO191"/>
  <c r="AO201"/>
  <c r="AO209"/>
  <c r="AO219"/>
  <c r="AO234"/>
  <c r="AO242"/>
  <c r="AO204"/>
  <c r="AO214"/>
  <c r="AO222"/>
  <c r="AO224"/>
  <c r="AO229"/>
  <c r="AO235"/>
  <c r="AO236"/>
  <c r="AO243"/>
  <c r="AO283"/>
  <c r="AO189"/>
  <c r="AO199"/>
  <c r="AO207"/>
  <c r="AO217"/>
  <c r="AO237"/>
  <c r="AO291"/>
  <c r="AO302"/>
  <c r="AO304"/>
  <c r="AO305"/>
  <c r="AO232"/>
  <c r="AO240"/>
  <c r="AO250"/>
  <c r="AO258"/>
  <c r="AO309"/>
  <c r="AO351"/>
  <c r="AO230"/>
  <c r="AO238"/>
  <c r="AO248"/>
  <c r="AO256"/>
  <c r="AO284"/>
  <c r="AO313"/>
  <c r="AO343"/>
  <c r="AO233"/>
  <c r="AO241"/>
  <c r="AO251"/>
  <c r="AO259"/>
  <c r="AO278"/>
  <c r="AO286"/>
  <c r="AO359"/>
  <c r="AO231"/>
  <c r="AO239"/>
  <c r="AO249"/>
  <c r="AO257"/>
  <c r="AO265"/>
  <c r="AO273"/>
  <c r="AO279"/>
  <c r="AO287"/>
  <c r="AO293"/>
  <c r="AO301"/>
  <c r="AO378"/>
  <c r="AO263"/>
  <c r="AO271"/>
  <c r="AO281"/>
  <c r="AO289"/>
  <c r="AO299"/>
  <c r="AO307"/>
  <c r="AO323"/>
  <c r="AO354"/>
  <c r="AO363"/>
  <c r="AO264"/>
  <c r="AO272"/>
  <c r="AO282"/>
  <c r="AO290"/>
  <c r="AO300"/>
  <c r="AO310"/>
  <c r="AO315"/>
  <c r="AO325"/>
  <c r="AO333"/>
  <c r="AO267"/>
  <c r="AO275"/>
  <c r="AO277"/>
  <c r="AO285"/>
  <c r="AO295"/>
  <c r="AO303"/>
  <c r="AO326"/>
  <c r="AO327"/>
  <c r="AO334"/>
  <c r="AO335"/>
  <c r="AO361"/>
  <c r="AO262"/>
  <c r="AO270"/>
  <c r="AO280"/>
  <c r="AO288"/>
  <c r="AO298"/>
  <c r="AO316"/>
  <c r="AO328"/>
  <c r="AO339"/>
  <c r="AO321"/>
  <c r="AO331"/>
  <c r="AO336"/>
  <c r="AO337"/>
  <c r="AO375"/>
  <c r="AO377"/>
  <c r="AO380"/>
  <c r="AO382"/>
  <c r="AO396"/>
  <c r="AO311"/>
  <c r="AO319"/>
  <c r="AO329"/>
  <c r="AO341"/>
  <c r="AO358"/>
  <c r="AO370"/>
  <c r="AO314"/>
  <c r="AO322"/>
  <c r="AO332"/>
  <c r="AO346"/>
  <c r="AO352"/>
  <c r="AO401"/>
  <c r="AO312"/>
  <c r="AO320"/>
  <c r="AO330"/>
  <c r="AO344"/>
  <c r="AO349"/>
  <c r="AO347"/>
  <c r="AO353"/>
  <c r="AO399"/>
  <c r="AO342"/>
  <c r="AO350"/>
  <c r="AO364"/>
  <c r="AO338"/>
  <c r="AO348"/>
  <c r="AO366"/>
  <c r="AO368"/>
  <c r="AO369"/>
  <c r="AO390"/>
  <c r="AO394"/>
  <c r="AO362"/>
  <c r="AO391"/>
  <c r="AO355"/>
  <c r="AO357"/>
  <c r="AO365"/>
  <c r="AO367"/>
  <c r="AO383"/>
  <c r="AO385"/>
  <c r="AO402"/>
  <c r="AO360"/>
  <c r="AO393"/>
  <c r="AO398"/>
  <c r="AO374"/>
  <c r="AO386"/>
  <c r="AO371"/>
  <c r="AO379"/>
  <c r="AO387"/>
  <c r="AO389"/>
  <c r="AO397"/>
  <c r="AO376"/>
  <c r="AO384"/>
  <c r="AO392"/>
  <c r="AO400"/>
  <c r="AO373"/>
  <c r="AO381"/>
  <c r="AO395"/>
  <c r="AO403"/>
  <c r="AJ137"/>
  <c r="AJ112"/>
  <c r="AJ25"/>
  <c r="AJ24"/>
  <c r="AJ33"/>
  <c r="AJ73"/>
  <c r="AJ22"/>
  <c r="AJ160"/>
  <c r="AJ8"/>
  <c r="AJ74"/>
  <c r="AJ186"/>
  <c r="AJ32"/>
  <c r="AJ75"/>
  <c r="AJ204"/>
  <c r="AJ30"/>
  <c r="AJ158"/>
  <c r="AJ397"/>
  <c r="AJ7"/>
  <c r="AJ15"/>
  <c r="AJ81"/>
  <c r="AJ104"/>
  <c r="AJ138"/>
  <c r="AJ139"/>
  <c r="AJ194"/>
  <c r="AJ17"/>
  <c r="AJ145"/>
  <c r="AJ37"/>
  <c r="AJ48"/>
  <c r="AJ9"/>
  <c r="AJ27"/>
  <c r="AJ35"/>
  <c r="AJ82"/>
  <c r="AJ83"/>
  <c r="AJ146"/>
  <c r="AJ147"/>
  <c r="AJ295"/>
  <c r="AJ12"/>
  <c r="AJ14"/>
  <c r="AJ40"/>
  <c r="AJ309"/>
  <c r="AJ46"/>
  <c r="AJ47"/>
  <c r="AJ102"/>
  <c r="AJ103"/>
  <c r="AJ110"/>
  <c r="AJ111"/>
  <c r="AJ6"/>
  <c r="AJ184"/>
  <c r="AJ185"/>
  <c r="AJ10"/>
  <c r="AJ18"/>
  <c r="AJ28"/>
  <c r="AJ38"/>
  <c r="AJ55"/>
  <c r="AJ63"/>
  <c r="AJ76"/>
  <c r="AJ91"/>
  <c r="AJ99"/>
  <c r="AJ119"/>
  <c r="AJ127"/>
  <c r="AJ140"/>
  <c r="AJ166"/>
  <c r="AJ167"/>
  <c r="AJ5"/>
  <c r="AJ13"/>
  <c r="AJ23"/>
  <c r="AJ31"/>
  <c r="AJ41"/>
  <c r="AJ56"/>
  <c r="AJ57"/>
  <c r="AJ64"/>
  <c r="AJ65"/>
  <c r="AJ85"/>
  <c r="AJ92"/>
  <c r="AJ93"/>
  <c r="AJ120"/>
  <c r="AJ121"/>
  <c r="AJ128"/>
  <c r="AJ129"/>
  <c r="AJ149"/>
  <c r="AJ152"/>
  <c r="AJ174"/>
  <c r="AJ175"/>
  <c r="AJ193"/>
  <c r="AJ253"/>
  <c r="AJ16"/>
  <c r="AJ26"/>
  <c r="AJ34"/>
  <c r="AJ11"/>
  <c r="AJ19"/>
  <c r="AJ21"/>
  <c r="AJ29"/>
  <c r="AJ39"/>
  <c r="AJ45"/>
  <c r="AJ58"/>
  <c r="AJ66"/>
  <c r="AJ86"/>
  <c r="AJ94"/>
  <c r="AJ101"/>
  <c r="AJ109"/>
  <c r="AJ122"/>
  <c r="AJ130"/>
  <c r="AJ230"/>
  <c r="AJ43"/>
  <c r="AJ51"/>
  <c r="AJ53"/>
  <c r="AJ61"/>
  <c r="AJ71"/>
  <c r="AJ79"/>
  <c r="AJ89"/>
  <c r="AJ97"/>
  <c r="AJ107"/>
  <c r="AJ115"/>
  <c r="AJ117"/>
  <c r="AJ125"/>
  <c r="AJ135"/>
  <c r="AJ143"/>
  <c r="AJ201"/>
  <c r="AJ203"/>
  <c r="AJ209"/>
  <c r="AJ211"/>
  <c r="AJ243"/>
  <c r="AJ49"/>
  <c r="AJ59"/>
  <c r="AJ67"/>
  <c r="AJ69"/>
  <c r="AJ77"/>
  <c r="AJ87"/>
  <c r="AJ95"/>
  <c r="AJ105"/>
  <c r="AJ113"/>
  <c r="AJ123"/>
  <c r="AJ131"/>
  <c r="AJ133"/>
  <c r="AJ141"/>
  <c r="AJ168"/>
  <c r="AJ176"/>
  <c r="AJ188"/>
  <c r="AJ213"/>
  <c r="AJ221"/>
  <c r="AJ245"/>
  <c r="AJ287"/>
  <c r="AJ44"/>
  <c r="AJ54"/>
  <c r="AJ62"/>
  <c r="AJ72"/>
  <c r="AJ80"/>
  <c r="AJ90"/>
  <c r="AJ98"/>
  <c r="AJ108"/>
  <c r="AJ118"/>
  <c r="AJ126"/>
  <c r="AJ136"/>
  <c r="AJ144"/>
  <c r="AJ150"/>
  <c r="AJ219"/>
  <c r="AJ236"/>
  <c r="AJ237"/>
  <c r="AJ42"/>
  <c r="AJ50"/>
  <c r="AJ60"/>
  <c r="AJ70"/>
  <c r="AJ78"/>
  <c r="AJ88"/>
  <c r="AJ96"/>
  <c r="AJ106"/>
  <c r="AJ114"/>
  <c r="AJ124"/>
  <c r="AJ134"/>
  <c r="AJ142"/>
  <c r="AJ156"/>
  <c r="AJ157"/>
  <c r="AJ170"/>
  <c r="AJ178"/>
  <c r="AJ288"/>
  <c r="AJ155"/>
  <c r="AJ163"/>
  <c r="AJ165"/>
  <c r="AJ173"/>
  <c r="AJ183"/>
  <c r="AJ187"/>
  <c r="AJ225"/>
  <c r="AJ316"/>
  <c r="AJ335"/>
  <c r="AJ153"/>
  <c r="AJ161"/>
  <c r="AJ171"/>
  <c r="AJ179"/>
  <c r="AJ181"/>
  <c r="AJ198"/>
  <c r="AJ206"/>
  <c r="AJ229"/>
  <c r="AJ235"/>
  <c r="AJ303"/>
  <c r="AJ151"/>
  <c r="AJ159"/>
  <c r="AJ169"/>
  <c r="AJ177"/>
  <c r="AJ214"/>
  <c r="AJ222"/>
  <c r="AJ306"/>
  <c r="AJ154"/>
  <c r="AJ162"/>
  <c r="AJ172"/>
  <c r="AJ182"/>
  <c r="AJ191"/>
  <c r="AJ216"/>
  <c r="AJ238"/>
  <c r="AJ189"/>
  <c r="AJ199"/>
  <c r="AJ207"/>
  <c r="AJ217"/>
  <c r="AJ246"/>
  <c r="AJ247"/>
  <c r="AJ254"/>
  <c r="AJ255"/>
  <c r="AJ275"/>
  <c r="AJ355"/>
  <c r="AJ403"/>
  <c r="AJ192"/>
  <c r="AJ202"/>
  <c r="AJ210"/>
  <c r="AJ220"/>
  <c r="AJ226"/>
  <c r="AJ227"/>
  <c r="AJ267"/>
  <c r="AJ317"/>
  <c r="AJ195"/>
  <c r="AJ197"/>
  <c r="AJ205"/>
  <c r="AJ215"/>
  <c r="AJ223"/>
  <c r="AJ248"/>
  <c r="AJ256"/>
  <c r="AJ262"/>
  <c r="AJ394"/>
  <c r="AJ190"/>
  <c r="AJ200"/>
  <c r="AJ208"/>
  <c r="AJ218"/>
  <c r="AJ279"/>
  <c r="AJ280"/>
  <c r="AJ284"/>
  <c r="AJ326"/>
  <c r="AJ233"/>
  <c r="AJ241"/>
  <c r="AJ251"/>
  <c r="AJ259"/>
  <c r="AJ266"/>
  <c r="AJ274"/>
  <c r="AJ294"/>
  <c r="AJ302"/>
  <c r="AJ314"/>
  <c r="AJ318"/>
  <c r="AJ392"/>
  <c r="AJ231"/>
  <c r="AJ239"/>
  <c r="AJ249"/>
  <c r="AJ257"/>
  <c r="AJ399"/>
  <c r="AJ224"/>
  <c r="AJ234"/>
  <c r="AJ242"/>
  <c r="AJ252"/>
  <c r="AJ261"/>
  <c r="AJ269"/>
  <c r="AJ297"/>
  <c r="AJ305"/>
  <c r="AJ232"/>
  <c r="AJ240"/>
  <c r="AJ250"/>
  <c r="AJ258"/>
  <c r="AJ270"/>
  <c r="AJ277"/>
  <c r="AJ285"/>
  <c r="AJ298"/>
  <c r="AJ310"/>
  <c r="AJ327"/>
  <c r="AJ328"/>
  <c r="AJ329"/>
  <c r="AJ334"/>
  <c r="AJ338"/>
  <c r="AJ357"/>
  <c r="AJ264"/>
  <c r="AJ272"/>
  <c r="AJ282"/>
  <c r="AJ290"/>
  <c r="AJ300"/>
  <c r="AJ311"/>
  <c r="AJ347"/>
  <c r="AJ360"/>
  <c r="AJ381"/>
  <c r="AJ265"/>
  <c r="AJ273"/>
  <c r="AJ283"/>
  <c r="AJ291"/>
  <c r="AJ293"/>
  <c r="AJ301"/>
  <c r="AJ268"/>
  <c r="AJ278"/>
  <c r="AJ286"/>
  <c r="AJ296"/>
  <c r="AJ304"/>
  <c r="AJ319"/>
  <c r="AJ263"/>
  <c r="AJ271"/>
  <c r="AJ281"/>
  <c r="AJ289"/>
  <c r="AJ299"/>
  <c r="AJ307"/>
  <c r="AJ344"/>
  <c r="AJ322"/>
  <c r="AJ332"/>
  <c r="AJ342"/>
  <c r="AJ359"/>
  <c r="AJ379"/>
  <c r="AJ312"/>
  <c r="AJ320"/>
  <c r="AJ330"/>
  <c r="AJ345"/>
  <c r="AJ315"/>
  <c r="AJ323"/>
  <c r="AJ325"/>
  <c r="AJ333"/>
  <c r="AJ337"/>
  <c r="AJ313"/>
  <c r="AJ321"/>
  <c r="AJ331"/>
  <c r="AJ336"/>
  <c r="AJ346"/>
  <c r="AJ353"/>
  <c r="AJ350"/>
  <c r="AJ352"/>
  <c r="AJ365"/>
  <c r="AJ368"/>
  <c r="AJ371"/>
  <c r="AJ376"/>
  <c r="AJ377"/>
  <c r="AJ348"/>
  <c r="AJ343"/>
  <c r="AJ351"/>
  <c r="AJ354"/>
  <c r="AJ362"/>
  <c r="AJ339"/>
  <c r="AJ341"/>
  <c r="AJ349"/>
  <c r="AJ364"/>
  <c r="AJ374"/>
  <c r="AJ363"/>
  <c r="AJ384"/>
  <c r="AJ389"/>
  <c r="AJ358"/>
  <c r="AJ366"/>
  <c r="AJ382"/>
  <c r="AJ400"/>
  <c r="AJ361"/>
  <c r="AJ369"/>
  <c r="AJ370"/>
  <c r="AJ373"/>
  <c r="AJ387"/>
  <c r="AJ391"/>
  <c r="AJ395"/>
  <c r="AJ385"/>
  <c r="AJ402"/>
  <c r="AJ378"/>
  <c r="AJ386"/>
  <c r="AJ390"/>
  <c r="AJ398"/>
  <c r="AJ367"/>
  <c r="AJ375"/>
  <c r="AJ383"/>
  <c r="AJ393"/>
  <c r="AJ401"/>
  <c r="AJ380"/>
  <c r="AJ396"/>
  <c r="AZ147"/>
  <c r="AZ82"/>
  <c r="AZ110"/>
  <c r="AZ33"/>
  <c r="AZ83"/>
  <c r="AZ103"/>
  <c r="AZ238"/>
  <c r="AZ15"/>
  <c r="AZ22"/>
  <c r="AZ24"/>
  <c r="AZ37"/>
  <c r="AZ8"/>
  <c r="AZ17"/>
  <c r="AZ146"/>
  <c r="AZ30"/>
  <c r="AZ32"/>
  <c r="AZ102"/>
  <c r="AZ174"/>
  <c r="AZ47"/>
  <c r="AZ7"/>
  <c r="AZ9"/>
  <c r="AZ25"/>
  <c r="AZ46"/>
  <c r="AZ111"/>
  <c r="AZ152"/>
  <c r="AZ280"/>
  <c r="AZ27"/>
  <c r="AZ35"/>
  <c r="AZ48"/>
  <c r="AZ104"/>
  <c r="AZ112"/>
  <c r="AZ167"/>
  <c r="AZ243"/>
  <c r="AZ6"/>
  <c r="AZ12"/>
  <c r="AZ14"/>
  <c r="AZ40"/>
  <c r="AZ73"/>
  <c r="AZ137"/>
  <c r="AZ150"/>
  <c r="AZ166"/>
  <c r="AZ194"/>
  <c r="AZ74"/>
  <c r="AZ75"/>
  <c r="AZ138"/>
  <c r="AZ139"/>
  <c r="AZ191"/>
  <c r="AZ81"/>
  <c r="AZ145"/>
  <c r="AZ175"/>
  <c r="AZ211"/>
  <c r="AZ236"/>
  <c r="AZ10"/>
  <c r="AZ18"/>
  <c r="AZ28"/>
  <c r="AZ38"/>
  <c r="AZ55"/>
  <c r="AZ63"/>
  <c r="AZ76"/>
  <c r="AZ91"/>
  <c r="AZ99"/>
  <c r="AZ119"/>
  <c r="AZ127"/>
  <c r="AZ140"/>
  <c r="AZ184"/>
  <c r="AZ185"/>
  <c r="AZ209"/>
  <c r="AZ213"/>
  <c r="AZ221"/>
  <c r="AZ237"/>
  <c r="AZ5"/>
  <c r="AZ13"/>
  <c r="AZ23"/>
  <c r="AZ31"/>
  <c r="AZ56"/>
  <c r="AZ57"/>
  <c r="AZ64"/>
  <c r="AZ65"/>
  <c r="AZ85"/>
  <c r="AZ92"/>
  <c r="AZ93"/>
  <c r="AZ120"/>
  <c r="AZ121"/>
  <c r="AZ128"/>
  <c r="AZ129"/>
  <c r="AZ149"/>
  <c r="AZ186"/>
  <c r="AZ230"/>
  <c r="AZ16"/>
  <c r="AZ26"/>
  <c r="AZ34"/>
  <c r="AZ41"/>
  <c r="AZ158"/>
  <c r="AZ187"/>
  <c r="AZ203"/>
  <c r="AZ11"/>
  <c r="AZ19"/>
  <c r="AZ21"/>
  <c r="AZ29"/>
  <c r="AZ39"/>
  <c r="AZ45"/>
  <c r="AZ58"/>
  <c r="AZ66"/>
  <c r="AZ86"/>
  <c r="AZ94"/>
  <c r="AZ101"/>
  <c r="AZ109"/>
  <c r="AZ122"/>
  <c r="AZ130"/>
  <c r="AZ160"/>
  <c r="AZ201"/>
  <c r="AZ219"/>
  <c r="AZ43"/>
  <c r="AZ51"/>
  <c r="AZ53"/>
  <c r="AZ61"/>
  <c r="AZ71"/>
  <c r="AZ79"/>
  <c r="AZ89"/>
  <c r="AZ97"/>
  <c r="AZ107"/>
  <c r="AZ115"/>
  <c r="AZ117"/>
  <c r="AZ125"/>
  <c r="AZ135"/>
  <c r="AZ143"/>
  <c r="AZ226"/>
  <c r="AZ235"/>
  <c r="AZ284"/>
  <c r="AZ49"/>
  <c r="AZ59"/>
  <c r="AZ67"/>
  <c r="AZ69"/>
  <c r="AZ77"/>
  <c r="AZ87"/>
  <c r="AZ95"/>
  <c r="AZ105"/>
  <c r="AZ113"/>
  <c r="AZ123"/>
  <c r="AZ131"/>
  <c r="AZ133"/>
  <c r="AZ141"/>
  <c r="AZ168"/>
  <c r="AZ176"/>
  <c r="AZ275"/>
  <c r="AZ44"/>
  <c r="AZ54"/>
  <c r="AZ62"/>
  <c r="AZ72"/>
  <c r="AZ80"/>
  <c r="AZ90"/>
  <c r="AZ98"/>
  <c r="AZ108"/>
  <c r="AZ118"/>
  <c r="AZ126"/>
  <c r="AZ136"/>
  <c r="AZ144"/>
  <c r="AZ334"/>
  <c r="AZ42"/>
  <c r="AZ50"/>
  <c r="AZ60"/>
  <c r="AZ70"/>
  <c r="AZ78"/>
  <c r="AZ88"/>
  <c r="AZ96"/>
  <c r="AZ106"/>
  <c r="AZ114"/>
  <c r="AZ124"/>
  <c r="AZ134"/>
  <c r="AZ142"/>
  <c r="AZ156"/>
  <c r="AZ157"/>
  <c r="AZ170"/>
  <c r="AZ178"/>
  <c r="AZ204"/>
  <c r="AZ155"/>
  <c r="AZ163"/>
  <c r="AZ165"/>
  <c r="AZ173"/>
  <c r="AZ183"/>
  <c r="AZ267"/>
  <c r="AZ279"/>
  <c r="AZ153"/>
  <c r="AZ161"/>
  <c r="AZ171"/>
  <c r="AZ179"/>
  <c r="AZ181"/>
  <c r="AZ198"/>
  <c r="AZ206"/>
  <c r="AZ225"/>
  <c r="AZ245"/>
  <c r="AZ253"/>
  <c r="AZ151"/>
  <c r="AZ159"/>
  <c r="AZ169"/>
  <c r="AZ177"/>
  <c r="AZ193"/>
  <c r="AZ214"/>
  <c r="AZ222"/>
  <c r="AZ223"/>
  <c r="AZ311"/>
  <c r="AZ329"/>
  <c r="AZ154"/>
  <c r="AZ162"/>
  <c r="AZ172"/>
  <c r="AZ182"/>
  <c r="AZ188"/>
  <c r="AZ216"/>
  <c r="AZ227"/>
  <c r="AZ189"/>
  <c r="AZ199"/>
  <c r="AZ207"/>
  <c r="AZ217"/>
  <c r="AZ246"/>
  <c r="AZ247"/>
  <c r="AZ254"/>
  <c r="AZ255"/>
  <c r="AZ261"/>
  <c r="AZ287"/>
  <c r="AZ288"/>
  <c r="AZ328"/>
  <c r="AZ192"/>
  <c r="AZ202"/>
  <c r="AZ210"/>
  <c r="AZ220"/>
  <c r="AZ303"/>
  <c r="AZ327"/>
  <c r="AZ195"/>
  <c r="AZ197"/>
  <c r="AZ205"/>
  <c r="AZ215"/>
  <c r="AZ248"/>
  <c r="AZ256"/>
  <c r="AZ295"/>
  <c r="AZ360"/>
  <c r="AZ190"/>
  <c r="AZ200"/>
  <c r="AZ208"/>
  <c r="AZ218"/>
  <c r="AZ229"/>
  <c r="AZ362"/>
  <c r="AZ233"/>
  <c r="AZ241"/>
  <c r="AZ251"/>
  <c r="AZ259"/>
  <c r="AZ266"/>
  <c r="AZ274"/>
  <c r="AZ294"/>
  <c r="AZ302"/>
  <c r="AZ319"/>
  <c r="AZ326"/>
  <c r="AZ365"/>
  <c r="AZ231"/>
  <c r="AZ239"/>
  <c r="AZ249"/>
  <c r="AZ257"/>
  <c r="AZ306"/>
  <c r="AZ335"/>
  <c r="AZ224"/>
  <c r="AZ234"/>
  <c r="AZ242"/>
  <c r="AZ252"/>
  <c r="AZ269"/>
  <c r="AZ297"/>
  <c r="AZ305"/>
  <c r="AZ307"/>
  <c r="AZ336"/>
  <c r="AZ232"/>
  <c r="AZ240"/>
  <c r="AZ250"/>
  <c r="AZ258"/>
  <c r="AZ262"/>
  <c r="AZ270"/>
  <c r="AZ277"/>
  <c r="AZ285"/>
  <c r="AZ298"/>
  <c r="AZ264"/>
  <c r="AZ272"/>
  <c r="AZ282"/>
  <c r="AZ290"/>
  <c r="AZ300"/>
  <c r="AZ317"/>
  <c r="AZ318"/>
  <c r="AZ337"/>
  <c r="AZ403"/>
  <c r="AZ265"/>
  <c r="AZ273"/>
  <c r="AZ283"/>
  <c r="AZ291"/>
  <c r="AZ293"/>
  <c r="AZ301"/>
  <c r="AZ268"/>
  <c r="AZ278"/>
  <c r="AZ286"/>
  <c r="AZ296"/>
  <c r="AZ304"/>
  <c r="AZ309"/>
  <c r="AZ310"/>
  <c r="AZ314"/>
  <c r="AZ347"/>
  <c r="AZ263"/>
  <c r="AZ271"/>
  <c r="AZ281"/>
  <c r="AZ289"/>
  <c r="AZ299"/>
  <c r="AZ316"/>
  <c r="AZ342"/>
  <c r="AZ355"/>
  <c r="AZ399"/>
  <c r="AZ322"/>
  <c r="AZ332"/>
  <c r="AZ345"/>
  <c r="AZ370"/>
  <c r="AZ312"/>
  <c r="AZ320"/>
  <c r="AZ330"/>
  <c r="AZ338"/>
  <c r="AZ354"/>
  <c r="AZ315"/>
  <c r="AZ323"/>
  <c r="AZ325"/>
  <c r="AZ333"/>
  <c r="AZ359"/>
  <c r="AZ394"/>
  <c r="AZ313"/>
  <c r="AZ321"/>
  <c r="AZ331"/>
  <c r="AZ344"/>
  <c r="AZ346"/>
  <c r="AZ379"/>
  <c r="AZ350"/>
  <c r="AZ384"/>
  <c r="AZ348"/>
  <c r="AZ352"/>
  <c r="AZ357"/>
  <c r="AZ369"/>
  <c r="AZ377"/>
  <c r="AZ343"/>
  <c r="AZ351"/>
  <c r="AZ353"/>
  <c r="AZ364"/>
  <c r="AZ381"/>
  <c r="AZ382"/>
  <c r="AZ339"/>
  <c r="AZ341"/>
  <c r="AZ349"/>
  <c r="AZ389"/>
  <c r="AZ400"/>
  <c r="AZ363"/>
  <c r="AZ373"/>
  <c r="AZ387"/>
  <c r="AZ391"/>
  <c r="AZ395"/>
  <c r="AZ358"/>
  <c r="AZ366"/>
  <c r="AZ371"/>
  <c r="AZ385"/>
  <c r="AZ402"/>
  <c r="AZ361"/>
  <c r="AZ376"/>
  <c r="AZ397"/>
  <c r="AZ368"/>
  <c r="AZ374"/>
  <c r="AZ392"/>
  <c r="AZ378"/>
  <c r="AZ386"/>
  <c r="AZ390"/>
  <c r="AZ398"/>
  <c r="AZ367"/>
  <c r="AZ375"/>
  <c r="AZ383"/>
  <c r="AZ393"/>
  <c r="AZ401"/>
  <c r="AZ380"/>
  <c r="AZ396"/>
  <c r="AV172"/>
  <c r="AV152"/>
  <c r="AV80"/>
  <c r="AV144"/>
  <c r="AV143"/>
  <c r="AV232"/>
  <c r="AV87"/>
  <c r="AV16"/>
  <c r="AV79"/>
  <c r="AV95"/>
  <c r="AV8"/>
  <c r="AV21"/>
  <c r="AV23"/>
  <c r="AV197"/>
  <c r="AV29"/>
  <c r="AV31"/>
  <c r="AV18"/>
  <c r="AV38"/>
  <c r="AV43"/>
  <c r="AV44"/>
  <c r="AV51"/>
  <c r="AV67"/>
  <c r="AV107"/>
  <c r="AV108"/>
  <c r="AV115"/>
  <c r="AV131"/>
  <c r="AV170"/>
  <c r="AV26"/>
  <c r="AV34"/>
  <c r="AV59"/>
  <c r="AV70"/>
  <c r="AV123"/>
  <c r="AV134"/>
  <c r="AV178"/>
  <c r="AV200"/>
  <c r="AV10"/>
  <c r="AV11"/>
  <c r="AV19"/>
  <c r="AV39"/>
  <c r="AV71"/>
  <c r="AV135"/>
  <c r="AV5"/>
  <c r="AV13"/>
  <c r="AV28"/>
  <c r="AV41"/>
  <c r="AV72"/>
  <c r="AV78"/>
  <c r="AV136"/>
  <c r="AV142"/>
  <c r="AV153"/>
  <c r="AV156"/>
  <c r="AV215"/>
  <c r="AV6"/>
  <c r="AV14"/>
  <c r="AV24"/>
  <c r="AV32"/>
  <c r="AV60"/>
  <c r="AV88"/>
  <c r="AV96"/>
  <c r="AV124"/>
  <c r="AV9"/>
  <c r="AV17"/>
  <c r="AV27"/>
  <c r="AV35"/>
  <c r="AV37"/>
  <c r="AV49"/>
  <c r="AV53"/>
  <c r="AV61"/>
  <c r="AV89"/>
  <c r="AV97"/>
  <c r="AV105"/>
  <c r="AV113"/>
  <c r="AV117"/>
  <c r="AV125"/>
  <c r="AV182"/>
  <c r="AV12"/>
  <c r="AV22"/>
  <c r="AV30"/>
  <c r="AV40"/>
  <c r="AV54"/>
  <c r="AV62"/>
  <c r="AV90"/>
  <c r="AV98"/>
  <c r="AV118"/>
  <c r="AV126"/>
  <c r="AV208"/>
  <c r="AV220"/>
  <c r="AV242"/>
  <c r="AV7"/>
  <c r="AV15"/>
  <c r="AV25"/>
  <c r="AV33"/>
  <c r="AV42"/>
  <c r="AV50"/>
  <c r="AV69"/>
  <c r="AV77"/>
  <c r="AV106"/>
  <c r="AV114"/>
  <c r="AV133"/>
  <c r="AV141"/>
  <c r="AV161"/>
  <c r="AV205"/>
  <c r="AV47"/>
  <c r="AV57"/>
  <c r="AV65"/>
  <c r="AV75"/>
  <c r="AV83"/>
  <c r="AV85"/>
  <c r="AV93"/>
  <c r="AV103"/>
  <c r="AV111"/>
  <c r="AV121"/>
  <c r="AV129"/>
  <c r="AV139"/>
  <c r="AV147"/>
  <c r="AV149"/>
  <c r="AV171"/>
  <c r="AV179"/>
  <c r="AV184"/>
  <c r="AV223"/>
  <c r="AV45"/>
  <c r="AV55"/>
  <c r="AV63"/>
  <c r="AV73"/>
  <c r="AV81"/>
  <c r="AV91"/>
  <c r="AV99"/>
  <c r="AV101"/>
  <c r="AV109"/>
  <c r="AV119"/>
  <c r="AV127"/>
  <c r="AV137"/>
  <c r="AV145"/>
  <c r="AV229"/>
  <c r="AV48"/>
  <c r="AV58"/>
  <c r="AV66"/>
  <c r="AV76"/>
  <c r="AV86"/>
  <c r="AV94"/>
  <c r="AV104"/>
  <c r="AV112"/>
  <c r="AV122"/>
  <c r="AV130"/>
  <c r="AV140"/>
  <c r="AV160"/>
  <c r="AV166"/>
  <c r="AV174"/>
  <c r="AV233"/>
  <c r="AV262"/>
  <c r="AV46"/>
  <c r="AV56"/>
  <c r="AV64"/>
  <c r="AV74"/>
  <c r="AV82"/>
  <c r="AV92"/>
  <c r="AV102"/>
  <c r="AV110"/>
  <c r="AV120"/>
  <c r="AV128"/>
  <c r="AV138"/>
  <c r="AV146"/>
  <c r="AV151"/>
  <c r="AV154"/>
  <c r="AV162"/>
  <c r="AV181"/>
  <c r="AV187"/>
  <c r="AV192"/>
  <c r="AV224"/>
  <c r="AV159"/>
  <c r="AV169"/>
  <c r="AV177"/>
  <c r="AV188"/>
  <c r="AV195"/>
  <c r="AV202"/>
  <c r="AV210"/>
  <c r="AV217"/>
  <c r="AV234"/>
  <c r="AV240"/>
  <c r="AV241"/>
  <c r="AV249"/>
  <c r="AV257"/>
  <c r="AV157"/>
  <c r="AV167"/>
  <c r="AV175"/>
  <c r="AV185"/>
  <c r="AV189"/>
  <c r="AV218"/>
  <c r="AV250"/>
  <c r="AV258"/>
  <c r="AV155"/>
  <c r="AV163"/>
  <c r="AV165"/>
  <c r="AV173"/>
  <c r="AV183"/>
  <c r="AV271"/>
  <c r="AV314"/>
  <c r="AV150"/>
  <c r="AV158"/>
  <c r="AV168"/>
  <c r="AV176"/>
  <c r="AV186"/>
  <c r="AV190"/>
  <c r="AV191"/>
  <c r="AV199"/>
  <c r="AV207"/>
  <c r="AV263"/>
  <c r="AV270"/>
  <c r="AV193"/>
  <c r="AV203"/>
  <c r="AV211"/>
  <c r="AV213"/>
  <c r="AV221"/>
  <c r="AV251"/>
  <c r="AV259"/>
  <c r="AV283"/>
  <c r="AV342"/>
  <c r="AV198"/>
  <c r="AV206"/>
  <c r="AV216"/>
  <c r="AV252"/>
  <c r="AV284"/>
  <c r="AV291"/>
  <c r="AV343"/>
  <c r="AV201"/>
  <c r="AV209"/>
  <c r="AV219"/>
  <c r="AV227"/>
  <c r="AV231"/>
  <c r="AV239"/>
  <c r="AV298"/>
  <c r="AV299"/>
  <c r="AV194"/>
  <c r="AV204"/>
  <c r="AV214"/>
  <c r="AV222"/>
  <c r="AV320"/>
  <c r="AV237"/>
  <c r="AV247"/>
  <c r="AV255"/>
  <c r="AV315"/>
  <c r="AV381"/>
  <c r="AV225"/>
  <c r="AV235"/>
  <c r="AV243"/>
  <c r="AV245"/>
  <c r="AV253"/>
  <c r="AV265"/>
  <c r="AV273"/>
  <c r="AV280"/>
  <c r="AV288"/>
  <c r="AV293"/>
  <c r="AV301"/>
  <c r="AV310"/>
  <c r="AV331"/>
  <c r="AV332"/>
  <c r="AV385"/>
  <c r="AV230"/>
  <c r="AV238"/>
  <c r="AV248"/>
  <c r="AV256"/>
  <c r="AV266"/>
  <c r="AV274"/>
  <c r="AV281"/>
  <c r="AV289"/>
  <c r="AV294"/>
  <c r="AV302"/>
  <c r="AV312"/>
  <c r="AV338"/>
  <c r="AV226"/>
  <c r="AV236"/>
  <c r="AV246"/>
  <c r="AV254"/>
  <c r="AV268"/>
  <c r="AV278"/>
  <c r="AV286"/>
  <c r="AV296"/>
  <c r="AV304"/>
  <c r="AV325"/>
  <c r="AV333"/>
  <c r="AV393"/>
  <c r="AV261"/>
  <c r="AV269"/>
  <c r="AV279"/>
  <c r="AV287"/>
  <c r="AV297"/>
  <c r="AV305"/>
  <c r="AV307"/>
  <c r="AV318"/>
  <c r="AV321"/>
  <c r="AV339"/>
  <c r="AV386"/>
  <c r="AV264"/>
  <c r="AV272"/>
  <c r="AV282"/>
  <c r="AV290"/>
  <c r="AV300"/>
  <c r="AV322"/>
  <c r="AV330"/>
  <c r="AV267"/>
  <c r="AV275"/>
  <c r="AV277"/>
  <c r="AV285"/>
  <c r="AV295"/>
  <c r="AV303"/>
  <c r="AV313"/>
  <c r="AV323"/>
  <c r="AV349"/>
  <c r="AV351"/>
  <c r="AV364"/>
  <c r="AV328"/>
  <c r="AV306"/>
  <c r="AV316"/>
  <c r="AV326"/>
  <c r="AV334"/>
  <c r="AV336"/>
  <c r="AV348"/>
  <c r="AV311"/>
  <c r="AV319"/>
  <c r="AV329"/>
  <c r="AV366"/>
  <c r="AV309"/>
  <c r="AV317"/>
  <c r="AV327"/>
  <c r="AV335"/>
  <c r="AV341"/>
  <c r="AV350"/>
  <c r="AV391"/>
  <c r="AV346"/>
  <c r="AV360"/>
  <c r="AV344"/>
  <c r="AV361"/>
  <c r="AV383"/>
  <c r="AV403"/>
  <c r="AV337"/>
  <c r="AV347"/>
  <c r="AV345"/>
  <c r="AV353"/>
  <c r="AV354"/>
  <c r="AV358"/>
  <c r="AV363"/>
  <c r="AV367"/>
  <c r="AV398"/>
  <c r="AV359"/>
  <c r="AV369"/>
  <c r="AV399"/>
  <c r="AV352"/>
  <c r="AV362"/>
  <c r="AV373"/>
  <c r="AV375"/>
  <c r="AV377"/>
  <c r="AV395"/>
  <c r="AV355"/>
  <c r="AV357"/>
  <c r="AV365"/>
  <c r="AV370"/>
  <c r="AV390"/>
  <c r="AV401"/>
  <c r="AV378"/>
  <c r="AV380"/>
  <c r="AV396"/>
  <c r="AV368"/>
  <c r="AV374"/>
  <c r="AV382"/>
  <c r="AV394"/>
  <c r="AV402"/>
  <c r="AV371"/>
  <c r="AV379"/>
  <c r="AV387"/>
  <c r="AV389"/>
  <c r="AV397"/>
  <c r="AV376"/>
  <c r="AV384"/>
  <c r="AV392"/>
  <c r="AV400"/>
  <c r="BD60"/>
  <c r="BD5"/>
  <c r="BD18"/>
  <c r="BD179"/>
  <c r="BD11"/>
  <c r="BD105"/>
  <c r="BD39"/>
  <c r="BD19"/>
  <c r="BD10"/>
  <c r="BD13"/>
  <c r="BD38"/>
  <c r="BD288"/>
  <c r="BD26"/>
  <c r="BD124"/>
  <c r="BD197"/>
  <c r="BD28"/>
  <c r="BD34"/>
  <c r="BD49"/>
  <c r="BD88"/>
  <c r="BD98"/>
  <c r="BD89"/>
  <c r="BD90"/>
  <c r="BD96"/>
  <c r="BD97"/>
  <c r="BD113"/>
  <c r="BD199"/>
  <c r="BD239"/>
  <c r="BD41"/>
  <c r="BD42"/>
  <c r="BD50"/>
  <c r="BD61"/>
  <c r="BD62"/>
  <c r="BD69"/>
  <c r="BD106"/>
  <c r="BD114"/>
  <c r="BD125"/>
  <c r="BD126"/>
  <c r="BD133"/>
  <c r="BD190"/>
  <c r="BD200"/>
  <c r="BD21"/>
  <c r="BD29"/>
  <c r="BD53"/>
  <c r="BD54"/>
  <c r="BD117"/>
  <c r="BD118"/>
  <c r="BD8"/>
  <c r="BD16"/>
  <c r="BD23"/>
  <c r="BD31"/>
  <c r="BD77"/>
  <c r="BD141"/>
  <c r="BD181"/>
  <c r="BD184"/>
  <c r="BD265"/>
  <c r="BD174"/>
  <c r="BD6"/>
  <c r="BD14"/>
  <c r="BD24"/>
  <c r="BD32"/>
  <c r="BD43"/>
  <c r="BD51"/>
  <c r="BD107"/>
  <c r="BD115"/>
  <c r="BD9"/>
  <c r="BD17"/>
  <c r="BD27"/>
  <c r="BD35"/>
  <c r="BD37"/>
  <c r="BD44"/>
  <c r="BD70"/>
  <c r="BD78"/>
  <c r="BD108"/>
  <c r="BD134"/>
  <c r="BD142"/>
  <c r="BD162"/>
  <c r="BD207"/>
  <c r="BD208"/>
  <c r="BD251"/>
  <c r="BD259"/>
  <c r="BD12"/>
  <c r="BD22"/>
  <c r="BD30"/>
  <c r="BD40"/>
  <c r="BD59"/>
  <c r="BD67"/>
  <c r="BD71"/>
  <c r="BD79"/>
  <c r="BD87"/>
  <c r="BD95"/>
  <c r="BD123"/>
  <c r="BD131"/>
  <c r="BD135"/>
  <c r="BD143"/>
  <c r="BD154"/>
  <c r="BD160"/>
  <c r="BD205"/>
  <c r="BD338"/>
  <c r="BD7"/>
  <c r="BD15"/>
  <c r="BD25"/>
  <c r="BD33"/>
  <c r="BD72"/>
  <c r="BD80"/>
  <c r="BD136"/>
  <c r="BD144"/>
  <c r="BD166"/>
  <c r="BD171"/>
  <c r="BD218"/>
  <c r="BD47"/>
  <c r="BD57"/>
  <c r="BD65"/>
  <c r="BD75"/>
  <c r="BD83"/>
  <c r="BD85"/>
  <c r="BD93"/>
  <c r="BD103"/>
  <c r="BD111"/>
  <c r="BD121"/>
  <c r="BD129"/>
  <c r="BD139"/>
  <c r="BD147"/>
  <c r="BD149"/>
  <c r="BD151"/>
  <c r="BD153"/>
  <c r="BD161"/>
  <c r="BD45"/>
  <c r="BD55"/>
  <c r="BD63"/>
  <c r="BD73"/>
  <c r="BD81"/>
  <c r="BD91"/>
  <c r="BD99"/>
  <c r="BD101"/>
  <c r="BD109"/>
  <c r="BD119"/>
  <c r="BD127"/>
  <c r="BD137"/>
  <c r="BD145"/>
  <c r="BD152"/>
  <c r="BD182"/>
  <c r="BD48"/>
  <c r="BD58"/>
  <c r="BD66"/>
  <c r="BD76"/>
  <c r="BD86"/>
  <c r="BD94"/>
  <c r="BD104"/>
  <c r="BD112"/>
  <c r="BD122"/>
  <c r="BD130"/>
  <c r="BD140"/>
  <c r="BD156"/>
  <c r="BD170"/>
  <c r="BD178"/>
  <c r="BD192"/>
  <c r="BD231"/>
  <c r="BD46"/>
  <c r="BD56"/>
  <c r="BD64"/>
  <c r="BD74"/>
  <c r="BD82"/>
  <c r="BD92"/>
  <c r="BD102"/>
  <c r="BD110"/>
  <c r="BD120"/>
  <c r="BD128"/>
  <c r="BD138"/>
  <c r="BD146"/>
  <c r="BD172"/>
  <c r="BD220"/>
  <c r="BD227"/>
  <c r="BD159"/>
  <c r="BD169"/>
  <c r="BD177"/>
  <c r="BD187"/>
  <c r="BD191"/>
  <c r="BD252"/>
  <c r="BD266"/>
  <c r="BD289"/>
  <c r="BD348"/>
  <c r="BD157"/>
  <c r="BD167"/>
  <c r="BD175"/>
  <c r="BD185"/>
  <c r="BD188"/>
  <c r="BD215"/>
  <c r="BD370"/>
  <c r="BD155"/>
  <c r="BD163"/>
  <c r="BD165"/>
  <c r="BD173"/>
  <c r="BD183"/>
  <c r="BD189"/>
  <c r="BD195"/>
  <c r="BD202"/>
  <c r="BD210"/>
  <c r="BD217"/>
  <c r="BD318"/>
  <c r="BD331"/>
  <c r="BD150"/>
  <c r="BD158"/>
  <c r="BD168"/>
  <c r="BD176"/>
  <c r="BD186"/>
  <c r="BD280"/>
  <c r="BD281"/>
  <c r="BD315"/>
  <c r="BD193"/>
  <c r="BD203"/>
  <c r="BD211"/>
  <c r="BD213"/>
  <c r="BD221"/>
  <c r="BD232"/>
  <c r="BD240"/>
  <c r="BD301"/>
  <c r="BD302"/>
  <c r="BD198"/>
  <c r="BD206"/>
  <c r="BD216"/>
  <c r="BD223"/>
  <c r="BD224"/>
  <c r="BD229"/>
  <c r="BD233"/>
  <c r="BD241"/>
  <c r="BD249"/>
  <c r="BD257"/>
  <c r="BD293"/>
  <c r="BD294"/>
  <c r="BD201"/>
  <c r="BD209"/>
  <c r="BD219"/>
  <c r="BD234"/>
  <c r="BD242"/>
  <c r="BD194"/>
  <c r="BD204"/>
  <c r="BD214"/>
  <c r="BD222"/>
  <c r="BD250"/>
  <c r="BD258"/>
  <c r="BD273"/>
  <c r="BD274"/>
  <c r="BD237"/>
  <c r="BD247"/>
  <c r="BD255"/>
  <c r="BD310"/>
  <c r="BD225"/>
  <c r="BD235"/>
  <c r="BD243"/>
  <c r="BD245"/>
  <c r="BD253"/>
  <c r="BD262"/>
  <c r="BD270"/>
  <c r="BD283"/>
  <c r="BD291"/>
  <c r="BD298"/>
  <c r="BD314"/>
  <c r="BD230"/>
  <c r="BD238"/>
  <c r="BD248"/>
  <c r="BD256"/>
  <c r="BD263"/>
  <c r="BD271"/>
  <c r="BD284"/>
  <c r="BD299"/>
  <c r="BD401"/>
  <c r="BD226"/>
  <c r="BD236"/>
  <c r="BD246"/>
  <c r="BD254"/>
  <c r="BD321"/>
  <c r="BD323"/>
  <c r="BD395"/>
  <c r="BD268"/>
  <c r="BD278"/>
  <c r="BD286"/>
  <c r="BD296"/>
  <c r="BD304"/>
  <c r="BD313"/>
  <c r="BD322"/>
  <c r="BD330"/>
  <c r="BD339"/>
  <c r="BD261"/>
  <c r="BD269"/>
  <c r="BD279"/>
  <c r="BD287"/>
  <c r="BD297"/>
  <c r="BD305"/>
  <c r="BD332"/>
  <c r="BD341"/>
  <c r="BD350"/>
  <c r="BD391"/>
  <c r="BD264"/>
  <c r="BD272"/>
  <c r="BD282"/>
  <c r="BD290"/>
  <c r="BD300"/>
  <c r="BD325"/>
  <c r="BD333"/>
  <c r="BD342"/>
  <c r="BD377"/>
  <c r="BD267"/>
  <c r="BD275"/>
  <c r="BD277"/>
  <c r="BD285"/>
  <c r="BD295"/>
  <c r="BD303"/>
  <c r="BD307"/>
  <c r="BD312"/>
  <c r="BD320"/>
  <c r="BD328"/>
  <c r="BD349"/>
  <c r="BD366"/>
  <c r="BD306"/>
  <c r="BD316"/>
  <c r="BD326"/>
  <c r="BD334"/>
  <c r="BD351"/>
  <c r="BD311"/>
  <c r="BD319"/>
  <c r="BD329"/>
  <c r="BD336"/>
  <c r="BD343"/>
  <c r="BD309"/>
  <c r="BD317"/>
  <c r="BD327"/>
  <c r="BD335"/>
  <c r="BD353"/>
  <c r="BD375"/>
  <c r="BD378"/>
  <c r="BD380"/>
  <c r="BD346"/>
  <c r="BD354"/>
  <c r="BD358"/>
  <c r="BD363"/>
  <c r="BD373"/>
  <c r="BD390"/>
  <c r="BD344"/>
  <c r="BD364"/>
  <c r="BD367"/>
  <c r="BD396"/>
  <c r="BD337"/>
  <c r="BD347"/>
  <c r="BD360"/>
  <c r="BD345"/>
  <c r="BD361"/>
  <c r="BD359"/>
  <c r="BD381"/>
  <c r="BD383"/>
  <c r="BD385"/>
  <c r="BD403"/>
  <c r="BD352"/>
  <c r="BD362"/>
  <c r="BD393"/>
  <c r="BD398"/>
  <c r="BD355"/>
  <c r="BD357"/>
  <c r="BD365"/>
  <c r="BD369"/>
  <c r="BD386"/>
  <c r="BD399"/>
  <c r="BD368"/>
  <c r="BD374"/>
  <c r="BD382"/>
  <c r="BD394"/>
  <c r="BD402"/>
  <c r="BD371"/>
  <c r="BD379"/>
  <c r="BD387"/>
  <c r="BD389"/>
  <c r="BD397"/>
  <c r="BD376"/>
  <c r="BD384"/>
  <c r="BD392"/>
  <c r="BD400"/>
  <c r="AH8"/>
  <c r="AH17"/>
  <c r="AH34"/>
  <c r="AH88"/>
  <c r="AH26"/>
  <c r="AH112"/>
  <c r="AH124"/>
  <c r="AH37"/>
  <c r="AH78"/>
  <c r="AH134"/>
  <c r="AH48"/>
  <c r="AH158"/>
  <c r="AH6"/>
  <c r="AH32"/>
  <c r="AH24"/>
  <c r="AH70"/>
  <c r="AH195"/>
  <c r="AH16"/>
  <c r="AH59"/>
  <c r="AH75"/>
  <c r="AH142"/>
  <c r="AH104"/>
  <c r="AH123"/>
  <c r="AH139"/>
  <c r="AH162"/>
  <c r="AH60"/>
  <c r="AH154"/>
  <c r="AH11"/>
  <c r="AH19"/>
  <c r="AH39"/>
  <c r="AH94"/>
  <c r="AH205"/>
  <c r="AH83"/>
  <c r="AH86"/>
  <c r="AH95"/>
  <c r="AH147"/>
  <c r="AH257"/>
  <c r="AH9"/>
  <c r="AH27"/>
  <c r="AH35"/>
  <c r="AH66"/>
  <c r="AH87"/>
  <c r="AH130"/>
  <c r="AH169"/>
  <c r="AH249"/>
  <c r="AH10"/>
  <c r="AH14"/>
  <c r="AH21"/>
  <c r="AH29"/>
  <c r="AH47"/>
  <c r="AH58"/>
  <c r="AH67"/>
  <c r="AH96"/>
  <c r="AH103"/>
  <c r="AH111"/>
  <c r="AH122"/>
  <c r="AH131"/>
  <c r="AH12"/>
  <c r="AH22"/>
  <c r="AH30"/>
  <c r="AH40"/>
  <c r="AH49"/>
  <c r="AH105"/>
  <c r="AH113"/>
  <c r="AH170"/>
  <c r="AH177"/>
  <c r="AH197"/>
  <c r="AH229"/>
  <c r="AH7"/>
  <c r="AH15"/>
  <c r="AH25"/>
  <c r="AH33"/>
  <c r="AH76"/>
  <c r="AH140"/>
  <c r="AH150"/>
  <c r="AH178"/>
  <c r="AH18"/>
  <c r="AH28"/>
  <c r="AH38"/>
  <c r="AH42"/>
  <c r="AH50"/>
  <c r="AH57"/>
  <c r="AH65"/>
  <c r="AH69"/>
  <c r="AH77"/>
  <c r="AH85"/>
  <c r="AH93"/>
  <c r="AH106"/>
  <c r="AH114"/>
  <c r="AH121"/>
  <c r="AH129"/>
  <c r="AH133"/>
  <c r="AH141"/>
  <c r="AH149"/>
  <c r="AH190"/>
  <c r="AH305"/>
  <c r="AH5"/>
  <c r="AH13"/>
  <c r="AH23"/>
  <c r="AH31"/>
  <c r="AH41"/>
  <c r="AH45"/>
  <c r="AH55"/>
  <c r="AH63"/>
  <c r="AH73"/>
  <c r="AH81"/>
  <c r="AH91"/>
  <c r="AH99"/>
  <c r="AH101"/>
  <c r="AH109"/>
  <c r="AH119"/>
  <c r="AH127"/>
  <c r="AH137"/>
  <c r="AH145"/>
  <c r="AH152"/>
  <c r="AH159"/>
  <c r="AH172"/>
  <c r="AH186"/>
  <c r="AH43"/>
  <c r="AH51"/>
  <c r="AH53"/>
  <c r="AH61"/>
  <c r="AH71"/>
  <c r="AH79"/>
  <c r="AH89"/>
  <c r="AH97"/>
  <c r="AH107"/>
  <c r="AH115"/>
  <c r="AH117"/>
  <c r="AH125"/>
  <c r="AH135"/>
  <c r="AH143"/>
  <c r="AH160"/>
  <c r="AH46"/>
  <c r="AH56"/>
  <c r="AH64"/>
  <c r="AH74"/>
  <c r="AH82"/>
  <c r="AH92"/>
  <c r="AH102"/>
  <c r="AH110"/>
  <c r="AH120"/>
  <c r="AH128"/>
  <c r="AH138"/>
  <c r="AH146"/>
  <c r="AH168"/>
  <c r="AH176"/>
  <c r="AH187"/>
  <c r="AH188"/>
  <c r="AH213"/>
  <c r="AH216"/>
  <c r="AH221"/>
  <c r="AH290"/>
  <c r="AH44"/>
  <c r="AH54"/>
  <c r="AH62"/>
  <c r="AH72"/>
  <c r="AH80"/>
  <c r="AH90"/>
  <c r="AH98"/>
  <c r="AH108"/>
  <c r="AH118"/>
  <c r="AH126"/>
  <c r="AH136"/>
  <c r="AH144"/>
  <c r="AH151"/>
  <c r="AH182"/>
  <c r="AH157"/>
  <c r="AH167"/>
  <c r="AH175"/>
  <c r="AH185"/>
  <c r="AH193"/>
  <c r="AH203"/>
  <c r="AH211"/>
  <c r="AH218"/>
  <c r="AH346"/>
  <c r="AH155"/>
  <c r="AH163"/>
  <c r="AH165"/>
  <c r="AH173"/>
  <c r="AH183"/>
  <c r="AH297"/>
  <c r="AH299"/>
  <c r="AH153"/>
  <c r="AH161"/>
  <c r="AH171"/>
  <c r="AH179"/>
  <c r="AH181"/>
  <c r="AH198"/>
  <c r="AH206"/>
  <c r="AH215"/>
  <c r="AH223"/>
  <c r="AH237"/>
  <c r="AH156"/>
  <c r="AH166"/>
  <c r="AH174"/>
  <c r="AH184"/>
  <c r="AH189"/>
  <c r="AH200"/>
  <c r="AH208"/>
  <c r="AH250"/>
  <c r="AH258"/>
  <c r="AH191"/>
  <c r="AH201"/>
  <c r="AH209"/>
  <c r="AH219"/>
  <c r="AH225"/>
  <c r="AH238"/>
  <c r="AH269"/>
  <c r="AH271"/>
  <c r="AH194"/>
  <c r="AH204"/>
  <c r="AH214"/>
  <c r="AH222"/>
  <c r="AH230"/>
  <c r="AH239"/>
  <c r="AH247"/>
  <c r="AH255"/>
  <c r="AH263"/>
  <c r="AH329"/>
  <c r="AH338"/>
  <c r="AH387"/>
  <c r="AH199"/>
  <c r="AH207"/>
  <c r="AH217"/>
  <c r="AH227"/>
  <c r="AH231"/>
  <c r="AH278"/>
  <c r="AH192"/>
  <c r="AH202"/>
  <c r="AH210"/>
  <c r="AH220"/>
  <c r="AH232"/>
  <c r="AH240"/>
  <c r="AH248"/>
  <c r="AH256"/>
  <c r="AH282"/>
  <c r="AH286"/>
  <c r="AH310"/>
  <c r="AH235"/>
  <c r="AH243"/>
  <c r="AH245"/>
  <c r="AH253"/>
  <c r="AH264"/>
  <c r="AH272"/>
  <c r="AH279"/>
  <c r="AH287"/>
  <c r="AH300"/>
  <c r="AH316"/>
  <c r="AH344"/>
  <c r="AH397"/>
  <c r="AH233"/>
  <c r="AH241"/>
  <c r="AH251"/>
  <c r="AH259"/>
  <c r="AH268"/>
  <c r="AH281"/>
  <c r="AH289"/>
  <c r="AH296"/>
  <c r="AH304"/>
  <c r="AH226"/>
  <c r="AH236"/>
  <c r="AH246"/>
  <c r="AH254"/>
  <c r="AH311"/>
  <c r="AH321"/>
  <c r="AH224"/>
  <c r="AH234"/>
  <c r="AH242"/>
  <c r="AH252"/>
  <c r="AH261"/>
  <c r="AH319"/>
  <c r="AH366"/>
  <c r="AH266"/>
  <c r="AH274"/>
  <c r="AH284"/>
  <c r="AH294"/>
  <c r="AH302"/>
  <c r="AH320"/>
  <c r="AH328"/>
  <c r="AH336"/>
  <c r="AH339"/>
  <c r="AH348"/>
  <c r="AH267"/>
  <c r="AH275"/>
  <c r="AH277"/>
  <c r="AH285"/>
  <c r="AH295"/>
  <c r="AH303"/>
  <c r="AH312"/>
  <c r="AH318"/>
  <c r="AH330"/>
  <c r="AH341"/>
  <c r="AH262"/>
  <c r="AH270"/>
  <c r="AH280"/>
  <c r="AH288"/>
  <c r="AH298"/>
  <c r="AH306"/>
  <c r="AH265"/>
  <c r="AH273"/>
  <c r="AH283"/>
  <c r="AH291"/>
  <c r="AH293"/>
  <c r="AH301"/>
  <c r="AH313"/>
  <c r="AH331"/>
  <c r="AH326"/>
  <c r="AH334"/>
  <c r="AH347"/>
  <c r="AH364"/>
  <c r="AH383"/>
  <c r="AH314"/>
  <c r="AH322"/>
  <c r="AH332"/>
  <c r="AH342"/>
  <c r="AH307"/>
  <c r="AH309"/>
  <c r="AH317"/>
  <c r="AH327"/>
  <c r="AH335"/>
  <c r="AH349"/>
  <c r="AH367"/>
  <c r="AH370"/>
  <c r="AH374"/>
  <c r="AH315"/>
  <c r="AH323"/>
  <c r="AH325"/>
  <c r="AH333"/>
  <c r="AH337"/>
  <c r="AH359"/>
  <c r="AH350"/>
  <c r="AH352"/>
  <c r="AH361"/>
  <c r="AH371"/>
  <c r="AH345"/>
  <c r="AH385"/>
  <c r="AH391"/>
  <c r="AH393"/>
  <c r="AH402"/>
  <c r="AH343"/>
  <c r="AH351"/>
  <c r="AH354"/>
  <c r="AH358"/>
  <c r="AH362"/>
  <c r="AH355"/>
  <c r="AH357"/>
  <c r="AH365"/>
  <c r="AH379"/>
  <c r="AH399"/>
  <c r="AH360"/>
  <c r="AH368"/>
  <c r="AH375"/>
  <c r="AH377"/>
  <c r="AH394"/>
  <c r="AH353"/>
  <c r="AH363"/>
  <c r="AH389"/>
  <c r="AH401"/>
  <c r="AH380"/>
  <c r="AH382"/>
  <c r="AH396"/>
  <c r="AH376"/>
  <c r="AH384"/>
  <c r="AH392"/>
  <c r="AH400"/>
  <c r="AH369"/>
  <c r="AH373"/>
  <c r="AH381"/>
  <c r="AH395"/>
  <c r="AH403"/>
  <c r="AH378"/>
  <c r="AH386"/>
  <c r="AH390"/>
  <c r="AH398"/>
  <c r="AU130"/>
  <c r="AU16"/>
  <c r="AU95"/>
  <c r="AU199"/>
  <c r="AU31"/>
  <c r="AU93"/>
  <c r="AU41"/>
  <c r="AU168"/>
  <c r="AU65"/>
  <c r="AU13"/>
  <c r="AU129"/>
  <c r="AU149"/>
  <c r="AU7"/>
  <c r="AU188"/>
  <c r="AU86"/>
  <c r="AU175"/>
  <c r="AU15"/>
  <c r="AU66"/>
  <c r="AU85"/>
  <c r="AU94"/>
  <c r="AU169"/>
  <c r="AU189"/>
  <c r="AU5"/>
  <c r="AU23"/>
  <c r="AU28"/>
  <c r="AU202"/>
  <c r="AU268"/>
  <c r="AU8"/>
  <c r="AU25"/>
  <c r="AU33"/>
  <c r="AU46"/>
  <c r="AU57"/>
  <c r="AU58"/>
  <c r="AU87"/>
  <c r="AU102"/>
  <c r="AU110"/>
  <c r="AU121"/>
  <c r="AU122"/>
  <c r="AU171"/>
  <c r="AU9"/>
  <c r="AU18"/>
  <c r="AU38"/>
  <c r="AU47"/>
  <c r="AU67"/>
  <c r="AU69"/>
  <c r="AU103"/>
  <c r="AU111"/>
  <c r="AU131"/>
  <c r="AU133"/>
  <c r="AU167"/>
  <c r="AU177"/>
  <c r="AU179"/>
  <c r="AU249"/>
  <c r="AU341"/>
  <c r="AU26"/>
  <c r="AU34"/>
  <c r="AU59"/>
  <c r="AU123"/>
  <c r="AU176"/>
  <c r="AU10"/>
  <c r="AU77"/>
  <c r="AU141"/>
  <c r="AU11"/>
  <c r="AU19"/>
  <c r="AU21"/>
  <c r="AU29"/>
  <c r="AU39"/>
  <c r="AU48"/>
  <c r="AU74"/>
  <c r="AU82"/>
  <c r="AU104"/>
  <c r="AU112"/>
  <c r="AU138"/>
  <c r="AU146"/>
  <c r="AU6"/>
  <c r="AU14"/>
  <c r="AU24"/>
  <c r="AU32"/>
  <c r="AU75"/>
  <c r="AU83"/>
  <c r="AU139"/>
  <c r="AU147"/>
  <c r="AU151"/>
  <c r="AU181"/>
  <c r="AU210"/>
  <c r="AU17"/>
  <c r="AU27"/>
  <c r="AU35"/>
  <c r="AU37"/>
  <c r="AU49"/>
  <c r="AU76"/>
  <c r="AU105"/>
  <c r="AU113"/>
  <c r="AU140"/>
  <c r="AU185"/>
  <c r="AU186"/>
  <c r="AU192"/>
  <c r="AU207"/>
  <c r="AU262"/>
  <c r="AU12"/>
  <c r="AU22"/>
  <c r="AU30"/>
  <c r="AU40"/>
  <c r="AU56"/>
  <c r="AU64"/>
  <c r="AU92"/>
  <c r="AU120"/>
  <c r="AU128"/>
  <c r="AU187"/>
  <c r="AU44"/>
  <c r="AU54"/>
  <c r="AU62"/>
  <c r="AU72"/>
  <c r="AU80"/>
  <c r="AU90"/>
  <c r="AU98"/>
  <c r="AU108"/>
  <c r="AU118"/>
  <c r="AU126"/>
  <c r="AU136"/>
  <c r="AU144"/>
  <c r="AU157"/>
  <c r="AU158"/>
  <c r="AU215"/>
  <c r="AU217"/>
  <c r="AU42"/>
  <c r="AU50"/>
  <c r="AU60"/>
  <c r="AU70"/>
  <c r="AU78"/>
  <c r="AU88"/>
  <c r="AU96"/>
  <c r="AU106"/>
  <c r="AU114"/>
  <c r="AU124"/>
  <c r="AU134"/>
  <c r="AU142"/>
  <c r="AU159"/>
  <c r="AU236"/>
  <c r="AU45"/>
  <c r="AU55"/>
  <c r="AU63"/>
  <c r="AU73"/>
  <c r="AU81"/>
  <c r="AU91"/>
  <c r="AU99"/>
  <c r="AU101"/>
  <c r="AU109"/>
  <c r="AU119"/>
  <c r="AU127"/>
  <c r="AU137"/>
  <c r="AU145"/>
  <c r="AU150"/>
  <c r="AU257"/>
  <c r="AU270"/>
  <c r="AU43"/>
  <c r="AU51"/>
  <c r="AU53"/>
  <c r="AU61"/>
  <c r="AU71"/>
  <c r="AU79"/>
  <c r="AU89"/>
  <c r="AU97"/>
  <c r="AU107"/>
  <c r="AU115"/>
  <c r="AU117"/>
  <c r="AU125"/>
  <c r="AU135"/>
  <c r="AU143"/>
  <c r="AU153"/>
  <c r="AU161"/>
  <c r="AU194"/>
  <c r="AU195"/>
  <c r="AU156"/>
  <c r="AU166"/>
  <c r="AU174"/>
  <c r="AU184"/>
  <c r="AU229"/>
  <c r="AU248"/>
  <c r="AU256"/>
  <c r="AU154"/>
  <c r="AU162"/>
  <c r="AU172"/>
  <c r="AU182"/>
  <c r="AU204"/>
  <c r="AU224"/>
  <c r="AU277"/>
  <c r="AU152"/>
  <c r="AU160"/>
  <c r="AU170"/>
  <c r="AU178"/>
  <c r="AU197"/>
  <c r="AU205"/>
  <c r="AU220"/>
  <c r="AU155"/>
  <c r="AU163"/>
  <c r="AU165"/>
  <c r="AU173"/>
  <c r="AU183"/>
  <c r="AU214"/>
  <c r="AU222"/>
  <c r="AU311"/>
  <c r="AU190"/>
  <c r="AU200"/>
  <c r="AU208"/>
  <c r="AU218"/>
  <c r="AU230"/>
  <c r="AU237"/>
  <c r="AU281"/>
  <c r="AU285"/>
  <c r="AU363"/>
  <c r="AU193"/>
  <c r="AU203"/>
  <c r="AU211"/>
  <c r="AU213"/>
  <c r="AU221"/>
  <c r="AU226"/>
  <c r="AU238"/>
  <c r="AU289"/>
  <c r="AU304"/>
  <c r="AU376"/>
  <c r="AU378"/>
  <c r="AU198"/>
  <c r="AU206"/>
  <c r="AU216"/>
  <c r="AU246"/>
  <c r="AU254"/>
  <c r="AU296"/>
  <c r="AU191"/>
  <c r="AU201"/>
  <c r="AU209"/>
  <c r="AU219"/>
  <c r="AU227"/>
  <c r="AU231"/>
  <c r="AU239"/>
  <c r="AU247"/>
  <c r="AU255"/>
  <c r="AU298"/>
  <c r="AU234"/>
  <c r="AU242"/>
  <c r="AU252"/>
  <c r="AU263"/>
  <c r="AU271"/>
  <c r="AU278"/>
  <c r="AU286"/>
  <c r="AU299"/>
  <c r="AU317"/>
  <c r="AU320"/>
  <c r="AU232"/>
  <c r="AU240"/>
  <c r="AU250"/>
  <c r="AU258"/>
  <c r="AU327"/>
  <c r="AU380"/>
  <c r="AU225"/>
  <c r="AU235"/>
  <c r="AU243"/>
  <c r="AU245"/>
  <c r="AU253"/>
  <c r="AU267"/>
  <c r="AU275"/>
  <c r="AU280"/>
  <c r="AU288"/>
  <c r="AU295"/>
  <c r="AU303"/>
  <c r="AU328"/>
  <c r="AU335"/>
  <c r="AU223"/>
  <c r="AU233"/>
  <c r="AU241"/>
  <c r="AU251"/>
  <c r="AU259"/>
  <c r="AU309"/>
  <c r="AU265"/>
  <c r="AU273"/>
  <c r="AU283"/>
  <c r="AU291"/>
  <c r="AU293"/>
  <c r="AU301"/>
  <c r="AU310"/>
  <c r="AU315"/>
  <c r="AU266"/>
  <c r="AU274"/>
  <c r="AU284"/>
  <c r="AU294"/>
  <c r="AU302"/>
  <c r="AU312"/>
  <c r="AU329"/>
  <c r="AU261"/>
  <c r="AU269"/>
  <c r="AU279"/>
  <c r="AU287"/>
  <c r="AU297"/>
  <c r="AU305"/>
  <c r="AU307"/>
  <c r="AU318"/>
  <c r="AU264"/>
  <c r="AU272"/>
  <c r="AU282"/>
  <c r="AU290"/>
  <c r="AU300"/>
  <c r="AU319"/>
  <c r="AU330"/>
  <c r="AU347"/>
  <c r="AU396"/>
  <c r="AU323"/>
  <c r="AU325"/>
  <c r="AU333"/>
  <c r="AU339"/>
  <c r="AU346"/>
  <c r="AU352"/>
  <c r="AU353"/>
  <c r="AU355"/>
  <c r="AU358"/>
  <c r="AU367"/>
  <c r="AU313"/>
  <c r="AU321"/>
  <c r="AU331"/>
  <c r="AU343"/>
  <c r="AU345"/>
  <c r="AU360"/>
  <c r="AU398"/>
  <c r="AU306"/>
  <c r="AU316"/>
  <c r="AU326"/>
  <c r="AU334"/>
  <c r="AU336"/>
  <c r="AU337"/>
  <c r="AU348"/>
  <c r="AU357"/>
  <c r="AU314"/>
  <c r="AU322"/>
  <c r="AU332"/>
  <c r="AU338"/>
  <c r="AU351"/>
  <c r="AU365"/>
  <c r="AU393"/>
  <c r="AU349"/>
  <c r="AU366"/>
  <c r="AU344"/>
  <c r="AU361"/>
  <c r="AU371"/>
  <c r="AU383"/>
  <c r="AU392"/>
  <c r="AU403"/>
  <c r="AU342"/>
  <c r="AU350"/>
  <c r="AU381"/>
  <c r="AU354"/>
  <c r="AU364"/>
  <c r="AU384"/>
  <c r="AU386"/>
  <c r="AU359"/>
  <c r="AU369"/>
  <c r="AU400"/>
  <c r="AU362"/>
  <c r="AU373"/>
  <c r="AU375"/>
  <c r="AU395"/>
  <c r="AU370"/>
  <c r="AU390"/>
  <c r="AU401"/>
  <c r="AU377"/>
  <c r="AU385"/>
  <c r="AU391"/>
  <c r="AU399"/>
  <c r="AU368"/>
  <c r="AU374"/>
  <c r="AU382"/>
  <c r="AU394"/>
  <c r="AU402"/>
  <c r="AU379"/>
  <c r="AU387"/>
  <c r="AU389"/>
  <c r="AU397"/>
  <c r="F243"/>
  <c r="F118"/>
  <c r="F374"/>
  <c r="F124"/>
  <c r="F223"/>
  <c r="F156"/>
  <c r="F5"/>
  <c r="F145"/>
  <c r="F35"/>
  <c r="F105"/>
  <c r="F249"/>
  <c r="F226"/>
  <c r="F265"/>
  <c r="F392"/>
  <c r="F369"/>
  <c r="F349"/>
  <c r="F365"/>
  <c r="F398"/>
  <c r="F126"/>
  <c r="F53"/>
  <c r="F389"/>
  <c r="F73"/>
  <c r="F179"/>
  <c r="F47"/>
  <c r="F286"/>
  <c r="F114"/>
  <c r="F295"/>
  <c r="F333"/>
  <c r="F377"/>
  <c r="F266"/>
  <c r="F272"/>
  <c r="F29"/>
  <c r="F65"/>
  <c r="F203"/>
  <c r="F323"/>
  <c r="F259"/>
  <c r="F93"/>
  <c r="F273"/>
  <c r="F174"/>
  <c r="F104"/>
  <c r="F387"/>
  <c r="F363"/>
  <c r="F200"/>
  <c r="F63"/>
  <c r="F380"/>
  <c r="F146"/>
  <c r="F147"/>
  <c r="F143"/>
  <c r="F54"/>
  <c r="F270"/>
  <c r="F248"/>
  <c r="F313"/>
  <c r="F310"/>
  <c r="F42"/>
  <c r="F318"/>
  <c r="F157"/>
  <c r="F298"/>
  <c r="F297"/>
  <c r="F61"/>
  <c r="F396"/>
  <c r="F48"/>
  <c r="F390"/>
  <c r="F85"/>
  <c r="F381"/>
  <c r="F262"/>
  <c r="F83"/>
  <c r="F33"/>
  <c r="F75"/>
  <c r="F330"/>
  <c r="F86"/>
  <c r="F246"/>
  <c r="F31"/>
  <c r="F225"/>
  <c r="F360"/>
  <c r="F397"/>
  <c r="F332"/>
  <c r="F167"/>
  <c r="F69"/>
  <c r="F336"/>
  <c r="F103"/>
  <c r="F279"/>
  <c r="F391"/>
  <c r="F102"/>
  <c r="F141"/>
  <c r="F233"/>
  <c r="F194"/>
  <c r="F384"/>
  <c r="F76"/>
  <c r="F207"/>
  <c r="F186"/>
  <c r="F80"/>
  <c r="F283"/>
  <c r="F220"/>
  <c r="F119"/>
  <c r="F284"/>
  <c r="F287"/>
  <c r="F231"/>
  <c r="F30"/>
  <c r="F321"/>
  <c r="F382"/>
  <c r="F160"/>
  <c r="F166"/>
  <c r="F300"/>
  <c r="F27"/>
  <c r="F277"/>
  <c r="F316"/>
  <c r="F67"/>
  <c r="F206"/>
  <c r="F211"/>
  <c r="F338"/>
  <c r="F247"/>
  <c r="F38"/>
  <c r="F229"/>
  <c r="F353"/>
  <c r="F154"/>
  <c r="F56"/>
  <c r="F169"/>
  <c r="F46"/>
  <c r="F364"/>
  <c r="F328"/>
  <c r="F16"/>
  <c r="F280"/>
  <c r="F366"/>
  <c r="F235"/>
  <c r="F122"/>
  <c r="F271"/>
  <c r="F171"/>
  <c r="F177"/>
  <c r="F204"/>
  <c r="F43"/>
  <c r="F72"/>
  <c r="F319"/>
  <c r="F255"/>
  <c r="F123"/>
  <c r="F269"/>
  <c r="F137"/>
  <c r="F106"/>
  <c r="F309"/>
  <c r="F117"/>
  <c r="F99"/>
  <c r="F40"/>
  <c r="F237"/>
  <c r="F202"/>
  <c r="F327"/>
  <c r="F198"/>
  <c r="F238"/>
  <c r="F96"/>
  <c r="F115"/>
  <c r="F120"/>
  <c r="F192"/>
  <c r="F291"/>
  <c r="F224"/>
  <c r="F205"/>
  <c r="F140"/>
  <c r="F373"/>
  <c r="F24"/>
  <c r="F10"/>
  <c r="F182"/>
  <c r="F189"/>
  <c r="F161"/>
  <c r="F125"/>
  <c r="F6"/>
  <c r="F312"/>
  <c r="F62"/>
  <c r="F17"/>
  <c r="F22"/>
  <c r="F263"/>
  <c r="F245"/>
  <c r="F322"/>
  <c r="F14"/>
  <c r="F393"/>
  <c r="F74"/>
  <c r="F241"/>
  <c r="F401"/>
  <c r="F250"/>
  <c r="F89"/>
  <c r="F18"/>
  <c r="F376"/>
  <c r="F357"/>
  <c r="F306"/>
  <c r="F165"/>
  <c r="F66"/>
  <c r="F256"/>
  <c r="F329"/>
  <c r="F94"/>
  <c r="F361"/>
  <c r="F163"/>
  <c r="F385"/>
  <c r="F82"/>
  <c r="F71"/>
  <c r="F347"/>
  <c r="F11"/>
  <c r="F108"/>
  <c r="F268"/>
  <c r="F253"/>
  <c r="F107"/>
  <c r="F296"/>
  <c r="F139"/>
  <c r="F215"/>
  <c r="F216"/>
  <c r="F162"/>
  <c r="F21"/>
  <c r="F232"/>
  <c r="F282"/>
  <c r="F78"/>
  <c r="F394"/>
  <c r="F91"/>
  <c r="F136"/>
  <c r="F175"/>
  <c r="F267"/>
  <c r="F331"/>
  <c r="F304"/>
  <c r="F144"/>
  <c r="F275"/>
  <c r="F37"/>
  <c r="F183"/>
  <c r="F351"/>
  <c r="F44"/>
  <c r="F187"/>
  <c r="F352"/>
  <c r="F254"/>
  <c r="F299"/>
  <c r="F87"/>
  <c r="F355"/>
  <c r="F133"/>
  <c r="F34"/>
  <c r="F234"/>
  <c r="F368"/>
  <c r="F142"/>
  <c r="F311"/>
  <c r="F350"/>
  <c r="F79"/>
  <c r="F240"/>
  <c r="F348"/>
  <c r="F23"/>
  <c r="F315"/>
  <c r="F81"/>
  <c r="F375"/>
  <c r="F15"/>
  <c r="F222"/>
  <c r="F112"/>
  <c r="F219"/>
  <c r="F90"/>
  <c r="F26"/>
  <c r="F362"/>
  <c r="F128"/>
  <c r="F383"/>
  <c r="F135"/>
  <c r="F303"/>
  <c r="F190"/>
  <c r="F236"/>
  <c r="F239"/>
  <c r="F39"/>
  <c r="F335"/>
  <c r="F281"/>
  <c r="F92"/>
  <c r="F109"/>
  <c r="F227"/>
  <c r="F288"/>
  <c r="F370"/>
  <c r="F395"/>
  <c r="F13"/>
  <c r="F218"/>
  <c r="F359"/>
  <c r="F113"/>
  <c r="F121"/>
  <c r="F127"/>
  <c r="F19"/>
  <c r="F32"/>
  <c r="F278"/>
  <c r="F28"/>
  <c r="F403"/>
  <c r="F289"/>
  <c r="F191"/>
  <c r="F337"/>
  <c r="F378"/>
  <c r="F343"/>
  <c r="F70"/>
  <c r="F173"/>
  <c r="F317"/>
  <c r="F168"/>
  <c r="F57"/>
  <c r="F131"/>
  <c r="F130"/>
  <c r="F184"/>
  <c r="F188"/>
  <c r="F261"/>
  <c r="F50"/>
  <c r="F293"/>
  <c r="F95"/>
  <c r="F214"/>
  <c r="F176"/>
  <c r="F354"/>
  <c r="F149"/>
  <c r="F77"/>
  <c r="F41"/>
  <c r="F257"/>
  <c r="F230"/>
  <c r="F55"/>
  <c r="F334"/>
  <c r="F346"/>
  <c r="F159"/>
  <c r="F252"/>
  <c r="F151"/>
  <c r="F358"/>
  <c r="F294"/>
  <c r="F195"/>
  <c r="F342"/>
  <c r="F208"/>
  <c r="F138"/>
  <c r="F110"/>
  <c r="F217"/>
  <c r="F153"/>
  <c r="F326"/>
  <c r="F98"/>
  <c r="F59"/>
  <c r="F341"/>
  <c r="F199"/>
  <c r="F320"/>
  <c r="F325"/>
  <c r="F339"/>
  <c r="F185"/>
  <c r="F264"/>
  <c r="F97"/>
  <c r="F242"/>
  <c r="F172"/>
  <c r="F178"/>
  <c r="F285"/>
  <c r="F402"/>
  <c r="F170"/>
  <c r="F209"/>
  <c r="F301"/>
  <c r="F9"/>
  <c r="F7"/>
  <c r="F213"/>
  <c r="F344"/>
  <c r="F193"/>
  <c r="F251"/>
  <c r="F8"/>
  <c r="F210"/>
  <c r="F221"/>
  <c r="F12"/>
  <c r="F45"/>
  <c r="F367"/>
  <c r="F155"/>
  <c r="F379"/>
  <c r="F201"/>
  <c r="F88"/>
  <c r="F302"/>
  <c r="F25"/>
  <c r="F314"/>
  <c r="F345"/>
  <c r="F400"/>
  <c r="F111"/>
  <c r="F274"/>
  <c r="F386"/>
  <c r="F152"/>
  <c r="F399"/>
  <c r="F150"/>
  <c r="F51"/>
  <c r="F101"/>
  <c r="F290"/>
  <c r="F181"/>
  <c r="F134"/>
  <c r="F158"/>
  <c r="F60"/>
  <c r="F49"/>
  <c r="F197"/>
  <c r="F64"/>
  <c r="F305"/>
  <c r="F371"/>
  <c r="F258"/>
  <c r="F58"/>
  <c r="F307"/>
  <c r="F129"/>
  <c r="BA35"/>
  <c r="BA104"/>
  <c r="BA17"/>
  <c r="BA95"/>
  <c r="BA59"/>
  <c r="BA97"/>
  <c r="BA171"/>
  <c r="BA178"/>
  <c r="BA96"/>
  <c r="BA18"/>
  <c r="BA67"/>
  <c r="BA131"/>
  <c r="BA37"/>
  <c r="BA38"/>
  <c r="BA123"/>
  <c r="BA179"/>
  <c r="BA9"/>
  <c r="BA25"/>
  <c r="BA48"/>
  <c r="BA27"/>
  <c r="BA33"/>
  <c r="BA87"/>
  <c r="BA88"/>
  <c r="BA112"/>
  <c r="BA10"/>
  <c r="BA12"/>
  <c r="BA40"/>
  <c r="BA60"/>
  <c r="BA71"/>
  <c r="BA89"/>
  <c r="BA124"/>
  <c r="BA135"/>
  <c r="BA217"/>
  <c r="BA49"/>
  <c r="BA105"/>
  <c r="BA113"/>
  <c r="BA28"/>
  <c r="BA61"/>
  <c r="BA79"/>
  <c r="BA125"/>
  <c r="BA143"/>
  <c r="BA7"/>
  <c r="BA15"/>
  <c r="BA22"/>
  <c r="BA30"/>
  <c r="BA53"/>
  <c r="BA76"/>
  <c r="BA117"/>
  <c r="BA140"/>
  <c r="BA5"/>
  <c r="BA13"/>
  <c r="BA23"/>
  <c r="BA31"/>
  <c r="BA42"/>
  <c r="BA50"/>
  <c r="BA106"/>
  <c r="BA114"/>
  <c r="BA214"/>
  <c r="BA222"/>
  <c r="BA8"/>
  <c r="BA16"/>
  <c r="BA26"/>
  <c r="BA34"/>
  <c r="BA41"/>
  <c r="BA69"/>
  <c r="BA77"/>
  <c r="BA133"/>
  <c r="BA141"/>
  <c r="BA11"/>
  <c r="BA19"/>
  <c r="BA21"/>
  <c r="BA29"/>
  <c r="BA39"/>
  <c r="BA43"/>
  <c r="BA51"/>
  <c r="BA58"/>
  <c r="BA66"/>
  <c r="BA70"/>
  <c r="BA78"/>
  <c r="BA86"/>
  <c r="BA94"/>
  <c r="BA107"/>
  <c r="BA115"/>
  <c r="BA122"/>
  <c r="BA130"/>
  <c r="BA134"/>
  <c r="BA142"/>
  <c r="BA163"/>
  <c r="BA279"/>
  <c r="BA6"/>
  <c r="BA14"/>
  <c r="BA24"/>
  <c r="BA32"/>
  <c r="BA155"/>
  <c r="BA159"/>
  <c r="BA170"/>
  <c r="BA264"/>
  <c r="BA46"/>
  <c r="BA56"/>
  <c r="BA64"/>
  <c r="BA74"/>
  <c r="BA82"/>
  <c r="BA92"/>
  <c r="BA102"/>
  <c r="BA110"/>
  <c r="BA120"/>
  <c r="BA128"/>
  <c r="BA138"/>
  <c r="BA146"/>
  <c r="BA150"/>
  <c r="BA160"/>
  <c r="BA165"/>
  <c r="BA173"/>
  <c r="BA44"/>
  <c r="BA54"/>
  <c r="BA62"/>
  <c r="BA72"/>
  <c r="BA80"/>
  <c r="BA90"/>
  <c r="BA98"/>
  <c r="BA108"/>
  <c r="BA118"/>
  <c r="BA126"/>
  <c r="BA136"/>
  <c r="BA144"/>
  <c r="BA151"/>
  <c r="BA153"/>
  <c r="BA161"/>
  <c r="BA258"/>
  <c r="BA259"/>
  <c r="BA47"/>
  <c r="BA57"/>
  <c r="BA65"/>
  <c r="BA75"/>
  <c r="BA83"/>
  <c r="BA85"/>
  <c r="BA93"/>
  <c r="BA103"/>
  <c r="BA111"/>
  <c r="BA121"/>
  <c r="BA129"/>
  <c r="BA139"/>
  <c r="BA147"/>
  <c r="BA149"/>
  <c r="BA152"/>
  <c r="BA169"/>
  <c r="BA177"/>
  <c r="BA181"/>
  <c r="BA194"/>
  <c r="BA45"/>
  <c r="BA55"/>
  <c r="BA63"/>
  <c r="BA73"/>
  <c r="BA81"/>
  <c r="BA91"/>
  <c r="BA99"/>
  <c r="BA101"/>
  <c r="BA109"/>
  <c r="BA119"/>
  <c r="BA127"/>
  <c r="BA137"/>
  <c r="BA145"/>
  <c r="BA183"/>
  <c r="BA189"/>
  <c r="BA190"/>
  <c r="BA198"/>
  <c r="BA206"/>
  <c r="BA250"/>
  <c r="BA251"/>
  <c r="BA158"/>
  <c r="BA168"/>
  <c r="BA176"/>
  <c r="BA186"/>
  <c r="BA204"/>
  <c r="BA219"/>
  <c r="BA226"/>
  <c r="BA230"/>
  <c r="BA238"/>
  <c r="BA287"/>
  <c r="BA156"/>
  <c r="BA166"/>
  <c r="BA174"/>
  <c r="BA184"/>
  <c r="BA187"/>
  <c r="BA191"/>
  <c r="BA272"/>
  <c r="BA317"/>
  <c r="BA154"/>
  <c r="BA162"/>
  <c r="BA172"/>
  <c r="BA182"/>
  <c r="BA188"/>
  <c r="BA199"/>
  <c r="BA207"/>
  <c r="BA216"/>
  <c r="BA270"/>
  <c r="BA283"/>
  <c r="BA157"/>
  <c r="BA167"/>
  <c r="BA175"/>
  <c r="BA185"/>
  <c r="BA201"/>
  <c r="BA209"/>
  <c r="BA262"/>
  <c r="BA337"/>
  <c r="BA192"/>
  <c r="BA202"/>
  <c r="BA210"/>
  <c r="BA220"/>
  <c r="BA231"/>
  <c r="BA239"/>
  <c r="BA291"/>
  <c r="BA195"/>
  <c r="BA197"/>
  <c r="BA205"/>
  <c r="BA215"/>
  <c r="BA232"/>
  <c r="BA240"/>
  <c r="BA248"/>
  <c r="BA256"/>
  <c r="BA298"/>
  <c r="BA300"/>
  <c r="BA313"/>
  <c r="BA322"/>
  <c r="BA200"/>
  <c r="BA208"/>
  <c r="BA218"/>
  <c r="BA320"/>
  <c r="BA193"/>
  <c r="BA203"/>
  <c r="BA211"/>
  <c r="BA213"/>
  <c r="BA221"/>
  <c r="BA223"/>
  <c r="BA233"/>
  <c r="BA241"/>
  <c r="BA249"/>
  <c r="BA257"/>
  <c r="BA319"/>
  <c r="BA236"/>
  <c r="BA246"/>
  <c r="BA254"/>
  <c r="BA261"/>
  <c r="BA265"/>
  <c r="BA273"/>
  <c r="BA280"/>
  <c r="BA288"/>
  <c r="BA293"/>
  <c r="BA301"/>
  <c r="BA224"/>
  <c r="BA234"/>
  <c r="BA242"/>
  <c r="BA252"/>
  <c r="BA269"/>
  <c r="BA282"/>
  <c r="BA290"/>
  <c r="BA297"/>
  <c r="BA305"/>
  <c r="BA330"/>
  <c r="BA227"/>
  <c r="BA229"/>
  <c r="BA237"/>
  <c r="BA247"/>
  <c r="BA255"/>
  <c r="BA225"/>
  <c r="BA235"/>
  <c r="BA243"/>
  <c r="BA245"/>
  <c r="BA253"/>
  <c r="BA267"/>
  <c r="BA275"/>
  <c r="BA277"/>
  <c r="BA285"/>
  <c r="BA295"/>
  <c r="BA303"/>
  <c r="BA307"/>
  <c r="BA312"/>
  <c r="BA321"/>
  <c r="BA329"/>
  <c r="BA336"/>
  <c r="BA338"/>
  <c r="BA400"/>
  <c r="BA268"/>
  <c r="BA278"/>
  <c r="BA286"/>
  <c r="BA296"/>
  <c r="BA304"/>
  <c r="BA309"/>
  <c r="BA314"/>
  <c r="BA331"/>
  <c r="BA347"/>
  <c r="BA384"/>
  <c r="BA395"/>
  <c r="BA263"/>
  <c r="BA271"/>
  <c r="BA281"/>
  <c r="BA289"/>
  <c r="BA299"/>
  <c r="BA341"/>
  <c r="BA345"/>
  <c r="BA349"/>
  <c r="BA266"/>
  <c r="BA274"/>
  <c r="BA284"/>
  <c r="BA294"/>
  <c r="BA302"/>
  <c r="BA306"/>
  <c r="BA311"/>
  <c r="BA332"/>
  <c r="BA343"/>
  <c r="BA352"/>
  <c r="BA327"/>
  <c r="BA335"/>
  <c r="BA348"/>
  <c r="BA360"/>
  <c r="BA389"/>
  <c r="BA315"/>
  <c r="BA323"/>
  <c r="BA325"/>
  <c r="BA333"/>
  <c r="BA357"/>
  <c r="BA310"/>
  <c r="BA318"/>
  <c r="BA328"/>
  <c r="BA339"/>
  <c r="BA342"/>
  <c r="BA350"/>
  <c r="BA316"/>
  <c r="BA326"/>
  <c r="BA334"/>
  <c r="BA369"/>
  <c r="BA386"/>
  <c r="BA362"/>
  <c r="BA394"/>
  <c r="BA351"/>
  <c r="BA353"/>
  <c r="BA382"/>
  <c r="BA387"/>
  <c r="BA346"/>
  <c r="BA355"/>
  <c r="BA359"/>
  <c r="BA363"/>
  <c r="BA373"/>
  <c r="BA398"/>
  <c r="BA344"/>
  <c r="BA365"/>
  <c r="BA358"/>
  <c r="BA366"/>
  <c r="BA371"/>
  <c r="BA390"/>
  <c r="BA402"/>
  <c r="BA361"/>
  <c r="BA376"/>
  <c r="BA378"/>
  <c r="BA397"/>
  <c r="BA354"/>
  <c r="BA364"/>
  <c r="BA368"/>
  <c r="BA374"/>
  <c r="BA392"/>
  <c r="BA379"/>
  <c r="BA381"/>
  <c r="BA403"/>
  <c r="BA367"/>
  <c r="BA375"/>
  <c r="BA383"/>
  <c r="BA393"/>
  <c r="BA401"/>
  <c r="BA370"/>
  <c r="BA380"/>
  <c r="BA396"/>
  <c r="BA377"/>
  <c r="BA385"/>
  <c r="BA391"/>
  <c r="BA399"/>
  <c r="N154"/>
  <c r="N28"/>
  <c r="N357"/>
  <c r="N225"/>
  <c r="N92"/>
  <c r="N163"/>
  <c r="N15"/>
  <c r="N13"/>
  <c r="N143"/>
  <c r="N158"/>
  <c r="N204"/>
  <c r="N41"/>
  <c r="N166"/>
  <c r="N264"/>
  <c r="N22"/>
  <c r="N30"/>
  <c r="N79"/>
  <c r="N10"/>
  <c r="N23"/>
  <c r="N31"/>
  <c r="N45"/>
  <c r="N64"/>
  <c r="N101"/>
  <c r="N109"/>
  <c r="N128"/>
  <c r="N153"/>
  <c r="N155"/>
  <c r="N207"/>
  <c r="N5"/>
  <c r="N6"/>
  <c r="N25"/>
  <c r="N33"/>
  <c r="N43"/>
  <c r="N44"/>
  <c r="N46"/>
  <c r="N51"/>
  <c r="N56"/>
  <c r="N102"/>
  <c r="N107"/>
  <c r="N108"/>
  <c r="N110"/>
  <c r="N115"/>
  <c r="N120"/>
  <c r="N174"/>
  <c r="N18"/>
  <c r="N38"/>
  <c r="N7"/>
  <c r="N12"/>
  <c r="N40"/>
  <c r="N71"/>
  <c r="N135"/>
  <c r="N234"/>
  <c r="N8"/>
  <c r="N16"/>
  <c r="N26"/>
  <c r="N34"/>
  <c r="N72"/>
  <c r="N73"/>
  <c r="N80"/>
  <c r="N81"/>
  <c r="N136"/>
  <c r="N137"/>
  <c r="N144"/>
  <c r="N145"/>
  <c r="N11"/>
  <c r="N19"/>
  <c r="N21"/>
  <c r="N29"/>
  <c r="N39"/>
  <c r="N74"/>
  <c r="N82"/>
  <c r="N138"/>
  <c r="N146"/>
  <c r="N14"/>
  <c r="N24"/>
  <c r="N32"/>
  <c r="N53"/>
  <c r="N61"/>
  <c r="N89"/>
  <c r="N97"/>
  <c r="N117"/>
  <c r="N125"/>
  <c r="N182"/>
  <c r="N184"/>
  <c r="N187"/>
  <c r="N194"/>
  <c r="N199"/>
  <c r="N235"/>
  <c r="N9"/>
  <c r="N17"/>
  <c r="N27"/>
  <c r="N35"/>
  <c r="N37"/>
  <c r="N54"/>
  <c r="N55"/>
  <c r="N62"/>
  <c r="N63"/>
  <c r="N90"/>
  <c r="N91"/>
  <c r="N98"/>
  <c r="N99"/>
  <c r="N118"/>
  <c r="N119"/>
  <c r="N126"/>
  <c r="N127"/>
  <c r="N162"/>
  <c r="N49"/>
  <c r="N59"/>
  <c r="N67"/>
  <c r="N69"/>
  <c r="N77"/>
  <c r="N87"/>
  <c r="N95"/>
  <c r="N105"/>
  <c r="N113"/>
  <c r="N123"/>
  <c r="N131"/>
  <c r="N133"/>
  <c r="N141"/>
  <c r="N150"/>
  <c r="N156"/>
  <c r="N183"/>
  <c r="N214"/>
  <c r="N219"/>
  <c r="N222"/>
  <c r="N47"/>
  <c r="N57"/>
  <c r="N65"/>
  <c r="N75"/>
  <c r="N83"/>
  <c r="N85"/>
  <c r="N93"/>
  <c r="N103"/>
  <c r="N111"/>
  <c r="N121"/>
  <c r="N129"/>
  <c r="N139"/>
  <c r="N147"/>
  <c r="N149"/>
  <c r="N172"/>
  <c r="N186"/>
  <c r="N224"/>
  <c r="N231"/>
  <c r="N42"/>
  <c r="N50"/>
  <c r="N60"/>
  <c r="N70"/>
  <c r="N78"/>
  <c r="N88"/>
  <c r="N96"/>
  <c r="N106"/>
  <c r="N114"/>
  <c r="N124"/>
  <c r="N134"/>
  <c r="N142"/>
  <c r="N165"/>
  <c r="N173"/>
  <c r="N190"/>
  <c r="N241"/>
  <c r="N393"/>
  <c r="N48"/>
  <c r="N58"/>
  <c r="N66"/>
  <c r="N76"/>
  <c r="N86"/>
  <c r="N94"/>
  <c r="N104"/>
  <c r="N112"/>
  <c r="N122"/>
  <c r="N130"/>
  <c r="N140"/>
  <c r="N168"/>
  <c r="N176"/>
  <c r="N161"/>
  <c r="N171"/>
  <c r="N179"/>
  <c r="N181"/>
  <c r="N201"/>
  <c r="N209"/>
  <c r="N233"/>
  <c r="N272"/>
  <c r="N151"/>
  <c r="N159"/>
  <c r="N169"/>
  <c r="N177"/>
  <c r="N191"/>
  <c r="N202"/>
  <c r="N210"/>
  <c r="N217"/>
  <c r="N242"/>
  <c r="N243"/>
  <c r="N157"/>
  <c r="N167"/>
  <c r="N175"/>
  <c r="N185"/>
  <c r="N189"/>
  <c r="N192"/>
  <c r="N193"/>
  <c r="N226"/>
  <c r="N275"/>
  <c r="N152"/>
  <c r="N160"/>
  <c r="N170"/>
  <c r="N178"/>
  <c r="N220"/>
  <c r="N267"/>
  <c r="N323"/>
  <c r="N195"/>
  <c r="N197"/>
  <c r="N205"/>
  <c r="N215"/>
  <c r="N223"/>
  <c r="N236"/>
  <c r="N278"/>
  <c r="N200"/>
  <c r="N208"/>
  <c r="N218"/>
  <c r="N251"/>
  <c r="N259"/>
  <c r="N283"/>
  <c r="N286"/>
  <c r="N335"/>
  <c r="N373"/>
  <c r="N203"/>
  <c r="N211"/>
  <c r="N213"/>
  <c r="N221"/>
  <c r="N245"/>
  <c r="N252"/>
  <c r="N253"/>
  <c r="N291"/>
  <c r="N303"/>
  <c r="N188"/>
  <c r="N198"/>
  <c r="N206"/>
  <c r="N216"/>
  <c r="N246"/>
  <c r="N254"/>
  <c r="N295"/>
  <c r="N300"/>
  <c r="N306"/>
  <c r="N338"/>
  <c r="N239"/>
  <c r="N249"/>
  <c r="N257"/>
  <c r="N277"/>
  <c r="N285"/>
  <c r="N227"/>
  <c r="N229"/>
  <c r="N237"/>
  <c r="N247"/>
  <c r="N255"/>
  <c r="N317"/>
  <c r="N325"/>
  <c r="N326"/>
  <c r="N352"/>
  <c r="N232"/>
  <c r="N240"/>
  <c r="N250"/>
  <c r="N258"/>
  <c r="N262"/>
  <c r="N265"/>
  <c r="N273"/>
  <c r="N293"/>
  <c r="N301"/>
  <c r="N327"/>
  <c r="N333"/>
  <c r="N334"/>
  <c r="N351"/>
  <c r="N368"/>
  <c r="N230"/>
  <c r="N238"/>
  <c r="N248"/>
  <c r="N256"/>
  <c r="N268"/>
  <c r="N282"/>
  <c r="N290"/>
  <c r="N296"/>
  <c r="N304"/>
  <c r="N398"/>
  <c r="N270"/>
  <c r="N280"/>
  <c r="N288"/>
  <c r="N298"/>
  <c r="N312"/>
  <c r="N332"/>
  <c r="N345"/>
  <c r="N263"/>
  <c r="N271"/>
  <c r="N281"/>
  <c r="N289"/>
  <c r="N299"/>
  <c r="N309"/>
  <c r="N314"/>
  <c r="N360"/>
  <c r="N266"/>
  <c r="N274"/>
  <c r="N284"/>
  <c r="N294"/>
  <c r="N302"/>
  <c r="N320"/>
  <c r="N261"/>
  <c r="N269"/>
  <c r="N279"/>
  <c r="N287"/>
  <c r="N297"/>
  <c r="N305"/>
  <c r="N307"/>
  <c r="N315"/>
  <c r="N316"/>
  <c r="N322"/>
  <c r="N350"/>
  <c r="N366"/>
  <c r="N330"/>
  <c r="N342"/>
  <c r="N310"/>
  <c r="N318"/>
  <c r="N328"/>
  <c r="N336"/>
  <c r="N387"/>
  <c r="N313"/>
  <c r="N321"/>
  <c r="N331"/>
  <c r="N343"/>
  <c r="N311"/>
  <c r="N319"/>
  <c r="N329"/>
  <c r="N344"/>
  <c r="N353"/>
  <c r="N348"/>
  <c r="N362"/>
  <c r="N371"/>
  <c r="N386"/>
  <c r="N389"/>
  <c r="N400"/>
  <c r="N346"/>
  <c r="N339"/>
  <c r="N341"/>
  <c r="N349"/>
  <c r="N355"/>
  <c r="N358"/>
  <c r="N363"/>
  <c r="N375"/>
  <c r="N384"/>
  <c r="N395"/>
  <c r="N337"/>
  <c r="N347"/>
  <c r="N365"/>
  <c r="N361"/>
  <c r="N390"/>
  <c r="N401"/>
  <c r="N354"/>
  <c r="N364"/>
  <c r="N376"/>
  <c r="N378"/>
  <c r="N397"/>
  <c r="N359"/>
  <c r="N367"/>
  <c r="N369"/>
  <c r="N392"/>
  <c r="N379"/>
  <c r="N381"/>
  <c r="N383"/>
  <c r="N403"/>
  <c r="N370"/>
  <c r="N380"/>
  <c r="N396"/>
  <c r="N377"/>
  <c r="N385"/>
  <c r="N391"/>
  <c r="N399"/>
  <c r="N374"/>
  <c r="N382"/>
  <c r="N394"/>
  <c r="N402"/>
  <c r="AN39"/>
  <c r="AN10"/>
  <c r="AN133"/>
  <c r="AN26"/>
  <c r="AN53"/>
  <c r="AN160"/>
  <c r="AN118"/>
  <c r="AN166"/>
  <c r="AN117"/>
  <c r="AN42"/>
  <c r="AN54"/>
  <c r="AN77"/>
  <c r="AN114"/>
  <c r="AN28"/>
  <c r="AN34"/>
  <c r="AN69"/>
  <c r="AN18"/>
  <c r="AN61"/>
  <c r="AN62"/>
  <c r="AN106"/>
  <c r="AN141"/>
  <c r="AN162"/>
  <c r="AN8"/>
  <c r="AN13"/>
  <c r="AN38"/>
  <c r="AN125"/>
  <c r="AN126"/>
  <c r="AN154"/>
  <c r="AN11"/>
  <c r="AN19"/>
  <c r="AN41"/>
  <c r="AN50"/>
  <c r="AN350"/>
  <c r="AN5"/>
  <c r="AN96"/>
  <c r="AN21"/>
  <c r="AN29"/>
  <c r="AN88"/>
  <c r="AN97"/>
  <c r="AN98"/>
  <c r="AN171"/>
  <c r="AN16"/>
  <c r="AN23"/>
  <c r="AN31"/>
  <c r="AN89"/>
  <c r="AN90"/>
  <c r="AN49"/>
  <c r="AN60"/>
  <c r="AN105"/>
  <c r="AN113"/>
  <c r="AN124"/>
  <c r="AN6"/>
  <c r="AN14"/>
  <c r="AN24"/>
  <c r="AN32"/>
  <c r="AN43"/>
  <c r="AN51"/>
  <c r="AN107"/>
  <c r="AN115"/>
  <c r="AN152"/>
  <c r="AN174"/>
  <c r="AN179"/>
  <c r="AN239"/>
  <c r="AN9"/>
  <c r="AN17"/>
  <c r="AN27"/>
  <c r="AN35"/>
  <c r="AN37"/>
  <c r="AN44"/>
  <c r="AN70"/>
  <c r="AN78"/>
  <c r="AN108"/>
  <c r="AN134"/>
  <c r="AN142"/>
  <c r="AN12"/>
  <c r="AN22"/>
  <c r="AN30"/>
  <c r="AN40"/>
  <c r="AN59"/>
  <c r="AN67"/>
  <c r="AN71"/>
  <c r="AN79"/>
  <c r="AN87"/>
  <c r="AN95"/>
  <c r="AN123"/>
  <c r="AN131"/>
  <c r="AN135"/>
  <c r="AN143"/>
  <c r="AN251"/>
  <c r="AN302"/>
  <c r="AN7"/>
  <c r="AN15"/>
  <c r="AN25"/>
  <c r="AN33"/>
  <c r="AN72"/>
  <c r="AN80"/>
  <c r="AN136"/>
  <c r="AN144"/>
  <c r="AN181"/>
  <c r="AN184"/>
  <c r="AN220"/>
  <c r="AN47"/>
  <c r="AN57"/>
  <c r="AN65"/>
  <c r="AN75"/>
  <c r="AN83"/>
  <c r="AN85"/>
  <c r="AN93"/>
  <c r="AN103"/>
  <c r="AN111"/>
  <c r="AN121"/>
  <c r="AN129"/>
  <c r="AN139"/>
  <c r="AN147"/>
  <c r="AN149"/>
  <c r="AN153"/>
  <c r="AN161"/>
  <c r="AN188"/>
  <c r="AN192"/>
  <c r="AN197"/>
  <c r="AN199"/>
  <c r="AN200"/>
  <c r="AN205"/>
  <c r="AN207"/>
  <c r="AN208"/>
  <c r="AN227"/>
  <c r="AN274"/>
  <c r="AN390"/>
  <c r="AN45"/>
  <c r="AN55"/>
  <c r="AN63"/>
  <c r="AN73"/>
  <c r="AN81"/>
  <c r="AN91"/>
  <c r="AN99"/>
  <c r="AN101"/>
  <c r="AN109"/>
  <c r="AN119"/>
  <c r="AN127"/>
  <c r="AN137"/>
  <c r="AN145"/>
  <c r="AN151"/>
  <c r="AN182"/>
  <c r="AN190"/>
  <c r="AN218"/>
  <c r="AN48"/>
  <c r="AN58"/>
  <c r="AN66"/>
  <c r="AN76"/>
  <c r="AN86"/>
  <c r="AN94"/>
  <c r="AN104"/>
  <c r="AN112"/>
  <c r="AN122"/>
  <c r="AN130"/>
  <c r="AN140"/>
  <c r="AN156"/>
  <c r="AN170"/>
  <c r="AN178"/>
  <c r="AN259"/>
  <c r="AN46"/>
  <c r="AN56"/>
  <c r="AN64"/>
  <c r="AN74"/>
  <c r="AN82"/>
  <c r="AN92"/>
  <c r="AN102"/>
  <c r="AN110"/>
  <c r="AN120"/>
  <c r="AN128"/>
  <c r="AN138"/>
  <c r="AN146"/>
  <c r="AN172"/>
  <c r="AN301"/>
  <c r="AN159"/>
  <c r="AN169"/>
  <c r="AN177"/>
  <c r="AN189"/>
  <c r="AN157"/>
  <c r="AN167"/>
  <c r="AN175"/>
  <c r="AN185"/>
  <c r="AN191"/>
  <c r="AN215"/>
  <c r="AN223"/>
  <c r="AN231"/>
  <c r="AN293"/>
  <c r="AN294"/>
  <c r="AN155"/>
  <c r="AN163"/>
  <c r="AN165"/>
  <c r="AN173"/>
  <c r="AN183"/>
  <c r="AN187"/>
  <c r="AN195"/>
  <c r="AN202"/>
  <c r="AN210"/>
  <c r="AN217"/>
  <c r="AN252"/>
  <c r="AN273"/>
  <c r="AN150"/>
  <c r="AN158"/>
  <c r="AN168"/>
  <c r="AN176"/>
  <c r="AN186"/>
  <c r="AN364"/>
  <c r="AN193"/>
  <c r="AN203"/>
  <c r="AN211"/>
  <c r="AN213"/>
  <c r="AN221"/>
  <c r="AN232"/>
  <c r="AN240"/>
  <c r="AN265"/>
  <c r="AN266"/>
  <c r="AN198"/>
  <c r="AN206"/>
  <c r="AN216"/>
  <c r="AN233"/>
  <c r="AN241"/>
  <c r="AN249"/>
  <c r="AN257"/>
  <c r="AN280"/>
  <c r="AN307"/>
  <c r="AN323"/>
  <c r="AN201"/>
  <c r="AN209"/>
  <c r="AN219"/>
  <c r="AN234"/>
  <c r="AN242"/>
  <c r="AN281"/>
  <c r="AN288"/>
  <c r="AN194"/>
  <c r="AN204"/>
  <c r="AN214"/>
  <c r="AN222"/>
  <c r="AN224"/>
  <c r="AN229"/>
  <c r="AN250"/>
  <c r="AN258"/>
  <c r="AN289"/>
  <c r="AN321"/>
  <c r="AN237"/>
  <c r="AN247"/>
  <c r="AN255"/>
  <c r="AN225"/>
  <c r="AN235"/>
  <c r="AN243"/>
  <c r="AN245"/>
  <c r="AN253"/>
  <c r="AN262"/>
  <c r="AN270"/>
  <c r="AN283"/>
  <c r="AN291"/>
  <c r="AN298"/>
  <c r="AN348"/>
  <c r="AN230"/>
  <c r="AN238"/>
  <c r="AN248"/>
  <c r="AN256"/>
  <c r="AN263"/>
  <c r="AN271"/>
  <c r="AN284"/>
  <c r="AN299"/>
  <c r="AN313"/>
  <c r="AN343"/>
  <c r="AN226"/>
  <c r="AN236"/>
  <c r="AN246"/>
  <c r="AN254"/>
  <c r="AN312"/>
  <c r="AN331"/>
  <c r="AN336"/>
  <c r="AN369"/>
  <c r="AN377"/>
  <c r="AN268"/>
  <c r="AN278"/>
  <c r="AN286"/>
  <c r="AN296"/>
  <c r="AN304"/>
  <c r="AN318"/>
  <c r="AN322"/>
  <c r="AN330"/>
  <c r="AN261"/>
  <c r="AN269"/>
  <c r="AN279"/>
  <c r="AN287"/>
  <c r="AN297"/>
  <c r="AN305"/>
  <c r="AN314"/>
  <c r="AN332"/>
  <c r="AN264"/>
  <c r="AN272"/>
  <c r="AN282"/>
  <c r="AN290"/>
  <c r="AN300"/>
  <c r="AN310"/>
  <c r="AN315"/>
  <c r="AN325"/>
  <c r="AN333"/>
  <c r="AN386"/>
  <c r="AN267"/>
  <c r="AN275"/>
  <c r="AN277"/>
  <c r="AN285"/>
  <c r="AN295"/>
  <c r="AN303"/>
  <c r="AN320"/>
  <c r="AN328"/>
  <c r="AN349"/>
  <c r="AN361"/>
  <c r="AN306"/>
  <c r="AN316"/>
  <c r="AN326"/>
  <c r="AN334"/>
  <c r="AN338"/>
  <c r="AN351"/>
  <c r="AN373"/>
  <c r="AN311"/>
  <c r="AN319"/>
  <c r="AN329"/>
  <c r="AN341"/>
  <c r="AN309"/>
  <c r="AN317"/>
  <c r="AN327"/>
  <c r="AN335"/>
  <c r="AN339"/>
  <c r="AN342"/>
  <c r="AN366"/>
  <c r="AN346"/>
  <c r="AN344"/>
  <c r="AN354"/>
  <c r="AN358"/>
  <c r="AN363"/>
  <c r="AN375"/>
  <c r="AN395"/>
  <c r="AN337"/>
  <c r="AN347"/>
  <c r="AN353"/>
  <c r="AN399"/>
  <c r="AN345"/>
  <c r="AN360"/>
  <c r="AN401"/>
  <c r="AN359"/>
  <c r="AN370"/>
  <c r="AN378"/>
  <c r="AN380"/>
  <c r="AN396"/>
  <c r="AN352"/>
  <c r="AN362"/>
  <c r="AN391"/>
  <c r="AN355"/>
  <c r="AN357"/>
  <c r="AN365"/>
  <c r="AN367"/>
  <c r="AN381"/>
  <c r="AN383"/>
  <c r="AN385"/>
  <c r="AN403"/>
  <c r="AN393"/>
  <c r="AN398"/>
  <c r="AN368"/>
  <c r="AN374"/>
  <c r="AN382"/>
  <c r="AN394"/>
  <c r="AN402"/>
  <c r="AN371"/>
  <c r="AN379"/>
  <c r="AN387"/>
  <c r="AN389"/>
  <c r="AN397"/>
  <c r="AN376"/>
  <c r="AN384"/>
  <c r="AN392"/>
  <c r="AN400"/>
  <c r="AF43"/>
  <c r="AF131"/>
  <c r="AF29"/>
  <c r="AF134"/>
  <c r="AF71"/>
  <c r="AF44"/>
  <c r="AF115"/>
  <c r="AF70"/>
  <c r="AF10"/>
  <c r="AF108"/>
  <c r="AF161"/>
  <c r="AF31"/>
  <c r="AF21"/>
  <c r="AF23"/>
  <c r="AF67"/>
  <c r="AF182"/>
  <c r="AF5"/>
  <c r="AF72"/>
  <c r="AF78"/>
  <c r="AF107"/>
  <c r="AF135"/>
  <c r="AF187"/>
  <c r="AF59"/>
  <c r="AF136"/>
  <c r="AF142"/>
  <c r="AF16"/>
  <c r="AF51"/>
  <c r="AF123"/>
  <c r="AF191"/>
  <c r="AF18"/>
  <c r="AF38"/>
  <c r="AF79"/>
  <c r="AF143"/>
  <c r="AF232"/>
  <c r="AF8"/>
  <c r="AF26"/>
  <c r="AF34"/>
  <c r="AF80"/>
  <c r="AF144"/>
  <c r="AF189"/>
  <c r="AF11"/>
  <c r="AF19"/>
  <c r="AF39"/>
  <c r="AF95"/>
  <c r="AF13"/>
  <c r="AF28"/>
  <c r="AF41"/>
  <c r="AF87"/>
  <c r="AF151"/>
  <c r="AF6"/>
  <c r="AF14"/>
  <c r="AF24"/>
  <c r="AF32"/>
  <c r="AF60"/>
  <c r="AF88"/>
  <c r="AF96"/>
  <c r="AF124"/>
  <c r="AF153"/>
  <c r="AF156"/>
  <c r="AF9"/>
  <c r="AF17"/>
  <c r="AF27"/>
  <c r="AF35"/>
  <c r="AF37"/>
  <c r="AF49"/>
  <c r="AF53"/>
  <c r="AF61"/>
  <c r="AF89"/>
  <c r="AF97"/>
  <c r="AF105"/>
  <c r="AF113"/>
  <c r="AF117"/>
  <c r="AF125"/>
  <c r="AF170"/>
  <c r="AF12"/>
  <c r="AF22"/>
  <c r="AF30"/>
  <c r="AF40"/>
  <c r="AF54"/>
  <c r="AF62"/>
  <c r="AF90"/>
  <c r="AF98"/>
  <c r="AF118"/>
  <c r="AF126"/>
  <c r="AF172"/>
  <c r="AF178"/>
  <c r="AF7"/>
  <c r="AF15"/>
  <c r="AF25"/>
  <c r="AF33"/>
  <c r="AF42"/>
  <c r="AF50"/>
  <c r="AF69"/>
  <c r="AF77"/>
  <c r="AF106"/>
  <c r="AF114"/>
  <c r="AF133"/>
  <c r="AF141"/>
  <c r="AF152"/>
  <c r="AF299"/>
  <c r="AF47"/>
  <c r="AF57"/>
  <c r="AF65"/>
  <c r="AF75"/>
  <c r="AF83"/>
  <c r="AF85"/>
  <c r="AF93"/>
  <c r="AF103"/>
  <c r="AF111"/>
  <c r="AF121"/>
  <c r="AF129"/>
  <c r="AF139"/>
  <c r="AF147"/>
  <c r="AF149"/>
  <c r="AF171"/>
  <c r="AF179"/>
  <c r="AF184"/>
  <c r="AF250"/>
  <c r="AF45"/>
  <c r="AF55"/>
  <c r="AF63"/>
  <c r="AF73"/>
  <c r="AF81"/>
  <c r="AF91"/>
  <c r="AF99"/>
  <c r="AF101"/>
  <c r="AF109"/>
  <c r="AF119"/>
  <c r="AF127"/>
  <c r="AF137"/>
  <c r="AF145"/>
  <c r="AF197"/>
  <c r="AF200"/>
  <c r="AF205"/>
  <c r="AF208"/>
  <c r="AF298"/>
  <c r="AF48"/>
  <c r="AF58"/>
  <c r="AF66"/>
  <c r="AF76"/>
  <c r="AF86"/>
  <c r="AF94"/>
  <c r="AF104"/>
  <c r="AF112"/>
  <c r="AF122"/>
  <c r="AF130"/>
  <c r="AF140"/>
  <c r="AF160"/>
  <c r="AF166"/>
  <c r="AF174"/>
  <c r="AF215"/>
  <c r="AF220"/>
  <c r="AF223"/>
  <c r="AF46"/>
  <c r="AF56"/>
  <c r="AF64"/>
  <c r="AF74"/>
  <c r="AF82"/>
  <c r="AF92"/>
  <c r="AF102"/>
  <c r="AF110"/>
  <c r="AF120"/>
  <c r="AF128"/>
  <c r="AF138"/>
  <c r="AF146"/>
  <c r="AF154"/>
  <c r="AF162"/>
  <c r="AF181"/>
  <c r="AF190"/>
  <c r="AF233"/>
  <c r="AF258"/>
  <c r="AF351"/>
  <c r="AF159"/>
  <c r="AF169"/>
  <c r="AF177"/>
  <c r="AF192"/>
  <c r="AF195"/>
  <c r="AF202"/>
  <c r="AF210"/>
  <c r="AF217"/>
  <c r="AF157"/>
  <c r="AF167"/>
  <c r="AF175"/>
  <c r="AF185"/>
  <c r="AF218"/>
  <c r="AF227"/>
  <c r="AF291"/>
  <c r="AF310"/>
  <c r="AF155"/>
  <c r="AF163"/>
  <c r="AF165"/>
  <c r="AF173"/>
  <c r="AF183"/>
  <c r="AF188"/>
  <c r="AF234"/>
  <c r="AF240"/>
  <c r="AF241"/>
  <c r="AF249"/>
  <c r="AF257"/>
  <c r="AF150"/>
  <c r="AF158"/>
  <c r="AF168"/>
  <c r="AF176"/>
  <c r="AF186"/>
  <c r="AF199"/>
  <c r="AF207"/>
  <c r="AF242"/>
  <c r="AF283"/>
  <c r="AF284"/>
  <c r="AF193"/>
  <c r="AF203"/>
  <c r="AF211"/>
  <c r="AF213"/>
  <c r="AF221"/>
  <c r="AF224"/>
  <c r="AF229"/>
  <c r="AF251"/>
  <c r="AF259"/>
  <c r="AF332"/>
  <c r="AF198"/>
  <c r="AF206"/>
  <c r="AF216"/>
  <c r="AF252"/>
  <c r="AF270"/>
  <c r="AF271"/>
  <c r="AF331"/>
  <c r="AF201"/>
  <c r="AF209"/>
  <c r="AF219"/>
  <c r="AF239"/>
  <c r="AF263"/>
  <c r="AF194"/>
  <c r="AF204"/>
  <c r="AF214"/>
  <c r="AF222"/>
  <c r="AF231"/>
  <c r="AF262"/>
  <c r="AF237"/>
  <c r="AF247"/>
  <c r="AF255"/>
  <c r="AF225"/>
  <c r="AF235"/>
  <c r="AF243"/>
  <c r="AF245"/>
  <c r="AF253"/>
  <c r="AF265"/>
  <c r="AF273"/>
  <c r="AF280"/>
  <c r="AF288"/>
  <c r="AF293"/>
  <c r="AF301"/>
  <c r="AF307"/>
  <c r="AF230"/>
  <c r="AF238"/>
  <c r="AF248"/>
  <c r="AF256"/>
  <c r="AF266"/>
  <c r="AF274"/>
  <c r="AF281"/>
  <c r="AF289"/>
  <c r="AF294"/>
  <c r="AF302"/>
  <c r="AF320"/>
  <c r="AF349"/>
  <c r="AF396"/>
  <c r="AF226"/>
  <c r="AF236"/>
  <c r="AF246"/>
  <c r="AF254"/>
  <c r="AF313"/>
  <c r="AF315"/>
  <c r="AF354"/>
  <c r="AF363"/>
  <c r="AF268"/>
  <c r="AF278"/>
  <c r="AF286"/>
  <c r="AF296"/>
  <c r="AF304"/>
  <c r="AF314"/>
  <c r="AF325"/>
  <c r="AF333"/>
  <c r="AF364"/>
  <c r="AF261"/>
  <c r="AF269"/>
  <c r="AF279"/>
  <c r="AF287"/>
  <c r="AF297"/>
  <c r="AF305"/>
  <c r="AF321"/>
  <c r="AF370"/>
  <c r="AF401"/>
  <c r="AF264"/>
  <c r="AF272"/>
  <c r="AF282"/>
  <c r="AF290"/>
  <c r="AF300"/>
  <c r="AF312"/>
  <c r="AF322"/>
  <c r="AF330"/>
  <c r="AF341"/>
  <c r="AF353"/>
  <c r="AF267"/>
  <c r="AF275"/>
  <c r="AF277"/>
  <c r="AF285"/>
  <c r="AF295"/>
  <c r="AF303"/>
  <c r="AF318"/>
  <c r="AF323"/>
  <c r="AF328"/>
  <c r="AF336"/>
  <c r="AF338"/>
  <c r="AF378"/>
  <c r="AF306"/>
  <c r="AF316"/>
  <c r="AF326"/>
  <c r="AF334"/>
  <c r="AF348"/>
  <c r="AF361"/>
  <c r="AF390"/>
  <c r="AF311"/>
  <c r="AF319"/>
  <c r="AF329"/>
  <c r="AF339"/>
  <c r="AF342"/>
  <c r="AF309"/>
  <c r="AF317"/>
  <c r="AF327"/>
  <c r="AF335"/>
  <c r="AF343"/>
  <c r="AF350"/>
  <c r="AF358"/>
  <c r="AF346"/>
  <c r="AF369"/>
  <c r="AF383"/>
  <c r="AF403"/>
  <c r="AF344"/>
  <c r="AF360"/>
  <c r="AF381"/>
  <c r="AF337"/>
  <c r="AF347"/>
  <c r="AF366"/>
  <c r="AF380"/>
  <c r="AF345"/>
  <c r="AF385"/>
  <c r="AF391"/>
  <c r="AF359"/>
  <c r="AF367"/>
  <c r="AF393"/>
  <c r="AF398"/>
  <c r="AF352"/>
  <c r="AF362"/>
  <c r="AF386"/>
  <c r="AF355"/>
  <c r="AF357"/>
  <c r="AF365"/>
  <c r="AF399"/>
  <c r="AF373"/>
  <c r="AF375"/>
  <c r="AF377"/>
  <c r="AF395"/>
  <c r="AF368"/>
  <c r="AF374"/>
  <c r="AF382"/>
  <c r="AF394"/>
  <c r="AF402"/>
  <c r="AF371"/>
  <c r="AF379"/>
  <c r="AF387"/>
  <c r="AF389"/>
  <c r="AF397"/>
  <c r="AF376"/>
  <c r="AF384"/>
  <c r="AF392"/>
  <c r="AF400"/>
  <c r="AC30"/>
  <c r="AC51"/>
  <c r="AC12"/>
  <c r="AC70"/>
  <c r="AC10"/>
  <c r="AC241"/>
  <c r="AC15"/>
  <c r="AC22"/>
  <c r="AC40"/>
  <c r="AC69"/>
  <c r="AC122"/>
  <c r="AC50"/>
  <c r="AC66"/>
  <c r="AC130"/>
  <c r="AC114"/>
  <c r="AC115"/>
  <c r="AC9"/>
  <c r="AC28"/>
  <c r="AC42"/>
  <c r="AC133"/>
  <c r="AC134"/>
  <c r="AC43"/>
  <c r="AC106"/>
  <c r="AC58"/>
  <c r="AC107"/>
  <c r="AC151"/>
  <c r="AC181"/>
  <c r="AC183"/>
  <c r="AC17"/>
  <c r="AC37"/>
  <c r="AC77"/>
  <c r="AC78"/>
  <c r="AC141"/>
  <c r="AC142"/>
  <c r="AC7"/>
  <c r="AC25"/>
  <c r="AC33"/>
  <c r="AC94"/>
  <c r="AC189"/>
  <c r="AC18"/>
  <c r="AC27"/>
  <c r="AC35"/>
  <c r="AC38"/>
  <c r="AC86"/>
  <c r="AC231"/>
  <c r="AC5"/>
  <c r="AC13"/>
  <c r="AC23"/>
  <c r="AC31"/>
  <c r="AC41"/>
  <c r="AC59"/>
  <c r="AC67"/>
  <c r="AC71"/>
  <c r="AC79"/>
  <c r="AC87"/>
  <c r="AC95"/>
  <c r="AC123"/>
  <c r="AC131"/>
  <c r="AC135"/>
  <c r="AC143"/>
  <c r="AC160"/>
  <c r="AC161"/>
  <c r="AC297"/>
  <c r="AC8"/>
  <c r="AC16"/>
  <c r="AC26"/>
  <c r="AC34"/>
  <c r="AC48"/>
  <c r="AC60"/>
  <c r="AC88"/>
  <c r="AC96"/>
  <c r="AC104"/>
  <c r="AC112"/>
  <c r="AC124"/>
  <c r="AC153"/>
  <c r="AC165"/>
  <c r="AC169"/>
  <c r="AC11"/>
  <c r="AC19"/>
  <c r="AC21"/>
  <c r="AC29"/>
  <c r="AC39"/>
  <c r="AC173"/>
  <c r="AC177"/>
  <c r="AC188"/>
  <c r="AC6"/>
  <c r="AC14"/>
  <c r="AC24"/>
  <c r="AC32"/>
  <c r="AC49"/>
  <c r="AC53"/>
  <c r="AC61"/>
  <c r="AC76"/>
  <c r="AC89"/>
  <c r="AC97"/>
  <c r="AC105"/>
  <c r="AC113"/>
  <c r="AC117"/>
  <c r="AC125"/>
  <c r="AC140"/>
  <c r="AC150"/>
  <c r="AC190"/>
  <c r="AC46"/>
  <c r="AC56"/>
  <c r="AC64"/>
  <c r="AC74"/>
  <c r="AC82"/>
  <c r="AC92"/>
  <c r="AC102"/>
  <c r="AC110"/>
  <c r="AC120"/>
  <c r="AC128"/>
  <c r="AC138"/>
  <c r="AC146"/>
  <c r="AC155"/>
  <c r="AC163"/>
  <c r="AC170"/>
  <c r="AC178"/>
  <c r="AC191"/>
  <c r="AC249"/>
  <c r="AC44"/>
  <c r="AC54"/>
  <c r="AC62"/>
  <c r="AC72"/>
  <c r="AC80"/>
  <c r="AC90"/>
  <c r="AC98"/>
  <c r="AC108"/>
  <c r="AC118"/>
  <c r="AC126"/>
  <c r="AC136"/>
  <c r="AC144"/>
  <c r="AC152"/>
  <c r="AC171"/>
  <c r="AC179"/>
  <c r="AC201"/>
  <c r="AC209"/>
  <c r="AC282"/>
  <c r="AC47"/>
  <c r="AC57"/>
  <c r="AC65"/>
  <c r="AC75"/>
  <c r="AC83"/>
  <c r="AC85"/>
  <c r="AC93"/>
  <c r="AC103"/>
  <c r="AC111"/>
  <c r="AC121"/>
  <c r="AC129"/>
  <c r="AC139"/>
  <c r="AC147"/>
  <c r="AC149"/>
  <c r="AC159"/>
  <c r="AC226"/>
  <c r="AC261"/>
  <c r="AC348"/>
  <c r="AC45"/>
  <c r="AC55"/>
  <c r="AC63"/>
  <c r="AC73"/>
  <c r="AC81"/>
  <c r="AC91"/>
  <c r="AC99"/>
  <c r="AC101"/>
  <c r="AC109"/>
  <c r="AC119"/>
  <c r="AC127"/>
  <c r="AC137"/>
  <c r="AC145"/>
  <c r="AC187"/>
  <c r="AC214"/>
  <c r="AC217"/>
  <c r="AC222"/>
  <c r="AC257"/>
  <c r="AC158"/>
  <c r="AC168"/>
  <c r="AC176"/>
  <c r="AC186"/>
  <c r="AC199"/>
  <c r="AC207"/>
  <c r="AC216"/>
  <c r="AC280"/>
  <c r="AC156"/>
  <c r="AC166"/>
  <c r="AC174"/>
  <c r="AC184"/>
  <c r="AC288"/>
  <c r="AC290"/>
  <c r="AC305"/>
  <c r="AC309"/>
  <c r="AC154"/>
  <c r="AC162"/>
  <c r="AC172"/>
  <c r="AC182"/>
  <c r="AC204"/>
  <c r="AC219"/>
  <c r="AC232"/>
  <c r="AC301"/>
  <c r="AC157"/>
  <c r="AC167"/>
  <c r="AC175"/>
  <c r="AC185"/>
  <c r="AC194"/>
  <c r="AC198"/>
  <c r="AC206"/>
  <c r="AC233"/>
  <c r="AC239"/>
  <c r="AC240"/>
  <c r="AC248"/>
  <c r="AC256"/>
  <c r="AC192"/>
  <c r="AC202"/>
  <c r="AC210"/>
  <c r="AC220"/>
  <c r="AC250"/>
  <c r="AC258"/>
  <c r="AC293"/>
  <c r="AC312"/>
  <c r="AC195"/>
  <c r="AC197"/>
  <c r="AC205"/>
  <c r="AC215"/>
  <c r="AC223"/>
  <c r="AC269"/>
  <c r="AC332"/>
  <c r="AC200"/>
  <c r="AC208"/>
  <c r="AC218"/>
  <c r="AC238"/>
  <c r="AC251"/>
  <c r="AC259"/>
  <c r="AC273"/>
  <c r="AC330"/>
  <c r="AC331"/>
  <c r="AC193"/>
  <c r="AC203"/>
  <c r="AC211"/>
  <c r="AC213"/>
  <c r="AC221"/>
  <c r="AC230"/>
  <c r="AC265"/>
  <c r="AC307"/>
  <c r="AC322"/>
  <c r="AC236"/>
  <c r="AC246"/>
  <c r="AC254"/>
  <c r="AC270"/>
  <c r="AC283"/>
  <c r="AC291"/>
  <c r="AC298"/>
  <c r="AC224"/>
  <c r="AC234"/>
  <c r="AC242"/>
  <c r="AC252"/>
  <c r="AC262"/>
  <c r="AC264"/>
  <c r="AC272"/>
  <c r="AC279"/>
  <c r="AC287"/>
  <c r="AC300"/>
  <c r="AC227"/>
  <c r="AC229"/>
  <c r="AC237"/>
  <c r="AC247"/>
  <c r="AC255"/>
  <c r="AC306"/>
  <c r="AC314"/>
  <c r="AC350"/>
  <c r="AC225"/>
  <c r="AC235"/>
  <c r="AC243"/>
  <c r="AC245"/>
  <c r="AC253"/>
  <c r="AC317"/>
  <c r="AC267"/>
  <c r="AC275"/>
  <c r="AC277"/>
  <c r="AC285"/>
  <c r="AC295"/>
  <c r="AC303"/>
  <c r="AC313"/>
  <c r="AC319"/>
  <c r="AC367"/>
  <c r="AC268"/>
  <c r="AC278"/>
  <c r="AC286"/>
  <c r="AC296"/>
  <c r="AC304"/>
  <c r="AC320"/>
  <c r="AC345"/>
  <c r="AC263"/>
  <c r="AC271"/>
  <c r="AC281"/>
  <c r="AC289"/>
  <c r="AC299"/>
  <c r="AC311"/>
  <c r="AC321"/>
  <c r="AC329"/>
  <c r="AC382"/>
  <c r="AC395"/>
  <c r="AC266"/>
  <c r="AC274"/>
  <c r="AC284"/>
  <c r="AC294"/>
  <c r="AC302"/>
  <c r="AC353"/>
  <c r="AC384"/>
  <c r="AC327"/>
  <c r="AC335"/>
  <c r="AC337"/>
  <c r="AC343"/>
  <c r="AC352"/>
  <c r="AC362"/>
  <c r="AC387"/>
  <c r="AC315"/>
  <c r="AC323"/>
  <c r="AC325"/>
  <c r="AC333"/>
  <c r="AC347"/>
  <c r="AC310"/>
  <c r="AC318"/>
  <c r="AC328"/>
  <c r="AC336"/>
  <c r="AC338"/>
  <c r="AC341"/>
  <c r="AC316"/>
  <c r="AC326"/>
  <c r="AC334"/>
  <c r="AC339"/>
  <c r="AC342"/>
  <c r="AC349"/>
  <c r="AC365"/>
  <c r="AC368"/>
  <c r="AC357"/>
  <c r="AC351"/>
  <c r="AC355"/>
  <c r="AC359"/>
  <c r="AC363"/>
  <c r="AC373"/>
  <c r="AC390"/>
  <c r="AC346"/>
  <c r="AC369"/>
  <c r="AC386"/>
  <c r="AC389"/>
  <c r="AC400"/>
  <c r="AC344"/>
  <c r="AC360"/>
  <c r="AC402"/>
  <c r="AC358"/>
  <c r="AC366"/>
  <c r="AC376"/>
  <c r="AC378"/>
  <c r="AC397"/>
  <c r="AC361"/>
  <c r="AC374"/>
  <c r="AC392"/>
  <c r="AC354"/>
  <c r="AC364"/>
  <c r="AC371"/>
  <c r="AC379"/>
  <c r="AC381"/>
  <c r="AC403"/>
  <c r="AC394"/>
  <c r="AC398"/>
  <c r="AC375"/>
  <c r="AC383"/>
  <c r="AC393"/>
  <c r="AC401"/>
  <c r="AC370"/>
  <c r="AC380"/>
  <c r="AC396"/>
  <c r="AC377"/>
  <c r="AC385"/>
  <c r="AC391"/>
  <c r="AC399"/>
  <c r="AB55"/>
  <c r="AB45"/>
  <c r="AB109"/>
  <c r="AB86"/>
  <c r="AB122"/>
  <c r="AB277"/>
  <c r="AB27"/>
  <c r="AB58"/>
  <c r="AB56"/>
  <c r="AB65"/>
  <c r="AB12"/>
  <c r="AB57"/>
  <c r="AB66"/>
  <c r="AB101"/>
  <c r="AB121"/>
  <c r="AB40"/>
  <c r="AB119"/>
  <c r="AB120"/>
  <c r="AB35"/>
  <c r="AB129"/>
  <c r="AB130"/>
  <c r="AB9"/>
  <c r="AB63"/>
  <c r="AB64"/>
  <c r="AB187"/>
  <c r="AB14"/>
  <c r="AB127"/>
  <c r="AB128"/>
  <c r="AB6"/>
  <c r="AB15"/>
  <c r="AB22"/>
  <c r="AB24"/>
  <c r="AB30"/>
  <c r="AB32"/>
  <c r="AB76"/>
  <c r="AB140"/>
  <c r="AB17"/>
  <c r="AB37"/>
  <c r="AB93"/>
  <c r="AB99"/>
  <c r="AB254"/>
  <c r="AB7"/>
  <c r="AB8"/>
  <c r="AB25"/>
  <c r="AB33"/>
  <c r="AB85"/>
  <c r="AB91"/>
  <c r="AB92"/>
  <c r="AB94"/>
  <c r="AB149"/>
  <c r="AB10"/>
  <c r="AB18"/>
  <c r="AB28"/>
  <c r="AB38"/>
  <c r="AB46"/>
  <c r="AB47"/>
  <c r="AB102"/>
  <c r="AB103"/>
  <c r="AB110"/>
  <c r="AB111"/>
  <c r="AB157"/>
  <c r="AB216"/>
  <c r="AB5"/>
  <c r="AB13"/>
  <c r="AB23"/>
  <c r="AB31"/>
  <c r="AB41"/>
  <c r="AB73"/>
  <c r="AB81"/>
  <c r="AB137"/>
  <c r="AB145"/>
  <c r="AB156"/>
  <c r="AB168"/>
  <c r="AB16"/>
  <c r="AB26"/>
  <c r="AB34"/>
  <c r="AB48"/>
  <c r="AB74"/>
  <c r="AB75"/>
  <c r="AB82"/>
  <c r="AB83"/>
  <c r="AB104"/>
  <c r="AB112"/>
  <c r="AB138"/>
  <c r="AB139"/>
  <c r="AB146"/>
  <c r="AB147"/>
  <c r="AB170"/>
  <c r="AB176"/>
  <c r="AB11"/>
  <c r="AB19"/>
  <c r="AB21"/>
  <c r="AB29"/>
  <c r="AB39"/>
  <c r="AB178"/>
  <c r="AB193"/>
  <c r="AB43"/>
  <c r="AB51"/>
  <c r="AB53"/>
  <c r="AB61"/>
  <c r="AB71"/>
  <c r="AB79"/>
  <c r="AB89"/>
  <c r="AB97"/>
  <c r="AB107"/>
  <c r="AB115"/>
  <c r="AB117"/>
  <c r="AB125"/>
  <c r="AB135"/>
  <c r="AB143"/>
  <c r="AB150"/>
  <c r="AB248"/>
  <c r="AB49"/>
  <c r="AB59"/>
  <c r="AB67"/>
  <c r="AB69"/>
  <c r="AB77"/>
  <c r="AB87"/>
  <c r="AB95"/>
  <c r="AB105"/>
  <c r="AB113"/>
  <c r="AB123"/>
  <c r="AB131"/>
  <c r="AB133"/>
  <c r="AB141"/>
  <c r="AB158"/>
  <c r="AB184"/>
  <c r="AB185"/>
  <c r="AB246"/>
  <c r="AB302"/>
  <c r="AB44"/>
  <c r="AB54"/>
  <c r="AB62"/>
  <c r="AB72"/>
  <c r="AB80"/>
  <c r="AB90"/>
  <c r="AB98"/>
  <c r="AB108"/>
  <c r="AB118"/>
  <c r="AB126"/>
  <c r="AB136"/>
  <c r="AB144"/>
  <c r="AB152"/>
  <c r="AB186"/>
  <c r="AB194"/>
  <c r="AB198"/>
  <c r="AB206"/>
  <c r="AB344"/>
  <c r="AB42"/>
  <c r="AB50"/>
  <c r="AB60"/>
  <c r="AB70"/>
  <c r="AB78"/>
  <c r="AB88"/>
  <c r="AB96"/>
  <c r="AB106"/>
  <c r="AB114"/>
  <c r="AB124"/>
  <c r="AB134"/>
  <c r="AB142"/>
  <c r="AB160"/>
  <c r="AB166"/>
  <c r="AB167"/>
  <c r="AB174"/>
  <c r="AB175"/>
  <c r="AB188"/>
  <c r="AB256"/>
  <c r="AB305"/>
  <c r="AB155"/>
  <c r="AB163"/>
  <c r="AB165"/>
  <c r="AB173"/>
  <c r="AB183"/>
  <c r="AB214"/>
  <c r="AB222"/>
  <c r="AB226"/>
  <c r="AB230"/>
  <c r="AB153"/>
  <c r="AB161"/>
  <c r="AB171"/>
  <c r="AB179"/>
  <c r="AB181"/>
  <c r="AB191"/>
  <c r="AB201"/>
  <c r="AB203"/>
  <c r="AB209"/>
  <c r="AB211"/>
  <c r="AB319"/>
  <c r="AB326"/>
  <c r="AB151"/>
  <c r="AB159"/>
  <c r="AB169"/>
  <c r="AB177"/>
  <c r="AB227"/>
  <c r="AB285"/>
  <c r="AB294"/>
  <c r="AB297"/>
  <c r="AB154"/>
  <c r="AB162"/>
  <c r="AB172"/>
  <c r="AB182"/>
  <c r="AB204"/>
  <c r="AB213"/>
  <c r="AB219"/>
  <c r="AB221"/>
  <c r="AB247"/>
  <c r="AB255"/>
  <c r="AB189"/>
  <c r="AB199"/>
  <c r="AB207"/>
  <c r="AB217"/>
  <c r="AB235"/>
  <c r="AB243"/>
  <c r="AB298"/>
  <c r="AB192"/>
  <c r="AB202"/>
  <c r="AB210"/>
  <c r="AB220"/>
  <c r="AB236"/>
  <c r="AB237"/>
  <c r="AB274"/>
  <c r="AB195"/>
  <c r="AB197"/>
  <c r="AB205"/>
  <c r="AB215"/>
  <c r="AB223"/>
  <c r="AB229"/>
  <c r="AB266"/>
  <c r="AB269"/>
  <c r="AB317"/>
  <c r="AB338"/>
  <c r="AB342"/>
  <c r="AB190"/>
  <c r="AB200"/>
  <c r="AB208"/>
  <c r="AB218"/>
  <c r="AB225"/>
  <c r="AB238"/>
  <c r="AB245"/>
  <c r="AB253"/>
  <c r="AB270"/>
  <c r="AB233"/>
  <c r="AB241"/>
  <c r="AB251"/>
  <c r="AB259"/>
  <c r="AB261"/>
  <c r="AB284"/>
  <c r="AB334"/>
  <c r="AB231"/>
  <c r="AB239"/>
  <c r="AB249"/>
  <c r="AB257"/>
  <c r="AB318"/>
  <c r="AB389"/>
  <c r="AB224"/>
  <c r="AB234"/>
  <c r="AB242"/>
  <c r="AB252"/>
  <c r="AB262"/>
  <c r="AB279"/>
  <c r="AB287"/>
  <c r="AB337"/>
  <c r="AB232"/>
  <c r="AB240"/>
  <c r="AB250"/>
  <c r="AB258"/>
  <c r="AB267"/>
  <c r="AB275"/>
  <c r="AB280"/>
  <c r="AB288"/>
  <c r="AB295"/>
  <c r="AB303"/>
  <c r="AB346"/>
  <c r="AB264"/>
  <c r="AB272"/>
  <c r="AB282"/>
  <c r="AB290"/>
  <c r="AB300"/>
  <c r="AB306"/>
  <c r="AB265"/>
  <c r="AB273"/>
  <c r="AB283"/>
  <c r="AB291"/>
  <c r="AB293"/>
  <c r="AB301"/>
  <c r="AB307"/>
  <c r="AB309"/>
  <c r="AB310"/>
  <c r="AB314"/>
  <c r="AB327"/>
  <c r="AB328"/>
  <c r="AB335"/>
  <c r="AB336"/>
  <c r="AB352"/>
  <c r="AB268"/>
  <c r="AB278"/>
  <c r="AB286"/>
  <c r="AB296"/>
  <c r="AB304"/>
  <c r="AB316"/>
  <c r="AB345"/>
  <c r="AB263"/>
  <c r="AB271"/>
  <c r="AB281"/>
  <c r="AB289"/>
  <c r="AB299"/>
  <c r="AB311"/>
  <c r="AB329"/>
  <c r="AB322"/>
  <c r="AB332"/>
  <c r="AB360"/>
  <c r="AB391"/>
  <c r="AB400"/>
  <c r="AB312"/>
  <c r="AB320"/>
  <c r="AB330"/>
  <c r="AB357"/>
  <c r="AB377"/>
  <c r="AB384"/>
  <c r="AB315"/>
  <c r="AB323"/>
  <c r="AB325"/>
  <c r="AB333"/>
  <c r="AB347"/>
  <c r="AB313"/>
  <c r="AB321"/>
  <c r="AB331"/>
  <c r="AB367"/>
  <c r="AB395"/>
  <c r="AB350"/>
  <c r="AB354"/>
  <c r="AB362"/>
  <c r="AB394"/>
  <c r="AB348"/>
  <c r="AB364"/>
  <c r="AB368"/>
  <c r="AB382"/>
  <c r="AB387"/>
  <c r="AB343"/>
  <c r="AB351"/>
  <c r="AB355"/>
  <c r="AB359"/>
  <c r="AB373"/>
  <c r="AB339"/>
  <c r="AB341"/>
  <c r="AB349"/>
  <c r="AB353"/>
  <c r="AB365"/>
  <c r="AB363"/>
  <c r="AB369"/>
  <c r="AB370"/>
  <c r="AB385"/>
  <c r="AB402"/>
  <c r="AB358"/>
  <c r="AB366"/>
  <c r="AB376"/>
  <c r="AB397"/>
  <c r="AB361"/>
  <c r="AB374"/>
  <c r="AB392"/>
  <c r="AB371"/>
  <c r="AB379"/>
  <c r="AB381"/>
  <c r="AB399"/>
  <c r="AB403"/>
  <c r="AB378"/>
  <c r="AB386"/>
  <c r="AB390"/>
  <c r="AB398"/>
  <c r="AB375"/>
  <c r="AB383"/>
  <c r="AB393"/>
  <c r="AB401"/>
  <c r="AB380"/>
  <c r="AB396"/>
  <c r="AA107"/>
  <c r="AA14"/>
  <c r="AA206"/>
  <c r="AA119"/>
  <c r="AA90"/>
  <c r="AA126"/>
  <c r="AA40"/>
  <c r="AA29"/>
  <c r="AA125"/>
  <c r="AA192"/>
  <c r="AA21"/>
  <c r="AA115"/>
  <c r="AA127"/>
  <c r="AA61"/>
  <c r="AA91"/>
  <c r="AA118"/>
  <c r="AA50"/>
  <c r="AA12"/>
  <c r="AA51"/>
  <c r="AA54"/>
  <c r="AA55"/>
  <c r="AA89"/>
  <c r="AA97"/>
  <c r="AA114"/>
  <c r="AA27"/>
  <c r="AA44"/>
  <c r="AA70"/>
  <c r="AA35"/>
  <c r="AA42"/>
  <c r="AA108"/>
  <c r="AA134"/>
  <c r="AA9"/>
  <c r="AA43"/>
  <c r="AA62"/>
  <c r="AA63"/>
  <c r="AA106"/>
  <c r="AA5"/>
  <c r="AA53"/>
  <c r="AA117"/>
  <c r="AA152"/>
  <c r="AA6"/>
  <c r="AA22"/>
  <c r="AA24"/>
  <c r="AA30"/>
  <c r="AA32"/>
  <c r="AA78"/>
  <c r="AA142"/>
  <c r="AA17"/>
  <c r="AA37"/>
  <c r="AA11"/>
  <c r="AA19"/>
  <c r="AA39"/>
  <c r="AA98"/>
  <c r="AA99"/>
  <c r="AA7"/>
  <c r="AA15"/>
  <c r="AA25"/>
  <c r="AA33"/>
  <c r="AA45"/>
  <c r="AA101"/>
  <c r="AA109"/>
  <c r="AA162"/>
  <c r="AA191"/>
  <c r="AA325"/>
  <c r="AA10"/>
  <c r="AA18"/>
  <c r="AA28"/>
  <c r="AA38"/>
  <c r="AA71"/>
  <c r="AA72"/>
  <c r="AA79"/>
  <c r="AA80"/>
  <c r="AA135"/>
  <c r="AA136"/>
  <c r="AA143"/>
  <c r="AA144"/>
  <c r="AA154"/>
  <c r="AA161"/>
  <c r="AA163"/>
  <c r="AA198"/>
  <c r="AA290"/>
  <c r="AA13"/>
  <c r="AA23"/>
  <c r="AA31"/>
  <c r="AA41"/>
  <c r="AA60"/>
  <c r="AA73"/>
  <c r="AA81"/>
  <c r="AA88"/>
  <c r="AA96"/>
  <c r="AA124"/>
  <c r="AA137"/>
  <c r="AA145"/>
  <c r="AA153"/>
  <c r="AA155"/>
  <c r="AA167"/>
  <c r="AA284"/>
  <c r="AA8"/>
  <c r="AA16"/>
  <c r="AA26"/>
  <c r="AA34"/>
  <c r="AA175"/>
  <c r="AA213"/>
  <c r="AA221"/>
  <c r="AA240"/>
  <c r="AA48"/>
  <c r="AA58"/>
  <c r="AA66"/>
  <c r="AA76"/>
  <c r="AA86"/>
  <c r="AA94"/>
  <c r="AA104"/>
  <c r="AA112"/>
  <c r="AA122"/>
  <c r="AA130"/>
  <c r="AA140"/>
  <c r="AA181"/>
  <c r="AA182"/>
  <c r="AA253"/>
  <c r="AA46"/>
  <c r="AA56"/>
  <c r="AA64"/>
  <c r="AA74"/>
  <c r="AA82"/>
  <c r="AA92"/>
  <c r="AA102"/>
  <c r="AA110"/>
  <c r="AA120"/>
  <c r="AA128"/>
  <c r="AA138"/>
  <c r="AA146"/>
  <c r="AA157"/>
  <c r="AA183"/>
  <c r="AA230"/>
  <c r="AA49"/>
  <c r="AA59"/>
  <c r="AA67"/>
  <c r="AA69"/>
  <c r="AA77"/>
  <c r="AA87"/>
  <c r="AA95"/>
  <c r="AA105"/>
  <c r="AA113"/>
  <c r="AA123"/>
  <c r="AA131"/>
  <c r="AA133"/>
  <c r="AA141"/>
  <c r="AA171"/>
  <c r="AA172"/>
  <c r="AA179"/>
  <c r="AA185"/>
  <c r="AA201"/>
  <c r="AA203"/>
  <c r="AA209"/>
  <c r="AA211"/>
  <c r="AA245"/>
  <c r="AA282"/>
  <c r="AA47"/>
  <c r="AA57"/>
  <c r="AA65"/>
  <c r="AA75"/>
  <c r="AA83"/>
  <c r="AA85"/>
  <c r="AA93"/>
  <c r="AA103"/>
  <c r="AA111"/>
  <c r="AA121"/>
  <c r="AA129"/>
  <c r="AA139"/>
  <c r="AA147"/>
  <c r="AA149"/>
  <c r="AA165"/>
  <c r="AA173"/>
  <c r="AA218"/>
  <c r="AA219"/>
  <c r="AA160"/>
  <c r="AA170"/>
  <c r="AA178"/>
  <c r="AA188"/>
  <c r="AA200"/>
  <c r="AA208"/>
  <c r="AA150"/>
  <c r="AA158"/>
  <c r="AA168"/>
  <c r="AA176"/>
  <c r="AA186"/>
  <c r="AA189"/>
  <c r="AA216"/>
  <c r="AA225"/>
  <c r="AA313"/>
  <c r="AA156"/>
  <c r="AA166"/>
  <c r="AA174"/>
  <c r="AA184"/>
  <c r="AA190"/>
  <c r="AA193"/>
  <c r="AA299"/>
  <c r="AA303"/>
  <c r="AA151"/>
  <c r="AA159"/>
  <c r="AA169"/>
  <c r="AA177"/>
  <c r="AA232"/>
  <c r="AA194"/>
  <c r="AA204"/>
  <c r="AA214"/>
  <c r="AA222"/>
  <c r="AA233"/>
  <c r="AA234"/>
  <c r="AA241"/>
  <c r="AA242"/>
  <c r="AA261"/>
  <c r="AA295"/>
  <c r="AA306"/>
  <c r="AA199"/>
  <c r="AA207"/>
  <c r="AA217"/>
  <c r="AA235"/>
  <c r="AA243"/>
  <c r="AA250"/>
  <c r="AA258"/>
  <c r="AA349"/>
  <c r="AA355"/>
  <c r="AA379"/>
  <c r="AA202"/>
  <c r="AA210"/>
  <c r="AA220"/>
  <c r="AA271"/>
  <c r="AA275"/>
  <c r="AA311"/>
  <c r="AA323"/>
  <c r="AA187"/>
  <c r="AA195"/>
  <c r="AA197"/>
  <c r="AA205"/>
  <c r="AA215"/>
  <c r="AA223"/>
  <c r="AA224"/>
  <c r="AA251"/>
  <c r="AA252"/>
  <c r="AA259"/>
  <c r="AA263"/>
  <c r="AA267"/>
  <c r="AA238"/>
  <c r="AA248"/>
  <c r="AA256"/>
  <c r="AA319"/>
  <c r="AA332"/>
  <c r="AA333"/>
  <c r="AA226"/>
  <c r="AA236"/>
  <c r="AA246"/>
  <c r="AA254"/>
  <c r="AA277"/>
  <c r="AA285"/>
  <c r="AA342"/>
  <c r="AA231"/>
  <c r="AA239"/>
  <c r="AA249"/>
  <c r="AA257"/>
  <c r="AA264"/>
  <c r="AA272"/>
  <c r="AA300"/>
  <c r="AA339"/>
  <c r="AA227"/>
  <c r="AA229"/>
  <c r="AA237"/>
  <c r="AA247"/>
  <c r="AA255"/>
  <c r="AA266"/>
  <c r="AA274"/>
  <c r="AA281"/>
  <c r="AA289"/>
  <c r="AA294"/>
  <c r="AA302"/>
  <c r="AA322"/>
  <c r="AA343"/>
  <c r="AA269"/>
  <c r="AA279"/>
  <c r="AA287"/>
  <c r="AA297"/>
  <c r="AA305"/>
  <c r="AA331"/>
  <c r="AA262"/>
  <c r="AA270"/>
  <c r="AA280"/>
  <c r="AA288"/>
  <c r="AA298"/>
  <c r="AA326"/>
  <c r="AA334"/>
  <c r="AA394"/>
  <c r="AA265"/>
  <c r="AA273"/>
  <c r="AA283"/>
  <c r="AA291"/>
  <c r="AA293"/>
  <c r="AA301"/>
  <c r="AA314"/>
  <c r="AA315"/>
  <c r="AA268"/>
  <c r="AA278"/>
  <c r="AA286"/>
  <c r="AA296"/>
  <c r="AA304"/>
  <c r="AA316"/>
  <c r="AA321"/>
  <c r="AA341"/>
  <c r="AA362"/>
  <c r="AA365"/>
  <c r="AA329"/>
  <c r="AA350"/>
  <c r="AA351"/>
  <c r="AA307"/>
  <c r="AA309"/>
  <c r="AA317"/>
  <c r="AA327"/>
  <c r="AA335"/>
  <c r="AA337"/>
  <c r="AA354"/>
  <c r="AA399"/>
  <c r="AA312"/>
  <c r="AA320"/>
  <c r="AA330"/>
  <c r="AA359"/>
  <c r="AA361"/>
  <c r="AA310"/>
  <c r="AA318"/>
  <c r="AA328"/>
  <c r="AA336"/>
  <c r="AA344"/>
  <c r="AA347"/>
  <c r="AA352"/>
  <c r="AA367"/>
  <c r="AA384"/>
  <c r="AA345"/>
  <c r="AA357"/>
  <c r="AA377"/>
  <c r="AA338"/>
  <c r="AA348"/>
  <c r="AA364"/>
  <c r="AA368"/>
  <c r="AA371"/>
  <c r="AA382"/>
  <c r="AA396"/>
  <c r="AA346"/>
  <c r="AA380"/>
  <c r="AA389"/>
  <c r="AA400"/>
  <c r="AA360"/>
  <c r="AA387"/>
  <c r="AA391"/>
  <c r="AA353"/>
  <c r="AA363"/>
  <c r="AA370"/>
  <c r="AA385"/>
  <c r="AA402"/>
  <c r="AA358"/>
  <c r="AA366"/>
  <c r="AA376"/>
  <c r="AA397"/>
  <c r="AA374"/>
  <c r="AA392"/>
  <c r="AA369"/>
  <c r="AA373"/>
  <c r="AA381"/>
  <c r="AA395"/>
  <c r="AA403"/>
  <c r="AA378"/>
  <c r="AA386"/>
  <c r="AA390"/>
  <c r="AA398"/>
  <c r="AA375"/>
  <c r="AA383"/>
  <c r="AA393"/>
  <c r="AA401"/>
  <c r="AG21"/>
  <c r="AG301"/>
  <c r="AG157"/>
  <c r="AG72"/>
  <c r="AG111"/>
  <c r="AG23"/>
  <c r="AG32"/>
  <c r="AG24"/>
  <c r="AG47"/>
  <c r="AG218"/>
  <c r="AG5"/>
  <c r="AG29"/>
  <c r="AG31"/>
  <c r="AG163"/>
  <c r="AG184"/>
  <c r="AG6"/>
  <c r="AG73"/>
  <c r="AG74"/>
  <c r="AG136"/>
  <c r="AG156"/>
  <c r="AG7"/>
  <c r="AG14"/>
  <c r="AG16"/>
  <c r="AG103"/>
  <c r="AG137"/>
  <c r="AG138"/>
  <c r="AG183"/>
  <c r="AG8"/>
  <c r="AG26"/>
  <c r="AG34"/>
  <c r="AG80"/>
  <c r="AG144"/>
  <c r="AG202"/>
  <c r="AG208"/>
  <c r="AG11"/>
  <c r="AG19"/>
  <c r="AG39"/>
  <c r="AG81"/>
  <c r="AG82"/>
  <c r="AG145"/>
  <c r="AG146"/>
  <c r="AG234"/>
  <c r="AG13"/>
  <c r="AG41"/>
  <c r="AG151"/>
  <c r="AG44"/>
  <c r="AG45"/>
  <c r="AG46"/>
  <c r="AG101"/>
  <c r="AG102"/>
  <c r="AG108"/>
  <c r="AG109"/>
  <c r="AG110"/>
  <c r="AG200"/>
  <c r="AG333"/>
  <c r="AG9"/>
  <c r="AG17"/>
  <c r="AG27"/>
  <c r="AG35"/>
  <c r="AG37"/>
  <c r="AG75"/>
  <c r="AG83"/>
  <c r="AG139"/>
  <c r="AG147"/>
  <c r="AG155"/>
  <c r="AG159"/>
  <c r="AG12"/>
  <c r="AG22"/>
  <c r="AG30"/>
  <c r="AG40"/>
  <c r="AG54"/>
  <c r="AG62"/>
  <c r="AG90"/>
  <c r="AG98"/>
  <c r="AG118"/>
  <c r="AG126"/>
  <c r="AG15"/>
  <c r="AG25"/>
  <c r="AG33"/>
  <c r="AG55"/>
  <c r="AG56"/>
  <c r="AG63"/>
  <c r="AG64"/>
  <c r="AG91"/>
  <c r="AG92"/>
  <c r="AG99"/>
  <c r="AG119"/>
  <c r="AG120"/>
  <c r="AG127"/>
  <c r="AG128"/>
  <c r="AG193"/>
  <c r="AG10"/>
  <c r="AG18"/>
  <c r="AG28"/>
  <c r="AG38"/>
  <c r="AG57"/>
  <c r="AG65"/>
  <c r="AG85"/>
  <c r="AG93"/>
  <c r="AG121"/>
  <c r="AG129"/>
  <c r="AG149"/>
  <c r="AG210"/>
  <c r="AG224"/>
  <c r="AG42"/>
  <c r="AG50"/>
  <c r="AG60"/>
  <c r="AG70"/>
  <c r="AG78"/>
  <c r="AG88"/>
  <c r="AG96"/>
  <c r="AG106"/>
  <c r="AG114"/>
  <c r="AG124"/>
  <c r="AG134"/>
  <c r="AG142"/>
  <c r="AG185"/>
  <c r="AG195"/>
  <c r="AG313"/>
  <c r="AG48"/>
  <c r="AG58"/>
  <c r="AG66"/>
  <c r="AG76"/>
  <c r="AG86"/>
  <c r="AG94"/>
  <c r="AG104"/>
  <c r="AG112"/>
  <c r="AG122"/>
  <c r="AG130"/>
  <c r="AG140"/>
  <c r="AG165"/>
  <c r="AG166"/>
  <c r="AG173"/>
  <c r="AG174"/>
  <c r="AG192"/>
  <c r="AG203"/>
  <c r="AG211"/>
  <c r="AG279"/>
  <c r="AG43"/>
  <c r="AG51"/>
  <c r="AG53"/>
  <c r="AG61"/>
  <c r="AG71"/>
  <c r="AG79"/>
  <c r="AG89"/>
  <c r="AG97"/>
  <c r="AG107"/>
  <c r="AG115"/>
  <c r="AG117"/>
  <c r="AG125"/>
  <c r="AG135"/>
  <c r="AG143"/>
  <c r="AG167"/>
  <c r="AG175"/>
  <c r="AG49"/>
  <c r="AG59"/>
  <c r="AG67"/>
  <c r="AG69"/>
  <c r="AG77"/>
  <c r="AG87"/>
  <c r="AG95"/>
  <c r="AG105"/>
  <c r="AG113"/>
  <c r="AG123"/>
  <c r="AG131"/>
  <c r="AG133"/>
  <c r="AG141"/>
  <c r="AG169"/>
  <c r="AG177"/>
  <c r="AG316"/>
  <c r="AG154"/>
  <c r="AG162"/>
  <c r="AG172"/>
  <c r="AG182"/>
  <c r="AG190"/>
  <c r="AG152"/>
  <c r="AG160"/>
  <c r="AG170"/>
  <c r="AG178"/>
  <c r="AG187"/>
  <c r="AG194"/>
  <c r="AG197"/>
  <c r="AG205"/>
  <c r="AG220"/>
  <c r="AG261"/>
  <c r="AG286"/>
  <c r="AG287"/>
  <c r="AG150"/>
  <c r="AG158"/>
  <c r="AG168"/>
  <c r="AG176"/>
  <c r="AG186"/>
  <c r="AG213"/>
  <c r="AG221"/>
  <c r="AG229"/>
  <c r="AG235"/>
  <c r="AG236"/>
  <c r="AG242"/>
  <c r="AG284"/>
  <c r="AG293"/>
  <c r="AG336"/>
  <c r="AG153"/>
  <c r="AG161"/>
  <c r="AG171"/>
  <c r="AG179"/>
  <c r="AG181"/>
  <c r="AG215"/>
  <c r="AG223"/>
  <c r="AG237"/>
  <c r="AG243"/>
  <c r="AG188"/>
  <c r="AG198"/>
  <c r="AG206"/>
  <c r="AG216"/>
  <c r="AG252"/>
  <c r="AG191"/>
  <c r="AG201"/>
  <c r="AG209"/>
  <c r="AG219"/>
  <c r="AG225"/>
  <c r="AG245"/>
  <c r="AG246"/>
  <c r="AG253"/>
  <c r="AG254"/>
  <c r="AG273"/>
  <c r="AG204"/>
  <c r="AG214"/>
  <c r="AG222"/>
  <c r="AG226"/>
  <c r="AG247"/>
  <c r="AG255"/>
  <c r="AG265"/>
  <c r="AG307"/>
  <c r="AG328"/>
  <c r="AG189"/>
  <c r="AG199"/>
  <c r="AG207"/>
  <c r="AG217"/>
  <c r="AG227"/>
  <c r="AG278"/>
  <c r="AG383"/>
  <c r="AG232"/>
  <c r="AG240"/>
  <c r="AG250"/>
  <c r="AG258"/>
  <c r="AG230"/>
  <c r="AG238"/>
  <c r="AG248"/>
  <c r="AG256"/>
  <c r="AG266"/>
  <c r="AG274"/>
  <c r="AG294"/>
  <c r="AG302"/>
  <c r="AG309"/>
  <c r="AG337"/>
  <c r="AG233"/>
  <c r="AG241"/>
  <c r="AG251"/>
  <c r="AG259"/>
  <c r="AG268"/>
  <c r="AG296"/>
  <c r="AG304"/>
  <c r="AG231"/>
  <c r="AG239"/>
  <c r="AG249"/>
  <c r="AG257"/>
  <c r="AG269"/>
  <c r="AG283"/>
  <c r="AG291"/>
  <c r="AG297"/>
  <c r="AG305"/>
  <c r="AG325"/>
  <c r="AG393"/>
  <c r="AG263"/>
  <c r="AG271"/>
  <c r="AG281"/>
  <c r="AG289"/>
  <c r="AG299"/>
  <c r="AG310"/>
  <c r="AG315"/>
  <c r="AG326"/>
  <c r="AG327"/>
  <c r="AG334"/>
  <c r="AG335"/>
  <c r="AG346"/>
  <c r="AG264"/>
  <c r="AG272"/>
  <c r="AG282"/>
  <c r="AG290"/>
  <c r="AG300"/>
  <c r="AG317"/>
  <c r="AG267"/>
  <c r="AG275"/>
  <c r="AG277"/>
  <c r="AG285"/>
  <c r="AG295"/>
  <c r="AG303"/>
  <c r="AG318"/>
  <c r="AG323"/>
  <c r="AG343"/>
  <c r="AG358"/>
  <c r="AG262"/>
  <c r="AG270"/>
  <c r="AG280"/>
  <c r="AG288"/>
  <c r="AG298"/>
  <c r="AG306"/>
  <c r="AG391"/>
  <c r="AG321"/>
  <c r="AG331"/>
  <c r="AG341"/>
  <c r="AG354"/>
  <c r="AG385"/>
  <c r="AG311"/>
  <c r="AG319"/>
  <c r="AG329"/>
  <c r="AG339"/>
  <c r="AG344"/>
  <c r="AG359"/>
  <c r="AG314"/>
  <c r="AG322"/>
  <c r="AG332"/>
  <c r="AG345"/>
  <c r="AG363"/>
  <c r="AG402"/>
  <c r="AG312"/>
  <c r="AG320"/>
  <c r="AG330"/>
  <c r="AG351"/>
  <c r="AG349"/>
  <c r="AG353"/>
  <c r="AG364"/>
  <c r="AG370"/>
  <c r="AG382"/>
  <c r="AG396"/>
  <c r="AG347"/>
  <c r="AG366"/>
  <c r="AG380"/>
  <c r="AG398"/>
  <c r="AG342"/>
  <c r="AG350"/>
  <c r="AG352"/>
  <c r="AG361"/>
  <c r="AG338"/>
  <c r="AG348"/>
  <c r="AG367"/>
  <c r="AG378"/>
  <c r="AG362"/>
  <c r="AG374"/>
  <c r="AG386"/>
  <c r="AG355"/>
  <c r="AG357"/>
  <c r="AG365"/>
  <c r="AG399"/>
  <c r="AG360"/>
  <c r="AG368"/>
  <c r="AG375"/>
  <c r="AG377"/>
  <c r="AG394"/>
  <c r="AG369"/>
  <c r="AG390"/>
  <c r="AG401"/>
  <c r="AG371"/>
  <c r="AG379"/>
  <c r="AG387"/>
  <c r="AG389"/>
  <c r="AG397"/>
  <c r="AG376"/>
  <c r="AG384"/>
  <c r="AG392"/>
  <c r="AG400"/>
  <c r="AG373"/>
  <c r="AG381"/>
  <c r="AG395"/>
  <c r="AG403"/>
  <c r="AR255"/>
  <c r="AR14"/>
  <c r="AR198"/>
  <c r="AR85"/>
  <c r="AR6"/>
  <c r="AR94"/>
  <c r="AR149"/>
  <c r="AR247"/>
  <c r="AR140"/>
  <c r="AR93"/>
  <c r="AR156"/>
  <c r="AR35"/>
  <c r="AR27"/>
  <c r="AR76"/>
  <c r="AR152"/>
  <c r="AR12"/>
  <c r="AR274"/>
  <c r="AR40"/>
  <c r="AR92"/>
  <c r="AR99"/>
  <c r="AR91"/>
  <c r="AR15"/>
  <c r="AR22"/>
  <c r="AR24"/>
  <c r="AR30"/>
  <c r="AR32"/>
  <c r="AR65"/>
  <c r="AR86"/>
  <c r="AR129"/>
  <c r="AR168"/>
  <c r="AR7"/>
  <c r="AR8"/>
  <c r="AR17"/>
  <c r="AR37"/>
  <c r="AR45"/>
  <c r="AR57"/>
  <c r="AR63"/>
  <c r="AR64"/>
  <c r="AR66"/>
  <c r="AR101"/>
  <c r="AR109"/>
  <c r="AR121"/>
  <c r="AR127"/>
  <c r="AR128"/>
  <c r="AR130"/>
  <c r="AR170"/>
  <c r="AR55"/>
  <c r="AR56"/>
  <c r="AR58"/>
  <c r="AR119"/>
  <c r="AR120"/>
  <c r="AR122"/>
  <c r="AR178"/>
  <c r="AR206"/>
  <c r="AR269"/>
  <c r="AR9"/>
  <c r="AR25"/>
  <c r="AR33"/>
  <c r="AR150"/>
  <c r="AR157"/>
  <c r="AR176"/>
  <c r="AR187"/>
  <c r="AR298"/>
  <c r="AR10"/>
  <c r="AR18"/>
  <c r="AR28"/>
  <c r="AR38"/>
  <c r="AR46"/>
  <c r="AR47"/>
  <c r="AR102"/>
  <c r="AR103"/>
  <c r="AR110"/>
  <c r="AR111"/>
  <c r="AR188"/>
  <c r="AR5"/>
  <c r="AR13"/>
  <c r="AR23"/>
  <c r="AR31"/>
  <c r="AR41"/>
  <c r="AR73"/>
  <c r="AR81"/>
  <c r="AR137"/>
  <c r="AR145"/>
  <c r="AR227"/>
  <c r="AR16"/>
  <c r="AR26"/>
  <c r="AR34"/>
  <c r="AR48"/>
  <c r="AR74"/>
  <c r="AR75"/>
  <c r="AR82"/>
  <c r="AR83"/>
  <c r="AR104"/>
  <c r="AR112"/>
  <c r="AR138"/>
  <c r="AR139"/>
  <c r="AR146"/>
  <c r="AR147"/>
  <c r="AR270"/>
  <c r="AR11"/>
  <c r="AR19"/>
  <c r="AR21"/>
  <c r="AR29"/>
  <c r="AR39"/>
  <c r="AR43"/>
  <c r="AR51"/>
  <c r="AR53"/>
  <c r="AR61"/>
  <c r="AR71"/>
  <c r="AR79"/>
  <c r="AR89"/>
  <c r="AR97"/>
  <c r="AR107"/>
  <c r="AR115"/>
  <c r="AR117"/>
  <c r="AR125"/>
  <c r="AR135"/>
  <c r="AR143"/>
  <c r="AR216"/>
  <c r="AR49"/>
  <c r="AR59"/>
  <c r="AR67"/>
  <c r="AR69"/>
  <c r="AR77"/>
  <c r="AR87"/>
  <c r="AR95"/>
  <c r="AR105"/>
  <c r="AR113"/>
  <c r="AR123"/>
  <c r="AR131"/>
  <c r="AR133"/>
  <c r="AR141"/>
  <c r="AR158"/>
  <c r="AR184"/>
  <c r="AR185"/>
  <c r="AR193"/>
  <c r="AR44"/>
  <c r="AR54"/>
  <c r="AR62"/>
  <c r="AR72"/>
  <c r="AR80"/>
  <c r="AR90"/>
  <c r="AR98"/>
  <c r="AR108"/>
  <c r="AR118"/>
  <c r="AR126"/>
  <c r="AR136"/>
  <c r="AR144"/>
  <c r="AR186"/>
  <c r="AR42"/>
  <c r="AR50"/>
  <c r="AR60"/>
  <c r="AR70"/>
  <c r="AR78"/>
  <c r="AR88"/>
  <c r="AR96"/>
  <c r="AR106"/>
  <c r="AR114"/>
  <c r="AR124"/>
  <c r="AR134"/>
  <c r="AR142"/>
  <c r="AR160"/>
  <c r="AR166"/>
  <c r="AR167"/>
  <c r="AR174"/>
  <c r="AR175"/>
  <c r="AR155"/>
  <c r="AR163"/>
  <c r="AR165"/>
  <c r="AR173"/>
  <c r="AR183"/>
  <c r="AR191"/>
  <c r="AR214"/>
  <c r="AR222"/>
  <c r="AR309"/>
  <c r="AR153"/>
  <c r="AR161"/>
  <c r="AR171"/>
  <c r="AR179"/>
  <c r="AR181"/>
  <c r="AR201"/>
  <c r="AR203"/>
  <c r="AR209"/>
  <c r="AR211"/>
  <c r="AR226"/>
  <c r="AR246"/>
  <c r="AR248"/>
  <c r="AR254"/>
  <c r="AR256"/>
  <c r="AR266"/>
  <c r="AR151"/>
  <c r="AR159"/>
  <c r="AR169"/>
  <c r="AR177"/>
  <c r="AR194"/>
  <c r="AR334"/>
  <c r="AR154"/>
  <c r="AR162"/>
  <c r="AR172"/>
  <c r="AR182"/>
  <c r="AR204"/>
  <c r="AR213"/>
  <c r="AR219"/>
  <c r="AR221"/>
  <c r="AR189"/>
  <c r="AR199"/>
  <c r="AR207"/>
  <c r="AR217"/>
  <c r="AR229"/>
  <c r="AR235"/>
  <c r="AR243"/>
  <c r="AR262"/>
  <c r="AR277"/>
  <c r="AR307"/>
  <c r="AR314"/>
  <c r="AR192"/>
  <c r="AR202"/>
  <c r="AR210"/>
  <c r="AR220"/>
  <c r="AR225"/>
  <c r="AR236"/>
  <c r="AR237"/>
  <c r="AR285"/>
  <c r="AR195"/>
  <c r="AR197"/>
  <c r="AR205"/>
  <c r="AR215"/>
  <c r="AR223"/>
  <c r="AR230"/>
  <c r="AR261"/>
  <c r="AR302"/>
  <c r="AR305"/>
  <c r="AR190"/>
  <c r="AR200"/>
  <c r="AR208"/>
  <c r="AR218"/>
  <c r="AR238"/>
  <c r="AR245"/>
  <c r="AR253"/>
  <c r="AR294"/>
  <c r="AR297"/>
  <c r="AR233"/>
  <c r="AR241"/>
  <c r="AR251"/>
  <c r="AR259"/>
  <c r="AR284"/>
  <c r="AR382"/>
  <c r="AR231"/>
  <c r="AR239"/>
  <c r="AR249"/>
  <c r="AR257"/>
  <c r="AR319"/>
  <c r="AR224"/>
  <c r="AR234"/>
  <c r="AR242"/>
  <c r="AR252"/>
  <c r="AR279"/>
  <c r="AR287"/>
  <c r="AR310"/>
  <c r="AR326"/>
  <c r="AR354"/>
  <c r="AR232"/>
  <c r="AR240"/>
  <c r="AR250"/>
  <c r="AR258"/>
  <c r="AR267"/>
  <c r="AR275"/>
  <c r="AR280"/>
  <c r="AR288"/>
  <c r="AR295"/>
  <c r="AR303"/>
  <c r="AR316"/>
  <c r="AR264"/>
  <c r="AR272"/>
  <c r="AR282"/>
  <c r="AR290"/>
  <c r="AR300"/>
  <c r="AR359"/>
  <c r="AR369"/>
  <c r="AR265"/>
  <c r="AR273"/>
  <c r="AR283"/>
  <c r="AR291"/>
  <c r="AR293"/>
  <c r="AR301"/>
  <c r="AR311"/>
  <c r="AR327"/>
  <c r="AR328"/>
  <c r="AR335"/>
  <c r="AR268"/>
  <c r="AR278"/>
  <c r="AR286"/>
  <c r="AR296"/>
  <c r="AR304"/>
  <c r="AR306"/>
  <c r="AR336"/>
  <c r="AR263"/>
  <c r="AR271"/>
  <c r="AR281"/>
  <c r="AR289"/>
  <c r="AR299"/>
  <c r="AR317"/>
  <c r="AR318"/>
  <c r="AR329"/>
  <c r="AR346"/>
  <c r="AR322"/>
  <c r="AR332"/>
  <c r="AR338"/>
  <c r="AR376"/>
  <c r="AR312"/>
  <c r="AR320"/>
  <c r="AR330"/>
  <c r="AR342"/>
  <c r="AR344"/>
  <c r="AR352"/>
  <c r="AR353"/>
  <c r="AR355"/>
  <c r="AR395"/>
  <c r="AR315"/>
  <c r="AR323"/>
  <c r="AR325"/>
  <c r="AR333"/>
  <c r="AR347"/>
  <c r="AR360"/>
  <c r="AR362"/>
  <c r="AR313"/>
  <c r="AR321"/>
  <c r="AR331"/>
  <c r="AR337"/>
  <c r="AR345"/>
  <c r="AR357"/>
  <c r="AR371"/>
  <c r="AR387"/>
  <c r="AR400"/>
  <c r="AR350"/>
  <c r="AR364"/>
  <c r="AR385"/>
  <c r="AR391"/>
  <c r="AR402"/>
  <c r="AR348"/>
  <c r="AR343"/>
  <c r="AR351"/>
  <c r="AR365"/>
  <c r="AR370"/>
  <c r="AR397"/>
  <c r="AR339"/>
  <c r="AR341"/>
  <c r="AR349"/>
  <c r="AR373"/>
  <c r="AR363"/>
  <c r="AR374"/>
  <c r="AR392"/>
  <c r="AR358"/>
  <c r="AR366"/>
  <c r="AR368"/>
  <c r="AR379"/>
  <c r="AR381"/>
  <c r="AR399"/>
  <c r="AR403"/>
  <c r="AR361"/>
  <c r="AR377"/>
  <c r="AR394"/>
  <c r="AR384"/>
  <c r="AR389"/>
  <c r="AR378"/>
  <c r="AR386"/>
  <c r="AR390"/>
  <c r="AR398"/>
  <c r="AR367"/>
  <c r="AR375"/>
  <c r="AR383"/>
  <c r="AR393"/>
  <c r="AR401"/>
  <c r="AR380"/>
  <c r="AR396"/>
  <c r="H141"/>
  <c r="H50"/>
  <c r="H259"/>
  <c r="H151"/>
  <c r="H39"/>
  <c r="H42"/>
  <c r="H106"/>
  <c r="H114"/>
  <c r="H62"/>
  <c r="H190"/>
  <c r="H26"/>
  <c r="H53"/>
  <c r="H54"/>
  <c r="H61"/>
  <c r="H77"/>
  <c r="H28"/>
  <c r="H34"/>
  <c r="H125"/>
  <c r="H126"/>
  <c r="H18"/>
  <c r="H117"/>
  <c r="H118"/>
  <c r="H5"/>
  <c r="H13"/>
  <c r="H38"/>
  <c r="H69"/>
  <c r="H11"/>
  <c r="H19"/>
  <c r="H41"/>
  <c r="H133"/>
  <c r="H171"/>
  <c r="H8"/>
  <c r="H96"/>
  <c r="H162"/>
  <c r="H166"/>
  <c r="H21"/>
  <c r="H29"/>
  <c r="H88"/>
  <c r="H97"/>
  <c r="H98"/>
  <c r="H154"/>
  <c r="H160"/>
  <c r="H188"/>
  <c r="H16"/>
  <c r="H23"/>
  <c r="H31"/>
  <c r="H89"/>
  <c r="H90"/>
  <c r="H153"/>
  <c r="H10"/>
  <c r="H49"/>
  <c r="H60"/>
  <c r="H105"/>
  <c r="H113"/>
  <c r="H124"/>
  <c r="H220"/>
  <c r="H6"/>
  <c r="H14"/>
  <c r="H24"/>
  <c r="H32"/>
  <c r="H43"/>
  <c r="H51"/>
  <c r="H107"/>
  <c r="H115"/>
  <c r="H174"/>
  <c r="H179"/>
  <c r="H314"/>
  <c r="H9"/>
  <c r="H17"/>
  <c r="H27"/>
  <c r="H35"/>
  <c r="H37"/>
  <c r="H44"/>
  <c r="H70"/>
  <c r="H78"/>
  <c r="H108"/>
  <c r="H134"/>
  <c r="H142"/>
  <c r="H12"/>
  <c r="H22"/>
  <c r="H30"/>
  <c r="H40"/>
  <c r="H59"/>
  <c r="H67"/>
  <c r="H71"/>
  <c r="H79"/>
  <c r="H87"/>
  <c r="H95"/>
  <c r="H123"/>
  <c r="H131"/>
  <c r="H135"/>
  <c r="H143"/>
  <c r="H191"/>
  <c r="H293"/>
  <c r="H323"/>
  <c r="H7"/>
  <c r="H15"/>
  <c r="H25"/>
  <c r="H33"/>
  <c r="H72"/>
  <c r="H80"/>
  <c r="H136"/>
  <c r="H144"/>
  <c r="H181"/>
  <c r="H184"/>
  <c r="H47"/>
  <c r="H57"/>
  <c r="H65"/>
  <c r="H75"/>
  <c r="H83"/>
  <c r="H85"/>
  <c r="H93"/>
  <c r="H103"/>
  <c r="H111"/>
  <c r="H121"/>
  <c r="H129"/>
  <c r="H139"/>
  <c r="H147"/>
  <c r="H149"/>
  <c r="H152"/>
  <c r="H161"/>
  <c r="H197"/>
  <c r="H199"/>
  <c r="H200"/>
  <c r="H205"/>
  <c r="H207"/>
  <c r="H208"/>
  <c r="H45"/>
  <c r="H55"/>
  <c r="H63"/>
  <c r="H73"/>
  <c r="H81"/>
  <c r="H91"/>
  <c r="H99"/>
  <c r="H101"/>
  <c r="H109"/>
  <c r="H119"/>
  <c r="H127"/>
  <c r="H137"/>
  <c r="H145"/>
  <c r="H182"/>
  <c r="H192"/>
  <c r="H218"/>
  <c r="H251"/>
  <c r="H274"/>
  <c r="H48"/>
  <c r="H58"/>
  <c r="H66"/>
  <c r="H76"/>
  <c r="H86"/>
  <c r="H94"/>
  <c r="H104"/>
  <c r="H112"/>
  <c r="H122"/>
  <c r="H130"/>
  <c r="H140"/>
  <c r="H156"/>
  <c r="H170"/>
  <c r="H178"/>
  <c r="H224"/>
  <c r="H294"/>
  <c r="H46"/>
  <c r="H56"/>
  <c r="H64"/>
  <c r="H74"/>
  <c r="H82"/>
  <c r="H92"/>
  <c r="H102"/>
  <c r="H110"/>
  <c r="H120"/>
  <c r="H128"/>
  <c r="H138"/>
  <c r="H146"/>
  <c r="H172"/>
  <c r="H239"/>
  <c r="H159"/>
  <c r="H169"/>
  <c r="H177"/>
  <c r="H187"/>
  <c r="H189"/>
  <c r="H273"/>
  <c r="H321"/>
  <c r="H157"/>
  <c r="H167"/>
  <c r="H175"/>
  <c r="H185"/>
  <c r="H215"/>
  <c r="H223"/>
  <c r="H348"/>
  <c r="H155"/>
  <c r="H163"/>
  <c r="H165"/>
  <c r="H173"/>
  <c r="H183"/>
  <c r="H195"/>
  <c r="H202"/>
  <c r="H210"/>
  <c r="H217"/>
  <c r="H229"/>
  <c r="H252"/>
  <c r="H150"/>
  <c r="H158"/>
  <c r="H168"/>
  <c r="H176"/>
  <c r="H186"/>
  <c r="H301"/>
  <c r="H302"/>
  <c r="H193"/>
  <c r="H203"/>
  <c r="H211"/>
  <c r="H213"/>
  <c r="H221"/>
  <c r="H232"/>
  <c r="H240"/>
  <c r="H265"/>
  <c r="H266"/>
  <c r="H313"/>
  <c r="H198"/>
  <c r="H206"/>
  <c r="H216"/>
  <c r="H233"/>
  <c r="H241"/>
  <c r="H249"/>
  <c r="H257"/>
  <c r="H280"/>
  <c r="H346"/>
  <c r="H201"/>
  <c r="H209"/>
  <c r="H219"/>
  <c r="H231"/>
  <c r="H234"/>
  <c r="H242"/>
  <c r="H262"/>
  <c r="H281"/>
  <c r="H288"/>
  <c r="H385"/>
  <c r="H194"/>
  <c r="H204"/>
  <c r="H214"/>
  <c r="H222"/>
  <c r="H227"/>
  <c r="H250"/>
  <c r="H258"/>
  <c r="H289"/>
  <c r="H237"/>
  <c r="H247"/>
  <c r="H255"/>
  <c r="H343"/>
  <c r="H225"/>
  <c r="H235"/>
  <c r="H243"/>
  <c r="H245"/>
  <c r="H253"/>
  <c r="H270"/>
  <c r="H283"/>
  <c r="H291"/>
  <c r="H298"/>
  <c r="H320"/>
  <c r="H230"/>
  <c r="H238"/>
  <c r="H248"/>
  <c r="H256"/>
  <c r="H263"/>
  <c r="H271"/>
  <c r="H284"/>
  <c r="H299"/>
  <c r="H307"/>
  <c r="H226"/>
  <c r="H236"/>
  <c r="H246"/>
  <c r="H254"/>
  <c r="H331"/>
  <c r="H350"/>
  <c r="H268"/>
  <c r="H278"/>
  <c r="H286"/>
  <c r="H296"/>
  <c r="H304"/>
  <c r="H310"/>
  <c r="H315"/>
  <c r="H322"/>
  <c r="H330"/>
  <c r="H358"/>
  <c r="H261"/>
  <c r="H269"/>
  <c r="H279"/>
  <c r="H287"/>
  <c r="H297"/>
  <c r="H305"/>
  <c r="H312"/>
  <c r="H332"/>
  <c r="H264"/>
  <c r="H272"/>
  <c r="H282"/>
  <c r="H290"/>
  <c r="H300"/>
  <c r="H318"/>
  <c r="H325"/>
  <c r="H333"/>
  <c r="H360"/>
  <c r="H267"/>
  <c r="H275"/>
  <c r="H277"/>
  <c r="H285"/>
  <c r="H295"/>
  <c r="H303"/>
  <c r="H328"/>
  <c r="H336"/>
  <c r="H349"/>
  <c r="H354"/>
  <c r="H306"/>
  <c r="H316"/>
  <c r="H326"/>
  <c r="H334"/>
  <c r="H338"/>
  <c r="H351"/>
  <c r="H311"/>
  <c r="H319"/>
  <c r="H329"/>
  <c r="H341"/>
  <c r="H363"/>
  <c r="H391"/>
  <c r="H309"/>
  <c r="H317"/>
  <c r="H327"/>
  <c r="H335"/>
  <c r="H339"/>
  <c r="H342"/>
  <c r="H381"/>
  <c r="H383"/>
  <c r="H393"/>
  <c r="H403"/>
  <c r="H364"/>
  <c r="H396"/>
  <c r="H344"/>
  <c r="H352"/>
  <c r="H366"/>
  <c r="H369"/>
  <c r="H380"/>
  <c r="H398"/>
  <c r="H337"/>
  <c r="H347"/>
  <c r="H353"/>
  <c r="H361"/>
  <c r="H345"/>
  <c r="H378"/>
  <c r="H359"/>
  <c r="H367"/>
  <c r="H370"/>
  <c r="H386"/>
  <c r="H362"/>
  <c r="H399"/>
  <c r="H355"/>
  <c r="H357"/>
  <c r="H365"/>
  <c r="H373"/>
  <c r="H375"/>
  <c r="H377"/>
  <c r="H395"/>
  <c r="H390"/>
  <c r="H401"/>
  <c r="H368"/>
  <c r="H374"/>
  <c r="H382"/>
  <c r="H394"/>
  <c r="H402"/>
  <c r="H371"/>
  <c r="H379"/>
  <c r="H387"/>
  <c r="H389"/>
  <c r="H397"/>
  <c r="H376"/>
  <c r="H384"/>
  <c r="H392"/>
  <c r="H400"/>
  <c r="BC10"/>
  <c r="BC222"/>
  <c r="BC92"/>
  <c r="BC64"/>
  <c r="BC214"/>
  <c r="BC25"/>
  <c r="BC38"/>
  <c r="BC104"/>
  <c r="BC18"/>
  <c r="BC5"/>
  <c r="BC9"/>
  <c r="BC33"/>
  <c r="BC48"/>
  <c r="BC128"/>
  <c r="BC26"/>
  <c r="BC112"/>
  <c r="BC34"/>
  <c r="BC263"/>
  <c r="BC13"/>
  <c r="BC28"/>
  <c r="BC49"/>
  <c r="BC56"/>
  <c r="BC74"/>
  <c r="BC105"/>
  <c r="BC113"/>
  <c r="BC120"/>
  <c r="BC138"/>
  <c r="BC151"/>
  <c r="BC226"/>
  <c r="BC7"/>
  <c r="BC15"/>
  <c r="BC41"/>
  <c r="BC75"/>
  <c r="BC139"/>
  <c r="BC76"/>
  <c r="BC82"/>
  <c r="BC140"/>
  <c r="BC146"/>
  <c r="BC215"/>
  <c r="BC278"/>
  <c r="BC8"/>
  <c r="BC16"/>
  <c r="BC23"/>
  <c r="BC31"/>
  <c r="BC83"/>
  <c r="BC147"/>
  <c r="BC11"/>
  <c r="BC19"/>
  <c r="BC21"/>
  <c r="BC29"/>
  <c r="BC39"/>
  <c r="BC57"/>
  <c r="BC65"/>
  <c r="BC69"/>
  <c r="BC77"/>
  <c r="BC85"/>
  <c r="BC93"/>
  <c r="BC121"/>
  <c r="BC129"/>
  <c r="BC133"/>
  <c r="BC141"/>
  <c r="BC149"/>
  <c r="BC6"/>
  <c r="BC14"/>
  <c r="BC24"/>
  <c r="BC32"/>
  <c r="BC58"/>
  <c r="BC66"/>
  <c r="BC86"/>
  <c r="BC94"/>
  <c r="BC122"/>
  <c r="BC130"/>
  <c r="BC157"/>
  <c r="BC158"/>
  <c r="BC17"/>
  <c r="BC27"/>
  <c r="BC35"/>
  <c r="BC37"/>
  <c r="BC46"/>
  <c r="BC102"/>
  <c r="BC110"/>
  <c r="BC150"/>
  <c r="BC159"/>
  <c r="BC161"/>
  <c r="BC12"/>
  <c r="BC22"/>
  <c r="BC30"/>
  <c r="BC40"/>
  <c r="BC47"/>
  <c r="BC59"/>
  <c r="BC67"/>
  <c r="BC87"/>
  <c r="BC95"/>
  <c r="BC103"/>
  <c r="BC111"/>
  <c r="BC123"/>
  <c r="BC131"/>
  <c r="BC153"/>
  <c r="BC231"/>
  <c r="BC44"/>
  <c r="BC54"/>
  <c r="BC62"/>
  <c r="BC72"/>
  <c r="BC80"/>
  <c r="BC90"/>
  <c r="BC98"/>
  <c r="BC108"/>
  <c r="BC118"/>
  <c r="BC126"/>
  <c r="BC136"/>
  <c r="BC144"/>
  <c r="BC167"/>
  <c r="BC168"/>
  <c r="BC175"/>
  <c r="BC176"/>
  <c r="BC237"/>
  <c r="BC238"/>
  <c r="BC42"/>
  <c r="BC50"/>
  <c r="BC60"/>
  <c r="BC70"/>
  <c r="BC78"/>
  <c r="BC88"/>
  <c r="BC96"/>
  <c r="BC106"/>
  <c r="BC114"/>
  <c r="BC124"/>
  <c r="BC134"/>
  <c r="BC142"/>
  <c r="BC169"/>
  <c r="BC177"/>
  <c r="BC181"/>
  <c r="BC267"/>
  <c r="BC45"/>
  <c r="BC55"/>
  <c r="BC63"/>
  <c r="BC73"/>
  <c r="BC81"/>
  <c r="BC91"/>
  <c r="BC99"/>
  <c r="BC101"/>
  <c r="BC109"/>
  <c r="BC119"/>
  <c r="BC127"/>
  <c r="BC137"/>
  <c r="BC145"/>
  <c r="BC187"/>
  <c r="BC188"/>
  <c r="BC204"/>
  <c r="BC280"/>
  <c r="BC43"/>
  <c r="BC51"/>
  <c r="BC53"/>
  <c r="BC61"/>
  <c r="BC71"/>
  <c r="BC79"/>
  <c r="BC89"/>
  <c r="BC97"/>
  <c r="BC107"/>
  <c r="BC115"/>
  <c r="BC117"/>
  <c r="BC125"/>
  <c r="BC135"/>
  <c r="BC143"/>
  <c r="BC171"/>
  <c r="BC179"/>
  <c r="BC185"/>
  <c r="BC186"/>
  <c r="BC156"/>
  <c r="BC166"/>
  <c r="BC174"/>
  <c r="BC184"/>
  <c r="BC197"/>
  <c r="BC205"/>
  <c r="BC220"/>
  <c r="BC239"/>
  <c r="BC246"/>
  <c r="BC247"/>
  <c r="BC254"/>
  <c r="BC255"/>
  <c r="BC286"/>
  <c r="BC288"/>
  <c r="BC330"/>
  <c r="BC154"/>
  <c r="BC162"/>
  <c r="BC172"/>
  <c r="BC182"/>
  <c r="BC192"/>
  <c r="BC199"/>
  <c r="BC207"/>
  <c r="BC307"/>
  <c r="BC152"/>
  <c r="BC160"/>
  <c r="BC170"/>
  <c r="BC178"/>
  <c r="BC194"/>
  <c r="BC227"/>
  <c r="BC155"/>
  <c r="BC163"/>
  <c r="BC165"/>
  <c r="BC173"/>
  <c r="BC183"/>
  <c r="BC189"/>
  <c r="BC195"/>
  <c r="BC202"/>
  <c r="BC210"/>
  <c r="BC217"/>
  <c r="BC190"/>
  <c r="BC200"/>
  <c r="BC208"/>
  <c r="BC218"/>
  <c r="BC248"/>
  <c r="BC256"/>
  <c r="BC299"/>
  <c r="BC303"/>
  <c r="BC193"/>
  <c r="BC203"/>
  <c r="BC211"/>
  <c r="BC213"/>
  <c r="BC221"/>
  <c r="BC295"/>
  <c r="BC358"/>
  <c r="BC198"/>
  <c r="BC206"/>
  <c r="BC216"/>
  <c r="BC224"/>
  <c r="BC229"/>
  <c r="BC249"/>
  <c r="BC257"/>
  <c r="BC191"/>
  <c r="BC201"/>
  <c r="BC209"/>
  <c r="BC219"/>
  <c r="BC230"/>
  <c r="BC236"/>
  <c r="BC271"/>
  <c r="BC275"/>
  <c r="BC390"/>
  <c r="BC234"/>
  <c r="BC242"/>
  <c r="BC252"/>
  <c r="BC268"/>
  <c r="BC281"/>
  <c r="BC289"/>
  <c r="BC296"/>
  <c r="BC304"/>
  <c r="BC312"/>
  <c r="BC328"/>
  <c r="BC329"/>
  <c r="BC232"/>
  <c r="BC240"/>
  <c r="BC250"/>
  <c r="BC258"/>
  <c r="BC318"/>
  <c r="BC336"/>
  <c r="BC338"/>
  <c r="BC346"/>
  <c r="BC225"/>
  <c r="BC235"/>
  <c r="BC243"/>
  <c r="BC245"/>
  <c r="BC253"/>
  <c r="BC262"/>
  <c r="BC270"/>
  <c r="BC277"/>
  <c r="BC285"/>
  <c r="BC298"/>
  <c r="BC309"/>
  <c r="BC223"/>
  <c r="BC233"/>
  <c r="BC241"/>
  <c r="BC251"/>
  <c r="BC259"/>
  <c r="BC320"/>
  <c r="BC265"/>
  <c r="BC273"/>
  <c r="BC283"/>
  <c r="BC291"/>
  <c r="BC293"/>
  <c r="BC301"/>
  <c r="BC319"/>
  <c r="BC266"/>
  <c r="BC274"/>
  <c r="BC284"/>
  <c r="BC294"/>
  <c r="BC302"/>
  <c r="BC310"/>
  <c r="BC315"/>
  <c r="BC348"/>
  <c r="BC357"/>
  <c r="BC261"/>
  <c r="BC269"/>
  <c r="BC279"/>
  <c r="BC287"/>
  <c r="BC297"/>
  <c r="BC305"/>
  <c r="BC311"/>
  <c r="BC343"/>
  <c r="BC355"/>
  <c r="BC264"/>
  <c r="BC272"/>
  <c r="BC282"/>
  <c r="BC290"/>
  <c r="BC300"/>
  <c r="BC317"/>
  <c r="BC327"/>
  <c r="BC335"/>
  <c r="BC360"/>
  <c r="BC323"/>
  <c r="BC325"/>
  <c r="BC333"/>
  <c r="BC341"/>
  <c r="BC373"/>
  <c r="BC313"/>
  <c r="BC321"/>
  <c r="BC331"/>
  <c r="BC339"/>
  <c r="BC306"/>
  <c r="BC316"/>
  <c r="BC326"/>
  <c r="BC334"/>
  <c r="BC361"/>
  <c r="BC371"/>
  <c r="BC314"/>
  <c r="BC322"/>
  <c r="BC332"/>
  <c r="BC337"/>
  <c r="BC345"/>
  <c r="BC347"/>
  <c r="BC352"/>
  <c r="BC363"/>
  <c r="BC351"/>
  <c r="BC353"/>
  <c r="BC370"/>
  <c r="BC378"/>
  <c r="BC401"/>
  <c r="BC349"/>
  <c r="BC400"/>
  <c r="BC344"/>
  <c r="BC365"/>
  <c r="BC367"/>
  <c r="BC376"/>
  <c r="BC396"/>
  <c r="BC342"/>
  <c r="BC350"/>
  <c r="BC366"/>
  <c r="BC375"/>
  <c r="BC380"/>
  <c r="BC395"/>
  <c r="BC354"/>
  <c r="BC364"/>
  <c r="BC392"/>
  <c r="BC359"/>
  <c r="BC381"/>
  <c r="BC383"/>
  <c r="BC403"/>
  <c r="BC362"/>
  <c r="BC393"/>
  <c r="BC398"/>
  <c r="BC369"/>
  <c r="BC384"/>
  <c r="BC386"/>
  <c r="BC377"/>
  <c r="BC385"/>
  <c r="BC391"/>
  <c r="BC399"/>
  <c r="BC368"/>
  <c r="BC374"/>
  <c r="BC382"/>
  <c r="BC394"/>
  <c r="BC402"/>
  <c r="BC379"/>
  <c r="BC387"/>
  <c r="BC389"/>
  <c r="BC397"/>
  <c r="BK7"/>
  <c r="BK121"/>
  <c r="BK28"/>
  <c r="BK57"/>
  <c r="BK151"/>
  <c r="BK103"/>
  <c r="BK16"/>
  <c r="BK122"/>
  <c r="BK102"/>
  <c r="BK9"/>
  <c r="BK31"/>
  <c r="BK59"/>
  <c r="BK77"/>
  <c r="BK123"/>
  <c r="BK304"/>
  <c r="BK5"/>
  <c r="BK8"/>
  <c r="BK23"/>
  <c r="BK131"/>
  <c r="BK311"/>
  <c r="BK133"/>
  <c r="BK58"/>
  <c r="BK141"/>
  <c r="BK46"/>
  <c r="BK47"/>
  <c r="BK15"/>
  <c r="BK87"/>
  <c r="BK110"/>
  <c r="BK111"/>
  <c r="BK13"/>
  <c r="BK67"/>
  <c r="BK69"/>
  <c r="BK25"/>
  <c r="BK33"/>
  <c r="BK181"/>
  <c r="BK10"/>
  <c r="BK18"/>
  <c r="BK38"/>
  <c r="BK93"/>
  <c r="BK94"/>
  <c r="BK185"/>
  <c r="BK186"/>
  <c r="BK215"/>
  <c r="BK26"/>
  <c r="BK34"/>
  <c r="BK85"/>
  <c r="BK86"/>
  <c r="BK149"/>
  <c r="BK65"/>
  <c r="BK66"/>
  <c r="BK95"/>
  <c r="BK129"/>
  <c r="BK130"/>
  <c r="BK11"/>
  <c r="BK19"/>
  <c r="BK21"/>
  <c r="BK29"/>
  <c r="BK39"/>
  <c r="BK48"/>
  <c r="BK74"/>
  <c r="BK82"/>
  <c r="BK104"/>
  <c r="BK112"/>
  <c r="BK138"/>
  <c r="BK146"/>
  <c r="BK150"/>
  <c r="BK168"/>
  <c r="BK169"/>
  <c r="BK230"/>
  <c r="BK6"/>
  <c r="BK14"/>
  <c r="BK24"/>
  <c r="BK32"/>
  <c r="BK75"/>
  <c r="BK83"/>
  <c r="BK139"/>
  <c r="BK147"/>
  <c r="BK167"/>
  <c r="BK176"/>
  <c r="BK177"/>
  <c r="BK189"/>
  <c r="BK17"/>
  <c r="BK27"/>
  <c r="BK35"/>
  <c r="BK37"/>
  <c r="BK41"/>
  <c r="BK49"/>
  <c r="BK76"/>
  <c r="BK105"/>
  <c r="BK113"/>
  <c r="BK140"/>
  <c r="BK171"/>
  <c r="BK175"/>
  <c r="BK12"/>
  <c r="BK22"/>
  <c r="BK30"/>
  <c r="BK40"/>
  <c r="BK56"/>
  <c r="BK64"/>
  <c r="BK92"/>
  <c r="BK120"/>
  <c r="BK128"/>
  <c r="BK179"/>
  <c r="BK195"/>
  <c r="BK217"/>
  <c r="BK281"/>
  <c r="BK289"/>
  <c r="BK44"/>
  <c r="BK54"/>
  <c r="BK62"/>
  <c r="BK72"/>
  <c r="BK80"/>
  <c r="BK90"/>
  <c r="BK98"/>
  <c r="BK108"/>
  <c r="BK118"/>
  <c r="BK126"/>
  <c r="BK136"/>
  <c r="BK144"/>
  <c r="BK157"/>
  <c r="BK158"/>
  <c r="BK187"/>
  <c r="BK194"/>
  <c r="BK296"/>
  <c r="BK42"/>
  <c r="BK50"/>
  <c r="BK60"/>
  <c r="BK70"/>
  <c r="BK78"/>
  <c r="BK88"/>
  <c r="BK96"/>
  <c r="BK106"/>
  <c r="BK114"/>
  <c r="BK124"/>
  <c r="BK134"/>
  <c r="BK142"/>
  <c r="BK159"/>
  <c r="BK199"/>
  <c r="BK202"/>
  <c r="BK207"/>
  <c r="BK210"/>
  <c r="BK285"/>
  <c r="BK45"/>
  <c r="BK55"/>
  <c r="BK63"/>
  <c r="BK73"/>
  <c r="BK81"/>
  <c r="BK91"/>
  <c r="BK99"/>
  <c r="BK101"/>
  <c r="BK109"/>
  <c r="BK119"/>
  <c r="BK127"/>
  <c r="BK137"/>
  <c r="BK145"/>
  <c r="BK43"/>
  <c r="BK51"/>
  <c r="BK53"/>
  <c r="BK61"/>
  <c r="BK71"/>
  <c r="BK79"/>
  <c r="BK89"/>
  <c r="BK97"/>
  <c r="BK107"/>
  <c r="BK115"/>
  <c r="BK117"/>
  <c r="BK125"/>
  <c r="BK135"/>
  <c r="BK143"/>
  <c r="BK153"/>
  <c r="BK161"/>
  <c r="BK156"/>
  <c r="BK166"/>
  <c r="BK174"/>
  <c r="BK184"/>
  <c r="BK298"/>
  <c r="BK328"/>
  <c r="BK154"/>
  <c r="BK162"/>
  <c r="BK172"/>
  <c r="BK182"/>
  <c r="BK204"/>
  <c r="BK229"/>
  <c r="BK343"/>
  <c r="BK152"/>
  <c r="BK160"/>
  <c r="BK170"/>
  <c r="BK178"/>
  <c r="BK197"/>
  <c r="BK205"/>
  <c r="BK220"/>
  <c r="BK224"/>
  <c r="BK248"/>
  <c r="BK256"/>
  <c r="BK327"/>
  <c r="BK361"/>
  <c r="BK155"/>
  <c r="BK163"/>
  <c r="BK165"/>
  <c r="BK173"/>
  <c r="BK183"/>
  <c r="BK188"/>
  <c r="BK192"/>
  <c r="BK214"/>
  <c r="BK222"/>
  <c r="BK226"/>
  <c r="BK236"/>
  <c r="BK249"/>
  <c r="BK257"/>
  <c r="BK190"/>
  <c r="BK200"/>
  <c r="BK208"/>
  <c r="BK218"/>
  <c r="BK237"/>
  <c r="BK193"/>
  <c r="BK203"/>
  <c r="BK211"/>
  <c r="BK213"/>
  <c r="BK221"/>
  <c r="BK227"/>
  <c r="BK238"/>
  <c r="BK268"/>
  <c r="BK320"/>
  <c r="BK347"/>
  <c r="BK198"/>
  <c r="BK206"/>
  <c r="BK216"/>
  <c r="BK246"/>
  <c r="BK254"/>
  <c r="BK270"/>
  <c r="BK312"/>
  <c r="BK384"/>
  <c r="BK191"/>
  <c r="BK201"/>
  <c r="BK209"/>
  <c r="BK219"/>
  <c r="BK231"/>
  <c r="BK239"/>
  <c r="BK247"/>
  <c r="BK255"/>
  <c r="BK262"/>
  <c r="BK277"/>
  <c r="BK335"/>
  <c r="BK234"/>
  <c r="BK242"/>
  <c r="BK252"/>
  <c r="BK263"/>
  <c r="BK271"/>
  <c r="BK278"/>
  <c r="BK286"/>
  <c r="BK299"/>
  <c r="BK318"/>
  <c r="BK386"/>
  <c r="BK232"/>
  <c r="BK240"/>
  <c r="BK250"/>
  <c r="BK258"/>
  <c r="BK225"/>
  <c r="BK235"/>
  <c r="BK243"/>
  <c r="BK245"/>
  <c r="BK253"/>
  <c r="BK267"/>
  <c r="BK275"/>
  <c r="BK280"/>
  <c r="BK288"/>
  <c r="BK295"/>
  <c r="BK303"/>
  <c r="BK315"/>
  <c r="BK223"/>
  <c r="BK233"/>
  <c r="BK241"/>
  <c r="BK251"/>
  <c r="BK310"/>
  <c r="BK265"/>
  <c r="BK273"/>
  <c r="BK283"/>
  <c r="BK291"/>
  <c r="BK293"/>
  <c r="BK301"/>
  <c r="BK307"/>
  <c r="BK317"/>
  <c r="BK370"/>
  <c r="BK266"/>
  <c r="BK274"/>
  <c r="BK284"/>
  <c r="BK294"/>
  <c r="BK302"/>
  <c r="BK319"/>
  <c r="BK329"/>
  <c r="BK259"/>
  <c r="BK261"/>
  <c r="BK269"/>
  <c r="BK279"/>
  <c r="BK287"/>
  <c r="BK297"/>
  <c r="BK305"/>
  <c r="BK309"/>
  <c r="BK337"/>
  <c r="BK338"/>
  <c r="BK264"/>
  <c r="BK272"/>
  <c r="BK282"/>
  <c r="BK290"/>
  <c r="BK300"/>
  <c r="BK330"/>
  <c r="BK339"/>
  <c r="BK381"/>
  <c r="BK323"/>
  <c r="BK325"/>
  <c r="BK333"/>
  <c r="BK345"/>
  <c r="BK346"/>
  <c r="BK313"/>
  <c r="BK321"/>
  <c r="BK331"/>
  <c r="BK341"/>
  <c r="BK363"/>
  <c r="BK365"/>
  <c r="BK306"/>
  <c r="BK316"/>
  <c r="BK326"/>
  <c r="BK334"/>
  <c r="BK348"/>
  <c r="BK355"/>
  <c r="BK358"/>
  <c r="BK400"/>
  <c r="BK314"/>
  <c r="BK322"/>
  <c r="BK332"/>
  <c r="BK336"/>
  <c r="BK360"/>
  <c r="BK351"/>
  <c r="BK352"/>
  <c r="BK366"/>
  <c r="BK398"/>
  <c r="BK349"/>
  <c r="BK353"/>
  <c r="BK357"/>
  <c r="BK393"/>
  <c r="BK344"/>
  <c r="BK342"/>
  <c r="BK350"/>
  <c r="BK369"/>
  <c r="BK383"/>
  <c r="BK403"/>
  <c r="BK354"/>
  <c r="BK364"/>
  <c r="BK371"/>
  <c r="BK373"/>
  <c r="BK375"/>
  <c r="BK395"/>
  <c r="BK359"/>
  <c r="BK367"/>
  <c r="BK390"/>
  <c r="BK401"/>
  <c r="BK362"/>
  <c r="BK376"/>
  <c r="BK378"/>
  <c r="BK380"/>
  <c r="BK396"/>
  <c r="BK392"/>
  <c r="BK377"/>
  <c r="BK385"/>
  <c r="BK391"/>
  <c r="BK399"/>
  <c r="BK368"/>
  <c r="BK374"/>
  <c r="BK382"/>
  <c r="BK394"/>
  <c r="BK402"/>
  <c r="BK379"/>
  <c r="BK387"/>
  <c r="BK389"/>
  <c r="BK397"/>
  <c r="Z19"/>
  <c r="Z21"/>
  <c r="Z9"/>
  <c r="Z49"/>
  <c r="Z114"/>
  <c r="Z57"/>
  <c r="Z186"/>
  <c r="Z14"/>
  <c r="Z11"/>
  <c r="Z85"/>
  <c r="Z182"/>
  <c r="Z255"/>
  <c r="Z289"/>
  <c r="Z106"/>
  <c r="Z8"/>
  <c r="Z39"/>
  <c r="Z50"/>
  <c r="Z113"/>
  <c r="Z121"/>
  <c r="Z29"/>
  <c r="Z65"/>
  <c r="Z69"/>
  <c r="Z149"/>
  <c r="Z150"/>
  <c r="Z27"/>
  <c r="Z129"/>
  <c r="Z133"/>
  <c r="Z6"/>
  <c r="Z35"/>
  <c r="Z42"/>
  <c r="Z105"/>
  <c r="Z10"/>
  <c r="Z16"/>
  <c r="Z247"/>
  <c r="Z76"/>
  <c r="Z77"/>
  <c r="Z140"/>
  <c r="Z141"/>
  <c r="Z24"/>
  <c r="Z32"/>
  <c r="Z17"/>
  <c r="Z26"/>
  <c r="Z34"/>
  <c r="Z37"/>
  <c r="Z93"/>
  <c r="Z12"/>
  <c r="Z22"/>
  <c r="Z30"/>
  <c r="Z40"/>
  <c r="Z58"/>
  <c r="Z66"/>
  <c r="Z70"/>
  <c r="Z78"/>
  <c r="Z86"/>
  <c r="Z94"/>
  <c r="Z122"/>
  <c r="Z130"/>
  <c r="Z134"/>
  <c r="Z142"/>
  <c r="Z189"/>
  <c r="Z232"/>
  <c r="Z7"/>
  <c r="Z15"/>
  <c r="Z25"/>
  <c r="Z33"/>
  <c r="Z47"/>
  <c r="Z59"/>
  <c r="Z67"/>
  <c r="Z87"/>
  <c r="Z95"/>
  <c r="Z103"/>
  <c r="Z111"/>
  <c r="Z123"/>
  <c r="Z131"/>
  <c r="Z159"/>
  <c r="Z160"/>
  <c r="Z18"/>
  <c r="Z28"/>
  <c r="Z38"/>
  <c r="Z168"/>
  <c r="Z256"/>
  <c r="Z313"/>
  <c r="Z5"/>
  <c r="Z13"/>
  <c r="Z23"/>
  <c r="Z31"/>
  <c r="Z41"/>
  <c r="Z48"/>
  <c r="Z60"/>
  <c r="Z75"/>
  <c r="Z83"/>
  <c r="Z88"/>
  <c r="Z96"/>
  <c r="Z104"/>
  <c r="Z112"/>
  <c r="Z124"/>
  <c r="Z139"/>
  <c r="Z147"/>
  <c r="Z172"/>
  <c r="Z176"/>
  <c r="Z188"/>
  <c r="Z248"/>
  <c r="Z45"/>
  <c r="Z55"/>
  <c r="Z63"/>
  <c r="Z73"/>
  <c r="Z81"/>
  <c r="Z91"/>
  <c r="Z99"/>
  <c r="Z101"/>
  <c r="Z109"/>
  <c r="Z119"/>
  <c r="Z127"/>
  <c r="Z137"/>
  <c r="Z145"/>
  <c r="Z154"/>
  <c r="Z162"/>
  <c r="Z169"/>
  <c r="Z177"/>
  <c r="Z231"/>
  <c r="Z43"/>
  <c r="Z51"/>
  <c r="Z53"/>
  <c r="Z61"/>
  <c r="Z71"/>
  <c r="Z79"/>
  <c r="Z89"/>
  <c r="Z97"/>
  <c r="Z107"/>
  <c r="Z115"/>
  <c r="Z117"/>
  <c r="Z125"/>
  <c r="Z135"/>
  <c r="Z143"/>
  <c r="Z151"/>
  <c r="Z170"/>
  <c r="Z178"/>
  <c r="Z239"/>
  <c r="Z240"/>
  <c r="Z264"/>
  <c r="Z304"/>
  <c r="Z46"/>
  <c r="Z56"/>
  <c r="Z64"/>
  <c r="Z74"/>
  <c r="Z82"/>
  <c r="Z92"/>
  <c r="Z102"/>
  <c r="Z110"/>
  <c r="Z120"/>
  <c r="Z128"/>
  <c r="Z138"/>
  <c r="Z146"/>
  <c r="Z158"/>
  <c r="Z200"/>
  <c r="Z208"/>
  <c r="Z238"/>
  <c r="Z287"/>
  <c r="Z44"/>
  <c r="Z54"/>
  <c r="Z62"/>
  <c r="Z72"/>
  <c r="Z80"/>
  <c r="Z90"/>
  <c r="Z98"/>
  <c r="Z108"/>
  <c r="Z118"/>
  <c r="Z126"/>
  <c r="Z136"/>
  <c r="Z144"/>
  <c r="Z152"/>
  <c r="Z213"/>
  <c r="Z216"/>
  <c r="Z221"/>
  <c r="Z225"/>
  <c r="Z157"/>
  <c r="Z167"/>
  <c r="Z175"/>
  <c r="Z185"/>
  <c r="Z187"/>
  <c r="Z198"/>
  <c r="Z206"/>
  <c r="Z215"/>
  <c r="Z223"/>
  <c r="Z281"/>
  <c r="Z367"/>
  <c r="Z155"/>
  <c r="Z163"/>
  <c r="Z165"/>
  <c r="Z173"/>
  <c r="Z183"/>
  <c r="Z195"/>
  <c r="Z230"/>
  <c r="Z279"/>
  <c r="Z153"/>
  <c r="Z161"/>
  <c r="Z171"/>
  <c r="Z179"/>
  <c r="Z181"/>
  <c r="Z203"/>
  <c r="Z211"/>
  <c r="Z218"/>
  <c r="Z296"/>
  <c r="Z156"/>
  <c r="Z166"/>
  <c r="Z174"/>
  <c r="Z184"/>
  <c r="Z190"/>
  <c r="Z193"/>
  <c r="Z197"/>
  <c r="Z205"/>
  <c r="Z227"/>
  <c r="Z321"/>
  <c r="Z191"/>
  <c r="Z201"/>
  <c r="Z209"/>
  <c r="Z219"/>
  <c r="Z249"/>
  <c r="Z257"/>
  <c r="Z300"/>
  <c r="Z194"/>
  <c r="Z204"/>
  <c r="Z214"/>
  <c r="Z222"/>
  <c r="Z199"/>
  <c r="Z207"/>
  <c r="Z217"/>
  <c r="Z237"/>
  <c r="Z250"/>
  <c r="Z258"/>
  <c r="Z268"/>
  <c r="Z329"/>
  <c r="Z192"/>
  <c r="Z202"/>
  <c r="Z210"/>
  <c r="Z220"/>
  <c r="Z229"/>
  <c r="Z272"/>
  <c r="Z347"/>
  <c r="Z235"/>
  <c r="Z243"/>
  <c r="Z245"/>
  <c r="Z253"/>
  <c r="Z269"/>
  <c r="Z282"/>
  <c r="Z290"/>
  <c r="Z297"/>
  <c r="Z305"/>
  <c r="Z330"/>
  <c r="Z331"/>
  <c r="Z361"/>
  <c r="Z233"/>
  <c r="Z241"/>
  <c r="Z251"/>
  <c r="Z259"/>
  <c r="Z261"/>
  <c r="Z263"/>
  <c r="Z271"/>
  <c r="Z278"/>
  <c r="Z286"/>
  <c r="Z299"/>
  <c r="Z316"/>
  <c r="Z226"/>
  <c r="Z236"/>
  <c r="Z246"/>
  <c r="Z254"/>
  <c r="Z224"/>
  <c r="Z234"/>
  <c r="Z242"/>
  <c r="Z252"/>
  <c r="Z306"/>
  <c r="Z311"/>
  <c r="Z266"/>
  <c r="Z274"/>
  <c r="Z284"/>
  <c r="Z294"/>
  <c r="Z302"/>
  <c r="Z312"/>
  <c r="Z318"/>
  <c r="Z344"/>
  <c r="Z368"/>
  <c r="Z267"/>
  <c r="Z275"/>
  <c r="Z277"/>
  <c r="Z285"/>
  <c r="Z295"/>
  <c r="Z303"/>
  <c r="Z319"/>
  <c r="Z339"/>
  <c r="Z349"/>
  <c r="Z366"/>
  <c r="Z262"/>
  <c r="Z270"/>
  <c r="Z280"/>
  <c r="Z288"/>
  <c r="Z298"/>
  <c r="Z310"/>
  <c r="Z320"/>
  <c r="Z328"/>
  <c r="Z336"/>
  <c r="Z401"/>
  <c r="Z265"/>
  <c r="Z273"/>
  <c r="Z283"/>
  <c r="Z291"/>
  <c r="Z293"/>
  <c r="Z301"/>
  <c r="Z326"/>
  <c r="Z334"/>
  <c r="Z342"/>
  <c r="Z371"/>
  <c r="Z314"/>
  <c r="Z322"/>
  <c r="Z332"/>
  <c r="Z346"/>
  <c r="Z352"/>
  <c r="Z364"/>
  <c r="Z375"/>
  <c r="Z379"/>
  <c r="Z307"/>
  <c r="Z309"/>
  <c r="Z317"/>
  <c r="Z327"/>
  <c r="Z335"/>
  <c r="Z337"/>
  <c r="Z399"/>
  <c r="Z315"/>
  <c r="Z323"/>
  <c r="Z325"/>
  <c r="Z333"/>
  <c r="Z338"/>
  <c r="Z341"/>
  <c r="Z348"/>
  <c r="Z389"/>
  <c r="Z374"/>
  <c r="Z350"/>
  <c r="Z354"/>
  <c r="Z358"/>
  <c r="Z362"/>
  <c r="Z394"/>
  <c r="Z345"/>
  <c r="Z377"/>
  <c r="Z343"/>
  <c r="Z351"/>
  <c r="Z359"/>
  <c r="Z355"/>
  <c r="Z357"/>
  <c r="Z365"/>
  <c r="Z380"/>
  <c r="Z382"/>
  <c r="Z396"/>
  <c r="Z360"/>
  <c r="Z387"/>
  <c r="Z391"/>
  <c r="Z353"/>
  <c r="Z363"/>
  <c r="Z370"/>
  <c r="Z383"/>
  <c r="Z385"/>
  <c r="Z402"/>
  <c r="Z393"/>
  <c r="Z397"/>
  <c r="Z376"/>
  <c r="Z384"/>
  <c r="Z392"/>
  <c r="Z400"/>
  <c r="Z369"/>
  <c r="Z373"/>
  <c r="Z381"/>
  <c r="Z395"/>
  <c r="Z403"/>
  <c r="Z378"/>
  <c r="Z386"/>
  <c r="Z390"/>
  <c r="Z398"/>
  <c r="AQ153"/>
  <c r="AQ175"/>
  <c r="AQ155"/>
  <c r="AQ5"/>
  <c r="AQ78"/>
  <c r="AQ117"/>
  <c r="AQ27"/>
  <c r="AQ14"/>
  <c r="AQ98"/>
  <c r="AQ142"/>
  <c r="AQ6"/>
  <c r="AQ263"/>
  <c r="AQ9"/>
  <c r="AQ29"/>
  <c r="AQ163"/>
  <c r="AQ35"/>
  <c r="AQ161"/>
  <c r="AQ201"/>
  <c r="AQ154"/>
  <c r="AQ12"/>
  <c r="AQ21"/>
  <c r="AQ40"/>
  <c r="AQ53"/>
  <c r="AQ99"/>
  <c r="AQ219"/>
  <c r="AQ90"/>
  <c r="AQ91"/>
  <c r="AQ97"/>
  <c r="AQ22"/>
  <c r="AQ24"/>
  <c r="AQ30"/>
  <c r="AQ32"/>
  <c r="AQ89"/>
  <c r="AQ203"/>
  <c r="AQ17"/>
  <c r="AQ37"/>
  <c r="AQ42"/>
  <c r="AQ44"/>
  <c r="AQ50"/>
  <c r="AQ62"/>
  <c r="AQ63"/>
  <c r="AQ106"/>
  <c r="AQ108"/>
  <c r="AQ114"/>
  <c r="AQ126"/>
  <c r="AQ127"/>
  <c r="AQ167"/>
  <c r="AQ11"/>
  <c r="AQ19"/>
  <c r="AQ39"/>
  <c r="AQ43"/>
  <c r="AQ51"/>
  <c r="AQ54"/>
  <c r="AQ55"/>
  <c r="AQ61"/>
  <c r="AQ70"/>
  <c r="AQ107"/>
  <c r="AQ115"/>
  <c r="AQ118"/>
  <c r="AQ119"/>
  <c r="AQ125"/>
  <c r="AQ134"/>
  <c r="AQ162"/>
  <c r="AQ191"/>
  <c r="AQ218"/>
  <c r="AQ7"/>
  <c r="AQ15"/>
  <c r="AQ25"/>
  <c r="AQ33"/>
  <c r="AQ45"/>
  <c r="AQ101"/>
  <c r="AQ109"/>
  <c r="AQ245"/>
  <c r="AQ253"/>
  <c r="AQ10"/>
  <c r="AQ18"/>
  <c r="AQ28"/>
  <c r="AQ38"/>
  <c r="AQ71"/>
  <c r="AQ72"/>
  <c r="AQ79"/>
  <c r="AQ80"/>
  <c r="AQ135"/>
  <c r="AQ136"/>
  <c r="AQ143"/>
  <c r="AQ144"/>
  <c r="AQ211"/>
  <c r="AQ13"/>
  <c r="AQ23"/>
  <c r="AQ31"/>
  <c r="AQ41"/>
  <c r="AQ60"/>
  <c r="AQ73"/>
  <c r="AQ81"/>
  <c r="AQ88"/>
  <c r="AQ96"/>
  <c r="AQ124"/>
  <c r="AQ137"/>
  <c r="AQ145"/>
  <c r="AQ209"/>
  <c r="AQ8"/>
  <c r="AQ16"/>
  <c r="AQ26"/>
  <c r="AQ34"/>
  <c r="AQ192"/>
  <c r="AQ400"/>
  <c r="AQ48"/>
  <c r="AQ58"/>
  <c r="AQ66"/>
  <c r="AQ76"/>
  <c r="AQ86"/>
  <c r="AQ94"/>
  <c r="AQ104"/>
  <c r="AQ112"/>
  <c r="AQ122"/>
  <c r="AQ130"/>
  <c r="AQ140"/>
  <c r="AQ181"/>
  <c r="AQ182"/>
  <c r="AQ189"/>
  <c r="AQ198"/>
  <c r="AQ206"/>
  <c r="AQ213"/>
  <c r="AQ221"/>
  <c r="AQ46"/>
  <c r="AQ56"/>
  <c r="AQ64"/>
  <c r="AQ74"/>
  <c r="AQ82"/>
  <c r="AQ92"/>
  <c r="AQ102"/>
  <c r="AQ110"/>
  <c r="AQ120"/>
  <c r="AQ128"/>
  <c r="AQ138"/>
  <c r="AQ146"/>
  <c r="AQ152"/>
  <c r="AQ157"/>
  <c r="AQ183"/>
  <c r="AQ49"/>
  <c r="AQ59"/>
  <c r="AQ67"/>
  <c r="AQ69"/>
  <c r="AQ77"/>
  <c r="AQ87"/>
  <c r="AQ95"/>
  <c r="AQ105"/>
  <c r="AQ113"/>
  <c r="AQ123"/>
  <c r="AQ131"/>
  <c r="AQ133"/>
  <c r="AQ141"/>
  <c r="AQ171"/>
  <c r="AQ172"/>
  <c r="AQ179"/>
  <c r="AQ185"/>
  <c r="AQ275"/>
  <c r="AQ47"/>
  <c r="AQ57"/>
  <c r="AQ65"/>
  <c r="AQ75"/>
  <c r="AQ83"/>
  <c r="AQ85"/>
  <c r="AQ93"/>
  <c r="AQ103"/>
  <c r="AQ111"/>
  <c r="AQ121"/>
  <c r="AQ129"/>
  <c r="AQ139"/>
  <c r="AQ147"/>
  <c r="AQ149"/>
  <c r="AQ165"/>
  <c r="AQ173"/>
  <c r="AQ232"/>
  <c r="AQ295"/>
  <c r="AQ160"/>
  <c r="AQ170"/>
  <c r="AQ178"/>
  <c r="AQ190"/>
  <c r="AQ200"/>
  <c r="AQ208"/>
  <c r="AQ332"/>
  <c r="AQ150"/>
  <c r="AQ158"/>
  <c r="AQ168"/>
  <c r="AQ176"/>
  <c r="AQ186"/>
  <c r="AQ193"/>
  <c r="AQ216"/>
  <c r="AQ240"/>
  <c r="AQ267"/>
  <c r="AQ333"/>
  <c r="AQ156"/>
  <c r="AQ166"/>
  <c r="AQ174"/>
  <c r="AQ184"/>
  <c r="AQ188"/>
  <c r="AQ151"/>
  <c r="AQ159"/>
  <c r="AQ169"/>
  <c r="AQ177"/>
  <c r="AQ271"/>
  <c r="AQ194"/>
  <c r="AQ204"/>
  <c r="AQ214"/>
  <c r="AQ222"/>
  <c r="AQ233"/>
  <c r="AQ234"/>
  <c r="AQ241"/>
  <c r="AQ242"/>
  <c r="AQ349"/>
  <c r="AQ199"/>
  <c r="AQ207"/>
  <c r="AQ217"/>
  <c r="AQ224"/>
  <c r="AQ235"/>
  <c r="AQ243"/>
  <c r="AQ250"/>
  <c r="AQ258"/>
  <c r="AQ282"/>
  <c r="AQ314"/>
  <c r="AQ202"/>
  <c r="AQ210"/>
  <c r="AQ220"/>
  <c r="AQ225"/>
  <c r="AQ284"/>
  <c r="AQ290"/>
  <c r="AQ322"/>
  <c r="AQ187"/>
  <c r="AQ195"/>
  <c r="AQ197"/>
  <c r="AQ205"/>
  <c r="AQ215"/>
  <c r="AQ223"/>
  <c r="AQ230"/>
  <c r="AQ251"/>
  <c r="AQ252"/>
  <c r="AQ259"/>
  <c r="AQ261"/>
  <c r="AQ299"/>
  <c r="AQ303"/>
  <c r="AQ313"/>
  <c r="AQ238"/>
  <c r="AQ248"/>
  <c r="AQ256"/>
  <c r="AQ323"/>
  <c r="AQ226"/>
  <c r="AQ236"/>
  <c r="AQ246"/>
  <c r="AQ254"/>
  <c r="AQ277"/>
  <c r="AQ285"/>
  <c r="AQ315"/>
  <c r="AQ362"/>
  <c r="AQ370"/>
  <c r="AQ231"/>
  <c r="AQ239"/>
  <c r="AQ249"/>
  <c r="AQ257"/>
  <c r="AQ264"/>
  <c r="AQ272"/>
  <c r="AQ300"/>
  <c r="AQ325"/>
  <c r="AQ380"/>
  <c r="AQ227"/>
  <c r="AQ229"/>
  <c r="AQ237"/>
  <c r="AQ247"/>
  <c r="AQ255"/>
  <c r="AQ266"/>
  <c r="AQ274"/>
  <c r="AQ281"/>
  <c r="AQ289"/>
  <c r="AQ294"/>
  <c r="AQ302"/>
  <c r="AQ269"/>
  <c r="AQ279"/>
  <c r="AQ287"/>
  <c r="AQ297"/>
  <c r="AQ305"/>
  <c r="AQ319"/>
  <c r="AQ331"/>
  <c r="AQ385"/>
  <c r="AQ262"/>
  <c r="AQ270"/>
  <c r="AQ280"/>
  <c r="AQ288"/>
  <c r="AQ298"/>
  <c r="AQ316"/>
  <c r="AQ326"/>
  <c r="AQ334"/>
  <c r="AQ337"/>
  <c r="AQ361"/>
  <c r="AQ365"/>
  <c r="AQ265"/>
  <c r="AQ273"/>
  <c r="AQ283"/>
  <c r="AQ291"/>
  <c r="AQ293"/>
  <c r="AQ301"/>
  <c r="AQ311"/>
  <c r="AQ391"/>
  <c r="AQ268"/>
  <c r="AQ278"/>
  <c r="AQ286"/>
  <c r="AQ296"/>
  <c r="AQ304"/>
  <c r="AQ306"/>
  <c r="AQ321"/>
  <c r="AQ329"/>
  <c r="AQ341"/>
  <c r="AQ350"/>
  <c r="AQ351"/>
  <c r="AQ307"/>
  <c r="AQ309"/>
  <c r="AQ317"/>
  <c r="AQ327"/>
  <c r="AQ335"/>
  <c r="AQ339"/>
  <c r="AQ389"/>
  <c r="AQ402"/>
  <c r="AQ312"/>
  <c r="AQ320"/>
  <c r="AQ330"/>
  <c r="AQ342"/>
  <c r="AQ344"/>
  <c r="AQ310"/>
  <c r="AQ318"/>
  <c r="AQ328"/>
  <c r="AQ343"/>
  <c r="AQ354"/>
  <c r="AQ364"/>
  <c r="AQ347"/>
  <c r="AQ357"/>
  <c r="AQ367"/>
  <c r="AQ345"/>
  <c r="AQ352"/>
  <c r="AQ355"/>
  <c r="AQ359"/>
  <c r="AQ384"/>
  <c r="AQ338"/>
  <c r="AQ348"/>
  <c r="AQ336"/>
  <c r="AQ346"/>
  <c r="AQ382"/>
  <c r="AQ387"/>
  <c r="AQ396"/>
  <c r="AQ360"/>
  <c r="AQ371"/>
  <c r="AQ376"/>
  <c r="AQ397"/>
  <c r="AQ353"/>
  <c r="AQ363"/>
  <c r="AQ374"/>
  <c r="AQ392"/>
  <c r="AQ358"/>
  <c r="AQ366"/>
  <c r="AQ368"/>
  <c r="AQ379"/>
  <c r="AQ399"/>
  <c r="AQ377"/>
  <c r="AQ394"/>
  <c r="AQ369"/>
  <c r="AQ373"/>
  <c r="AQ381"/>
  <c r="AQ395"/>
  <c r="AQ403"/>
  <c r="AQ378"/>
  <c r="AQ386"/>
  <c r="AQ390"/>
  <c r="AQ398"/>
  <c r="AQ375"/>
  <c r="AQ383"/>
  <c r="AQ393"/>
  <c r="AQ401"/>
  <c r="AX66"/>
  <c r="AX87"/>
  <c r="AX8"/>
  <c r="AX34"/>
  <c r="AX152"/>
  <c r="AX67"/>
  <c r="AX170"/>
  <c r="AX95"/>
  <c r="AX337"/>
  <c r="AX83"/>
  <c r="AX111"/>
  <c r="AX16"/>
  <c r="AX86"/>
  <c r="AX94"/>
  <c r="AX17"/>
  <c r="AX96"/>
  <c r="AX130"/>
  <c r="AX131"/>
  <c r="AX147"/>
  <c r="AX216"/>
  <c r="AX271"/>
  <c r="AX37"/>
  <c r="AX58"/>
  <c r="AX103"/>
  <c r="AX24"/>
  <c r="AX122"/>
  <c r="AX250"/>
  <c r="AX26"/>
  <c r="AX32"/>
  <c r="AX47"/>
  <c r="AX9"/>
  <c r="AX11"/>
  <c r="AX19"/>
  <c r="AX39"/>
  <c r="AX59"/>
  <c r="AX70"/>
  <c r="AX88"/>
  <c r="AX123"/>
  <c r="AX134"/>
  <c r="AX177"/>
  <c r="AX178"/>
  <c r="AX10"/>
  <c r="AX48"/>
  <c r="AX104"/>
  <c r="AX112"/>
  <c r="AX190"/>
  <c r="AX27"/>
  <c r="AX35"/>
  <c r="AX60"/>
  <c r="AX78"/>
  <c r="AX124"/>
  <c r="AX142"/>
  <c r="AX286"/>
  <c r="AX6"/>
  <c r="AX14"/>
  <c r="AX21"/>
  <c r="AX29"/>
  <c r="AX75"/>
  <c r="AX139"/>
  <c r="AX12"/>
  <c r="AX22"/>
  <c r="AX30"/>
  <c r="AX40"/>
  <c r="AX49"/>
  <c r="AX105"/>
  <c r="AX113"/>
  <c r="AX7"/>
  <c r="AX15"/>
  <c r="AX25"/>
  <c r="AX33"/>
  <c r="AX76"/>
  <c r="AX140"/>
  <c r="AX213"/>
  <c r="AX221"/>
  <c r="AX18"/>
  <c r="AX28"/>
  <c r="AX38"/>
  <c r="AX42"/>
  <c r="AX50"/>
  <c r="AX57"/>
  <c r="AX65"/>
  <c r="AX69"/>
  <c r="AX77"/>
  <c r="AX85"/>
  <c r="AX93"/>
  <c r="AX106"/>
  <c r="AX114"/>
  <c r="AX121"/>
  <c r="AX129"/>
  <c r="AX133"/>
  <c r="AX141"/>
  <c r="AX149"/>
  <c r="AX162"/>
  <c r="AX230"/>
  <c r="AX5"/>
  <c r="AX13"/>
  <c r="AX23"/>
  <c r="AX31"/>
  <c r="AX41"/>
  <c r="AX154"/>
  <c r="AX158"/>
  <c r="AX169"/>
  <c r="AX189"/>
  <c r="AX45"/>
  <c r="AX55"/>
  <c r="AX63"/>
  <c r="AX73"/>
  <c r="AX81"/>
  <c r="AX91"/>
  <c r="AX99"/>
  <c r="AX101"/>
  <c r="AX109"/>
  <c r="AX119"/>
  <c r="AX127"/>
  <c r="AX137"/>
  <c r="AX145"/>
  <c r="AX159"/>
  <c r="AX172"/>
  <c r="AX186"/>
  <c r="AX193"/>
  <c r="AX43"/>
  <c r="AX51"/>
  <c r="AX53"/>
  <c r="AX61"/>
  <c r="AX71"/>
  <c r="AX79"/>
  <c r="AX89"/>
  <c r="AX97"/>
  <c r="AX107"/>
  <c r="AX115"/>
  <c r="AX117"/>
  <c r="AX125"/>
  <c r="AX135"/>
  <c r="AX143"/>
  <c r="AX150"/>
  <c r="AX160"/>
  <c r="AX257"/>
  <c r="AX46"/>
  <c r="AX56"/>
  <c r="AX64"/>
  <c r="AX74"/>
  <c r="AX82"/>
  <c r="AX92"/>
  <c r="AX102"/>
  <c r="AX110"/>
  <c r="AX120"/>
  <c r="AX128"/>
  <c r="AX138"/>
  <c r="AX146"/>
  <c r="AX151"/>
  <c r="AX168"/>
  <c r="AX176"/>
  <c r="AX195"/>
  <c r="AX258"/>
  <c r="AX44"/>
  <c r="AX54"/>
  <c r="AX62"/>
  <c r="AX72"/>
  <c r="AX80"/>
  <c r="AX90"/>
  <c r="AX98"/>
  <c r="AX108"/>
  <c r="AX118"/>
  <c r="AX126"/>
  <c r="AX136"/>
  <c r="AX144"/>
  <c r="AX182"/>
  <c r="AX188"/>
  <c r="AX197"/>
  <c r="AX205"/>
  <c r="AX249"/>
  <c r="AX157"/>
  <c r="AX167"/>
  <c r="AX175"/>
  <c r="AX185"/>
  <c r="AX203"/>
  <c r="AX211"/>
  <c r="AX218"/>
  <c r="AX237"/>
  <c r="AX278"/>
  <c r="AX155"/>
  <c r="AX163"/>
  <c r="AX165"/>
  <c r="AX173"/>
  <c r="AX183"/>
  <c r="AX153"/>
  <c r="AX161"/>
  <c r="AX171"/>
  <c r="AX179"/>
  <c r="AX181"/>
  <c r="AX187"/>
  <c r="AX198"/>
  <c r="AX206"/>
  <c r="AX215"/>
  <c r="AX225"/>
  <c r="AX263"/>
  <c r="AX156"/>
  <c r="AX166"/>
  <c r="AX174"/>
  <c r="AX184"/>
  <c r="AX200"/>
  <c r="AX208"/>
  <c r="AX229"/>
  <c r="AX269"/>
  <c r="AX282"/>
  <c r="AX191"/>
  <c r="AX201"/>
  <c r="AX209"/>
  <c r="AX219"/>
  <c r="AX227"/>
  <c r="AX238"/>
  <c r="AX290"/>
  <c r="AX305"/>
  <c r="AX194"/>
  <c r="AX204"/>
  <c r="AX214"/>
  <c r="AX222"/>
  <c r="AX231"/>
  <c r="AX239"/>
  <c r="AX247"/>
  <c r="AX255"/>
  <c r="AX297"/>
  <c r="AX299"/>
  <c r="AX352"/>
  <c r="AX199"/>
  <c r="AX207"/>
  <c r="AX217"/>
  <c r="AX321"/>
  <c r="AX344"/>
  <c r="AX192"/>
  <c r="AX202"/>
  <c r="AX210"/>
  <c r="AX220"/>
  <c r="AX232"/>
  <c r="AX240"/>
  <c r="AX248"/>
  <c r="AX256"/>
  <c r="AX235"/>
  <c r="AX243"/>
  <c r="AX245"/>
  <c r="AX253"/>
  <c r="AX264"/>
  <c r="AX272"/>
  <c r="AX279"/>
  <c r="AX287"/>
  <c r="AX300"/>
  <c r="AX223"/>
  <c r="AX233"/>
  <c r="AX241"/>
  <c r="AX251"/>
  <c r="AX259"/>
  <c r="AX268"/>
  <c r="AX281"/>
  <c r="AX289"/>
  <c r="AX296"/>
  <c r="AX304"/>
  <c r="AX312"/>
  <c r="AX329"/>
  <c r="AX359"/>
  <c r="AX226"/>
  <c r="AX236"/>
  <c r="AX246"/>
  <c r="AX254"/>
  <c r="AX261"/>
  <c r="AX316"/>
  <c r="AX318"/>
  <c r="AX224"/>
  <c r="AX234"/>
  <c r="AX242"/>
  <c r="AX252"/>
  <c r="AX342"/>
  <c r="AX266"/>
  <c r="AX274"/>
  <c r="AX284"/>
  <c r="AX294"/>
  <c r="AX302"/>
  <c r="AX306"/>
  <c r="AX311"/>
  <c r="AX320"/>
  <c r="AX328"/>
  <c r="AX267"/>
  <c r="AX275"/>
  <c r="AX277"/>
  <c r="AX285"/>
  <c r="AX295"/>
  <c r="AX303"/>
  <c r="AX313"/>
  <c r="AX330"/>
  <c r="AX346"/>
  <c r="AX375"/>
  <c r="AX262"/>
  <c r="AX270"/>
  <c r="AX280"/>
  <c r="AX288"/>
  <c r="AX298"/>
  <c r="AX319"/>
  <c r="AX348"/>
  <c r="AX265"/>
  <c r="AX273"/>
  <c r="AX283"/>
  <c r="AX291"/>
  <c r="AX293"/>
  <c r="AX301"/>
  <c r="AX310"/>
  <c r="AX331"/>
  <c r="AX377"/>
  <c r="AX326"/>
  <c r="AX334"/>
  <c r="AX336"/>
  <c r="AX347"/>
  <c r="AX374"/>
  <c r="AX314"/>
  <c r="AX322"/>
  <c r="AX332"/>
  <c r="AX366"/>
  <c r="AX307"/>
  <c r="AX309"/>
  <c r="AX317"/>
  <c r="AX327"/>
  <c r="AX335"/>
  <c r="AX338"/>
  <c r="AX341"/>
  <c r="AX349"/>
  <c r="AX315"/>
  <c r="AX323"/>
  <c r="AX325"/>
  <c r="AX333"/>
  <c r="AX339"/>
  <c r="AX361"/>
  <c r="AX379"/>
  <c r="AX397"/>
  <c r="AX399"/>
  <c r="AX350"/>
  <c r="AX368"/>
  <c r="AX345"/>
  <c r="AX354"/>
  <c r="AX358"/>
  <c r="AX362"/>
  <c r="AX394"/>
  <c r="AX343"/>
  <c r="AX351"/>
  <c r="AX364"/>
  <c r="AX393"/>
  <c r="AX355"/>
  <c r="AX357"/>
  <c r="AX365"/>
  <c r="AX370"/>
  <c r="AX389"/>
  <c r="AX401"/>
  <c r="AX360"/>
  <c r="AX380"/>
  <c r="AX382"/>
  <c r="AX396"/>
  <c r="AX353"/>
  <c r="AX363"/>
  <c r="AX367"/>
  <c r="AX387"/>
  <c r="AX391"/>
  <c r="AX371"/>
  <c r="AX383"/>
  <c r="AX385"/>
  <c r="AX402"/>
  <c r="AX376"/>
  <c r="AX384"/>
  <c r="AX392"/>
  <c r="AX400"/>
  <c r="AX369"/>
  <c r="AX373"/>
  <c r="AX381"/>
  <c r="AX395"/>
  <c r="AX403"/>
  <c r="AX378"/>
  <c r="AX386"/>
  <c r="AX390"/>
  <c r="AX398"/>
  <c r="P16"/>
  <c r="P5"/>
  <c r="P144"/>
  <c r="P178"/>
  <c r="P170"/>
  <c r="P233"/>
  <c r="P87"/>
  <c r="P153"/>
  <c r="P21"/>
  <c r="P23"/>
  <c r="P79"/>
  <c r="P95"/>
  <c r="P156"/>
  <c r="P231"/>
  <c r="P10"/>
  <c r="P29"/>
  <c r="P31"/>
  <c r="P80"/>
  <c r="P143"/>
  <c r="P18"/>
  <c r="P38"/>
  <c r="P43"/>
  <c r="P44"/>
  <c r="P51"/>
  <c r="P67"/>
  <c r="P107"/>
  <c r="P108"/>
  <c r="P115"/>
  <c r="P131"/>
  <c r="P26"/>
  <c r="P34"/>
  <c r="P59"/>
  <c r="P70"/>
  <c r="P123"/>
  <c r="P134"/>
  <c r="P11"/>
  <c r="P19"/>
  <c r="P39"/>
  <c r="P71"/>
  <c r="P135"/>
  <c r="P205"/>
  <c r="P208"/>
  <c r="P220"/>
  <c r="P8"/>
  <c r="P13"/>
  <c r="P28"/>
  <c r="P41"/>
  <c r="P72"/>
  <c r="P78"/>
  <c r="P136"/>
  <c r="P142"/>
  <c r="P172"/>
  <c r="P6"/>
  <c r="P14"/>
  <c r="P24"/>
  <c r="P32"/>
  <c r="P60"/>
  <c r="P88"/>
  <c r="P96"/>
  <c r="P124"/>
  <c r="P263"/>
  <c r="P9"/>
  <c r="P17"/>
  <c r="P27"/>
  <c r="P35"/>
  <c r="P37"/>
  <c r="P49"/>
  <c r="P53"/>
  <c r="P61"/>
  <c r="P89"/>
  <c r="P97"/>
  <c r="P105"/>
  <c r="P113"/>
  <c r="P117"/>
  <c r="P125"/>
  <c r="P182"/>
  <c r="P191"/>
  <c r="P200"/>
  <c r="P12"/>
  <c r="P22"/>
  <c r="P30"/>
  <c r="P40"/>
  <c r="P54"/>
  <c r="P62"/>
  <c r="P90"/>
  <c r="P98"/>
  <c r="P118"/>
  <c r="P126"/>
  <c r="P197"/>
  <c r="P7"/>
  <c r="P15"/>
  <c r="P25"/>
  <c r="P33"/>
  <c r="P42"/>
  <c r="P50"/>
  <c r="P69"/>
  <c r="P77"/>
  <c r="P106"/>
  <c r="P114"/>
  <c r="P133"/>
  <c r="P141"/>
  <c r="P151"/>
  <c r="P161"/>
  <c r="P215"/>
  <c r="P223"/>
  <c r="P47"/>
  <c r="P57"/>
  <c r="P65"/>
  <c r="P75"/>
  <c r="P83"/>
  <c r="P85"/>
  <c r="P93"/>
  <c r="P103"/>
  <c r="P111"/>
  <c r="P121"/>
  <c r="P129"/>
  <c r="P139"/>
  <c r="P147"/>
  <c r="P149"/>
  <c r="P171"/>
  <c r="P179"/>
  <c r="P184"/>
  <c r="P232"/>
  <c r="P45"/>
  <c r="P55"/>
  <c r="P63"/>
  <c r="P73"/>
  <c r="P81"/>
  <c r="P91"/>
  <c r="P99"/>
  <c r="P101"/>
  <c r="P109"/>
  <c r="P119"/>
  <c r="P127"/>
  <c r="P137"/>
  <c r="P145"/>
  <c r="P48"/>
  <c r="P58"/>
  <c r="P66"/>
  <c r="P76"/>
  <c r="P86"/>
  <c r="P94"/>
  <c r="P104"/>
  <c r="P112"/>
  <c r="P122"/>
  <c r="P130"/>
  <c r="P140"/>
  <c r="P152"/>
  <c r="P160"/>
  <c r="P166"/>
  <c r="P174"/>
  <c r="P187"/>
  <c r="P242"/>
  <c r="P46"/>
  <c r="P56"/>
  <c r="P64"/>
  <c r="P74"/>
  <c r="P82"/>
  <c r="P92"/>
  <c r="P102"/>
  <c r="P110"/>
  <c r="P120"/>
  <c r="P128"/>
  <c r="P138"/>
  <c r="P146"/>
  <c r="P154"/>
  <c r="P162"/>
  <c r="P181"/>
  <c r="P270"/>
  <c r="P314"/>
  <c r="P159"/>
  <c r="P169"/>
  <c r="P177"/>
  <c r="P188"/>
  <c r="P195"/>
  <c r="P202"/>
  <c r="P210"/>
  <c r="P217"/>
  <c r="P227"/>
  <c r="P234"/>
  <c r="P240"/>
  <c r="P241"/>
  <c r="P249"/>
  <c r="P257"/>
  <c r="P271"/>
  <c r="P157"/>
  <c r="P167"/>
  <c r="P175"/>
  <c r="P185"/>
  <c r="P189"/>
  <c r="P192"/>
  <c r="P218"/>
  <c r="P250"/>
  <c r="P258"/>
  <c r="P155"/>
  <c r="P163"/>
  <c r="P165"/>
  <c r="P173"/>
  <c r="P183"/>
  <c r="P150"/>
  <c r="P158"/>
  <c r="P168"/>
  <c r="P176"/>
  <c r="P186"/>
  <c r="P190"/>
  <c r="P199"/>
  <c r="P207"/>
  <c r="P193"/>
  <c r="P203"/>
  <c r="P211"/>
  <c r="P213"/>
  <c r="P221"/>
  <c r="P251"/>
  <c r="P259"/>
  <c r="P262"/>
  <c r="P283"/>
  <c r="P198"/>
  <c r="P206"/>
  <c r="P216"/>
  <c r="P252"/>
  <c r="P284"/>
  <c r="P291"/>
  <c r="P312"/>
  <c r="P377"/>
  <c r="P201"/>
  <c r="P209"/>
  <c r="P219"/>
  <c r="P224"/>
  <c r="P229"/>
  <c r="P239"/>
  <c r="P298"/>
  <c r="P299"/>
  <c r="P318"/>
  <c r="P194"/>
  <c r="P204"/>
  <c r="P214"/>
  <c r="P222"/>
  <c r="P237"/>
  <c r="P247"/>
  <c r="P255"/>
  <c r="P320"/>
  <c r="P225"/>
  <c r="P235"/>
  <c r="P243"/>
  <c r="P245"/>
  <c r="P253"/>
  <c r="P265"/>
  <c r="P273"/>
  <c r="P280"/>
  <c r="P288"/>
  <c r="P293"/>
  <c r="P301"/>
  <c r="P313"/>
  <c r="P331"/>
  <c r="P332"/>
  <c r="P230"/>
  <c r="P238"/>
  <c r="P248"/>
  <c r="P256"/>
  <c r="P266"/>
  <c r="P274"/>
  <c r="P281"/>
  <c r="P289"/>
  <c r="P294"/>
  <c r="P302"/>
  <c r="P226"/>
  <c r="P236"/>
  <c r="P246"/>
  <c r="P254"/>
  <c r="P339"/>
  <c r="P268"/>
  <c r="P278"/>
  <c r="P286"/>
  <c r="P296"/>
  <c r="P304"/>
  <c r="P325"/>
  <c r="P333"/>
  <c r="P361"/>
  <c r="P396"/>
  <c r="P261"/>
  <c r="P269"/>
  <c r="P279"/>
  <c r="P287"/>
  <c r="P297"/>
  <c r="P305"/>
  <c r="P307"/>
  <c r="P310"/>
  <c r="P315"/>
  <c r="P321"/>
  <c r="P342"/>
  <c r="P343"/>
  <c r="P264"/>
  <c r="P272"/>
  <c r="P282"/>
  <c r="P290"/>
  <c r="P300"/>
  <c r="P322"/>
  <c r="P330"/>
  <c r="P354"/>
  <c r="P363"/>
  <c r="P380"/>
  <c r="P267"/>
  <c r="P275"/>
  <c r="P277"/>
  <c r="P285"/>
  <c r="P295"/>
  <c r="P303"/>
  <c r="P323"/>
  <c r="P338"/>
  <c r="P349"/>
  <c r="P351"/>
  <c r="P375"/>
  <c r="P395"/>
  <c r="P401"/>
  <c r="P328"/>
  <c r="P336"/>
  <c r="P306"/>
  <c r="P316"/>
  <c r="P326"/>
  <c r="P334"/>
  <c r="P348"/>
  <c r="P358"/>
  <c r="P311"/>
  <c r="P319"/>
  <c r="P329"/>
  <c r="P360"/>
  <c r="P378"/>
  <c r="P309"/>
  <c r="P317"/>
  <c r="P327"/>
  <c r="P335"/>
  <c r="P341"/>
  <c r="P350"/>
  <c r="P346"/>
  <c r="P344"/>
  <c r="P352"/>
  <c r="P399"/>
  <c r="P337"/>
  <c r="P347"/>
  <c r="P364"/>
  <c r="P345"/>
  <c r="P353"/>
  <c r="P366"/>
  <c r="P373"/>
  <c r="P390"/>
  <c r="P359"/>
  <c r="P367"/>
  <c r="P369"/>
  <c r="P391"/>
  <c r="P362"/>
  <c r="P381"/>
  <c r="P383"/>
  <c r="P385"/>
  <c r="P403"/>
  <c r="P355"/>
  <c r="P357"/>
  <c r="P365"/>
  <c r="P370"/>
  <c r="P393"/>
  <c r="P398"/>
  <c r="P386"/>
  <c r="P368"/>
  <c r="P374"/>
  <c r="P382"/>
  <c r="P394"/>
  <c r="P402"/>
  <c r="P371"/>
  <c r="P379"/>
  <c r="P387"/>
  <c r="P389"/>
  <c r="P397"/>
  <c r="P376"/>
  <c r="P384"/>
  <c r="P392"/>
  <c r="P400"/>
  <c r="AM83"/>
  <c r="AM82"/>
  <c r="AM158"/>
  <c r="AM75"/>
  <c r="AM113"/>
  <c r="AM138"/>
  <c r="AM139"/>
  <c r="AM147"/>
  <c r="AM161"/>
  <c r="AM204"/>
  <c r="AM271"/>
  <c r="AM76"/>
  <c r="AM120"/>
  <c r="AM33"/>
  <c r="AM153"/>
  <c r="AM9"/>
  <c r="AM25"/>
  <c r="AM34"/>
  <c r="AM146"/>
  <c r="AM26"/>
  <c r="AM74"/>
  <c r="AM105"/>
  <c r="AM140"/>
  <c r="AM159"/>
  <c r="AM18"/>
  <c r="AM157"/>
  <c r="AM8"/>
  <c r="AM38"/>
  <c r="AM49"/>
  <c r="AM56"/>
  <c r="AM10"/>
  <c r="AM13"/>
  <c r="AM28"/>
  <c r="AM41"/>
  <c r="AM5"/>
  <c r="AM15"/>
  <c r="AM92"/>
  <c r="AM48"/>
  <c r="AM104"/>
  <c r="AM112"/>
  <c r="AM231"/>
  <c r="AM318"/>
  <c r="AM7"/>
  <c r="AM16"/>
  <c r="AM23"/>
  <c r="AM31"/>
  <c r="AM64"/>
  <c r="AM128"/>
  <c r="AM194"/>
  <c r="AM11"/>
  <c r="AM19"/>
  <c r="AM21"/>
  <c r="AM29"/>
  <c r="AM39"/>
  <c r="AM57"/>
  <c r="AM65"/>
  <c r="AM69"/>
  <c r="AM77"/>
  <c r="AM85"/>
  <c r="AM93"/>
  <c r="AM121"/>
  <c r="AM129"/>
  <c r="AM133"/>
  <c r="AM141"/>
  <c r="AM149"/>
  <c r="AM6"/>
  <c r="AM14"/>
  <c r="AM24"/>
  <c r="AM32"/>
  <c r="AM58"/>
  <c r="AM66"/>
  <c r="AM86"/>
  <c r="AM94"/>
  <c r="AM122"/>
  <c r="AM130"/>
  <c r="AM188"/>
  <c r="AM17"/>
  <c r="AM27"/>
  <c r="AM35"/>
  <c r="AM37"/>
  <c r="AM46"/>
  <c r="AM102"/>
  <c r="AM110"/>
  <c r="AM224"/>
  <c r="AM12"/>
  <c r="AM22"/>
  <c r="AM30"/>
  <c r="AM40"/>
  <c r="AM47"/>
  <c r="AM59"/>
  <c r="AM67"/>
  <c r="AM87"/>
  <c r="AM95"/>
  <c r="AM103"/>
  <c r="AM111"/>
  <c r="AM123"/>
  <c r="AM131"/>
  <c r="AM44"/>
  <c r="AM54"/>
  <c r="AM62"/>
  <c r="AM72"/>
  <c r="AM80"/>
  <c r="AM90"/>
  <c r="AM98"/>
  <c r="AM108"/>
  <c r="AM118"/>
  <c r="AM126"/>
  <c r="AM136"/>
  <c r="AM144"/>
  <c r="AM150"/>
  <c r="AM167"/>
  <c r="AM168"/>
  <c r="AM175"/>
  <c r="AM176"/>
  <c r="AM42"/>
  <c r="AM50"/>
  <c r="AM60"/>
  <c r="AM70"/>
  <c r="AM78"/>
  <c r="AM88"/>
  <c r="AM96"/>
  <c r="AM106"/>
  <c r="AM114"/>
  <c r="AM124"/>
  <c r="AM134"/>
  <c r="AM142"/>
  <c r="AM169"/>
  <c r="AM177"/>
  <c r="AM181"/>
  <c r="AM189"/>
  <c r="AM214"/>
  <c r="AM215"/>
  <c r="AM222"/>
  <c r="AM223"/>
  <c r="AM238"/>
  <c r="AM45"/>
  <c r="AM55"/>
  <c r="AM63"/>
  <c r="AM73"/>
  <c r="AM81"/>
  <c r="AM91"/>
  <c r="AM99"/>
  <c r="AM101"/>
  <c r="AM109"/>
  <c r="AM119"/>
  <c r="AM127"/>
  <c r="AM137"/>
  <c r="AM145"/>
  <c r="AM151"/>
  <c r="AM229"/>
  <c r="AM43"/>
  <c r="AM51"/>
  <c r="AM53"/>
  <c r="AM61"/>
  <c r="AM71"/>
  <c r="AM79"/>
  <c r="AM89"/>
  <c r="AM97"/>
  <c r="AM107"/>
  <c r="AM115"/>
  <c r="AM117"/>
  <c r="AM125"/>
  <c r="AM135"/>
  <c r="AM143"/>
  <c r="AM171"/>
  <c r="AM179"/>
  <c r="AM185"/>
  <c r="AM186"/>
  <c r="AM299"/>
  <c r="AM303"/>
  <c r="AM156"/>
  <c r="AM166"/>
  <c r="AM174"/>
  <c r="AM184"/>
  <c r="AM197"/>
  <c r="AM205"/>
  <c r="AM220"/>
  <c r="AM319"/>
  <c r="AM154"/>
  <c r="AM162"/>
  <c r="AM172"/>
  <c r="AM182"/>
  <c r="AM199"/>
  <c r="AM207"/>
  <c r="AM237"/>
  <c r="AM275"/>
  <c r="AM295"/>
  <c r="AM320"/>
  <c r="AM366"/>
  <c r="AM152"/>
  <c r="AM160"/>
  <c r="AM170"/>
  <c r="AM178"/>
  <c r="AM192"/>
  <c r="AM226"/>
  <c r="AM239"/>
  <c r="AM246"/>
  <c r="AM247"/>
  <c r="AM254"/>
  <c r="AM255"/>
  <c r="AM155"/>
  <c r="AM163"/>
  <c r="AM165"/>
  <c r="AM173"/>
  <c r="AM183"/>
  <c r="AM187"/>
  <c r="AM195"/>
  <c r="AM202"/>
  <c r="AM210"/>
  <c r="AM217"/>
  <c r="AM230"/>
  <c r="AM190"/>
  <c r="AM200"/>
  <c r="AM208"/>
  <c r="AM218"/>
  <c r="AM227"/>
  <c r="AM248"/>
  <c r="AM256"/>
  <c r="AM263"/>
  <c r="AM267"/>
  <c r="AM329"/>
  <c r="AM193"/>
  <c r="AM203"/>
  <c r="AM211"/>
  <c r="AM213"/>
  <c r="AM221"/>
  <c r="AM278"/>
  <c r="AM328"/>
  <c r="AM198"/>
  <c r="AM206"/>
  <c r="AM216"/>
  <c r="AM249"/>
  <c r="AM257"/>
  <c r="AM280"/>
  <c r="AM286"/>
  <c r="AM191"/>
  <c r="AM201"/>
  <c r="AM209"/>
  <c r="AM219"/>
  <c r="AM236"/>
  <c r="AM288"/>
  <c r="AM234"/>
  <c r="AM242"/>
  <c r="AM252"/>
  <c r="AM268"/>
  <c r="AM281"/>
  <c r="AM289"/>
  <c r="AM296"/>
  <c r="AM304"/>
  <c r="AM307"/>
  <c r="AM311"/>
  <c r="AM339"/>
  <c r="AM232"/>
  <c r="AM240"/>
  <c r="AM250"/>
  <c r="AM258"/>
  <c r="AM317"/>
  <c r="AM225"/>
  <c r="AM235"/>
  <c r="AM243"/>
  <c r="AM245"/>
  <c r="AM253"/>
  <c r="AM262"/>
  <c r="AM270"/>
  <c r="AM277"/>
  <c r="AM285"/>
  <c r="AM298"/>
  <c r="AM341"/>
  <c r="AM346"/>
  <c r="AM348"/>
  <c r="AM233"/>
  <c r="AM241"/>
  <c r="AM251"/>
  <c r="AM259"/>
  <c r="AM330"/>
  <c r="AM360"/>
  <c r="AM265"/>
  <c r="AM273"/>
  <c r="AM283"/>
  <c r="AM291"/>
  <c r="AM293"/>
  <c r="AM301"/>
  <c r="AM312"/>
  <c r="AM345"/>
  <c r="AM266"/>
  <c r="AM274"/>
  <c r="AM284"/>
  <c r="AM294"/>
  <c r="AM302"/>
  <c r="AM309"/>
  <c r="AM261"/>
  <c r="AM269"/>
  <c r="AM279"/>
  <c r="AM287"/>
  <c r="AM297"/>
  <c r="AM305"/>
  <c r="AM264"/>
  <c r="AM272"/>
  <c r="AM282"/>
  <c r="AM290"/>
  <c r="AM300"/>
  <c r="AM310"/>
  <c r="AM315"/>
  <c r="AM327"/>
  <c r="AM335"/>
  <c r="AM337"/>
  <c r="AM357"/>
  <c r="AM323"/>
  <c r="AM325"/>
  <c r="AM333"/>
  <c r="AM343"/>
  <c r="AM369"/>
  <c r="AM393"/>
  <c r="AM313"/>
  <c r="AM321"/>
  <c r="AM331"/>
  <c r="AM336"/>
  <c r="AM367"/>
  <c r="AM306"/>
  <c r="AM316"/>
  <c r="AM326"/>
  <c r="AM334"/>
  <c r="AM338"/>
  <c r="AM353"/>
  <c r="AM373"/>
  <c r="AM398"/>
  <c r="AM314"/>
  <c r="AM322"/>
  <c r="AM332"/>
  <c r="AM347"/>
  <c r="AM351"/>
  <c r="AM361"/>
  <c r="AM386"/>
  <c r="AM400"/>
  <c r="AM349"/>
  <c r="AM344"/>
  <c r="AM355"/>
  <c r="AM358"/>
  <c r="AM363"/>
  <c r="AM375"/>
  <c r="AM384"/>
  <c r="AM395"/>
  <c r="AM342"/>
  <c r="AM350"/>
  <c r="AM352"/>
  <c r="AM365"/>
  <c r="AM354"/>
  <c r="AM364"/>
  <c r="AM390"/>
  <c r="AM401"/>
  <c r="AM359"/>
  <c r="AM370"/>
  <c r="AM376"/>
  <c r="AM378"/>
  <c r="AM380"/>
  <c r="AM396"/>
  <c r="AM362"/>
  <c r="AM371"/>
  <c r="AM392"/>
  <c r="AM381"/>
  <c r="AM383"/>
  <c r="AM403"/>
  <c r="AM377"/>
  <c r="AM385"/>
  <c r="AM391"/>
  <c r="AM399"/>
  <c r="AM368"/>
  <c r="AM374"/>
  <c r="AM382"/>
  <c r="AM394"/>
  <c r="AM402"/>
  <c r="AM379"/>
  <c r="AM387"/>
  <c r="AM389"/>
  <c r="AM397"/>
  <c r="AL74"/>
  <c r="AL136"/>
  <c r="AL40"/>
  <c r="AL6"/>
  <c r="AL5"/>
  <c r="AL23"/>
  <c r="AL54"/>
  <c r="AL156"/>
  <c r="AL25"/>
  <c r="AL38"/>
  <c r="AL187"/>
  <c r="AL119"/>
  <c r="AL53"/>
  <c r="AL80"/>
  <c r="AL82"/>
  <c r="AL138"/>
  <c r="AL165"/>
  <c r="AL7"/>
  <c r="AL31"/>
  <c r="AL81"/>
  <c r="AL55"/>
  <c r="AL137"/>
  <c r="AL33"/>
  <c r="AL72"/>
  <c r="AL73"/>
  <c r="AL117"/>
  <c r="AL118"/>
  <c r="AL63"/>
  <c r="AL144"/>
  <c r="AL145"/>
  <c r="AL146"/>
  <c r="AL61"/>
  <c r="AL62"/>
  <c r="AL127"/>
  <c r="AL12"/>
  <c r="AL18"/>
  <c r="AL125"/>
  <c r="AL126"/>
  <c r="AL207"/>
  <c r="AL199"/>
  <c r="AL304"/>
  <c r="AL10"/>
  <c r="AL13"/>
  <c r="AL28"/>
  <c r="AL41"/>
  <c r="AL99"/>
  <c r="AL15"/>
  <c r="AL22"/>
  <c r="AL30"/>
  <c r="AL91"/>
  <c r="AL97"/>
  <c r="AL98"/>
  <c r="AL168"/>
  <c r="AL89"/>
  <c r="AL90"/>
  <c r="AL186"/>
  <c r="AL8"/>
  <c r="AL16"/>
  <c r="AL26"/>
  <c r="AL34"/>
  <c r="AL56"/>
  <c r="AL64"/>
  <c r="AL92"/>
  <c r="AL120"/>
  <c r="AL128"/>
  <c r="AL150"/>
  <c r="AL172"/>
  <c r="AL173"/>
  <c r="AL176"/>
  <c r="AL11"/>
  <c r="AL19"/>
  <c r="AL21"/>
  <c r="AL29"/>
  <c r="AL39"/>
  <c r="AL43"/>
  <c r="AL51"/>
  <c r="AL107"/>
  <c r="AL115"/>
  <c r="AL293"/>
  <c r="AL14"/>
  <c r="AL24"/>
  <c r="AL32"/>
  <c r="AL44"/>
  <c r="AL45"/>
  <c r="AL101"/>
  <c r="AL108"/>
  <c r="AL109"/>
  <c r="AL9"/>
  <c r="AL17"/>
  <c r="AL27"/>
  <c r="AL35"/>
  <c r="AL37"/>
  <c r="AL46"/>
  <c r="AL71"/>
  <c r="AL79"/>
  <c r="AL102"/>
  <c r="AL110"/>
  <c r="AL135"/>
  <c r="AL143"/>
  <c r="AL183"/>
  <c r="AL49"/>
  <c r="AL59"/>
  <c r="AL67"/>
  <c r="AL69"/>
  <c r="AL77"/>
  <c r="AL87"/>
  <c r="AL95"/>
  <c r="AL105"/>
  <c r="AL113"/>
  <c r="AL123"/>
  <c r="AL131"/>
  <c r="AL133"/>
  <c r="AL141"/>
  <c r="AL166"/>
  <c r="AL174"/>
  <c r="AL194"/>
  <c r="AL202"/>
  <c r="AL204"/>
  <c r="AL210"/>
  <c r="AL47"/>
  <c r="AL57"/>
  <c r="AL65"/>
  <c r="AL75"/>
  <c r="AL83"/>
  <c r="AL85"/>
  <c r="AL93"/>
  <c r="AL103"/>
  <c r="AL111"/>
  <c r="AL121"/>
  <c r="AL129"/>
  <c r="AL139"/>
  <c r="AL147"/>
  <c r="AL149"/>
  <c r="AL154"/>
  <c r="AL162"/>
  <c r="AL217"/>
  <c r="AL219"/>
  <c r="AL220"/>
  <c r="AL400"/>
  <c r="AL42"/>
  <c r="AL50"/>
  <c r="AL60"/>
  <c r="AL70"/>
  <c r="AL78"/>
  <c r="AL88"/>
  <c r="AL96"/>
  <c r="AL106"/>
  <c r="AL114"/>
  <c r="AL124"/>
  <c r="AL134"/>
  <c r="AL142"/>
  <c r="AL155"/>
  <c r="AL163"/>
  <c r="AL182"/>
  <c r="AL225"/>
  <c r="AL48"/>
  <c r="AL58"/>
  <c r="AL66"/>
  <c r="AL76"/>
  <c r="AL86"/>
  <c r="AL94"/>
  <c r="AL104"/>
  <c r="AL112"/>
  <c r="AL122"/>
  <c r="AL130"/>
  <c r="AL140"/>
  <c r="AL158"/>
  <c r="AL184"/>
  <c r="AL191"/>
  <c r="AL153"/>
  <c r="AL161"/>
  <c r="AL171"/>
  <c r="AL179"/>
  <c r="AL181"/>
  <c r="AL312"/>
  <c r="AL151"/>
  <c r="AL159"/>
  <c r="AL169"/>
  <c r="AL177"/>
  <c r="AL189"/>
  <c r="AL214"/>
  <c r="AL222"/>
  <c r="AL236"/>
  <c r="AL296"/>
  <c r="AL301"/>
  <c r="AL157"/>
  <c r="AL167"/>
  <c r="AL175"/>
  <c r="AL185"/>
  <c r="AL190"/>
  <c r="AL201"/>
  <c r="AL209"/>
  <c r="AL224"/>
  <c r="AL251"/>
  <c r="AL259"/>
  <c r="AL152"/>
  <c r="AL160"/>
  <c r="AL170"/>
  <c r="AL178"/>
  <c r="AL192"/>
  <c r="AL193"/>
  <c r="AL226"/>
  <c r="AL245"/>
  <c r="AL246"/>
  <c r="AL252"/>
  <c r="AL253"/>
  <c r="AL254"/>
  <c r="AL195"/>
  <c r="AL197"/>
  <c r="AL205"/>
  <c r="AL215"/>
  <c r="AL223"/>
  <c r="AL231"/>
  <c r="AL268"/>
  <c r="AL273"/>
  <c r="AL200"/>
  <c r="AL208"/>
  <c r="AL218"/>
  <c r="AL262"/>
  <c r="AL265"/>
  <c r="AL277"/>
  <c r="AL203"/>
  <c r="AL211"/>
  <c r="AL213"/>
  <c r="AL221"/>
  <c r="AL233"/>
  <c r="AL241"/>
  <c r="AL282"/>
  <c r="AL285"/>
  <c r="AL327"/>
  <c r="AL188"/>
  <c r="AL198"/>
  <c r="AL206"/>
  <c r="AL216"/>
  <c r="AL234"/>
  <c r="AL235"/>
  <c r="AL242"/>
  <c r="AL243"/>
  <c r="AL290"/>
  <c r="AL316"/>
  <c r="AL239"/>
  <c r="AL249"/>
  <c r="AL257"/>
  <c r="AL267"/>
  <c r="AL275"/>
  <c r="AL295"/>
  <c r="AL303"/>
  <c r="AL342"/>
  <c r="AL227"/>
  <c r="AL229"/>
  <c r="AL237"/>
  <c r="AL247"/>
  <c r="AL255"/>
  <c r="AL322"/>
  <c r="AL323"/>
  <c r="AL232"/>
  <c r="AL240"/>
  <c r="AL250"/>
  <c r="AL258"/>
  <c r="AL283"/>
  <c r="AL291"/>
  <c r="AL315"/>
  <c r="AL230"/>
  <c r="AL238"/>
  <c r="AL248"/>
  <c r="AL256"/>
  <c r="AL264"/>
  <c r="AL272"/>
  <c r="AL278"/>
  <c r="AL286"/>
  <c r="AL300"/>
  <c r="AL335"/>
  <c r="AL270"/>
  <c r="AL280"/>
  <c r="AL288"/>
  <c r="AL298"/>
  <c r="AL306"/>
  <c r="AL317"/>
  <c r="AL352"/>
  <c r="AL263"/>
  <c r="AL271"/>
  <c r="AL281"/>
  <c r="AL289"/>
  <c r="AL299"/>
  <c r="AL307"/>
  <c r="AL343"/>
  <c r="AL266"/>
  <c r="AL274"/>
  <c r="AL284"/>
  <c r="AL294"/>
  <c r="AL302"/>
  <c r="AL309"/>
  <c r="AL314"/>
  <c r="AL332"/>
  <c r="AL344"/>
  <c r="AL261"/>
  <c r="AL269"/>
  <c r="AL279"/>
  <c r="AL287"/>
  <c r="AL297"/>
  <c r="AL305"/>
  <c r="AL325"/>
  <c r="AL326"/>
  <c r="AL333"/>
  <c r="AL334"/>
  <c r="AL338"/>
  <c r="AL320"/>
  <c r="AL330"/>
  <c r="AL345"/>
  <c r="AL381"/>
  <c r="AL384"/>
  <c r="AL386"/>
  <c r="AL310"/>
  <c r="AL318"/>
  <c r="AL328"/>
  <c r="AL350"/>
  <c r="AL363"/>
  <c r="AL365"/>
  <c r="AL313"/>
  <c r="AL321"/>
  <c r="AL331"/>
  <c r="AL336"/>
  <c r="AL351"/>
  <c r="AL355"/>
  <c r="AL358"/>
  <c r="AL368"/>
  <c r="AL389"/>
  <c r="AL311"/>
  <c r="AL319"/>
  <c r="AL329"/>
  <c r="AL360"/>
  <c r="AL362"/>
  <c r="AL348"/>
  <c r="AL366"/>
  <c r="AL398"/>
  <c r="AL346"/>
  <c r="AL357"/>
  <c r="AL367"/>
  <c r="AL379"/>
  <c r="AL393"/>
  <c r="AL339"/>
  <c r="AL341"/>
  <c r="AL349"/>
  <c r="AL337"/>
  <c r="AL347"/>
  <c r="AL353"/>
  <c r="AL383"/>
  <c r="AL403"/>
  <c r="AL361"/>
  <c r="AL369"/>
  <c r="AL373"/>
  <c r="AL375"/>
  <c r="AL387"/>
  <c r="AL395"/>
  <c r="AL354"/>
  <c r="AL364"/>
  <c r="AL390"/>
  <c r="AL401"/>
  <c r="AL359"/>
  <c r="AL376"/>
  <c r="AL378"/>
  <c r="AL397"/>
  <c r="AL371"/>
  <c r="AL392"/>
  <c r="AL370"/>
  <c r="AL380"/>
  <c r="AL396"/>
  <c r="AL377"/>
  <c r="AL385"/>
  <c r="AL391"/>
  <c r="AL399"/>
  <c r="AL374"/>
  <c r="AL382"/>
  <c r="AL394"/>
  <c r="AL402"/>
  <c r="R17"/>
  <c r="R213"/>
  <c r="R6"/>
  <c r="R86"/>
  <c r="R321"/>
  <c r="R58"/>
  <c r="R221"/>
  <c r="R34"/>
  <c r="R9"/>
  <c r="R16"/>
  <c r="R47"/>
  <c r="R87"/>
  <c r="R103"/>
  <c r="R111"/>
  <c r="R122"/>
  <c r="R178"/>
  <c r="R37"/>
  <c r="R66"/>
  <c r="R67"/>
  <c r="R83"/>
  <c r="R94"/>
  <c r="R95"/>
  <c r="R10"/>
  <c r="R24"/>
  <c r="R96"/>
  <c r="R130"/>
  <c r="R131"/>
  <c r="R147"/>
  <c r="R177"/>
  <c r="R26"/>
  <c r="R32"/>
  <c r="R150"/>
  <c r="R11"/>
  <c r="R19"/>
  <c r="R39"/>
  <c r="R59"/>
  <c r="R70"/>
  <c r="R88"/>
  <c r="R123"/>
  <c r="R134"/>
  <c r="R188"/>
  <c r="R8"/>
  <c r="R48"/>
  <c r="R104"/>
  <c r="R112"/>
  <c r="R27"/>
  <c r="R35"/>
  <c r="R60"/>
  <c r="R78"/>
  <c r="R124"/>
  <c r="R142"/>
  <c r="R257"/>
  <c r="R14"/>
  <c r="R21"/>
  <c r="R29"/>
  <c r="R75"/>
  <c r="R139"/>
  <c r="R170"/>
  <c r="R249"/>
  <c r="R12"/>
  <c r="R22"/>
  <c r="R30"/>
  <c r="R40"/>
  <c r="R49"/>
  <c r="R105"/>
  <c r="R113"/>
  <c r="R7"/>
  <c r="R15"/>
  <c r="R25"/>
  <c r="R33"/>
  <c r="R76"/>
  <c r="R140"/>
  <c r="R258"/>
  <c r="R282"/>
  <c r="R18"/>
  <c r="R28"/>
  <c r="R38"/>
  <c r="R42"/>
  <c r="R50"/>
  <c r="R57"/>
  <c r="R65"/>
  <c r="R69"/>
  <c r="R77"/>
  <c r="R85"/>
  <c r="R93"/>
  <c r="R106"/>
  <c r="R114"/>
  <c r="R121"/>
  <c r="R129"/>
  <c r="R133"/>
  <c r="R141"/>
  <c r="R149"/>
  <c r="R151"/>
  <c r="R162"/>
  <c r="R216"/>
  <c r="R5"/>
  <c r="R13"/>
  <c r="R23"/>
  <c r="R31"/>
  <c r="R41"/>
  <c r="R154"/>
  <c r="R158"/>
  <c r="R169"/>
  <c r="R45"/>
  <c r="R55"/>
  <c r="R63"/>
  <c r="R73"/>
  <c r="R81"/>
  <c r="R91"/>
  <c r="R99"/>
  <c r="R101"/>
  <c r="R109"/>
  <c r="R119"/>
  <c r="R127"/>
  <c r="R137"/>
  <c r="R145"/>
  <c r="R159"/>
  <c r="R172"/>
  <c r="R186"/>
  <c r="R271"/>
  <c r="R43"/>
  <c r="R51"/>
  <c r="R53"/>
  <c r="R61"/>
  <c r="R71"/>
  <c r="R79"/>
  <c r="R89"/>
  <c r="R97"/>
  <c r="R107"/>
  <c r="R115"/>
  <c r="R117"/>
  <c r="R125"/>
  <c r="R135"/>
  <c r="R143"/>
  <c r="R152"/>
  <c r="R160"/>
  <c r="R187"/>
  <c r="R189"/>
  <c r="R190"/>
  <c r="R227"/>
  <c r="R250"/>
  <c r="R269"/>
  <c r="R46"/>
  <c r="R56"/>
  <c r="R64"/>
  <c r="R74"/>
  <c r="R82"/>
  <c r="R92"/>
  <c r="R102"/>
  <c r="R110"/>
  <c r="R120"/>
  <c r="R128"/>
  <c r="R138"/>
  <c r="R146"/>
  <c r="R168"/>
  <c r="R176"/>
  <c r="R195"/>
  <c r="R44"/>
  <c r="R54"/>
  <c r="R62"/>
  <c r="R72"/>
  <c r="R80"/>
  <c r="R90"/>
  <c r="R98"/>
  <c r="R108"/>
  <c r="R118"/>
  <c r="R126"/>
  <c r="R136"/>
  <c r="R144"/>
  <c r="R182"/>
  <c r="R197"/>
  <c r="R205"/>
  <c r="R157"/>
  <c r="R167"/>
  <c r="R175"/>
  <c r="R185"/>
  <c r="R203"/>
  <c r="R211"/>
  <c r="R218"/>
  <c r="R231"/>
  <c r="R237"/>
  <c r="R263"/>
  <c r="R155"/>
  <c r="R163"/>
  <c r="R165"/>
  <c r="R173"/>
  <c r="R183"/>
  <c r="R193"/>
  <c r="R153"/>
  <c r="R161"/>
  <c r="R171"/>
  <c r="R179"/>
  <c r="R181"/>
  <c r="R198"/>
  <c r="R206"/>
  <c r="R215"/>
  <c r="R223"/>
  <c r="R278"/>
  <c r="R313"/>
  <c r="R156"/>
  <c r="R166"/>
  <c r="R174"/>
  <c r="R184"/>
  <c r="R200"/>
  <c r="R208"/>
  <c r="R286"/>
  <c r="R320"/>
  <c r="R191"/>
  <c r="R201"/>
  <c r="R209"/>
  <c r="R219"/>
  <c r="R229"/>
  <c r="R238"/>
  <c r="R290"/>
  <c r="R305"/>
  <c r="R361"/>
  <c r="R194"/>
  <c r="R204"/>
  <c r="R214"/>
  <c r="R222"/>
  <c r="R239"/>
  <c r="R247"/>
  <c r="R255"/>
  <c r="R297"/>
  <c r="R299"/>
  <c r="R199"/>
  <c r="R207"/>
  <c r="R217"/>
  <c r="R225"/>
  <c r="R192"/>
  <c r="R202"/>
  <c r="R210"/>
  <c r="R220"/>
  <c r="R230"/>
  <c r="R232"/>
  <c r="R240"/>
  <c r="R248"/>
  <c r="R256"/>
  <c r="R261"/>
  <c r="R342"/>
  <c r="R235"/>
  <c r="R243"/>
  <c r="R245"/>
  <c r="R253"/>
  <c r="R264"/>
  <c r="R272"/>
  <c r="R279"/>
  <c r="R287"/>
  <c r="R300"/>
  <c r="R233"/>
  <c r="R241"/>
  <c r="R251"/>
  <c r="R259"/>
  <c r="R268"/>
  <c r="R281"/>
  <c r="R289"/>
  <c r="R296"/>
  <c r="R304"/>
  <c r="R329"/>
  <c r="R358"/>
  <c r="R226"/>
  <c r="R236"/>
  <c r="R246"/>
  <c r="R254"/>
  <c r="R310"/>
  <c r="R362"/>
  <c r="R224"/>
  <c r="R234"/>
  <c r="R242"/>
  <c r="R252"/>
  <c r="R266"/>
  <c r="R274"/>
  <c r="R284"/>
  <c r="R294"/>
  <c r="R302"/>
  <c r="R306"/>
  <c r="R319"/>
  <c r="R328"/>
  <c r="R336"/>
  <c r="R389"/>
  <c r="R402"/>
  <c r="R267"/>
  <c r="R275"/>
  <c r="R277"/>
  <c r="R285"/>
  <c r="R295"/>
  <c r="R303"/>
  <c r="R316"/>
  <c r="R330"/>
  <c r="R346"/>
  <c r="R262"/>
  <c r="R270"/>
  <c r="R280"/>
  <c r="R288"/>
  <c r="R298"/>
  <c r="R311"/>
  <c r="R348"/>
  <c r="R265"/>
  <c r="R273"/>
  <c r="R283"/>
  <c r="R291"/>
  <c r="R293"/>
  <c r="R301"/>
  <c r="R312"/>
  <c r="R318"/>
  <c r="R331"/>
  <c r="R337"/>
  <c r="R326"/>
  <c r="R334"/>
  <c r="R347"/>
  <c r="R367"/>
  <c r="R368"/>
  <c r="R314"/>
  <c r="R322"/>
  <c r="R332"/>
  <c r="R391"/>
  <c r="R307"/>
  <c r="R309"/>
  <c r="R317"/>
  <c r="R327"/>
  <c r="R335"/>
  <c r="R338"/>
  <c r="R341"/>
  <c r="R344"/>
  <c r="R349"/>
  <c r="R380"/>
  <c r="R383"/>
  <c r="R385"/>
  <c r="R315"/>
  <c r="R323"/>
  <c r="R325"/>
  <c r="R333"/>
  <c r="R339"/>
  <c r="R354"/>
  <c r="R364"/>
  <c r="R352"/>
  <c r="R350"/>
  <c r="R359"/>
  <c r="R401"/>
  <c r="R345"/>
  <c r="R366"/>
  <c r="R343"/>
  <c r="R351"/>
  <c r="R382"/>
  <c r="R387"/>
  <c r="R396"/>
  <c r="R355"/>
  <c r="R357"/>
  <c r="R365"/>
  <c r="R370"/>
  <c r="R393"/>
  <c r="R397"/>
  <c r="R360"/>
  <c r="R374"/>
  <c r="R353"/>
  <c r="R363"/>
  <c r="R379"/>
  <c r="R399"/>
  <c r="R371"/>
  <c r="R375"/>
  <c r="R377"/>
  <c r="R394"/>
  <c r="R376"/>
  <c r="R384"/>
  <c r="R392"/>
  <c r="R400"/>
  <c r="R369"/>
  <c r="R373"/>
  <c r="R381"/>
  <c r="R395"/>
  <c r="R403"/>
  <c r="R378"/>
  <c r="R386"/>
  <c r="R390"/>
  <c r="R398"/>
  <c r="Q32"/>
  <c r="Q101"/>
  <c r="Q46"/>
  <c r="Q145"/>
  <c r="Q155"/>
  <c r="Q5"/>
  <c r="Q14"/>
  <c r="Q16"/>
  <c r="Q102"/>
  <c r="Q21"/>
  <c r="Q23"/>
  <c r="Q45"/>
  <c r="Q110"/>
  <c r="Q203"/>
  <c r="Q211"/>
  <c r="Q29"/>
  <c r="Q31"/>
  <c r="Q44"/>
  <c r="Q80"/>
  <c r="Q82"/>
  <c r="Q109"/>
  <c r="Q24"/>
  <c r="Q81"/>
  <c r="Q108"/>
  <c r="Q144"/>
  <c r="Q146"/>
  <c r="Q159"/>
  <c r="Q6"/>
  <c r="Q26"/>
  <c r="Q34"/>
  <c r="Q47"/>
  <c r="Q103"/>
  <c r="Q111"/>
  <c r="Q192"/>
  <c r="Q7"/>
  <c r="Q11"/>
  <c r="Q19"/>
  <c r="Q39"/>
  <c r="Q8"/>
  <c r="Q13"/>
  <c r="Q41"/>
  <c r="Q72"/>
  <c r="Q136"/>
  <c r="Q234"/>
  <c r="Q73"/>
  <c r="Q74"/>
  <c r="Q137"/>
  <c r="Q138"/>
  <c r="Q9"/>
  <c r="Q17"/>
  <c r="Q27"/>
  <c r="Q35"/>
  <c r="Q37"/>
  <c r="Q75"/>
  <c r="Q83"/>
  <c r="Q139"/>
  <c r="Q147"/>
  <c r="Q195"/>
  <c r="Q273"/>
  <c r="Q12"/>
  <c r="Q22"/>
  <c r="Q30"/>
  <c r="Q40"/>
  <c r="Q54"/>
  <c r="Q62"/>
  <c r="Q90"/>
  <c r="Q98"/>
  <c r="Q118"/>
  <c r="Q126"/>
  <c r="Q183"/>
  <c r="Q184"/>
  <c r="Q265"/>
  <c r="Q15"/>
  <c r="Q25"/>
  <c r="Q33"/>
  <c r="Q55"/>
  <c r="Q56"/>
  <c r="Q63"/>
  <c r="Q64"/>
  <c r="Q91"/>
  <c r="Q92"/>
  <c r="Q99"/>
  <c r="Q119"/>
  <c r="Q120"/>
  <c r="Q127"/>
  <c r="Q128"/>
  <c r="Q237"/>
  <c r="Q10"/>
  <c r="Q18"/>
  <c r="Q28"/>
  <c r="Q38"/>
  <c r="Q57"/>
  <c r="Q65"/>
  <c r="Q85"/>
  <c r="Q93"/>
  <c r="Q121"/>
  <c r="Q129"/>
  <c r="Q149"/>
  <c r="Q156"/>
  <c r="Q157"/>
  <c r="Q163"/>
  <c r="Q42"/>
  <c r="Q50"/>
  <c r="Q60"/>
  <c r="Q70"/>
  <c r="Q78"/>
  <c r="Q88"/>
  <c r="Q96"/>
  <c r="Q106"/>
  <c r="Q114"/>
  <c r="Q124"/>
  <c r="Q134"/>
  <c r="Q142"/>
  <c r="Q151"/>
  <c r="Q185"/>
  <c r="Q218"/>
  <c r="Q48"/>
  <c r="Q58"/>
  <c r="Q66"/>
  <c r="Q76"/>
  <c r="Q86"/>
  <c r="Q94"/>
  <c r="Q104"/>
  <c r="Q112"/>
  <c r="Q122"/>
  <c r="Q130"/>
  <c r="Q140"/>
  <c r="Q165"/>
  <c r="Q166"/>
  <c r="Q173"/>
  <c r="Q174"/>
  <c r="Q43"/>
  <c r="Q51"/>
  <c r="Q53"/>
  <c r="Q61"/>
  <c r="Q71"/>
  <c r="Q79"/>
  <c r="Q89"/>
  <c r="Q97"/>
  <c r="Q107"/>
  <c r="Q115"/>
  <c r="Q117"/>
  <c r="Q125"/>
  <c r="Q135"/>
  <c r="Q143"/>
  <c r="Q167"/>
  <c r="Q175"/>
  <c r="Q193"/>
  <c r="Q227"/>
  <c r="Q243"/>
  <c r="Q49"/>
  <c r="Q59"/>
  <c r="Q67"/>
  <c r="Q69"/>
  <c r="Q77"/>
  <c r="Q87"/>
  <c r="Q95"/>
  <c r="Q105"/>
  <c r="Q113"/>
  <c r="Q123"/>
  <c r="Q131"/>
  <c r="Q133"/>
  <c r="Q141"/>
  <c r="Q169"/>
  <c r="Q177"/>
  <c r="Q200"/>
  <c r="Q202"/>
  <c r="Q208"/>
  <c r="Q210"/>
  <c r="Q325"/>
  <c r="Q154"/>
  <c r="Q162"/>
  <c r="Q172"/>
  <c r="Q182"/>
  <c r="Q187"/>
  <c r="Q235"/>
  <c r="Q236"/>
  <c r="Q242"/>
  <c r="Q152"/>
  <c r="Q160"/>
  <c r="Q170"/>
  <c r="Q178"/>
  <c r="Q197"/>
  <c r="Q205"/>
  <c r="Q220"/>
  <c r="Q226"/>
  <c r="Q150"/>
  <c r="Q158"/>
  <c r="Q168"/>
  <c r="Q176"/>
  <c r="Q186"/>
  <c r="Q190"/>
  <c r="Q194"/>
  <c r="Q213"/>
  <c r="Q221"/>
  <c r="Q310"/>
  <c r="Q153"/>
  <c r="Q161"/>
  <c r="Q171"/>
  <c r="Q179"/>
  <c r="Q181"/>
  <c r="Q215"/>
  <c r="Q223"/>
  <c r="Q278"/>
  <c r="Q188"/>
  <c r="Q198"/>
  <c r="Q206"/>
  <c r="Q216"/>
  <c r="Q252"/>
  <c r="Q279"/>
  <c r="Q284"/>
  <c r="Q286"/>
  <c r="Q191"/>
  <c r="Q201"/>
  <c r="Q209"/>
  <c r="Q219"/>
  <c r="Q224"/>
  <c r="Q229"/>
  <c r="Q245"/>
  <c r="Q246"/>
  <c r="Q253"/>
  <c r="Q254"/>
  <c r="Q287"/>
  <c r="Q309"/>
  <c r="Q341"/>
  <c r="Q204"/>
  <c r="Q214"/>
  <c r="Q222"/>
  <c r="Q247"/>
  <c r="Q255"/>
  <c r="Q301"/>
  <c r="Q189"/>
  <c r="Q199"/>
  <c r="Q207"/>
  <c r="Q217"/>
  <c r="Q225"/>
  <c r="Q293"/>
  <c r="Q339"/>
  <c r="Q232"/>
  <c r="Q240"/>
  <c r="Q250"/>
  <c r="Q258"/>
  <c r="Q261"/>
  <c r="Q306"/>
  <c r="Q307"/>
  <c r="Q230"/>
  <c r="Q238"/>
  <c r="Q248"/>
  <c r="Q256"/>
  <c r="Q266"/>
  <c r="Q274"/>
  <c r="Q294"/>
  <c r="Q302"/>
  <c r="Q315"/>
  <c r="Q328"/>
  <c r="Q333"/>
  <c r="Q233"/>
  <c r="Q241"/>
  <c r="Q251"/>
  <c r="Q259"/>
  <c r="Q268"/>
  <c r="Q296"/>
  <c r="Q304"/>
  <c r="Q336"/>
  <c r="Q231"/>
  <c r="Q239"/>
  <c r="Q249"/>
  <c r="Q257"/>
  <c r="Q269"/>
  <c r="Q283"/>
  <c r="Q291"/>
  <c r="Q297"/>
  <c r="Q305"/>
  <c r="Q318"/>
  <c r="Q263"/>
  <c r="Q271"/>
  <c r="Q281"/>
  <c r="Q289"/>
  <c r="Q299"/>
  <c r="Q313"/>
  <c r="Q326"/>
  <c r="Q327"/>
  <c r="Q334"/>
  <c r="Q335"/>
  <c r="Q264"/>
  <c r="Q272"/>
  <c r="Q282"/>
  <c r="Q290"/>
  <c r="Q300"/>
  <c r="Q344"/>
  <c r="Q367"/>
  <c r="Q369"/>
  <c r="Q390"/>
  <c r="Q267"/>
  <c r="Q275"/>
  <c r="Q277"/>
  <c r="Q285"/>
  <c r="Q295"/>
  <c r="Q303"/>
  <c r="Q316"/>
  <c r="Q323"/>
  <c r="Q346"/>
  <c r="Q366"/>
  <c r="Q262"/>
  <c r="Q270"/>
  <c r="Q280"/>
  <c r="Q288"/>
  <c r="Q298"/>
  <c r="Q317"/>
  <c r="Q352"/>
  <c r="Q321"/>
  <c r="Q331"/>
  <c r="Q343"/>
  <c r="Q394"/>
  <c r="Q311"/>
  <c r="Q319"/>
  <c r="Q329"/>
  <c r="Q337"/>
  <c r="Q314"/>
  <c r="Q322"/>
  <c r="Q332"/>
  <c r="Q353"/>
  <c r="Q382"/>
  <c r="Q396"/>
  <c r="Q312"/>
  <c r="Q320"/>
  <c r="Q330"/>
  <c r="Q345"/>
  <c r="Q351"/>
  <c r="Q349"/>
  <c r="Q354"/>
  <c r="Q358"/>
  <c r="Q363"/>
  <c r="Q368"/>
  <c r="Q375"/>
  <c r="Q380"/>
  <c r="Q347"/>
  <c r="Q364"/>
  <c r="Q391"/>
  <c r="Q342"/>
  <c r="Q350"/>
  <c r="Q359"/>
  <c r="Q378"/>
  <c r="Q401"/>
  <c r="Q338"/>
  <c r="Q348"/>
  <c r="Q361"/>
  <c r="Q377"/>
  <c r="Q362"/>
  <c r="Q383"/>
  <c r="Q385"/>
  <c r="Q402"/>
  <c r="Q355"/>
  <c r="Q357"/>
  <c r="Q365"/>
  <c r="Q370"/>
  <c r="Q393"/>
  <c r="Q398"/>
  <c r="Q360"/>
  <c r="Q374"/>
  <c r="Q386"/>
  <c r="Q399"/>
  <c r="Q371"/>
  <c r="Q379"/>
  <c r="Q387"/>
  <c r="Q389"/>
  <c r="Q397"/>
  <c r="Q376"/>
  <c r="Q384"/>
  <c r="Q392"/>
  <c r="Q400"/>
  <c r="Q373"/>
  <c r="Q381"/>
  <c r="Q395"/>
  <c r="Q403"/>
  <c r="Q403" i="2" l="1"/>
  <c r="Q395"/>
  <c r="Q381"/>
  <c r="Q372" i="3"/>
  <c r="Q372" i="2" s="1"/>
  <c r="Q373"/>
  <c r="Q400"/>
  <c r="Q392"/>
  <c r="Q384"/>
  <c r="Q376"/>
  <c r="Q397"/>
  <c r="Q388" i="3"/>
  <c r="Q388" i="2" s="1"/>
  <c r="Q389"/>
  <c r="Q387"/>
  <c r="Q379"/>
  <c r="Q371"/>
  <c r="Q399"/>
  <c r="Q386"/>
  <c r="Q374"/>
  <c r="Q360"/>
  <c r="Q398"/>
  <c r="Q393"/>
  <c r="Q370"/>
  <c r="Q365"/>
  <c r="Q356" i="3"/>
  <c r="Q356" i="2" s="1"/>
  <c r="Q357"/>
  <c r="Q355"/>
  <c r="Q402"/>
  <c r="Q385"/>
  <c r="Q383"/>
  <c r="Q362"/>
  <c r="Q377"/>
  <c r="Q361"/>
  <c r="Q348"/>
  <c r="Q338"/>
  <c r="Q401"/>
  <c r="Q378"/>
  <c r="Q359"/>
  <c r="Q350"/>
  <c r="Q342"/>
  <c r="Q391"/>
  <c r="Q364"/>
  <c r="Q347"/>
  <c r="Q380"/>
  <c r="Q375"/>
  <c r="Q368"/>
  <c r="Q363"/>
  <c r="Q358"/>
  <c r="Q354"/>
  <c r="Q349"/>
  <c r="Q351"/>
  <c r="Q345"/>
  <c r="Q330"/>
  <c r="Q320"/>
  <c r="Q312"/>
  <c r="Q396"/>
  <c r="Q382"/>
  <c r="Q353"/>
  <c r="Q332"/>
  <c r="Q322"/>
  <c r="Q314"/>
  <c r="Q337"/>
  <c r="Q329"/>
  <c r="Q319"/>
  <c r="Q311"/>
  <c r="Q394"/>
  <c r="Q343"/>
  <c r="Q331"/>
  <c r="Q321"/>
  <c r="Q352"/>
  <c r="Q317"/>
  <c r="Q298"/>
  <c r="Q288"/>
  <c r="Q280"/>
  <c r="Q270"/>
  <c r="Q262"/>
  <c r="Q366"/>
  <c r="Q346"/>
  <c r="Q323"/>
  <c r="Q316"/>
  <c r="Q303"/>
  <c r="Q295"/>
  <c r="Q285"/>
  <c r="Q276" i="3"/>
  <c r="Q276" i="2" s="1"/>
  <c r="Q277"/>
  <c r="Q275"/>
  <c r="Q267"/>
  <c r="Q390"/>
  <c r="Q369"/>
  <c r="Q367"/>
  <c r="Q344"/>
  <c r="Q300"/>
  <c r="Q290"/>
  <c r="Q282"/>
  <c r="Q272"/>
  <c r="Q264"/>
  <c r="Q335"/>
  <c r="Q334"/>
  <c r="Q327"/>
  <c r="Q326"/>
  <c r="Q313"/>
  <c r="Q299"/>
  <c r="Q289"/>
  <c r="Q281"/>
  <c r="Q271"/>
  <c r="Q263"/>
  <c r="Q318"/>
  <c r="Q305"/>
  <c r="Q297"/>
  <c r="Q291"/>
  <c r="Q283"/>
  <c r="Q269"/>
  <c r="Q257"/>
  <c r="Q249"/>
  <c r="Q239"/>
  <c r="Q231"/>
  <c r="Q336"/>
  <c r="Q304"/>
  <c r="Q296"/>
  <c r="Q268"/>
  <c r="Q259"/>
  <c r="Q251"/>
  <c r="Q241"/>
  <c r="Q233"/>
  <c r="Q333"/>
  <c r="Q328"/>
  <c r="Q315"/>
  <c r="Q302"/>
  <c r="Q294"/>
  <c r="Q274"/>
  <c r="Q266"/>
  <c r="Q256"/>
  <c r="Q248"/>
  <c r="Q238"/>
  <c r="Q230"/>
  <c r="Q307"/>
  <c r="Q306"/>
  <c r="Q260" i="3"/>
  <c r="Q260" i="2" s="1"/>
  <c r="Q261"/>
  <c r="Q258"/>
  <c r="Q250"/>
  <c r="Q240"/>
  <c r="Q232"/>
  <c r="Q339"/>
  <c r="Q292" i="3"/>
  <c r="Q292" i="2" s="1"/>
  <c r="Q293"/>
  <c r="Q225"/>
  <c r="Q217"/>
  <c r="Q207"/>
  <c r="Q199"/>
  <c r="Q189"/>
  <c r="Q301"/>
  <c r="Q255"/>
  <c r="Q247"/>
  <c r="Q222"/>
  <c r="Q214"/>
  <c r="Q204"/>
  <c r="Q340" i="3"/>
  <c r="Q340" i="2" s="1"/>
  <c r="Q341"/>
  <c r="Q308" i="3"/>
  <c r="Q308" i="2" s="1"/>
  <c r="Q309"/>
  <c r="Q287"/>
  <c r="Q254"/>
  <c r="Q253"/>
  <c r="Q246"/>
  <c r="Q244" i="3"/>
  <c r="Q244" i="2" s="1"/>
  <c r="Q245"/>
  <c r="Q228" i="3"/>
  <c r="Q228" i="2" s="1"/>
  <c r="Q229"/>
  <c r="Q224"/>
  <c r="Q219"/>
  <c r="Q209"/>
  <c r="Q201"/>
  <c r="Q191"/>
  <c r="Q286"/>
  <c r="Q284"/>
  <c r="Q279"/>
  <c r="Q252"/>
  <c r="Q216"/>
  <c r="Q206"/>
  <c r="Q198"/>
  <c r="Q188"/>
  <c r="Q278"/>
  <c r="Q223"/>
  <c r="Q215"/>
  <c r="Q180" i="3"/>
  <c r="Q180" i="2" s="1"/>
  <c r="Q181"/>
  <c r="Q179"/>
  <c r="Q171"/>
  <c r="Q161"/>
  <c r="Q153"/>
  <c r="Q310"/>
  <c r="Q221"/>
  <c r="Q212" i="3"/>
  <c r="Q212" i="2" s="1"/>
  <c r="Q213"/>
  <c r="Q194"/>
  <c r="Q190"/>
  <c r="Q186"/>
  <c r="Q176"/>
  <c r="Q168"/>
  <c r="Q158"/>
  <c r="Q150"/>
  <c r="Q226"/>
  <c r="Q220"/>
  <c r="Q205"/>
  <c r="Q196" i="3"/>
  <c r="Q196" i="2" s="1"/>
  <c r="Q197"/>
  <c r="Q178"/>
  <c r="Q170"/>
  <c r="Q160"/>
  <c r="Q152"/>
  <c r="Q242"/>
  <c r="Q236"/>
  <c r="Q235"/>
  <c r="Q187"/>
  <c r="Q182"/>
  <c r="Q172"/>
  <c r="Q162"/>
  <c r="Q154"/>
  <c r="Q324" i="3"/>
  <c r="Q324" i="2" s="1"/>
  <c r="Q325"/>
  <c r="Q210"/>
  <c r="Q208"/>
  <c r="Q202"/>
  <c r="Q200"/>
  <c r="Q177"/>
  <c r="Q169"/>
  <c r="Q141"/>
  <c r="Q132" i="3"/>
  <c r="Q132" i="2" s="1"/>
  <c r="Q133"/>
  <c r="Q131"/>
  <c r="Q123"/>
  <c r="Q113"/>
  <c r="Q105"/>
  <c r="Q95"/>
  <c r="Q87"/>
  <c r="Q77"/>
  <c r="Q68" i="3"/>
  <c r="Q68" i="2" s="1"/>
  <c r="Q69"/>
  <c r="Q67"/>
  <c r="Q59"/>
  <c r="Q49"/>
  <c r="Q243"/>
  <c r="Q227"/>
  <c r="Q193"/>
  <c r="Q175"/>
  <c r="Q167"/>
  <c r="Q143"/>
  <c r="Q135"/>
  <c r="Q125"/>
  <c r="Q116" i="3"/>
  <c r="Q116" i="2" s="1"/>
  <c r="Q117"/>
  <c r="Q115"/>
  <c r="Q107"/>
  <c r="Q97"/>
  <c r="Q89"/>
  <c r="Q79"/>
  <c r="Q71"/>
  <c r="Q61"/>
  <c r="Q52" i="3"/>
  <c r="Q52" i="2" s="1"/>
  <c r="Q53"/>
  <c r="Q51"/>
  <c r="Q43"/>
  <c r="Q174"/>
  <c r="Q173"/>
  <c r="Q166"/>
  <c r="Q164" i="3"/>
  <c r="Q164" i="2" s="1"/>
  <c r="Q165"/>
  <c r="Q140"/>
  <c r="Q130"/>
  <c r="Q122"/>
  <c r="Q112"/>
  <c r="Q104"/>
  <c r="Q94"/>
  <c r="Q86"/>
  <c r="Q76"/>
  <c r="Q66"/>
  <c r="Q58"/>
  <c r="Q48"/>
  <c r="Q218"/>
  <c r="Q185"/>
  <c r="Q151"/>
  <c r="Q142"/>
  <c r="Q134"/>
  <c r="Q124"/>
  <c r="Q114"/>
  <c r="Q106"/>
  <c r="Q96"/>
  <c r="Q88"/>
  <c r="Q78"/>
  <c r="Q70"/>
  <c r="Q60"/>
  <c r="Q50"/>
  <c r="Q42"/>
  <c r="Q163"/>
  <c r="Q157"/>
  <c r="Q156"/>
  <c r="Q148" i="3"/>
  <c r="Q148" i="2" s="1"/>
  <c r="Q149"/>
  <c r="Q129"/>
  <c r="Q121"/>
  <c r="Q93"/>
  <c r="Q84" i="3"/>
  <c r="Q84" i="2" s="1"/>
  <c r="Q85"/>
  <c r="Q65"/>
  <c r="Q57"/>
  <c r="Q38"/>
  <c r="Q28"/>
  <c r="Q18"/>
  <c r="Q10"/>
  <c r="Q237"/>
  <c r="Q128"/>
  <c r="Q127"/>
  <c r="Q120"/>
  <c r="Q119"/>
  <c r="Q99"/>
  <c r="Q92"/>
  <c r="Q91"/>
  <c r="Q64"/>
  <c r="Q63"/>
  <c r="Q56"/>
  <c r="Q55"/>
  <c r="Q33"/>
  <c r="Q25"/>
  <c r="Q15"/>
  <c r="Q265"/>
  <c r="Q184"/>
  <c r="Q183"/>
  <c r="Q126"/>
  <c r="Q118"/>
  <c r="Q98"/>
  <c r="Q90"/>
  <c r="Q62"/>
  <c r="Q54"/>
  <c r="Q40"/>
  <c r="Q30"/>
  <c r="Q22"/>
  <c r="Q12"/>
  <c r="Q273"/>
  <c r="Q195"/>
  <c r="Q147"/>
  <c r="Q139"/>
  <c r="Q83"/>
  <c r="Q75"/>
  <c r="Q36" i="3"/>
  <c r="Q36" i="2" s="1"/>
  <c r="Q37"/>
  <c r="Q35"/>
  <c r="Q27"/>
  <c r="Q17"/>
  <c r="Q9"/>
  <c r="Q138"/>
  <c r="Q137"/>
  <c r="Q74"/>
  <c r="Q73"/>
  <c r="Q234"/>
  <c r="Q136"/>
  <c r="Q72"/>
  <c r="Q41"/>
  <c r="Q13"/>
  <c r="Q8"/>
  <c r="Q39"/>
  <c r="Q19"/>
  <c r="Q11"/>
  <c r="Q7"/>
  <c r="Q192"/>
  <c r="Q111"/>
  <c r="Q103"/>
  <c r="Q47"/>
  <c r="Q34"/>
  <c r="Q26"/>
  <c r="Q6"/>
  <c r="Q159"/>
  <c r="Q146"/>
  <c r="Q144"/>
  <c r="Q108"/>
  <c r="Q81"/>
  <c r="Q24"/>
  <c r="Q109"/>
  <c r="Q82"/>
  <c r="Q80"/>
  <c r="Q44"/>
  <c r="Q31"/>
  <c r="Q29"/>
  <c r="Q211"/>
  <c r="Q203"/>
  <c r="Q110"/>
  <c r="Q45"/>
  <c r="Q23"/>
  <c r="Q20" i="3"/>
  <c r="Q20" i="2" s="1"/>
  <c r="Q21"/>
  <c r="Q102"/>
  <c r="Q16"/>
  <c r="Q14"/>
  <c r="Q4" i="3"/>
  <c r="Q4" i="2" s="1"/>
  <c r="Q5"/>
  <c r="Q155"/>
  <c r="Q145"/>
  <c r="Q46"/>
  <c r="Q100" i="3"/>
  <c r="Q100" i="2" s="1"/>
  <c r="Q101"/>
  <c r="Q32"/>
  <c r="R398"/>
  <c r="R390"/>
  <c r="R386"/>
  <c r="R378"/>
  <c r="R403"/>
  <c r="R395"/>
  <c r="R381"/>
  <c r="R372" i="3"/>
  <c r="R372" i="2" s="1"/>
  <c r="R373"/>
  <c r="R369"/>
  <c r="R400"/>
  <c r="R392"/>
  <c r="R384"/>
  <c r="R376"/>
  <c r="R394"/>
  <c r="R377"/>
  <c r="R375"/>
  <c r="R371"/>
  <c r="R399"/>
  <c r="R379"/>
  <c r="R363"/>
  <c r="R353"/>
  <c r="R374"/>
  <c r="R360"/>
  <c r="R397"/>
  <c r="R393"/>
  <c r="R370"/>
  <c r="R365"/>
  <c r="R356" i="3"/>
  <c r="R356" i="2" s="1"/>
  <c r="R357"/>
  <c r="R355"/>
  <c r="R396"/>
  <c r="R387"/>
  <c r="R382"/>
  <c r="R351"/>
  <c r="R343"/>
  <c r="R366"/>
  <c r="R345"/>
  <c r="R401"/>
  <c r="R359"/>
  <c r="R350"/>
  <c r="R352"/>
  <c r="R364"/>
  <c r="R354"/>
  <c r="R339"/>
  <c r="R333"/>
  <c r="R324" i="3"/>
  <c r="R324" i="2" s="1"/>
  <c r="R325"/>
  <c r="R323"/>
  <c r="R315"/>
  <c r="R385"/>
  <c r="R383"/>
  <c r="R380"/>
  <c r="R349"/>
  <c r="R344"/>
  <c r="R340" i="3"/>
  <c r="R340" i="2" s="1"/>
  <c r="R341"/>
  <c r="R338"/>
  <c r="R335"/>
  <c r="R327"/>
  <c r="R317"/>
  <c r="R308" i="3"/>
  <c r="R308" i="2" s="1"/>
  <c r="R309"/>
  <c r="R307"/>
  <c r="R391"/>
  <c r="R332"/>
  <c r="R322"/>
  <c r="R314"/>
  <c r="R368"/>
  <c r="R367"/>
  <c r="R347"/>
  <c r="R334"/>
  <c r="R326"/>
  <c r="R337"/>
  <c r="R331"/>
  <c r="R318"/>
  <c r="R312"/>
  <c r="R301"/>
  <c r="R292" i="3"/>
  <c r="R292" i="2" s="1"/>
  <c r="R293"/>
  <c r="R291"/>
  <c r="R283"/>
  <c r="R273"/>
  <c r="R265"/>
  <c r="R348"/>
  <c r="R311"/>
  <c r="R298"/>
  <c r="R288"/>
  <c r="R280"/>
  <c r="R270"/>
  <c r="R262"/>
  <c r="R346"/>
  <c r="R330"/>
  <c r="R316"/>
  <c r="R303"/>
  <c r="R295"/>
  <c r="R285"/>
  <c r="R276" i="3"/>
  <c r="R276" i="2" s="1"/>
  <c r="R277"/>
  <c r="R275"/>
  <c r="R267"/>
  <c r="R402"/>
  <c r="R388" i="3"/>
  <c r="R388" i="2" s="1"/>
  <c r="R389"/>
  <c r="R336"/>
  <c r="R328"/>
  <c r="R319"/>
  <c r="R306"/>
  <c r="R302"/>
  <c r="R294"/>
  <c r="R284"/>
  <c r="R274"/>
  <c r="R266"/>
  <c r="R252"/>
  <c r="R242"/>
  <c r="R234"/>
  <c r="R224"/>
  <c r="R362"/>
  <c r="R310"/>
  <c r="R254"/>
  <c r="R246"/>
  <c r="R236"/>
  <c r="R226"/>
  <c r="R358"/>
  <c r="R329"/>
  <c r="R304"/>
  <c r="R296"/>
  <c r="R289"/>
  <c r="R281"/>
  <c r="R268"/>
  <c r="R259"/>
  <c r="R251"/>
  <c r="R241"/>
  <c r="R233"/>
  <c r="R300"/>
  <c r="R287"/>
  <c r="R279"/>
  <c r="R272"/>
  <c r="R264"/>
  <c r="R253"/>
  <c r="R244" i="3"/>
  <c r="R244" i="2" s="1"/>
  <c r="R245"/>
  <c r="R243"/>
  <c r="R235"/>
  <c r="R342"/>
  <c r="R260" i="3"/>
  <c r="R260" i="2" s="1"/>
  <c r="R261"/>
  <c r="R256"/>
  <c r="R248"/>
  <c r="R240"/>
  <c r="R232"/>
  <c r="R230"/>
  <c r="R220"/>
  <c r="R210"/>
  <c r="R202"/>
  <c r="R192"/>
  <c r="R225"/>
  <c r="R217"/>
  <c r="R207"/>
  <c r="R199"/>
  <c r="R299"/>
  <c r="R297"/>
  <c r="R255"/>
  <c r="R247"/>
  <c r="R239"/>
  <c r="R222"/>
  <c r="R214"/>
  <c r="R204"/>
  <c r="R194"/>
  <c r="R361"/>
  <c r="R305"/>
  <c r="R290"/>
  <c r="R238"/>
  <c r="R228" i="3"/>
  <c r="R228" i="2" s="1"/>
  <c r="R229"/>
  <c r="R219"/>
  <c r="R209"/>
  <c r="R201"/>
  <c r="R191"/>
  <c r="R320"/>
  <c r="R286"/>
  <c r="R208"/>
  <c r="R200"/>
  <c r="R184"/>
  <c r="R174"/>
  <c r="R166"/>
  <c r="R156"/>
  <c r="R313"/>
  <c r="R278"/>
  <c r="R223"/>
  <c r="R215"/>
  <c r="R206"/>
  <c r="R198"/>
  <c r="R180" i="3"/>
  <c r="R180" i="2" s="1"/>
  <c r="R181"/>
  <c r="R179"/>
  <c r="R171"/>
  <c r="R161"/>
  <c r="R153"/>
  <c r="R193"/>
  <c r="R183"/>
  <c r="R173"/>
  <c r="R164" i="3"/>
  <c r="R164" i="2" s="1"/>
  <c r="R165"/>
  <c r="R163"/>
  <c r="R155"/>
  <c r="R263"/>
  <c r="R237"/>
  <c r="R231"/>
  <c r="R218"/>
  <c r="R211"/>
  <c r="R203"/>
  <c r="R185"/>
  <c r="R175"/>
  <c r="R167"/>
  <c r="R157"/>
  <c r="R205"/>
  <c r="R196" i="3"/>
  <c r="R196" i="2" s="1"/>
  <c r="R197"/>
  <c r="R182"/>
  <c r="R144"/>
  <c r="R136"/>
  <c r="R126"/>
  <c r="R118"/>
  <c r="R108"/>
  <c r="R98"/>
  <c r="R90"/>
  <c r="R80"/>
  <c r="R72"/>
  <c r="R62"/>
  <c r="R54"/>
  <c r="R44"/>
  <c r="R195"/>
  <c r="R176"/>
  <c r="R168"/>
  <c r="R146"/>
  <c r="R138"/>
  <c r="R128"/>
  <c r="R120"/>
  <c r="R110"/>
  <c r="R102"/>
  <c r="R92"/>
  <c r="R82"/>
  <c r="R74"/>
  <c r="R64"/>
  <c r="R56"/>
  <c r="R46"/>
  <c r="R269"/>
  <c r="R250"/>
  <c r="R227"/>
  <c r="R190"/>
  <c r="R189"/>
  <c r="R187"/>
  <c r="R160"/>
  <c r="R152"/>
  <c r="R143"/>
  <c r="R135"/>
  <c r="R125"/>
  <c r="R116" i="3"/>
  <c r="R116" i="2" s="1"/>
  <c r="R117"/>
  <c r="R115"/>
  <c r="R107"/>
  <c r="R97"/>
  <c r="R89"/>
  <c r="R79"/>
  <c r="R71"/>
  <c r="R61"/>
  <c r="R52" i="3"/>
  <c r="R52" i="2" s="1"/>
  <c r="R53"/>
  <c r="R51"/>
  <c r="R43"/>
  <c r="R271"/>
  <c r="R186"/>
  <c r="R172"/>
  <c r="R159"/>
  <c r="R145"/>
  <c r="R137"/>
  <c r="R127"/>
  <c r="R119"/>
  <c r="R109"/>
  <c r="R100" i="3"/>
  <c r="R100" i="2" s="1"/>
  <c r="R101"/>
  <c r="R99"/>
  <c r="R91"/>
  <c r="R81"/>
  <c r="R73"/>
  <c r="R63"/>
  <c r="R55"/>
  <c r="R45"/>
  <c r="R169"/>
  <c r="R158"/>
  <c r="R154"/>
  <c r="R41"/>
  <c r="R31"/>
  <c r="R23"/>
  <c r="R13"/>
  <c r="R4" i="3"/>
  <c r="R4" i="2" s="1"/>
  <c r="R5"/>
  <c r="R216"/>
  <c r="R162"/>
  <c r="R151"/>
  <c r="R148" i="3"/>
  <c r="R148" i="2" s="1"/>
  <c r="R149"/>
  <c r="R141"/>
  <c r="R132" i="3"/>
  <c r="R132" i="2" s="1"/>
  <c r="R133"/>
  <c r="R129"/>
  <c r="R121"/>
  <c r="R114"/>
  <c r="R106"/>
  <c r="R93"/>
  <c r="R84" i="3"/>
  <c r="R84" i="2" s="1"/>
  <c r="R85"/>
  <c r="R77"/>
  <c r="R68" i="3"/>
  <c r="R68" i="2" s="1"/>
  <c r="R69"/>
  <c r="R65"/>
  <c r="R57"/>
  <c r="R50"/>
  <c r="R42"/>
  <c r="R38"/>
  <c r="R28"/>
  <c r="R18"/>
  <c r="R282"/>
  <c r="R258"/>
  <c r="R140"/>
  <c r="R76"/>
  <c r="R33"/>
  <c r="R25"/>
  <c r="R15"/>
  <c r="R7"/>
  <c r="R113"/>
  <c r="R105"/>
  <c r="R49"/>
  <c r="R40"/>
  <c r="R30"/>
  <c r="R22"/>
  <c r="R12"/>
  <c r="R249"/>
  <c r="R170"/>
  <c r="R139"/>
  <c r="R75"/>
  <c r="R29"/>
  <c r="R20" i="3"/>
  <c r="R20" i="2" s="1"/>
  <c r="R21"/>
  <c r="R14"/>
  <c r="R257"/>
  <c r="R142"/>
  <c r="R124"/>
  <c r="R78"/>
  <c r="R60"/>
  <c r="R35"/>
  <c r="R27"/>
  <c r="R112"/>
  <c r="R104"/>
  <c r="R48"/>
  <c r="R8"/>
  <c r="R188"/>
  <c r="R134"/>
  <c r="R123"/>
  <c r="R88"/>
  <c r="R70"/>
  <c r="R59"/>
  <c r="R39"/>
  <c r="R19"/>
  <c r="R11"/>
  <c r="R150"/>
  <c r="R32"/>
  <c r="R26"/>
  <c r="R177"/>
  <c r="R147"/>
  <c r="R131"/>
  <c r="R130"/>
  <c r="R96"/>
  <c r="R24"/>
  <c r="R10"/>
  <c r="R95"/>
  <c r="R94"/>
  <c r="R83"/>
  <c r="R67"/>
  <c r="R66"/>
  <c r="R36" i="3"/>
  <c r="R36" i="2" s="1"/>
  <c r="R37"/>
  <c r="R178"/>
  <c r="R122"/>
  <c r="R111"/>
  <c r="R103"/>
  <c r="R87"/>
  <c r="R47"/>
  <c r="R16"/>
  <c r="R9"/>
  <c r="R34"/>
  <c r="R221"/>
  <c r="R58"/>
  <c r="R321"/>
  <c r="R86"/>
  <c r="R6"/>
  <c r="R212" i="3"/>
  <c r="R212" i="2" s="1"/>
  <c r="R213"/>
  <c r="R17"/>
  <c r="AL402"/>
  <c r="AL394"/>
  <c r="AL382"/>
  <c r="AL374"/>
  <c r="AL399"/>
  <c r="AL391"/>
  <c r="AL385"/>
  <c r="AL377"/>
  <c r="AL396"/>
  <c r="AL380"/>
  <c r="AL370"/>
  <c r="AL392"/>
  <c r="AL371"/>
  <c r="AL397"/>
  <c r="AL378"/>
  <c r="AL376"/>
  <c r="AL359"/>
  <c r="AL401"/>
  <c r="AL390"/>
  <c r="AL364"/>
  <c r="AL354"/>
  <c r="AL395"/>
  <c r="AL387"/>
  <c r="AL375"/>
  <c r="AL372" i="3"/>
  <c r="AL372" i="2" s="1"/>
  <c r="AL373"/>
  <c r="AL369"/>
  <c r="AL361"/>
  <c r="AL403"/>
  <c r="AL383"/>
  <c r="AL353"/>
  <c r="AL347"/>
  <c r="AL337"/>
  <c r="AL349"/>
  <c r="AL340" i="3"/>
  <c r="AL340" i="2" s="1"/>
  <c r="AL341"/>
  <c r="AL339"/>
  <c r="AL393"/>
  <c r="AL379"/>
  <c r="AL367"/>
  <c r="AL356" i="3"/>
  <c r="AL356" i="2" s="1"/>
  <c r="AL357"/>
  <c r="AL346"/>
  <c r="AL398"/>
  <c r="AL366"/>
  <c r="AL348"/>
  <c r="AL362"/>
  <c r="AL360"/>
  <c r="AL329"/>
  <c r="AL319"/>
  <c r="AL311"/>
  <c r="AL388" i="3"/>
  <c r="AL388" i="2" s="1"/>
  <c r="AL389"/>
  <c r="AL368"/>
  <c r="AL358"/>
  <c r="AL355"/>
  <c r="AL351"/>
  <c r="AL336"/>
  <c r="AL331"/>
  <c r="AL321"/>
  <c r="AL313"/>
  <c r="AL365"/>
  <c r="AL363"/>
  <c r="AL350"/>
  <c r="AL328"/>
  <c r="AL318"/>
  <c r="AL310"/>
  <c r="AL386"/>
  <c r="AL384"/>
  <c r="AL381"/>
  <c r="AL345"/>
  <c r="AL330"/>
  <c r="AL320"/>
  <c r="AL338"/>
  <c r="AL334"/>
  <c r="AL333"/>
  <c r="AL326"/>
  <c r="AL324" i="3"/>
  <c r="AL324" i="2" s="1"/>
  <c r="AL325"/>
  <c r="AL305"/>
  <c r="AL297"/>
  <c r="AL287"/>
  <c r="AL279"/>
  <c r="AL269"/>
  <c r="AL260" i="3"/>
  <c r="AL260" i="2" s="1"/>
  <c r="AL261"/>
  <c r="AL344"/>
  <c r="AL332"/>
  <c r="AL314"/>
  <c r="AL308" i="3"/>
  <c r="AL308" i="2" s="1"/>
  <c r="AL309"/>
  <c r="AL302"/>
  <c r="AL294"/>
  <c r="AL284"/>
  <c r="AL274"/>
  <c r="AL266"/>
  <c r="AL343"/>
  <c r="AL307"/>
  <c r="AL299"/>
  <c r="AL289"/>
  <c r="AL281"/>
  <c r="AL271"/>
  <c r="AL263"/>
  <c r="AL352"/>
  <c r="AL317"/>
  <c r="AL306"/>
  <c r="AL298"/>
  <c r="AL288"/>
  <c r="AL280"/>
  <c r="AL270"/>
  <c r="AL335"/>
  <c r="AL300"/>
  <c r="AL286"/>
  <c r="AL278"/>
  <c r="AL272"/>
  <c r="AL264"/>
  <c r="AL256"/>
  <c r="AL248"/>
  <c r="AL238"/>
  <c r="AL230"/>
  <c r="AL315"/>
  <c r="AL291"/>
  <c r="AL283"/>
  <c r="AL258"/>
  <c r="AL250"/>
  <c r="AL240"/>
  <c r="AL232"/>
  <c r="AL323"/>
  <c r="AL322"/>
  <c r="AL255"/>
  <c r="AL247"/>
  <c r="AL237"/>
  <c r="AL228" i="3"/>
  <c r="AL228" i="2" s="1"/>
  <c r="AL229"/>
  <c r="AL227"/>
  <c r="AL342"/>
  <c r="AL303"/>
  <c r="AL295"/>
  <c r="AL275"/>
  <c r="AL267"/>
  <c r="AL257"/>
  <c r="AL249"/>
  <c r="AL239"/>
  <c r="AL316"/>
  <c r="AL290"/>
  <c r="AL243"/>
  <c r="AL242"/>
  <c r="AL235"/>
  <c r="AL234"/>
  <c r="AL216"/>
  <c r="AL206"/>
  <c r="AL198"/>
  <c r="AL188"/>
  <c r="AL327"/>
  <c r="AL285"/>
  <c r="AL282"/>
  <c r="AL241"/>
  <c r="AL233"/>
  <c r="AL221"/>
  <c r="AL212" i="3"/>
  <c r="AL212" i="2" s="1"/>
  <c r="AL213"/>
  <c r="AL211"/>
  <c r="AL203"/>
  <c r="AL276" i="3"/>
  <c r="AL276" i="2" s="1"/>
  <c r="AL277"/>
  <c r="AL265"/>
  <c r="AL262"/>
  <c r="AL218"/>
  <c r="AL208"/>
  <c r="AL200"/>
  <c r="AL273"/>
  <c r="AL268"/>
  <c r="AL231"/>
  <c r="AL223"/>
  <c r="AL215"/>
  <c r="AL205"/>
  <c r="AL196" i="3"/>
  <c r="AL196" i="2" s="1"/>
  <c r="AL197"/>
  <c r="AL195"/>
  <c r="AL254"/>
  <c r="AL253"/>
  <c r="AL252"/>
  <c r="AL246"/>
  <c r="AL244" i="3"/>
  <c r="AL244" i="2" s="1"/>
  <c r="AL245"/>
  <c r="AL226"/>
  <c r="AL193"/>
  <c r="AL192"/>
  <c r="AL178"/>
  <c r="AL170"/>
  <c r="AL160"/>
  <c r="AL152"/>
  <c r="AL259"/>
  <c r="AL251"/>
  <c r="AL224"/>
  <c r="AL209"/>
  <c r="AL201"/>
  <c r="AL190"/>
  <c r="AL185"/>
  <c r="AL175"/>
  <c r="AL167"/>
  <c r="AL157"/>
  <c r="AL301"/>
  <c r="AL296"/>
  <c r="AL236"/>
  <c r="AL222"/>
  <c r="AL214"/>
  <c r="AL189"/>
  <c r="AL177"/>
  <c r="AL169"/>
  <c r="AL159"/>
  <c r="AL151"/>
  <c r="AL312"/>
  <c r="AL180" i="3"/>
  <c r="AL180" i="2" s="1"/>
  <c r="AL181"/>
  <c r="AL179"/>
  <c r="AL171"/>
  <c r="AL161"/>
  <c r="AL153"/>
  <c r="AL191"/>
  <c r="AL184"/>
  <c r="AL158"/>
  <c r="AL140"/>
  <c r="AL130"/>
  <c r="AL122"/>
  <c r="AL112"/>
  <c r="AL104"/>
  <c r="AL94"/>
  <c r="AL86"/>
  <c r="AL76"/>
  <c r="AL66"/>
  <c r="AL58"/>
  <c r="AL48"/>
  <c r="AL225"/>
  <c r="AL182"/>
  <c r="AL163"/>
  <c r="AL155"/>
  <c r="AL142"/>
  <c r="AL134"/>
  <c r="AL124"/>
  <c r="AL114"/>
  <c r="AL106"/>
  <c r="AL96"/>
  <c r="AL88"/>
  <c r="AL78"/>
  <c r="AL70"/>
  <c r="AL60"/>
  <c r="AL50"/>
  <c r="AL42"/>
  <c r="AL400"/>
  <c r="AL220"/>
  <c r="AL219"/>
  <c r="AL217"/>
  <c r="AL162"/>
  <c r="AL154"/>
  <c r="AL148" i="3"/>
  <c r="AL148" i="2" s="1"/>
  <c r="AL149"/>
  <c r="AL147"/>
  <c r="AL139"/>
  <c r="AL129"/>
  <c r="AL121"/>
  <c r="AL111"/>
  <c r="AL103"/>
  <c r="AL93"/>
  <c r="AL84" i="3"/>
  <c r="AL84" i="2" s="1"/>
  <c r="AL85"/>
  <c r="AL83"/>
  <c r="AL75"/>
  <c r="AL65"/>
  <c r="AL57"/>
  <c r="AL47"/>
  <c r="AL210"/>
  <c r="AL204"/>
  <c r="AL202"/>
  <c r="AL194"/>
  <c r="AL174"/>
  <c r="AL166"/>
  <c r="AL141"/>
  <c r="AL132" i="3"/>
  <c r="AL132" i="2" s="1"/>
  <c r="AL133"/>
  <c r="AL131"/>
  <c r="AL123"/>
  <c r="AL113"/>
  <c r="AL105"/>
  <c r="AL95"/>
  <c r="AL87"/>
  <c r="AL77"/>
  <c r="AL68" i="3"/>
  <c r="AL68" i="2" s="1"/>
  <c r="AL69"/>
  <c r="AL67"/>
  <c r="AL59"/>
  <c r="AL49"/>
  <c r="AL183"/>
  <c r="AL143"/>
  <c r="AL135"/>
  <c r="AL110"/>
  <c r="AL102"/>
  <c r="AL79"/>
  <c r="AL71"/>
  <c r="AL46"/>
  <c r="AL36" i="3"/>
  <c r="AL36" i="2" s="1"/>
  <c r="AL37"/>
  <c r="AL35"/>
  <c r="AL27"/>
  <c r="AL17"/>
  <c r="AL9"/>
  <c r="AL109"/>
  <c r="AL108"/>
  <c r="AL100" i="3"/>
  <c r="AL100" i="2" s="1"/>
  <c r="AL101"/>
  <c r="AL45"/>
  <c r="AL44"/>
  <c r="AL32"/>
  <c r="AL24"/>
  <c r="AL14"/>
  <c r="AL292" i="3"/>
  <c r="AL292" i="2" s="1"/>
  <c r="AL293"/>
  <c r="AL115"/>
  <c r="AL107"/>
  <c r="AL51"/>
  <c r="AL43"/>
  <c r="AL39"/>
  <c r="AL29"/>
  <c r="AL20" i="3"/>
  <c r="AL20" i="2" s="1"/>
  <c r="AL21"/>
  <c r="AL19"/>
  <c r="AL11"/>
  <c r="AL176"/>
  <c r="AL173"/>
  <c r="AL172"/>
  <c r="AL150"/>
  <c r="AL128"/>
  <c r="AL120"/>
  <c r="AL92"/>
  <c r="AL64"/>
  <c r="AL56"/>
  <c r="AL34"/>
  <c r="AL26"/>
  <c r="AL16"/>
  <c r="AL8"/>
  <c r="AL186"/>
  <c r="AL90"/>
  <c r="AL89"/>
  <c r="AL168"/>
  <c r="AL98"/>
  <c r="AL97"/>
  <c r="AL91"/>
  <c r="AL30"/>
  <c r="AL22"/>
  <c r="AL15"/>
  <c r="AL99"/>
  <c r="AL41"/>
  <c r="AL28"/>
  <c r="AL13"/>
  <c r="AL10"/>
  <c r="AL304"/>
  <c r="AL199"/>
  <c r="AL207"/>
  <c r="AL126"/>
  <c r="AL125"/>
  <c r="AL18"/>
  <c r="AL12"/>
  <c r="AL127"/>
  <c r="AL62"/>
  <c r="AL61"/>
  <c r="AL146"/>
  <c r="AL145"/>
  <c r="AL144"/>
  <c r="AL63"/>
  <c r="AL118"/>
  <c r="AL116" i="3"/>
  <c r="AL116" i="2" s="1"/>
  <c r="AL117"/>
  <c r="AL73"/>
  <c r="AL72"/>
  <c r="AL33"/>
  <c r="AL137"/>
  <c r="AL55"/>
  <c r="AL81"/>
  <c r="AL31"/>
  <c r="AL7"/>
  <c r="AL164" i="3"/>
  <c r="AL164" i="2" s="1"/>
  <c r="AL165"/>
  <c r="AL138"/>
  <c r="AL82"/>
  <c r="AL80"/>
  <c r="AL52" i="3"/>
  <c r="AL52" i="2" s="1"/>
  <c r="AL53"/>
  <c r="AL119"/>
  <c r="AL187"/>
  <c r="AL38"/>
  <c r="AL25"/>
  <c r="AL156"/>
  <c r="AL54"/>
  <c r="AL23"/>
  <c r="AL4" i="3"/>
  <c r="AL4" i="2" s="1"/>
  <c r="AL5"/>
  <c r="AL6"/>
  <c r="AL40"/>
  <c r="AL136"/>
  <c r="AL74"/>
  <c r="AM397"/>
  <c r="AM388" i="3"/>
  <c r="AM388" i="2" s="1"/>
  <c r="AM389"/>
  <c r="AM387"/>
  <c r="AM379"/>
  <c r="AM402"/>
  <c r="AM394"/>
  <c r="AM382"/>
  <c r="AM374"/>
  <c r="AM368"/>
  <c r="AM399"/>
  <c r="AM391"/>
  <c r="AM385"/>
  <c r="AM377"/>
  <c r="AM403"/>
  <c r="AM383"/>
  <c r="AM381"/>
  <c r="AM392"/>
  <c r="AM371"/>
  <c r="AM362"/>
  <c r="AM396"/>
  <c r="AM380"/>
  <c r="AM378"/>
  <c r="AM376"/>
  <c r="AM370"/>
  <c r="AM359"/>
  <c r="AM401"/>
  <c r="AM390"/>
  <c r="AM364"/>
  <c r="AM354"/>
  <c r="AM365"/>
  <c r="AM352"/>
  <c r="AM350"/>
  <c r="AM342"/>
  <c r="AM395"/>
  <c r="AM384"/>
  <c r="AM375"/>
  <c r="AM363"/>
  <c r="AM358"/>
  <c r="AM355"/>
  <c r="AM344"/>
  <c r="AM349"/>
  <c r="AM400"/>
  <c r="AM386"/>
  <c r="AM361"/>
  <c r="AM351"/>
  <c r="AM347"/>
  <c r="AM332"/>
  <c r="AM322"/>
  <c r="AM314"/>
  <c r="AM398"/>
  <c r="AM372" i="3"/>
  <c r="AM372" i="2" s="1"/>
  <c r="AM373"/>
  <c r="AM353"/>
  <c r="AM338"/>
  <c r="AM334"/>
  <c r="AM326"/>
  <c r="AM316"/>
  <c r="AM306"/>
  <c r="AM367"/>
  <c r="AM336"/>
  <c r="AM331"/>
  <c r="AM321"/>
  <c r="AM313"/>
  <c r="AM393"/>
  <c r="AM369"/>
  <c r="AM343"/>
  <c r="AM333"/>
  <c r="AM324" i="3"/>
  <c r="AM324" i="2" s="1"/>
  <c r="AM325"/>
  <c r="AM323"/>
  <c r="AM356" i="3"/>
  <c r="AM356" i="2" s="1"/>
  <c r="AM357"/>
  <c r="AM337"/>
  <c r="AM335"/>
  <c r="AM327"/>
  <c r="AM315"/>
  <c r="AM310"/>
  <c r="AM300"/>
  <c r="AM290"/>
  <c r="AM282"/>
  <c r="AM272"/>
  <c r="AM264"/>
  <c r="AM305"/>
  <c r="AM297"/>
  <c r="AM287"/>
  <c r="AM279"/>
  <c r="AM269"/>
  <c r="AM260" i="3"/>
  <c r="AM260" i="2" s="1"/>
  <c r="AM261"/>
  <c r="AM308" i="3"/>
  <c r="AM308" i="2" s="1"/>
  <c r="AM309"/>
  <c r="AM302"/>
  <c r="AM294"/>
  <c r="AM284"/>
  <c r="AM274"/>
  <c r="AM266"/>
  <c r="AM345"/>
  <c r="AM312"/>
  <c r="AM301"/>
  <c r="AM292" i="3"/>
  <c r="AM292" i="2" s="1"/>
  <c r="AM293"/>
  <c r="AM291"/>
  <c r="AM283"/>
  <c r="AM273"/>
  <c r="AM265"/>
  <c r="AM360"/>
  <c r="AM330"/>
  <c r="AM259"/>
  <c r="AM251"/>
  <c r="AM241"/>
  <c r="AM233"/>
  <c r="AM348"/>
  <c r="AM346"/>
  <c r="AM340" i="3"/>
  <c r="AM340" i="2" s="1"/>
  <c r="AM341"/>
  <c r="AM298"/>
  <c r="AM285"/>
  <c r="AM276" i="3"/>
  <c r="AM276" i="2" s="1"/>
  <c r="AM277"/>
  <c r="AM270"/>
  <c r="AM262"/>
  <c r="AM253"/>
  <c r="AM244" i="3"/>
  <c r="AM244" i="2" s="1"/>
  <c r="AM245"/>
  <c r="AM243"/>
  <c r="AM235"/>
  <c r="AM225"/>
  <c r="AM317"/>
  <c r="AM258"/>
  <c r="AM250"/>
  <c r="AM240"/>
  <c r="AM232"/>
  <c r="AM339"/>
  <c r="AM311"/>
  <c r="AM307"/>
  <c r="AM304"/>
  <c r="AM296"/>
  <c r="AM289"/>
  <c r="AM281"/>
  <c r="AM268"/>
  <c r="AM252"/>
  <c r="AM242"/>
  <c r="AM234"/>
  <c r="AM288"/>
  <c r="AM236"/>
  <c r="AM219"/>
  <c r="AM209"/>
  <c r="AM201"/>
  <c r="AM191"/>
  <c r="AM286"/>
  <c r="AM280"/>
  <c r="AM257"/>
  <c r="AM249"/>
  <c r="AM216"/>
  <c r="AM206"/>
  <c r="AM198"/>
  <c r="AM328"/>
  <c r="AM278"/>
  <c r="AM221"/>
  <c r="AM212" i="3"/>
  <c r="AM212" i="2" s="1"/>
  <c r="AM213"/>
  <c r="AM211"/>
  <c r="AM203"/>
  <c r="AM193"/>
  <c r="AM329"/>
  <c r="AM267"/>
  <c r="AM263"/>
  <c r="AM256"/>
  <c r="AM248"/>
  <c r="AM227"/>
  <c r="AM218"/>
  <c r="AM208"/>
  <c r="AM200"/>
  <c r="AM190"/>
  <c r="AM230"/>
  <c r="AM217"/>
  <c r="AM210"/>
  <c r="AM202"/>
  <c r="AM195"/>
  <c r="AM187"/>
  <c r="AM183"/>
  <c r="AM173"/>
  <c r="AM164" i="3"/>
  <c r="AM164" i="2" s="1"/>
  <c r="AM165"/>
  <c r="AM163"/>
  <c r="AM155"/>
  <c r="AM255"/>
  <c r="AM254"/>
  <c r="AM247"/>
  <c r="AM246"/>
  <c r="AM239"/>
  <c r="AM226"/>
  <c r="AM192"/>
  <c r="AM178"/>
  <c r="AM170"/>
  <c r="AM160"/>
  <c r="AM152"/>
  <c r="AM366"/>
  <c r="AM320"/>
  <c r="AM295"/>
  <c r="AM275"/>
  <c r="AM237"/>
  <c r="AM207"/>
  <c r="AM199"/>
  <c r="AM182"/>
  <c r="AM172"/>
  <c r="AM162"/>
  <c r="AM154"/>
  <c r="AM319"/>
  <c r="AM220"/>
  <c r="AM205"/>
  <c r="AM196" i="3"/>
  <c r="AM196" i="2" s="1"/>
  <c r="AM197"/>
  <c r="AM184"/>
  <c r="AM174"/>
  <c r="AM166"/>
  <c r="AM156"/>
  <c r="AM303"/>
  <c r="AM299"/>
  <c r="AM186"/>
  <c r="AM185"/>
  <c r="AM179"/>
  <c r="AM171"/>
  <c r="AM143"/>
  <c r="AM135"/>
  <c r="AM125"/>
  <c r="AM116" i="3"/>
  <c r="AM116" i="2" s="1"/>
  <c r="AM117"/>
  <c r="AM115"/>
  <c r="AM107"/>
  <c r="AM97"/>
  <c r="AM89"/>
  <c r="AM79"/>
  <c r="AM71"/>
  <c r="AM61"/>
  <c r="AM52" i="3"/>
  <c r="AM52" i="2" s="1"/>
  <c r="AM53"/>
  <c r="AM51"/>
  <c r="AM43"/>
  <c r="AM228" i="3"/>
  <c r="AM228" i="2" s="1"/>
  <c r="AM229"/>
  <c r="AM151"/>
  <c r="AM145"/>
  <c r="AM137"/>
  <c r="AM127"/>
  <c r="AM119"/>
  <c r="AM109"/>
  <c r="AM100" i="3"/>
  <c r="AM100" i="2" s="1"/>
  <c r="AM101"/>
  <c r="AM99"/>
  <c r="AM91"/>
  <c r="AM81"/>
  <c r="AM73"/>
  <c r="AM63"/>
  <c r="AM55"/>
  <c r="AM45"/>
  <c r="AM238"/>
  <c r="AM223"/>
  <c r="AM222"/>
  <c r="AM215"/>
  <c r="AM214"/>
  <c r="AM189"/>
  <c r="AM180" i="3"/>
  <c r="AM180" i="2" s="1"/>
  <c r="AM181"/>
  <c r="AM177"/>
  <c r="AM169"/>
  <c r="AM142"/>
  <c r="AM134"/>
  <c r="AM124"/>
  <c r="AM114"/>
  <c r="AM106"/>
  <c r="AM96"/>
  <c r="AM88"/>
  <c r="AM78"/>
  <c r="AM70"/>
  <c r="AM60"/>
  <c r="AM50"/>
  <c r="AM42"/>
  <c r="AM176"/>
  <c r="AM175"/>
  <c r="AM168"/>
  <c r="AM167"/>
  <c r="AM150"/>
  <c r="AM144"/>
  <c r="AM136"/>
  <c r="AM126"/>
  <c r="AM118"/>
  <c r="AM108"/>
  <c r="AM98"/>
  <c r="AM90"/>
  <c r="AM80"/>
  <c r="AM72"/>
  <c r="AM62"/>
  <c r="AM54"/>
  <c r="AM44"/>
  <c r="AM131"/>
  <c r="AM123"/>
  <c r="AM111"/>
  <c r="AM103"/>
  <c r="AM95"/>
  <c r="AM87"/>
  <c r="AM67"/>
  <c r="AM59"/>
  <c r="AM47"/>
  <c r="AM40"/>
  <c r="AM30"/>
  <c r="AM22"/>
  <c r="AM12"/>
  <c r="AM224"/>
  <c r="AM110"/>
  <c r="AM102"/>
  <c r="AM46"/>
  <c r="AM36" i="3"/>
  <c r="AM36" i="2" s="1"/>
  <c r="AM37"/>
  <c r="AM35"/>
  <c r="AM27"/>
  <c r="AM17"/>
  <c r="AM188"/>
  <c r="AM130"/>
  <c r="AM122"/>
  <c r="AM94"/>
  <c r="AM86"/>
  <c r="AM66"/>
  <c r="AM58"/>
  <c r="AM32"/>
  <c r="AM24"/>
  <c r="AM14"/>
  <c r="AM6"/>
  <c r="AM148" i="3"/>
  <c r="AM148" i="2" s="1"/>
  <c r="AM149"/>
  <c r="AM141"/>
  <c r="AM132" i="3"/>
  <c r="AM132" i="2" s="1"/>
  <c r="AM133"/>
  <c r="AM129"/>
  <c r="AM121"/>
  <c r="AM93"/>
  <c r="AM84" i="3"/>
  <c r="AM84" i="2" s="1"/>
  <c r="AM85"/>
  <c r="AM77"/>
  <c r="AM68" i="3"/>
  <c r="AM68" i="2" s="1"/>
  <c r="AM69"/>
  <c r="AM65"/>
  <c r="AM57"/>
  <c r="AM39"/>
  <c r="AM29"/>
  <c r="AM20" i="3"/>
  <c r="AM20" i="2" s="1"/>
  <c r="AM21"/>
  <c r="AM19"/>
  <c r="AM11"/>
  <c r="AM194"/>
  <c r="AM128"/>
  <c r="AM64"/>
  <c r="AM31"/>
  <c r="AM23"/>
  <c r="AM16"/>
  <c r="AM7"/>
  <c r="AM318"/>
  <c r="AM231"/>
  <c r="AM112"/>
  <c r="AM104"/>
  <c r="AM48"/>
  <c r="AM92"/>
  <c r="AM15"/>
  <c r="AM4" i="3"/>
  <c r="AM4" i="2" s="1"/>
  <c r="AM5"/>
  <c r="AM41"/>
  <c r="AM28"/>
  <c r="AM13"/>
  <c r="AM10"/>
  <c r="AM56"/>
  <c r="AM49"/>
  <c r="AM38"/>
  <c r="AM8"/>
  <c r="AM157"/>
  <c r="AM18"/>
  <c r="AM159"/>
  <c r="AM140"/>
  <c r="AM105"/>
  <c r="AM74"/>
  <c r="AM26"/>
  <c r="AM146"/>
  <c r="AM34"/>
  <c r="AM25"/>
  <c r="AM9"/>
  <c r="AM153"/>
  <c r="AM33"/>
  <c r="AM120"/>
  <c r="AM76"/>
  <c r="AM271"/>
  <c r="AM204"/>
  <c r="AM161"/>
  <c r="AM147"/>
  <c r="AM139"/>
  <c r="AM138"/>
  <c r="AM113"/>
  <c r="AM75"/>
  <c r="AM158"/>
  <c r="AM82"/>
  <c r="AM83"/>
  <c r="P400"/>
  <c r="P392"/>
  <c r="P384"/>
  <c r="P376"/>
  <c r="P397"/>
  <c r="P388" i="3"/>
  <c r="P388" i="2" s="1"/>
  <c r="P389"/>
  <c r="P387"/>
  <c r="P379"/>
  <c r="P371"/>
  <c r="P402"/>
  <c r="P394"/>
  <c r="P382"/>
  <c r="P374"/>
  <c r="P368"/>
  <c r="P386"/>
  <c r="P398"/>
  <c r="P393"/>
  <c r="P370"/>
  <c r="P365"/>
  <c r="P356" i="3"/>
  <c r="P356" i="2" s="1"/>
  <c r="P357"/>
  <c r="P355"/>
  <c r="P403"/>
  <c r="P385"/>
  <c r="P383"/>
  <c r="P381"/>
  <c r="P362"/>
  <c r="P391"/>
  <c r="P369"/>
  <c r="P367"/>
  <c r="P359"/>
  <c r="P390"/>
  <c r="P372" i="3"/>
  <c r="P372" i="2" s="1"/>
  <c r="P373"/>
  <c r="P366"/>
  <c r="P353"/>
  <c r="P345"/>
  <c r="P364"/>
  <c r="P347"/>
  <c r="P337"/>
  <c r="P399"/>
  <c r="P352"/>
  <c r="P344"/>
  <c r="P346"/>
  <c r="P350"/>
  <c r="P340" i="3"/>
  <c r="P340" i="2" s="1"/>
  <c r="P341"/>
  <c r="P335"/>
  <c r="P327"/>
  <c r="P317"/>
  <c r="P308" i="3"/>
  <c r="P308" i="2" s="1"/>
  <c r="P309"/>
  <c r="P378"/>
  <c r="P360"/>
  <c r="P329"/>
  <c r="P319"/>
  <c r="P311"/>
  <c r="P358"/>
  <c r="P348"/>
  <c r="P334"/>
  <c r="P326"/>
  <c r="P316"/>
  <c r="P306"/>
  <c r="P336"/>
  <c r="P328"/>
  <c r="P401"/>
  <c r="P395"/>
  <c r="P375"/>
  <c r="P351"/>
  <c r="P349"/>
  <c r="P338"/>
  <c r="P323"/>
  <c r="P303"/>
  <c r="P295"/>
  <c r="P285"/>
  <c r="P276" i="3"/>
  <c r="P276" i="2" s="1"/>
  <c r="P277"/>
  <c r="P275"/>
  <c r="P267"/>
  <c r="P380"/>
  <c r="P363"/>
  <c r="P354"/>
  <c r="P330"/>
  <c r="P322"/>
  <c r="P300"/>
  <c r="P290"/>
  <c r="P282"/>
  <c r="P272"/>
  <c r="P264"/>
  <c r="P343"/>
  <c r="P342"/>
  <c r="P321"/>
  <c r="P315"/>
  <c r="P310"/>
  <c r="P307"/>
  <c r="P305"/>
  <c r="P297"/>
  <c r="P287"/>
  <c r="P279"/>
  <c r="P269"/>
  <c r="P260" i="3"/>
  <c r="P260" i="2" s="1"/>
  <c r="P261"/>
  <c r="P396"/>
  <c r="P361"/>
  <c r="P333"/>
  <c r="P324" i="3"/>
  <c r="P324" i="2" s="1"/>
  <c r="P325"/>
  <c r="P304"/>
  <c r="P296"/>
  <c r="P286"/>
  <c r="P278"/>
  <c r="P268"/>
  <c r="P339"/>
  <c r="P254"/>
  <c r="P246"/>
  <c r="P236"/>
  <c r="P226"/>
  <c r="P302"/>
  <c r="P294"/>
  <c r="P289"/>
  <c r="P281"/>
  <c r="P274"/>
  <c r="P266"/>
  <c r="P256"/>
  <c r="P248"/>
  <c r="P238"/>
  <c r="P230"/>
  <c r="P332"/>
  <c r="P331"/>
  <c r="P313"/>
  <c r="P301"/>
  <c r="P292" i="3"/>
  <c r="P292" i="2" s="1"/>
  <c r="P293"/>
  <c r="P288"/>
  <c r="P280"/>
  <c r="P273"/>
  <c r="P265"/>
  <c r="P253"/>
  <c r="P244" i="3"/>
  <c r="P244" i="2" s="1"/>
  <c r="P245"/>
  <c r="P243"/>
  <c r="P235"/>
  <c r="P225"/>
  <c r="P320"/>
  <c r="P255"/>
  <c r="P247"/>
  <c r="P237"/>
  <c r="P222"/>
  <c r="P214"/>
  <c r="P204"/>
  <c r="P194"/>
  <c r="P318"/>
  <c r="P299"/>
  <c r="P298"/>
  <c r="P239"/>
  <c r="P228" i="3"/>
  <c r="P228" i="2" s="1"/>
  <c r="P229"/>
  <c r="P224"/>
  <c r="P219"/>
  <c r="P209"/>
  <c r="P201"/>
  <c r="P377"/>
  <c r="P312"/>
  <c r="P291"/>
  <c r="P284"/>
  <c r="P252"/>
  <c r="P216"/>
  <c r="P206"/>
  <c r="P198"/>
  <c r="P283"/>
  <c r="P262"/>
  <c r="P259"/>
  <c r="P251"/>
  <c r="P221"/>
  <c r="P212" i="3"/>
  <c r="P212" i="2" s="1"/>
  <c r="P213"/>
  <c r="P211"/>
  <c r="P203"/>
  <c r="P193"/>
  <c r="P207"/>
  <c r="P199"/>
  <c r="P190"/>
  <c r="P186"/>
  <c r="P176"/>
  <c r="P168"/>
  <c r="P158"/>
  <c r="P150"/>
  <c r="P183"/>
  <c r="P173"/>
  <c r="P164" i="3"/>
  <c r="P164" i="2" s="1"/>
  <c r="P165"/>
  <c r="P163"/>
  <c r="P155"/>
  <c r="P258"/>
  <c r="P250"/>
  <c r="P218"/>
  <c r="P192"/>
  <c r="P189"/>
  <c r="P185"/>
  <c r="P175"/>
  <c r="P167"/>
  <c r="P157"/>
  <c r="P271"/>
  <c r="P257"/>
  <c r="P249"/>
  <c r="P241"/>
  <c r="P240"/>
  <c r="P234"/>
  <c r="P227"/>
  <c r="P217"/>
  <c r="P210"/>
  <c r="P202"/>
  <c r="P195"/>
  <c r="P188"/>
  <c r="P177"/>
  <c r="P169"/>
  <c r="P159"/>
  <c r="P314"/>
  <c r="P270"/>
  <c r="P180" i="3"/>
  <c r="P180" i="2" s="1"/>
  <c r="P181"/>
  <c r="P162"/>
  <c r="P154"/>
  <c r="P146"/>
  <c r="P138"/>
  <c r="P128"/>
  <c r="P120"/>
  <c r="P110"/>
  <c r="P102"/>
  <c r="P92"/>
  <c r="P82"/>
  <c r="P74"/>
  <c r="P64"/>
  <c r="P56"/>
  <c r="P46"/>
  <c r="P242"/>
  <c r="P187"/>
  <c r="P174"/>
  <c r="P166"/>
  <c r="P160"/>
  <c r="P152"/>
  <c r="P140"/>
  <c r="P130"/>
  <c r="P122"/>
  <c r="P112"/>
  <c r="P104"/>
  <c r="P94"/>
  <c r="P86"/>
  <c r="P76"/>
  <c r="P66"/>
  <c r="P58"/>
  <c r="P48"/>
  <c r="P145"/>
  <c r="P137"/>
  <c r="P127"/>
  <c r="P119"/>
  <c r="P109"/>
  <c r="P100" i="3"/>
  <c r="P100" i="2" s="1"/>
  <c r="P101"/>
  <c r="P99"/>
  <c r="P91"/>
  <c r="P81"/>
  <c r="P73"/>
  <c r="P63"/>
  <c r="P55"/>
  <c r="P45"/>
  <c r="P232"/>
  <c r="P184"/>
  <c r="P179"/>
  <c r="P171"/>
  <c r="P148" i="3"/>
  <c r="P148" i="2" s="1"/>
  <c r="P149"/>
  <c r="P147"/>
  <c r="P139"/>
  <c r="P129"/>
  <c r="P121"/>
  <c r="P111"/>
  <c r="P103"/>
  <c r="P93"/>
  <c r="P84" i="3"/>
  <c r="P84" i="2" s="1"/>
  <c r="P85"/>
  <c r="P83"/>
  <c r="P75"/>
  <c r="P65"/>
  <c r="P57"/>
  <c r="P47"/>
  <c r="P223"/>
  <c r="P215"/>
  <c r="P161"/>
  <c r="P151"/>
  <c r="P141"/>
  <c r="P132" i="3"/>
  <c r="P132" i="2" s="1"/>
  <c r="P133"/>
  <c r="P114"/>
  <c r="P106"/>
  <c r="P77"/>
  <c r="P68" i="3"/>
  <c r="P68" i="2" s="1"/>
  <c r="P69"/>
  <c r="P50"/>
  <c r="P42"/>
  <c r="P33"/>
  <c r="P25"/>
  <c r="P15"/>
  <c r="P7"/>
  <c r="P196" i="3"/>
  <c r="P196" i="2" s="1"/>
  <c r="P197"/>
  <c r="P126"/>
  <c r="P118"/>
  <c r="P98"/>
  <c r="P90"/>
  <c r="P62"/>
  <c r="P54"/>
  <c r="P40"/>
  <c r="P30"/>
  <c r="P22"/>
  <c r="P12"/>
  <c r="P200"/>
  <c r="P191"/>
  <c r="P182"/>
  <c r="P125"/>
  <c r="P116" i="3"/>
  <c r="P116" i="2" s="1"/>
  <c r="P117"/>
  <c r="P113"/>
  <c r="P105"/>
  <c r="P97"/>
  <c r="P89"/>
  <c r="P61"/>
  <c r="P52" i="3"/>
  <c r="P52" i="2" s="1"/>
  <c r="P53"/>
  <c r="P49"/>
  <c r="P36" i="3"/>
  <c r="P36" i="2" s="1"/>
  <c r="P37"/>
  <c r="P35"/>
  <c r="P27"/>
  <c r="P17"/>
  <c r="P9"/>
  <c r="P263"/>
  <c r="P124"/>
  <c r="P96"/>
  <c r="P88"/>
  <c r="P60"/>
  <c r="P32"/>
  <c r="P24"/>
  <c r="P14"/>
  <c r="P6"/>
  <c r="P172"/>
  <c r="P142"/>
  <c r="P136"/>
  <c r="P78"/>
  <c r="P72"/>
  <c r="P41"/>
  <c r="P28"/>
  <c r="P13"/>
  <c r="P8"/>
  <c r="P220"/>
  <c r="P208"/>
  <c r="P205"/>
  <c r="P135"/>
  <c r="P71"/>
  <c r="P39"/>
  <c r="P19"/>
  <c r="P11"/>
  <c r="P134"/>
  <c r="P123"/>
  <c r="P70"/>
  <c r="P59"/>
  <c r="P34"/>
  <c r="P26"/>
  <c r="P131"/>
  <c r="P115"/>
  <c r="P108"/>
  <c r="P107"/>
  <c r="P67"/>
  <c r="P51"/>
  <c r="P44"/>
  <c r="P43"/>
  <c r="P38"/>
  <c r="P18"/>
  <c r="P143"/>
  <c r="P80"/>
  <c r="P31"/>
  <c r="P29"/>
  <c r="P10"/>
  <c r="P231"/>
  <c r="P156"/>
  <c r="P95"/>
  <c r="P79"/>
  <c r="P23"/>
  <c r="P20" i="3"/>
  <c r="P20" i="2" s="1"/>
  <c r="P21"/>
  <c r="P153"/>
  <c r="P87"/>
  <c r="P233"/>
  <c r="P170"/>
  <c r="P178"/>
  <c r="P144"/>
  <c r="P4" i="3"/>
  <c r="P4" i="2" s="1"/>
  <c r="P5"/>
  <c r="P16"/>
  <c r="AX398"/>
  <c r="AX390"/>
  <c r="AX386"/>
  <c r="AX378"/>
  <c r="AX403"/>
  <c r="AX395"/>
  <c r="AX381"/>
  <c r="AX372" i="3"/>
  <c r="AX372" i="2" s="1"/>
  <c r="AX373"/>
  <c r="AX369"/>
  <c r="AX400"/>
  <c r="AX392"/>
  <c r="AX384"/>
  <c r="AX376"/>
  <c r="AX402"/>
  <c r="AX385"/>
  <c r="AX383"/>
  <c r="AX371"/>
  <c r="AX391"/>
  <c r="AX387"/>
  <c r="AX367"/>
  <c r="AX363"/>
  <c r="AX353"/>
  <c r="AX396"/>
  <c r="AX382"/>
  <c r="AX380"/>
  <c r="AX360"/>
  <c r="AX401"/>
  <c r="AX388" i="3"/>
  <c r="AX388" i="2" s="1"/>
  <c r="AX389"/>
  <c r="AX370"/>
  <c r="AX365"/>
  <c r="AX356" i="3"/>
  <c r="AX356" i="2" s="1"/>
  <c r="AX357"/>
  <c r="AX355"/>
  <c r="AX393"/>
  <c r="AX364"/>
  <c r="AX351"/>
  <c r="AX343"/>
  <c r="AX394"/>
  <c r="AX362"/>
  <c r="AX358"/>
  <c r="AX354"/>
  <c r="AX345"/>
  <c r="AX368"/>
  <c r="AX350"/>
  <c r="AX399"/>
  <c r="AX397"/>
  <c r="AX379"/>
  <c r="AX361"/>
  <c r="AX339"/>
  <c r="AX333"/>
  <c r="AX324" i="3"/>
  <c r="AX324" i="2" s="1"/>
  <c r="AX325"/>
  <c r="AX323"/>
  <c r="AX315"/>
  <c r="AX349"/>
  <c r="AX340" i="3"/>
  <c r="AX340" i="2" s="1"/>
  <c r="AX341"/>
  <c r="AX338"/>
  <c r="AX335"/>
  <c r="AX327"/>
  <c r="AX317"/>
  <c r="AX308" i="3"/>
  <c r="AX308" i="2" s="1"/>
  <c r="AX309"/>
  <c r="AX307"/>
  <c r="AX366"/>
  <c r="AX332"/>
  <c r="AX322"/>
  <c r="AX314"/>
  <c r="AX374"/>
  <c r="AX347"/>
  <c r="AX336"/>
  <c r="AX334"/>
  <c r="AX326"/>
  <c r="AX377"/>
  <c r="AX331"/>
  <c r="AX310"/>
  <c r="AX301"/>
  <c r="AX292" i="3"/>
  <c r="AX292" i="2" s="1"/>
  <c r="AX293"/>
  <c r="AX291"/>
  <c r="AX283"/>
  <c r="AX273"/>
  <c r="AX265"/>
  <c r="AX348"/>
  <c r="AX319"/>
  <c r="AX298"/>
  <c r="AX288"/>
  <c r="AX280"/>
  <c r="AX270"/>
  <c r="AX262"/>
  <c r="AX375"/>
  <c r="AX346"/>
  <c r="AX330"/>
  <c r="AX313"/>
  <c r="AX303"/>
  <c r="AX295"/>
  <c r="AX285"/>
  <c r="AX276" i="3"/>
  <c r="AX276" i="2" s="1"/>
  <c r="AX277"/>
  <c r="AX275"/>
  <c r="AX267"/>
  <c r="AX328"/>
  <c r="AX320"/>
  <c r="AX311"/>
  <c r="AX306"/>
  <c r="AX302"/>
  <c r="AX294"/>
  <c r="AX284"/>
  <c r="AX274"/>
  <c r="AX266"/>
  <c r="AX342"/>
  <c r="AX252"/>
  <c r="AX242"/>
  <c r="AX234"/>
  <c r="AX224"/>
  <c r="AX318"/>
  <c r="AX316"/>
  <c r="AX260" i="3"/>
  <c r="AX260" i="2" s="1"/>
  <c r="AX261"/>
  <c r="AX254"/>
  <c r="AX246"/>
  <c r="AX236"/>
  <c r="AX226"/>
  <c r="AX359"/>
  <c r="AX329"/>
  <c r="AX312"/>
  <c r="AX304"/>
  <c r="AX296"/>
  <c r="AX289"/>
  <c r="AX281"/>
  <c r="AX268"/>
  <c r="AX259"/>
  <c r="AX251"/>
  <c r="AX241"/>
  <c r="AX233"/>
  <c r="AX223"/>
  <c r="AX300"/>
  <c r="AX287"/>
  <c r="AX279"/>
  <c r="AX272"/>
  <c r="AX264"/>
  <c r="AX253"/>
  <c r="AX244" i="3"/>
  <c r="AX244" i="2" s="1"/>
  <c r="AX245"/>
  <c r="AX243"/>
  <c r="AX235"/>
  <c r="AX256"/>
  <c r="AX248"/>
  <c r="AX240"/>
  <c r="AX232"/>
  <c r="AX220"/>
  <c r="AX210"/>
  <c r="AX202"/>
  <c r="AX192"/>
  <c r="AX344"/>
  <c r="AX321"/>
  <c r="AX217"/>
  <c r="AX207"/>
  <c r="AX199"/>
  <c r="AX352"/>
  <c r="AX299"/>
  <c r="AX297"/>
  <c r="AX255"/>
  <c r="AX247"/>
  <c r="AX239"/>
  <c r="AX231"/>
  <c r="AX222"/>
  <c r="AX214"/>
  <c r="AX204"/>
  <c r="AX194"/>
  <c r="AX305"/>
  <c r="AX290"/>
  <c r="AX238"/>
  <c r="AX227"/>
  <c r="AX219"/>
  <c r="AX209"/>
  <c r="AX201"/>
  <c r="AX191"/>
  <c r="AX282"/>
  <c r="AX269"/>
  <c r="AX228" i="3"/>
  <c r="AX228" i="2" s="1"/>
  <c r="AX229"/>
  <c r="AX208"/>
  <c r="AX200"/>
  <c r="AX184"/>
  <c r="AX174"/>
  <c r="AX166"/>
  <c r="AX156"/>
  <c r="AX263"/>
  <c r="AX225"/>
  <c r="AX215"/>
  <c r="AX206"/>
  <c r="AX198"/>
  <c r="AX187"/>
  <c r="AX180" i="3"/>
  <c r="AX180" i="2" s="1"/>
  <c r="AX181"/>
  <c r="AX179"/>
  <c r="AX171"/>
  <c r="AX161"/>
  <c r="AX153"/>
  <c r="AX183"/>
  <c r="AX173"/>
  <c r="AX164" i="3"/>
  <c r="AX164" i="2" s="1"/>
  <c r="AX165"/>
  <c r="AX163"/>
  <c r="AX155"/>
  <c r="AX278"/>
  <c r="AX237"/>
  <c r="AX218"/>
  <c r="AX211"/>
  <c r="AX203"/>
  <c r="AX185"/>
  <c r="AX175"/>
  <c r="AX167"/>
  <c r="AX157"/>
  <c r="AX249"/>
  <c r="AX205"/>
  <c r="AX196" i="3"/>
  <c r="AX196" i="2" s="1"/>
  <c r="AX197"/>
  <c r="AX188"/>
  <c r="AX182"/>
  <c r="AX144"/>
  <c r="AX136"/>
  <c r="AX126"/>
  <c r="AX118"/>
  <c r="AX108"/>
  <c r="AX98"/>
  <c r="AX90"/>
  <c r="AX80"/>
  <c r="AX72"/>
  <c r="AX62"/>
  <c r="AX54"/>
  <c r="AX44"/>
  <c r="AX258"/>
  <c r="AX195"/>
  <c r="AX176"/>
  <c r="AX168"/>
  <c r="AX151"/>
  <c r="AX146"/>
  <c r="AX138"/>
  <c r="AX128"/>
  <c r="AX120"/>
  <c r="AX110"/>
  <c r="AX102"/>
  <c r="AX92"/>
  <c r="AX82"/>
  <c r="AX74"/>
  <c r="AX64"/>
  <c r="AX56"/>
  <c r="AX46"/>
  <c r="AX257"/>
  <c r="AX160"/>
  <c r="AX150"/>
  <c r="AX143"/>
  <c r="AX135"/>
  <c r="AX125"/>
  <c r="AX116" i="3"/>
  <c r="AX116" i="2" s="1"/>
  <c r="AX117"/>
  <c r="AX115"/>
  <c r="AX107"/>
  <c r="AX97"/>
  <c r="AX89"/>
  <c r="AX79"/>
  <c r="AX71"/>
  <c r="AX61"/>
  <c r="AX52" i="3"/>
  <c r="AX52" i="2" s="1"/>
  <c r="AX53"/>
  <c r="AX51"/>
  <c r="AX43"/>
  <c r="AX193"/>
  <c r="AX186"/>
  <c r="AX172"/>
  <c r="AX159"/>
  <c r="AX145"/>
  <c r="AX137"/>
  <c r="AX127"/>
  <c r="AX119"/>
  <c r="AX109"/>
  <c r="AX100" i="3"/>
  <c r="AX100" i="2" s="1"/>
  <c r="AX101"/>
  <c r="AX99"/>
  <c r="AX91"/>
  <c r="AX81"/>
  <c r="AX73"/>
  <c r="AX63"/>
  <c r="AX55"/>
  <c r="AX45"/>
  <c r="AX189"/>
  <c r="AX169"/>
  <c r="AX158"/>
  <c r="AX154"/>
  <c r="AX41"/>
  <c r="AX31"/>
  <c r="AX23"/>
  <c r="AX13"/>
  <c r="AX4" i="3"/>
  <c r="AX4" i="2" s="1"/>
  <c r="AX5"/>
  <c r="AX230"/>
  <c r="AX162"/>
  <c r="AX148" i="3"/>
  <c r="AX148" i="2" s="1"/>
  <c r="AX149"/>
  <c r="AX141"/>
  <c r="AX132" i="3"/>
  <c r="AX132" i="2" s="1"/>
  <c r="AX133"/>
  <c r="AX129"/>
  <c r="AX121"/>
  <c r="AX114"/>
  <c r="AX106"/>
  <c r="AX93"/>
  <c r="AX84" i="3"/>
  <c r="AX84" i="2" s="1"/>
  <c r="AX85"/>
  <c r="AX77"/>
  <c r="AX68" i="3"/>
  <c r="AX68" i="2" s="1"/>
  <c r="AX69"/>
  <c r="AX65"/>
  <c r="AX57"/>
  <c r="AX50"/>
  <c r="AX42"/>
  <c r="AX38"/>
  <c r="AX28"/>
  <c r="AX18"/>
  <c r="AX221"/>
  <c r="AX212" i="3"/>
  <c r="AX212" i="2" s="1"/>
  <c r="AX213"/>
  <c r="AX140"/>
  <c r="AX76"/>
  <c r="AX33"/>
  <c r="AX25"/>
  <c r="AX15"/>
  <c r="AX7"/>
  <c r="AX113"/>
  <c r="AX105"/>
  <c r="AX49"/>
  <c r="AX40"/>
  <c r="AX30"/>
  <c r="AX22"/>
  <c r="AX12"/>
  <c r="AX139"/>
  <c r="AX75"/>
  <c r="AX29"/>
  <c r="AX20" i="3"/>
  <c r="AX20" i="2" s="1"/>
  <c r="AX21"/>
  <c r="AX14"/>
  <c r="AX6"/>
  <c r="AX286"/>
  <c r="AX142"/>
  <c r="AX124"/>
  <c r="AX78"/>
  <c r="AX60"/>
  <c r="AX35"/>
  <c r="AX27"/>
  <c r="AX190"/>
  <c r="AX112"/>
  <c r="AX104"/>
  <c r="AX48"/>
  <c r="AX10"/>
  <c r="AX178"/>
  <c r="AX177"/>
  <c r="AX134"/>
  <c r="AX123"/>
  <c r="AX88"/>
  <c r="AX70"/>
  <c r="AX59"/>
  <c r="AX39"/>
  <c r="AX19"/>
  <c r="AX11"/>
  <c r="AX9"/>
  <c r="AX47"/>
  <c r="AX32"/>
  <c r="AX26"/>
  <c r="AX250"/>
  <c r="AX122"/>
  <c r="AX24"/>
  <c r="AX103"/>
  <c r="AX58"/>
  <c r="AX36" i="3"/>
  <c r="AX36" i="2" s="1"/>
  <c r="AX37"/>
  <c r="AX271"/>
  <c r="AX216"/>
  <c r="AX147"/>
  <c r="AX131"/>
  <c r="AX130"/>
  <c r="AX96"/>
  <c r="AX17"/>
  <c r="AX94"/>
  <c r="AX86"/>
  <c r="AX16"/>
  <c r="AX111"/>
  <c r="AX83"/>
  <c r="AX337"/>
  <c r="AX95"/>
  <c r="AX170"/>
  <c r="AX67"/>
  <c r="AX152"/>
  <c r="AX34"/>
  <c r="AX8"/>
  <c r="AX87"/>
  <c r="AX66"/>
  <c r="AQ401"/>
  <c r="AQ393"/>
  <c r="AQ383"/>
  <c r="AQ375"/>
  <c r="AQ398"/>
  <c r="AQ390"/>
  <c r="AQ386"/>
  <c r="AQ378"/>
  <c r="AQ403"/>
  <c r="AQ395"/>
  <c r="AQ381"/>
  <c r="AQ372" i="3"/>
  <c r="AQ372" i="2" s="1"/>
  <c r="AQ373"/>
  <c r="AQ369"/>
  <c r="AQ394"/>
  <c r="AQ377"/>
  <c r="AQ399"/>
  <c r="AQ379"/>
  <c r="AQ368"/>
  <c r="AQ366"/>
  <c r="AQ358"/>
  <c r="AQ392"/>
  <c r="AQ374"/>
  <c r="AQ363"/>
  <c r="AQ353"/>
  <c r="AQ397"/>
  <c r="AQ376"/>
  <c r="AQ371"/>
  <c r="AQ360"/>
  <c r="AQ396"/>
  <c r="AQ387"/>
  <c r="AQ382"/>
  <c r="AQ346"/>
  <c r="AQ336"/>
  <c r="AQ348"/>
  <c r="AQ338"/>
  <c r="AQ384"/>
  <c r="AQ359"/>
  <c r="AQ355"/>
  <c r="AQ352"/>
  <c r="AQ345"/>
  <c r="AQ367"/>
  <c r="AQ356" i="3"/>
  <c r="AQ356" i="2" s="1"/>
  <c r="AQ357"/>
  <c r="AQ347"/>
  <c r="AQ364"/>
  <c r="AQ354"/>
  <c r="AQ343"/>
  <c r="AQ328"/>
  <c r="AQ318"/>
  <c r="AQ310"/>
  <c r="AQ344"/>
  <c r="AQ342"/>
  <c r="AQ330"/>
  <c r="AQ320"/>
  <c r="AQ312"/>
  <c r="AQ402"/>
  <c r="AQ388" i="3"/>
  <c r="AQ388" i="2" s="1"/>
  <c r="AQ389"/>
  <c r="AQ339"/>
  <c r="AQ335"/>
  <c r="AQ327"/>
  <c r="AQ317"/>
  <c r="AQ308" i="3"/>
  <c r="AQ308" i="2" s="1"/>
  <c r="AQ309"/>
  <c r="AQ307"/>
  <c r="AQ351"/>
  <c r="AQ350"/>
  <c r="AQ340" i="3"/>
  <c r="AQ340" i="2" s="1"/>
  <c r="AQ341"/>
  <c r="AQ329"/>
  <c r="AQ321"/>
  <c r="AQ306"/>
  <c r="AQ304"/>
  <c r="AQ296"/>
  <c r="AQ286"/>
  <c r="AQ278"/>
  <c r="AQ268"/>
  <c r="AQ391"/>
  <c r="AQ311"/>
  <c r="AQ301"/>
  <c r="AQ292" i="3"/>
  <c r="AQ292" i="2" s="1"/>
  <c r="AQ293"/>
  <c r="AQ291"/>
  <c r="AQ283"/>
  <c r="AQ273"/>
  <c r="AQ265"/>
  <c r="AQ365"/>
  <c r="AQ361"/>
  <c r="AQ337"/>
  <c r="AQ334"/>
  <c r="AQ326"/>
  <c r="AQ316"/>
  <c r="AQ298"/>
  <c r="AQ288"/>
  <c r="AQ280"/>
  <c r="AQ270"/>
  <c r="AQ262"/>
  <c r="AQ385"/>
  <c r="AQ331"/>
  <c r="AQ319"/>
  <c r="AQ305"/>
  <c r="AQ297"/>
  <c r="AQ287"/>
  <c r="AQ279"/>
  <c r="AQ269"/>
  <c r="AQ302"/>
  <c r="AQ294"/>
  <c r="AQ289"/>
  <c r="AQ281"/>
  <c r="AQ274"/>
  <c r="AQ266"/>
  <c r="AQ255"/>
  <c r="AQ247"/>
  <c r="AQ237"/>
  <c r="AQ228" i="3"/>
  <c r="AQ228" i="2" s="1"/>
  <c r="AQ229"/>
  <c r="AQ227"/>
  <c r="AQ380"/>
  <c r="AQ324" i="3"/>
  <c r="AQ324" i="2" s="1"/>
  <c r="AQ325"/>
  <c r="AQ300"/>
  <c r="AQ272"/>
  <c r="AQ264"/>
  <c r="AQ257"/>
  <c r="AQ249"/>
  <c r="AQ239"/>
  <c r="AQ231"/>
  <c r="AQ370"/>
  <c r="AQ362"/>
  <c r="AQ315"/>
  <c r="AQ285"/>
  <c r="AQ276" i="3"/>
  <c r="AQ276" i="2" s="1"/>
  <c r="AQ277"/>
  <c r="AQ254"/>
  <c r="AQ246"/>
  <c r="AQ236"/>
  <c r="AQ226"/>
  <c r="AQ323"/>
  <c r="AQ256"/>
  <c r="AQ248"/>
  <c r="AQ238"/>
  <c r="AQ313"/>
  <c r="AQ303"/>
  <c r="AQ299"/>
  <c r="AQ260" i="3"/>
  <c r="AQ260" i="2" s="1"/>
  <c r="AQ261"/>
  <c r="AQ259"/>
  <c r="AQ252"/>
  <c r="AQ251"/>
  <c r="AQ230"/>
  <c r="AQ223"/>
  <c r="AQ215"/>
  <c r="AQ205"/>
  <c r="AQ196" i="3"/>
  <c r="AQ196" i="2" s="1"/>
  <c r="AQ197"/>
  <c r="AQ195"/>
  <c r="AQ187"/>
  <c r="AQ322"/>
  <c r="AQ290"/>
  <c r="AQ284"/>
  <c r="AQ225"/>
  <c r="AQ220"/>
  <c r="AQ210"/>
  <c r="AQ202"/>
  <c r="AQ314"/>
  <c r="AQ282"/>
  <c r="AQ258"/>
  <c r="AQ250"/>
  <c r="AQ243"/>
  <c r="AQ235"/>
  <c r="AQ224"/>
  <c r="AQ217"/>
  <c r="AQ207"/>
  <c r="AQ199"/>
  <c r="AQ349"/>
  <c r="AQ242"/>
  <c r="AQ241"/>
  <c r="AQ234"/>
  <c r="AQ233"/>
  <c r="AQ222"/>
  <c r="AQ214"/>
  <c r="AQ204"/>
  <c r="AQ194"/>
  <c r="AQ271"/>
  <c r="AQ177"/>
  <c r="AQ169"/>
  <c r="AQ159"/>
  <c r="AQ151"/>
  <c r="AQ188"/>
  <c r="AQ184"/>
  <c r="AQ174"/>
  <c r="AQ166"/>
  <c r="AQ156"/>
  <c r="AQ333"/>
  <c r="AQ267"/>
  <c r="AQ240"/>
  <c r="AQ216"/>
  <c r="AQ193"/>
  <c r="AQ186"/>
  <c r="AQ176"/>
  <c r="AQ168"/>
  <c r="AQ158"/>
  <c r="AQ150"/>
  <c r="AQ332"/>
  <c r="AQ208"/>
  <c r="AQ200"/>
  <c r="AQ190"/>
  <c r="AQ178"/>
  <c r="AQ170"/>
  <c r="AQ160"/>
  <c r="AQ295"/>
  <c r="AQ232"/>
  <c r="AQ173"/>
  <c r="AQ164" i="3"/>
  <c r="AQ164" i="2" s="1"/>
  <c r="AQ165"/>
  <c r="AQ148" i="3"/>
  <c r="AQ148" i="2" s="1"/>
  <c r="AQ149"/>
  <c r="AQ147"/>
  <c r="AQ139"/>
  <c r="AQ129"/>
  <c r="AQ121"/>
  <c r="AQ111"/>
  <c r="AQ103"/>
  <c r="AQ93"/>
  <c r="AQ84" i="3"/>
  <c r="AQ84" i="2" s="1"/>
  <c r="AQ85"/>
  <c r="AQ83"/>
  <c r="AQ75"/>
  <c r="AQ65"/>
  <c r="AQ57"/>
  <c r="AQ47"/>
  <c r="AQ275"/>
  <c r="AQ185"/>
  <c r="AQ179"/>
  <c r="AQ172"/>
  <c r="AQ171"/>
  <c r="AQ141"/>
  <c r="AQ132" i="3"/>
  <c r="AQ132" i="2" s="1"/>
  <c r="AQ133"/>
  <c r="AQ131"/>
  <c r="AQ123"/>
  <c r="AQ113"/>
  <c r="AQ105"/>
  <c r="AQ95"/>
  <c r="AQ87"/>
  <c r="AQ77"/>
  <c r="AQ68" i="3"/>
  <c r="AQ68" i="2" s="1"/>
  <c r="AQ69"/>
  <c r="AQ67"/>
  <c r="AQ59"/>
  <c r="AQ49"/>
  <c r="AQ183"/>
  <c r="AQ157"/>
  <c r="AQ152"/>
  <c r="AQ146"/>
  <c r="AQ138"/>
  <c r="AQ128"/>
  <c r="AQ120"/>
  <c r="AQ110"/>
  <c r="AQ102"/>
  <c r="AQ92"/>
  <c r="AQ82"/>
  <c r="AQ74"/>
  <c r="AQ64"/>
  <c r="AQ56"/>
  <c r="AQ46"/>
  <c r="AQ221"/>
  <c r="AQ212" i="3"/>
  <c r="AQ212" i="2" s="1"/>
  <c r="AQ213"/>
  <c r="AQ206"/>
  <c r="AQ198"/>
  <c r="AQ189"/>
  <c r="AQ182"/>
  <c r="AQ180" i="3"/>
  <c r="AQ180" i="2" s="1"/>
  <c r="AQ181"/>
  <c r="AQ140"/>
  <c r="AQ130"/>
  <c r="AQ122"/>
  <c r="AQ112"/>
  <c r="AQ104"/>
  <c r="AQ94"/>
  <c r="AQ86"/>
  <c r="AQ76"/>
  <c r="AQ66"/>
  <c r="AQ58"/>
  <c r="AQ48"/>
  <c r="AQ400"/>
  <c r="AQ192"/>
  <c r="AQ34"/>
  <c r="AQ26"/>
  <c r="AQ16"/>
  <c r="AQ8"/>
  <c r="AQ209"/>
  <c r="AQ145"/>
  <c r="AQ137"/>
  <c r="AQ124"/>
  <c r="AQ96"/>
  <c r="AQ88"/>
  <c r="AQ81"/>
  <c r="AQ73"/>
  <c r="AQ60"/>
  <c r="AQ41"/>
  <c r="AQ31"/>
  <c r="AQ23"/>
  <c r="AQ13"/>
  <c r="AQ211"/>
  <c r="AQ144"/>
  <c r="AQ143"/>
  <c r="AQ136"/>
  <c r="AQ135"/>
  <c r="AQ80"/>
  <c r="AQ79"/>
  <c r="AQ72"/>
  <c r="AQ71"/>
  <c r="AQ38"/>
  <c r="AQ28"/>
  <c r="AQ18"/>
  <c r="AQ10"/>
  <c r="AQ253"/>
  <c r="AQ244" i="3"/>
  <c r="AQ244" i="2" s="1"/>
  <c r="AQ245"/>
  <c r="AQ109"/>
  <c r="AQ100" i="3"/>
  <c r="AQ100" i="2" s="1"/>
  <c r="AQ101"/>
  <c r="AQ45"/>
  <c r="AQ33"/>
  <c r="AQ25"/>
  <c r="AQ15"/>
  <c r="AQ7"/>
  <c r="AQ218"/>
  <c r="AQ191"/>
  <c r="AQ162"/>
  <c r="AQ134"/>
  <c r="AQ125"/>
  <c r="AQ119"/>
  <c r="AQ118"/>
  <c r="AQ115"/>
  <c r="AQ107"/>
  <c r="AQ70"/>
  <c r="AQ61"/>
  <c r="AQ55"/>
  <c r="AQ54"/>
  <c r="AQ51"/>
  <c r="AQ43"/>
  <c r="AQ39"/>
  <c r="AQ19"/>
  <c r="AQ11"/>
  <c r="AQ167"/>
  <c r="AQ127"/>
  <c r="AQ126"/>
  <c r="AQ114"/>
  <c r="AQ108"/>
  <c r="AQ106"/>
  <c r="AQ63"/>
  <c r="AQ62"/>
  <c r="AQ50"/>
  <c r="AQ44"/>
  <c r="AQ42"/>
  <c r="AQ36" i="3"/>
  <c r="AQ36" i="2" s="1"/>
  <c r="AQ37"/>
  <c r="AQ17"/>
  <c r="AQ203"/>
  <c r="AQ89"/>
  <c r="AQ32"/>
  <c r="AQ30"/>
  <c r="AQ24"/>
  <c r="AQ22"/>
  <c r="AQ97"/>
  <c r="AQ91"/>
  <c r="AQ90"/>
  <c r="AQ219"/>
  <c r="AQ99"/>
  <c r="AQ52" i="3"/>
  <c r="AQ52" i="2" s="1"/>
  <c r="AQ53"/>
  <c r="AQ40"/>
  <c r="AQ20" i="3"/>
  <c r="AQ20" i="2" s="1"/>
  <c r="AQ21"/>
  <c r="AQ12"/>
  <c r="AQ154"/>
  <c r="AQ201"/>
  <c r="AQ161"/>
  <c r="AQ35"/>
  <c r="AQ163"/>
  <c r="AQ29"/>
  <c r="AQ9"/>
  <c r="AQ263"/>
  <c r="AQ6"/>
  <c r="AQ142"/>
  <c r="AQ98"/>
  <c r="AQ14"/>
  <c r="AQ27"/>
  <c r="AQ116" i="3"/>
  <c r="AQ116" i="2" s="1"/>
  <c r="AQ117"/>
  <c r="AQ78"/>
  <c r="AQ4" i="3"/>
  <c r="AQ4" i="2" s="1"/>
  <c r="AQ5"/>
  <c r="AQ155"/>
  <c r="AQ175"/>
  <c r="AQ153"/>
  <c r="Z398"/>
  <c r="Z390"/>
  <c r="Z386"/>
  <c r="Z378"/>
  <c r="Z403"/>
  <c r="Z395"/>
  <c r="Z381"/>
  <c r="Z372" i="3"/>
  <c r="Z372" i="2" s="1"/>
  <c r="Z373"/>
  <c r="Z369"/>
  <c r="Z400"/>
  <c r="Z392"/>
  <c r="Z384"/>
  <c r="Z376"/>
  <c r="Z397"/>
  <c r="Z393"/>
  <c r="Z402"/>
  <c r="Z385"/>
  <c r="Z383"/>
  <c r="Z370"/>
  <c r="Z363"/>
  <c r="Z353"/>
  <c r="Z391"/>
  <c r="Z387"/>
  <c r="Z360"/>
  <c r="Z396"/>
  <c r="Z382"/>
  <c r="Z380"/>
  <c r="Z365"/>
  <c r="Z356" i="3"/>
  <c r="Z356" i="2" s="1"/>
  <c r="Z357"/>
  <c r="Z355"/>
  <c r="Z359"/>
  <c r="Z351"/>
  <c r="Z343"/>
  <c r="Z377"/>
  <c r="Z345"/>
  <c r="Z394"/>
  <c r="Z362"/>
  <c r="Z358"/>
  <c r="Z354"/>
  <c r="Z350"/>
  <c r="Z374"/>
  <c r="Z388" i="3"/>
  <c r="Z388" i="2" s="1"/>
  <c r="Z389"/>
  <c r="Z348"/>
  <c r="Z340" i="3"/>
  <c r="Z340" i="2" s="1"/>
  <c r="Z341"/>
  <c r="Z338"/>
  <c r="Z333"/>
  <c r="Z324" i="3"/>
  <c r="Z324" i="2" s="1"/>
  <c r="Z325"/>
  <c r="Z323"/>
  <c r="Z315"/>
  <c r="Z399"/>
  <c r="Z337"/>
  <c r="Z335"/>
  <c r="Z327"/>
  <c r="Z317"/>
  <c r="Z308" i="3"/>
  <c r="Z308" i="2" s="1"/>
  <c r="Z309"/>
  <c r="Z307"/>
  <c r="Z379"/>
  <c r="Z375"/>
  <c r="Z364"/>
  <c r="Z352"/>
  <c r="Z346"/>
  <c r="Z332"/>
  <c r="Z322"/>
  <c r="Z314"/>
  <c r="Z371"/>
  <c r="Z342"/>
  <c r="Z334"/>
  <c r="Z326"/>
  <c r="Z301"/>
  <c r="Z292" i="3"/>
  <c r="Z292" i="2" s="1"/>
  <c r="Z293"/>
  <c r="Z291"/>
  <c r="Z283"/>
  <c r="Z273"/>
  <c r="Z265"/>
  <c r="Z401"/>
  <c r="Z336"/>
  <c r="Z328"/>
  <c r="Z320"/>
  <c r="Z310"/>
  <c r="Z298"/>
  <c r="Z288"/>
  <c r="Z280"/>
  <c r="Z270"/>
  <c r="Z262"/>
  <c r="Z366"/>
  <c r="Z349"/>
  <c r="Z339"/>
  <c r="Z319"/>
  <c r="Z303"/>
  <c r="Z295"/>
  <c r="Z285"/>
  <c r="Z276" i="3"/>
  <c r="Z276" i="2" s="1"/>
  <c r="Z277"/>
  <c r="Z275"/>
  <c r="Z267"/>
  <c r="Z368"/>
  <c r="Z344"/>
  <c r="Z318"/>
  <c r="Z312"/>
  <c r="Z302"/>
  <c r="Z294"/>
  <c r="Z284"/>
  <c r="Z274"/>
  <c r="Z266"/>
  <c r="Z311"/>
  <c r="Z306"/>
  <c r="Z252"/>
  <c r="Z242"/>
  <c r="Z234"/>
  <c r="Z224"/>
  <c r="Z254"/>
  <c r="Z246"/>
  <c r="Z236"/>
  <c r="Z226"/>
  <c r="Z316"/>
  <c r="Z299"/>
  <c r="Z286"/>
  <c r="Z278"/>
  <c r="Z271"/>
  <c r="Z263"/>
  <c r="Z260" i="3"/>
  <c r="Z260" i="2" s="1"/>
  <c r="Z261"/>
  <c r="Z259"/>
  <c r="Z251"/>
  <c r="Z241"/>
  <c r="Z233"/>
  <c r="Z361"/>
  <c r="Z331"/>
  <c r="Z330"/>
  <c r="Z305"/>
  <c r="Z297"/>
  <c r="Z290"/>
  <c r="Z282"/>
  <c r="Z269"/>
  <c r="Z253"/>
  <c r="Z244" i="3"/>
  <c r="Z244" i="2" s="1"/>
  <c r="Z245"/>
  <c r="Z243"/>
  <c r="Z235"/>
  <c r="Z347"/>
  <c r="Z272"/>
  <c r="Z228" i="3"/>
  <c r="Z228" i="2" s="1"/>
  <c r="Z229"/>
  <c r="Z220"/>
  <c r="Z210"/>
  <c r="Z202"/>
  <c r="Z192"/>
  <c r="Z329"/>
  <c r="Z268"/>
  <c r="Z258"/>
  <c r="Z250"/>
  <c r="Z237"/>
  <c r="Z217"/>
  <c r="Z207"/>
  <c r="Z199"/>
  <c r="Z222"/>
  <c r="Z214"/>
  <c r="Z204"/>
  <c r="Z194"/>
  <c r="Z300"/>
  <c r="Z257"/>
  <c r="Z249"/>
  <c r="Z219"/>
  <c r="Z209"/>
  <c r="Z201"/>
  <c r="Z191"/>
  <c r="Z321"/>
  <c r="Z227"/>
  <c r="Z205"/>
  <c r="Z196" i="3"/>
  <c r="Z196" i="2" s="1"/>
  <c r="Z197"/>
  <c r="Z193"/>
  <c r="Z190"/>
  <c r="Z184"/>
  <c r="Z174"/>
  <c r="Z166"/>
  <c r="Z156"/>
  <c r="Z296"/>
  <c r="Z218"/>
  <c r="Z211"/>
  <c r="Z203"/>
  <c r="Z180" i="3"/>
  <c r="Z180" i="2" s="1"/>
  <c r="Z181"/>
  <c r="Z179"/>
  <c r="Z171"/>
  <c r="Z161"/>
  <c r="Z153"/>
  <c r="Z279"/>
  <c r="Z230"/>
  <c r="Z195"/>
  <c r="Z183"/>
  <c r="Z173"/>
  <c r="Z164" i="3"/>
  <c r="Z164" i="2" s="1"/>
  <c r="Z165"/>
  <c r="Z163"/>
  <c r="Z155"/>
  <c r="Z367"/>
  <c r="Z281"/>
  <c r="Z223"/>
  <c r="Z215"/>
  <c r="Z206"/>
  <c r="Z198"/>
  <c r="Z187"/>
  <c r="Z185"/>
  <c r="Z175"/>
  <c r="Z167"/>
  <c r="Z157"/>
  <c r="Z225"/>
  <c r="Z221"/>
  <c r="Z216"/>
  <c r="Z212" i="3"/>
  <c r="Z212" i="2" s="1"/>
  <c r="Z213"/>
  <c r="Z152"/>
  <c r="Z144"/>
  <c r="Z136"/>
  <c r="Z126"/>
  <c r="Z118"/>
  <c r="Z108"/>
  <c r="Z98"/>
  <c r="Z90"/>
  <c r="Z80"/>
  <c r="Z72"/>
  <c r="Z62"/>
  <c r="Z54"/>
  <c r="Z44"/>
  <c r="Z287"/>
  <c r="Z238"/>
  <c r="Z208"/>
  <c r="Z200"/>
  <c r="Z158"/>
  <c r="Z146"/>
  <c r="Z138"/>
  <c r="Z128"/>
  <c r="Z120"/>
  <c r="Z110"/>
  <c r="Z102"/>
  <c r="Z92"/>
  <c r="Z82"/>
  <c r="Z74"/>
  <c r="Z64"/>
  <c r="Z56"/>
  <c r="Z46"/>
  <c r="Z304"/>
  <c r="Z264"/>
  <c r="Z240"/>
  <c r="Z239"/>
  <c r="Z178"/>
  <c r="Z170"/>
  <c r="Z151"/>
  <c r="Z143"/>
  <c r="Z135"/>
  <c r="Z125"/>
  <c r="Z116" i="3"/>
  <c r="Z116" i="2" s="1"/>
  <c r="Z117"/>
  <c r="Z115"/>
  <c r="Z107"/>
  <c r="Z97"/>
  <c r="Z89"/>
  <c r="Z79"/>
  <c r="Z71"/>
  <c r="Z61"/>
  <c r="Z52" i="3"/>
  <c r="Z52" i="2" s="1"/>
  <c r="Z53"/>
  <c r="Z51"/>
  <c r="Z43"/>
  <c r="Z231"/>
  <c r="Z177"/>
  <c r="Z169"/>
  <c r="Z162"/>
  <c r="Z154"/>
  <c r="Z145"/>
  <c r="Z137"/>
  <c r="Z127"/>
  <c r="Z119"/>
  <c r="Z109"/>
  <c r="Z100" i="3"/>
  <c r="Z100" i="2" s="1"/>
  <c r="Z101"/>
  <c r="Z99"/>
  <c r="Z91"/>
  <c r="Z81"/>
  <c r="Z73"/>
  <c r="Z63"/>
  <c r="Z55"/>
  <c r="Z45"/>
  <c r="Z248"/>
  <c r="Z188"/>
  <c r="Z176"/>
  <c r="Z172"/>
  <c r="Z147"/>
  <c r="Z139"/>
  <c r="Z124"/>
  <c r="Z112"/>
  <c r="Z104"/>
  <c r="Z96"/>
  <c r="Z88"/>
  <c r="Z83"/>
  <c r="Z75"/>
  <c r="Z60"/>
  <c r="Z48"/>
  <c r="Z41"/>
  <c r="Z31"/>
  <c r="Z23"/>
  <c r="Z13"/>
  <c r="Z4" i="3"/>
  <c r="Z4" i="2" s="1"/>
  <c r="Z5"/>
  <c r="Z313"/>
  <c r="Z256"/>
  <c r="Z168"/>
  <c r="Z38"/>
  <c r="Z28"/>
  <c r="Z18"/>
  <c r="Z160"/>
  <c r="Z159"/>
  <c r="Z131"/>
  <c r="Z123"/>
  <c r="Z111"/>
  <c r="Z103"/>
  <c r="Z95"/>
  <c r="Z87"/>
  <c r="Z67"/>
  <c r="Z59"/>
  <c r="Z47"/>
  <c r="Z33"/>
  <c r="Z25"/>
  <c r="Z15"/>
  <c r="Z7"/>
  <c r="Z232"/>
  <c r="Z189"/>
  <c r="Z142"/>
  <c r="Z134"/>
  <c r="Z130"/>
  <c r="Z122"/>
  <c r="Z94"/>
  <c r="Z86"/>
  <c r="Z78"/>
  <c r="Z70"/>
  <c r="Z66"/>
  <c r="Z58"/>
  <c r="Z40"/>
  <c r="Z30"/>
  <c r="Z22"/>
  <c r="Z12"/>
  <c r="Z93"/>
  <c r="Z36" i="3"/>
  <c r="Z36" i="2" s="1"/>
  <c r="Z37"/>
  <c r="Z34"/>
  <c r="Z26"/>
  <c r="Z17"/>
  <c r="Z32"/>
  <c r="Z24"/>
  <c r="Z141"/>
  <c r="Z140"/>
  <c r="Z77"/>
  <c r="Z76"/>
  <c r="Z247"/>
  <c r="Z16"/>
  <c r="Z10"/>
  <c r="Z105"/>
  <c r="Z42"/>
  <c r="Z35"/>
  <c r="Z6"/>
  <c r="Z132" i="3"/>
  <c r="Z132" i="2" s="1"/>
  <c r="Z133"/>
  <c r="Z129"/>
  <c r="Z27"/>
  <c r="Z150"/>
  <c r="Z148" i="3"/>
  <c r="Z148" i="2" s="1"/>
  <c r="Z149"/>
  <c r="Z68" i="3"/>
  <c r="Z68" i="2" s="1"/>
  <c r="Z69"/>
  <c r="Z65"/>
  <c r="Z29"/>
  <c r="Z121"/>
  <c r="Z113"/>
  <c r="Z50"/>
  <c r="Z39"/>
  <c r="Z8"/>
  <c r="Z106"/>
  <c r="Z289"/>
  <c r="Z255"/>
  <c r="Z182"/>
  <c r="Z84" i="3"/>
  <c r="Z84" i="2" s="1"/>
  <c r="Z85"/>
  <c r="Z11"/>
  <c r="Z14"/>
  <c r="Z186"/>
  <c r="Z57"/>
  <c r="Z114"/>
  <c r="Z49"/>
  <c r="Z9"/>
  <c r="Z20" i="3"/>
  <c r="Z20" i="2" s="1"/>
  <c r="Z21"/>
  <c r="Z19"/>
  <c r="BK397"/>
  <c r="BK388" i="3"/>
  <c r="BK388" i="2" s="1"/>
  <c r="BK389"/>
  <c r="BK387"/>
  <c r="BK379"/>
  <c r="BK402"/>
  <c r="BK394"/>
  <c r="BK382"/>
  <c r="BK374"/>
  <c r="BK368"/>
  <c r="BK399"/>
  <c r="BK391"/>
  <c r="BK385"/>
  <c r="BK377"/>
  <c r="BK392"/>
  <c r="BK396"/>
  <c r="BK380"/>
  <c r="BK378"/>
  <c r="BK376"/>
  <c r="BK362"/>
  <c r="BK401"/>
  <c r="BK390"/>
  <c r="BK367"/>
  <c r="BK359"/>
  <c r="BK395"/>
  <c r="BK375"/>
  <c r="BK372" i="3"/>
  <c r="BK372" i="2" s="1"/>
  <c r="BK373"/>
  <c r="BK371"/>
  <c r="BK364"/>
  <c r="BK354"/>
  <c r="BK403"/>
  <c r="BK383"/>
  <c r="BK369"/>
  <c r="BK350"/>
  <c r="BK342"/>
  <c r="BK344"/>
  <c r="BK393"/>
  <c r="BK356" i="3"/>
  <c r="BK356" i="2" s="1"/>
  <c r="BK357"/>
  <c r="BK353"/>
  <c r="BK349"/>
  <c r="BK398"/>
  <c r="BK366"/>
  <c r="BK352"/>
  <c r="BK351"/>
  <c r="BK360"/>
  <c r="BK336"/>
  <c r="BK332"/>
  <c r="BK322"/>
  <c r="BK314"/>
  <c r="BK400"/>
  <c r="BK358"/>
  <c r="BK355"/>
  <c r="BK348"/>
  <c r="BK334"/>
  <c r="BK326"/>
  <c r="BK316"/>
  <c r="BK306"/>
  <c r="BK365"/>
  <c r="BK363"/>
  <c r="BK340" i="3"/>
  <c r="BK340" i="2" s="1"/>
  <c r="BK341"/>
  <c r="BK331"/>
  <c r="BK321"/>
  <c r="BK313"/>
  <c r="BK346"/>
  <c r="BK345"/>
  <c r="BK333"/>
  <c r="BK324" i="3"/>
  <c r="BK324" i="2" s="1"/>
  <c r="BK325"/>
  <c r="BK323"/>
  <c r="BK381"/>
  <c r="BK339"/>
  <c r="BK330"/>
  <c r="BK300"/>
  <c r="BK290"/>
  <c r="BK282"/>
  <c r="BK272"/>
  <c r="BK264"/>
  <c r="BK338"/>
  <c r="BK337"/>
  <c r="BK308" i="3"/>
  <c r="BK308" i="2" s="1"/>
  <c r="BK309"/>
  <c r="BK305"/>
  <c r="BK297"/>
  <c r="BK287"/>
  <c r="BK279"/>
  <c r="BK269"/>
  <c r="BK260" i="3"/>
  <c r="BK260" i="2" s="1"/>
  <c r="BK261"/>
  <c r="BK259"/>
  <c r="BK329"/>
  <c r="BK319"/>
  <c r="BK302"/>
  <c r="BK294"/>
  <c r="BK284"/>
  <c r="BK274"/>
  <c r="BK266"/>
  <c r="BK370"/>
  <c r="BK317"/>
  <c r="BK307"/>
  <c r="BK301"/>
  <c r="BK292" i="3"/>
  <c r="BK292" i="2" s="1"/>
  <c r="BK293"/>
  <c r="BK291"/>
  <c r="BK283"/>
  <c r="BK273"/>
  <c r="BK265"/>
  <c r="BK310"/>
  <c r="BK251"/>
  <c r="BK241"/>
  <c r="BK233"/>
  <c r="BK223"/>
  <c r="BK315"/>
  <c r="BK303"/>
  <c r="BK295"/>
  <c r="BK288"/>
  <c r="BK280"/>
  <c r="BK275"/>
  <c r="BK267"/>
  <c r="BK253"/>
  <c r="BK244" i="3"/>
  <c r="BK244" i="2" s="1"/>
  <c r="BK245"/>
  <c r="BK243"/>
  <c r="BK235"/>
  <c r="BK225"/>
  <c r="BK258"/>
  <c r="BK250"/>
  <c r="BK240"/>
  <c r="BK232"/>
  <c r="BK386"/>
  <c r="BK318"/>
  <c r="BK299"/>
  <c r="BK286"/>
  <c r="BK278"/>
  <c r="BK271"/>
  <c r="BK263"/>
  <c r="BK252"/>
  <c r="BK242"/>
  <c r="BK234"/>
  <c r="BK335"/>
  <c r="BK276" i="3"/>
  <c r="BK276" i="2" s="1"/>
  <c r="BK277"/>
  <c r="BK262"/>
  <c r="BK255"/>
  <c r="BK247"/>
  <c r="BK239"/>
  <c r="BK231"/>
  <c r="BK219"/>
  <c r="BK209"/>
  <c r="BK201"/>
  <c r="BK191"/>
  <c r="BK384"/>
  <c r="BK312"/>
  <c r="BK270"/>
  <c r="BK254"/>
  <c r="BK246"/>
  <c r="BK216"/>
  <c r="BK206"/>
  <c r="BK198"/>
  <c r="BK347"/>
  <c r="BK320"/>
  <c r="BK268"/>
  <c r="BK238"/>
  <c r="BK227"/>
  <c r="BK221"/>
  <c r="BK212" i="3"/>
  <c r="BK212" i="2" s="1"/>
  <c r="BK213"/>
  <c r="BK211"/>
  <c r="BK203"/>
  <c r="BK193"/>
  <c r="BK237"/>
  <c r="BK218"/>
  <c r="BK208"/>
  <c r="BK200"/>
  <c r="BK190"/>
  <c r="BK257"/>
  <c r="BK249"/>
  <c r="BK236"/>
  <c r="BK226"/>
  <c r="BK222"/>
  <c r="BK214"/>
  <c r="BK192"/>
  <c r="BK188"/>
  <c r="BK183"/>
  <c r="BK173"/>
  <c r="BK164" i="3"/>
  <c r="BK164" i="2" s="1"/>
  <c r="BK165"/>
  <c r="BK163"/>
  <c r="BK155"/>
  <c r="BK361"/>
  <c r="BK327"/>
  <c r="BK256"/>
  <c r="BK248"/>
  <c r="BK224"/>
  <c r="BK220"/>
  <c r="BK205"/>
  <c r="BK196" i="3"/>
  <c r="BK196" i="2" s="1"/>
  <c r="BK197"/>
  <c r="BK178"/>
  <c r="BK170"/>
  <c r="BK160"/>
  <c r="BK152"/>
  <c r="BK343"/>
  <c r="BK228" i="3"/>
  <c r="BK228" i="2" s="1"/>
  <c r="BK229"/>
  <c r="BK204"/>
  <c r="BK182"/>
  <c r="BK172"/>
  <c r="BK162"/>
  <c r="BK154"/>
  <c r="BK328"/>
  <c r="BK298"/>
  <c r="BK184"/>
  <c r="BK174"/>
  <c r="BK166"/>
  <c r="BK156"/>
  <c r="BK161"/>
  <c r="BK153"/>
  <c r="BK143"/>
  <c r="BK135"/>
  <c r="BK125"/>
  <c r="BK116" i="3"/>
  <c r="BK116" i="2" s="1"/>
  <c r="BK117"/>
  <c r="BK115"/>
  <c r="BK107"/>
  <c r="BK97"/>
  <c r="BK89"/>
  <c r="BK79"/>
  <c r="BK71"/>
  <c r="BK61"/>
  <c r="BK52" i="3"/>
  <c r="BK52" i="2" s="1"/>
  <c r="BK53"/>
  <c r="BK51"/>
  <c r="BK43"/>
  <c r="BK145"/>
  <c r="BK137"/>
  <c r="BK127"/>
  <c r="BK119"/>
  <c r="BK109"/>
  <c r="BK100" i="3"/>
  <c r="BK100" i="2" s="1"/>
  <c r="BK101"/>
  <c r="BK99"/>
  <c r="BK91"/>
  <c r="BK81"/>
  <c r="BK73"/>
  <c r="BK63"/>
  <c r="BK55"/>
  <c r="BK45"/>
  <c r="BK285"/>
  <c r="BK210"/>
  <c r="BK207"/>
  <c r="BK202"/>
  <c r="BK199"/>
  <c r="BK159"/>
  <c r="BK142"/>
  <c r="BK134"/>
  <c r="BK124"/>
  <c r="BK114"/>
  <c r="BK106"/>
  <c r="BK96"/>
  <c r="BK88"/>
  <c r="BK78"/>
  <c r="BK70"/>
  <c r="BK60"/>
  <c r="BK50"/>
  <c r="BK42"/>
  <c r="BK296"/>
  <c r="BK194"/>
  <c r="BK187"/>
  <c r="BK158"/>
  <c r="BK157"/>
  <c r="BK144"/>
  <c r="BK136"/>
  <c r="BK126"/>
  <c r="BK118"/>
  <c r="BK108"/>
  <c r="BK98"/>
  <c r="BK90"/>
  <c r="BK80"/>
  <c r="BK72"/>
  <c r="BK62"/>
  <c r="BK54"/>
  <c r="BK44"/>
  <c r="BK289"/>
  <c r="BK281"/>
  <c r="BK217"/>
  <c r="BK195"/>
  <c r="BK179"/>
  <c r="BK128"/>
  <c r="BK120"/>
  <c r="BK92"/>
  <c r="BK64"/>
  <c r="BK56"/>
  <c r="BK40"/>
  <c r="BK30"/>
  <c r="BK22"/>
  <c r="BK12"/>
  <c r="BK175"/>
  <c r="BK171"/>
  <c r="BK140"/>
  <c r="BK113"/>
  <c r="BK105"/>
  <c r="BK76"/>
  <c r="BK49"/>
  <c r="BK41"/>
  <c r="BK36" i="3"/>
  <c r="BK36" i="2" s="1"/>
  <c r="BK37"/>
  <c r="BK35"/>
  <c r="BK27"/>
  <c r="BK17"/>
  <c r="BK189"/>
  <c r="BK177"/>
  <c r="BK176"/>
  <c r="BK167"/>
  <c r="BK147"/>
  <c r="BK139"/>
  <c r="BK83"/>
  <c r="BK75"/>
  <c r="BK32"/>
  <c r="BK24"/>
  <c r="BK14"/>
  <c r="BK6"/>
  <c r="BK230"/>
  <c r="BK169"/>
  <c r="BK168"/>
  <c r="BK150"/>
  <c r="BK146"/>
  <c r="BK138"/>
  <c r="BK112"/>
  <c r="BK104"/>
  <c r="BK82"/>
  <c r="BK74"/>
  <c r="BK48"/>
  <c r="BK39"/>
  <c r="BK29"/>
  <c r="BK20" i="3"/>
  <c r="BK20" i="2" s="1"/>
  <c r="BK21"/>
  <c r="BK19"/>
  <c r="BK11"/>
  <c r="BK130"/>
  <c r="BK129"/>
  <c r="BK95"/>
  <c r="BK66"/>
  <c r="BK65"/>
  <c r="BK148" i="3"/>
  <c r="BK148" i="2" s="1"/>
  <c r="BK149"/>
  <c r="BK86"/>
  <c r="BK84" i="3"/>
  <c r="BK84" i="2" s="1"/>
  <c r="BK85"/>
  <c r="BK34"/>
  <c r="BK26"/>
  <c r="BK215"/>
  <c r="BK186"/>
  <c r="BK185"/>
  <c r="BK94"/>
  <c r="BK93"/>
  <c r="BK38"/>
  <c r="BK18"/>
  <c r="BK10"/>
  <c r="BK180" i="3"/>
  <c r="BK180" i="2" s="1"/>
  <c r="BK181"/>
  <c r="BK33"/>
  <c r="BK25"/>
  <c r="BK68" i="3"/>
  <c r="BK68" i="2" s="1"/>
  <c r="BK69"/>
  <c r="BK67"/>
  <c r="BK13"/>
  <c r="BK111"/>
  <c r="BK110"/>
  <c r="BK87"/>
  <c r="BK15"/>
  <c r="BK47"/>
  <c r="BK46"/>
  <c r="BK141"/>
  <c r="BK58"/>
  <c r="BK132" i="3"/>
  <c r="BK132" i="2" s="1"/>
  <c r="BK133"/>
  <c r="BK311"/>
  <c r="BK131"/>
  <c r="BK23"/>
  <c r="BK8"/>
  <c r="BK4" i="3"/>
  <c r="BK4" i="2" s="1"/>
  <c r="BK5"/>
  <c r="BK304"/>
  <c r="BK123"/>
  <c r="BK77"/>
  <c r="BK59"/>
  <c r="BK31"/>
  <c r="BK9"/>
  <c r="BK102"/>
  <c r="BK122"/>
  <c r="BK16"/>
  <c r="BK103"/>
  <c r="BK151"/>
  <c r="BK57"/>
  <c r="BK28"/>
  <c r="BK121"/>
  <c r="BK7"/>
  <c r="BC397"/>
  <c r="BC388" i="3"/>
  <c r="BC388" i="2" s="1"/>
  <c r="BC389"/>
  <c r="BC387"/>
  <c r="BC379"/>
  <c r="BC402"/>
  <c r="BC394"/>
  <c r="BC382"/>
  <c r="BC374"/>
  <c r="BC368"/>
  <c r="BC399"/>
  <c r="BC391"/>
  <c r="BC385"/>
  <c r="BC377"/>
  <c r="BC386"/>
  <c r="BC384"/>
  <c r="BC369"/>
  <c r="BC398"/>
  <c r="BC393"/>
  <c r="BC362"/>
  <c r="BC403"/>
  <c r="BC383"/>
  <c r="BC381"/>
  <c r="BC359"/>
  <c r="BC392"/>
  <c r="BC364"/>
  <c r="BC354"/>
  <c r="BC395"/>
  <c r="BC380"/>
  <c r="BC375"/>
  <c r="BC366"/>
  <c r="BC350"/>
  <c r="BC342"/>
  <c r="BC396"/>
  <c r="BC376"/>
  <c r="BC367"/>
  <c r="BC365"/>
  <c r="BC344"/>
  <c r="BC400"/>
  <c r="BC349"/>
  <c r="BC401"/>
  <c r="BC378"/>
  <c r="BC370"/>
  <c r="BC353"/>
  <c r="BC351"/>
  <c r="BC363"/>
  <c r="BC352"/>
  <c r="BC347"/>
  <c r="BC345"/>
  <c r="BC337"/>
  <c r="BC332"/>
  <c r="BC322"/>
  <c r="BC314"/>
  <c r="BC371"/>
  <c r="BC361"/>
  <c r="BC334"/>
  <c r="BC326"/>
  <c r="BC316"/>
  <c r="BC306"/>
  <c r="BC339"/>
  <c r="BC331"/>
  <c r="BC321"/>
  <c r="BC313"/>
  <c r="BC372" i="3"/>
  <c r="BC372" i="2" s="1"/>
  <c r="BC373"/>
  <c r="BC340" i="3"/>
  <c r="BC340" i="2" s="1"/>
  <c r="BC341"/>
  <c r="BC333"/>
  <c r="BC324" i="3"/>
  <c r="BC324" i="2" s="1"/>
  <c r="BC325"/>
  <c r="BC323"/>
  <c r="BC360"/>
  <c r="BC335"/>
  <c r="BC327"/>
  <c r="BC317"/>
  <c r="BC300"/>
  <c r="BC290"/>
  <c r="BC282"/>
  <c r="BC272"/>
  <c r="BC264"/>
  <c r="BC355"/>
  <c r="BC343"/>
  <c r="BC311"/>
  <c r="BC305"/>
  <c r="BC297"/>
  <c r="BC287"/>
  <c r="BC279"/>
  <c r="BC269"/>
  <c r="BC260" i="3"/>
  <c r="BC260" i="2" s="1"/>
  <c r="BC261"/>
  <c r="BC356" i="3"/>
  <c r="BC356" i="2" s="1"/>
  <c r="BC357"/>
  <c r="BC348"/>
  <c r="BC315"/>
  <c r="BC310"/>
  <c r="BC302"/>
  <c r="BC294"/>
  <c r="BC284"/>
  <c r="BC274"/>
  <c r="BC266"/>
  <c r="BC319"/>
  <c r="BC301"/>
  <c r="BC292" i="3"/>
  <c r="BC292" i="2" s="1"/>
  <c r="BC293"/>
  <c r="BC291"/>
  <c r="BC283"/>
  <c r="BC273"/>
  <c r="BC265"/>
  <c r="BC320"/>
  <c r="BC259"/>
  <c r="BC251"/>
  <c r="BC241"/>
  <c r="BC233"/>
  <c r="BC223"/>
  <c r="BC308" i="3"/>
  <c r="BC308" i="2" s="1"/>
  <c r="BC309"/>
  <c r="BC298"/>
  <c r="BC285"/>
  <c r="BC276" i="3"/>
  <c r="BC276" i="2" s="1"/>
  <c r="BC277"/>
  <c r="BC270"/>
  <c r="BC262"/>
  <c r="BC253"/>
  <c r="BC244" i="3"/>
  <c r="BC244" i="2" s="1"/>
  <c r="BC245"/>
  <c r="BC243"/>
  <c r="BC235"/>
  <c r="BC225"/>
  <c r="BC346"/>
  <c r="BC338"/>
  <c r="BC336"/>
  <c r="BC318"/>
  <c r="BC258"/>
  <c r="BC250"/>
  <c r="BC240"/>
  <c r="BC232"/>
  <c r="BC329"/>
  <c r="BC328"/>
  <c r="BC312"/>
  <c r="BC304"/>
  <c r="BC296"/>
  <c r="BC289"/>
  <c r="BC281"/>
  <c r="BC268"/>
  <c r="BC252"/>
  <c r="BC242"/>
  <c r="BC234"/>
  <c r="BC390"/>
  <c r="BC275"/>
  <c r="BC271"/>
  <c r="BC236"/>
  <c r="BC230"/>
  <c r="BC219"/>
  <c r="BC209"/>
  <c r="BC201"/>
  <c r="BC191"/>
  <c r="BC257"/>
  <c r="BC249"/>
  <c r="BC228" i="3"/>
  <c r="BC228" i="2" s="1"/>
  <c r="BC229"/>
  <c r="BC224"/>
  <c r="BC216"/>
  <c r="BC206"/>
  <c r="BC198"/>
  <c r="BC358"/>
  <c r="BC295"/>
  <c r="BC221"/>
  <c r="BC212" i="3"/>
  <c r="BC212" i="2" s="1"/>
  <c r="BC213"/>
  <c r="BC211"/>
  <c r="BC203"/>
  <c r="BC193"/>
  <c r="BC303"/>
  <c r="BC299"/>
  <c r="BC256"/>
  <c r="BC248"/>
  <c r="BC218"/>
  <c r="BC208"/>
  <c r="BC200"/>
  <c r="BC190"/>
  <c r="BC217"/>
  <c r="BC210"/>
  <c r="BC202"/>
  <c r="BC195"/>
  <c r="BC189"/>
  <c r="BC183"/>
  <c r="BC173"/>
  <c r="BC164" i="3"/>
  <c r="BC164" i="2" s="1"/>
  <c r="BC165"/>
  <c r="BC163"/>
  <c r="BC155"/>
  <c r="BC227"/>
  <c r="BC194"/>
  <c r="BC178"/>
  <c r="BC170"/>
  <c r="BC160"/>
  <c r="BC152"/>
  <c r="BC307"/>
  <c r="BC207"/>
  <c r="BC199"/>
  <c r="BC192"/>
  <c r="BC182"/>
  <c r="BC172"/>
  <c r="BC162"/>
  <c r="BC154"/>
  <c r="BC330"/>
  <c r="BC288"/>
  <c r="BC286"/>
  <c r="BC255"/>
  <c r="BC254"/>
  <c r="BC247"/>
  <c r="BC246"/>
  <c r="BC239"/>
  <c r="BC220"/>
  <c r="BC205"/>
  <c r="BC196" i="3"/>
  <c r="BC196" i="2" s="1"/>
  <c r="BC197"/>
  <c r="BC184"/>
  <c r="BC174"/>
  <c r="BC166"/>
  <c r="BC156"/>
  <c r="BC186"/>
  <c r="BC185"/>
  <c r="BC179"/>
  <c r="BC171"/>
  <c r="BC143"/>
  <c r="BC135"/>
  <c r="BC125"/>
  <c r="BC116" i="3"/>
  <c r="BC116" i="2" s="1"/>
  <c r="BC117"/>
  <c r="BC115"/>
  <c r="BC107"/>
  <c r="BC97"/>
  <c r="BC89"/>
  <c r="BC79"/>
  <c r="BC71"/>
  <c r="BC61"/>
  <c r="BC52" i="3"/>
  <c r="BC52" i="2" s="1"/>
  <c r="BC53"/>
  <c r="BC51"/>
  <c r="BC43"/>
  <c r="BC280"/>
  <c r="BC204"/>
  <c r="BC188"/>
  <c r="BC187"/>
  <c r="BC145"/>
  <c r="BC137"/>
  <c r="BC127"/>
  <c r="BC119"/>
  <c r="BC109"/>
  <c r="BC100" i="3"/>
  <c r="BC100" i="2" s="1"/>
  <c r="BC101"/>
  <c r="BC99"/>
  <c r="BC91"/>
  <c r="BC81"/>
  <c r="BC73"/>
  <c r="BC63"/>
  <c r="BC55"/>
  <c r="BC45"/>
  <c r="BC267"/>
  <c r="BC180" i="3"/>
  <c r="BC180" i="2" s="1"/>
  <c r="BC181"/>
  <c r="BC177"/>
  <c r="BC169"/>
  <c r="BC142"/>
  <c r="BC134"/>
  <c r="BC124"/>
  <c r="BC114"/>
  <c r="BC106"/>
  <c r="BC96"/>
  <c r="BC88"/>
  <c r="BC78"/>
  <c r="BC70"/>
  <c r="BC60"/>
  <c r="BC50"/>
  <c r="BC42"/>
  <c r="BC238"/>
  <c r="BC237"/>
  <c r="BC176"/>
  <c r="BC175"/>
  <c r="BC168"/>
  <c r="BC167"/>
  <c r="BC144"/>
  <c r="BC136"/>
  <c r="BC126"/>
  <c r="BC118"/>
  <c r="BC108"/>
  <c r="BC98"/>
  <c r="BC90"/>
  <c r="BC80"/>
  <c r="BC72"/>
  <c r="BC62"/>
  <c r="BC54"/>
  <c r="BC44"/>
  <c r="BC231"/>
  <c r="BC153"/>
  <c r="BC131"/>
  <c r="BC123"/>
  <c r="BC111"/>
  <c r="BC103"/>
  <c r="BC95"/>
  <c r="BC87"/>
  <c r="BC67"/>
  <c r="BC59"/>
  <c r="BC47"/>
  <c r="BC40"/>
  <c r="BC30"/>
  <c r="BC22"/>
  <c r="BC12"/>
  <c r="BC161"/>
  <c r="BC159"/>
  <c r="BC150"/>
  <c r="BC110"/>
  <c r="BC102"/>
  <c r="BC46"/>
  <c r="BC36" i="3"/>
  <c r="BC36" i="2" s="1"/>
  <c r="BC37"/>
  <c r="BC35"/>
  <c r="BC27"/>
  <c r="BC17"/>
  <c r="BC158"/>
  <c r="BC157"/>
  <c r="BC130"/>
  <c r="BC122"/>
  <c r="BC94"/>
  <c r="BC86"/>
  <c r="BC66"/>
  <c r="BC58"/>
  <c r="BC32"/>
  <c r="BC24"/>
  <c r="BC14"/>
  <c r="BC6"/>
  <c r="BC148" i="3"/>
  <c r="BC148" i="2" s="1"/>
  <c r="BC149"/>
  <c r="BC141"/>
  <c r="BC132" i="3"/>
  <c r="BC132" i="2" s="1"/>
  <c r="BC133"/>
  <c r="BC129"/>
  <c r="BC121"/>
  <c r="BC93"/>
  <c r="BC84" i="3"/>
  <c r="BC84" i="2" s="1"/>
  <c r="BC85"/>
  <c r="BC77"/>
  <c r="BC68" i="3"/>
  <c r="BC68" i="2" s="1"/>
  <c r="BC69"/>
  <c r="BC65"/>
  <c r="BC57"/>
  <c r="BC39"/>
  <c r="BC29"/>
  <c r="BC20" i="3"/>
  <c r="BC20" i="2" s="1"/>
  <c r="BC21"/>
  <c r="BC19"/>
  <c r="BC11"/>
  <c r="BC147"/>
  <c r="BC83"/>
  <c r="BC31"/>
  <c r="BC23"/>
  <c r="BC16"/>
  <c r="BC8"/>
  <c r="BC278"/>
  <c r="BC215"/>
  <c r="BC146"/>
  <c r="BC140"/>
  <c r="BC82"/>
  <c r="BC76"/>
  <c r="BC139"/>
  <c r="BC75"/>
  <c r="BC41"/>
  <c r="BC15"/>
  <c r="BC7"/>
  <c r="BC226"/>
  <c r="BC151"/>
  <c r="BC138"/>
  <c r="BC120"/>
  <c r="BC113"/>
  <c r="BC105"/>
  <c r="BC74"/>
  <c r="BC56"/>
  <c r="BC49"/>
  <c r="BC28"/>
  <c r="BC13"/>
  <c r="BC263"/>
  <c r="BC34"/>
  <c r="BC112"/>
  <c r="BC26"/>
  <c r="BC128"/>
  <c r="BC48"/>
  <c r="BC33"/>
  <c r="BC9"/>
  <c r="BC4" i="3"/>
  <c r="BC4" i="2" s="1"/>
  <c r="BC5"/>
  <c r="BC18"/>
  <c r="BC104"/>
  <c r="BC38"/>
  <c r="BC25"/>
  <c r="BC214"/>
  <c r="BC64"/>
  <c r="BC92"/>
  <c r="BC222"/>
  <c r="BC10"/>
  <c r="H400"/>
  <c r="H392"/>
  <c r="H384"/>
  <c r="H376"/>
  <c r="H397"/>
  <c r="H388" i="3"/>
  <c r="H388" i="2" s="1"/>
  <c r="H389"/>
  <c r="H387"/>
  <c r="H379"/>
  <c r="H371"/>
  <c r="H402"/>
  <c r="H394"/>
  <c r="H382"/>
  <c r="H374"/>
  <c r="H368"/>
  <c r="H401"/>
  <c r="H390"/>
  <c r="H395"/>
  <c r="H377"/>
  <c r="H375"/>
  <c r="H372" i="3"/>
  <c r="H372" i="2" s="1"/>
  <c r="H373"/>
  <c r="H365"/>
  <c r="H356" i="3"/>
  <c r="H356" i="2" s="1"/>
  <c r="H357"/>
  <c r="H355"/>
  <c r="H399"/>
  <c r="H362"/>
  <c r="H386"/>
  <c r="H370"/>
  <c r="H367"/>
  <c r="H359"/>
  <c r="H378"/>
  <c r="H345"/>
  <c r="H361"/>
  <c r="H353"/>
  <c r="H347"/>
  <c r="H337"/>
  <c r="H398"/>
  <c r="H380"/>
  <c r="H369"/>
  <c r="H366"/>
  <c r="H352"/>
  <c r="H344"/>
  <c r="H396"/>
  <c r="H364"/>
  <c r="H403"/>
  <c r="H393"/>
  <c r="H383"/>
  <c r="H381"/>
  <c r="H342"/>
  <c r="H339"/>
  <c r="H335"/>
  <c r="H327"/>
  <c r="H317"/>
  <c r="H308" i="3"/>
  <c r="H308" i="2" s="1"/>
  <c r="H309"/>
  <c r="H391"/>
  <c r="H363"/>
  <c r="H340" i="3"/>
  <c r="H340" i="2" s="1"/>
  <c r="H341"/>
  <c r="H329"/>
  <c r="H319"/>
  <c r="H311"/>
  <c r="H351"/>
  <c r="H338"/>
  <c r="H334"/>
  <c r="H326"/>
  <c r="H316"/>
  <c r="H306"/>
  <c r="H354"/>
  <c r="H349"/>
  <c r="H336"/>
  <c r="H328"/>
  <c r="H303"/>
  <c r="H295"/>
  <c r="H285"/>
  <c r="H276" i="3"/>
  <c r="H276" i="2" s="1"/>
  <c r="H277"/>
  <c r="H275"/>
  <c r="H267"/>
  <c r="H360"/>
  <c r="H333"/>
  <c r="H324" i="3"/>
  <c r="H324" i="2" s="1"/>
  <c r="H325"/>
  <c r="H318"/>
  <c r="H300"/>
  <c r="H290"/>
  <c r="H282"/>
  <c r="H272"/>
  <c r="H264"/>
  <c r="H332"/>
  <c r="H312"/>
  <c r="H305"/>
  <c r="H297"/>
  <c r="H287"/>
  <c r="H279"/>
  <c r="H269"/>
  <c r="H260" i="3"/>
  <c r="H260" i="2" s="1"/>
  <c r="H261"/>
  <c r="H358"/>
  <c r="H330"/>
  <c r="H322"/>
  <c r="H315"/>
  <c r="H310"/>
  <c r="H304"/>
  <c r="H296"/>
  <c r="H286"/>
  <c r="H278"/>
  <c r="H268"/>
  <c r="H350"/>
  <c r="H331"/>
  <c r="H254"/>
  <c r="H246"/>
  <c r="H236"/>
  <c r="H226"/>
  <c r="H307"/>
  <c r="H299"/>
  <c r="H284"/>
  <c r="H271"/>
  <c r="H263"/>
  <c r="H256"/>
  <c r="H248"/>
  <c r="H238"/>
  <c r="H230"/>
  <c r="H320"/>
  <c r="H298"/>
  <c r="H291"/>
  <c r="H283"/>
  <c r="H270"/>
  <c r="H253"/>
  <c r="H244" i="3"/>
  <c r="H244" i="2" s="1"/>
  <c r="H245"/>
  <c r="H243"/>
  <c r="H235"/>
  <c r="H225"/>
  <c r="H343"/>
  <c r="H255"/>
  <c r="H247"/>
  <c r="H237"/>
  <c r="H289"/>
  <c r="H258"/>
  <c r="H250"/>
  <c r="H227"/>
  <c r="H222"/>
  <c r="H214"/>
  <c r="H204"/>
  <c r="H194"/>
  <c r="H385"/>
  <c r="H288"/>
  <c r="H281"/>
  <c r="H262"/>
  <c r="H242"/>
  <c r="H234"/>
  <c r="H231"/>
  <c r="H219"/>
  <c r="H209"/>
  <c r="H201"/>
  <c r="H346"/>
  <c r="H280"/>
  <c r="H257"/>
  <c r="H249"/>
  <c r="H241"/>
  <c r="H233"/>
  <c r="H216"/>
  <c r="H206"/>
  <c r="H198"/>
  <c r="H313"/>
  <c r="H266"/>
  <c r="H265"/>
  <c r="H240"/>
  <c r="H232"/>
  <c r="H221"/>
  <c r="H212" i="3"/>
  <c r="H212" i="2" s="1"/>
  <c r="H213"/>
  <c r="H211"/>
  <c r="H203"/>
  <c r="H193"/>
  <c r="H302"/>
  <c r="H301"/>
  <c r="H186"/>
  <c r="H176"/>
  <c r="H168"/>
  <c r="H158"/>
  <c r="H150"/>
  <c r="H252"/>
  <c r="H228" i="3"/>
  <c r="H228" i="2" s="1"/>
  <c r="H229"/>
  <c r="H217"/>
  <c r="H210"/>
  <c r="H202"/>
  <c r="H195"/>
  <c r="H183"/>
  <c r="H173"/>
  <c r="H164" i="3"/>
  <c r="H164" i="2" s="1"/>
  <c r="H165"/>
  <c r="H163"/>
  <c r="H155"/>
  <c r="H348"/>
  <c r="H223"/>
  <c r="H215"/>
  <c r="H185"/>
  <c r="H175"/>
  <c r="H167"/>
  <c r="H157"/>
  <c r="H321"/>
  <c r="H273"/>
  <c r="H189"/>
  <c r="H187"/>
  <c r="H177"/>
  <c r="H169"/>
  <c r="H159"/>
  <c r="H239"/>
  <c r="H172"/>
  <c r="H146"/>
  <c r="H138"/>
  <c r="H128"/>
  <c r="H120"/>
  <c r="H110"/>
  <c r="H102"/>
  <c r="H92"/>
  <c r="H82"/>
  <c r="H74"/>
  <c r="H64"/>
  <c r="H56"/>
  <c r="H46"/>
  <c r="H294"/>
  <c r="H224"/>
  <c r="H178"/>
  <c r="H170"/>
  <c r="H156"/>
  <c r="H140"/>
  <c r="H130"/>
  <c r="H122"/>
  <c r="H112"/>
  <c r="H104"/>
  <c r="H94"/>
  <c r="H86"/>
  <c r="H76"/>
  <c r="H66"/>
  <c r="H58"/>
  <c r="H48"/>
  <c r="H274"/>
  <c r="H251"/>
  <c r="H218"/>
  <c r="H192"/>
  <c r="H182"/>
  <c r="H145"/>
  <c r="H137"/>
  <c r="H127"/>
  <c r="H119"/>
  <c r="H109"/>
  <c r="H100" i="3"/>
  <c r="H100" i="2" s="1"/>
  <c r="H101"/>
  <c r="H99"/>
  <c r="H91"/>
  <c r="H81"/>
  <c r="H73"/>
  <c r="H63"/>
  <c r="H55"/>
  <c r="H45"/>
  <c r="H208"/>
  <c r="H207"/>
  <c r="H205"/>
  <c r="H200"/>
  <c r="H199"/>
  <c r="H196" i="3"/>
  <c r="H196" i="2" s="1"/>
  <c r="H197"/>
  <c r="H161"/>
  <c r="H152"/>
  <c r="H148" i="3"/>
  <c r="H148" i="2" s="1"/>
  <c r="H149"/>
  <c r="H147"/>
  <c r="H139"/>
  <c r="H129"/>
  <c r="H121"/>
  <c r="H111"/>
  <c r="H103"/>
  <c r="H93"/>
  <c r="H84" i="3"/>
  <c r="H84" i="2" s="1"/>
  <c r="H85"/>
  <c r="H83"/>
  <c r="H75"/>
  <c r="H65"/>
  <c r="H57"/>
  <c r="H47"/>
  <c r="H184"/>
  <c r="H180" i="3"/>
  <c r="H180" i="2" s="1"/>
  <c r="H181"/>
  <c r="H144"/>
  <c r="H136"/>
  <c r="H80"/>
  <c r="H72"/>
  <c r="H33"/>
  <c r="H25"/>
  <c r="H15"/>
  <c r="H7"/>
  <c r="H323"/>
  <c r="H292" i="3"/>
  <c r="H292" i="2" s="1"/>
  <c r="H293"/>
  <c r="H191"/>
  <c r="H143"/>
  <c r="H135"/>
  <c r="H131"/>
  <c r="H123"/>
  <c r="H95"/>
  <c r="H87"/>
  <c r="H79"/>
  <c r="H71"/>
  <c r="H67"/>
  <c r="H59"/>
  <c r="H40"/>
  <c r="H30"/>
  <c r="H22"/>
  <c r="H12"/>
  <c r="H142"/>
  <c r="H134"/>
  <c r="H108"/>
  <c r="H78"/>
  <c r="H70"/>
  <c r="H44"/>
  <c r="H36" i="3"/>
  <c r="H36" i="2" s="1"/>
  <c r="H37"/>
  <c r="H35"/>
  <c r="H27"/>
  <c r="H17"/>
  <c r="H9"/>
  <c r="H314"/>
  <c r="H179"/>
  <c r="H174"/>
  <c r="H115"/>
  <c r="H107"/>
  <c r="H51"/>
  <c r="H43"/>
  <c r="H32"/>
  <c r="H24"/>
  <c r="H14"/>
  <c r="H6"/>
  <c r="H220"/>
  <c r="H124"/>
  <c r="H113"/>
  <c r="H105"/>
  <c r="H60"/>
  <c r="H49"/>
  <c r="H10"/>
  <c r="H153"/>
  <c r="H90"/>
  <c r="H89"/>
  <c r="H31"/>
  <c r="H23"/>
  <c r="H16"/>
  <c r="H188"/>
  <c r="H160"/>
  <c r="H154"/>
  <c r="H98"/>
  <c r="H97"/>
  <c r="H88"/>
  <c r="H29"/>
  <c r="H20" i="3"/>
  <c r="H20" i="2" s="1"/>
  <c r="H21"/>
  <c r="H166"/>
  <c r="H162"/>
  <c r="H96"/>
  <c r="H8"/>
  <c r="H171"/>
  <c r="H132" i="3"/>
  <c r="H132" i="2" s="1"/>
  <c r="H133"/>
  <c r="H41"/>
  <c r="H19"/>
  <c r="H11"/>
  <c r="H68" i="3"/>
  <c r="H68" i="2" s="1"/>
  <c r="H69"/>
  <c r="H38"/>
  <c r="H13"/>
  <c r="H4" i="3"/>
  <c r="H4" i="2" s="1"/>
  <c r="H5"/>
  <c r="H118"/>
  <c r="H116" i="3"/>
  <c r="H116" i="2" s="1"/>
  <c r="H117"/>
  <c r="H18"/>
  <c r="H126"/>
  <c r="H125"/>
  <c r="H34"/>
  <c r="H28"/>
  <c r="H77"/>
  <c r="H61"/>
  <c r="H54"/>
  <c r="H52" i="3"/>
  <c r="H52" i="2" s="1"/>
  <c r="H53"/>
  <c r="H26"/>
  <c r="H190"/>
  <c r="H62"/>
  <c r="H114"/>
  <c r="H106"/>
  <c r="H42"/>
  <c r="H39"/>
  <c r="H151"/>
  <c r="H259"/>
  <c r="H50"/>
  <c r="H141"/>
  <c r="AR396"/>
  <c r="AR380"/>
  <c r="AR401"/>
  <c r="AR393"/>
  <c r="AR383"/>
  <c r="AR375"/>
  <c r="AR367"/>
  <c r="AR398"/>
  <c r="AR390"/>
  <c r="AR386"/>
  <c r="AR378"/>
  <c r="AR388" i="3"/>
  <c r="AR388" i="2" s="1"/>
  <c r="AR389"/>
  <c r="AR384"/>
  <c r="AR394"/>
  <c r="AR377"/>
  <c r="AR361"/>
  <c r="AR403"/>
  <c r="AR399"/>
  <c r="AR381"/>
  <c r="AR379"/>
  <c r="AR368"/>
  <c r="AR366"/>
  <c r="AR358"/>
  <c r="AR392"/>
  <c r="AR374"/>
  <c r="AR363"/>
  <c r="AR372" i="3"/>
  <c r="AR372" i="2" s="1"/>
  <c r="AR373"/>
  <c r="AR349"/>
  <c r="AR340" i="3"/>
  <c r="AR340" i="2" s="1"/>
  <c r="AR341"/>
  <c r="AR339"/>
  <c r="AR397"/>
  <c r="AR370"/>
  <c r="AR365"/>
  <c r="AR351"/>
  <c r="AR343"/>
  <c r="AR348"/>
  <c r="AR402"/>
  <c r="AR391"/>
  <c r="AR385"/>
  <c r="AR364"/>
  <c r="AR350"/>
  <c r="AR400"/>
  <c r="AR387"/>
  <c r="AR371"/>
  <c r="AR356" i="3"/>
  <c r="AR356" i="2" s="1"/>
  <c r="AR357"/>
  <c r="AR345"/>
  <c r="AR337"/>
  <c r="AR331"/>
  <c r="AR321"/>
  <c r="AR313"/>
  <c r="AR362"/>
  <c r="AR360"/>
  <c r="AR347"/>
  <c r="AR333"/>
  <c r="AR324" i="3"/>
  <c r="AR324" i="2" s="1"/>
  <c r="AR325"/>
  <c r="AR323"/>
  <c r="AR315"/>
  <c r="AR395"/>
  <c r="AR355"/>
  <c r="AR353"/>
  <c r="AR352"/>
  <c r="AR344"/>
  <c r="AR342"/>
  <c r="AR330"/>
  <c r="AR320"/>
  <c r="AR312"/>
  <c r="AR376"/>
  <c r="AR338"/>
  <c r="AR332"/>
  <c r="AR322"/>
  <c r="AR346"/>
  <c r="AR329"/>
  <c r="AR318"/>
  <c r="AR317"/>
  <c r="AR299"/>
  <c r="AR289"/>
  <c r="AR281"/>
  <c r="AR271"/>
  <c r="AR263"/>
  <c r="AR336"/>
  <c r="AR306"/>
  <c r="AR304"/>
  <c r="AR296"/>
  <c r="AR286"/>
  <c r="AR278"/>
  <c r="AR268"/>
  <c r="AR335"/>
  <c r="AR328"/>
  <c r="AR327"/>
  <c r="AR311"/>
  <c r="AR301"/>
  <c r="AR292" i="3"/>
  <c r="AR292" i="2" s="1"/>
  <c r="AR293"/>
  <c r="AR291"/>
  <c r="AR283"/>
  <c r="AR273"/>
  <c r="AR265"/>
  <c r="AR369"/>
  <c r="AR359"/>
  <c r="AR300"/>
  <c r="AR290"/>
  <c r="AR282"/>
  <c r="AR272"/>
  <c r="AR264"/>
  <c r="AR316"/>
  <c r="AR303"/>
  <c r="AR295"/>
  <c r="AR288"/>
  <c r="AR280"/>
  <c r="AR275"/>
  <c r="AR267"/>
  <c r="AR258"/>
  <c r="AR250"/>
  <c r="AR240"/>
  <c r="AR232"/>
  <c r="AR354"/>
  <c r="AR326"/>
  <c r="AR310"/>
  <c r="AR287"/>
  <c r="AR279"/>
  <c r="AR252"/>
  <c r="AR242"/>
  <c r="AR234"/>
  <c r="AR224"/>
  <c r="AR319"/>
  <c r="AR257"/>
  <c r="AR249"/>
  <c r="AR239"/>
  <c r="AR231"/>
  <c r="AR382"/>
  <c r="AR284"/>
  <c r="AR259"/>
  <c r="AR251"/>
  <c r="AR241"/>
  <c r="AR233"/>
  <c r="AR297"/>
  <c r="AR294"/>
  <c r="AR253"/>
  <c r="AR244" i="3"/>
  <c r="AR244" i="2" s="1"/>
  <c r="AR245"/>
  <c r="AR238"/>
  <c r="AR218"/>
  <c r="AR208"/>
  <c r="AR200"/>
  <c r="AR190"/>
  <c r="AR305"/>
  <c r="AR302"/>
  <c r="AR260" i="3"/>
  <c r="AR260" i="2" s="1"/>
  <c r="AR261"/>
  <c r="AR230"/>
  <c r="AR223"/>
  <c r="AR215"/>
  <c r="AR205"/>
  <c r="AR196" i="3"/>
  <c r="AR196" i="2" s="1"/>
  <c r="AR197"/>
  <c r="AR195"/>
  <c r="AR285"/>
  <c r="AR237"/>
  <c r="AR236"/>
  <c r="AR225"/>
  <c r="AR220"/>
  <c r="AR210"/>
  <c r="AR202"/>
  <c r="AR192"/>
  <c r="AR314"/>
  <c r="AR307"/>
  <c r="AR276" i="3"/>
  <c r="AR276" i="2" s="1"/>
  <c r="AR277"/>
  <c r="AR262"/>
  <c r="AR243"/>
  <c r="AR235"/>
  <c r="AR228" i="3"/>
  <c r="AR228" i="2" s="1"/>
  <c r="AR229"/>
  <c r="AR217"/>
  <c r="AR207"/>
  <c r="AR199"/>
  <c r="AR189"/>
  <c r="AR221"/>
  <c r="AR219"/>
  <c r="AR212" i="3"/>
  <c r="AR212" i="2" s="1"/>
  <c r="AR213"/>
  <c r="AR204"/>
  <c r="AR182"/>
  <c r="AR172"/>
  <c r="AR162"/>
  <c r="AR154"/>
  <c r="AR334"/>
  <c r="AR194"/>
  <c r="AR177"/>
  <c r="AR169"/>
  <c r="AR159"/>
  <c r="AR151"/>
  <c r="AR266"/>
  <c r="AR256"/>
  <c r="AR254"/>
  <c r="AR248"/>
  <c r="AR246"/>
  <c r="AR226"/>
  <c r="AR211"/>
  <c r="AR209"/>
  <c r="AR203"/>
  <c r="AR201"/>
  <c r="AR180" i="3"/>
  <c r="AR180" i="2" s="1"/>
  <c r="AR181"/>
  <c r="AR179"/>
  <c r="AR171"/>
  <c r="AR161"/>
  <c r="AR153"/>
  <c r="AR308" i="3"/>
  <c r="AR308" i="2" s="1"/>
  <c r="AR309"/>
  <c r="AR222"/>
  <c r="AR214"/>
  <c r="AR191"/>
  <c r="AR183"/>
  <c r="AR173"/>
  <c r="AR164" i="3"/>
  <c r="AR164" i="2" s="1"/>
  <c r="AR165"/>
  <c r="AR163"/>
  <c r="AR155"/>
  <c r="AR175"/>
  <c r="AR174"/>
  <c r="AR167"/>
  <c r="AR166"/>
  <c r="AR160"/>
  <c r="AR142"/>
  <c r="AR134"/>
  <c r="AR124"/>
  <c r="AR114"/>
  <c r="AR106"/>
  <c r="AR96"/>
  <c r="AR88"/>
  <c r="AR78"/>
  <c r="AR70"/>
  <c r="AR60"/>
  <c r="AR50"/>
  <c r="AR42"/>
  <c r="AR186"/>
  <c r="AR144"/>
  <c r="AR136"/>
  <c r="AR126"/>
  <c r="AR118"/>
  <c r="AR108"/>
  <c r="AR98"/>
  <c r="AR90"/>
  <c r="AR80"/>
  <c r="AR72"/>
  <c r="AR62"/>
  <c r="AR54"/>
  <c r="AR44"/>
  <c r="AR193"/>
  <c r="AR185"/>
  <c r="AR184"/>
  <c r="AR158"/>
  <c r="AR141"/>
  <c r="AR132" i="3"/>
  <c r="AR132" i="2" s="1"/>
  <c r="AR133"/>
  <c r="AR131"/>
  <c r="AR123"/>
  <c r="AR113"/>
  <c r="AR105"/>
  <c r="AR95"/>
  <c r="AR87"/>
  <c r="AR77"/>
  <c r="AR68" i="3"/>
  <c r="AR68" i="2" s="1"/>
  <c r="AR69"/>
  <c r="AR67"/>
  <c r="AR59"/>
  <c r="AR49"/>
  <c r="AR216"/>
  <c r="AR143"/>
  <c r="AR135"/>
  <c r="AR125"/>
  <c r="AR116" i="3"/>
  <c r="AR116" i="2" s="1"/>
  <c r="AR117"/>
  <c r="AR115"/>
  <c r="AR107"/>
  <c r="AR97"/>
  <c r="AR89"/>
  <c r="AR79"/>
  <c r="AR71"/>
  <c r="AR61"/>
  <c r="AR52" i="3"/>
  <c r="AR52" i="2" s="1"/>
  <c r="AR53"/>
  <c r="AR51"/>
  <c r="AR43"/>
  <c r="AR39"/>
  <c r="AR29"/>
  <c r="AR20" i="3"/>
  <c r="AR20" i="2" s="1"/>
  <c r="AR21"/>
  <c r="AR19"/>
  <c r="AR11"/>
  <c r="AR270"/>
  <c r="AR147"/>
  <c r="AR146"/>
  <c r="AR139"/>
  <c r="AR138"/>
  <c r="AR112"/>
  <c r="AR104"/>
  <c r="AR83"/>
  <c r="AR82"/>
  <c r="AR75"/>
  <c r="AR74"/>
  <c r="AR48"/>
  <c r="AR34"/>
  <c r="AR26"/>
  <c r="AR16"/>
  <c r="AR227"/>
  <c r="AR145"/>
  <c r="AR137"/>
  <c r="AR81"/>
  <c r="AR73"/>
  <c r="AR41"/>
  <c r="AR31"/>
  <c r="AR23"/>
  <c r="AR13"/>
  <c r="AR4" i="3"/>
  <c r="AR4" i="2" s="1"/>
  <c r="AR5"/>
  <c r="AR188"/>
  <c r="AR111"/>
  <c r="AR110"/>
  <c r="AR103"/>
  <c r="AR102"/>
  <c r="AR47"/>
  <c r="AR46"/>
  <c r="AR38"/>
  <c r="AR28"/>
  <c r="AR18"/>
  <c r="AR10"/>
  <c r="AR298"/>
  <c r="AR187"/>
  <c r="AR176"/>
  <c r="AR157"/>
  <c r="AR150"/>
  <c r="AR33"/>
  <c r="AR25"/>
  <c r="AR9"/>
  <c r="AR269"/>
  <c r="AR206"/>
  <c r="AR178"/>
  <c r="AR122"/>
  <c r="AR120"/>
  <c r="AR119"/>
  <c r="AR58"/>
  <c r="AR56"/>
  <c r="AR55"/>
  <c r="AR170"/>
  <c r="AR130"/>
  <c r="AR128"/>
  <c r="AR127"/>
  <c r="AR121"/>
  <c r="AR109"/>
  <c r="AR100" i="3"/>
  <c r="AR100" i="2" s="1"/>
  <c r="AR101"/>
  <c r="AR66"/>
  <c r="AR64"/>
  <c r="AR63"/>
  <c r="AR57"/>
  <c r="AR45"/>
  <c r="AR36" i="3"/>
  <c r="AR36" i="2" s="1"/>
  <c r="AR37"/>
  <c r="AR17"/>
  <c r="AR8"/>
  <c r="AR7"/>
  <c r="AR168"/>
  <c r="AR129"/>
  <c r="AR86"/>
  <c r="AR65"/>
  <c r="AR32"/>
  <c r="AR30"/>
  <c r="AR24"/>
  <c r="AR22"/>
  <c r="AR15"/>
  <c r="AR91"/>
  <c r="AR99"/>
  <c r="AR92"/>
  <c r="AR40"/>
  <c r="AR274"/>
  <c r="AR12"/>
  <c r="AR152"/>
  <c r="AR76"/>
  <c r="AR27"/>
  <c r="AR35"/>
  <c r="AR156"/>
  <c r="AR93"/>
  <c r="AR140"/>
  <c r="AR247"/>
  <c r="AR148" i="3"/>
  <c r="AR148" i="2" s="1"/>
  <c r="AR149"/>
  <c r="AR94"/>
  <c r="AR6"/>
  <c r="AR84" i="3"/>
  <c r="AR84" i="2" s="1"/>
  <c r="AR85"/>
  <c r="AR198"/>
  <c r="AR14"/>
  <c r="AR255"/>
  <c r="AG403"/>
  <c r="AG395"/>
  <c r="AG381"/>
  <c r="AG372" i="3"/>
  <c r="AG372" i="2" s="1"/>
  <c r="AG373"/>
  <c r="AG400"/>
  <c r="AG392"/>
  <c r="AG384"/>
  <c r="AG376"/>
  <c r="AG397"/>
  <c r="AG388" i="3"/>
  <c r="AG388" i="2" s="1"/>
  <c r="AG389"/>
  <c r="AG387"/>
  <c r="AG379"/>
  <c r="AG371"/>
  <c r="AG401"/>
  <c r="AG390"/>
  <c r="AG369"/>
  <c r="AG394"/>
  <c r="AG377"/>
  <c r="AG375"/>
  <c r="AG368"/>
  <c r="AG360"/>
  <c r="AG399"/>
  <c r="AG365"/>
  <c r="AG356" i="3"/>
  <c r="AG356" i="2" s="1"/>
  <c r="AG357"/>
  <c r="AG355"/>
  <c r="AG386"/>
  <c r="AG374"/>
  <c r="AG362"/>
  <c r="AG378"/>
  <c r="AG367"/>
  <c r="AG348"/>
  <c r="AG338"/>
  <c r="AG361"/>
  <c r="AG352"/>
  <c r="AG350"/>
  <c r="AG342"/>
  <c r="AG398"/>
  <c r="AG380"/>
  <c r="AG366"/>
  <c r="AG347"/>
  <c r="AG396"/>
  <c r="AG382"/>
  <c r="AG370"/>
  <c r="AG364"/>
  <c r="AG353"/>
  <c r="AG349"/>
  <c r="AG351"/>
  <c r="AG330"/>
  <c r="AG320"/>
  <c r="AG312"/>
  <c r="AG402"/>
  <c r="AG363"/>
  <c r="AG345"/>
  <c r="AG332"/>
  <c r="AG322"/>
  <c r="AG314"/>
  <c r="AG359"/>
  <c r="AG344"/>
  <c r="AG339"/>
  <c r="AG329"/>
  <c r="AG319"/>
  <c r="AG311"/>
  <c r="AG385"/>
  <c r="AG354"/>
  <c r="AG340" i="3"/>
  <c r="AG340" i="2" s="1"/>
  <c r="AG341"/>
  <c r="AG331"/>
  <c r="AG321"/>
  <c r="AG391"/>
  <c r="AG306"/>
  <c r="AG298"/>
  <c r="AG288"/>
  <c r="AG280"/>
  <c r="AG270"/>
  <c r="AG262"/>
  <c r="AG358"/>
  <c r="AG343"/>
  <c r="AG323"/>
  <c r="AG318"/>
  <c r="AG303"/>
  <c r="AG295"/>
  <c r="AG285"/>
  <c r="AG276" i="3"/>
  <c r="AG276" i="2" s="1"/>
  <c r="AG277"/>
  <c r="AG275"/>
  <c r="AG267"/>
  <c r="AG317"/>
  <c r="AG300"/>
  <c r="AG290"/>
  <c r="AG282"/>
  <c r="AG272"/>
  <c r="AG264"/>
  <c r="AG346"/>
  <c r="AG335"/>
  <c r="AG334"/>
  <c r="AG327"/>
  <c r="AG326"/>
  <c r="AG315"/>
  <c r="AG310"/>
  <c r="AG299"/>
  <c r="AG289"/>
  <c r="AG281"/>
  <c r="AG271"/>
  <c r="AG263"/>
  <c r="AG393"/>
  <c r="AG324" i="3"/>
  <c r="AG324" i="2" s="1"/>
  <c r="AG325"/>
  <c r="AG305"/>
  <c r="AG297"/>
  <c r="AG291"/>
  <c r="AG283"/>
  <c r="AG269"/>
  <c r="AG257"/>
  <c r="AG249"/>
  <c r="AG239"/>
  <c r="AG231"/>
  <c r="AG304"/>
  <c r="AG296"/>
  <c r="AG268"/>
  <c r="AG259"/>
  <c r="AG251"/>
  <c r="AG241"/>
  <c r="AG233"/>
  <c r="AG337"/>
  <c r="AG308" i="3"/>
  <c r="AG308" i="2" s="1"/>
  <c r="AG309"/>
  <c r="AG302"/>
  <c r="AG294"/>
  <c r="AG274"/>
  <c r="AG266"/>
  <c r="AG256"/>
  <c r="AG248"/>
  <c r="AG238"/>
  <c r="AG230"/>
  <c r="AG258"/>
  <c r="AG250"/>
  <c r="AG240"/>
  <c r="AG232"/>
  <c r="AG383"/>
  <c r="AG278"/>
  <c r="AG227"/>
  <c r="AG217"/>
  <c r="AG207"/>
  <c r="AG199"/>
  <c r="AG189"/>
  <c r="AG328"/>
  <c r="AG307"/>
  <c r="AG265"/>
  <c r="AG255"/>
  <c r="AG247"/>
  <c r="AG226"/>
  <c r="AG222"/>
  <c r="AG214"/>
  <c r="AG204"/>
  <c r="AG273"/>
  <c r="AG254"/>
  <c r="AG253"/>
  <c r="AG246"/>
  <c r="AG244" i="3"/>
  <c r="AG244" i="2" s="1"/>
  <c r="AG245"/>
  <c r="AG225"/>
  <c r="AG219"/>
  <c r="AG209"/>
  <c r="AG201"/>
  <c r="AG191"/>
  <c r="AG252"/>
  <c r="AG216"/>
  <c r="AG206"/>
  <c r="AG198"/>
  <c r="AG188"/>
  <c r="AG243"/>
  <c r="AG237"/>
  <c r="AG223"/>
  <c r="AG215"/>
  <c r="AG180" i="3"/>
  <c r="AG180" i="2" s="1"/>
  <c r="AG181"/>
  <c r="AG179"/>
  <c r="AG171"/>
  <c r="AG161"/>
  <c r="AG153"/>
  <c r="AG336"/>
  <c r="AG292" i="3"/>
  <c r="AG292" i="2" s="1"/>
  <c r="AG293"/>
  <c r="AG284"/>
  <c r="AG242"/>
  <c r="AG236"/>
  <c r="AG235"/>
  <c r="AG228" i="3"/>
  <c r="AG228" i="2" s="1"/>
  <c r="AG229"/>
  <c r="AG221"/>
  <c r="AG212" i="3"/>
  <c r="AG212" i="2" s="1"/>
  <c r="AG213"/>
  <c r="AG186"/>
  <c r="AG176"/>
  <c r="AG168"/>
  <c r="AG158"/>
  <c r="AG150"/>
  <c r="AG287"/>
  <c r="AG286"/>
  <c r="AG260" i="3"/>
  <c r="AG260" i="2" s="1"/>
  <c r="AG261"/>
  <c r="AG220"/>
  <c r="AG205"/>
  <c r="AG196" i="3"/>
  <c r="AG196" i="2" s="1"/>
  <c r="AG197"/>
  <c r="AG194"/>
  <c r="AG187"/>
  <c r="AG178"/>
  <c r="AG170"/>
  <c r="AG160"/>
  <c r="AG152"/>
  <c r="AG190"/>
  <c r="AG182"/>
  <c r="AG172"/>
  <c r="AG162"/>
  <c r="AG154"/>
  <c r="AG316"/>
  <c r="AG177"/>
  <c r="AG169"/>
  <c r="AG141"/>
  <c r="AG132" i="3"/>
  <c r="AG132" i="2" s="1"/>
  <c r="AG133"/>
  <c r="AG131"/>
  <c r="AG123"/>
  <c r="AG113"/>
  <c r="AG105"/>
  <c r="AG95"/>
  <c r="AG87"/>
  <c r="AG77"/>
  <c r="AG68" i="3"/>
  <c r="AG68" i="2" s="1"/>
  <c r="AG69"/>
  <c r="AG67"/>
  <c r="AG59"/>
  <c r="AG49"/>
  <c r="AG175"/>
  <c r="AG167"/>
  <c r="AG143"/>
  <c r="AG135"/>
  <c r="AG125"/>
  <c r="AG116" i="3"/>
  <c r="AG116" i="2" s="1"/>
  <c r="AG117"/>
  <c r="AG115"/>
  <c r="AG107"/>
  <c r="AG97"/>
  <c r="AG89"/>
  <c r="AG79"/>
  <c r="AG71"/>
  <c r="AG61"/>
  <c r="AG52" i="3"/>
  <c r="AG52" i="2" s="1"/>
  <c r="AG53"/>
  <c r="AG51"/>
  <c r="AG43"/>
  <c r="AG279"/>
  <c r="AG211"/>
  <c r="AG203"/>
  <c r="AG192"/>
  <c r="AG174"/>
  <c r="AG173"/>
  <c r="AG166"/>
  <c r="AG164" i="3"/>
  <c r="AG164" i="2" s="1"/>
  <c r="AG165"/>
  <c r="AG140"/>
  <c r="AG130"/>
  <c r="AG122"/>
  <c r="AG112"/>
  <c r="AG104"/>
  <c r="AG94"/>
  <c r="AG86"/>
  <c r="AG76"/>
  <c r="AG66"/>
  <c r="AG58"/>
  <c r="AG48"/>
  <c r="AG313"/>
  <c r="AG195"/>
  <c r="AG185"/>
  <c r="AG142"/>
  <c r="AG134"/>
  <c r="AG124"/>
  <c r="AG114"/>
  <c r="AG106"/>
  <c r="AG96"/>
  <c r="AG88"/>
  <c r="AG78"/>
  <c r="AG70"/>
  <c r="AG60"/>
  <c r="AG50"/>
  <c r="AG42"/>
  <c r="AG224"/>
  <c r="AG210"/>
  <c r="AG148" i="3"/>
  <c r="AG148" i="2" s="1"/>
  <c r="AG149"/>
  <c r="AG129"/>
  <c r="AG121"/>
  <c r="AG93"/>
  <c r="AG84" i="3"/>
  <c r="AG84" i="2" s="1"/>
  <c r="AG85"/>
  <c r="AG65"/>
  <c r="AG57"/>
  <c r="AG38"/>
  <c r="AG28"/>
  <c r="AG18"/>
  <c r="AG10"/>
  <c r="AG193"/>
  <c r="AG128"/>
  <c r="AG127"/>
  <c r="AG120"/>
  <c r="AG119"/>
  <c r="AG99"/>
  <c r="AG92"/>
  <c r="AG91"/>
  <c r="AG64"/>
  <c r="AG63"/>
  <c r="AG56"/>
  <c r="AG55"/>
  <c r="AG33"/>
  <c r="AG25"/>
  <c r="AG15"/>
  <c r="AG126"/>
  <c r="AG118"/>
  <c r="AG98"/>
  <c r="AG90"/>
  <c r="AG62"/>
  <c r="AG54"/>
  <c r="AG40"/>
  <c r="AG30"/>
  <c r="AG22"/>
  <c r="AG12"/>
  <c r="AG159"/>
  <c r="AG155"/>
  <c r="AG147"/>
  <c r="AG139"/>
  <c r="AG83"/>
  <c r="AG75"/>
  <c r="AG36" i="3"/>
  <c r="AG36" i="2" s="1"/>
  <c r="AG37"/>
  <c r="AG35"/>
  <c r="AG27"/>
  <c r="AG17"/>
  <c r="AG9"/>
  <c r="AG333"/>
  <c r="AG200"/>
  <c r="AG110"/>
  <c r="AG109"/>
  <c r="AG108"/>
  <c r="AG102"/>
  <c r="AG100" i="3"/>
  <c r="AG100" i="2" s="1"/>
  <c r="AG101"/>
  <c r="AG46"/>
  <c r="AG45"/>
  <c r="AG44"/>
  <c r="AG151"/>
  <c r="AG41"/>
  <c r="AG13"/>
  <c r="AG234"/>
  <c r="AG146"/>
  <c r="AG145"/>
  <c r="AG82"/>
  <c r="AG81"/>
  <c r="AG39"/>
  <c r="AG19"/>
  <c r="AG11"/>
  <c r="AG208"/>
  <c r="AG202"/>
  <c r="AG144"/>
  <c r="AG80"/>
  <c r="AG34"/>
  <c r="AG26"/>
  <c r="AG8"/>
  <c r="AG183"/>
  <c r="AG138"/>
  <c r="AG137"/>
  <c r="AG103"/>
  <c r="AG16"/>
  <c r="AG14"/>
  <c r="AG7"/>
  <c r="AG156"/>
  <c r="AG136"/>
  <c r="AG74"/>
  <c r="AG73"/>
  <c r="AG6"/>
  <c r="AG184"/>
  <c r="AG163"/>
  <c r="AG31"/>
  <c r="AG29"/>
  <c r="AG4" i="3"/>
  <c r="AG4" i="2" s="1"/>
  <c r="AG5"/>
  <c r="AG218"/>
  <c r="AG47"/>
  <c r="AG24"/>
  <c r="AG32"/>
  <c r="AG23"/>
  <c r="AG111"/>
  <c r="AG72"/>
  <c r="AG157"/>
  <c r="AG301"/>
  <c r="AG20" i="3"/>
  <c r="AG20" i="2" s="1"/>
  <c r="AG21"/>
  <c r="AA401"/>
  <c r="AA393"/>
  <c r="AA383"/>
  <c r="AA375"/>
  <c r="AA398"/>
  <c r="AA390"/>
  <c r="AA386"/>
  <c r="AA378"/>
  <c r="AA403"/>
  <c r="AA395"/>
  <c r="AA381"/>
  <c r="AA372" i="3"/>
  <c r="AA372" i="2" s="1"/>
  <c r="AA373"/>
  <c r="AA369"/>
  <c r="AA392"/>
  <c r="AA374"/>
  <c r="AA397"/>
  <c r="AA376"/>
  <c r="AA366"/>
  <c r="AA358"/>
  <c r="AA402"/>
  <c r="AA385"/>
  <c r="AA370"/>
  <c r="AA363"/>
  <c r="AA353"/>
  <c r="AA391"/>
  <c r="AA387"/>
  <c r="AA360"/>
  <c r="AA400"/>
  <c r="AA388" i="3"/>
  <c r="AA388" i="2" s="1"/>
  <c r="AA389"/>
  <c r="AA380"/>
  <c r="AA346"/>
  <c r="AA396"/>
  <c r="AA382"/>
  <c r="AA371"/>
  <c r="AA368"/>
  <c r="AA364"/>
  <c r="AA348"/>
  <c r="AA338"/>
  <c r="AA377"/>
  <c r="AA356" i="3"/>
  <c r="AA356" i="2" s="1"/>
  <c r="AA357"/>
  <c r="AA345"/>
  <c r="AA384"/>
  <c r="AA367"/>
  <c r="AA352"/>
  <c r="AA347"/>
  <c r="AA344"/>
  <c r="AA336"/>
  <c r="AA328"/>
  <c r="AA318"/>
  <c r="AA310"/>
  <c r="AA361"/>
  <c r="AA359"/>
  <c r="AA330"/>
  <c r="AA320"/>
  <c r="AA312"/>
  <c r="AA399"/>
  <c r="AA354"/>
  <c r="AA337"/>
  <c r="AA335"/>
  <c r="AA327"/>
  <c r="AA317"/>
  <c r="AA308" i="3"/>
  <c r="AA308" i="2" s="1"/>
  <c r="AA309"/>
  <c r="AA307"/>
  <c r="AA351"/>
  <c r="AA350"/>
  <c r="AA329"/>
  <c r="AA365"/>
  <c r="AA362"/>
  <c r="AA340" i="3"/>
  <c r="AA340" i="2" s="1"/>
  <c r="AA341"/>
  <c r="AA321"/>
  <c r="AA316"/>
  <c r="AA304"/>
  <c r="AA296"/>
  <c r="AA286"/>
  <c r="AA278"/>
  <c r="AA268"/>
  <c r="AA315"/>
  <c r="AA314"/>
  <c r="AA301"/>
  <c r="AA292" i="3"/>
  <c r="AA292" i="2" s="1"/>
  <c r="AA293"/>
  <c r="AA291"/>
  <c r="AA283"/>
  <c r="AA273"/>
  <c r="AA265"/>
  <c r="AA394"/>
  <c r="AA334"/>
  <c r="AA326"/>
  <c r="AA298"/>
  <c r="AA288"/>
  <c r="AA280"/>
  <c r="AA270"/>
  <c r="AA262"/>
  <c r="AA331"/>
  <c r="AA305"/>
  <c r="AA297"/>
  <c r="AA287"/>
  <c r="AA279"/>
  <c r="AA269"/>
  <c r="AA343"/>
  <c r="AA322"/>
  <c r="AA302"/>
  <c r="AA294"/>
  <c r="AA289"/>
  <c r="AA281"/>
  <c r="AA274"/>
  <c r="AA266"/>
  <c r="AA255"/>
  <c r="AA247"/>
  <c r="AA237"/>
  <c r="AA228" i="3"/>
  <c r="AA228" i="2" s="1"/>
  <c r="AA229"/>
  <c r="AA227"/>
  <c r="AA339"/>
  <c r="AA300"/>
  <c r="AA272"/>
  <c r="AA264"/>
  <c r="AA257"/>
  <c r="AA249"/>
  <c r="AA239"/>
  <c r="AA231"/>
  <c r="AA342"/>
  <c r="AA285"/>
  <c r="AA276" i="3"/>
  <c r="AA276" i="2" s="1"/>
  <c r="AA277"/>
  <c r="AA254"/>
  <c r="AA246"/>
  <c r="AA236"/>
  <c r="AA226"/>
  <c r="AA333"/>
  <c r="AA332"/>
  <c r="AA319"/>
  <c r="AA256"/>
  <c r="AA248"/>
  <c r="AA238"/>
  <c r="AA267"/>
  <c r="AA263"/>
  <c r="AA259"/>
  <c r="AA252"/>
  <c r="AA251"/>
  <c r="AA224"/>
  <c r="AA223"/>
  <c r="AA215"/>
  <c r="AA205"/>
  <c r="AA196" i="3"/>
  <c r="AA196" i="2" s="1"/>
  <c r="AA197"/>
  <c r="AA195"/>
  <c r="AA187"/>
  <c r="AA323"/>
  <c r="AA311"/>
  <c r="AA275"/>
  <c r="AA271"/>
  <c r="AA220"/>
  <c r="AA210"/>
  <c r="AA202"/>
  <c r="AA379"/>
  <c r="AA355"/>
  <c r="AA349"/>
  <c r="AA258"/>
  <c r="AA250"/>
  <c r="AA243"/>
  <c r="AA235"/>
  <c r="AA217"/>
  <c r="AA207"/>
  <c r="AA199"/>
  <c r="AA306"/>
  <c r="AA295"/>
  <c r="AA260" i="3"/>
  <c r="AA260" i="2" s="1"/>
  <c r="AA261"/>
  <c r="AA242"/>
  <c r="AA241"/>
  <c r="AA234"/>
  <c r="AA233"/>
  <c r="AA222"/>
  <c r="AA214"/>
  <c r="AA204"/>
  <c r="AA194"/>
  <c r="AA232"/>
  <c r="AA177"/>
  <c r="AA169"/>
  <c r="AA159"/>
  <c r="AA151"/>
  <c r="AA303"/>
  <c r="AA299"/>
  <c r="AA193"/>
  <c r="AA190"/>
  <c r="AA184"/>
  <c r="AA174"/>
  <c r="AA166"/>
  <c r="AA156"/>
  <c r="AA313"/>
  <c r="AA225"/>
  <c r="AA216"/>
  <c r="AA189"/>
  <c r="AA186"/>
  <c r="AA176"/>
  <c r="AA168"/>
  <c r="AA158"/>
  <c r="AA150"/>
  <c r="AA208"/>
  <c r="AA200"/>
  <c r="AA188"/>
  <c r="AA178"/>
  <c r="AA170"/>
  <c r="AA160"/>
  <c r="AA219"/>
  <c r="AA218"/>
  <c r="AA173"/>
  <c r="AA164" i="3"/>
  <c r="AA164" i="2" s="1"/>
  <c r="AA165"/>
  <c r="AA148" i="3"/>
  <c r="AA148" i="2" s="1"/>
  <c r="AA149"/>
  <c r="AA147"/>
  <c r="AA139"/>
  <c r="AA129"/>
  <c r="AA121"/>
  <c r="AA111"/>
  <c r="AA103"/>
  <c r="AA93"/>
  <c r="AA84" i="3"/>
  <c r="AA84" i="2" s="1"/>
  <c r="AA85"/>
  <c r="AA83"/>
  <c r="AA75"/>
  <c r="AA65"/>
  <c r="AA57"/>
  <c r="AA47"/>
  <c r="AA282"/>
  <c r="AA244" i="3"/>
  <c r="AA244" i="2" s="1"/>
  <c r="AA245"/>
  <c r="AA211"/>
  <c r="AA209"/>
  <c r="AA203"/>
  <c r="AA201"/>
  <c r="AA185"/>
  <c r="AA179"/>
  <c r="AA172"/>
  <c r="AA171"/>
  <c r="AA141"/>
  <c r="AA132" i="3"/>
  <c r="AA132" i="2" s="1"/>
  <c r="AA133"/>
  <c r="AA131"/>
  <c r="AA123"/>
  <c r="AA113"/>
  <c r="AA105"/>
  <c r="AA95"/>
  <c r="AA87"/>
  <c r="AA77"/>
  <c r="AA68" i="3"/>
  <c r="AA68" i="2" s="1"/>
  <c r="AA69"/>
  <c r="AA67"/>
  <c r="AA59"/>
  <c r="AA49"/>
  <c r="AA230"/>
  <c r="AA183"/>
  <c r="AA157"/>
  <c r="AA146"/>
  <c r="AA138"/>
  <c r="AA128"/>
  <c r="AA120"/>
  <c r="AA110"/>
  <c r="AA102"/>
  <c r="AA92"/>
  <c r="AA82"/>
  <c r="AA74"/>
  <c r="AA64"/>
  <c r="AA56"/>
  <c r="AA46"/>
  <c r="AA253"/>
  <c r="AA182"/>
  <c r="AA180" i="3"/>
  <c r="AA180" i="2" s="1"/>
  <c r="AA181"/>
  <c r="AA140"/>
  <c r="AA130"/>
  <c r="AA122"/>
  <c r="AA112"/>
  <c r="AA104"/>
  <c r="AA94"/>
  <c r="AA86"/>
  <c r="AA76"/>
  <c r="AA66"/>
  <c r="AA58"/>
  <c r="AA48"/>
  <c r="AA240"/>
  <c r="AA221"/>
  <c r="AA212" i="3"/>
  <c r="AA212" i="2" s="1"/>
  <c r="AA213"/>
  <c r="AA175"/>
  <c r="AA34"/>
  <c r="AA26"/>
  <c r="AA16"/>
  <c r="AA8"/>
  <c r="AA284"/>
  <c r="AA167"/>
  <c r="AA155"/>
  <c r="AA153"/>
  <c r="AA145"/>
  <c r="AA137"/>
  <c r="AA124"/>
  <c r="AA96"/>
  <c r="AA88"/>
  <c r="AA81"/>
  <c r="AA73"/>
  <c r="AA60"/>
  <c r="AA41"/>
  <c r="AA31"/>
  <c r="AA23"/>
  <c r="AA13"/>
  <c r="AA290"/>
  <c r="AA198"/>
  <c r="AA163"/>
  <c r="AA161"/>
  <c r="AA154"/>
  <c r="AA144"/>
  <c r="AA143"/>
  <c r="AA136"/>
  <c r="AA135"/>
  <c r="AA80"/>
  <c r="AA79"/>
  <c r="AA72"/>
  <c r="AA71"/>
  <c r="AA38"/>
  <c r="AA28"/>
  <c r="AA18"/>
  <c r="AA10"/>
  <c r="AA324" i="3"/>
  <c r="AA324" i="2" s="1"/>
  <c r="AA325"/>
  <c r="AA191"/>
  <c r="AA162"/>
  <c r="AA109"/>
  <c r="AA100" i="3"/>
  <c r="AA100" i="2" s="1"/>
  <c r="AA101"/>
  <c r="AA45"/>
  <c r="AA33"/>
  <c r="AA25"/>
  <c r="AA15"/>
  <c r="AA7"/>
  <c r="AA99"/>
  <c r="AA98"/>
  <c r="AA39"/>
  <c r="AA19"/>
  <c r="AA11"/>
  <c r="AA36" i="3"/>
  <c r="AA36" i="2" s="1"/>
  <c r="AA37"/>
  <c r="AA17"/>
  <c r="AA142"/>
  <c r="AA78"/>
  <c r="AA32"/>
  <c r="AA30"/>
  <c r="AA24"/>
  <c r="AA22"/>
  <c r="AA6"/>
  <c r="AA152"/>
  <c r="AA116" i="3"/>
  <c r="AA116" i="2" s="1"/>
  <c r="AA117"/>
  <c r="AA52" i="3"/>
  <c r="AA52" i="2" s="1"/>
  <c r="AA53"/>
  <c r="AA4" i="3"/>
  <c r="AA4" i="2" s="1"/>
  <c r="AA5"/>
  <c r="AA106"/>
  <c r="AA63"/>
  <c r="AA62"/>
  <c r="AA43"/>
  <c r="AA9"/>
  <c r="AA134"/>
  <c r="AA108"/>
  <c r="AA42"/>
  <c r="AA35"/>
  <c r="AA70"/>
  <c r="AA44"/>
  <c r="AA27"/>
  <c r="AA114"/>
  <c r="AA97"/>
  <c r="AA89"/>
  <c r="AA55"/>
  <c r="AA54"/>
  <c r="AA51"/>
  <c r="AA12"/>
  <c r="AA50"/>
  <c r="AA118"/>
  <c r="AA91"/>
  <c r="AA61"/>
  <c r="AA127"/>
  <c r="AA115"/>
  <c r="AA20" i="3"/>
  <c r="AA20" i="2" s="1"/>
  <c r="AA21"/>
  <c r="AA192"/>
  <c r="AA125"/>
  <c r="AA29"/>
  <c r="AA40"/>
  <c r="AA126"/>
  <c r="AA90"/>
  <c r="AA119"/>
  <c r="AA206"/>
  <c r="AA14"/>
  <c r="AA107"/>
  <c r="AB396"/>
  <c r="AB380"/>
  <c r="AB401"/>
  <c r="AB393"/>
  <c r="AB383"/>
  <c r="AB375"/>
  <c r="AB398"/>
  <c r="AB390"/>
  <c r="AB386"/>
  <c r="AB378"/>
  <c r="AB403"/>
  <c r="AB399"/>
  <c r="AB381"/>
  <c r="AB379"/>
  <c r="AB371"/>
  <c r="AB392"/>
  <c r="AB374"/>
  <c r="AB361"/>
  <c r="AB397"/>
  <c r="AB376"/>
  <c r="AB366"/>
  <c r="AB358"/>
  <c r="AB402"/>
  <c r="AB385"/>
  <c r="AB370"/>
  <c r="AB369"/>
  <c r="AB363"/>
  <c r="AB365"/>
  <c r="AB353"/>
  <c r="AB349"/>
  <c r="AB340" i="3"/>
  <c r="AB340" i="2" s="1"/>
  <c r="AB341"/>
  <c r="AB339"/>
  <c r="AB372" i="3"/>
  <c r="AB372" i="2" s="1"/>
  <c r="AB373"/>
  <c r="AB359"/>
  <c r="AB355"/>
  <c r="AB351"/>
  <c r="AB343"/>
  <c r="AB387"/>
  <c r="AB382"/>
  <c r="AB368"/>
  <c r="AB364"/>
  <c r="AB348"/>
  <c r="AB394"/>
  <c r="AB362"/>
  <c r="AB354"/>
  <c r="AB350"/>
  <c r="AB395"/>
  <c r="AB367"/>
  <c r="AB331"/>
  <c r="AB321"/>
  <c r="AB313"/>
  <c r="AB347"/>
  <c r="AB333"/>
  <c r="AB324" i="3"/>
  <c r="AB324" i="2" s="1"/>
  <c r="AB325"/>
  <c r="AB323"/>
  <c r="AB315"/>
  <c r="AB384"/>
  <c r="AB377"/>
  <c r="AB356" i="3"/>
  <c r="AB356" i="2" s="1"/>
  <c r="AB357"/>
  <c r="AB330"/>
  <c r="AB320"/>
  <c r="AB312"/>
  <c r="AB400"/>
  <c r="AB391"/>
  <c r="AB360"/>
  <c r="AB332"/>
  <c r="AB322"/>
  <c r="AB329"/>
  <c r="AB311"/>
  <c r="AB299"/>
  <c r="AB289"/>
  <c r="AB281"/>
  <c r="AB271"/>
  <c r="AB263"/>
  <c r="AB345"/>
  <c r="AB316"/>
  <c r="AB304"/>
  <c r="AB296"/>
  <c r="AB286"/>
  <c r="AB278"/>
  <c r="AB268"/>
  <c r="AB352"/>
  <c r="AB336"/>
  <c r="AB335"/>
  <c r="AB328"/>
  <c r="AB327"/>
  <c r="AB314"/>
  <c r="AB310"/>
  <c r="AB308" i="3"/>
  <c r="AB308" i="2" s="1"/>
  <c r="AB309"/>
  <c r="AB307"/>
  <c r="AB301"/>
  <c r="AB292" i="3"/>
  <c r="AB292" i="2" s="1"/>
  <c r="AB293"/>
  <c r="AB291"/>
  <c r="AB283"/>
  <c r="AB273"/>
  <c r="AB265"/>
  <c r="AB306"/>
  <c r="AB300"/>
  <c r="AB290"/>
  <c r="AB282"/>
  <c r="AB272"/>
  <c r="AB264"/>
  <c r="AB346"/>
  <c r="AB303"/>
  <c r="AB295"/>
  <c r="AB288"/>
  <c r="AB280"/>
  <c r="AB275"/>
  <c r="AB267"/>
  <c r="AB258"/>
  <c r="AB250"/>
  <c r="AB240"/>
  <c r="AB232"/>
  <c r="AB337"/>
  <c r="AB287"/>
  <c r="AB279"/>
  <c r="AB262"/>
  <c r="AB252"/>
  <c r="AB242"/>
  <c r="AB234"/>
  <c r="AB224"/>
  <c r="AB388" i="3"/>
  <c r="AB388" i="2" s="1"/>
  <c r="AB389"/>
  <c r="AB318"/>
  <c r="AB257"/>
  <c r="AB249"/>
  <c r="AB239"/>
  <c r="AB231"/>
  <c r="AB334"/>
  <c r="AB284"/>
  <c r="AB260" i="3"/>
  <c r="AB260" i="2" s="1"/>
  <c r="AB261"/>
  <c r="AB259"/>
  <c r="AB251"/>
  <c r="AB241"/>
  <c r="AB233"/>
  <c r="AB270"/>
  <c r="AB253"/>
  <c r="AB244" i="3"/>
  <c r="AB244" i="2" s="1"/>
  <c r="AB245"/>
  <c r="AB238"/>
  <c r="AB225"/>
  <c r="AB218"/>
  <c r="AB208"/>
  <c r="AB200"/>
  <c r="AB190"/>
  <c r="AB342"/>
  <c r="AB338"/>
  <c r="AB317"/>
  <c r="AB269"/>
  <c r="AB266"/>
  <c r="AB228" i="3"/>
  <c r="AB228" i="2" s="1"/>
  <c r="AB229"/>
  <c r="AB223"/>
  <c r="AB215"/>
  <c r="AB205"/>
  <c r="AB196" i="3"/>
  <c r="AB196" i="2" s="1"/>
  <c r="AB197"/>
  <c r="AB195"/>
  <c r="AB274"/>
  <c r="AB237"/>
  <c r="AB236"/>
  <c r="AB220"/>
  <c r="AB210"/>
  <c r="AB202"/>
  <c r="AB192"/>
  <c r="AB298"/>
  <c r="AB243"/>
  <c r="AB235"/>
  <c r="AB217"/>
  <c r="AB207"/>
  <c r="AB199"/>
  <c r="AB189"/>
  <c r="AB255"/>
  <c r="AB247"/>
  <c r="AB221"/>
  <c r="AB219"/>
  <c r="AB212" i="3"/>
  <c r="AB212" i="2" s="1"/>
  <c r="AB213"/>
  <c r="AB204"/>
  <c r="AB182"/>
  <c r="AB172"/>
  <c r="AB162"/>
  <c r="AB154"/>
  <c r="AB297"/>
  <c r="AB294"/>
  <c r="AB285"/>
  <c r="AB227"/>
  <c r="AB177"/>
  <c r="AB169"/>
  <c r="AB159"/>
  <c r="AB151"/>
  <c r="AB326"/>
  <c r="AB319"/>
  <c r="AB211"/>
  <c r="AB209"/>
  <c r="AB203"/>
  <c r="AB201"/>
  <c r="AB191"/>
  <c r="AB180" i="3"/>
  <c r="AB180" i="2" s="1"/>
  <c r="AB181"/>
  <c r="AB179"/>
  <c r="AB171"/>
  <c r="AB161"/>
  <c r="AB153"/>
  <c r="AB230"/>
  <c r="AB226"/>
  <c r="AB222"/>
  <c r="AB214"/>
  <c r="AB183"/>
  <c r="AB173"/>
  <c r="AB164" i="3"/>
  <c r="AB164" i="2" s="1"/>
  <c r="AB165"/>
  <c r="AB163"/>
  <c r="AB155"/>
  <c r="AB305"/>
  <c r="AB256"/>
  <c r="AB188"/>
  <c r="AB175"/>
  <c r="AB174"/>
  <c r="AB167"/>
  <c r="AB166"/>
  <c r="AB160"/>
  <c r="AB142"/>
  <c r="AB134"/>
  <c r="AB124"/>
  <c r="AB114"/>
  <c r="AB106"/>
  <c r="AB96"/>
  <c r="AB88"/>
  <c r="AB78"/>
  <c r="AB70"/>
  <c r="AB60"/>
  <c r="AB50"/>
  <c r="AB42"/>
  <c r="AB344"/>
  <c r="AB206"/>
  <c r="AB198"/>
  <c r="AB194"/>
  <c r="AB186"/>
  <c r="AB152"/>
  <c r="AB144"/>
  <c r="AB136"/>
  <c r="AB126"/>
  <c r="AB118"/>
  <c r="AB108"/>
  <c r="AB98"/>
  <c r="AB90"/>
  <c r="AB80"/>
  <c r="AB72"/>
  <c r="AB62"/>
  <c r="AB54"/>
  <c r="AB44"/>
  <c r="AB302"/>
  <c r="AB246"/>
  <c r="AB185"/>
  <c r="AB184"/>
  <c r="AB158"/>
  <c r="AB141"/>
  <c r="AB132" i="3"/>
  <c r="AB132" i="2" s="1"/>
  <c r="AB133"/>
  <c r="AB131"/>
  <c r="AB123"/>
  <c r="AB113"/>
  <c r="AB105"/>
  <c r="AB95"/>
  <c r="AB87"/>
  <c r="AB77"/>
  <c r="AB68" i="3"/>
  <c r="AB68" i="2" s="1"/>
  <c r="AB69"/>
  <c r="AB67"/>
  <c r="AB59"/>
  <c r="AB49"/>
  <c r="AB248"/>
  <c r="AB150"/>
  <c r="AB143"/>
  <c r="AB135"/>
  <c r="AB125"/>
  <c r="AB116" i="3"/>
  <c r="AB116" i="2" s="1"/>
  <c r="AB117"/>
  <c r="AB115"/>
  <c r="AB107"/>
  <c r="AB97"/>
  <c r="AB89"/>
  <c r="AB79"/>
  <c r="AB71"/>
  <c r="AB61"/>
  <c r="AB52" i="3"/>
  <c r="AB52" i="2" s="1"/>
  <c r="AB53"/>
  <c r="AB51"/>
  <c r="AB43"/>
  <c r="AB193"/>
  <c r="AB178"/>
  <c r="AB39"/>
  <c r="AB29"/>
  <c r="AB20" i="3"/>
  <c r="AB20" i="2" s="1"/>
  <c r="AB21"/>
  <c r="AB19"/>
  <c r="AB11"/>
  <c r="AB176"/>
  <c r="AB170"/>
  <c r="AB147"/>
  <c r="AB146"/>
  <c r="AB139"/>
  <c r="AB138"/>
  <c r="AB112"/>
  <c r="AB104"/>
  <c r="AB83"/>
  <c r="AB82"/>
  <c r="AB75"/>
  <c r="AB74"/>
  <c r="AB48"/>
  <c r="AB34"/>
  <c r="AB26"/>
  <c r="AB16"/>
  <c r="AB168"/>
  <c r="AB156"/>
  <c r="AB145"/>
  <c r="AB137"/>
  <c r="AB81"/>
  <c r="AB73"/>
  <c r="AB41"/>
  <c r="AB31"/>
  <c r="AB23"/>
  <c r="AB13"/>
  <c r="AB4" i="3"/>
  <c r="AB4" i="2" s="1"/>
  <c r="AB5"/>
  <c r="AB216"/>
  <c r="AB157"/>
  <c r="AB111"/>
  <c r="AB110"/>
  <c r="AB103"/>
  <c r="AB102"/>
  <c r="AB47"/>
  <c r="AB46"/>
  <c r="AB38"/>
  <c r="AB28"/>
  <c r="AB18"/>
  <c r="AB10"/>
  <c r="AB148" i="3"/>
  <c r="AB148" i="2" s="1"/>
  <c r="AB149"/>
  <c r="AB94"/>
  <c r="AB92"/>
  <c r="AB91"/>
  <c r="AB84" i="3"/>
  <c r="AB84" i="2" s="1"/>
  <c r="AB85"/>
  <c r="AB33"/>
  <c r="AB25"/>
  <c r="AB8"/>
  <c r="AB7"/>
  <c r="AB254"/>
  <c r="AB99"/>
  <c r="AB93"/>
  <c r="AB36" i="3"/>
  <c r="AB36" i="2" s="1"/>
  <c r="AB37"/>
  <c r="AB17"/>
  <c r="AB140"/>
  <c r="AB76"/>
  <c r="AB32"/>
  <c r="AB30"/>
  <c r="AB24"/>
  <c r="AB22"/>
  <c r="AB15"/>
  <c r="AB6"/>
  <c r="AB128"/>
  <c r="AB127"/>
  <c r="AB14"/>
  <c r="AB187"/>
  <c r="AB64"/>
  <c r="AB63"/>
  <c r="AB9"/>
  <c r="AB130"/>
  <c r="AB129"/>
  <c r="AB35"/>
  <c r="AB120"/>
  <c r="AB119"/>
  <c r="AB40"/>
  <c r="AB121"/>
  <c r="AB100" i="3"/>
  <c r="AB100" i="2" s="1"/>
  <c r="AB101"/>
  <c r="AB66"/>
  <c r="AB57"/>
  <c r="AB12"/>
  <c r="AB65"/>
  <c r="AB56"/>
  <c r="AB58"/>
  <c r="AB27"/>
  <c r="AB276" i="3"/>
  <c r="AB276" i="2" s="1"/>
  <c r="AB277"/>
  <c r="AB122"/>
  <c r="AB86"/>
  <c r="AB109"/>
  <c r="AB45"/>
  <c r="AB55"/>
  <c r="AC399"/>
  <c r="AC391"/>
  <c r="AC385"/>
  <c r="AC377"/>
  <c r="AC396"/>
  <c r="AC380"/>
  <c r="AC370"/>
  <c r="AC401"/>
  <c r="AC393"/>
  <c r="AC383"/>
  <c r="AC375"/>
  <c r="AC398"/>
  <c r="AC394"/>
  <c r="AC403"/>
  <c r="AC381"/>
  <c r="AC379"/>
  <c r="AC371"/>
  <c r="AC364"/>
  <c r="AC354"/>
  <c r="AC392"/>
  <c r="AC374"/>
  <c r="AC361"/>
  <c r="AC397"/>
  <c r="AC378"/>
  <c r="AC376"/>
  <c r="AC366"/>
  <c r="AC358"/>
  <c r="AC402"/>
  <c r="AC360"/>
  <c r="AC344"/>
  <c r="AC400"/>
  <c r="AC388" i="3"/>
  <c r="AC388" i="2" s="1"/>
  <c r="AC389"/>
  <c r="AC386"/>
  <c r="AC369"/>
  <c r="AC346"/>
  <c r="AC390"/>
  <c r="AC372" i="3"/>
  <c r="AC372" i="2" s="1"/>
  <c r="AC373"/>
  <c r="AC363"/>
  <c r="AC359"/>
  <c r="AC355"/>
  <c r="AC351"/>
  <c r="AC356" i="3"/>
  <c r="AC356" i="2" s="1"/>
  <c r="AC357"/>
  <c r="AC368"/>
  <c r="AC365"/>
  <c r="AC349"/>
  <c r="AC342"/>
  <c r="AC339"/>
  <c r="AC334"/>
  <c r="AC326"/>
  <c r="AC316"/>
  <c r="AC340" i="3"/>
  <c r="AC340" i="2" s="1"/>
  <c r="AC341"/>
  <c r="AC338"/>
  <c r="AC336"/>
  <c r="AC328"/>
  <c r="AC318"/>
  <c r="AC310"/>
  <c r="AC347"/>
  <c r="AC333"/>
  <c r="AC324" i="3"/>
  <c r="AC324" i="2" s="1"/>
  <c r="AC325"/>
  <c r="AC323"/>
  <c r="AC315"/>
  <c r="AC387"/>
  <c r="AC362"/>
  <c r="AC352"/>
  <c r="AC343"/>
  <c r="AC337"/>
  <c r="AC335"/>
  <c r="AC327"/>
  <c r="AC384"/>
  <c r="AC353"/>
  <c r="AC302"/>
  <c r="AC294"/>
  <c r="AC284"/>
  <c r="AC274"/>
  <c r="AC266"/>
  <c r="AC395"/>
  <c r="AC382"/>
  <c r="AC329"/>
  <c r="AC321"/>
  <c r="AC311"/>
  <c r="AC299"/>
  <c r="AC289"/>
  <c r="AC281"/>
  <c r="AC271"/>
  <c r="AC263"/>
  <c r="AC345"/>
  <c r="AC320"/>
  <c r="AC304"/>
  <c r="AC296"/>
  <c r="AC286"/>
  <c r="AC278"/>
  <c r="AC268"/>
  <c r="AC367"/>
  <c r="AC319"/>
  <c r="AC313"/>
  <c r="AC303"/>
  <c r="AC295"/>
  <c r="AC285"/>
  <c r="AC276" i="3"/>
  <c r="AC276" i="2" s="1"/>
  <c r="AC277"/>
  <c r="AC275"/>
  <c r="AC267"/>
  <c r="AC317"/>
  <c r="AC253"/>
  <c r="AC244" i="3"/>
  <c r="AC244" i="2" s="1"/>
  <c r="AC245"/>
  <c r="AC243"/>
  <c r="AC235"/>
  <c r="AC225"/>
  <c r="AC350"/>
  <c r="AC314"/>
  <c r="AC306"/>
  <c r="AC255"/>
  <c r="AC247"/>
  <c r="AC237"/>
  <c r="AC228" i="3"/>
  <c r="AC228" i="2" s="1"/>
  <c r="AC229"/>
  <c r="AC227"/>
  <c r="AC300"/>
  <c r="AC287"/>
  <c r="AC279"/>
  <c r="AC272"/>
  <c r="AC264"/>
  <c r="AC262"/>
  <c r="AC252"/>
  <c r="AC242"/>
  <c r="AC234"/>
  <c r="AC224"/>
  <c r="AC298"/>
  <c r="AC291"/>
  <c r="AC283"/>
  <c r="AC270"/>
  <c r="AC254"/>
  <c r="AC246"/>
  <c r="AC236"/>
  <c r="AC322"/>
  <c r="AC307"/>
  <c r="AC265"/>
  <c r="AC230"/>
  <c r="AC221"/>
  <c r="AC212" i="3"/>
  <c r="AC212" i="2" s="1"/>
  <c r="AC213"/>
  <c r="AC211"/>
  <c r="AC203"/>
  <c r="AC193"/>
  <c r="AC331"/>
  <c r="AC330"/>
  <c r="AC273"/>
  <c r="AC259"/>
  <c r="AC251"/>
  <c r="AC238"/>
  <c r="AC218"/>
  <c r="AC208"/>
  <c r="AC200"/>
  <c r="AC332"/>
  <c r="AC269"/>
  <c r="AC223"/>
  <c r="AC215"/>
  <c r="AC205"/>
  <c r="AC196" i="3"/>
  <c r="AC196" i="2" s="1"/>
  <c r="AC197"/>
  <c r="AC195"/>
  <c r="AC312"/>
  <c r="AC292" i="3"/>
  <c r="AC292" i="2" s="1"/>
  <c r="AC293"/>
  <c r="AC258"/>
  <c r="AC250"/>
  <c r="AC220"/>
  <c r="AC210"/>
  <c r="AC202"/>
  <c r="AC192"/>
  <c r="AC256"/>
  <c r="AC248"/>
  <c r="AC240"/>
  <c r="AC239"/>
  <c r="AC233"/>
  <c r="AC206"/>
  <c r="AC198"/>
  <c r="AC194"/>
  <c r="AC185"/>
  <c r="AC175"/>
  <c r="AC167"/>
  <c r="AC157"/>
  <c r="AC301"/>
  <c r="AC232"/>
  <c r="AC219"/>
  <c r="AC204"/>
  <c r="AC182"/>
  <c r="AC172"/>
  <c r="AC162"/>
  <c r="AC154"/>
  <c r="AC308" i="3"/>
  <c r="AC308" i="2" s="1"/>
  <c r="AC309"/>
  <c r="AC305"/>
  <c r="AC290"/>
  <c r="AC288"/>
  <c r="AC184"/>
  <c r="AC174"/>
  <c r="AC166"/>
  <c r="AC156"/>
  <c r="AC280"/>
  <c r="AC216"/>
  <c r="AC207"/>
  <c r="AC199"/>
  <c r="AC186"/>
  <c r="AC176"/>
  <c r="AC168"/>
  <c r="AC158"/>
  <c r="AC257"/>
  <c r="AC222"/>
  <c r="AC217"/>
  <c r="AC214"/>
  <c r="AC187"/>
  <c r="AC145"/>
  <c r="AC137"/>
  <c r="AC127"/>
  <c r="AC119"/>
  <c r="AC109"/>
  <c r="AC100" i="3"/>
  <c r="AC100" i="2" s="1"/>
  <c r="AC101"/>
  <c r="AC99"/>
  <c r="AC91"/>
  <c r="AC81"/>
  <c r="AC73"/>
  <c r="AC63"/>
  <c r="AC55"/>
  <c r="AC45"/>
  <c r="AC348"/>
  <c r="AC260" i="3"/>
  <c r="AC260" i="2" s="1"/>
  <c r="AC261"/>
  <c r="AC226"/>
  <c r="AC159"/>
  <c r="AC148" i="3"/>
  <c r="AC148" i="2" s="1"/>
  <c r="AC149"/>
  <c r="AC147"/>
  <c r="AC139"/>
  <c r="AC129"/>
  <c r="AC121"/>
  <c r="AC111"/>
  <c r="AC103"/>
  <c r="AC93"/>
  <c r="AC84" i="3"/>
  <c r="AC84" i="2" s="1"/>
  <c r="AC85"/>
  <c r="AC83"/>
  <c r="AC75"/>
  <c r="AC65"/>
  <c r="AC57"/>
  <c r="AC47"/>
  <c r="AC282"/>
  <c r="AC209"/>
  <c r="AC201"/>
  <c r="AC179"/>
  <c r="AC171"/>
  <c r="AC152"/>
  <c r="AC144"/>
  <c r="AC136"/>
  <c r="AC126"/>
  <c r="AC118"/>
  <c r="AC108"/>
  <c r="AC98"/>
  <c r="AC90"/>
  <c r="AC80"/>
  <c r="AC72"/>
  <c r="AC62"/>
  <c r="AC54"/>
  <c r="AC44"/>
  <c r="AC249"/>
  <c r="AC191"/>
  <c r="AC178"/>
  <c r="AC170"/>
  <c r="AC163"/>
  <c r="AC155"/>
  <c r="AC146"/>
  <c r="AC138"/>
  <c r="AC128"/>
  <c r="AC120"/>
  <c r="AC110"/>
  <c r="AC102"/>
  <c r="AC92"/>
  <c r="AC82"/>
  <c r="AC74"/>
  <c r="AC64"/>
  <c r="AC56"/>
  <c r="AC46"/>
  <c r="AC190"/>
  <c r="AC150"/>
  <c r="AC140"/>
  <c r="AC125"/>
  <c r="AC116" i="3"/>
  <c r="AC116" i="2" s="1"/>
  <c r="AC117"/>
  <c r="AC113"/>
  <c r="AC105"/>
  <c r="AC97"/>
  <c r="AC89"/>
  <c r="AC76"/>
  <c r="AC61"/>
  <c r="AC52" i="3"/>
  <c r="AC52" i="2" s="1"/>
  <c r="AC53"/>
  <c r="AC49"/>
  <c r="AC32"/>
  <c r="AC24"/>
  <c r="AC14"/>
  <c r="AC6"/>
  <c r="AC188"/>
  <c r="AC177"/>
  <c r="AC173"/>
  <c r="AC39"/>
  <c r="AC29"/>
  <c r="AC20" i="3"/>
  <c r="AC20" i="2" s="1"/>
  <c r="AC21"/>
  <c r="AC19"/>
  <c r="AC11"/>
  <c r="AC169"/>
  <c r="AC164" i="3"/>
  <c r="AC164" i="2" s="1"/>
  <c r="AC165"/>
  <c r="AC153"/>
  <c r="AC124"/>
  <c r="AC112"/>
  <c r="AC104"/>
  <c r="AC96"/>
  <c r="AC88"/>
  <c r="AC60"/>
  <c r="AC48"/>
  <c r="AC34"/>
  <c r="AC26"/>
  <c r="AC16"/>
  <c r="AC8"/>
  <c r="AC297"/>
  <c r="AC161"/>
  <c r="AC160"/>
  <c r="AC143"/>
  <c r="AC135"/>
  <c r="AC131"/>
  <c r="AC123"/>
  <c r="AC95"/>
  <c r="AC87"/>
  <c r="AC79"/>
  <c r="AC71"/>
  <c r="AC67"/>
  <c r="AC59"/>
  <c r="AC41"/>
  <c r="AC31"/>
  <c r="AC23"/>
  <c r="AC13"/>
  <c r="AC4" i="3"/>
  <c r="AC4" i="2" s="1"/>
  <c r="AC5"/>
  <c r="AC231"/>
  <c r="AC86"/>
  <c r="AC38"/>
  <c r="AC35"/>
  <c r="AC27"/>
  <c r="AC18"/>
  <c r="AC189"/>
  <c r="AC94"/>
  <c r="AC33"/>
  <c r="AC25"/>
  <c r="AC7"/>
  <c r="AC142"/>
  <c r="AC141"/>
  <c r="AC78"/>
  <c r="AC77"/>
  <c r="AC36" i="3"/>
  <c r="AC36" i="2" s="1"/>
  <c r="AC37"/>
  <c r="AC17"/>
  <c r="AC183"/>
  <c r="AC180" i="3"/>
  <c r="AC180" i="2" s="1"/>
  <c r="AC181"/>
  <c r="AC151"/>
  <c r="AC107"/>
  <c r="AC58"/>
  <c r="AC106"/>
  <c r="AC43"/>
  <c r="AC134"/>
  <c r="AC132" i="3"/>
  <c r="AC132" i="2" s="1"/>
  <c r="AC133"/>
  <c r="AC42"/>
  <c r="AC28"/>
  <c r="AC9"/>
  <c r="AC115"/>
  <c r="AC114"/>
  <c r="AC130"/>
  <c r="AC66"/>
  <c r="AC50"/>
  <c r="AC122"/>
  <c r="AC68" i="3"/>
  <c r="AC68" i="2" s="1"/>
  <c r="AC69"/>
  <c r="AC40"/>
  <c r="AC22"/>
  <c r="AC15"/>
  <c r="AC241"/>
  <c r="AC10"/>
  <c r="AC70"/>
  <c r="AC12"/>
  <c r="AC51"/>
  <c r="AC30"/>
  <c r="AF400"/>
  <c r="AF392"/>
  <c r="AF384"/>
  <c r="AF376"/>
  <c r="AF397"/>
  <c r="AF388" i="3"/>
  <c r="AF388" i="2" s="1"/>
  <c r="AF389"/>
  <c r="AF387"/>
  <c r="AF379"/>
  <c r="AF371"/>
  <c r="AF402"/>
  <c r="AF394"/>
  <c r="AF382"/>
  <c r="AF374"/>
  <c r="AF368"/>
  <c r="AF395"/>
  <c r="AF377"/>
  <c r="AF375"/>
  <c r="AF372" i="3"/>
  <c r="AF372" i="2" s="1"/>
  <c r="AF373"/>
  <c r="AF399"/>
  <c r="AF365"/>
  <c r="AF356" i="3"/>
  <c r="AF356" i="2" s="1"/>
  <c r="AF357"/>
  <c r="AF355"/>
  <c r="AF386"/>
  <c r="AF362"/>
  <c r="AF352"/>
  <c r="AF398"/>
  <c r="AF393"/>
  <c r="AF367"/>
  <c r="AF359"/>
  <c r="AF391"/>
  <c r="AF385"/>
  <c r="AF345"/>
  <c r="AF380"/>
  <c r="AF366"/>
  <c r="AF347"/>
  <c r="AF337"/>
  <c r="AF381"/>
  <c r="AF360"/>
  <c r="AF344"/>
  <c r="AF403"/>
  <c r="AF383"/>
  <c r="AF369"/>
  <c r="AF346"/>
  <c r="AF358"/>
  <c r="AF350"/>
  <c r="AF343"/>
  <c r="AF335"/>
  <c r="AF327"/>
  <c r="AF317"/>
  <c r="AF308" i="3"/>
  <c r="AF308" i="2" s="1"/>
  <c r="AF309"/>
  <c r="AF342"/>
  <c r="AF339"/>
  <c r="AF329"/>
  <c r="AF319"/>
  <c r="AF311"/>
  <c r="AF390"/>
  <c r="AF361"/>
  <c r="AF348"/>
  <c r="AF334"/>
  <c r="AF326"/>
  <c r="AF316"/>
  <c r="AF306"/>
  <c r="AF378"/>
  <c r="AF338"/>
  <c r="AF336"/>
  <c r="AF328"/>
  <c r="AF323"/>
  <c r="AF318"/>
  <c r="AF303"/>
  <c r="AF295"/>
  <c r="AF285"/>
  <c r="AF276" i="3"/>
  <c r="AF276" i="2" s="1"/>
  <c r="AF277"/>
  <c r="AF275"/>
  <c r="AF267"/>
  <c r="AF353"/>
  <c r="AF340" i="3"/>
  <c r="AF340" i="2" s="1"/>
  <c r="AF341"/>
  <c r="AF330"/>
  <c r="AF322"/>
  <c r="AF312"/>
  <c r="AF300"/>
  <c r="AF290"/>
  <c r="AF282"/>
  <c r="AF272"/>
  <c r="AF264"/>
  <c r="AF401"/>
  <c r="AF370"/>
  <c r="AF321"/>
  <c r="AF305"/>
  <c r="AF297"/>
  <c r="AF287"/>
  <c r="AF279"/>
  <c r="AF269"/>
  <c r="AF260" i="3"/>
  <c r="AF260" i="2" s="1"/>
  <c r="AF261"/>
  <c r="AF364"/>
  <c r="AF333"/>
  <c r="AF324" i="3"/>
  <c r="AF324" i="2" s="1"/>
  <c r="AF325"/>
  <c r="AF314"/>
  <c r="AF304"/>
  <c r="AF296"/>
  <c r="AF286"/>
  <c r="AF278"/>
  <c r="AF268"/>
  <c r="AF363"/>
  <c r="AF354"/>
  <c r="AF315"/>
  <c r="AF313"/>
  <c r="AF254"/>
  <c r="AF246"/>
  <c r="AF236"/>
  <c r="AF226"/>
  <c r="AF396"/>
  <c r="AF349"/>
  <c r="AF320"/>
  <c r="AF302"/>
  <c r="AF294"/>
  <c r="AF289"/>
  <c r="AF281"/>
  <c r="AF274"/>
  <c r="AF266"/>
  <c r="AF256"/>
  <c r="AF248"/>
  <c r="AF238"/>
  <c r="AF230"/>
  <c r="AF307"/>
  <c r="AF301"/>
  <c r="AF292" i="3"/>
  <c r="AF292" i="2" s="1"/>
  <c r="AF293"/>
  <c r="AF288"/>
  <c r="AF280"/>
  <c r="AF273"/>
  <c r="AF265"/>
  <c r="AF253"/>
  <c r="AF244" i="3"/>
  <c r="AF244" i="2" s="1"/>
  <c r="AF245"/>
  <c r="AF243"/>
  <c r="AF235"/>
  <c r="AF225"/>
  <c r="AF255"/>
  <c r="AF247"/>
  <c r="AF237"/>
  <c r="AF262"/>
  <c r="AF231"/>
  <c r="AF222"/>
  <c r="AF214"/>
  <c r="AF204"/>
  <c r="AF194"/>
  <c r="AF263"/>
  <c r="AF239"/>
  <c r="AF219"/>
  <c r="AF209"/>
  <c r="AF201"/>
  <c r="AF331"/>
  <c r="AF271"/>
  <c r="AF270"/>
  <c r="AF252"/>
  <c r="AF216"/>
  <c r="AF206"/>
  <c r="AF198"/>
  <c r="AF332"/>
  <c r="AF259"/>
  <c r="AF251"/>
  <c r="AF228" i="3"/>
  <c r="AF228" i="2" s="1"/>
  <c r="AF229"/>
  <c r="AF224"/>
  <c r="AF221"/>
  <c r="AF212" i="3"/>
  <c r="AF212" i="2" s="1"/>
  <c r="AF213"/>
  <c r="AF211"/>
  <c r="AF203"/>
  <c r="AF193"/>
  <c r="AF284"/>
  <c r="AF283"/>
  <c r="AF242"/>
  <c r="AF207"/>
  <c r="AF199"/>
  <c r="AF186"/>
  <c r="AF176"/>
  <c r="AF168"/>
  <c r="AF158"/>
  <c r="AF150"/>
  <c r="AF257"/>
  <c r="AF249"/>
  <c r="AF241"/>
  <c r="AF240"/>
  <c r="AF234"/>
  <c r="AF188"/>
  <c r="AF183"/>
  <c r="AF173"/>
  <c r="AF164" i="3"/>
  <c r="AF164" i="2" s="1"/>
  <c r="AF165"/>
  <c r="AF163"/>
  <c r="AF155"/>
  <c r="AF310"/>
  <c r="AF291"/>
  <c r="AF227"/>
  <c r="AF218"/>
  <c r="AF185"/>
  <c r="AF175"/>
  <c r="AF167"/>
  <c r="AF157"/>
  <c r="AF217"/>
  <c r="AF210"/>
  <c r="AF202"/>
  <c r="AF195"/>
  <c r="AF192"/>
  <c r="AF177"/>
  <c r="AF169"/>
  <c r="AF159"/>
  <c r="AF351"/>
  <c r="AF258"/>
  <c r="AF233"/>
  <c r="AF190"/>
  <c r="AF180" i="3"/>
  <c r="AF180" i="2" s="1"/>
  <c r="AF181"/>
  <c r="AF162"/>
  <c r="AF154"/>
  <c r="AF146"/>
  <c r="AF138"/>
  <c r="AF128"/>
  <c r="AF120"/>
  <c r="AF110"/>
  <c r="AF102"/>
  <c r="AF92"/>
  <c r="AF82"/>
  <c r="AF74"/>
  <c r="AF64"/>
  <c r="AF56"/>
  <c r="AF46"/>
  <c r="AF223"/>
  <c r="AF220"/>
  <c r="AF215"/>
  <c r="AF174"/>
  <c r="AF166"/>
  <c r="AF160"/>
  <c r="AF140"/>
  <c r="AF130"/>
  <c r="AF122"/>
  <c r="AF112"/>
  <c r="AF104"/>
  <c r="AF94"/>
  <c r="AF86"/>
  <c r="AF76"/>
  <c r="AF66"/>
  <c r="AF58"/>
  <c r="AF48"/>
  <c r="AF298"/>
  <c r="AF208"/>
  <c r="AF205"/>
  <c r="AF200"/>
  <c r="AF196" i="3"/>
  <c r="AF196" i="2" s="1"/>
  <c r="AF197"/>
  <c r="AF145"/>
  <c r="AF137"/>
  <c r="AF127"/>
  <c r="AF119"/>
  <c r="AF109"/>
  <c r="AF100" i="3"/>
  <c r="AF100" i="2" s="1"/>
  <c r="AF101"/>
  <c r="AF99"/>
  <c r="AF91"/>
  <c r="AF81"/>
  <c r="AF73"/>
  <c r="AF63"/>
  <c r="AF55"/>
  <c r="AF45"/>
  <c r="AF250"/>
  <c r="AF184"/>
  <c r="AF179"/>
  <c r="AF171"/>
  <c r="AF148" i="3"/>
  <c r="AF148" i="2" s="1"/>
  <c r="AF149"/>
  <c r="AF147"/>
  <c r="AF139"/>
  <c r="AF129"/>
  <c r="AF121"/>
  <c r="AF111"/>
  <c r="AF103"/>
  <c r="AF93"/>
  <c r="AF84" i="3"/>
  <c r="AF84" i="2" s="1"/>
  <c r="AF85"/>
  <c r="AF83"/>
  <c r="AF75"/>
  <c r="AF65"/>
  <c r="AF57"/>
  <c r="AF47"/>
  <c r="AF299"/>
  <c r="AF152"/>
  <c r="AF141"/>
  <c r="AF132" i="3"/>
  <c r="AF132" i="2" s="1"/>
  <c r="AF133"/>
  <c r="AF114"/>
  <c r="AF106"/>
  <c r="AF77"/>
  <c r="AF68" i="3"/>
  <c r="AF68" i="2" s="1"/>
  <c r="AF69"/>
  <c r="AF50"/>
  <c r="AF42"/>
  <c r="AF33"/>
  <c r="AF25"/>
  <c r="AF15"/>
  <c r="AF7"/>
  <c r="AF178"/>
  <c r="AF172"/>
  <c r="AF126"/>
  <c r="AF118"/>
  <c r="AF98"/>
  <c r="AF90"/>
  <c r="AF62"/>
  <c r="AF54"/>
  <c r="AF40"/>
  <c r="AF30"/>
  <c r="AF22"/>
  <c r="AF12"/>
  <c r="AF170"/>
  <c r="AF125"/>
  <c r="AF116" i="3"/>
  <c r="AF116" i="2" s="1"/>
  <c r="AF117"/>
  <c r="AF113"/>
  <c r="AF105"/>
  <c r="AF97"/>
  <c r="AF89"/>
  <c r="AF61"/>
  <c r="AF52" i="3"/>
  <c r="AF52" i="2" s="1"/>
  <c r="AF53"/>
  <c r="AF49"/>
  <c r="AF36" i="3"/>
  <c r="AF36" i="2" s="1"/>
  <c r="AF37"/>
  <c r="AF35"/>
  <c r="AF27"/>
  <c r="AF17"/>
  <c r="AF9"/>
  <c r="AF156"/>
  <c r="AF153"/>
  <c r="AF124"/>
  <c r="AF96"/>
  <c r="AF88"/>
  <c r="AF60"/>
  <c r="AF32"/>
  <c r="AF24"/>
  <c r="AF14"/>
  <c r="AF6"/>
  <c r="AF151"/>
  <c r="AF87"/>
  <c r="AF41"/>
  <c r="AF28"/>
  <c r="AF13"/>
  <c r="AF95"/>
  <c r="AF39"/>
  <c r="AF19"/>
  <c r="AF11"/>
  <c r="AF189"/>
  <c r="AF144"/>
  <c r="AF80"/>
  <c r="AF34"/>
  <c r="AF26"/>
  <c r="AF8"/>
  <c r="AF232"/>
  <c r="AF143"/>
  <c r="AF79"/>
  <c r="AF38"/>
  <c r="AF18"/>
  <c r="AF191"/>
  <c r="AF123"/>
  <c r="AF51"/>
  <c r="AF16"/>
  <c r="AF142"/>
  <c r="AF136"/>
  <c r="AF59"/>
  <c r="AF187"/>
  <c r="AF135"/>
  <c r="AF107"/>
  <c r="AF78"/>
  <c r="AF72"/>
  <c r="AF4" i="3"/>
  <c r="AF4" i="2" s="1"/>
  <c r="AF5"/>
  <c r="AF182"/>
  <c r="AF67"/>
  <c r="AF23"/>
  <c r="AF20" i="3"/>
  <c r="AF20" i="2" s="1"/>
  <c r="AF21"/>
  <c r="AF31"/>
  <c r="AF161"/>
  <c r="AF108"/>
  <c r="AF10"/>
  <c r="AF70"/>
  <c r="AF115"/>
  <c r="AF44"/>
  <c r="AF71"/>
  <c r="AF134"/>
  <c r="AF29"/>
  <c r="AF131"/>
  <c r="AF43"/>
  <c r="AN400"/>
  <c r="AN392"/>
  <c r="AN384"/>
  <c r="AN376"/>
  <c r="AN397"/>
  <c r="AN388" i="3"/>
  <c r="AN388" i="2" s="1"/>
  <c r="AN389"/>
  <c r="AN387"/>
  <c r="AN379"/>
  <c r="AN371"/>
  <c r="AN402"/>
  <c r="AN394"/>
  <c r="AN382"/>
  <c r="AN374"/>
  <c r="AN368"/>
  <c r="AN398"/>
  <c r="AN393"/>
  <c r="AN403"/>
  <c r="AN385"/>
  <c r="AN383"/>
  <c r="AN381"/>
  <c r="AN367"/>
  <c r="AN365"/>
  <c r="AN356" i="3"/>
  <c r="AN356" i="2" s="1"/>
  <c r="AN357"/>
  <c r="AN355"/>
  <c r="AN391"/>
  <c r="AN362"/>
  <c r="AN352"/>
  <c r="AN396"/>
  <c r="AN380"/>
  <c r="AN378"/>
  <c r="AN370"/>
  <c r="AN359"/>
  <c r="AN401"/>
  <c r="AN360"/>
  <c r="AN345"/>
  <c r="AN399"/>
  <c r="AN353"/>
  <c r="AN347"/>
  <c r="AN337"/>
  <c r="AN395"/>
  <c r="AN375"/>
  <c r="AN363"/>
  <c r="AN358"/>
  <c r="AN354"/>
  <c r="AN344"/>
  <c r="AN346"/>
  <c r="AN366"/>
  <c r="AN342"/>
  <c r="AN339"/>
  <c r="AN335"/>
  <c r="AN327"/>
  <c r="AN317"/>
  <c r="AN308" i="3"/>
  <c r="AN308" i="2" s="1"/>
  <c r="AN309"/>
  <c r="AN340" i="3"/>
  <c r="AN340" i="2" s="1"/>
  <c r="AN341"/>
  <c r="AN329"/>
  <c r="AN319"/>
  <c r="AN311"/>
  <c r="AN372" i="3"/>
  <c r="AN372" i="2" s="1"/>
  <c r="AN373"/>
  <c r="AN351"/>
  <c r="AN338"/>
  <c r="AN334"/>
  <c r="AN326"/>
  <c r="AN316"/>
  <c r="AN306"/>
  <c r="AN361"/>
  <c r="AN349"/>
  <c r="AN328"/>
  <c r="AN320"/>
  <c r="AN303"/>
  <c r="AN295"/>
  <c r="AN285"/>
  <c r="AN276" i="3"/>
  <c r="AN276" i="2" s="1"/>
  <c r="AN277"/>
  <c r="AN275"/>
  <c r="AN267"/>
  <c r="AN386"/>
  <c r="AN333"/>
  <c r="AN324" i="3"/>
  <c r="AN324" i="2" s="1"/>
  <c r="AN325"/>
  <c r="AN315"/>
  <c r="AN310"/>
  <c r="AN300"/>
  <c r="AN290"/>
  <c r="AN282"/>
  <c r="AN272"/>
  <c r="AN264"/>
  <c r="AN332"/>
  <c r="AN314"/>
  <c r="AN305"/>
  <c r="AN297"/>
  <c r="AN287"/>
  <c r="AN279"/>
  <c r="AN269"/>
  <c r="AN260" i="3"/>
  <c r="AN260" i="2" s="1"/>
  <c r="AN261"/>
  <c r="AN330"/>
  <c r="AN322"/>
  <c r="AN318"/>
  <c r="AN304"/>
  <c r="AN296"/>
  <c r="AN286"/>
  <c r="AN278"/>
  <c r="AN268"/>
  <c r="AN377"/>
  <c r="AN369"/>
  <c r="AN336"/>
  <c r="AN331"/>
  <c r="AN312"/>
  <c r="AN254"/>
  <c r="AN246"/>
  <c r="AN236"/>
  <c r="AN226"/>
  <c r="AN343"/>
  <c r="AN313"/>
  <c r="AN299"/>
  <c r="AN284"/>
  <c r="AN271"/>
  <c r="AN263"/>
  <c r="AN256"/>
  <c r="AN248"/>
  <c r="AN238"/>
  <c r="AN230"/>
  <c r="AN348"/>
  <c r="AN298"/>
  <c r="AN291"/>
  <c r="AN283"/>
  <c r="AN270"/>
  <c r="AN262"/>
  <c r="AN253"/>
  <c r="AN244" i="3"/>
  <c r="AN244" i="2" s="1"/>
  <c r="AN245"/>
  <c r="AN243"/>
  <c r="AN235"/>
  <c r="AN225"/>
  <c r="AN255"/>
  <c r="AN247"/>
  <c r="AN237"/>
  <c r="AN321"/>
  <c r="AN289"/>
  <c r="AN258"/>
  <c r="AN250"/>
  <c r="AN228" i="3"/>
  <c r="AN228" i="2" s="1"/>
  <c r="AN229"/>
  <c r="AN224"/>
  <c r="AN222"/>
  <c r="AN214"/>
  <c r="AN204"/>
  <c r="AN194"/>
  <c r="AN288"/>
  <c r="AN281"/>
  <c r="AN242"/>
  <c r="AN234"/>
  <c r="AN219"/>
  <c r="AN209"/>
  <c r="AN201"/>
  <c r="AN323"/>
  <c r="AN307"/>
  <c r="AN280"/>
  <c r="AN257"/>
  <c r="AN249"/>
  <c r="AN241"/>
  <c r="AN233"/>
  <c r="AN216"/>
  <c r="AN206"/>
  <c r="AN198"/>
  <c r="AN266"/>
  <c r="AN265"/>
  <c r="AN240"/>
  <c r="AN232"/>
  <c r="AN221"/>
  <c r="AN212" i="3"/>
  <c r="AN212" i="2" s="1"/>
  <c r="AN213"/>
  <c r="AN211"/>
  <c r="AN203"/>
  <c r="AN193"/>
  <c r="AN364"/>
  <c r="AN186"/>
  <c r="AN176"/>
  <c r="AN168"/>
  <c r="AN158"/>
  <c r="AN150"/>
  <c r="AN273"/>
  <c r="AN252"/>
  <c r="AN217"/>
  <c r="AN210"/>
  <c r="AN202"/>
  <c r="AN195"/>
  <c r="AN187"/>
  <c r="AN183"/>
  <c r="AN173"/>
  <c r="AN164" i="3"/>
  <c r="AN164" i="2" s="1"/>
  <c r="AN165"/>
  <c r="AN163"/>
  <c r="AN155"/>
  <c r="AN294"/>
  <c r="AN292" i="3"/>
  <c r="AN292" i="2" s="1"/>
  <c r="AN293"/>
  <c r="AN231"/>
  <c r="AN223"/>
  <c r="AN215"/>
  <c r="AN191"/>
  <c r="AN185"/>
  <c r="AN175"/>
  <c r="AN167"/>
  <c r="AN157"/>
  <c r="AN189"/>
  <c r="AN177"/>
  <c r="AN169"/>
  <c r="AN159"/>
  <c r="AN301"/>
  <c r="AN172"/>
  <c r="AN146"/>
  <c r="AN138"/>
  <c r="AN128"/>
  <c r="AN120"/>
  <c r="AN110"/>
  <c r="AN102"/>
  <c r="AN92"/>
  <c r="AN82"/>
  <c r="AN74"/>
  <c r="AN64"/>
  <c r="AN56"/>
  <c r="AN46"/>
  <c r="AN259"/>
  <c r="AN178"/>
  <c r="AN170"/>
  <c r="AN156"/>
  <c r="AN140"/>
  <c r="AN130"/>
  <c r="AN122"/>
  <c r="AN112"/>
  <c r="AN104"/>
  <c r="AN94"/>
  <c r="AN86"/>
  <c r="AN76"/>
  <c r="AN66"/>
  <c r="AN58"/>
  <c r="AN48"/>
  <c r="AN218"/>
  <c r="AN190"/>
  <c r="AN182"/>
  <c r="AN151"/>
  <c r="AN145"/>
  <c r="AN137"/>
  <c r="AN127"/>
  <c r="AN119"/>
  <c r="AN109"/>
  <c r="AN100" i="3"/>
  <c r="AN100" i="2" s="1"/>
  <c r="AN101"/>
  <c r="AN99"/>
  <c r="AN91"/>
  <c r="AN81"/>
  <c r="AN73"/>
  <c r="AN63"/>
  <c r="AN55"/>
  <c r="AN45"/>
  <c r="AN390"/>
  <c r="AN274"/>
  <c r="AN227"/>
  <c r="AN208"/>
  <c r="AN207"/>
  <c r="AN205"/>
  <c r="AN200"/>
  <c r="AN199"/>
  <c r="AN196" i="3"/>
  <c r="AN196" i="2" s="1"/>
  <c r="AN197"/>
  <c r="AN192"/>
  <c r="AN188"/>
  <c r="AN161"/>
  <c r="AN153"/>
  <c r="AN148" i="3"/>
  <c r="AN148" i="2" s="1"/>
  <c r="AN149"/>
  <c r="AN147"/>
  <c r="AN139"/>
  <c r="AN129"/>
  <c r="AN121"/>
  <c r="AN111"/>
  <c r="AN103"/>
  <c r="AN93"/>
  <c r="AN84" i="3"/>
  <c r="AN84" i="2" s="1"/>
  <c r="AN85"/>
  <c r="AN83"/>
  <c r="AN75"/>
  <c r="AN65"/>
  <c r="AN57"/>
  <c r="AN47"/>
  <c r="AN220"/>
  <c r="AN184"/>
  <c r="AN180" i="3"/>
  <c r="AN180" i="2" s="1"/>
  <c r="AN181"/>
  <c r="AN144"/>
  <c r="AN136"/>
  <c r="AN80"/>
  <c r="AN72"/>
  <c r="AN33"/>
  <c r="AN25"/>
  <c r="AN15"/>
  <c r="AN7"/>
  <c r="AN302"/>
  <c r="AN251"/>
  <c r="AN143"/>
  <c r="AN135"/>
  <c r="AN131"/>
  <c r="AN123"/>
  <c r="AN95"/>
  <c r="AN87"/>
  <c r="AN79"/>
  <c r="AN71"/>
  <c r="AN67"/>
  <c r="AN59"/>
  <c r="AN40"/>
  <c r="AN30"/>
  <c r="AN22"/>
  <c r="AN12"/>
  <c r="AN142"/>
  <c r="AN134"/>
  <c r="AN108"/>
  <c r="AN78"/>
  <c r="AN70"/>
  <c r="AN44"/>
  <c r="AN36" i="3"/>
  <c r="AN36" i="2" s="1"/>
  <c r="AN37"/>
  <c r="AN35"/>
  <c r="AN27"/>
  <c r="AN17"/>
  <c r="AN9"/>
  <c r="AN239"/>
  <c r="AN179"/>
  <c r="AN174"/>
  <c r="AN152"/>
  <c r="AN115"/>
  <c r="AN107"/>
  <c r="AN51"/>
  <c r="AN43"/>
  <c r="AN32"/>
  <c r="AN24"/>
  <c r="AN14"/>
  <c r="AN6"/>
  <c r="AN124"/>
  <c r="AN113"/>
  <c r="AN105"/>
  <c r="AN60"/>
  <c r="AN49"/>
  <c r="AN90"/>
  <c r="AN89"/>
  <c r="AN31"/>
  <c r="AN23"/>
  <c r="AN16"/>
  <c r="AN171"/>
  <c r="AN98"/>
  <c r="AN97"/>
  <c r="AN88"/>
  <c r="AN29"/>
  <c r="AN20" i="3"/>
  <c r="AN20" i="2" s="1"/>
  <c r="AN21"/>
  <c r="AN96"/>
  <c r="AN4" i="3"/>
  <c r="AN4" i="2" s="1"/>
  <c r="AN5"/>
  <c r="AN350"/>
  <c r="AN50"/>
  <c r="AN41"/>
  <c r="AN19"/>
  <c r="AN11"/>
  <c r="AN154"/>
  <c r="AN126"/>
  <c r="AN125"/>
  <c r="AN38"/>
  <c r="AN13"/>
  <c r="AN8"/>
  <c r="AN162"/>
  <c r="AN141"/>
  <c r="AN106"/>
  <c r="AN62"/>
  <c r="AN61"/>
  <c r="AN18"/>
  <c r="AN68" i="3"/>
  <c r="AN68" i="2" s="1"/>
  <c r="AN69"/>
  <c r="AN34"/>
  <c r="AN28"/>
  <c r="AN114"/>
  <c r="AN77"/>
  <c r="AN54"/>
  <c r="AN42"/>
  <c r="AN116" i="3"/>
  <c r="AN116" i="2" s="1"/>
  <c r="AN117"/>
  <c r="AN166"/>
  <c r="AN118"/>
  <c r="AN160"/>
  <c r="AN52" i="3"/>
  <c r="AN52" i="2" s="1"/>
  <c r="AN53"/>
  <c r="AN26"/>
  <c r="AN132" i="3"/>
  <c r="AN132" i="2" s="1"/>
  <c r="AN133"/>
  <c r="AN10"/>
  <c r="AN39"/>
  <c r="N402"/>
  <c r="N394"/>
  <c r="N382"/>
  <c r="N374"/>
  <c r="N399"/>
  <c r="N391"/>
  <c r="N385"/>
  <c r="N377"/>
  <c r="N396"/>
  <c r="N380"/>
  <c r="N370"/>
  <c r="N403"/>
  <c r="N383"/>
  <c r="N381"/>
  <c r="N379"/>
  <c r="N392"/>
  <c r="N369"/>
  <c r="N367"/>
  <c r="N359"/>
  <c r="N397"/>
  <c r="N378"/>
  <c r="N376"/>
  <c r="N364"/>
  <c r="N354"/>
  <c r="N401"/>
  <c r="N390"/>
  <c r="N361"/>
  <c r="N365"/>
  <c r="N347"/>
  <c r="N337"/>
  <c r="N395"/>
  <c r="N384"/>
  <c r="N375"/>
  <c r="N363"/>
  <c r="N358"/>
  <c r="N355"/>
  <c r="N349"/>
  <c r="N340" i="3"/>
  <c r="N340" i="2" s="1"/>
  <c r="N341"/>
  <c r="N339"/>
  <c r="N346"/>
  <c r="N400"/>
  <c r="N388" i="3"/>
  <c r="N388" i="2" s="1"/>
  <c r="N389"/>
  <c r="N386"/>
  <c r="N371"/>
  <c r="N362"/>
  <c r="N348"/>
  <c r="N353"/>
  <c r="N344"/>
  <c r="N329"/>
  <c r="N319"/>
  <c r="N311"/>
  <c r="N343"/>
  <c r="N331"/>
  <c r="N321"/>
  <c r="N313"/>
  <c r="N387"/>
  <c r="N336"/>
  <c r="N328"/>
  <c r="N318"/>
  <c r="N310"/>
  <c r="N342"/>
  <c r="N330"/>
  <c r="N366"/>
  <c r="N350"/>
  <c r="N322"/>
  <c r="N316"/>
  <c r="N315"/>
  <c r="N307"/>
  <c r="N305"/>
  <c r="N297"/>
  <c r="N287"/>
  <c r="N279"/>
  <c r="N269"/>
  <c r="N260" i="3"/>
  <c r="N260" i="2" s="1"/>
  <c r="N261"/>
  <c r="N320"/>
  <c r="N302"/>
  <c r="N294"/>
  <c r="N284"/>
  <c r="N274"/>
  <c r="N266"/>
  <c r="N360"/>
  <c r="N314"/>
  <c r="N308" i="3"/>
  <c r="N308" i="2" s="1"/>
  <c r="N309"/>
  <c r="N299"/>
  <c r="N289"/>
  <c r="N281"/>
  <c r="N271"/>
  <c r="N263"/>
  <c r="N345"/>
  <c r="N332"/>
  <c r="N312"/>
  <c r="N298"/>
  <c r="N288"/>
  <c r="N280"/>
  <c r="N270"/>
  <c r="N398"/>
  <c r="N304"/>
  <c r="N296"/>
  <c r="N290"/>
  <c r="N282"/>
  <c r="N268"/>
  <c r="N256"/>
  <c r="N248"/>
  <c r="N238"/>
  <c r="N230"/>
  <c r="N368"/>
  <c r="N351"/>
  <c r="N334"/>
  <c r="N333"/>
  <c r="N327"/>
  <c r="N301"/>
  <c r="N292" i="3"/>
  <c r="N292" i="2" s="1"/>
  <c r="N293"/>
  <c r="N273"/>
  <c r="N265"/>
  <c r="N262"/>
  <c r="N258"/>
  <c r="N250"/>
  <c r="N240"/>
  <c r="N232"/>
  <c r="N352"/>
  <c r="N326"/>
  <c r="N324" i="3"/>
  <c r="N324" i="2" s="1"/>
  <c r="N325"/>
  <c r="N317"/>
  <c r="N255"/>
  <c r="N247"/>
  <c r="N237"/>
  <c r="N228" i="3"/>
  <c r="N228" i="2" s="1"/>
  <c r="N229"/>
  <c r="N227"/>
  <c r="N285"/>
  <c r="N276" i="3"/>
  <c r="N276" i="2" s="1"/>
  <c r="N277"/>
  <c r="N257"/>
  <c r="N249"/>
  <c r="N239"/>
  <c r="N338"/>
  <c r="N306"/>
  <c r="N300"/>
  <c r="N295"/>
  <c r="N254"/>
  <c r="N246"/>
  <c r="N216"/>
  <c r="N206"/>
  <c r="N198"/>
  <c r="N188"/>
  <c r="N303"/>
  <c r="N291"/>
  <c r="N253"/>
  <c r="N252"/>
  <c r="N244" i="3"/>
  <c r="N244" i="2" s="1"/>
  <c r="N245"/>
  <c r="N221"/>
  <c r="N212" i="3"/>
  <c r="N212" i="2" s="1"/>
  <c r="N213"/>
  <c r="N211"/>
  <c r="N203"/>
  <c r="N372" i="3"/>
  <c r="N372" i="2" s="1"/>
  <c r="N373"/>
  <c r="N335"/>
  <c r="N286"/>
  <c r="N283"/>
  <c r="N259"/>
  <c r="N251"/>
  <c r="N218"/>
  <c r="N208"/>
  <c r="N200"/>
  <c r="N278"/>
  <c r="N236"/>
  <c r="N223"/>
  <c r="N215"/>
  <c r="N205"/>
  <c r="N196" i="3"/>
  <c r="N196" i="2" s="1"/>
  <c r="N197"/>
  <c r="N195"/>
  <c r="N323"/>
  <c r="N267"/>
  <c r="N220"/>
  <c r="N178"/>
  <c r="N170"/>
  <c r="N160"/>
  <c r="N152"/>
  <c r="N275"/>
  <c r="N226"/>
  <c r="N193"/>
  <c r="N192"/>
  <c r="N189"/>
  <c r="N185"/>
  <c r="N175"/>
  <c r="N167"/>
  <c r="N157"/>
  <c r="N243"/>
  <c r="N242"/>
  <c r="N217"/>
  <c r="N210"/>
  <c r="N202"/>
  <c r="N191"/>
  <c r="N177"/>
  <c r="N169"/>
  <c r="N159"/>
  <c r="N151"/>
  <c r="N272"/>
  <c r="N233"/>
  <c r="N209"/>
  <c r="N201"/>
  <c r="N180" i="3"/>
  <c r="N180" i="2" s="1"/>
  <c r="N181"/>
  <c r="N179"/>
  <c r="N171"/>
  <c r="N161"/>
  <c r="N176"/>
  <c r="N168"/>
  <c r="N140"/>
  <c r="N130"/>
  <c r="N122"/>
  <c r="N112"/>
  <c r="N104"/>
  <c r="N94"/>
  <c r="N86"/>
  <c r="N76"/>
  <c r="N66"/>
  <c r="N58"/>
  <c r="N48"/>
  <c r="N393"/>
  <c r="N241"/>
  <c r="N190"/>
  <c r="N173"/>
  <c r="N164" i="3"/>
  <c r="N164" i="2" s="1"/>
  <c r="N165"/>
  <c r="N142"/>
  <c r="N134"/>
  <c r="N124"/>
  <c r="N114"/>
  <c r="N106"/>
  <c r="N96"/>
  <c r="N88"/>
  <c r="N78"/>
  <c r="N70"/>
  <c r="N60"/>
  <c r="N50"/>
  <c r="N42"/>
  <c r="N231"/>
  <c r="N224"/>
  <c r="N186"/>
  <c r="N172"/>
  <c r="N148" i="3"/>
  <c r="N148" i="2" s="1"/>
  <c r="N149"/>
  <c r="N147"/>
  <c r="N139"/>
  <c r="N129"/>
  <c r="N121"/>
  <c r="N111"/>
  <c r="N103"/>
  <c r="N93"/>
  <c r="N84" i="3"/>
  <c r="N84" i="2" s="1"/>
  <c r="N85"/>
  <c r="N83"/>
  <c r="N75"/>
  <c r="N65"/>
  <c r="N57"/>
  <c r="N47"/>
  <c r="N222"/>
  <c r="N219"/>
  <c r="N214"/>
  <c r="N183"/>
  <c r="N156"/>
  <c r="N150"/>
  <c r="N141"/>
  <c r="N132" i="3"/>
  <c r="N132" i="2" s="1"/>
  <c r="N133"/>
  <c r="N131"/>
  <c r="N123"/>
  <c r="N113"/>
  <c r="N105"/>
  <c r="N95"/>
  <c r="N87"/>
  <c r="N77"/>
  <c r="N68" i="3"/>
  <c r="N68" i="2" s="1"/>
  <c r="N69"/>
  <c r="N67"/>
  <c r="N59"/>
  <c r="N49"/>
  <c r="N162"/>
  <c r="N127"/>
  <c r="N126"/>
  <c r="N119"/>
  <c r="N118"/>
  <c r="N99"/>
  <c r="N98"/>
  <c r="N91"/>
  <c r="N90"/>
  <c r="N63"/>
  <c r="N62"/>
  <c r="N55"/>
  <c r="N54"/>
  <c r="N36" i="3"/>
  <c r="N36" i="2" s="1"/>
  <c r="N37"/>
  <c r="N35"/>
  <c r="N27"/>
  <c r="N17"/>
  <c r="N9"/>
  <c r="N235"/>
  <c r="N199"/>
  <c r="N194"/>
  <c r="N187"/>
  <c r="N184"/>
  <c r="N182"/>
  <c r="N125"/>
  <c r="N116" i="3"/>
  <c r="N116" i="2" s="1"/>
  <c r="N117"/>
  <c r="N97"/>
  <c r="N89"/>
  <c r="N61"/>
  <c r="N52" i="3"/>
  <c r="N52" i="2" s="1"/>
  <c r="N53"/>
  <c r="N32"/>
  <c r="N24"/>
  <c r="N14"/>
  <c r="N146"/>
  <c r="N138"/>
  <c r="N82"/>
  <c r="N74"/>
  <c r="N39"/>
  <c r="N29"/>
  <c r="N20" i="3"/>
  <c r="N20" i="2" s="1"/>
  <c r="N21"/>
  <c r="N19"/>
  <c r="N11"/>
  <c r="N145"/>
  <c r="N144"/>
  <c r="N137"/>
  <c r="N136"/>
  <c r="N81"/>
  <c r="N80"/>
  <c r="N73"/>
  <c r="N72"/>
  <c r="N34"/>
  <c r="N26"/>
  <c r="N16"/>
  <c r="N8"/>
  <c r="N234"/>
  <c r="N135"/>
  <c r="N71"/>
  <c r="N40"/>
  <c r="N12"/>
  <c r="N7"/>
  <c r="N38"/>
  <c r="N18"/>
  <c r="N174"/>
  <c r="N120"/>
  <c r="N115"/>
  <c r="N110"/>
  <c r="N108"/>
  <c r="N107"/>
  <c r="N102"/>
  <c r="N56"/>
  <c r="N51"/>
  <c r="N46"/>
  <c r="N44"/>
  <c r="N43"/>
  <c r="N33"/>
  <c r="N25"/>
  <c r="N6"/>
  <c r="N4" i="3"/>
  <c r="N4" i="2" s="1"/>
  <c r="N5"/>
  <c r="N207"/>
  <c r="N155"/>
  <c r="N153"/>
  <c r="N128"/>
  <c r="N109"/>
  <c r="N100" i="3"/>
  <c r="N100" i="2" s="1"/>
  <c r="N101"/>
  <c r="N64"/>
  <c r="N45"/>
  <c r="N31"/>
  <c r="N23"/>
  <c r="N10"/>
  <c r="N79"/>
  <c r="N30"/>
  <c r="N22"/>
  <c r="N264"/>
  <c r="N166"/>
  <c r="N41"/>
  <c r="N204"/>
  <c r="N158"/>
  <c r="N143"/>
  <c r="N13"/>
  <c r="N15"/>
  <c r="N163"/>
  <c r="N92"/>
  <c r="N225"/>
  <c r="N356" i="3"/>
  <c r="N356" i="2" s="1"/>
  <c r="N357"/>
  <c r="N28"/>
  <c r="N154"/>
  <c r="BA399"/>
  <c r="BA391"/>
  <c r="BA385"/>
  <c r="BA377"/>
  <c r="BA396"/>
  <c r="BA380"/>
  <c r="BA370"/>
  <c r="BA401"/>
  <c r="BA393"/>
  <c r="BA383"/>
  <c r="BA375"/>
  <c r="BA367"/>
  <c r="BA403"/>
  <c r="BA381"/>
  <c r="BA379"/>
  <c r="BA392"/>
  <c r="BA374"/>
  <c r="BA368"/>
  <c r="BA364"/>
  <c r="BA354"/>
  <c r="BA397"/>
  <c r="BA378"/>
  <c r="BA376"/>
  <c r="BA361"/>
  <c r="BA402"/>
  <c r="BA390"/>
  <c r="BA371"/>
  <c r="BA366"/>
  <c r="BA358"/>
  <c r="BA365"/>
  <c r="BA344"/>
  <c r="BA398"/>
  <c r="BA372" i="3"/>
  <c r="BA372" i="2" s="1"/>
  <c r="BA373"/>
  <c r="BA363"/>
  <c r="BA359"/>
  <c r="BA355"/>
  <c r="BA346"/>
  <c r="BA387"/>
  <c r="BA382"/>
  <c r="BA353"/>
  <c r="BA351"/>
  <c r="BA394"/>
  <c r="BA362"/>
  <c r="BA386"/>
  <c r="BA369"/>
  <c r="BA334"/>
  <c r="BA326"/>
  <c r="BA316"/>
  <c r="BA350"/>
  <c r="BA342"/>
  <c r="BA339"/>
  <c r="BA328"/>
  <c r="BA318"/>
  <c r="BA310"/>
  <c r="BA356" i="3"/>
  <c r="BA356" i="2" s="1"/>
  <c r="BA357"/>
  <c r="BA333"/>
  <c r="BA324" i="3"/>
  <c r="BA324" i="2" s="1"/>
  <c r="BA325"/>
  <c r="BA323"/>
  <c r="BA315"/>
  <c r="BA388" i="3"/>
  <c r="BA388" i="2" s="1"/>
  <c r="BA389"/>
  <c r="BA360"/>
  <c r="BA348"/>
  <c r="BA335"/>
  <c r="BA327"/>
  <c r="BA352"/>
  <c r="BA343"/>
  <c r="BA332"/>
  <c r="BA311"/>
  <c r="BA306"/>
  <c r="BA302"/>
  <c r="BA294"/>
  <c r="BA284"/>
  <c r="BA274"/>
  <c r="BA266"/>
  <c r="BA349"/>
  <c r="BA345"/>
  <c r="BA340" i="3"/>
  <c r="BA340" i="2" s="1"/>
  <c r="BA341"/>
  <c r="BA299"/>
  <c r="BA289"/>
  <c r="BA281"/>
  <c r="BA271"/>
  <c r="BA263"/>
  <c r="BA395"/>
  <c r="BA384"/>
  <c r="BA347"/>
  <c r="BA331"/>
  <c r="BA314"/>
  <c r="BA308" i="3"/>
  <c r="BA308" i="2" s="1"/>
  <c r="BA309"/>
  <c r="BA304"/>
  <c r="BA296"/>
  <c r="BA286"/>
  <c r="BA278"/>
  <c r="BA268"/>
  <c r="BA400"/>
  <c r="BA338"/>
  <c r="BA336"/>
  <c r="BA329"/>
  <c r="BA321"/>
  <c r="BA312"/>
  <c r="BA307"/>
  <c r="BA303"/>
  <c r="BA295"/>
  <c r="BA285"/>
  <c r="BA276" i="3"/>
  <c r="BA276" i="2" s="1"/>
  <c r="BA277"/>
  <c r="BA275"/>
  <c r="BA267"/>
  <c r="BA253"/>
  <c r="BA244" i="3"/>
  <c r="BA244" i="2" s="1"/>
  <c r="BA245"/>
  <c r="BA243"/>
  <c r="BA235"/>
  <c r="BA225"/>
  <c r="BA255"/>
  <c r="BA247"/>
  <c r="BA237"/>
  <c r="BA228" i="3"/>
  <c r="BA228" i="2" s="1"/>
  <c r="BA229"/>
  <c r="BA227"/>
  <c r="BA330"/>
  <c r="BA305"/>
  <c r="BA297"/>
  <c r="BA290"/>
  <c r="BA282"/>
  <c r="BA269"/>
  <c r="BA252"/>
  <c r="BA242"/>
  <c r="BA234"/>
  <c r="BA224"/>
  <c r="BA301"/>
  <c r="BA292" i="3"/>
  <c r="BA292" i="2" s="1"/>
  <c r="BA293"/>
  <c r="BA288"/>
  <c r="BA280"/>
  <c r="BA273"/>
  <c r="BA265"/>
  <c r="BA260" i="3"/>
  <c r="BA260" i="2" s="1"/>
  <c r="BA261"/>
  <c r="BA254"/>
  <c r="BA246"/>
  <c r="BA236"/>
  <c r="BA319"/>
  <c r="BA257"/>
  <c r="BA249"/>
  <c r="BA241"/>
  <c r="BA233"/>
  <c r="BA223"/>
  <c r="BA221"/>
  <c r="BA212" i="3"/>
  <c r="BA212" i="2" s="1"/>
  <c r="BA213"/>
  <c r="BA211"/>
  <c r="BA203"/>
  <c r="BA193"/>
  <c r="BA320"/>
  <c r="BA218"/>
  <c r="BA208"/>
  <c r="BA200"/>
  <c r="BA322"/>
  <c r="BA313"/>
  <c r="BA300"/>
  <c r="BA298"/>
  <c r="BA256"/>
  <c r="BA248"/>
  <c r="BA240"/>
  <c r="BA232"/>
  <c r="BA215"/>
  <c r="BA205"/>
  <c r="BA196" i="3"/>
  <c r="BA196" i="2" s="1"/>
  <c r="BA197"/>
  <c r="BA195"/>
  <c r="BA291"/>
  <c r="BA239"/>
  <c r="BA231"/>
  <c r="BA220"/>
  <c r="BA210"/>
  <c r="BA202"/>
  <c r="BA192"/>
  <c r="BA337"/>
  <c r="BA262"/>
  <c r="BA209"/>
  <c r="BA201"/>
  <c r="BA185"/>
  <c r="BA175"/>
  <c r="BA167"/>
  <c r="BA157"/>
  <c r="BA283"/>
  <c r="BA270"/>
  <c r="BA216"/>
  <c r="BA207"/>
  <c r="BA199"/>
  <c r="BA188"/>
  <c r="BA182"/>
  <c r="BA172"/>
  <c r="BA162"/>
  <c r="BA154"/>
  <c r="BA317"/>
  <c r="BA272"/>
  <c r="BA191"/>
  <c r="BA187"/>
  <c r="BA184"/>
  <c r="BA174"/>
  <c r="BA166"/>
  <c r="BA156"/>
  <c r="BA287"/>
  <c r="BA238"/>
  <c r="BA230"/>
  <c r="BA226"/>
  <c r="BA219"/>
  <c r="BA204"/>
  <c r="BA186"/>
  <c r="BA176"/>
  <c r="BA168"/>
  <c r="BA158"/>
  <c r="BA251"/>
  <c r="BA250"/>
  <c r="BA206"/>
  <c r="BA198"/>
  <c r="BA190"/>
  <c r="BA189"/>
  <c r="BA183"/>
  <c r="BA145"/>
  <c r="BA137"/>
  <c r="BA127"/>
  <c r="BA119"/>
  <c r="BA109"/>
  <c r="BA100" i="3"/>
  <c r="BA100" i="2" s="1"/>
  <c r="BA101"/>
  <c r="BA99"/>
  <c r="BA91"/>
  <c r="BA81"/>
  <c r="BA73"/>
  <c r="BA63"/>
  <c r="BA55"/>
  <c r="BA45"/>
  <c r="BA194"/>
  <c r="BA180" i="3"/>
  <c r="BA180" i="2" s="1"/>
  <c r="BA181"/>
  <c r="BA177"/>
  <c r="BA169"/>
  <c r="BA152"/>
  <c r="BA148" i="3"/>
  <c r="BA148" i="2" s="1"/>
  <c r="BA149"/>
  <c r="BA147"/>
  <c r="BA139"/>
  <c r="BA129"/>
  <c r="BA121"/>
  <c r="BA111"/>
  <c r="BA103"/>
  <c r="BA93"/>
  <c r="BA84" i="3"/>
  <c r="BA84" i="2" s="1"/>
  <c r="BA85"/>
  <c r="BA83"/>
  <c r="BA75"/>
  <c r="BA65"/>
  <c r="BA57"/>
  <c r="BA47"/>
  <c r="BA259"/>
  <c r="BA258"/>
  <c r="BA161"/>
  <c r="BA153"/>
  <c r="BA151"/>
  <c r="BA144"/>
  <c r="BA136"/>
  <c r="BA126"/>
  <c r="BA118"/>
  <c r="BA108"/>
  <c r="BA98"/>
  <c r="BA90"/>
  <c r="BA80"/>
  <c r="BA72"/>
  <c r="BA62"/>
  <c r="BA54"/>
  <c r="BA44"/>
  <c r="BA173"/>
  <c r="BA164" i="3"/>
  <c r="BA164" i="2" s="1"/>
  <c r="BA165"/>
  <c r="BA160"/>
  <c r="BA150"/>
  <c r="BA146"/>
  <c r="BA138"/>
  <c r="BA128"/>
  <c r="BA120"/>
  <c r="BA110"/>
  <c r="BA102"/>
  <c r="BA92"/>
  <c r="BA82"/>
  <c r="BA74"/>
  <c r="BA64"/>
  <c r="BA56"/>
  <c r="BA46"/>
  <c r="BA264"/>
  <c r="BA170"/>
  <c r="BA159"/>
  <c r="BA155"/>
  <c r="BA32"/>
  <c r="BA24"/>
  <c r="BA14"/>
  <c r="BA6"/>
  <c r="BA279"/>
  <c r="BA163"/>
  <c r="BA142"/>
  <c r="BA134"/>
  <c r="BA130"/>
  <c r="BA122"/>
  <c r="BA115"/>
  <c r="BA107"/>
  <c r="BA94"/>
  <c r="BA86"/>
  <c r="BA78"/>
  <c r="BA70"/>
  <c r="BA66"/>
  <c r="BA58"/>
  <c r="BA51"/>
  <c r="BA43"/>
  <c r="BA39"/>
  <c r="BA29"/>
  <c r="BA20" i="3"/>
  <c r="BA20" i="2" s="1"/>
  <c r="BA21"/>
  <c r="BA19"/>
  <c r="BA11"/>
  <c r="BA141"/>
  <c r="BA132" i="3"/>
  <c r="BA132" i="2" s="1"/>
  <c r="BA133"/>
  <c r="BA77"/>
  <c r="BA68" i="3"/>
  <c r="BA68" i="2" s="1"/>
  <c r="BA69"/>
  <c r="BA41"/>
  <c r="BA34"/>
  <c r="BA26"/>
  <c r="BA16"/>
  <c r="BA8"/>
  <c r="BA222"/>
  <c r="BA214"/>
  <c r="BA114"/>
  <c r="BA106"/>
  <c r="BA50"/>
  <c r="BA42"/>
  <c r="BA31"/>
  <c r="BA23"/>
  <c r="BA13"/>
  <c r="BA4" i="3"/>
  <c r="BA4" i="2" s="1"/>
  <c r="BA5"/>
  <c r="BA140"/>
  <c r="BA116" i="3"/>
  <c r="BA116" i="2" s="1"/>
  <c r="BA117"/>
  <c r="BA76"/>
  <c r="BA52" i="3"/>
  <c r="BA52" i="2" s="1"/>
  <c r="BA53"/>
  <c r="BA30"/>
  <c r="BA22"/>
  <c r="BA15"/>
  <c r="BA7"/>
  <c r="BA143"/>
  <c r="BA125"/>
  <c r="BA79"/>
  <c r="BA61"/>
  <c r="BA28"/>
  <c r="BA113"/>
  <c r="BA105"/>
  <c r="BA49"/>
  <c r="BA217"/>
  <c r="BA135"/>
  <c r="BA124"/>
  <c r="BA89"/>
  <c r="BA71"/>
  <c r="BA60"/>
  <c r="BA40"/>
  <c r="BA12"/>
  <c r="BA10"/>
  <c r="BA112"/>
  <c r="BA88"/>
  <c r="BA87"/>
  <c r="BA33"/>
  <c r="BA27"/>
  <c r="BA48"/>
  <c r="BA25"/>
  <c r="BA9"/>
  <c r="BA179"/>
  <c r="BA123"/>
  <c r="BA38"/>
  <c r="BA36" i="3"/>
  <c r="BA36" i="2" s="1"/>
  <c r="BA37"/>
  <c r="BA131"/>
  <c r="BA67"/>
  <c r="BA18"/>
  <c r="BA96"/>
  <c r="BA178"/>
  <c r="BA171"/>
  <c r="BA97"/>
  <c r="BA59"/>
  <c r="BA95"/>
  <c r="BA17"/>
  <c r="BA104"/>
  <c r="BA35"/>
  <c r="F129"/>
  <c r="F307"/>
  <c r="F58"/>
  <c r="F258"/>
  <c r="F371"/>
  <c r="F305"/>
  <c r="F64"/>
  <c r="F196" i="3"/>
  <c r="F196" i="2" s="1"/>
  <c r="F197"/>
  <c r="F49"/>
  <c r="F60"/>
  <c r="F158"/>
  <c r="F134"/>
  <c r="F180" i="3"/>
  <c r="F180" i="2" s="1"/>
  <c r="F181"/>
  <c r="F290"/>
  <c r="F100" i="3"/>
  <c r="F100" i="2" s="1"/>
  <c r="F101"/>
  <c r="F51"/>
  <c r="F150"/>
  <c r="F399"/>
  <c r="F152"/>
  <c r="F386"/>
  <c r="F274"/>
  <c r="F111"/>
  <c r="F400"/>
  <c r="F345"/>
  <c r="F314"/>
  <c r="F25"/>
  <c r="F302"/>
  <c r="F88"/>
  <c r="F201"/>
  <c r="F379"/>
  <c r="F155"/>
  <c r="F367"/>
  <c r="F45"/>
  <c r="F12"/>
  <c r="F221"/>
  <c r="F210"/>
  <c r="F8"/>
  <c r="F251"/>
  <c r="F193"/>
  <c r="F344"/>
  <c r="F212" i="3"/>
  <c r="F212" i="2" s="1"/>
  <c r="F213"/>
  <c r="F7"/>
  <c r="F9"/>
  <c r="F301"/>
  <c r="F209"/>
  <c r="F170"/>
  <c r="F402"/>
  <c r="F285"/>
  <c r="F178"/>
  <c r="F172"/>
  <c r="F242"/>
  <c r="F97"/>
  <c r="F264"/>
  <c r="F185"/>
  <c r="F339"/>
  <c r="F324" i="3"/>
  <c r="F324" i="2" s="1"/>
  <c r="F325"/>
  <c r="F320"/>
  <c r="F199"/>
  <c r="F340" i="3"/>
  <c r="F340" i="2" s="1"/>
  <c r="F341"/>
  <c r="F59"/>
  <c r="F98"/>
  <c r="F326"/>
  <c r="F153"/>
  <c r="F217"/>
  <c r="F110"/>
  <c r="F138"/>
  <c r="F208"/>
  <c r="F342"/>
  <c r="F195"/>
  <c r="F294"/>
  <c r="F358"/>
  <c r="F151"/>
  <c r="F252"/>
  <c r="F159"/>
  <c r="F346"/>
  <c r="F334"/>
  <c r="F55"/>
  <c r="F230"/>
  <c r="F257"/>
  <c r="F41"/>
  <c r="F77"/>
  <c r="F148" i="3"/>
  <c r="F148" i="2" s="1"/>
  <c r="F149"/>
  <c r="F354"/>
  <c r="F176"/>
  <c r="F214"/>
  <c r="F95"/>
  <c r="F292" i="3"/>
  <c r="F292" i="2" s="1"/>
  <c r="F293"/>
  <c r="F50"/>
  <c r="F260" i="3"/>
  <c r="F260" i="2" s="1"/>
  <c r="F261"/>
  <c r="F188"/>
  <c r="F184"/>
  <c r="F130"/>
  <c r="F131"/>
  <c r="F57"/>
  <c r="F168"/>
  <c r="F317"/>
  <c r="F173"/>
  <c r="F70"/>
  <c r="F343"/>
  <c r="F378"/>
  <c r="F337"/>
  <c r="F191"/>
  <c r="F289"/>
  <c r="F403"/>
  <c r="F28"/>
  <c r="F278"/>
  <c r="F32"/>
  <c r="F19"/>
  <c r="F127"/>
  <c r="F121"/>
  <c r="F113"/>
  <c r="F359"/>
  <c r="F218"/>
  <c r="F13"/>
  <c r="F395"/>
  <c r="F370"/>
  <c r="F288"/>
  <c r="F227"/>
  <c r="F109"/>
  <c r="F92"/>
  <c r="F281"/>
  <c r="F335"/>
  <c r="F39"/>
  <c r="F239"/>
  <c r="F236"/>
  <c r="F190"/>
  <c r="F303"/>
  <c r="F135"/>
  <c r="F383"/>
  <c r="F128"/>
  <c r="F362"/>
  <c r="F26"/>
  <c r="F90"/>
  <c r="F219"/>
  <c r="F112"/>
  <c r="F222"/>
  <c r="F15"/>
  <c r="F375"/>
  <c r="F81"/>
  <c r="F315"/>
  <c r="F23"/>
  <c r="F348"/>
  <c r="F240"/>
  <c r="F79"/>
  <c r="F350"/>
  <c r="F311"/>
  <c r="F142"/>
  <c r="F368"/>
  <c r="F234"/>
  <c r="F34"/>
  <c r="F132" i="3"/>
  <c r="F132" i="2" s="1"/>
  <c r="F133"/>
  <c r="F355"/>
  <c r="F87"/>
  <c r="F299"/>
  <c r="F254"/>
  <c r="F352"/>
  <c r="F187"/>
  <c r="F44"/>
  <c r="F351"/>
  <c r="F183"/>
  <c r="F36" i="3"/>
  <c r="F36" i="2" s="1"/>
  <c r="F37"/>
  <c r="F275"/>
  <c r="F144"/>
  <c r="F304"/>
  <c r="F331"/>
  <c r="F267"/>
  <c r="F175"/>
  <c r="F136"/>
  <c r="F91"/>
  <c r="F394"/>
  <c r="F78"/>
  <c r="F282"/>
  <c r="F232"/>
  <c r="F20" i="3"/>
  <c r="F20" i="2" s="1"/>
  <c r="F21"/>
  <c r="F162"/>
  <c r="F216"/>
  <c r="F215"/>
  <c r="F139"/>
  <c r="F296"/>
  <c r="F107"/>
  <c r="F253"/>
  <c r="F268"/>
  <c r="F108"/>
  <c r="F11"/>
  <c r="F347"/>
  <c r="F71"/>
  <c r="F82"/>
  <c r="F385"/>
  <c r="F163"/>
  <c r="F361"/>
  <c r="F94"/>
  <c r="F329"/>
  <c r="F256"/>
  <c r="F66"/>
  <c r="F164" i="3"/>
  <c r="F164" i="2" s="1"/>
  <c r="F165"/>
  <c r="F306"/>
  <c r="F356" i="3"/>
  <c r="F356" i="2" s="1"/>
  <c r="F357"/>
  <c r="F376"/>
  <c r="F18"/>
  <c r="F89"/>
  <c r="F250"/>
  <c r="F401"/>
  <c r="F241"/>
  <c r="F74"/>
  <c r="F393"/>
  <c r="F14"/>
  <c r="F322"/>
  <c r="F244" i="3"/>
  <c r="F244" i="2" s="1"/>
  <c r="F245"/>
  <c r="F263"/>
  <c r="F22"/>
  <c r="F17"/>
  <c r="F62"/>
  <c r="F312"/>
  <c r="F6"/>
  <c r="F125"/>
  <c r="F161"/>
  <c r="F189"/>
  <c r="F182"/>
  <c r="F10"/>
  <c r="F24"/>
  <c r="F372" i="3"/>
  <c r="F372" i="2" s="1"/>
  <c r="F373"/>
  <c r="F140"/>
  <c r="F205"/>
  <c r="F224"/>
  <c r="F291"/>
  <c r="F192"/>
  <c r="F120"/>
  <c r="F115"/>
  <c r="F96"/>
  <c r="F238"/>
  <c r="F198"/>
  <c r="F327"/>
  <c r="F202"/>
  <c r="F237"/>
  <c r="F40"/>
  <c r="F99"/>
  <c r="F116" i="3"/>
  <c r="F116" i="2" s="1"/>
  <c r="F117"/>
  <c r="F308" i="3"/>
  <c r="F308" i="2" s="1"/>
  <c r="F309"/>
  <c r="F106"/>
  <c r="F137"/>
  <c r="F269"/>
  <c r="F123"/>
  <c r="F255"/>
  <c r="F319"/>
  <c r="F72"/>
  <c r="F43"/>
  <c r="F204"/>
  <c r="F177"/>
  <c r="F171"/>
  <c r="F271"/>
  <c r="F122"/>
  <c r="F235"/>
  <c r="F366"/>
  <c r="F280"/>
  <c r="F16"/>
  <c r="F328"/>
  <c r="F364"/>
  <c r="F46"/>
  <c r="F169"/>
  <c r="F56"/>
  <c r="F154"/>
  <c r="F353"/>
  <c r="F228" i="3"/>
  <c r="F228" i="2" s="1"/>
  <c r="F229"/>
  <c r="F38"/>
  <c r="F247"/>
  <c r="F338"/>
  <c r="F211"/>
  <c r="F206"/>
  <c r="F67"/>
  <c r="F316"/>
  <c r="F276" i="3"/>
  <c r="F276" i="2" s="1"/>
  <c r="F277"/>
  <c r="F27"/>
  <c r="F300"/>
  <c r="F166"/>
  <c r="F160"/>
  <c r="F382"/>
  <c r="F321"/>
  <c r="F30"/>
  <c r="F231"/>
  <c r="F287"/>
  <c r="F284"/>
  <c r="F119"/>
  <c r="F220"/>
  <c r="F283"/>
  <c r="F80"/>
  <c r="F186"/>
  <c r="F207"/>
  <c r="F76"/>
  <c r="F384"/>
  <c r="F194"/>
  <c r="F233"/>
  <c r="F141"/>
  <c r="F102"/>
  <c r="F391"/>
  <c r="F279"/>
  <c r="F103"/>
  <c r="F336"/>
  <c r="F68" i="3"/>
  <c r="F68" i="2" s="1"/>
  <c r="F69"/>
  <c r="F167"/>
  <c r="F332"/>
  <c r="F397"/>
  <c r="F360"/>
  <c r="F225"/>
  <c r="F31"/>
  <c r="F246"/>
  <c r="F86"/>
  <c r="F330"/>
  <c r="F75"/>
  <c r="F33"/>
  <c r="F83"/>
  <c r="F262"/>
  <c r="F381"/>
  <c r="F84" i="3"/>
  <c r="F84" i="2" s="1"/>
  <c r="F85"/>
  <c r="F390"/>
  <c r="F48"/>
  <c r="F396"/>
  <c r="F61"/>
  <c r="F297"/>
  <c r="F298"/>
  <c r="F157"/>
  <c r="F318"/>
  <c r="F42"/>
  <c r="F310"/>
  <c r="F313"/>
  <c r="F248"/>
  <c r="F270"/>
  <c r="F54"/>
  <c r="F143"/>
  <c r="F147"/>
  <c r="F146"/>
  <c r="F380"/>
  <c r="F63"/>
  <c r="F200"/>
  <c r="F363"/>
  <c r="F387"/>
  <c r="F104"/>
  <c r="F174"/>
  <c r="F273"/>
  <c r="F93"/>
  <c r="F259"/>
  <c r="F323"/>
  <c r="F203"/>
  <c r="F65"/>
  <c r="F29"/>
  <c r="F272"/>
  <c r="F266"/>
  <c r="F377"/>
  <c r="F333"/>
  <c r="F295"/>
  <c r="F114"/>
  <c r="F286"/>
  <c r="F47"/>
  <c r="F179"/>
  <c r="F73"/>
  <c r="F388" i="3"/>
  <c r="F388" i="2" s="1"/>
  <c r="F389"/>
  <c r="F52" i="3"/>
  <c r="F52" i="2" s="1"/>
  <c r="F53"/>
  <c r="F126"/>
  <c r="F398"/>
  <c r="F365"/>
  <c r="F349"/>
  <c r="F369"/>
  <c r="F392"/>
  <c r="F265"/>
  <c r="F226"/>
  <c r="F249"/>
  <c r="F105"/>
  <c r="F35"/>
  <c r="F145"/>
  <c r="F4" i="3"/>
  <c r="F4" i="2" s="1"/>
  <c r="F5"/>
  <c r="F156"/>
  <c r="F223"/>
  <c r="F124"/>
  <c r="F374"/>
  <c r="F118"/>
  <c r="F243"/>
  <c r="AU397"/>
  <c r="AU388" i="3"/>
  <c r="AU388" i="2" s="1"/>
  <c r="AU389"/>
  <c r="AU387"/>
  <c r="AU379"/>
  <c r="AU402"/>
  <c r="AU394"/>
  <c r="AU382"/>
  <c r="AU374"/>
  <c r="AU368"/>
  <c r="AU399"/>
  <c r="AU391"/>
  <c r="AU385"/>
  <c r="AU377"/>
  <c r="AU401"/>
  <c r="AU390"/>
  <c r="AU370"/>
  <c r="AU395"/>
  <c r="AU375"/>
  <c r="AU372" i="3"/>
  <c r="AU372" i="2" s="1"/>
  <c r="AU373"/>
  <c r="AU362"/>
  <c r="AU400"/>
  <c r="AU369"/>
  <c r="AU359"/>
  <c r="AU386"/>
  <c r="AU384"/>
  <c r="AU364"/>
  <c r="AU354"/>
  <c r="AU381"/>
  <c r="AU350"/>
  <c r="AU342"/>
  <c r="AU403"/>
  <c r="AU392"/>
  <c r="AU383"/>
  <c r="AU371"/>
  <c r="AU361"/>
  <c r="AU344"/>
  <c r="AU366"/>
  <c r="AU349"/>
  <c r="AU393"/>
  <c r="AU365"/>
  <c r="AU351"/>
  <c r="AU338"/>
  <c r="AU332"/>
  <c r="AU322"/>
  <c r="AU314"/>
  <c r="AU356" i="3"/>
  <c r="AU356" i="2" s="1"/>
  <c r="AU357"/>
  <c r="AU348"/>
  <c r="AU337"/>
  <c r="AU336"/>
  <c r="AU334"/>
  <c r="AU326"/>
  <c r="AU316"/>
  <c r="AU306"/>
  <c r="AU398"/>
  <c r="AU360"/>
  <c r="AU345"/>
  <c r="AU343"/>
  <c r="AU331"/>
  <c r="AU321"/>
  <c r="AU313"/>
  <c r="AU367"/>
  <c r="AU358"/>
  <c r="AU355"/>
  <c r="AU353"/>
  <c r="AU352"/>
  <c r="AU346"/>
  <c r="AU339"/>
  <c r="AU333"/>
  <c r="AU324" i="3"/>
  <c r="AU324" i="2" s="1"/>
  <c r="AU325"/>
  <c r="AU323"/>
  <c r="AU396"/>
  <c r="AU347"/>
  <c r="AU330"/>
  <c r="AU319"/>
  <c r="AU300"/>
  <c r="AU290"/>
  <c r="AU282"/>
  <c r="AU272"/>
  <c r="AU264"/>
  <c r="AU318"/>
  <c r="AU307"/>
  <c r="AU305"/>
  <c r="AU297"/>
  <c r="AU287"/>
  <c r="AU279"/>
  <c r="AU269"/>
  <c r="AU260" i="3"/>
  <c r="AU260" i="2" s="1"/>
  <c r="AU261"/>
  <c r="AU329"/>
  <c r="AU312"/>
  <c r="AU302"/>
  <c r="AU294"/>
  <c r="AU284"/>
  <c r="AU274"/>
  <c r="AU266"/>
  <c r="AU315"/>
  <c r="AU310"/>
  <c r="AU301"/>
  <c r="AU292" i="3"/>
  <c r="AU292" i="2" s="1"/>
  <c r="AU293"/>
  <c r="AU291"/>
  <c r="AU283"/>
  <c r="AU273"/>
  <c r="AU265"/>
  <c r="AU308" i="3"/>
  <c r="AU308" i="2" s="1"/>
  <c r="AU309"/>
  <c r="AU259"/>
  <c r="AU251"/>
  <c r="AU241"/>
  <c r="AU233"/>
  <c r="AU223"/>
  <c r="AU335"/>
  <c r="AU328"/>
  <c r="AU303"/>
  <c r="AU295"/>
  <c r="AU288"/>
  <c r="AU280"/>
  <c r="AU275"/>
  <c r="AU267"/>
  <c r="AU253"/>
  <c r="AU244" i="3"/>
  <c r="AU244" i="2" s="1"/>
  <c r="AU245"/>
  <c r="AU243"/>
  <c r="AU235"/>
  <c r="AU225"/>
  <c r="AU380"/>
  <c r="AU327"/>
  <c r="AU258"/>
  <c r="AU250"/>
  <c r="AU240"/>
  <c r="AU232"/>
  <c r="AU320"/>
  <c r="AU317"/>
  <c r="AU299"/>
  <c r="AU286"/>
  <c r="AU278"/>
  <c r="AU271"/>
  <c r="AU263"/>
  <c r="AU252"/>
  <c r="AU242"/>
  <c r="AU234"/>
  <c r="AU298"/>
  <c r="AU255"/>
  <c r="AU247"/>
  <c r="AU239"/>
  <c r="AU231"/>
  <c r="AU227"/>
  <c r="AU219"/>
  <c r="AU209"/>
  <c r="AU201"/>
  <c r="AU191"/>
  <c r="AU296"/>
  <c r="AU254"/>
  <c r="AU246"/>
  <c r="AU216"/>
  <c r="AU206"/>
  <c r="AU198"/>
  <c r="AU378"/>
  <c r="AU376"/>
  <c r="AU304"/>
  <c r="AU289"/>
  <c r="AU238"/>
  <c r="AU226"/>
  <c r="AU221"/>
  <c r="AU212" i="3"/>
  <c r="AU212" i="2" s="1"/>
  <c r="AU213"/>
  <c r="AU211"/>
  <c r="AU203"/>
  <c r="AU193"/>
  <c r="AU363"/>
  <c r="AU285"/>
  <c r="AU281"/>
  <c r="AU237"/>
  <c r="AU230"/>
  <c r="AU218"/>
  <c r="AU208"/>
  <c r="AU200"/>
  <c r="AU190"/>
  <c r="AU311"/>
  <c r="AU222"/>
  <c r="AU214"/>
  <c r="AU183"/>
  <c r="AU173"/>
  <c r="AU164" i="3"/>
  <c r="AU164" i="2" s="1"/>
  <c r="AU165"/>
  <c r="AU163"/>
  <c r="AU155"/>
  <c r="AU220"/>
  <c r="AU205"/>
  <c r="AU196" i="3"/>
  <c r="AU196" i="2" s="1"/>
  <c r="AU197"/>
  <c r="AU178"/>
  <c r="AU170"/>
  <c r="AU160"/>
  <c r="AU152"/>
  <c r="AU276" i="3"/>
  <c r="AU276" i="2" s="1"/>
  <c r="AU277"/>
  <c r="AU224"/>
  <c r="AU204"/>
  <c r="AU182"/>
  <c r="AU172"/>
  <c r="AU162"/>
  <c r="AU154"/>
  <c r="AU256"/>
  <c r="AU248"/>
  <c r="AU228" i="3"/>
  <c r="AU228" i="2" s="1"/>
  <c r="AU229"/>
  <c r="AU184"/>
  <c r="AU174"/>
  <c r="AU166"/>
  <c r="AU156"/>
  <c r="AU195"/>
  <c r="AU194"/>
  <c r="AU161"/>
  <c r="AU153"/>
  <c r="AU143"/>
  <c r="AU135"/>
  <c r="AU125"/>
  <c r="AU116" i="3"/>
  <c r="AU116" i="2" s="1"/>
  <c r="AU117"/>
  <c r="AU115"/>
  <c r="AU107"/>
  <c r="AU97"/>
  <c r="AU89"/>
  <c r="AU79"/>
  <c r="AU71"/>
  <c r="AU61"/>
  <c r="AU52" i="3"/>
  <c r="AU52" i="2" s="1"/>
  <c r="AU53"/>
  <c r="AU51"/>
  <c r="AU43"/>
  <c r="AU270"/>
  <c r="AU257"/>
  <c r="AU150"/>
  <c r="AU145"/>
  <c r="AU137"/>
  <c r="AU127"/>
  <c r="AU119"/>
  <c r="AU109"/>
  <c r="AU100" i="3"/>
  <c r="AU100" i="2" s="1"/>
  <c r="AU101"/>
  <c r="AU99"/>
  <c r="AU91"/>
  <c r="AU81"/>
  <c r="AU73"/>
  <c r="AU63"/>
  <c r="AU55"/>
  <c r="AU45"/>
  <c r="AU236"/>
  <c r="AU159"/>
  <c r="AU142"/>
  <c r="AU134"/>
  <c r="AU124"/>
  <c r="AU114"/>
  <c r="AU106"/>
  <c r="AU96"/>
  <c r="AU88"/>
  <c r="AU78"/>
  <c r="AU70"/>
  <c r="AU60"/>
  <c r="AU50"/>
  <c r="AU42"/>
  <c r="AU217"/>
  <c r="AU215"/>
  <c r="AU158"/>
  <c r="AU157"/>
  <c r="AU144"/>
  <c r="AU136"/>
  <c r="AU126"/>
  <c r="AU118"/>
  <c r="AU108"/>
  <c r="AU98"/>
  <c r="AU90"/>
  <c r="AU80"/>
  <c r="AU72"/>
  <c r="AU62"/>
  <c r="AU54"/>
  <c r="AU44"/>
  <c r="AU187"/>
  <c r="AU128"/>
  <c r="AU120"/>
  <c r="AU92"/>
  <c r="AU64"/>
  <c r="AU56"/>
  <c r="AU40"/>
  <c r="AU30"/>
  <c r="AU22"/>
  <c r="AU12"/>
  <c r="AU262"/>
  <c r="AU207"/>
  <c r="AU192"/>
  <c r="AU186"/>
  <c r="AU185"/>
  <c r="AU140"/>
  <c r="AU113"/>
  <c r="AU105"/>
  <c r="AU76"/>
  <c r="AU49"/>
  <c r="AU36" i="3"/>
  <c r="AU36" i="2" s="1"/>
  <c r="AU37"/>
  <c r="AU35"/>
  <c r="AU27"/>
  <c r="AU17"/>
  <c r="AU210"/>
  <c r="AU180" i="3"/>
  <c r="AU180" i="2" s="1"/>
  <c r="AU181"/>
  <c r="AU151"/>
  <c r="AU147"/>
  <c r="AU139"/>
  <c r="AU83"/>
  <c r="AU75"/>
  <c r="AU32"/>
  <c r="AU24"/>
  <c r="AU14"/>
  <c r="AU6"/>
  <c r="AU146"/>
  <c r="AU138"/>
  <c r="AU112"/>
  <c r="AU104"/>
  <c r="AU82"/>
  <c r="AU74"/>
  <c r="AU48"/>
  <c r="AU39"/>
  <c r="AU29"/>
  <c r="AU20" i="3"/>
  <c r="AU20" i="2" s="1"/>
  <c r="AU21"/>
  <c r="AU19"/>
  <c r="AU11"/>
  <c r="AU141"/>
  <c r="AU77"/>
  <c r="AU10"/>
  <c r="AU176"/>
  <c r="AU123"/>
  <c r="AU59"/>
  <c r="AU34"/>
  <c r="AU26"/>
  <c r="AU340" i="3"/>
  <c r="AU340" i="2" s="1"/>
  <c r="AU341"/>
  <c r="AU249"/>
  <c r="AU179"/>
  <c r="AU177"/>
  <c r="AU167"/>
  <c r="AU132" i="3"/>
  <c r="AU132" i="2" s="1"/>
  <c r="AU133"/>
  <c r="AU131"/>
  <c r="AU111"/>
  <c r="AU103"/>
  <c r="AU68" i="3"/>
  <c r="AU68" i="2" s="1"/>
  <c r="AU69"/>
  <c r="AU67"/>
  <c r="AU47"/>
  <c r="AU38"/>
  <c r="AU18"/>
  <c r="AU9"/>
  <c r="AU171"/>
  <c r="AU122"/>
  <c r="AU121"/>
  <c r="AU110"/>
  <c r="AU102"/>
  <c r="AU87"/>
  <c r="AU58"/>
  <c r="AU57"/>
  <c r="AU46"/>
  <c r="AU33"/>
  <c r="AU25"/>
  <c r="AU8"/>
  <c r="AU268"/>
  <c r="AU202"/>
  <c r="AU28"/>
  <c r="AU23"/>
  <c r="AU4" i="3"/>
  <c r="AU4" i="2" s="1"/>
  <c r="AU5"/>
  <c r="AU189"/>
  <c r="AU169"/>
  <c r="AU94"/>
  <c r="AU84" i="3"/>
  <c r="AU84" i="2" s="1"/>
  <c r="AU85"/>
  <c r="AU66"/>
  <c r="AU15"/>
  <c r="AU175"/>
  <c r="AU86"/>
  <c r="AU188"/>
  <c r="AU7"/>
  <c r="AU148" i="3"/>
  <c r="AU148" i="2" s="1"/>
  <c r="AU149"/>
  <c r="AU129"/>
  <c r="AU13"/>
  <c r="AU65"/>
  <c r="AU168"/>
  <c r="AU41"/>
  <c r="AU93"/>
  <c r="AU31"/>
  <c r="AU199"/>
  <c r="AU95"/>
  <c r="AU16"/>
  <c r="AU130"/>
  <c r="AH398"/>
  <c r="AH390"/>
  <c r="AH386"/>
  <c r="AH378"/>
  <c r="AH403"/>
  <c r="AH395"/>
  <c r="AH381"/>
  <c r="AH372" i="3"/>
  <c r="AH372" i="2" s="1"/>
  <c r="AH373"/>
  <c r="AH369"/>
  <c r="AH400"/>
  <c r="AH392"/>
  <c r="AH384"/>
  <c r="AH376"/>
  <c r="AH396"/>
  <c r="AH382"/>
  <c r="AH380"/>
  <c r="AH401"/>
  <c r="AH388" i="3"/>
  <c r="AH388" i="2" s="1"/>
  <c r="AH389"/>
  <c r="AH363"/>
  <c r="AH353"/>
  <c r="AH394"/>
  <c r="AH377"/>
  <c r="AH375"/>
  <c r="AH368"/>
  <c r="AH360"/>
  <c r="AH399"/>
  <c r="AH379"/>
  <c r="AH365"/>
  <c r="AH356" i="3"/>
  <c r="AH356" i="2" s="1"/>
  <c r="AH357"/>
  <c r="AH355"/>
  <c r="AH362"/>
  <c r="AH358"/>
  <c r="AH354"/>
  <c r="AH351"/>
  <c r="AH343"/>
  <c r="AH402"/>
  <c r="AH393"/>
  <c r="AH391"/>
  <c r="AH385"/>
  <c r="AH345"/>
  <c r="AH371"/>
  <c r="AH361"/>
  <c r="AH352"/>
  <c r="AH350"/>
  <c r="AH359"/>
  <c r="AH337"/>
  <c r="AH333"/>
  <c r="AH324" i="3"/>
  <c r="AH324" i="2" s="1"/>
  <c r="AH325"/>
  <c r="AH323"/>
  <c r="AH315"/>
  <c r="AH374"/>
  <c r="AH370"/>
  <c r="AH367"/>
  <c r="AH349"/>
  <c r="AH335"/>
  <c r="AH327"/>
  <c r="AH317"/>
  <c r="AH308" i="3"/>
  <c r="AH308" i="2" s="1"/>
  <c r="AH309"/>
  <c r="AH307"/>
  <c r="AH342"/>
  <c r="AH332"/>
  <c r="AH322"/>
  <c r="AH314"/>
  <c r="AH383"/>
  <c r="AH364"/>
  <c r="AH347"/>
  <c r="AH334"/>
  <c r="AH326"/>
  <c r="AH331"/>
  <c r="AH313"/>
  <c r="AH301"/>
  <c r="AH292" i="3"/>
  <c r="AH292" i="2" s="1"/>
  <c r="AH293"/>
  <c r="AH291"/>
  <c r="AH283"/>
  <c r="AH273"/>
  <c r="AH265"/>
  <c r="AH306"/>
  <c r="AH298"/>
  <c r="AH288"/>
  <c r="AH280"/>
  <c r="AH270"/>
  <c r="AH262"/>
  <c r="AH340" i="3"/>
  <c r="AH340" i="2" s="1"/>
  <c r="AH341"/>
  <c r="AH330"/>
  <c r="AH318"/>
  <c r="AH312"/>
  <c r="AH303"/>
  <c r="AH295"/>
  <c r="AH285"/>
  <c r="AH276" i="3"/>
  <c r="AH276" i="2" s="1"/>
  <c r="AH277"/>
  <c r="AH275"/>
  <c r="AH267"/>
  <c r="AH348"/>
  <c r="AH339"/>
  <c r="AH336"/>
  <c r="AH328"/>
  <c r="AH320"/>
  <c r="AH302"/>
  <c r="AH294"/>
  <c r="AH284"/>
  <c r="AH274"/>
  <c r="AH266"/>
  <c r="AH366"/>
  <c r="AH319"/>
  <c r="AH260" i="3"/>
  <c r="AH260" i="2" s="1"/>
  <c r="AH261"/>
  <c r="AH252"/>
  <c r="AH242"/>
  <c r="AH234"/>
  <c r="AH224"/>
  <c r="AH321"/>
  <c r="AH311"/>
  <c r="AH254"/>
  <c r="AH246"/>
  <c r="AH236"/>
  <c r="AH226"/>
  <c r="AH304"/>
  <c r="AH296"/>
  <c r="AH289"/>
  <c r="AH281"/>
  <c r="AH268"/>
  <c r="AH259"/>
  <c r="AH251"/>
  <c r="AH241"/>
  <c r="AH233"/>
  <c r="AH397"/>
  <c r="AH344"/>
  <c r="AH316"/>
  <c r="AH300"/>
  <c r="AH287"/>
  <c r="AH279"/>
  <c r="AH272"/>
  <c r="AH264"/>
  <c r="AH253"/>
  <c r="AH244" i="3"/>
  <c r="AH244" i="2" s="1"/>
  <c r="AH245"/>
  <c r="AH243"/>
  <c r="AH235"/>
  <c r="AH310"/>
  <c r="AH286"/>
  <c r="AH282"/>
  <c r="AH256"/>
  <c r="AH248"/>
  <c r="AH240"/>
  <c r="AH232"/>
  <c r="AH220"/>
  <c r="AH210"/>
  <c r="AH202"/>
  <c r="AH192"/>
  <c r="AH278"/>
  <c r="AH231"/>
  <c r="AH227"/>
  <c r="AH217"/>
  <c r="AH207"/>
  <c r="AH199"/>
  <c r="AH387"/>
  <c r="AH338"/>
  <c r="AH329"/>
  <c r="AH263"/>
  <c r="AH255"/>
  <c r="AH247"/>
  <c r="AH239"/>
  <c r="AH230"/>
  <c r="AH222"/>
  <c r="AH214"/>
  <c r="AH204"/>
  <c r="AH194"/>
  <c r="AH271"/>
  <c r="AH269"/>
  <c r="AH238"/>
  <c r="AH225"/>
  <c r="AH219"/>
  <c r="AH209"/>
  <c r="AH201"/>
  <c r="AH191"/>
  <c r="AH258"/>
  <c r="AH250"/>
  <c r="AH208"/>
  <c r="AH200"/>
  <c r="AH189"/>
  <c r="AH184"/>
  <c r="AH174"/>
  <c r="AH166"/>
  <c r="AH156"/>
  <c r="AH237"/>
  <c r="AH223"/>
  <c r="AH215"/>
  <c r="AH206"/>
  <c r="AH198"/>
  <c r="AH180" i="3"/>
  <c r="AH180" i="2" s="1"/>
  <c r="AH181"/>
  <c r="AH179"/>
  <c r="AH171"/>
  <c r="AH161"/>
  <c r="AH153"/>
  <c r="AH299"/>
  <c r="AH297"/>
  <c r="AH183"/>
  <c r="AH173"/>
  <c r="AH164" i="3"/>
  <c r="AH164" i="2" s="1"/>
  <c r="AH165"/>
  <c r="AH163"/>
  <c r="AH155"/>
  <c r="AH346"/>
  <c r="AH218"/>
  <c r="AH211"/>
  <c r="AH203"/>
  <c r="AH193"/>
  <c r="AH185"/>
  <c r="AH175"/>
  <c r="AH167"/>
  <c r="AH157"/>
  <c r="AH182"/>
  <c r="AH151"/>
  <c r="AH144"/>
  <c r="AH136"/>
  <c r="AH126"/>
  <c r="AH118"/>
  <c r="AH108"/>
  <c r="AH98"/>
  <c r="AH90"/>
  <c r="AH80"/>
  <c r="AH72"/>
  <c r="AH62"/>
  <c r="AH54"/>
  <c r="AH44"/>
  <c r="AH290"/>
  <c r="AH221"/>
  <c r="AH216"/>
  <c r="AH212" i="3"/>
  <c r="AH212" i="2" s="1"/>
  <c r="AH213"/>
  <c r="AH188"/>
  <c r="AH187"/>
  <c r="AH176"/>
  <c r="AH168"/>
  <c r="AH146"/>
  <c r="AH138"/>
  <c r="AH128"/>
  <c r="AH120"/>
  <c r="AH110"/>
  <c r="AH102"/>
  <c r="AH92"/>
  <c r="AH82"/>
  <c r="AH74"/>
  <c r="AH64"/>
  <c r="AH56"/>
  <c r="AH46"/>
  <c r="AH160"/>
  <c r="AH143"/>
  <c r="AH135"/>
  <c r="AH125"/>
  <c r="AH116" i="3"/>
  <c r="AH116" i="2" s="1"/>
  <c r="AH117"/>
  <c r="AH115"/>
  <c r="AH107"/>
  <c r="AH97"/>
  <c r="AH89"/>
  <c r="AH79"/>
  <c r="AH71"/>
  <c r="AH61"/>
  <c r="AH52" i="3"/>
  <c r="AH52" i="2" s="1"/>
  <c r="AH53"/>
  <c r="AH51"/>
  <c r="AH43"/>
  <c r="AH186"/>
  <c r="AH172"/>
  <c r="AH159"/>
  <c r="AH152"/>
  <c r="AH145"/>
  <c r="AH137"/>
  <c r="AH127"/>
  <c r="AH119"/>
  <c r="AH109"/>
  <c r="AH100" i="3"/>
  <c r="AH100" i="2" s="1"/>
  <c r="AH101"/>
  <c r="AH99"/>
  <c r="AH91"/>
  <c r="AH81"/>
  <c r="AH73"/>
  <c r="AH63"/>
  <c r="AH55"/>
  <c r="AH45"/>
  <c r="AH41"/>
  <c r="AH31"/>
  <c r="AH23"/>
  <c r="AH13"/>
  <c r="AH4" i="3"/>
  <c r="AH4" i="2" s="1"/>
  <c r="AH5"/>
  <c r="AH305"/>
  <c r="AH190"/>
  <c r="AH148" i="3"/>
  <c r="AH148" i="2" s="1"/>
  <c r="AH149"/>
  <c r="AH141"/>
  <c r="AH132" i="3"/>
  <c r="AH132" i="2" s="1"/>
  <c r="AH133"/>
  <c r="AH129"/>
  <c r="AH121"/>
  <c r="AH114"/>
  <c r="AH106"/>
  <c r="AH93"/>
  <c r="AH84" i="3"/>
  <c r="AH84" i="2" s="1"/>
  <c r="AH85"/>
  <c r="AH77"/>
  <c r="AH68" i="3"/>
  <c r="AH68" i="2" s="1"/>
  <c r="AH69"/>
  <c r="AH65"/>
  <c r="AH57"/>
  <c r="AH50"/>
  <c r="AH42"/>
  <c r="AH38"/>
  <c r="AH28"/>
  <c r="AH18"/>
  <c r="AH178"/>
  <c r="AH150"/>
  <c r="AH140"/>
  <c r="AH76"/>
  <c r="AH33"/>
  <c r="AH25"/>
  <c r="AH15"/>
  <c r="AH7"/>
  <c r="AH228" i="3"/>
  <c r="AH228" i="2" s="1"/>
  <c r="AH229"/>
  <c r="AH196" i="3"/>
  <c r="AH196" i="2" s="1"/>
  <c r="AH197"/>
  <c r="AH177"/>
  <c r="AH170"/>
  <c r="AH113"/>
  <c r="AH105"/>
  <c r="AH49"/>
  <c r="AH40"/>
  <c r="AH30"/>
  <c r="AH22"/>
  <c r="AH12"/>
  <c r="AH131"/>
  <c r="AH122"/>
  <c r="AH111"/>
  <c r="AH103"/>
  <c r="AH96"/>
  <c r="AH67"/>
  <c r="AH58"/>
  <c r="AH47"/>
  <c r="AH29"/>
  <c r="AH20" i="3"/>
  <c r="AH20" i="2" s="1"/>
  <c r="AH21"/>
  <c r="AH14"/>
  <c r="AH10"/>
  <c r="AH249"/>
  <c r="AH169"/>
  <c r="AH130"/>
  <c r="AH87"/>
  <c r="AH66"/>
  <c r="AH35"/>
  <c r="AH27"/>
  <c r="AH9"/>
  <c r="AH257"/>
  <c r="AH147"/>
  <c r="AH95"/>
  <c r="AH86"/>
  <c r="AH83"/>
  <c r="AH205"/>
  <c r="AH94"/>
  <c r="AH39"/>
  <c r="AH19"/>
  <c r="AH11"/>
  <c r="AH154"/>
  <c r="AH60"/>
  <c r="AH162"/>
  <c r="AH139"/>
  <c r="AH123"/>
  <c r="AH104"/>
  <c r="AH142"/>
  <c r="AH75"/>
  <c r="AH59"/>
  <c r="AH16"/>
  <c r="AH195"/>
  <c r="AH70"/>
  <c r="AH24"/>
  <c r="AH32"/>
  <c r="AH6"/>
  <c r="AH158"/>
  <c r="AH48"/>
  <c r="AH134"/>
  <c r="AH78"/>
  <c r="AH36" i="3"/>
  <c r="AH36" i="2" s="1"/>
  <c r="AH37"/>
  <c r="AH124"/>
  <c r="AH112"/>
  <c r="AH26"/>
  <c r="AH88"/>
  <c r="AH34"/>
  <c r="AH17"/>
  <c r="AH8"/>
  <c r="BD400"/>
  <c r="BD392"/>
  <c r="BD384"/>
  <c r="BD376"/>
  <c r="BD397"/>
  <c r="BD388" i="3"/>
  <c r="BD388" i="2" s="1"/>
  <c r="BD389"/>
  <c r="BD387"/>
  <c r="BD379"/>
  <c r="BD371"/>
  <c r="BD402"/>
  <c r="BD394"/>
  <c r="BD382"/>
  <c r="BD374"/>
  <c r="BD368"/>
  <c r="BD399"/>
  <c r="BD386"/>
  <c r="BD369"/>
  <c r="BD365"/>
  <c r="BD356" i="3"/>
  <c r="BD356" i="2" s="1"/>
  <c r="BD357"/>
  <c r="BD355"/>
  <c r="BD398"/>
  <c r="BD393"/>
  <c r="BD362"/>
  <c r="BD352"/>
  <c r="BD403"/>
  <c r="BD385"/>
  <c r="BD383"/>
  <c r="BD381"/>
  <c r="BD359"/>
  <c r="BD361"/>
  <c r="BD345"/>
  <c r="BD360"/>
  <c r="BD347"/>
  <c r="BD337"/>
  <c r="BD396"/>
  <c r="BD367"/>
  <c r="BD364"/>
  <c r="BD344"/>
  <c r="BD390"/>
  <c r="BD372" i="3"/>
  <c r="BD372" i="2" s="1"/>
  <c r="BD373"/>
  <c r="BD363"/>
  <c r="BD358"/>
  <c r="BD354"/>
  <c r="BD346"/>
  <c r="BD380"/>
  <c r="BD378"/>
  <c r="BD375"/>
  <c r="BD353"/>
  <c r="BD335"/>
  <c r="BD327"/>
  <c r="BD317"/>
  <c r="BD308" i="3"/>
  <c r="BD308" i="2" s="1"/>
  <c r="BD309"/>
  <c r="BD343"/>
  <c r="BD336"/>
  <c r="BD329"/>
  <c r="BD319"/>
  <c r="BD311"/>
  <c r="BD351"/>
  <c r="BD334"/>
  <c r="BD326"/>
  <c r="BD316"/>
  <c r="BD306"/>
  <c r="BD366"/>
  <c r="BD349"/>
  <c r="BD328"/>
  <c r="BD320"/>
  <c r="BD312"/>
  <c r="BD307"/>
  <c r="BD303"/>
  <c r="BD295"/>
  <c r="BD285"/>
  <c r="BD276" i="3"/>
  <c r="BD276" i="2" s="1"/>
  <c r="BD277"/>
  <c r="BD275"/>
  <c r="BD267"/>
  <c r="BD377"/>
  <c r="BD342"/>
  <c r="BD333"/>
  <c r="BD324" i="3"/>
  <c r="BD324" i="2" s="1"/>
  <c r="BD325"/>
  <c r="BD300"/>
  <c r="BD290"/>
  <c r="BD282"/>
  <c r="BD272"/>
  <c r="BD264"/>
  <c r="BD391"/>
  <c r="BD350"/>
  <c r="BD340" i="3"/>
  <c r="BD340" i="2" s="1"/>
  <c r="BD341"/>
  <c r="BD332"/>
  <c r="BD305"/>
  <c r="BD297"/>
  <c r="BD287"/>
  <c r="BD279"/>
  <c r="BD269"/>
  <c r="BD260" i="3"/>
  <c r="BD260" i="2" s="1"/>
  <c r="BD261"/>
  <c r="BD339"/>
  <c r="BD330"/>
  <c r="BD322"/>
  <c r="BD313"/>
  <c r="BD304"/>
  <c r="BD296"/>
  <c r="BD286"/>
  <c r="BD278"/>
  <c r="BD268"/>
  <c r="BD395"/>
  <c r="BD323"/>
  <c r="BD321"/>
  <c r="BD254"/>
  <c r="BD246"/>
  <c r="BD236"/>
  <c r="BD226"/>
  <c r="BD401"/>
  <c r="BD299"/>
  <c r="BD284"/>
  <c r="BD271"/>
  <c r="BD263"/>
  <c r="BD256"/>
  <c r="BD248"/>
  <c r="BD238"/>
  <c r="BD230"/>
  <c r="BD314"/>
  <c r="BD298"/>
  <c r="BD291"/>
  <c r="BD283"/>
  <c r="BD270"/>
  <c r="BD262"/>
  <c r="BD253"/>
  <c r="BD244" i="3"/>
  <c r="BD244" i="2" s="1"/>
  <c r="BD245"/>
  <c r="BD243"/>
  <c r="BD235"/>
  <c r="BD225"/>
  <c r="BD310"/>
  <c r="BD255"/>
  <c r="BD247"/>
  <c r="BD237"/>
  <c r="BD274"/>
  <c r="BD273"/>
  <c r="BD258"/>
  <c r="BD250"/>
  <c r="BD222"/>
  <c r="BD214"/>
  <c r="BD204"/>
  <c r="BD194"/>
  <c r="BD242"/>
  <c r="BD234"/>
  <c r="BD219"/>
  <c r="BD209"/>
  <c r="BD201"/>
  <c r="BD294"/>
  <c r="BD292" i="3"/>
  <c r="BD292" i="2" s="1"/>
  <c r="BD293"/>
  <c r="BD257"/>
  <c r="BD249"/>
  <c r="BD241"/>
  <c r="BD233"/>
  <c r="BD228" i="3"/>
  <c r="BD228" i="2" s="1"/>
  <c r="BD229"/>
  <c r="BD224"/>
  <c r="BD223"/>
  <c r="BD216"/>
  <c r="BD206"/>
  <c r="BD198"/>
  <c r="BD302"/>
  <c r="BD301"/>
  <c r="BD240"/>
  <c r="BD232"/>
  <c r="BD221"/>
  <c r="BD212" i="3"/>
  <c r="BD212" i="2" s="1"/>
  <c r="BD213"/>
  <c r="BD211"/>
  <c r="BD203"/>
  <c r="BD193"/>
  <c r="BD315"/>
  <c r="BD281"/>
  <c r="BD280"/>
  <c r="BD186"/>
  <c r="BD176"/>
  <c r="BD168"/>
  <c r="BD158"/>
  <c r="BD150"/>
  <c r="BD331"/>
  <c r="BD318"/>
  <c r="BD217"/>
  <c r="BD210"/>
  <c r="BD202"/>
  <c r="BD195"/>
  <c r="BD189"/>
  <c r="BD183"/>
  <c r="BD173"/>
  <c r="BD164" i="3"/>
  <c r="BD164" i="2" s="1"/>
  <c r="BD165"/>
  <c r="BD163"/>
  <c r="BD155"/>
  <c r="BD370"/>
  <c r="BD215"/>
  <c r="BD188"/>
  <c r="BD185"/>
  <c r="BD175"/>
  <c r="BD167"/>
  <c r="BD157"/>
  <c r="BD348"/>
  <c r="BD289"/>
  <c r="BD266"/>
  <c r="BD252"/>
  <c r="BD191"/>
  <c r="BD187"/>
  <c r="BD177"/>
  <c r="BD169"/>
  <c r="BD159"/>
  <c r="BD227"/>
  <c r="BD220"/>
  <c r="BD172"/>
  <c r="BD146"/>
  <c r="BD138"/>
  <c r="BD128"/>
  <c r="BD120"/>
  <c r="BD110"/>
  <c r="BD102"/>
  <c r="BD92"/>
  <c r="BD82"/>
  <c r="BD74"/>
  <c r="BD64"/>
  <c r="BD56"/>
  <c r="BD46"/>
  <c r="BD231"/>
  <c r="BD192"/>
  <c r="BD178"/>
  <c r="BD170"/>
  <c r="BD156"/>
  <c r="BD140"/>
  <c r="BD130"/>
  <c r="BD122"/>
  <c r="BD112"/>
  <c r="BD104"/>
  <c r="BD94"/>
  <c r="BD86"/>
  <c r="BD76"/>
  <c r="BD66"/>
  <c r="BD58"/>
  <c r="BD48"/>
  <c r="BD182"/>
  <c r="BD152"/>
  <c r="BD145"/>
  <c r="BD137"/>
  <c r="BD127"/>
  <c r="BD119"/>
  <c r="BD109"/>
  <c r="BD100" i="3"/>
  <c r="BD100" i="2" s="1"/>
  <c r="BD101"/>
  <c r="BD99"/>
  <c r="BD91"/>
  <c r="BD81"/>
  <c r="BD73"/>
  <c r="BD63"/>
  <c r="BD55"/>
  <c r="BD45"/>
  <c r="BD161"/>
  <c r="BD153"/>
  <c r="BD151"/>
  <c r="BD148" i="3"/>
  <c r="BD148" i="2" s="1"/>
  <c r="BD149"/>
  <c r="BD147"/>
  <c r="BD139"/>
  <c r="BD129"/>
  <c r="BD121"/>
  <c r="BD111"/>
  <c r="BD103"/>
  <c r="BD93"/>
  <c r="BD84" i="3"/>
  <c r="BD84" i="2" s="1"/>
  <c r="BD85"/>
  <c r="BD83"/>
  <c r="BD75"/>
  <c r="BD65"/>
  <c r="BD57"/>
  <c r="BD47"/>
  <c r="BD218"/>
  <c r="BD171"/>
  <c r="BD166"/>
  <c r="BD144"/>
  <c r="BD136"/>
  <c r="BD80"/>
  <c r="BD72"/>
  <c r="BD33"/>
  <c r="BD25"/>
  <c r="BD15"/>
  <c r="BD7"/>
  <c r="BD338"/>
  <c r="BD205"/>
  <c r="BD160"/>
  <c r="BD154"/>
  <c r="BD143"/>
  <c r="BD135"/>
  <c r="BD131"/>
  <c r="BD123"/>
  <c r="BD95"/>
  <c r="BD87"/>
  <c r="BD79"/>
  <c r="BD71"/>
  <c r="BD67"/>
  <c r="BD59"/>
  <c r="BD40"/>
  <c r="BD30"/>
  <c r="BD22"/>
  <c r="BD12"/>
  <c r="BD259"/>
  <c r="BD251"/>
  <c r="BD208"/>
  <c r="BD207"/>
  <c r="BD162"/>
  <c r="BD142"/>
  <c r="BD134"/>
  <c r="BD108"/>
  <c r="BD78"/>
  <c r="BD70"/>
  <c r="BD44"/>
  <c r="BD36" i="3"/>
  <c r="BD36" i="2" s="1"/>
  <c r="BD37"/>
  <c r="BD35"/>
  <c r="BD27"/>
  <c r="BD17"/>
  <c r="BD9"/>
  <c r="BD115"/>
  <c r="BD107"/>
  <c r="BD51"/>
  <c r="BD43"/>
  <c r="BD32"/>
  <c r="BD24"/>
  <c r="BD14"/>
  <c r="BD6"/>
  <c r="BD174"/>
  <c r="BD265"/>
  <c r="BD184"/>
  <c r="BD180" i="3"/>
  <c r="BD180" i="2" s="1"/>
  <c r="BD181"/>
  <c r="BD141"/>
  <c r="BD77"/>
  <c r="BD31"/>
  <c r="BD23"/>
  <c r="BD16"/>
  <c r="BD8"/>
  <c r="BD118"/>
  <c r="BD116" i="3"/>
  <c r="BD116" i="2" s="1"/>
  <c r="BD117"/>
  <c r="BD54"/>
  <c r="BD52" i="3"/>
  <c r="BD52" i="2" s="1"/>
  <c r="BD53"/>
  <c r="BD29"/>
  <c r="BD20" i="3"/>
  <c r="BD20" i="2" s="1"/>
  <c r="BD21"/>
  <c r="BD200"/>
  <c r="BD190"/>
  <c r="BD132" i="3"/>
  <c r="BD132" i="2" s="1"/>
  <c r="BD133"/>
  <c r="BD126"/>
  <c r="BD125"/>
  <c r="BD114"/>
  <c r="BD106"/>
  <c r="BD68" i="3"/>
  <c r="BD68" i="2" s="1"/>
  <c r="BD69"/>
  <c r="BD62"/>
  <c r="BD61"/>
  <c r="BD50"/>
  <c r="BD42"/>
  <c r="BD41"/>
  <c r="BD239"/>
  <c r="BD199"/>
  <c r="BD113"/>
  <c r="BD97"/>
  <c r="BD96"/>
  <c r="BD90"/>
  <c r="BD89"/>
  <c r="BD98"/>
  <c r="BD88"/>
  <c r="BD49"/>
  <c r="BD34"/>
  <c r="BD28"/>
  <c r="BD196" i="3"/>
  <c r="BD196" i="2" s="1"/>
  <c r="BD197"/>
  <c r="BD124"/>
  <c r="BD26"/>
  <c r="BD288"/>
  <c r="BD38"/>
  <c r="BD13"/>
  <c r="BD10"/>
  <c r="BD19"/>
  <c r="BD39"/>
  <c r="BD105"/>
  <c r="BD11"/>
  <c r="BD179"/>
  <c r="BD18"/>
  <c r="BD4" i="3"/>
  <c r="BD4" i="2" s="1"/>
  <c r="BD5"/>
  <c r="BD60"/>
  <c r="AV400"/>
  <c r="AV392"/>
  <c r="AV384"/>
  <c r="AV376"/>
  <c r="AV397"/>
  <c r="AV388" i="3"/>
  <c r="AV388" i="2" s="1"/>
  <c r="AV389"/>
  <c r="AV387"/>
  <c r="AV379"/>
  <c r="AV371"/>
  <c r="AV402"/>
  <c r="AV394"/>
  <c r="AV382"/>
  <c r="AV374"/>
  <c r="AV368"/>
  <c r="AV396"/>
  <c r="AV380"/>
  <c r="AV378"/>
  <c r="AV401"/>
  <c r="AV390"/>
  <c r="AV370"/>
  <c r="AV365"/>
  <c r="AV356" i="3"/>
  <c r="AV356" i="2" s="1"/>
  <c r="AV357"/>
  <c r="AV355"/>
  <c r="AV395"/>
  <c r="AV377"/>
  <c r="AV375"/>
  <c r="AV372" i="3"/>
  <c r="AV372" i="2" s="1"/>
  <c r="AV373"/>
  <c r="AV362"/>
  <c r="AV352"/>
  <c r="AV399"/>
  <c r="AV369"/>
  <c r="AV359"/>
  <c r="AV398"/>
  <c r="AV367"/>
  <c r="AV363"/>
  <c r="AV358"/>
  <c r="AV354"/>
  <c r="AV353"/>
  <c r="AV345"/>
  <c r="AV347"/>
  <c r="AV337"/>
  <c r="AV403"/>
  <c r="AV383"/>
  <c r="AV361"/>
  <c r="AV344"/>
  <c r="AV360"/>
  <c r="AV346"/>
  <c r="AV391"/>
  <c r="AV350"/>
  <c r="AV340" i="3"/>
  <c r="AV340" i="2" s="1"/>
  <c r="AV341"/>
  <c r="AV335"/>
  <c r="AV327"/>
  <c r="AV317"/>
  <c r="AV308" i="3"/>
  <c r="AV308" i="2" s="1"/>
  <c r="AV309"/>
  <c r="AV366"/>
  <c r="AV329"/>
  <c r="AV319"/>
  <c r="AV311"/>
  <c r="AV348"/>
  <c r="AV336"/>
  <c r="AV334"/>
  <c r="AV326"/>
  <c r="AV316"/>
  <c r="AV306"/>
  <c r="AV328"/>
  <c r="AV364"/>
  <c r="AV351"/>
  <c r="AV349"/>
  <c r="AV323"/>
  <c r="AV313"/>
  <c r="AV303"/>
  <c r="AV295"/>
  <c r="AV285"/>
  <c r="AV276" i="3"/>
  <c r="AV276" i="2" s="1"/>
  <c r="AV277"/>
  <c r="AV275"/>
  <c r="AV267"/>
  <c r="AV330"/>
  <c r="AV322"/>
  <c r="AV300"/>
  <c r="AV290"/>
  <c r="AV282"/>
  <c r="AV272"/>
  <c r="AV264"/>
  <c r="AV386"/>
  <c r="AV339"/>
  <c r="AV321"/>
  <c r="AV318"/>
  <c r="AV307"/>
  <c r="AV305"/>
  <c r="AV297"/>
  <c r="AV287"/>
  <c r="AV279"/>
  <c r="AV269"/>
  <c r="AV260" i="3"/>
  <c r="AV260" i="2" s="1"/>
  <c r="AV261"/>
  <c r="AV393"/>
  <c r="AV333"/>
  <c r="AV324" i="3"/>
  <c r="AV324" i="2" s="1"/>
  <c r="AV325"/>
  <c r="AV304"/>
  <c r="AV296"/>
  <c r="AV286"/>
  <c r="AV278"/>
  <c r="AV268"/>
  <c r="AV254"/>
  <c r="AV246"/>
  <c r="AV236"/>
  <c r="AV226"/>
  <c r="AV338"/>
  <c r="AV312"/>
  <c r="AV302"/>
  <c r="AV294"/>
  <c r="AV289"/>
  <c r="AV281"/>
  <c r="AV274"/>
  <c r="AV266"/>
  <c r="AV256"/>
  <c r="AV248"/>
  <c r="AV238"/>
  <c r="AV230"/>
  <c r="AV385"/>
  <c r="AV332"/>
  <c r="AV331"/>
  <c r="AV310"/>
  <c r="AV301"/>
  <c r="AV292" i="3"/>
  <c r="AV292" i="2" s="1"/>
  <c r="AV293"/>
  <c r="AV288"/>
  <c r="AV280"/>
  <c r="AV273"/>
  <c r="AV265"/>
  <c r="AV253"/>
  <c r="AV244" i="3"/>
  <c r="AV244" i="2" s="1"/>
  <c r="AV245"/>
  <c r="AV243"/>
  <c r="AV235"/>
  <c r="AV225"/>
  <c r="AV381"/>
  <c r="AV315"/>
  <c r="AV255"/>
  <c r="AV247"/>
  <c r="AV237"/>
  <c r="AV320"/>
  <c r="AV222"/>
  <c r="AV214"/>
  <c r="AV204"/>
  <c r="AV194"/>
  <c r="AV299"/>
  <c r="AV298"/>
  <c r="AV239"/>
  <c r="AV231"/>
  <c r="AV227"/>
  <c r="AV219"/>
  <c r="AV209"/>
  <c r="AV201"/>
  <c r="AV343"/>
  <c r="AV291"/>
  <c r="AV284"/>
  <c r="AV252"/>
  <c r="AV216"/>
  <c r="AV206"/>
  <c r="AV198"/>
  <c r="AV342"/>
  <c r="AV283"/>
  <c r="AV259"/>
  <c r="AV251"/>
  <c r="AV221"/>
  <c r="AV212" i="3"/>
  <c r="AV212" i="2" s="1"/>
  <c r="AV213"/>
  <c r="AV211"/>
  <c r="AV203"/>
  <c r="AV193"/>
  <c r="AV270"/>
  <c r="AV263"/>
  <c r="AV207"/>
  <c r="AV199"/>
  <c r="AV191"/>
  <c r="AV190"/>
  <c r="AV186"/>
  <c r="AV176"/>
  <c r="AV168"/>
  <c r="AV158"/>
  <c r="AV150"/>
  <c r="AV314"/>
  <c r="AV271"/>
  <c r="AV183"/>
  <c r="AV173"/>
  <c r="AV164" i="3"/>
  <c r="AV164" i="2" s="1"/>
  <c r="AV165"/>
  <c r="AV163"/>
  <c r="AV155"/>
  <c r="AV258"/>
  <c r="AV250"/>
  <c r="AV218"/>
  <c r="AV189"/>
  <c r="AV185"/>
  <c r="AV175"/>
  <c r="AV167"/>
  <c r="AV157"/>
  <c r="AV257"/>
  <c r="AV249"/>
  <c r="AV241"/>
  <c r="AV240"/>
  <c r="AV234"/>
  <c r="AV217"/>
  <c r="AV210"/>
  <c r="AV202"/>
  <c r="AV195"/>
  <c r="AV188"/>
  <c r="AV177"/>
  <c r="AV169"/>
  <c r="AV159"/>
  <c r="AV224"/>
  <c r="AV192"/>
  <c r="AV187"/>
  <c r="AV180" i="3"/>
  <c r="AV180" i="2" s="1"/>
  <c r="AV181"/>
  <c r="AV162"/>
  <c r="AV154"/>
  <c r="AV151"/>
  <c r="AV146"/>
  <c r="AV138"/>
  <c r="AV128"/>
  <c r="AV120"/>
  <c r="AV110"/>
  <c r="AV102"/>
  <c r="AV92"/>
  <c r="AV82"/>
  <c r="AV74"/>
  <c r="AV64"/>
  <c r="AV56"/>
  <c r="AV46"/>
  <c r="AV262"/>
  <c r="AV233"/>
  <c r="AV174"/>
  <c r="AV166"/>
  <c r="AV160"/>
  <c r="AV140"/>
  <c r="AV130"/>
  <c r="AV122"/>
  <c r="AV112"/>
  <c r="AV104"/>
  <c r="AV94"/>
  <c r="AV86"/>
  <c r="AV76"/>
  <c r="AV66"/>
  <c r="AV58"/>
  <c r="AV48"/>
  <c r="AV228" i="3"/>
  <c r="AV228" i="2" s="1"/>
  <c r="AV229"/>
  <c r="AV145"/>
  <c r="AV137"/>
  <c r="AV127"/>
  <c r="AV119"/>
  <c r="AV109"/>
  <c r="AV100" i="3"/>
  <c r="AV100" i="2" s="1"/>
  <c r="AV101"/>
  <c r="AV99"/>
  <c r="AV91"/>
  <c r="AV81"/>
  <c r="AV73"/>
  <c r="AV63"/>
  <c r="AV55"/>
  <c r="AV45"/>
  <c r="AV223"/>
  <c r="AV184"/>
  <c r="AV179"/>
  <c r="AV171"/>
  <c r="AV148" i="3"/>
  <c r="AV148" i="2" s="1"/>
  <c r="AV149"/>
  <c r="AV147"/>
  <c r="AV139"/>
  <c r="AV129"/>
  <c r="AV121"/>
  <c r="AV111"/>
  <c r="AV103"/>
  <c r="AV93"/>
  <c r="AV84" i="3"/>
  <c r="AV84" i="2" s="1"/>
  <c r="AV85"/>
  <c r="AV83"/>
  <c r="AV75"/>
  <c r="AV65"/>
  <c r="AV57"/>
  <c r="AV47"/>
  <c r="AV205"/>
  <c r="AV161"/>
  <c r="AV141"/>
  <c r="AV132" i="3"/>
  <c r="AV132" i="2" s="1"/>
  <c r="AV133"/>
  <c r="AV114"/>
  <c r="AV106"/>
  <c r="AV77"/>
  <c r="AV68" i="3"/>
  <c r="AV68" i="2" s="1"/>
  <c r="AV69"/>
  <c r="AV50"/>
  <c r="AV42"/>
  <c r="AV33"/>
  <c r="AV25"/>
  <c r="AV15"/>
  <c r="AV7"/>
  <c r="AV242"/>
  <c r="AV220"/>
  <c r="AV208"/>
  <c r="AV126"/>
  <c r="AV118"/>
  <c r="AV98"/>
  <c r="AV90"/>
  <c r="AV62"/>
  <c r="AV54"/>
  <c r="AV40"/>
  <c r="AV30"/>
  <c r="AV22"/>
  <c r="AV12"/>
  <c r="AV182"/>
  <c r="AV125"/>
  <c r="AV116" i="3"/>
  <c r="AV116" i="2" s="1"/>
  <c r="AV117"/>
  <c r="AV113"/>
  <c r="AV105"/>
  <c r="AV97"/>
  <c r="AV89"/>
  <c r="AV61"/>
  <c r="AV52" i="3"/>
  <c r="AV52" i="2" s="1"/>
  <c r="AV53"/>
  <c r="AV49"/>
  <c r="AV36" i="3"/>
  <c r="AV36" i="2" s="1"/>
  <c r="AV37"/>
  <c r="AV35"/>
  <c r="AV27"/>
  <c r="AV17"/>
  <c r="AV9"/>
  <c r="AV124"/>
  <c r="AV96"/>
  <c r="AV88"/>
  <c r="AV60"/>
  <c r="AV32"/>
  <c r="AV24"/>
  <c r="AV14"/>
  <c r="AV6"/>
  <c r="AV215"/>
  <c r="AV156"/>
  <c r="AV153"/>
  <c r="AV142"/>
  <c r="AV136"/>
  <c r="AV78"/>
  <c r="AV72"/>
  <c r="AV41"/>
  <c r="AV28"/>
  <c r="AV13"/>
  <c r="AV4" i="3"/>
  <c r="AV4" i="2" s="1"/>
  <c r="AV5"/>
  <c r="AV135"/>
  <c r="AV71"/>
  <c r="AV39"/>
  <c r="AV19"/>
  <c r="AV11"/>
  <c r="AV10"/>
  <c r="AV200"/>
  <c r="AV178"/>
  <c r="AV134"/>
  <c r="AV123"/>
  <c r="AV70"/>
  <c r="AV59"/>
  <c r="AV34"/>
  <c r="AV26"/>
  <c r="AV170"/>
  <c r="AV131"/>
  <c r="AV115"/>
  <c r="AV108"/>
  <c r="AV107"/>
  <c r="AV67"/>
  <c r="AV51"/>
  <c r="AV44"/>
  <c r="AV43"/>
  <c r="AV38"/>
  <c r="AV18"/>
  <c r="AV31"/>
  <c r="AV29"/>
  <c r="AV196" i="3"/>
  <c r="AV196" i="2" s="1"/>
  <c r="AV197"/>
  <c r="AV23"/>
  <c r="AV20" i="3"/>
  <c r="AV20" i="2" s="1"/>
  <c r="AV21"/>
  <c r="AV8"/>
  <c r="AV95"/>
  <c r="AV79"/>
  <c r="AV16"/>
  <c r="AV87"/>
  <c r="AV232"/>
  <c r="AV143"/>
  <c r="AV144"/>
  <c r="AV80"/>
  <c r="AV152"/>
  <c r="AV172"/>
  <c r="AZ396"/>
  <c r="AZ380"/>
  <c r="AZ401"/>
  <c r="AZ393"/>
  <c r="AZ383"/>
  <c r="AZ375"/>
  <c r="AZ367"/>
  <c r="AZ398"/>
  <c r="AZ390"/>
  <c r="AZ386"/>
  <c r="AZ378"/>
  <c r="AZ392"/>
  <c r="AZ374"/>
  <c r="AZ368"/>
  <c r="AZ397"/>
  <c r="AZ376"/>
  <c r="AZ361"/>
  <c r="AZ402"/>
  <c r="AZ385"/>
  <c r="AZ371"/>
  <c r="AZ366"/>
  <c r="AZ358"/>
  <c r="AZ395"/>
  <c r="AZ391"/>
  <c r="AZ387"/>
  <c r="AZ372" i="3"/>
  <c r="AZ372" i="2" s="1"/>
  <c r="AZ373"/>
  <c r="AZ363"/>
  <c r="AZ400"/>
  <c r="AZ388" i="3"/>
  <c r="AZ388" i="2" s="1"/>
  <c r="AZ389"/>
  <c r="AZ349"/>
  <c r="AZ340" i="3"/>
  <c r="AZ340" i="2" s="1"/>
  <c r="AZ341"/>
  <c r="AZ339"/>
  <c r="AZ382"/>
  <c r="AZ381"/>
  <c r="AZ364"/>
  <c r="AZ353"/>
  <c r="AZ351"/>
  <c r="AZ343"/>
  <c r="AZ377"/>
  <c r="AZ369"/>
  <c r="AZ356" i="3"/>
  <c r="AZ356" i="2" s="1"/>
  <c r="AZ357"/>
  <c r="AZ352"/>
  <c r="AZ348"/>
  <c r="AZ384"/>
  <c r="AZ350"/>
  <c r="AZ379"/>
  <c r="AZ346"/>
  <c r="AZ344"/>
  <c r="AZ331"/>
  <c r="AZ321"/>
  <c r="AZ313"/>
  <c r="AZ394"/>
  <c r="AZ359"/>
  <c r="AZ333"/>
  <c r="AZ324" i="3"/>
  <c r="AZ324" i="2" s="1"/>
  <c r="AZ325"/>
  <c r="AZ323"/>
  <c r="AZ315"/>
  <c r="AZ354"/>
  <c r="AZ338"/>
  <c r="AZ330"/>
  <c r="AZ320"/>
  <c r="AZ312"/>
  <c r="AZ370"/>
  <c r="AZ345"/>
  <c r="AZ332"/>
  <c r="AZ322"/>
  <c r="AZ399"/>
  <c r="AZ355"/>
  <c r="AZ342"/>
  <c r="AZ316"/>
  <c r="AZ299"/>
  <c r="AZ289"/>
  <c r="AZ281"/>
  <c r="AZ271"/>
  <c r="AZ263"/>
  <c r="AZ347"/>
  <c r="AZ314"/>
  <c r="AZ310"/>
  <c r="AZ308" i="3"/>
  <c r="AZ308" i="2" s="1"/>
  <c r="AZ309"/>
  <c r="AZ304"/>
  <c r="AZ296"/>
  <c r="AZ286"/>
  <c r="AZ278"/>
  <c r="AZ268"/>
  <c r="AZ301"/>
  <c r="AZ292" i="3"/>
  <c r="AZ292" i="2" s="1"/>
  <c r="AZ293"/>
  <c r="AZ291"/>
  <c r="AZ283"/>
  <c r="AZ273"/>
  <c r="AZ265"/>
  <c r="AZ403"/>
  <c r="AZ337"/>
  <c r="AZ318"/>
  <c r="AZ317"/>
  <c r="AZ300"/>
  <c r="AZ290"/>
  <c r="AZ282"/>
  <c r="AZ272"/>
  <c r="AZ264"/>
  <c r="AZ298"/>
  <c r="AZ285"/>
  <c r="AZ276" i="3"/>
  <c r="AZ276" i="2" s="1"/>
  <c r="AZ277"/>
  <c r="AZ270"/>
  <c r="AZ262"/>
  <c r="AZ258"/>
  <c r="AZ250"/>
  <c r="AZ240"/>
  <c r="AZ232"/>
  <c r="AZ336"/>
  <c r="AZ307"/>
  <c r="AZ305"/>
  <c r="AZ297"/>
  <c r="AZ269"/>
  <c r="AZ252"/>
  <c r="AZ242"/>
  <c r="AZ234"/>
  <c r="AZ224"/>
  <c r="AZ335"/>
  <c r="AZ306"/>
  <c r="AZ257"/>
  <c r="AZ249"/>
  <c r="AZ239"/>
  <c r="AZ231"/>
  <c r="AZ365"/>
  <c r="AZ326"/>
  <c r="AZ319"/>
  <c r="AZ302"/>
  <c r="AZ294"/>
  <c r="AZ274"/>
  <c r="AZ266"/>
  <c r="AZ259"/>
  <c r="AZ251"/>
  <c r="AZ241"/>
  <c r="AZ233"/>
  <c r="AZ362"/>
  <c r="AZ228" i="3"/>
  <c r="AZ228" i="2" s="1"/>
  <c r="AZ229"/>
  <c r="AZ218"/>
  <c r="AZ208"/>
  <c r="AZ200"/>
  <c r="AZ190"/>
  <c r="AZ360"/>
  <c r="AZ295"/>
  <c r="AZ256"/>
  <c r="AZ248"/>
  <c r="AZ215"/>
  <c r="AZ205"/>
  <c r="AZ196" i="3"/>
  <c r="AZ196" i="2" s="1"/>
  <c r="AZ197"/>
  <c r="AZ195"/>
  <c r="AZ327"/>
  <c r="AZ303"/>
  <c r="AZ220"/>
  <c r="AZ210"/>
  <c r="AZ202"/>
  <c r="AZ192"/>
  <c r="AZ328"/>
  <c r="AZ288"/>
  <c r="AZ287"/>
  <c r="AZ260" i="3"/>
  <c r="AZ260" i="2" s="1"/>
  <c r="AZ261"/>
  <c r="AZ255"/>
  <c r="AZ254"/>
  <c r="AZ247"/>
  <c r="AZ246"/>
  <c r="AZ217"/>
  <c r="AZ207"/>
  <c r="AZ199"/>
  <c r="AZ189"/>
  <c r="AZ227"/>
  <c r="AZ216"/>
  <c r="AZ188"/>
  <c r="AZ182"/>
  <c r="AZ172"/>
  <c r="AZ162"/>
  <c r="AZ154"/>
  <c r="AZ329"/>
  <c r="AZ311"/>
  <c r="AZ223"/>
  <c r="AZ222"/>
  <c r="AZ214"/>
  <c r="AZ193"/>
  <c r="AZ177"/>
  <c r="AZ169"/>
  <c r="AZ159"/>
  <c r="AZ151"/>
  <c r="AZ253"/>
  <c r="AZ244" i="3"/>
  <c r="AZ244" i="2" s="1"/>
  <c r="AZ245"/>
  <c r="AZ225"/>
  <c r="AZ206"/>
  <c r="AZ198"/>
  <c r="AZ180" i="3"/>
  <c r="AZ180" i="2" s="1"/>
  <c r="AZ181"/>
  <c r="AZ179"/>
  <c r="AZ171"/>
  <c r="AZ161"/>
  <c r="AZ153"/>
  <c r="AZ279"/>
  <c r="AZ267"/>
  <c r="AZ183"/>
  <c r="AZ173"/>
  <c r="AZ164" i="3"/>
  <c r="AZ164" i="2" s="1"/>
  <c r="AZ165"/>
  <c r="AZ163"/>
  <c r="AZ155"/>
  <c r="AZ204"/>
  <c r="AZ178"/>
  <c r="AZ170"/>
  <c r="AZ157"/>
  <c r="AZ156"/>
  <c r="AZ142"/>
  <c r="AZ134"/>
  <c r="AZ124"/>
  <c r="AZ114"/>
  <c r="AZ106"/>
  <c r="AZ96"/>
  <c r="AZ88"/>
  <c r="AZ78"/>
  <c r="AZ70"/>
  <c r="AZ60"/>
  <c r="AZ50"/>
  <c r="AZ42"/>
  <c r="AZ334"/>
  <c r="AZ144"/>
  <c r="AZ136"/>
  <c r="AZ126"/>
  <c r="AZ118"/>
  <c r="AZ108"/>
  <c r="AZ98"/>
  <c r="AZ90"/>
  <c r="AZ80"/>
  <c r="AZ72"/>
  <c r="AZ62"/>
  <c r="AZ54"/>
  <c r="AZ44"/>
  <c r="AZ275"/>
  <c r="AZ176"/>
  <c r="AZ168"/>
  <c r="AZ141"/>
  <c r="AZ132" i="3"/>
  <c r="AZ132" i="2" s="1"/>
  <c r="AZ133"/>
  <c r="AZ131"/>
  <c r="AZ123"/>
  <c r="AZ113"/>
  <c r="AZ105"/>
  <c r="AZ95"/>
  <c r="AZ87"/>
  <c r="AZ77"/>
  <c r="AZ68" i="3"/>
  <c r="AZ68" i="2" s="1"/>
  <c r="AZ69"/>
  <c r="AZ67"/>
  <c r="AZ59"/>
  <c r="AZ49"/>
  <c r="AZ284"/>
  <c r="AZ235"/>
  <c r="AZ226"/>
  <c r="AZ143"/>
  <c r="AZ135"/>
  <c r="AZ125"/>
  <c r="AZ116" i="3"/>
  <c r="AZ116" i="2" s="1"/>
  <c r="AZ117"/>
  <c r="AZ115"/>
  <c r="AZ107"/>
  <c r="AZ97"/>
  <c r="AZ89"/>
  <c r="AZ79"/>
  <c r="AZ71"/>
  <c r="AZ61"/>
  <c r="AZ52" i="3"/>
  <c r="AZ52" i="2" s="1"/>
  <c r="AZ53"/>
  <c r="AZ51"/>
  <c r="AZ43"/>
  <c r="AZ219"/>
  <c r="AZ201"/>
  <c r="AZ160"/>
  <c r="AZ130"/>
  <c r="AZ122"/>
  <c r="AZ109"/>
  <c r="AZ100" i="3"/>
  <c r="AZ100" i="2" s="1"/>
  <c r="AZ101"/>
  <c r="AZ94"/>
  <c r="AZ86"/>
  <c r="AZ66"/>
  <c r="AZ58"/>
  <c r="AZ45"/>
  <c r="AZ39"/>
  <c r="AZ29"/>
  <c r="AZ20" i="3"/>
  <c r="AZ20" i="2" s="1"/>
  <c r="AZ21"/>
  <c r="AZ19"/>
  <c r="AZ11"/>
  <c r="AZ203"/>
  <c r="AZ187"/>
  <c r="AZ158"/>
  <c r="AZ41"/>
  <c r="AZ34"/>
  <c r="AZ26"/>
  <c r="AZ16"/>
  <c r="AZ230"/>
  <c r="AZ186"/>
  <c r="AZ148" i="3"/>
  <c r="AZ148" i="2" s="1"/>
  <c r="AZ149"/>
  <c r="AZ129"/>
  <c r="AZ128"/>
  <c r="AZ121"/>
  <c r="AZ120"/>
  <c r="AZ93"/>
  <c r="AZ92"/>
  <c r="AZ84" i="3"/>
  <c r="AZ84" i="2" s="1"/>
  <c r="AZ85"/>
  <c r="AZ65"/>
  <c r="AZ64"/>
  <c r="AZ57"/>
  <c r="AZ56"/>
  <c r="AZ31"/>
  <c r="AZ23"/>
  <c r="AZ13"/>
  <c r="AZ4" i="3"/>
  <c r="AZ4" i="2" s="1"/>
  <c r="AZ5"/>
  <c r="AZ237"/>
  <c r="AZ221"/>
  <c r="AZ212" i="3"/>
  <c r="AZ212" i="2" s="1"/>
  <c r="AZ213"/>
  <c r="AZ209"/>
  <c r="AZ185"/>
  <c r="AZ184"/>
  <c r="AZ140"/>
  <c r="AZ127"/>
  <c r="AZ119"/>
  <c r="AZ99"/>
  <c r="AZ91"/>
  <c r="AZ76"/>
  <c r="AZ63"/>
  <c r="AZ55"/>
  <c r="AZ38"/>
  <c r="AZ28"/>
  <c r="AZ18"/>
  <c r="AZ10"/>
  <c r="AZ236"/>
  <c r="AZ211"/>
  <c r="AZ175"/>
  <c r="AZ145"/>
  <c r="AZ81"/>
  <c r="AZ191"/>
  <c r="AZ139"/>
  <c r="AZ138"/>
  <c r="AZ75"/>
  <c r="AZ74"/>
  <c r="AZ194"/>
  <c r="AZ166"/>
  <c r="AZ150"/>
  <c r="AZ137"/>
  <c r="AZ73"/>
  <c r="AZ40"/>
  <c r="AZ14"/>
  <c r="AZ12"/>
  <c r="AZ6"/>
  <c r="AZ243"/>
  <c r="AZ167"/>
  <c r="AZ112"/>
  <c r="AZ104"/>
  <c r="AZ48"/>
  <c r="AZ35"/>
  <c r="AZ27"/>
  <c r="AZ280"/>
  <c r="AZ152"/>
  <c r="AZ111"/>
  <c r="AZ46"/>
  <c r="AZ25"/>
  <c r="AZ9"/>
  <c r="AZ7"/>
  <c r="AZ47"/>
  <c r="AZ174"/>
  <c r="AZ102"/>
  <c r="AZ32"/>
  <c r="AZ30"/>
  <c r="AZ146"/>
  <c r="AZ17"/>
  <c r="AZ8"/>
  <c r="AZ36" i="3"/>
  <c r="AZ36" i="2" s="1"/>
  <c r="AZ37"/>
  <c r="AZ24"/>
  <c r="AZ22"/>
  <c r="AZ15"/>
  <c r="AZ238"/>
  <c r="AZ103"/>
  <c r="AZ83"/>
  <c r="AZ33"/>
  <c r="AZ110"/>
  <c r="AZ82"/>
  <c r="AZ147"/>
  <c r="AJ396"/>
  <c r="AJ380"/>
  <c r="AJ401"/>
  <c r="AJ393"/>
  <c r="AJ383"/>
  <c r="AJ375"/>
  <c r="AJ367"/>
  <c r="AJ398"/>
  <c r="AJ390"/>
  <c r="AJ386"/>
  <c r="AJ378"/>
  <c r="AJ402"/>
  <c r="AJ385"/>
  <c r="AJ395"/>
  <c r="AJ391"/>
  <c r="AJ387"/>
  <c r="AJ372" i="3"/>
  <c r="AJ372" i="2" s="1"/>
  <c r="AJ373"/>
  <c r="AJ370"/>
  <c r="AJ369"/>
  <c r="AJ361"/>
  <c r="AJ400"/>
  <c r="AJ382"/>
  <c r="AJ366"/>
  <c r="AJ358"/>
  <c r="AJ388" i="3"/>
  <c r="AJ388" i="2" s="1"/>
  <c r="AJ389"/>
  <c r="AJ384"/>
  <c r="AJ363"/>
  <c r="AJ374"/>
  <c r="AJ364"/>
  <c r="AJ349"/>
  <c r="AJ340" i="3"/>
  <c r="AJ340" i="2" s="1"/>
  <c r="AJ341"/>
  <c r="AJ339"/>
  <c r="AJ362"/>
  <c r="AJ354"/>
  <c r="AJ351"/>
  <c r="AJ343"/>
  <c r="AJ348"/>
  <c r="AJ377"/>
  <c r="AJ376"/>
  <c r="AJ371"/>
  <c r="AJ368"/>
  <c r="AJ365"/>
  <c r="AJ352"/>
  <c r="AJ350"/>
  <c r="AJ353"/>
  <c r="AJ346"/>
  <c r="AJ336"/>
  <c r="AJ331"/>
  <c r="AJ321"/>
  <c r="AJ313"/>
  <c r="AJ337"/>
  <c r="AJ333"/>
  <c r="AJ324" i="3"/>
  <c r="AJ324" i="2" s="1"/>
  <c r="AJ325"/>
  <c r="AJ323"/>
  <c r="AJ315"/>
  <c r="AJ345"/>
  <c r="AJ330"/>
  <c r="AJ320"/>
  <c r="AJ312"/>
  <c r="AJ379"/>
  <c r="AJ359"/>
  <c r="AJ342"/>
  <c r="AJ332"/>
  <c r="AJ322"/>
  <c r="AJ344"/>
  <c r="AJ307"/>
  <c r="AJ299"/>
  <c r="AJ289"/>
  <c r="AJ281"/>
  <c r="AJ271"/>
  <c r="AJ263"/>
  <c r="AJ319"/>
  <c r="AJ304"/>
  <c r="AJ296"/>
  <c r="AJ286"/>
  <c r="AJ278"/>
  <c r="AJ268"/>
  <c r="AJ301"/>
  <c r="AJ292" i="3"/>
  <c r="AJ292" i="2" s="1"/>
  <c r="AJ293"/>
  <c r="AJ291"/>
  <c r="AJ283"/>
  <c r="AJ273"/>
  <c r="AJ265"/>
  <c r="AJ381"/>
  <c r="AJ360"/>
  <c r="AJ347"/>
  <c r="AJ311"/>
  <c r="AJ300"/>
  <c r="AJ290"/>
  <c r="AJ282"/>
  <c r="AJ272"/>
  <c r="AJ264"/>
  <c r="AJ356" i="3"/>
  <c r="AJ356" i="2" s="1"/>
  <c r="AJ357"/>
  <c r="AJ338"/>
  <c r="AJ334"/>
  <c r="AJ329"/>
  <c r="AJ328"/>
  <c r="AJ327"/>
  <c r="AJ310"/>
  <c r="AJ298"/>
  <c r="AJ285"/>
  <c r="AJ276" i="3"/>
  <c r="AJ276" i="2" s="1"/>
  <c r="AJ277"/>
  <c r="AJ270"/>
  <c r="AJ258"/>
  <c r="AJ250"/>
  <c r="AJ240"/>
  <c r="AJ232"/>
  <c r="AJ305"/>
  <c r="AJ297"/>
  <c r="AJ269"/>
  <c r="AJ260" i="3"/>
  <c r="AJ260" i="2" s="1"/>
  <c r="AJ261"/>
  <c r="AJ252"/>
  <c r="AJ242"/>
  <c r="AJ234"/>
  <c r="AJ224"/>
  <c r="AJ399"/>
  <c r="AJ257"/>
  <c r="AJ249"/>
  <c r="AJ239"/>
  <c r="AJ231"/>
  <c r="AJ392"/>
  <c r="AJ318"/>
  <c r="AJ314"/>
  <c r="AJ302"/>
  <c r="AJ294"/>
  <c r="AJ274"/>
  <c r="AJ266"/>
  <c r="AJ259"/>
  <c r="AJ251"/>
  <c r="AJ241"/>
  <c r="AJ233"/>
  <c r="AJ326"/>
  <c r="AJ284"/>
  <c r="AJ280"/>
  <c r="AJ279"/>
  <c r="AJ218"/>
  <c r="AJ208"/>
  <c r="AJ200"/>
  <c r="AJ190"/>
  <c r="AJ394"/>
  <c r="AJ262"/>
  <c r="AJ256"/>
  <c r="AJ248"/>
  <c r="AJ223"/>
  <c r="AJ215"/>
  <c r="AJ205"/>
  <c r="AJ196" i="3"/>
  <c r="AJ196" i="2" s="1"/>
  <c r="AJ197"/>
  <c r="AJ195"/>
  <c r="AJ317"/>
  <c r="AJ267"/>
  <c r="AJ227"/>
  <c r="AJ226"/>
  <c r="AJ220"/>
  <c r="AJ210"/>
  <c r="AJ202"/>
  <c r="AJ192"/>
  <c r="AJ403"/>
  <c r="AJ355"/>
  <c r="AJ275"/>
  <c r="AJ255"/>
  <c r="AJ254"/>
  <c r="AJ247"/>
  <c r="AJ246"/>
  <c r="AJ217"/>
  <c r="AJ207"/>
  <c r="AJ199"/>
  <c r="AJ189"/>
  <c r="AJ238"/>
  <c r="AJ216"/>
  <c r="AJ191"/>
  <c r="AJ182"/>
  <c r="AJ172"/>
  <c r="AJ162"/>
  <c r="AJ154"/>
  <c r="AJ306"/>
  <c r="AJ222"/>
  <c r="AJ214"/>
  <c r="AJ177"/>
  <c r="AJ169"/>
  <c r="AJ159"/>
  <c r="AJ151"/>
  <c r="AJ303"/>
  <c r="AJ235"/>
  <c r="AJ228" i="3"/>
  <c r="AJ228" i="2" s="1"/>
  <c r="AJ229"/>
  <c r="AJ206"/>
  <c r="AJ198"/>
  <c r="AJ180" i="3"/>
  <c r="AJ180" i="2" s="1"/>
  <c r="AJ181"/>
  <c r="AJ179"/>
  <c r="AJ171"/>
  <c r="AJ161"/>
  <c r="AJ153"/>
  <c r="AJ335"/>
  <c r="AJ316"/>
  <c r="AJ225"/>
  <c r="AJ187"/>
  <c r="AJ183"/>
  <c r="AJ173"/>
  <c r="AJ164" i="3"/>
  <c r="AJ164" i="2" s="1"/>
  <c r="AJ165"/>
  <c r="AJ163"/>
  <c r="AJ155"/>
  <c r="AJ288"/>
  <c r="AJ178"/>
  <c r="AJ170"/>
  <c r="AJ157"/>
  <c r="AJ156"/>
  <c r="AJ142"/>
  <c r="AJ134"/>
  <c r="AJ124"/>
  <c r="AJ114"/>
  <c r="AJ106"/>
  <c r="AJ96"/>
  <c r="AJ88"/>
  <c r="AJ78"/>
  <c r="AJ70"/>
  <c r="AJ60"/>
  <c r="AJ50"/>
  <c r="AJ42"/>
  <c r="AJ237"/>
  <c r="AJ236"/>
  <c r="AJ219"/>
  <c r="AJ150"/>
  <c r="AJ144"/>
  <c r="AJ136"/>
  <c r="AJ126"/>
  <c r="AJ118"/>
  <c r="AJ108"/>
  <c r="AJ98"/>
  <c r="AJ90"/>
  <c r="AJ80"/>
  <c r="AJ72"/>
  <c r="AJ62"/>
  <c r="AJ54"/>
  <c r="AJ44"/>
  <c r="AJ287"/>
  <c r="AJ244" i="3"/>
  <c r="AJ244" i="2" s="1"/>
  <c r="AJ245"/>
  <c r="AJ221"/>
  <c r="AJ212" i="3"/>
  <c r="AJ212" i="2" s="1"/>
  <c r="AJ213"/>
  <c r="AJ188"/>
  <c r="AJ176"/>
  <c r="AJ168"/>
  <c r="AJ141"/>
  <c r="AJ132" i="3"/>
  <c r="AJ132" i="2" s="1"/>
  <c r="AJ133"/>
  <c r="AJ131"/>
  <c r="AJ123"/>
  <c r="AJ113"/>
  <c r="AJ105"/>
  <c r="AJ95"/>
  <c r="AJ87"/>
  <c r="AJ77"/>
  <c r="AJ68" i="3"/>
  <c r="AJ68" i="2" s="1"/>
  <c r="AJ69"/>
  <c r="AJ67"/>
  <c r="AJ59"/>
  <c r="AJ49"/>
  <c r="AJ243"/>
  <c r="AJ211"/>
  <c r="AJ209"/>
  <c r="AJ203"/>
  <c r="AJ201"/>
  <c r="AJ143"/>
  <c r="AJ135"/>
  <c r="AJ125"/>
  <c r="AJ116" i="3"/>
  <c r="AJ116" i="2" s="1"/>
  <c r="AJ117"/>
  <c r="AJ115"/>
  <c r="AJ107"/>
  <c r="AJ97"/>
  <c r="AJ89"/>
  <c r="AJ79"/>
  <c r="AJ71"/>
  <c r="AJ61"/>
  <c r="AJ52" i="3"/>
  <c r="AJ52" i="2" s="1"/>
  <c r="AJ53"/>
  <c r="AJ51"/>
  <c r="AJ43"/>
  <c r="AJ230"/>
  <c r="AJ130"/>
  <c r="AJ122"/>
  <c r="AJ109"/>
  <c r="AJ100" i="3"/>
  <c r="AJ100" i="2" s="1"/>
  <c r="AJ101"/>
  <c r="AJ94"/>
  <c r="AJ86"/>
  <c r="AJ66"/>
  <c r="AJ58"/>
  <c r="AJ45"/>
  <c r="AJ39"/>
  <c r="AJ29"/>
  <c r="AJ20" i="3"/>
  <c r="AJ20" i="2" s="1"/>
  <c r="AJ21"/>
  <c r="AJ19"/>
  <c r="AJ11"/>
  <c r="AJ34"/>
  <c r="AJ26"/>
  <c r="AJ16"/>
  <c r="AJ253"/>
  <c r="AJ193"/>
  <c r="AJ175"/>
  <c r="AJ174"/>
  <c r="AJ152"/>
  <c r="AJ148" i="3"/>
  <c r="AJ148" i="2" s="1"/>
  <c r="AJ149"/>
  <c r="AJ129"/>
  <c r="AJ128"/>
  <c r="AJ121"/>
  <c r="AJ120"/>
  <c r="AJ93"/>
  <c r="AJ92"/>
  <c r="AJ84" i="3"/>
  <c r="AJ84" i="2" s="1"/>
  <c r="AJ85"/>
  <c r="AJ65"/>
  <c r="AJ64"/>
  <c r="AJ57"/>
  <c r="AJ56"/>
  <c r="AJ41"/>
  <c r="AJ31"/>
  <c r="AJ23"/>
  <c r="AJ13"/>
  <c r="AJ4" i="3"/>
  <c r="AJ4" i="2" s="1"/>
  <c r="AJ5"/>
  <c r="AJ167"/>
  <c r="AJ166"/>
  <c r="AJ140"/>
  <c r="AJ127"/>
  <c r="AJ119"/>
  <c r="AJ99"/>
  <c r="AJ91"/>
  <c r="AJ76"/>
  <c r="AJ63"/>
  <c r="AJ55"/>
  <c r="AJ38"/>
  <c r="AJ28"/>
  <c r="AJ18"/>
  <c r="AJ10"/>
  <c r="AJ185"/>
  <c r="AJ184"/>
  <c r="AJ6"/>
  <c r="AJ111"/>
  <c r="AJ110"/>
  <c r="AJ103"/>
  <c r="AJ102"/>
  <c r="AJ47"/>
  <c r="AJ46"/>
  <c r="AJ308" i="3"/>
  <c r="AJ308" i="2" s="1"/>
  <c r="AJ309"/>
  <c r="AJ40"/>
  <c r="AJ14"/>
  <c r="AJ12"/>
  <c r="AJ295"/>
  <c r="AJ147"/>
  <c r="AJ146"/>
  <c r="AJ83"/>
  <c r="AJ82"/>
  <c r="AJ35"/>
  <c r="AJ27"/>
  <c r="AJ9"/>
  <c r="AJ48"/>
  <c r="AJ36" i="3"/>
  <c r="AJ36" i="2" s="1"/>
  <c r="AJ37"/>
  <c r="AJ145"/>
  <c r="AJ17"/>
  <c r="AJ194"/>
  <c r="AJ139"/>
  <c r="AJ138"/>
  <c r="AJ104"/>
  <c r="AJ81"/>
  <c r="AJ15"/>
  <c r="AJ7"/>
  <c r="AJ397"/>
  <c r="AJ158"/>
  <c r="AJ30"/>
  <c r="AJ204"/>
  <c r="AJ75"/>
  <c r="AJ32"/>
  <c r="AJ186"/>
  <c r="AJ74"/>
  <c r="AJ8"/>
  <c r="AJ160"/>
  <c r="AJ22"/>
  <c r="AJ73"/>
  <c r="AJ33"/>
  <c r="AJ24"/>
  <c r="AJ25"/>
  <c r="AJ112"/>
  <c r="AJ137"/>
  <c r="AO403"/>
  <c r="AO395"/>
  <c r="AO381"/>
  <c r="AO372" i="3"/>
  <c r="AO372" i="2" s="1"/>
  <c r="AO373"/>
  <c r="AO400"/>
  <c r="AO392"/>
  <c r="AO384"/>
  <c r="AO376"/>
  <c r="AO397"/>
  <c r="AO388" i="3"/>
  <c r="AO388" i="2" s="1"/>
  <c r="AO389"/>
  <c r="AO387"/>
  <c r="AO379"/>
  <c r="AO371"/>
  <c r="AO386"/>
  <c r="AO374"/>
  <c r="AO398"/>
  <c r="AO393"/>
  <c r="AO360"/>
  <c r="AO402"/>
  <c r="AO385"/>
  <c r="AO383"/>
  <c r="AO367"/>
  <c r="AO365"/>
  <c r="AO356" i="3"/>
  <c r="AO356" i="2" s="1"/>
  <c r="AO357"/>
  <c r="AO355"/>
  <c r="AO391"/>
  <c r="AO362"/>
  <c r="AO394"/>
  <c r="AO390"/>
  <c r="AO369"/>
  <c r="AO368"/>
  <c r="AO366"/>
  <c r="AO348"/>
  <c r="AO338"/>
  <c r="AO364"/>
  <c r="AO350"/>
  <c r="AO342"/>
  <c r="AO399"/>
  <c r="AO353"/>
  <c r="AO347"/>
  <c r="AO349"/>
  <c r="AO344"/>
  <c r="AO330"/>
  <c r="AO320"/>
  <c r="AO312"/>
  <c r="AO401"/>
  <c r="AO352"/>
  <c r="AO346"/>
  <c r="AO332"/>
  <c r="AO322"/>
  <c r="AO314"/>
  <c r="AO370"/>
  <c r="AO358"/>
  <c r="AO340" i="3"/>
  <c r="AO340" i="2" s="1"/>
  <c r="AO341"/>
  <c r="AO329"/>
  <c r="AO319"/>
  <c r="AO311"/>
  <c r="AO396"/>
  <c r="AO382"/>
  <c r="AO380"/>
  <c r="AO377"/>
  <c r="AO375"/>
  <c r="AO337"/>
  <c r="AO336"/>
  <c r="AO331"/>
  <c r="AO321"/>
  <c r="AO339"/>
  <c r="AO328"/>
  <c r="AO316"/>
  <c r="AO298"/>
  <c r="AO288"/>
  <c r="AO280"/>
  <c r="AO270"/>
  <c r="AO262"/>
  <c r="AO361"/>
  <c r="AO335"/>
  <c r="AO334"/>
  <c r="AO327"/>
  <c r="AO326"/>
  <c r="AO303"/>
  <c r="AO295"/>
  <c r="AO285"/>
  <c r="AO276" i="3"/>
  <c r="AO276" i="2" s="1"/>
  <c r="AO277"/>
  <c r="AO275"/>
  <c r="AO267"/>
  <c r="AO333"/>
  <c r="AO324" i="3"/>
  <c r="AO324" i="2" s="1"/>
  <c r="AO325"/>
  <c r="AO315"/>
  <c r="AO310"/>
  <c r="AO300"/>
  <c r="AO290"/>
  <c r="AO282"/>
  <c r="AO272"/>
  <c r="AO264"/>
  <c r="AO363"/>
  <c r="AO354"/>
  <c r="AO323"/>
  <c r="AO307"/>
  <c r="AO299"/>
  <c r="AO289"/>
  <c r="AO281"/>
  <c r="AO271"/>
  <c r="AO263"/>
  <c r="AO378"/>
  <c r="AO301"/>
  <c r="AO292" i="3"/>
  <c r="AO292" i="2" s="1"/>
  <c r="AO293"/>
  <c r="AO287"/>
  <c r="AO279"/>
  <c r="AO273"/>
  <c r="AO265"/>
  <c r="AO257"/>
  <c r="AO249"/>
  <c r="AO239"/>
  <c r="AO231"/>
  <c r="AO359"/>
  <c r="AO286"/>
  <c r="AO278"/>
  <c r="AO259"/>
  <c r="AO251"/>
  <c r="AO241"/>
  <c r="AO233"/>
  <c r="AO343"/>
  <c r="AO313"/>
  <c r="AO284"/>
  <c r="AO256"/>
  <c r="AO248"/>
  <c r="AO238"/>
  <c r="AO230"/>
  <c r="AO351"/>
  <c r="AO308" i="3"/>
  <c r="AO308" i="2" s="1"/>
  <c r="AO309"/>
  <c r="AO258"/>
  <c r="AO250"/>
  <c r="AO240"/>
  <c r="AO232"/>
  <c r="AO305"/>
  <c r="AO304"/>
  <c r="AO302"/>
  <c r="AO291"/>
  <c r="AO237"/>
  <c r="AO217"/>
  <c r="AO207"/>
  <c r="AO199"/>
  <c r="AO189"/>
  <c r="AO283"/>
  <c r="AO243"/>
  <c r="AO236"/>
  <c r="AO235"/>
  <c r="AO228" i="3"/>
  <c r="AO228" i="2" s="1"/>
  <c r="AO229"/>
  <c r="AO224"/>
  <c r="AO222"/>
  <c r="AO214"/>
  <c r="AO204"/>
  <c r="AO242"/>
  <c r="AO234"/>
  <c r="AO219"/>
  <c r="AO209"/>
  <c r="AO201"/>
  <c r="AO191"/>
  <c r="AO317"/>
  <c r="AO216"/>
  <c r="AO206"/>
  <c r="AO198"/>
  <c r="AO188"/>
  <c r="AO218"/>
  <c r="AO211"/>
  <c r="AO203"/>
  <c r="AO194"/>
  <c r="AO180" i="3"/>
  <c r="AO180" i="2" s="1"/>
  <c r="AO181"/>
  <c r="AO179"/>
  <c r="AO171"/>
  <c r="AO161"/>
  <c r="AO153"/>
  <c r="AO253"/>
  <c r="AO244" i="3"/>
  <c r="AO244" i="2" s="1"/>
  <c r="AO245"/>
  <c r="AO193"/>
  <c r="AO186"/>
  <c r="AO176"/>
  <c r="AO168"/>
  <c r="AO158"/>
  <c r="AO150"/>
  <c r="AO345"/>
  <c r="AO274"/>
  <c r="AO208"/>
  <c r="AO200"/>
  <c r="AO192"/>
  <c r="AO190"/>
  <c r="AO178"/>
  <c r="AO170"/>
  <c r="AO160"/>
  <c r="AO152"/>
  <c r="AO269"/>
  <c r="AO260" i="3"/>
  <c r="AO260" i="2" s="1"/>
  <c r="AO261"/>
  <c r="AO227"/>
  <c r="AO221"/>
  <c r="AO212" i="3"/>
  <c r="AO212" i="2" s="1"/>
  <c r="AO213"/>
  <c r="AO182"/>
  <c r="AO172"/>
  <c r="AO162"/>
  <c r="AO154"/>
  <c r="AO297"/>
  <c r="AO255"/>
  <c r="AO159"/>
  <c r="AO141"/>
  <c r="AO132" i="3"/>
  <c r="AO132" i="2" s="1"/>
  <c r="AO133"/>
  <c r="AO131"/>
  <c r="AO123"/>
  <c r="AO113"/>
  <c r="AO105"/>
  <c r="AO95"/>
  <c r="AO87"/>
  <c r="AO77"/>
  <c r="AO68" i="3"/>
  <c r="AO68" i="2" s="1"/>
  <c r="AO69"/>
  <c r="AO67"/>
  <c r="AO59"/>
  <c r="AO49"/>
  <c r="AO184"/>
  <c r="AO183"/>
  <c r="AO157"/>
  <c r="AO143"/>
  <c r="AO135"/>
  <c r="AO125"/>
  <c r="AO116" i="3"/>
  <c r="AO116" i="2" s="1"/>
  <c r="AO117"/>
  <c r="AO115"/>
  <c r="AO107"/>
  <c r="AO97"/>
  <c r="AO89"/>
  <c r="AO79"/>
  <c r="AO71"/>
  <c r="AO61"/>
  <c r="AO52" i="3"/>
  <c r="AO52" i="2" s="1"/>
  <c r="AO53"/>
  <c r="AO51"/>
  <c r="AO43"/>
  <c r="AO225"/>
  <c r="AO163"/>
  <c r="AO156"/>
  <c r="AO155"/>
  <c r="AO140"/>
  <c r="AO130"/>
  <c r="AO122"/>
  <c r="AO112"/>
  <c r="AO104"/>
  <c r="AO94"/>
  <c r="AO86"/>
  <c r="AO76"/>
  <c r="AO66"/>
  <c r="AO58"/>
  <c r="AO48"/>
  <c r="AO306"/>
  <c r="AO266"/>
  <c r="AO247"/>
  <c r="AO220"/>
  <c r="AO187"/>
  <c r="AO142"/>
  <c r="AO134"/>
  <c r="AO124"/>
  <c r="AO114"/>
  <c r="AO106"/>
  <c r="AO96"/>
  <c r="AO88"/>
  <c r="AO78"/>
  <c r="AO70"/>
  <c r="AO60"/>
  <c r="AO50"/>
  <c r="AO42"/>
  <c r="AO254"/>
  <c r="AO185"/>
  <c r="AO151"/>
  <c r="AO146"/>
  <c r="AO145"/>
  <c r="AO138"/>
  <c r="AO137"/>
  <c r="AO82"/>
  <c r="AO81"/>
  <c r="AO74"/>
  <c r="AO73"/>
  <c r="AO38"/>
  <c r="AO28"/>
  <c r="AO18"/>
  <c r="AO10"/>
  <c r="AO296"/>
  <c r="AO210"/>
  <c r="AO144"/>
  <c r="AO136"/>
  <c r="AO111"/>
  <c r="AO103"/>
  <c r="AO80"/>
  <c r="AO72"/>
  <c r="AO47"/>
  <c r="AO33"/>
  <c r="AO25"/>
  <c r="AO15"/>
  <c r="AO110"/>
  <c r="AO109"/>
  <c r="AO102"/>
  <c r="AO100" i="3"/>
  <c r="AO100" i="2" s="1"/>
  <c r="AO101"/>
  <c r="AO46"/>
  <c r="AO45"/>
  <c r="AO40"/>
  <c r="AO30"/>
  <c r="AO22"/>
  <c r="AO12"/>
  <c r="AO268"/>
  <c r="AO226"/>
  <c r="AO223"/>
  <c r="AO215"/>
  <c r="AO175"/>
  <c r="AO108"/>
  <c r="AO44"/>
  <c r="AO36" i="3"/>
  <c r="AO36" i="2" s="1"/>
  <c r="AO37"/>
  <c r="AO35"/>
  <c r="AO27"/>
  <c r="AO17"/>
  <c r="AO9"/>
  <c r="AO294"/>
  <c r="AO177"/>
  <c r="AO167"/>
  <c r="AO166"/>
  <c r="AO127"/>
  <c r="AO126"/>
  <c r="AO121"/>
  <c r="AO120"/>
  <c r="AO63"/>
  <c r="AO62"/>
  <c r="AO57"/>
  <c r="AO56"/>
  <c r="AO32"/>
  <c r="AO24"/>
  <c r="AO8"/>
  <c r="AO246"/>
  <c r="AO129"/>
  <c r="AO128"/>
  <c r="AO65"/>
  <c r="AO64"/>
  <c r="AO7"/>
  <c r="AO318"/>
  <c r="AO169"/>
  <c r="AO148" i="3"/>
  <c r="AO148" i="2" s="1"/>
  <c r="AO149"/>
  <c r="AO91"/>
  <c r="AO90"/>
  <c r="AO84" i="3"/>
  <c r="AO84" i="2" s="1"/>
  <c r="AO85"/>
  <c r="AO31"/>
  <c r="AO23"/>
  <c r="AO16"/>
  <c r="AO6"/>
  <c r="AO252"/>
  <c r="AO196" i="3"/>
  <c r="AO196" i="2" s="1"/>
  <c r="AO197"/>
  <c r="AO99"/>
  <c r="AO98"/>
  <c r="AO93"/>
  <c r="AO92"/>
  <c r="AO29"/>
  <c r="AO20" i="3"/>
  <c r="AO20" i="2" s="1"/>
  <c r="AO21"/>
  <c r="AO14"/>
  <c r="AO174"/>
  <c r="AO55"/>
  <c r="AO54"/>
  <c r="AO39"/>
  <c r="AO205"/>
  <c r="AO41"/>
  <c r="AO19"/>
  <c r="AO11"/>
  <c r="AO173"/>
  <c r="AO13"/>
  <c r="AO83"/>
  <c r="AO75"/>
  <c r="AO195"/>
  <c r="AO139"/>
  <c r="AO119"/>
  <c r="AO26"/>
  <c r="AO34"/>
  <c r="AO118"/>
  <c r="AO4" i="3"/>
  <c r="AO4" i="2" s="1"/>
  <c r="AO5"/>
  <c r="AO202"/>
  <c r="AO147"/>
  <c r="AO164" i="3"/>
  <c r="AO164" i="2" s="1"/>
  <c r="AO165"/>
  <c r="T396"/>
  <c r="T380"/>
  <c r="T401"/>
  <c r="T393"/>
  <c r="T383"/>
  <c r="T375"/>
  <c r="T398"/>
  <c r="T390"/>
  <c r="T386"/>
  <c r="T378"/>
  <c r="T400"/>
  <c r="T382"/>
  <c r="T388" i="3"/>
  <c r="T388" i="2" s="1"/>
  <c r="T389"/>
  <c r="T384"/>
  <c r="T361"/>
  <c r="T394"/>
  <c r="T377"/>
  <c r="T371"/>
  <c r="T366"/>
  <c r="T358"/>
  <c r="T403"/>
  <c r="T399"/>
  <c r="T381"/>
  <c r="T379"/>
  <c r="T363"/>
  <c r="T392"/>
  <c r="T370"/>
  <c r="T368"/>
  <c r="T362"/>
  <c r="T354"/>
  <c r="T349"/>
  <c r="T340" i="3"/>
  <c r="T340" i="2" s="1"/>
  <c r="T341"/>
  <c r="T339"/>
  <c r="T387"/>
  <c r="T374"/>
  <c r="T360"/>
  <c r="T353"/>
  <c r="T351"/>
  <c r="T343"/>
  <c r="T397"/>
  <c r="T365"/>
  <c r="T348"/>
  <c r="T395"/>
  <c r="T359"/>
  <c r="T355"/>
  <c r="T350"/>
  <c r="T402"/>
  <c r="T372" i="3"/>
  <c r="T372" i="2" s="1"/>
  <c r="T373"/>
  <c r="T346"/>
  <c r="T331"/>
  <c r="T321"/>
  <c r="T313"/>
  <c r="T376"/>
  <c r="T369"/>
  <c r="T333"/>
  <c r="T324" i="3"/>
  <c r="T324" i="2" s="1"/>
  <c r="T325"/>
  <c r="T323"/>
  <c r="T315"/>
  <c r="T385"/>
  <c r="T338"/>
  <c r="T330"/>
  <c r="T320"/>
  <c r="T312"/>
  <c r="T332"/>
  <c r="T322"/>
  <c r="T299"/>
  <c r="T289"/>
  <c r="T281"/>
  <c r="T271"/>
  <c r="T263"/>
  <c r="T352"/>
  <c r="T347"/>
  <c r="T337"/>
  <c r="T318"/>
  <c r="T317"/>
  <c r="T304"/>
  <c r="T296"/>
  <c r="T286"/>
  <c r="T278"/>
  <c r="T268"/>
  <c r="T301"/>
  <c r="T292" i="3"/>
  <c r="T292" i="2" s="1"/>
  <c r="T293"/>
  <c r="T291"/>
  <c r="T283"/>
  <c r="T273"/>
  <c r="T265"/>
  <c r="T356" i="3"/>
  <c r="T356" i="2" s="1"/>
  <c r="T357"/>
  <c r="T314"/>
  <c r="T310"/>
  <c r="T308" i="3"/>
  <c r="T308" i="2" s="1"/>
  <c r="T309"/>
  <c r="T300"/>
  <c r="T290"/>
  <c r="T282"/>
  <c r="T272"/>
  <c r="T264"/>
  <c r="T298"/>
  <c r="T285"/>
  <c r="T276" i="3"/>
  <c r="T276" i="2" s="1"/>
  <c r="T277"/>
  <c r="T270"/>
  <c r="T260" i="3"/>
  <c r="T260" i="2" s="1"/>
  <c r="T261"/>
  <c r="T258"/>
  <c r="T250"/>
  <c r="T240"/>
  <c r="T232"/>
  <c r="T344"/>
  <c r="T342"/>
  <c r="T305"/>
  <c r="T297"/>
  <c r="T269"/>
  <c r="T252"/>
  <c r="T242"/>
  <c r="T234"/>
  <c r="T224"/>
  <c r="T336"/>
  <c r="T335"/>
  <c r="T257"/>
  <c r="T249"/>
  <c r="T239"/>
  <c r="T231"/>
  <c r="T367"/>
  <c r="T364"/>
  <c r="T326"/>
  <c r="T302"/>
  <c r="T294"/>
  <c r="T274"/>
  <c r="T266"/>
  <c r="T262"/>
  <c r="T259"/>
  <c r="T251"/>
  <c r="T241"/>
  <c r="T233"/>
  <c r="T329"/>
  <c r="T227"/>
  <c r="T226"/>
  <c r="T218"/>
  <c r="T208"/>
  <c r="T200"/>
  <c r="T190"/>
  <c r="T295"/>
  <c r="T256"/>
  <c r="T248"/>
  <c r="T223"/>
  <c r="T215"/>
  <c r="T205"/>
  <c r="T196" i="3"/>
  <c r="T196" i="2" s="1"/>
  <c r="T197"/>
  <c r="T195"/>
  <c r="T391"/>
  <c r="T306"/>
  <c r="T303"/>
  <c r="T230"/>
  <c r="T220"/>
  <c r="T210"/>
  <c r="T202"/>
  <c r="T192"/>
  <c r="T334"/>
  <c r="T319"/>
  <c r="T288"/>
  <c r="T287"/>
  <c r="T255"/>
  <c r="T254"/>
  <c r="T247"/>
  <c r="T246"/>
  <c r="T225"/>
  <c r="T217"/>
  <c r="T207"/>
  <c r="T199"/>
  <c r="T189"/>
  <c r="T307"/>
  <c r="T216"/>
  <c r="T188"/>
  <c r="T182"/>
  <c r="T172"/>
  <c r="T162"/>
  <c r="T154"/>
  <c r="T345"/>
  <c r="T279"/>
  <c r="T267"/>
  <c r="T222"/>
  <c r="T214"/>
  <c r="T177"/>
  <c r="T169"/>
  <c r="T159"/>
  <c r="T151"/>
  <c r="T316"/>
  <c r="T253"/>
  <c r="T244" i="3"/>
  <c r="T244" i="2" s="1"/>
  <c r="T245"/>
  <c r="T206"/>
  <c r="T198"/>
  <c r="T180" i="3"/>
  <c r="T180" i="2" s="1"/>
  <c r="T181"/>
  <c r="T179"/>
  <c r="T171"/>
  <c r="T161"/>
  <c r="T153"/>
  <c r="T228" i="3"/>
  <c r="T228" i="2" s="1"/>
  <c r="T229"/>
  <c r="T193"/>
  <c r="T183"/>
  <c r="T173"/>
  <c r="T164" i="3"/>
  <c r="T164" i="2" s="1"/>
  <c r="T165"/>
  <c r="T163"/>
  <c r="T155"/>
  <c r="T238"/>
  <c r="T237"/>
  <c r="T236"/>
  <c r="T204"/>
  <c r="T178"/>
  <c r="T170"/>
  <c r="T157"/>
  <c r="T156"/>
  <c r="T150"/>
  <c r="T142"/>
  <c r="T134"/>
  <c r="T124"/>
  <c r="T114"/>
  <c r="T106"/>
  <c r="T96"/>
  <c r="T88"/>
  <c r="T78"/>
  <c r="T70"/>
  <c r="T60"/>
  <c r="T50"/>
  <c r="T42"/>
  <c r="T191"/>
  <c r="T144"/>
  <c r="T136"/>
  <c r="T126"/>
  <c r="T118"/>
  <c r="T108"/>
  <c r="T98"/>
  <c r="T90"/>
  <c r="T80"/>
  <c r="T72"/>
  <c r="T62"/>
  <c r="T54"/>
  <c r="T44"/>
  <c r="T284"/>
  <c r="T243"/>
  <c r="T176"/>
  <c r="T168"/>
  <c r="T141"/>
  <c r="T132" i="3"/>
  <c r="T132" i="2" s="1"/>
  <c r="T133"/>
  <c r="T131"/>
  <c r="T123"/>
  <c r="T113"/>
  <c r="T105"/>
  <c r="T95"/>
  <c r="T87"/>
  <c r="T77"/>
  <c r="T68" i="3"/>
  <c r="T68" i="2" s="1"/>
  <c r="T69"/>
  <c r="T67"/>
  <c r="T59"/>
  <c r="T49"/>
  <c r="T311"/>
  <c r="T152"/>
  <c r="T143"/>
  <c r="T135"/>
  <c r="T125"/>
  <c r="T116" i="3"/>
  <c r="T116" i="2" s="1"/>
  <c r="T117"/>
  <c r="T115"/>
  <c r="T107"/>
  <c r="T97"/>
  <c r="T89"/>
  <c r="T79"/>
  <c r="T71"/>
  <c r="T61"/>
  <c r="T52" i="3"/>
  <c r="T52" i="2" s="1"/>
  <c r="T53"/>
  <c r="T51"/>
  <c r="T43"/>
  <c r="T327"/>
  <c r="T211"/>
  <c r="T160"/>
  <c r="T130"/>
  <c r="T122"/>
  <c r="T109"/>
  <c r="T100" i="3"/>
  <c r="T100" i="2" s="1"/>
  <c r="T101"/>
  <c r="T94"/>
  <c r="T86"/>
  <c r="T66"/>
  <c r="T58"/>
  <c r="T45"/>
  <c r="T39"/>
  <c r="T29"/>
  <c r="T20" i="3"/>
  <c r="T20" i="2" s="1"/>
  <c r="T21"/>
  <c r="T19"/>
  <c r="T11"/>
  <c r="T275"/>
  <c r="T158"/>
  <c r="T34"/>
  <c r="T26"/>
  <c r="T16"/>
  <c r="T328"/>
  <c r="T235"/>
  <c r="T194"/>
  <c r="T187"/>
  <c r="T186"/>
  <c r="T148" i="3"/>
  <c r="T148" i="2" s="1"/>
  <c r="T149"/>
  <c r="T129"/>
  <c r="T128"/>
  <c r="T121"/>
  <c r="T120"/>
  <c r="T93"/>
  <c r="T92"/>
  <c r="T84" i="3"/>
  <c r="T84" i="2" s="1"/>
  <c r="T85"/>
  <c r="T65"/>
  <c r="T64"/>
  <c r="T57"/>
  <c r="T56"/>
  <c r="T41"/>
  <c r="T31"/>
  <c r="T23"/>
  <c r="T13"/>
  <c r="T4" i="3"/>
  <c r="T4" i="2" s="1"/>
  <c r="T5"/>
  <c r="T280"/>
  <c r="T185"/>
  <c r="T184"/>
  <c r="T140"/>
  <c r="T127"/>
  <c r="T119"/>
  <c r="T99"/>
  <c r="T91"/>
  <c r="T76"/>
  <c r="T63"/>
  <c r="T55"/>
  <c r="T38"/>
  <c r="T28"/>
  <c r="T18"/>
  <c r="T10"/>
  <c r="T203"/>
  <c r="T145"/>
  <c r="T81"/>
  <c r="T139"/>
  <c r="T138"/>
  <c r="T75"/>
  <c r="T74"/>
  <c r="T9"/>
  <c r="T137"/>
  <c r="T73"/>
  <c r="T40"/>
  <c r="T14"/>
  <c r="T12"/>
  <c r="T219"/>
  <c r="T174"/>
  <c r="T112"/>
  <c r="T104"/>
  <c r="T48"/>
  <c r="T35"/>
  <c r="T27"/>
  <c r="T8"/>
  <c r="T7"/>
  <c r="T25"/>
  <c r="T167"/>
  <c r="T146"/>
  <c r="T147"/>
  <c r="T82"/>
  <c r="T32"/>
  <c r="T30"/>
  <c r="T221"/>
  <c r="T212" i="3"/>
  <c r="T212" i="2" s="1"/>
  <c r="T213"/>
  <c r="T209"/>
  <c r="T47"/>
  <c r="T17"/>
  <c r="T111"/>
  <c r="T83"/>
  <c r="T110"/>
  <c r="T103"/>
  <c r="T6"/>
  <c r="T175"/>
  <c r="T33"/>
  <c r="T22"/>
  <c r="T15"/>
  <c r="T102"/>
  <c r="T201"/>
  <c r="T166"/>
  <c r="T46"/>
  <c r="T36" i="3"/>
  <c r="T36" i="2" s="1"/>
  <c r="T37"/>
  <c r="T24"/>
  <c r="BI399"/>
  <c r="BI391"/>
  <c r="BI385"/>
  <c r="BI377"/>
  <c r="BI396"/>
  <c r="BI380"/>
  <c r="BI370"/>
  <c r="BI401"/>
  <c r="BI393"/>
  <c r="BI383"/>
  <c r="BI375"/>
  <c r="BI367"/>
  <c r="BI402"/>
  <c r="BI390"/>
  <c r="BI395"/>
  <c r="BI387"/>
  <c r="BI372" i="3"/>
  <c r="BI372" i="2" s="1"/>
  <c r="BI373"/>
  <c r="BI371"/>
  <c r="BI364"/>
  <c r="BI354"/>
  <c r="BI400"/>
  <c r="BI382"/>
  <c r="BI361"/>
  <c r="BI388" i="3"/>
  <c r="BI388" i="2" s="1"/>
  <c r="BI389"/>
  <c r="BI386"/>
  <c r="BI384"/>
  <c r="BI366"/>
  <c r="BI358"/>
  <c r="BI378"/>
  <c r="BI374"/>
  <c r="BI368"/>
  <c r="BI344"/>
  <c r="BI362"/>
  <c r="BI346"/>
  <c r="BI398"/>
  <c r="BI352"/>
  <c r="BI351"/>
  <c r="BI376"/>
  <c r="BI365"/>
  <c r="BI403"/>
  <c r="BI381"/>
  <c r="BI349"/>
  <c r="BI342"/>
  <c r="BI339"/>
  <c r="BI334"/>
  <c r="BI326"/>
  <c r="BI316"/>
  <c r="BI363"/>
  <c r="BI353"/>
  <c r="BI340" i="3"/>
  <c r="BI340" i="2" s="1"/>
  <c r="BI341"/>
  <c r="BI338"/>
  <c r="BI328"/>
  <c r="BI318"/>
  <c r="BI310"/>
  <c r="BI397"/>
  <c r="BI394"/>
  <c r="BI347"/>
  <c r="BI345"/>
  <c r="BI333"/>
  <c r="BI324" i="3"/>
  <c r="BI324" i="2" s="1"/>
  <c r="BI325"/>
  <c r="BI323"/>
  <c r="BI315"/>
  <c r="BI392"/>
  <c r="BI359"/>
  <c r="BI343"/>
  <c r="BI337"/>
  <c r="BI335"/>
  <c r="BI327"/>
  <c r="BI336"/>
  <c r="BI302"/>
  <c r="BI294"/>
  <c r="BI284"/>
  <c r="BI274"/>
  <c r="BI266"/>
  <c r="BI379"/>
  <c r="BI360"/>
  <c r="BI329"/>
  <c r="BI321"/>
  <c r="BI319"/>
  <c r="BI313"/>
  <c r="BI299"/>
  <c r="BI289"/>
  <c r="BI281"/>
  <c r="BI271"/>
  <c r="BI263"/>
  <c r="BI355"/>
  <c r="BI320"/>
  <c r="BI312"/>
  <c r="BI304"/>
  <c r="BI296"/>
  <c r="BI286"/>
  <c r="BI278"/>
  <c r="BI268"/>
  <c r="BI311"/>
  <c r="BI303"/>
  <c r="BI295"/>
  <c r="BI285"/>
  <c r="BI276" i="3"/>
  <c r="BI276" i="2" s="1"/>
  <c r="BI277"/>
  <c r="BI275"/>
  <c r="BI267"/>
  <c r="BI253"/>
  <c r="BI244" i="3"/>
  <c r="BI244" i="2" s="1"/>
  <c r="BI245"/>
  <c r="BI243"/>
  <c r="BI235"/>
  <c r="BI225"/>
  <c r="BI260" i="3"/>
  <c r="BI260" i="2" s="1"/>
  <c r="BI261"/>
  <c r="BI255"/>
  <c r="BI247"/>
  <c r="BI237"/>
  <c r="BI228" i="3"/>
  <c r="BI228" i="2" s="1"/>
  <c r="BI229"/>
  <c r="BI227"/>
  <c r="BI300"/>
  <c r="BI287"/>
  <c r="BI279"/>
  <c r="BI272"/>
  <c r="BI264"/>
  <c r="BI252"/>
  <c r="BI242"/>
  <c r="BI234"/>
  <c r="BI224"/>
  <c r="BI348"/>
  <c r="BI314"/>
  <c r="BI307"/>
  <c r="BI298"/>
  <c r="BI291"/>
  <c r="BI283"/>
  <c r="BI270"/>
  <c r="BI262"/>
  <c r="BI254"/>
  <c r="BI246"/>
  <c r="BI236"/>
  <c r="BI350"/>
  <c r="BI265"/>
  <c r="BI221"/>
  <c r="BI212" i="3"/>
  <c r="BI212" i="2" s="1"/>
  <c r="BI213"/>
  <c r="BI211"/>
  <c r="BI203"/>
  <c r="BI193"/>
  <c r="BI308" i="3"/>
  <c r="BI308" i="2" s="1"/>
  <c r="BI309"/>
  <c r="BI306"/>
  <c r="BI273"/>
  <c r="BI259"/>
  <c r="BI251"/>
  <c r="BI238"/>
  <c r="BI218"/>
  <c r="BI208"/>
  <c r="BI200"/>
  <c r="BI269"/>
  <c r="BI226"/>
  <c r="BI215"/>
  <c r="BI205"/>
  <c r="BI196" i="3"/>
  <c r="BI196" i="2" s="1"/>
  <c r="BI197"/>
  <c r="BI195"/>
  <c r="BI292" i="3"/>
  <c r="BI292" i="2" s="1"/>
  <c r="BI293"/>
  <c r="BI258"/>
  <c r="BI250"/>
  <c r="BI220"/>
  <c r="BI210"/>
  <c r="BI202"/>
  <c r="BI192"/>
  <c r="BI356" i="3"/>
  <c r="BI356" i="2" s="1"/>
  <c r="BI357"/>
  <c r="BI256"/>
  <c r="BI248"/>
  <c r="BI240"/>
  <c r="BI239"/>
  <c r="BI233"/>
  <c r="BI206"/>
  <c r="BI198"/>
  <c r="BI191"/>
  <c r="BI185"/>
  <c r="BI175"/>
  <c r="BI167"/>
  <c r="BI157"/>
  <c r="BI369"/>
  <c r="BI280"/>
  <c r="BI232"/>
  <c r="BI231"/>
  <c r="BI219"/>
  <c r="BI204"/>
  <c r="BI187"/>
  <c r="BI182"/>
  <c r="BI172"/>
  <c r="BI162"/>
  <c r="BI154"/>
  <c r="BI282"/>
  <c r="BI184"/>
  <c r="BI174"/>
  <c r="BI166"/>
  <c r="BI156"/>
  <c r="BI322"/>
  <c r="BI301"/>
  <c r="BI216"/>
  <c r="BI207"/>
  <c r="BI199"/>
  <c r="BI186"/>
  <c r="BI176"/>
  <c r="BI168"/>
  <c r="BI158"/>
  <c r="BI241"/>
  <c r="BI230"/>
  <c r="BI223"/>
  <c r="BI222"/>
  <c r="BI217"/>
  <c r="BI214"/>
  <c r="BI151"/>
  <c r="BI145"/>
  <c r="BI137"/>
  <c r="BI127"/>
  <c r="BI119"/>
  <c r="BI109"/>
  <c r="BI100" i="3"/>
  <c r="BI100" i="2" s="1"/>
  <c r="BI101"/>
  <c r="BI99"/>
  <c r="BI91"/>
  <c r="BI81"/>
  <c r="BI73"/>
  <c r="BI63"/>
  <c r="BI55"/>
  <c r="BI45"/>
  <c r="BI288"/>
  <c r="BI159"/>
  <c r="BI150"/>
  <c r="BI148" i="3"/>
  <c r="BI148" i="2" s="1"/>
  <c r="BI149"/>
  <c r="BI147"/>
  <c r="BI139"/>
  <c r="BI129"/>
  <c r="BI121"/>
  <c r="BI111"/>
  <c r="BI103"/>
  <c r="BI93"/>
  <c r="BI84" i="3"/>
  <c r="BI84" i="2" s="1"/>
  <c r="BI85"/>
  <c r="BI83"/>
  <c r="BI75"/>
  <c r="BI65"/>
  <c r="BI57"/>
  <c r="BI47"/>
  <c r="BI305"/>
  <c r="BI209"/>
  <c r="BI201"/>
  <c r="BI190"/>
  <c r="BI189"/>
  <c r="BI179"/>
  <c r="BI171"/>
  <c r="BI144"/>
  <c r="BI136"/>
  <c r="BI126"/>
  <c r="BI118"/>
  <c r="BI108"/>
  <c r="BI98"/>
  <c r="BI90"/>
  <c r="BI80"/>
  <c r="BI72"/>
  <c r="BI62"/>
  <c r="BI54"/>
  <c r="BI44"/>
  <c r="BI188"/>
  <c r="BI178"/>
  <c r="BI170"/>
  <c r="BI163"/>
  <c r="BI155"/>
  <c r="BI146"/>
  <c r="BI138"/>
  <c r="BI128"/>
  <c r="BI120"/>
  <c r="BI110"/>
  <c r="BI102"/>
  <c r="BI92"/>
  <c r="BI82"/>
  <c r="BI74"/>
  <c r="BI64"/>
  <c r="BI56"/>
  <c r="BI46"/>
  <c r="BI257"/>
  <c r="BI249"/>
  <c r="BI194"/>
  <c r="BI140"/>
  <c r="BI125"/>
  <c r="BI116" i="3"/>
  <c r="BI116" i="2" s="1"/>
  <c r="BI117"/>
  <c r="BI113"/>
  <c r="BI105"/>
  <c r="BI97"/>
  <c r="BI89"/>
  <c r="BI76"/>
  <c r="BI61"/>
  <c r="BI52" i="3"/>
  <c r="BI52" i="2" s="1"/>
  <c r="BI53"/>
  <c r="BI49"/>
  <c r="BI41"/>
  <c r="BI32"/>
  <c r="BI24"/>
  <c r="BI14"/>
  <c r="BI6"/>
  <c r="BI331"/>
  <c r="BI177"/>
  <c r="BI173"/>
  <c r="BI39"/>
  <c r="BI29"/>
  <c r="BI20" i="3"/>
  <c r="BI20" i="2" s="1"/>
  <c r="BI21"/>
  <c r="BI19"/>
  <c r="BI11"/>
  <c r="BI169"/>
  <c r="BI164" i="3"/>
  <c r="BI164" i="2" s="1"/>
  <c r="BI165"/>
  <c r="BI153"/>
  <c r="BI152"/>
  <c r="BI124"/>
  <c r="BI112"/>
  <c r="BI104"/>
  <c r="BI96"/>
  <c r="BI88"/>
  <c r="BI60"/>
  <c r="BI48"/>
  <c r="BI34"/>
  <c r="BI26"/>
  <c r="BI16"/>
  <c r="BI8"/>
  <c r="BI332"/>
  <c r="BI317"/>
  <c r="BI290"/>
  <c r="BI161"/>
  <c r="BI160"/>
  <c r="BI143"/>
  <c r="BI135"/>
  <c r="BI131"/>
  <c r="BI123"/>
  <c r="BI95"/>
  <c r="BI87"/>
  <c r="BI79"/>
  <c r="BI71"/>
  <c r="BI67"/>
  <c r="BI59"/>
  <c r="BI31"/>
  <c r="BI23"/>
  <c r="BI13"/>
  <c r="BI4" i="3"/>
  <c r="BI4" i="2" s="1"/>
  <c r="BI5"/>
  <c r="BI86"/>
  <c r="BI38"/>
  <c r="BI35"/>
  <c r="BI27"/>
  <c r="BI18"/>
  <c r="BI10"/>
  <c r="BI94"/>
  <c r="BI33"/>
  <c r="BI25"/>
  <c r="BI183"/>
  <c r="BI180" i="3"/>
  <c r="BI180" i="2" s="1"/>
  <c r="BI181"/>
  <c r="BI142"/>
  <c r="BI141"/>
  <c r="BI78"/>
  <c r="BI77"/>
  <c r="BI36" i="3"/>
  <c r="BI36" i="2" s="1"/>
  <c r="BI37"/>
  <c r="BI17"/>
  <c r="BI9"/>
  <c r="BI66"/>
  <c r="BI297"/>
  <c r="BI115"/>
  <c r="BI330"/>
  <c r="BI114"/>
  <c r="BI51"/>
  <c r="BI28"/>
  <c r="BI7"/>
  <c r="BI106"/>
  <c r="BI43"/>
  <c r="BI68" i="3"/>
  <c r="BI68" i="2" s="1"/>
  <c r="BI69"/>
  <c r="BI40"/>
  <c r="BI22"/>
  <c r="BI15"/>
  <c r="BI70"/>
  <c r="BI42"/>
  <c r="BI132" i="3"/>
  <c r="BI132" i="2" s="1"/>
  <c r="BI133"/>
  <c r="BI58"/>
  <c r="BI30"/>
  <c r="BI130"/>
  <c r="BI50"/>
  <c r="BI134"/>
  <c r="BI12"/>
  <c r="BI122"/>
  <c r="BI107"/>
  <c r="AK399"/>
  <c r="AK391"/>
  <c r="AK385"/>
  <c r="AK377"/>
  <c r="AK396"/>
  <c r="AK380"/>
  <c r="AK370"/>
  <c r="AK401"/>
  <c r="AK393"/>
  <c r="AK383"/>
  <c r="AK375"/>
  <c r="AK367"/>
  <c r="AK397"/>
  <c r="AK378"/>
  <c r="AK376"/>
  <c r="AK402"/>
  <c r="AK390"/>
  <c r="AK364"/>
  <c r="AK354"/>
  <c r="AK395"/>
  <c r="AK387"/>
  <c r="AK372" i="3"/>
  <c r="AK372" i="2" s="1"/>
  <c r="AK373"/>
  <c r="AK369"/>
  <c r="AK361"/>
  <c r="AK400"/>
  <c r="AK382"/>
  <c r="AK366"/>
  <c r="AK358"/>
  <c r="AK384"/>
  <c r="AK363"/>
  <c r="AK359"/>
  <c r="AK355"/>
  <c r="AK344"/>
  <c r="AK379"/>
  <c r="AK356" i="3"/>
  <c r="AK356" i="2" s="1"/>
  <c r="AK357"/>
  <c r="AK346"/>
  <c r="AK388" i="3"/>
  <c r="AK388" i="2" s="1"/>
  <c r="AK389"/>
  <c r="AK386"/>
  <c r="AK362"/>
  <c r="AK351"/>
  <c r="AK381"/>
  <c r="AK360"/>
  <c r="AK394"/>
  <c r="AK352"/>
  <c r="AK340" i="3"/>
  <c r="AK340" i="2" s="1"/>
  <c r="AK341"/>
  <c r="AK338"/>
  <c r="AK334"/>
  <c r="AK326"/>
  <c r="AK316"/>
  <c r="AK392"/>
  <c r="AK365"/>
  <c r="AK350"/>
  <c r="AK328"/>
  <c r="AK318"/>
  <c r="AK310"/>
  <c r="AK343"/>
  <c r="AK337"/>
  <c r="AK333"/>
  <c r="AK324" i="3"/>
  <c r="AK324" i="2" s="1"/>
  <c r="AK325"/>
  <c r="AK323"/>
  <c r="AK315"/>
  <c r="AK403"/>
  <c r="AK348"/>
  <c r="AK335"/>
  <c r="AK327"/>
  <c r="AK332"/>
  <c r="AK314"/>
  <c r="AK308" i="3"/>
  <c r="AK308" i="2" s="1"/>
  <c r="AK309"/>
  <c r="AK302"/>
  <c r="AK294"/>
  <c r="AK284"/>
  <c r="AK274"/>
  <c r="AK266"/>
  <c r="AK398"/>
  <c r="AK371"/>
  <c r="AK307"/>
  <c r="AK299"/>
  <c r="AK289"/>
  <c r="AK281"/>
  <c r="AK271"/>
  <c r="AK263"/>
  <c r="AK353"/>
  <c r="AK342"/>
  <c r="AK331"/>
  <c r="AK319"/>
  <c r="AK313"/>
  <c r="AK304"/>
  <c r="AK296"/>
  <c r="AK286"/>
  <c r="AK278"/>
  <c r="AK268"/>
  <c r="AK349"/>
  <c r="AK329"/>
  <c r="AK321"/>
  <c r="AK303"/>
  <c r="AK295"/>
  <c r="AK285"/>
  <c r="AK276" i="3"/>
  <c r="AK276" i="2" s="1"/>
  <c r="AK277"/>
  <c r="AK275"/>
  <c r="AK267"/>
  <c r="AK345"/>
  <c r="AK262"/>
  <c r="AK253"/>
  <c r="AK244" i="3"/>
  <c r="AK244" i="2" s="1"/>
  <c r="AK245"/>
  <c r="AK243"/>
  <c r="AK235"/>
  <c r="AK225"/>
  <c r="AK322"/>
  <c r="AK317"/>
  <c r="AK255"/>
  <c r="AK247"/>
  <c r="AK237"/>
  <c r="AK228" i="3"/>
  <c r="AK228" i="2" s="1"/>
  <c r="AK229"/>
  <c r="AK227"/>
  <c r="AK320"/>
  <c r="AK305"/>
  <c r="AK297"/>
  <c r="AK290"/>
  <c r="AK282"/>
  <c r="AK269"/>
  <c r="AK260" i="3"/>
  <c r="AK260" i="2" s="1"/>
  <c r="AK261"/>
  <c r="AK252"/>
  <c r="AK242"/>
  <c r="AK234"/>
  <c r="AK224"/>
  <c r="AK306"/>
  <c r="AK301"/>
  <c r="AK292" i="3"/>
  <c r="AK292" i="2" s="1"/>
  <c r="AK293"/>
  <c r="AK288"/>
  <c r="AK280"/>
  <c r="AK273"/>
  <c r="AK265"/>
  <c r="AK254"/>
  <c r="AK246"/>
  <c r="AK236"/>
  <c r="AK287"/>
  <c r="AK283"/>
  <c r="AK257"/>
  <c r="AK249"/>
  <c r="AK241"/>
  <c r="AK233"/>
  <c r="AK221"/>
  <c r="AK212" i="3"/>
  <c r="AK212" i="2" s="1"/>
  <c r="AK213"/>
  <c r="AK211"/>
  <c r="AK203"/>
  <c r="AK193"/>
  <c r="AK368"/>
  <c r="AK347"/>
  <c r="AK339"/>
  <c r="AK279"/>
  <c r="AK218"/>
  <c r="AK208"/>
  <c r="AK200"/>
  <c r="AK374"/>
  <c r="AK330"/>
  <c r="AK311"/>
  <c r="AK264"/>
  <c r="AK256"/>
  <c r="AK248"/>
  <c r="AK240"/>
  <c r="AK232"/>
  <c r="AK231"/>
  <c r="AK223"/>
  <c r="AK215"/>
  <c r="AK205"/>
  <c r="AK196" i="3"/>
  <c r="AK196" i="2" s="1"/>
  <c r="AK197"/>
  <c r="AK195"/>
  <c r="AK272"/>
  <c r="AK270"/>
  <c r="AK239"/>
  <c r="AK226"/>
  <c r="AK220"/>
  <c r="AK210"/>
  <c r="AK202"/>
  <c r="AK192"/>
  <c r="AK259"/>
  <c r="AK251"/>
  <c r="AK209"/>
  <c r="AK201"/>
  <c r="AK190"/>
  <c r="AK185"/>
  <c r="AK175"/>
  <c r="AK167"/>
  <c r="AK157"/>
  <c r="AK238"/>
  <c r="AK216"/>
  <c r="AK207"/>
  <c r="AK199"/>
  <c r="AK191"/>
  <c r="AK182"/>
  <c r="AK172"/>
  <c r="AK162"/>
  <c r="AK154"/>
  <c r="AK300"/>
  <c r="AK298"/>
  <c r="AK184"/>
  <c r="AK174"/>
  <c r="AK166"/>
  <c r="AK156"/>
  <c r="AK219"/>
  <c r="AK204"/>
  <c r="AK194"/>
  <c r="AK188"/>
  <c r="AK186"/>
  <c r="AK176"/>
  <c r="AK168"/>
  <c r="AK158"/>
  <c r="AK336"/>
  <c r="AK312"/>
  <c r="AK183"/>
  <c r="AK152"/>
  <c r="AK145"/>
  <c r="AK137"/>
  <c r="AK127"/>
  <c r="AK119"/>
  <c r="AK109"/>
  <c r="AK100" i="3"/>
  <c r="AK100" i="2" s="1"/>
  <c r="AK101"/>
  <c r="AK99"/>
  <c r="AK91"/>
  <c r="AK81"/>
  <c r="AK73"/>
  <c r="AK63"/>
  <c r="AK55"/>
  <c r="AK45"/>
  <c r="AK222"/>
  <c r="AK217"/>
  <c r="AK214"/>
  <c r="AK189"/>
  <c r="AK180" i="3"/>
  <c r="AK180" i="2" s="1"/>
  <c r="AK181"/>
  <c r="AK177"/>
  <c r="AK169"/>
  <c r="AK148" i="3"/>
  <c r="AK148" i="2" s="1"/>
  <c r="AK149"/>
  <c r="AK147"/>
  <c r="AK139"/>
  <c r="AK129"/>
  <c r="AK121"/>
  <c r="AK111"/>
  <c r="AK103"/>
  <c r="AK93"/>
  <c r="AK84" i="3"/>
  <c r="AK84" i="2" s="1"/>
  <c r="AK85"/>
  <c r="AK83"/>
  <c r="AK75"/>
  <c r="AK65"/>
  <c r="AK57"/>
  <c r="AK47"/>
  <c r="AK187"/>
  <c r="AK161"/>
  <c r="AK153"/>
  <c r="AK150"/>
  <c r="AK144"/>
  <c r="AK136"/>
  <c r="AK126"/>
  <c r="AK118"/>
  <c r="AK108"/>
  <c r="AK98"/>
  <c r="AK90"/>
  <c r="AK80"/>
  <c r="AK72"/>
  <c r="AK62"/>
  <c r="AK54"/>
  <c r="AK44"/>
  <c r="AK230"/>
  <c r="AK173"/>
  <c r="AK164" i="3"/>
  <c r="AK164" i="2" s="1"/>
  <c r="AK165"/>
  <c r="AK160"/>
  <c r="AK146"/>
  <c r="AK138"/>
  <c r="AK128"/>
  <c r="AK120"/>
  <c r="AK110"/>
  <c r="AK102"/>
  <c r="AK92"/>
  <c r="AK82"/>
  <c r="AK74"/>
  <c r="AK64"/>
  <c r="AK56"/>
  <c r="AK46"/>
  <c r="AK32"/>
  <c r="AK24"/>
  <c r="AK14"/>
  <c r="AK6"/>
  <c r="AK142"/>
  <c r="AK134"/>
  <c r="AK130"/>
  <c r="AK122"/>
  <c r="AK115"/>
  <c r="AK107"/>
  <c r="AK94"/>
  <c r="AK86"/>
  <c r="AK78"/>
  <c r="AK70"/>
  <c r="AK66"/>
  <c r="AK58"/>
  <c r="AK51"/>
  <c r="AK43"/>
  <c r="AK39"/>
  <c r="AK29"/>
  <c r="AK20" i="3"/>
  <c r="AK20" i="2" s="1"/>
  <c r="AK21"/>
  <c r="AK19"/>
  <c r="AK11"/>
  <c r="AK179"/>
  <c r="AK141"/>
  <c r="AK132" i="3"/>
  <c r="AK132" i="2" s="1"/>
  <c r="AK133"/>
  <c r="AK77"/>
  <c r="AK68" i="3"/>
  <c r="AK68" i="2" s="1"/>
  <c r="AK69"/>
  <c r="AK34"/>
  <c r="AK26"/>
  <c r="AK16"/>
  <c r="AK8"/>
  <c r="AK250"/>
  <c r="AK198"/>
  <c r="AK178"/>
  <c r="AK171"/>
  <c r="AK114"/>
  <c r="AK106"/>
  <c r="AK50"/>
  <c r="AK42"/>
  <c r="AK41"/>
  <c r="AK31"/>
  <c r="AK23"/>
  <c r="AK13"/>
  <c r="AK4" i="3"/>
  <c r="AK4" i="2" s="1"/>
  <c r="AK5"/>
  <c r="AK206"/>
  <c r="AK123"/>
  <c r="AK112"/>
  <c r="AK104"/>
  <c r="AK97"/>
  <c r="AK59"/>
  <c r="AK48"/>
  <c r="AK30"/>
  <c r="AK22"/>
  <c r="AK15"/>
  <c r="AK170"/>
  <c r="AK131"/>
  <c r="AK88"/>
  <c r="AK67"/>
  <c r="AK28"/>
  <c r="AK10"/>
  <c r="AK151"/>
  <c r="AK96"/>
  <c r="AK87"/>
  <c r="AK95"/>
  <c r="AK40"/>
  <c r="AK12"/>
  <c r="AK258"/>
  <c r="AK61"/>
  <c r="AK159"/>
  <c r="AK140"/>
  <c r="AK124"/>
  <c r="AK105"/>
  <c r="AK36" i="3"/>
  <c r="AK36" i="2" s="1"/>
  <c r="AK37"/>
  <c r="AK291"/>
  <c r="AK143"/>
  <c r="AK76"/>
  <c r="AK60"/>
  <c r="AK17"/>
  <c r="AK155"/>
  <c r="AK71"/>
  <c r="AK52" i="3"/>
  <c r="AK52" i="2" s="1"/>
  <c r="AK53"/>
  <c r="AK25"/>
  <c r="AK135"/>
  <c r="AK33"/>
  <c r="AK7"/>
  <c r="AK79"/>
  <c r="AK125"/>
  <c r="AK113"/>
  <c r="AK49"/>
  <c r="AK38"/>
  <c r="AK116" i="3"/>
  <c r="AK116" i="2" s="1"/>
  <c r="AK117"/>
  <c r="AK89"/>
  <c r="AK163"/>
  <c r="AK18"/>
  <c r="AK35"/>
  <c r="AK9"/>
  <c r="AK27"/>
  <c r="AT402"/>
  <c r="AT394"/>
  <c r="AT382"/>
  <c r="AT374"/>
  <c r="AT399"/>
  <c r="AT391"/>
  <c r="AT385"/>
  <c r="AT377"/>
  <c r="AT396"/>
  <c r="AT380"/>
  <c r="AT370"/>
  <c r="AT395"/>
  <c r="AT387"/>
  <c r="AT375"/>
  <c r="AT372" i="3"/>
  <c r="AT372" i="2" s="1"/>
  <c r="AT373"/>
  <c r="AT400"/>
  <c r="AT369"/>
  <c r="AT359"/>
  <c r="AT388" i="3"/>
  <c r="AT388" i="2" s="1"/>
  <c r="AT389"/>
  <c r="AT386"/>
  <c r="AT384"/>
  <c r="AT364"/>
  <c r="AT354"/>
  <c r="AT398"/>
  <c r="AT393"/>
  <c r="AT361"/>
  <c r="AT376"/>
  <c r="AT356" i="3"/>
  <c r="AT356" i="2" s="1"/>
  <c r="AT357"/>
  <c r="AT347"/>
  <c r="AT337"/>
  <c r="AT390"/>
  <c r="AT366"/>
  <c r="AT349"/>
  <c r="AT340" i="3"/>
  <c r="AT340" i="2" s="1"/>
  <c r="AT341"/>
  <c r="AT339"/>
  <c r="AT401"/>
  <c r="AT378"/>
  <c r="AT360"/>
  <c r="AT346"/>
  <c r="AT348"/>
  <c r="AT397"/>
  <c r="AT329"/>
  <c r="AT319"/>
  <c r="AT311"/>
  <c r="AT345"/>
  <c r="AT343"/>
  <c r="AT331"/>
  <c r="AT321"/>
  <c r="AT313"/>
  <c r="AT392"/>
  <c r="AT368"/>
  <c r="AT362"/>
  <c r="AT328"/>
  <c r="AT318"/>
  <c r="AT310"/>
  <c r="AT365"/>
  <c r="AT363"/>
  <c r="AT342"/>
  <c r="AT330"/>
  <c r="AT320"/>
  <c r="AT350"/>
  <c r="AT322"/>
  <c r="AT307"/>
  <c r="AT305"/>
  <c r="AT297"/>
  <c r="AT287"/>
  <c r="AT279"/>
  <c r="AT269"/>
  <c r="AT260" i="3"/>
  <c r="AT260" i="2" s="1"/>
  <c r="AT261"/>
  <c r="AT312"/>
  <c r="AT302"/>
  <c r="AT294"/>
  <c r="AT284"/>
  <c r="AT274"/>
  <c r="AT266"/>
  <c r="AT371"/>
  <c r="AT358"/>
  <c r="AT336"/>
  <c r="AT317"/>
  <c r="AT299"/>
  <c r="AT289"/>
  <c r="AT281"/>
  <c r="AT271"/>
  <c r="AT263"/>
  <c r="AT383"/>
  <c r="AT332"/>
  <c r="AT298"/>
  <c r="AT288"/>
  <c r="AT280"/>
  <c r="AT270"/>
  <c r="AT262"/>
  <c r="AT403"/>
  <c r="AT355"/>
  <c r="AT314"/>
  <c r="AT306"/>
  <c r="AT304"/>
  <c r="AT296"/>
  <c r="AT290"/>
  <c r="AT282"/>
  <c r="AT268"/>
  <c r="AT256"/>
  <c r="AT248"/>
  <c r="AT238"/>
  <c r="AT230"/>
  <c r="AT379"/>
  <c r="AT334"/>
  <c r="AT333"/>
  <c r="AT327"/>
  <c r="AT301"/>
  <c r="AT292" i="3"/>
  <c r="AT292" i="2" s="1"/>
  <c r="AT293"/>
  <c r="AT273"/>
  <c r="AT265"/>
  <c r="AT258"/>
  <c r="AT250"/>
  <c r="AT240"/>
  <c r="AT232"/>
  <c r="AT326"/>
  <c r="AT324" i="3"/>
  <c r="AT324" i="2" s="1"/>
  <c r="AT325"/>
  <c r="AT255"/>
  <c r="AT247"/>
  <c r="AT237"/>
  <c r="AT228" i="3"/>
  <c r="AT228" i="2" s="1"/>
  <c r="AT229"/>
  <c r="AT227"/>
  <c r="AT285"/>
  <c r="AT276" i="3"/>
  <c r="AT276" i="2" s="1"/>
  <c r="AT277"/>
  <c r="AT257"/>
  <c r="AT249"/>
  <c r="AT239"/>
  <c r="AT231"/>
  <c r="AT344"/>
  <c r="AT300"/>
  <c r="AT295"/>
  <c r="AT254"/>
  <c r="AT246"/>
  <c r="AT216"/>
  <c r="AT206"/>
  <c r="AT198"/>
  <c r="AT188"/>
  <c r="AT381"/>
  <c r="AT352"/>
  <c r="AT316"/>
  <c r="AT303"/>
  <c r="AT291"/>
  <c r="AT253"/>
  <c r="AT252"/>
  <c r="AT244" i="3"/>
  <c r="AT244" i="2" s="1"/>
  <c r="AT245"/>
  <c r="AT226"/>
  <c r="AT221"/>
  <c r="AT212" i="3"/>
  <c r="AT212" i="2" s="1"/>
  <c r="AT213"/>
  <c r="AT211"/>
  <c r="AT203"/>
  <c r="AT286"/>
  <c r="AT283"/>
  <c r="AT259"/>
  <c r="AT251"/>
  <c r="AT218"/>
  <c r="AT208"/>
  <c r="AT200"/>
  <c r="AT338"/>
  <c r="AT323"/>
  <c r="AT278"/>
  <c r="AT236"/>
  <c r="AT225"/>
  <c r="AT224"/>
  <c r="AT223"/>
  <c r="AT215"/>
  <c r="AT205"/>
  <c r="AT196" i="3"/>
  <c r="AT196" i="2" s="1"/>
  <c r="AT197"/>
  <c r="AT195"/>
  <c r="AT187"/>
  <c r="AT264"/>
  <c r="AT220"/>
  <c r="AT178"/>
  <c r="AT170"/>
  <c r="AT160"/>
  <c r="AT152"/>
  <c r="AT272"/>
  <c r="AT189"/>
  <c r="AT185"/>
  <c r="AT175"/>
  <c r="AT167"/>
  <c r="AT157"/>
  <c r="AT243"/>
  <c r="AT242"/>
  <c r="AT217"/>
  <c r="AT210"/>
  <c r="AT202"/>
  <c r="AT194"/>
  <c r="AT177"/>
  <c r="AT169"/>
  <c r="AT159"/>
  <c r="AT151"/>
  <c r="AT351"/>
  <c r="AT275"/>
  <c r="AT233"/>
  <c r="AT209"/>
  <c r="AT201"/>
  <c r="AT193"/>
  <c r="AT192"/>
  <c r="AT180" i="3"/>
  <c r="AT180" i="2" s="1"/>
  <c r="AT181"/>
  <c r="AT179"/>
  <c r="AT171"/>
  <c r="AT161"/>
  <c r="AT153"/>
  <c r="AT176"/>
  <c r="AT168"/>
  <c r="AT140"/>
  <c r="AT130"/>
  <c r="AT122"/>
  <c r="AT112"/>
  <c r="AT104"/>
  <c r="AT94"/>
  <c r="AT86"/>
  <c r="AT76"/>
  <c r="AT66"/>
  <c r="AT58"/>
  <c r="AT48"/>
  <c r="AT267"/>
  <c r="AT234"/>
  <c r="AT173"/>
  <c r="AT164" i="3"/>
  <c r="AT164" i="2" s="1"/>
  <c r="AT165"/>
  <c r="AT142"/>
  <c r="AT134"/>
  <c r="AT124"/>
  <c r="AT114"/>
  <c r="AT106"/>
  <c r="AT96"/>
  <c r="AT88"/>
  <c r="AT78"/>
  <c r="AT70"/>
  <c r="AT60"/>
  <c r="AT50"/>
  <c r="AT42"/>
  <c r="AT235"/>
  <c r="AT191"/>
  <c r="AT186"/>
  <c r="AT172"/>
  <c r="AT148" i="3"/>
  <c r="AT148" i="2" s="1"/>
  <c r="AT149"/>
  <c r="AT147"/>
  <c r="AT139"/>
  <c r="AT129"/>
  <c r="AT121"/>
  <c r="AT111"/>
  <c r="AT103"/>
  <c r="AT93"/>
  <c r="AT84" i="3"/>
  <c r="AT84" i="2" s="1"/>
  <c r="AT85"/>
  <c r="AT83"/>
  <c r="AT75"/>
  <c r="AT65"/>
  <c r="AT57"/>
  <c r="AT47"/>
  <c r="AT335"/>
  <c r="AT222"/>
  <c r="AT219"/>
  <c r="AT214"/>
  <c r="AT183"/>
  <c r="AT156"/>
  <c r="AT141"/>
  <c r="AT132" i="3"/>
  <c r="AT132" i="2" s="1"/>
  <c r="AT133"/>
  <c r="AT131"/>
  <c r="AT123"/>
  <c r="AT113"/>
  <c r="AT105"/>
  <c r="AT95"/>
  <c r="AT87"/>
  <c r="AT77"/>
  <c r="AT68" i="3"/>
  <c r="AT68" i="2" s="1"/>
  <c r="AT69"/>
  <c r="AT67"/>
  <c r="AT59"/>
  <c r="AT49"/>
  <c r="AT308" i="3"/>
  <c r="AT308" i="2" s="1"/>
  <c r="AT309"/>
  <c r="AT207"/>
  <c r="AT204"/>
  <c r="AT162"/>
  <c r="AT127"/>
  <c r="AT126"/>
  <c r="AT119"/>
  <c r="AT118"/>
  <c r="AT99"/>
  <c r="AT98"/>
  <c r="AT91"/>
  <c r="AT90"/>
  <c r="AT63"/>
  <c r="AT62"/>
  <c r="AT55"/>
  <c r="AT54"/>
  <c r="AT36" i="3"/>
  <c r="AT36" i="2" s="1"/>
  <c r="AT37"/>
  <c r="AT35"/>
  <c r="AT27"/>
  <c r="AT17"/>
  <c r="AT9"/>
  <c r="AT353"/>
  <c r="AT184"/>
  <c r="AT182"/>
  <c r="AT125"/>
  <c r="AT116" i="3"/>
  <c r="AT116" i="2" s="1"/>
  <c r="AT117"/>
  <c r="AT97"/>
  <c r="AT89"/>
  <c r="AT61"/>
  <c r="AT52" i="3"/>
  <c r="AT52" i="2" s="1"/>
  <c r="AT53"/>
  <c r="AT32"/>
  <c r="AT24"/>
  <c r="AT14"/>
  <c r="AT146"/>
  <c r="AT138"/>
  <c r="AT82"/>
  <c r="AT74"/>
  <c r="AT39"/>
  <c r="AT29"/>
  <c r="AT20" i="3"/>
  <c r="AT20" i="2" s="1"/>
  <c r="AT21"/>
  <c r="AT19"/>
  <c r="AT11"/>
  <c r="AT190"/>
  <c r="AT145"/>
  <c r="AT144"/>
  <c r="AT137"/>
  <c r="AT136"/>
  <c r="AT81"/>
  <c r="AT80"/>
  <c r="AT73"/>
  <c r="AT72"/>
  <c r="AT34"/>
  <c r="AT26"/>
  <c r="AT16"/>
  <c r="AT8"/>
  <c r="AT367"/>
  <c r="AT163"/>
  <c r="AT158"/>
  <c r="AT154"/>
  <c r="AT135"/>
  <c r="AT71"/>
  <c r="AT40"/>
  <c r="AT12"/>
  <c r="AT166"/>
  <c r="AT150"/>
  <c r="AT38"/>
  <c r="AT18"/>
  <c r="AT120"/>
  <c r="AT115"/>
  <c r="AT110"/>
  <c r="AT108"/>
  <c r="AT107"/>
  <c r="AT102"/>
  <c r="AT56"/>
  <c r="AT51"/>
  <c r="AT46"/>
  <c r="AT44"/>
  <c r="AT43"/>
  <c r="AT33"/>
  <c r="AT25"/>
  <c r="AT128"/>
  <c r="AT109"/>
  <c r="AT100" i="3"/>
  <c r="AT100" i="2" s="1"/>
  <c r="AT101"/>
  <c r="AT64"/>
  <c r="AT45"/>
  <c r="AT31"/>
  <c r="AT23"/>
  <c r="AT315"/>
  <c r="AT30"/>
  <c r="AT6"/>
  <c r="AT174"/>
  <c r="AT22"/>
  <c r="AT92"/>
  <c r="AT41"/>
  <c r="AT10"/>
  <c r="AT241"/>
  <c r="AT155"/>
  <c r="AT28"/>
  <c r="AT143"/>
  <c r="AT4" i="3"/>
  <c r="AT4" i="2" s="1"/>
  <c r="AT5"/>
  <c r="AT199"/>
  <c r="AT15"/>
  <c r="AT13"/>
  <c r="AT7"/>
  <c r="AT79"/>
  <c r="BH396"/>
  <c r="BH380"/>
  <c r="BH401"/>
  <c r="BH393"/>
  <c r="BH383"/>
  <c r="BH375"/>
  <c r="BH367"/>
  <c r="BH398"/>
  <c r="BH390"/>
  <c r="BH386"/>
  <c r="BH378"/>
  <c r="BH395"/>
  <c r="BH391"/>
  <c r="BH387"/>
  <c r="BH372" i="3"/>
  <c r="BH372" i="2" s="1"/>
  <c r="BH373"/>
  <c r="BH371"/>
  <c r="BH400"/>
  <c r="BH382"/>
  <c r="BH361"/>
  <c r="BH388" i="3"/>
  <c r="BH388" i="2" s="1"/>
  <c r="BH389"/>
  <c r="BH384"/>
  <c r="BH366"/>
  <c r="BH358"/>
  <c r="BH394"/>
  <c r="BH377"/>
  <c r="BH370"/>
  <c r="BH369"/>
  <c r="BH363"/>
  <c r="BH399"/>
  <c r="BH397"/>
  <c r="BH379"/>
  <c r="BH356" i="3"/>
  <c r="BH356" i="2" s="1"/>
  <c r="BH357"/>
  <c r="BH353"/>
  <c r="BH349"/>
  <c r="BH340" i="3"/>
  <c r="BH340" i="2" s="1"/>
  <c r="BH341"/>
  <c r="BH339"/>
  <c r="BH352"/>
  <c r="BH351"/>
  <c r="BH343"/>
  <c r="BH402"/>
  <c r="BH385"/>
  <c r="BH381"/>
  <c r="BH360"/>
  <c r="BH348"/>
  <c r="BH403"/>
  <c r="BH392"/>
  <c r="BH350"/>
  <c r="BH376"/>
  <c r="BH355"/>
  <c r="BH331"/>
  <c r="BH321"/>
  <c r="BH313"/>
  <c r="BH347"/>
  <c r="BH345"/>
  <c r="BH333"/>
  <c r="BH324" i="3"/>
  <c r="BH324" i="2" s="1"/>
  <c r="BH325"/>
  <c r="BH323"/>
  <c r="BH315"/>
  <c r="BH330"/>
  <c r="BH320"/>
  <c r="BH312"/>
  <c r="BH344"/>
  <c r="BH336"/>
  <c r="BH332"/>
  <c r="BH322"/>
  <c r="BH374"/>
  <c r="BH368"/>
  <c r="BH354"/>
  <c r="BH338"/>
  <c r="BH337"/>
  <c r="BH329"/>
  <c r="BH319"/>
  <c r="BH299"/>
  <c r="BH289"/>
  <c r="BH281"/>
  <c r="BH271"/>
  <c r="BH263"/>
  <c r="BH304"/>
  <c r="BH296"/>
  <c r="BH286"/>
  <c r="BH278"/>
  <c r="BH268"/>
  <c r="BH364"/>
  <c r="BH335"/>
  <c r="BH328"/>
  <c r="BH327"/>
  <c r="BH318"/>
  <c r="BH317"/>
  <c r="BH307"/>
  <c r="BH301"/>
  <c r="BH292" i="3"/>
  <c r="BH292" i="2" s="1"/>
  <c r="BH293"/>
  <c r="BH291"/>
  <c r="BH283"/>
  <c r="BH273"/>
  <c r="BH265"/>
  <c r="BH365"/>
  <c r="BH316"/>
  <c r="BH306"/>
  <c r="BH300"/>
  <c r="BH290"/>
  <c r="BH282"/>
  <c r="BH272"/>
  <c r="BH264"/>
  <c r="BH303"/>
  <c r="BH295"/>
  <c r="BH288"/>
  <c r="BH280"/>
  <c r="BH275"/>
  <c r="BH267"/>
  <c r="BH258"/>
  <c r="BH250"/>
  <c r="BH240"/>
  <c r="BH232"/>
  <c r="BH287"/>
  <c r="BH279"/>
  <c r="BH252"/>
  <c r="BH242"/>
  <c r="BH234"/>
  <c r="BH224"/>
  <c r="BH311"/>
  <c r="BH308" i="3"/>
  <c r="BH308" i="2" s="1"/>
  <c r="BH309"/>
  <c r="BH257"/>
  <c r="BH249"/>
  <c r="BH239"/>
  <c r="BH231"/>
  <c r="BH362"/>
  <c r="BH334"/>
  <c r="BH284"/>
  <c r="BH259"/>
  <c r="BH251"/>
  <c r="BH241"/>
  <c r="BH233"/>
  <c r="BH270"/>
  <c r="BH253"/>
  <c r="BH244" i="3"/>
  <c r="BH244" i="2" s="1"/>
  <c r="BH245"/>
  <c r="BH238"/>
  <c r="BH218"/>
  <c r="BH208"/>
  <c r="BH200"/>
  <c r="BH190"/>
  <c r="BH269"/>
  <c r="BH266"/>
  <c r="BH227"/>
  <c r="BH226"/>
  <c r="BH215"/>
  <c r="BH205"/>
  <c r="BH196" i="3"/>
  <c r="BH196" i="2" s="1"/>
  <c r="BH197"/>
  <c r="BH195"/>
  <c r="BH326"/>
  <c r="BH274"/>
  <c r="BH237"/>
  <c r="BH236"/>
  <c r="BH220"/>
  <c r="BH210"/>
  <c r="BH202"/>
  <c r="BH192"/>
  <c r="BH298"/>
  <c r="BH243"/>
  <c r="BH235"/>
  <c r="BH230"/>
  <c r="BH217"/>
  <c r="BH207"/>
  <c r="BH199"/>
  <c r="BH189"/>
  <c r="BH260" i="3"/>
  <c r="BH260" i="2" s="1"/>
  <c r="BH261"/>
  <c r="BH255"/>
  <c r="BH247"/>
  <c r="BH221"/>
  <c r="BH219"/>
  <c r="BH212" i="3"/>
  <c r="BH212" i="2" s="1"/>
  <c r="BH213"/>
  <c r="BH204"/>
  <c r="BH187"/>
  <c r="BH182"/>
  <c r="BH172"/>
  <c r="BH162"/>
  <c r="BH154"/>
  <c r="BH262"/>
  <c r="BH177"/>
  <c r="BH169"/>
  <c r="BH159"/>
  <c r="BH151"/>
  <c r="BH223"/>
  <c r="BH211"/>
  <c r="BH209"/>
  <c r="BH203"/>
  <c r="BH201"/>
  <c r="BH194"/>
  <c r="BH180" i="3"/>
  <c r="BH180" i="2" s="1"/>
  <c r="BH181"/>
  <c r="BH179"/>
  <c r="BH171"/>
  <c r="BH161"/>
  <c r="BH153"/>
  <c r="BH297"/>
  <c r="BH294"/>
  <c r="BH285"/>
  <c r="BH222"/>
  <c r="BH214"/>
  <c r="BH183"/>
  <c r="BH173"/>
  <c r="BH164" i="3"/>
  <c r="BH164" i="2" s="1"/>
  <c r="BH165"/>
  <c r="BH163"/>
  <c r="BH155"/>
  <c r="BH193"/>
  <c r="BH175"/>
  <c r="BH174"/>
  <c r="BH167"/>
  <c r="BH166"/>
  <c r="BH160"/>
  <c r="BH142"/>
  <c r="BH134"/>
  <c r="BH124"/>
  <c r="BH114"/>
  <c r="BH106"/>
  <c r="BH96"/>
  <c r="BH88"/>
  <c r="BH78"/>
  <c r="BH70"/>
  <c r="BH60"/>
  <c r="BH50"/>
  <c r="BH42"/>
  <c r="BH310"/>
  <c r="BH305"/>
  <c r="BH254"/>
  <c r="BH206"/>
  <c r="BH198"/>
  <c r="BH186"/>
  <c r="BH144"/>
  <c r="BH136"/>
  <c r="BH126"/>
  <c r="BH118"/>
  <c r="BH108"/>
  <c r="BH98"/>
  <c r="BH90"/>
  <c r="BH80"/>
  <c r="BH72"/>
  <c r="BH62"/>
  <c r="BH54"/>
  <c r="BH44"/>
  <c r="BH359"/>
  <c r="BH276" i="3"/>
  <c r="BH276" i="2" s="1"/>
  <c r="BH277"/>
  <c r="BH185"/>
  <c r="BH184"/>
  <c r="BH158"/>
  <c r="BH141"/>
  <c r="BH132" i="3"/>
  <c r="BH132" i="2" s="1"/>
  <c r="BH133"/>
  <c r="BH131"/>
  <c r="BH123"/>
  <c r="BH113"/>
  <c r="BH105"/>
  <c r="BH95"/>
  <c r="BH87"/>
  <c r="BH77"/>
  <c r="BH68" i="3"/>
  <c r="BH68" i="2" s="1"/>
  <c r="BH69"/>
  <c r="BH67"/>
  <c r="BH59"/>
  <c r="BH49"/>
  <c r="BH41"/>
  <c r="BH302"/>
  <c r="BH228" i="3"/>
  <c r="BH228" i="2" s="1"/>
  <c r="BH229"/>
  <c r="BH225"/>
  <c r="BH143"/>
  <c r="BH135"/>
  <c r="BH125"/>
  <c r="BH116" i="3"/>
  <c r="BH116" i="2" s="1"/>
  <c r="BH117"/>
  <c r="BH115"/>
  <c r="BH107"/>
  <c r="BH97"/>
  <c r="BH89"/>
  <c r="BH79"/>
  <c r="BH71"/>
  <c r="BH61"/>
  <c r="BH52" i="3"/>
  <c r="BH52" i="2" s="1"/>
  <c r="BH53"/>
  <c r="BH51"/>
  <c r="BH43"/>
  <c r="BH178"/>
  <c r="BH39"/>
  <c r="BH29"/>
  <c r="BH20" i="3"/>
  <c r="BH20" i="2" s="1"/>
  <c r="BH21"/>
  <c r="BH19"/>
  <c r="BH11"/>
  <c r="BH246"/>
  <c r="BH191"/>
  <c r="BH176"/>
  <c r="BH170"/>
  <c r="BH152"/>
  <c r="BH147"/>
  <c r="BH146"/>
  <c r="BH139"/>
  <c r="BH138"/>
  <c r="BH112"/>
  <c r="BH104"/>
  <c r="BH83"/>
  <c r="BH82"/>
  <c r="BH75"/>
  <c r="BH74"/>
  <c r="BH48"/>
  <c r="BH34"/>
  <c r="BH26"/>
  <c r="BH16"/>
  <c r="BH168"/>
  <c r="BH156"/>
  <c r="BH150"/>
  <c r="BH145"/>
  <c r="BH137"/>
  <c r="BH81"/>
  <c r="BH73"/>
  <c r="BH31"/>
  <c r="BH23"/>
  <c r="BH13"/>
  <c r="BH4" i="3"/>
  <c r="BH4" i="2" s="1"/>
  <c r="BH5"/>
  <c r="BH256"/>
  <c r="BH248"/>
  <c r="BH157"/>
  <c r="BH111"/>
  <c r="BH110"/>
  <c r="BH103"/>
  <c r="BH102"/>
  <c r="BH47"/>
  <c r="BH46"/>
  <c r="BH38"/>
  <c r="BH28"/>
  <c r="BH18"/>
  <c r="BH10"/>
  <c r="BH148" i="3"/>
  <c r="BH148" i="2" s="1"/>
  <c r="BH149"/>
  <c r="BH94"/>
  <c r="BH92"/>
  <c r="BH91"/>
  <c r="BH84" i="3"/>
  <c r="BH84" i="2" s="1"/>
  <c r="BH85"/>
  <c r="BH33"/>
  <c r="BH25"/>
  <c r="BH346"/>
  <c r="BH99"/>
  <c r="BH93"/>
  <c r="BH36" i="3"/>
  <c r="BH36" i="2" s="1"/>
  <c r="BH37"/>
  <c r="BH17"/>
  <c r="BH9"/>
  <c r="BH314"/>
  <c r="BH140"/>
  <c r="BH76"/>
  <c r="BH32"/>
  <c r="BH30"/>
  <c r="BH24"/>
  <c r="BH22"/>
  <c r="BH15"/>
  <c r="BH188"/>
  <c r="BH86"/>
  <c r="BH45"/>
  <c r="BH14"/>
  <c r="BH120"/>
  <c r="BH119"/>
  <c r="BH7"/>
  <c r="BH122"/>
  <c r="BH121"/>
  <c r="BH100" i="3"/>
  <c r="BH100" i="2" s="1"/>
  <c r="BH101"/>
  <c r="BH56"/>
  <c r="BH55"/>
  <c r="BH35"/>
  <c r="BH64"/>
  <c r="BH63"/>
  <c r="BH40"/>
  <c r="BH8"/>
  <c r="BH6"/>
  <c r="BH342"/>
  <c r="BH216"/>
  <c r="BH109"/>
  <c r="BH57"/>
  <c r="BH27"/>
  <c r="BH130"/>
  <c r="BH66"/>
  <c r="BH127"/>
  <c r="BH12"/>
  <c r="BH128"/>
  <c r="BH65"/>
  <c r="BH129"/>
  <c r="BH58"/>
  <c r="I403"/>
  <c r="I395"/>
  <c r="I381"/>
  <c r="I372" i="3"/>
  <c r="I372" i="2" s="1"/>
  <c r="I373"/>
  <c r="I400"/>
  <c r="I392"/>
  <c r="I384"/>
  <c r="I376"/>
  <c r="I397"/>
  <c r="I388" i="3"/>
  <c r="I388" i="2" s="1"/>
  <c r="I389"/>
  <c r="I387"/>
  <c r="I379"/>
  <c r="I371"/>
  <c r="I396"/>
  <c r="I382"/>
  <c r="I380"/>
  <c r="I378"/>
  <c r="I401"/>
  <c r="I390"/>
  <c r="I360"/>
  <c r="I394"/>
  <c r="I377"/>
  <c r="I375"/>
  <c r="I365"/>
  <c r="I356" i="3"/>
  <c r="I356" i="2" s="1"/>
  <c r="I357"/>
  <c r="I355"/>
  <c r="I399"/>
  <c r="I362"/>
  <c r="I363"/>
  <c r="I358"/>
  <c r="I354"/>
  <c r="I348"/>
  <c r="I338"/>
  <c r="I402"/>
  <c r="I393"/>
  <c r="I391"/>
  <c r="I385"/>
  <c r="I368"/>
  <c r="I350"/>
  <c r="I342"/>
  <c r="I386"/>
  <c r="I370"/>
  <c r="I361"/>
  <c r="I353"/>
  <c r="I347"/>
  <c r="I359"/>
  <c r="I349"/>
  <c r="I369"/>
  <c r="I330"/>
  <c r="I320"/>
  <c r="I312"/>
  <c r="I367"/>
  <c r="I346"/>
  <c r="I332"/>
  <c r="I322"/>
  <c r="I314"/>
  <c r="I352"/>
  <c r="I345"/>
  <c r="I340" i="3"/>
  <c r="I340" i="2" s="1"/>
  <c r="I341"/>
  <c r="I329"/>
  <c r="I319"/>
  <c r="I311"/>
  <c r="I398"/>
  <c r="I364"/>
  <c r="I337"/>
  <c r="I331"/>
  <c r="I321"/>
  <c r="I343"/>
  <c r="I336"/>
  <c r="I328"/>
  <c r="I313"/>
  <c r="I298"/>
  <c r="I288"/>
  <c r="I280"/>
  <c r="I270"/>
  <c r="I262"/>
  <c r="I335"/>
  <c r="I334"/>
  <c r="I327"/>
  <c r="I326"/>
  <c r="I303"/>
  <c r="I295"/>
  <c r="I285"/>
  <c r="I276" i="3"/>
  <c r="I276" i="2" s="1"/>
  <c r="I277"/>
  <c r="I275"/>
  <c r="I267"/>
  <c r="I333"/>
  <c r="I324" i="3"/>
  <c r="I324" i="2" s="1"/>
  <c r="I325"/>
  <c r="I318"/>
  <c r="I300"/>
  <c r="I290"/>
  <c r="I282"/>
  <c r="I272"/>
  <c r="I264"/>
  <c r="I323"/>
  <c r="I307"/>
  <c r="I299"/>
  <c r="I289"/>
  <c r="I281"/>
  <c r="I271"/>
  <c r="I263"/>
  <c r="I301"/>
  <c r="I292" i="3"/>
  <c r="I292" i="2" s="1"/>
  <c r="I293"/>
  <c r="I287"/>
  <c r="I279"/>
  <c r="I273"/>
  <c r="I265"/>
  <c r="I260" i="3"/>
  <c r="I260" i="2" s="1"/>
  <c r="I261"/>
  <c r="I257"/>
  <c r="I249"/>
  <c r="I239"/>
  <c r="I231"/>
  <c r="I374"/>
  <c r="I306"/>
  <c r="I286"/>
  <c r="I278"/>
  <c r="I259"/>
  <c r="I251"/>
  <c r="I241"/>
  <c r="I233"/>
  <c r="I284"/>
  <c r="I256"/>
  <c r="I248"/>
  <c r="I238"/>
  <c r="I230"/>
  <c r="I383"/>
  <c r="I316"/>
  <c r="I258"/>
  <c r="I250"/>
  <c r="I240"/>
  <c r="I232"/>
  <c r="I315"/>
  <c r="I305"/>
  <c r="I304"/>
  <c r="I302"/>
  <c r="I291"/>
  <c r="I237"/>
  <c r="I217"/>
  <c r="I207"/>
  <c r="I199"/>
  <c r="I189"/>
  <c r="I308" i="3"/>
  <c r="I308" i="2" s="1"/>
  <c r="I309"/>
  <c r="I283"/>
  <c r="I243"/>
  <c r="I236"/>
  <c r="I235"/>
  <c r="I227"/>
  <c r="I222"/>
  <c r="I214"/>
  <c r="I204"/>
  <c r="I242"/>
  <c r="I234"/>
  <c r="I226"/>
  <c r="I219"/>
  <c r="I209"/>
  <c r="I201"/>
  <c r="I191"/>
  <c r="I366"/>
  <c r="I351"/>
  <c r="I225"/>
  <c r="I216"/>
  <c r="I206"/>
  <c r="I198"/>
  <c r="I188"/>
  <c r="I317"/>
  <c r="I310"/>
  <c r="I297"/>
  <c r="I296"/>
  <c r="I294"/>
  <c r="I268"/>
  <c r="I224"/>
  <c r="I218"/>
  <c r="I211"/>
  <c r="I203"/>
  <c r="I180" i="3"/>
  <c r="I180" i="2" s="1"/>
  <c r="I181"/>
  <c r="I179"/>
  <c r="I171"/>
  <c r="I161"/>
  <c r="I153"/>
  <c r="I269"/>
  <c r="I253"/>
  <c r="I244" i="3"/>
  <c r="I244" i="2" s="1"/>
  <c r="I245"/>
  <c r="I186"/>
  <c r="I176"/>
  <c r="I168"/>
  <c r="I158"/>
  <c r="I150"/>
  <c r="I208"/>
  <c r="I200"/>
  <c r="I190"/>
  <c r="I178"/>
  <c r="I170"/>
  <c r="I160"/>
  <c r="I152"/>
  <c r="I344"/>
  <c r="I339"/>
  <c r="I221"/>
  <c r="I212" i="3"/>
  <c r="I212" i="2" s="1"/>
  <c r="I213"/>
  <c r="I193"/>
  <c r="I182"/>
  <c r="I172"/>
  <c r="I162"/>
  <c r="I154"/>
  <c r="I246"/>
  <c r="I159"/>
  <c r="I151"/>
  <c r="I141"/>
  <c r="I132" i="3"/>
  <c r="I132" i="2" s="1"/>
  <c r="I133"/>
  <c r="I131"/>
  <c r="I123"/>
  <c r="I113"/>
  <c r="I105"/>
  <c r="I95"/>
  <c r="I87"/>
  <c r="I77"/>
  <c r="I68" i="3"/>
  <c r="I68" i="2" s="1"/>
  <c r="I69"/>
  <c r="I67"/>
  <c r="I59"/>
  <c r="I49"/>
  <c r="I184"/>
  <c r="I183"/>
  <c r="I157"/>
  <c r="I143"/>
  <c r="I135"/>
  <c r="I125"/>
  <c r="I116" i="3"/>
  <c r="I116" i="2" s="1"/>
  <c r="I117"/>
  <c r="I115"/>
  <c r="I107"/>
  <c r="I97"/>
  <c r="I89"/>
  <c r="I79"/>
  <c r="I71"/>
  <c r="I61"/>
  <c r="I52" i="3"/>
  <c r="I52" i="2" s="1"/>
  <c r="I53"/>
  <c r="I51"/>
  <c r="I43"/>
  <c r="I266"/>
  <c r="I254"/>
  <c r="I252"/>
  <c r="I163"/>
  <c r="I156"/>
  <c r="I155"/>
  <c r="I140"/>
  <c r="I130"/>
  <c r="I122"/>
  <c r="I112"/>
  <c r="I104"/>
  <c r="I94"/>
  <c r="I86"/>
  <c r="I76"/>
  <c r="I66"/>
  <c r="I58"/>
  <c r="I48"/>
  <c r="I228" i="3"/>
  <c r="I228" i="2" s="1"/>
  <c r="I229"/>
  <c r="I220"/>
  <c r="I142"/>
  <c r="I134"/>
  <c r="I124"/>
  <c r="I114"/>
  <c r="I106"/>
  <c r="I96"/>
  <c r="I88"/>
  <c r="I78"/>
  <c r="I70"/>
  <c r="I60"/>
  <c r="I50"/>
  <c r="I42"/>
  <c r="I196" i="3"/>
  <c r="I196" i="2" s="1"/>
  <c r="I197"/>
  <c r="I194"/>
  <c r="I187"/>
  <c r="I185"/>
  <c r="I146"/>
  <c r="I145"/>
  <c r="I138"/>
  <c r="I137"/>
  <c r="I82"/>
  <c r="I81"/>
  <c r="I74"/>
  <c r="I73"/>
  <c r="I38"/>
  <c r="I28"/>
  <c r="I18"/>
  <c r="I10"/>
  <c r="I144"/>
  <c r="I136"/>
  <c r="I111"/>
  <c r="I103"/>
  <c r="I80"/>
  <c r="I72"/>
  <c r="I47"/>
  <c r="I33"/>
  <c r="I25"/>
  <c r="I15"/>
  <c r="I202"/>
  <c r="I195"/>
  <c r="I110"/>
  <c r="I109"/>
  <c r="I102"/>
  <c r="I100" i="3"/>
  <c r="I100" i="2" s="1"/>
  <c r="I101"/>
  <c r="I46"/>
  <c r="I45"/>
  <c r="I40"/>
  <c r="I30"/>
  <c r="I22"/>
  <c r="I12"/>
  <c r="I255"/>
  <c r="I247"/>
  <c r="I205"/>
  <c r="I192"/>
  <c r="I175"/>
  <c r="I108"/>
  <c r="I44"/>
  <c r="I36" i="3"/>
  <c r="I36" i="2" s="1"/>
  <c r="I37"/>
  <c r="I35"/>
  <c r="I27"/>
  <c r="I17"/>
  <c r="I9"/>
  <c r="I173"/>
  <c r="I127"/>
  <c r="I126"/>
  <c r="I121"/>
  <c r="I120"/>
  <c r="I63"/>
  <c r="I62"/>
  <c r="I57"/>
  <c r="I56"/>
  <c r="I32"/>
  <c r="I24"/>
  <c r="I4" i="3"/>
  <c r="I4" i="2" s="1"/>
  <c r="I5"/>
  <c r="I210"/>
  <c r="I174"/>
  <c r="I129"/>
  <c r="I128"/>
  <c r="I65"/>
  <c r="I64"/>
  <c r="I148" i="3"/>
  <c r="I148" i="2" s="1"/>
  <c r="I149"/>
  <c r="I91"/>
  <c r="I90"/>
  <c r="I84" i="3"/>
  <c r="I84" i="2" s="1"/>
  <c r="I85"/>
  <c r="I31"/>
  <c r="I23"/>
  <c r="I16"/>
  <c r="I274"/>
  <c r="I164" i="3"/>
  <c r="I164" i="2" s="1"/>
  <c r="I165"/>
  <c r="I99"/>
  <c r="I98"/>
  <c r="I93"/>
  <c r="I92"/>
  <c r="I29"/>
  <c r="I20" i="3"/>
  <c r="I20" i="2" s="1"/>
  <c r="I21"/>
  <c r="I14"/>
  <c r="I169"/>
  <c r="I147"/>
  <c r="I139"/>
  <c r="I39"/>
  <c r="I166"/>
  <c r="I83"/>
  <c r="I75"/>
  <c r="I41"/>
  <c r="I19"/>
  <c r="I11"/>
  <c r="I6"/>
  <c r="I223"/>
  <c r="I215"/>
  <c r="I13"/>
  <c r="I7"/>
  <c r="I118"/>
  <c r="I8"/>
  <c r="I167"/>
  <c r="I54"/>
  <c r="I177"/>
  <c r="I119"/>
  <c r="I34"/>
  <c r="I55"/>
  <c r="I26"/>
  <c r="BM403"/>
  <c r="BM395"/>
  <c r="BM381"/>
  <c r="BM372" i="3"/>
  <c r="BM372" i="2" s="1"/>
  <c r="BM373"/>
  <c r="BM400"/>
  <c r="BM392"/>
  <c r="BM384"/>
  <c r="BM376"/>
  <c r="BM397"/>
  <c r="BM388" i="3"/>
  <c r="BM388" i="2" s="1"/>
  <c r="BM389"/>
  <c r="BM387"/>
  <c r="BM379"/>
  <c r="BM371"/>
  <c r="BM398"/>
  <c r="BM393"/>
  <c r="BM369"/>
  <c r="BM402"/>
  <c r="BM385"/>
  <c r="BM383"/>
  <c r="BM368"/>
  <c r="BM360"/>
  <c r="BM391"/>
  <c r="BM365"/>
  <c r="BM356" i="3"/>
  <c r="BM356" i="2" s="1"/>
  <c r="BM357"/>
  <c r="BM355"/>
  <c r="BM396"/>
  <c r="BM382"/>
  <c r="BM380"/>
  <c r="BM378"/>
  <c r="BM362"/>
  <c r="BM401"/>
  <c r="BM359"/>
  <c r="BM348"/>
  <c r="BM338"/>
  <c r="BM399"/>
  <c r="BM350"/>
  <c r="BM342"/>
  <c r="BM375"/>
  <c r="BM363"/>
  <c r="BM358"/>
  <c r="BM354"/>
  <c r="BM347"/>
  <c r="BM353"/>
  <c r="BM349"/>
  <c r="BM390"/>
  <c r="BM377"/>
  <c r="BM374"/>
  <c r="BM370"/>
  <c r="BM366"/>
  <c r="BM351"/>
  <c r="BM330"/>
  <c r="BM320"/>
  <c r="BM312"/>
  <c r="BM386"/>
  <c r="BM336"/>
  <c r="BM332"/>
  <c r="BM322"/>
  <c r="BM314"/>
  <c r="BM339"/>
  <c r="BM329"/>
  <c r="BM319"/>
  <c r="BM311"/>
  <c r="BM361"/>
  <c r="BM340" i="3"/>
  <c r="BM340" i="2" s="1"/>
  <c r="BM341"/>
  <c r="BM331"/>
  <c r="BM321"/>
  <c r="BM306"/>
  <c r="BM298"/>
  <c r="BM288"/>
  <c r="BM280"/>
  <c r="BM270"/>
  <c r="BM262"/>
  <c r="BM367"/>
  <c r="BM344"/>
  <c r="BM323"/>
  <c r="BM315"/>
  <c r="BM310"/>
  <c r="BM303"/>
  <c r="BM295"/>
  <c r="BM285"/>
  <c r="BM276" i="3"/>
  <c r="BM276" i="2" s="1"/>
  <c r="BM277"/>
  <c r="BM275"/>
  <c r="BM267"/>
  <c r="BM352"/>
  <c r="BM337"/>
  <c r="BM308" i="3"/>
  <c r="BM308" i="2" s="1"/>
  <c r="BM309"/>
  <c r="BM300"/>
  <c r="BM290"/>
  <c r="BM282"/>
  <c r="BM272"/>
  <c r="BM264"/>
  <c r="BM394"/>
  <c r="BM346"/>
  <c r="BM345"/>
  <c r="BM343"/>
  <c r="BM335"/>
  <c r="BM334"/>
  <c r="BM327"/>
  <c r="BM326"/>
  <c r="BM318"/>
  <c r="BM299"/>
  <c r="BM289"/>
  <c r="BM281"/>
  <c r="BM271"/>
  <c r="BM263"/>
  <c r="BM364"/>
  <c r="BM324" i="3"/>
  <c r="BM324" i="2" s="1"/>
  <c r="BM325"/>
  <c r="BM307"/>
  <c r="BM305"/>
  <c r="BM297"/>
  <c r="BM291"/>
  <c r="BM283"/>
  <c r="BM269"/>
  <c r="BM259"/>
  <c r="BM257"/>
  <c r="BM249"/>
  <c r="BM239"/>
  <c r="BM231"/>
  <c r="BM313"/>
  <c r="BM304"/>
  <c r="BM296"/>
  <c r="BM268"/>
  <c r="BM251"/>
  <c r="BM241"/>
  <c r="BM233"/>
  <c r="BM223"/>
  <c r="BM317"/>
  <c r="BM302"/>
  <c r="BM294"/>
  <c r="BM274"/>
  <c r="BM266"/>
  <c r="BM260" i="3"/>
  <c r="BM260" i="2" s="1"/>
  <c r="BM261"/>
  <c r="BM256"/>
  <c r="BM248"/>
  <c r="BM238"/>
  <c r="BM230"/>
  <c r="BM258"/>
  <c r="BM250"/>
  <c r="BM240"/>
  <c r="BM232"/>
  <c r="BM333"/>
  <c r="BM278"/>
  <c r="BM228" i="3"/>
  <c r="BM228" i="2" s="1"/>
  <c r="BM229"/>
  <c r="BM224"/>
  <c r="BM217"/>
  <c r="BM207"/>
  <c r="BM199"/>
  <c r="BM189"/>
  <c r="BM265"/>
  <c r="BM255"/>
  <c r="BM247"/>
  <c r="BM222"/>
  <c r="BM214"/>
  <c r="BM204"/>
  <c r="BM194"/>
  <c r="BM273"/>
  <c r="BM254"/>
  <c r="BM253"/>
  <c r="BM246"/>
  <c r="BM244" i="3"/>
  <c r="BM244" i="2" s="1"/>
  <c r="BM245"/>
  <c r="BM219"/>
  <c r="BM209"/>
  <c r="BM201"/>
  <c r="BM191"/>
  <c r="BM252"/>
  <c r="BM216"/>
  <c r="BM206"/>
  <c r="BM198"/>
  <c r="BM188"/>
  <c r="BM279"/>
  <c r="BM243"/>
  <c r="BM237"/>
  <c r="BM215"/>
  <c r="BM193"/>
  <c r="BM180" i="3"/>
  <c r="BM180" i="2" s="1"/>
  <c r="BM181"/>
  <c r="BM179"/>
  <c r="BM171"/>
  <c r="BM161"/>
  <c r="BM153"/>
  <c r="BM242"/>
  <c r="BM236"/>
  <c r="BM235"/>
  <c r="BM226"/>
  <c r="BM221"/>
  <c r="BM212" i="3"/>
  <c r="BM212" i="2" s="1"/>
  <c r="BM213"/>
  <c r="BM186"/>
  <c r="BM176"/>
  <c r="BM168"/>
  <c r="BM158"/>
  <c r="BM150"/>
  <c r="BM220"/>
  <c r="BM205"/>
  <c r="BM196" i="3"/>
  <c r="BM196" i="2" s="1"/>
  <c r="BM197"/>
  <c r="BM178"/>
  <c r="BM170"/>
  <c r="BM160"/>
  <c r="BM152"/>
  <c r="BM292" i="3"/>
  <c r="BM292" i="2" s="1"/>
  <c r="BM293"/>
  <c r="BM284"/>
  <c r="BM182"/>
  <c r="BM172"/>
  <c r="BM162"/>
  <c r="BM154"/>
  <c r="BM286"/>
  <c r="BM177"/>
  <c r="BM169"/>
  <c r="BM141"/>
  <c r="BM132" i="3"/>
  <c r="BM132" i="2" s="1"/>
  <c r="BM133"/>
  <c r="BM131"/>
  <c r="BM123"/>
  <c r="BM113"/>
  <c r="BM105"/>
  <c r="BM95"/>
  <c r="BM87"/>
  <c r="BM77"/>
  <c r="BM68" i="3"/>
  <c r="BM68" i="2" s="1"/>
  <c r="BM69"/>
  <c r="BM67"/>
  <c r="BM59"/>
  <c r="BM49"/>
  <c r="BM41"/>
  <c r="BM328"/>
  <c r="BM175"/>
  <c r="BM167"/>
  <c r="BM143"/>
  <c r="BM135"/>
  <c r="BM125"/>
  <c r="BM116" i="3"/>
  <c r="BM116" i="2" s="1"/>
  <c r="BM117"/>
  <c r="BM115"/>
  <c r="BM107"/>
  <c r="BM97"/>
  <c r="BM89"/>
  <c r="BM79"/>
  <c r="BM71"/>
  <c r="BM61"/>
  <c r="BM52" i="3"/>
  <c r="BM52" i="2" s="1"/>
  <c r="BM53"/>
  <c r="BM51"/>
  <c r="BM43"/>
  <c r="BM211"/>
  <c r="BM203"/>
  <c r="BM174"/>
  <c r="BM173"/>
  <c r="BM166"/>
  <c r="BM164" i="3"/>
  <c r="BM164" i="2" s="1"/>
  <c r="BM165"/>
  <c r="BM151"/>
  <c r="BM140"/>
  <c r="BM130"/>
  <c r="BM122"/>
  <c r="BM112"/>
  <c r="BM104"/>
  <c r="BM94"/>
  <c r="BM86"/>
  <c r="BM76"/>
  <c r="BM66"/>
  <c r="BM58"/>
  <c r="BM48"/>
  <c r="BM287"/>
  <c r="BM234"/>
  <c r="BM195"/>
  <c r="BM192"/>
  <c r="BM185"/>
  <c r="BM142"/>
  <c r="BM134"/>
  <c r="BM124"/>
  <c r="BM114"/>
  <c r="BM106"/>
  <c r="BM96"/>
  <c r="BM88"/>
  <c r="BM78"/>
  <c r="BM70"/>
  <c r="BM60"/>
  <c r="BM50"/>
  <c r="BM42"/>
  <c r="BM225"/>
  <c r="BM200"/>
  <c r="BM148" i="3"/>
  <c r="BM148" i="2" s="1"/>
  <c r="BM149"/>
  <c r="BM129"/>
  <c r="BM121"/>
  <c r="BM93"/>
  <c r="BM84" i="3"/>
  <c r="BM84" i="2" s="1"/>
  <c r="BM85"/>
  <c r="BM65"/>
  <c r="BM57"/>
  <c r="BM38"/>
  <c r="BM28"/>
  <c r="BM18"/>
  <c r="BM10"/>
  <c r="BM316"/>
  <c r="BM218"/>
  <c r="BM202"/>
  <c r="BM128"/>
  <c r="BM127"/>
  <c r="BM120"/>
  <c r="BM119"/>
  <c r="BM99"/>
  <c r="BM92"/>
  <c r="BM91"/>
  <c r="BM64"/>
  <c r="BM63"/>
  <c r="BM56"/>
  <c r="BM55"/>
  <c r="BM33"/>
  <c r="BM25"/>
  <c r="BM15"/>
  <c r="BM126"/>
  <c r="BM118"/>
  <c r="BM98"/>
  <c r="BM90"/>
  <c r="BM62"/>
  <c r="BM54"/>
  <c r="BM40"/>
  <c r="BM30"/>
  <c r="BM22"/>
  <c r="BM12"/>
  <c r="BM227"/>
  <c r="BM208"/>
  <c r="BM187"/>
  <c r="BM159"/>
  <c r="BM155"/>
  <c r="BM147"/>
  <c r="BM139"/>
  <c r="BM83"/>
  <c r="BM75"/>
  <c r="BM36" i="3"/>
  <c r="BM36" i="2" s="1"/>
  <c r="BM37"/>
  <c r="BM35"/>
  <c r="BM27"/>
  <c r="BM17"/>
  <c r="BM9"/>
  <c r="BM110"/>
  <c r="BM109"/>
  <c r="BM108"/>
  <c r="BM102"/>
  <c r="BM100" i="3"/>
  <c r="BM100" i="2" s="1"/>
  <c r="BM101"/>
  <c r="BM46"/>
  <c r="BM45"/>
  <c r="BM44"/>
  <c r="BM7"/>
  <c r="BM163"/>
  <c r="BM157"/>
  <c r="BM156"/>
  <c r="BM13"/>
  <c r="BM146"/>
  <c r="BM145"/>
  <c r="BM82"/>
  <c r="BM81"/>
  <c r="BM39"/>
  <c r="BM19"/>
  <c r="BM11"/>
  <c r="BM184"/>
  <c r="BM183"/>
  <c r="BM144"/>
  <c r="BM80"/>
  <c r="BM34"/>
  <c r="BM26"/>
  <c r="BM4" i="3"/>
  <c r="BM4" i="2" s="1"/>
  <c r="BM5"/>
  <c r="BM301"/>
  <c r="BM16"/>
  <c r="BM14"/>
  <c r="BM8"/>
  <c r="BM111"/>
  <c r="BM138"/>
  <c r="BM137"/>
  <c r="BM103"/>
  <c r="BM31"/>
  <c r="BM29"/>
  <c r="BM24"/>
  <c r="BM6"/>
  <c r="BM73"/>
  <c r="BM32"/>
  <c r="BM136"/>
  <c r="BM74"/>
  <c r="BM23"/>
  <c r="BM72"/>
  <c r="BM190"/>
  <c r="BM210"/>
  <c r="BM47"/>
  <c r="BM20" i="3"/>
  <c r="BM20" i="2" s="1"/>
  <c r="BM21"/>
  <c r="AI401"/>
  <c r="AI393"/>
  <c r="AI383"/>
  <c r="AI375"/>
  <c r="AI398"/>
  <c r="AI390"/>
  <c r="AI386"/>
  <c r="AI378"/>
  <c r="AI403"/>
  <c r="AI395"/>
  <c r="AI381"/>
  <c r="AI372" i="3"/>
  <c r="AI372" i="2" s="1"/>
  <c r="AI373"/>
  <c r="AI369"/>
  <c r="AI391"/>
  <c r="AI387"/>
  <c r="AI370"/>
  <c r="AI400"/>
  <c r="AI396"/>
  <c r="AI382"/>
  <c r="AI380"/>
  <c r="AI366"/>
  <c r="AI358"/>
  <c r="AI388" i="3"/>
  <c r="AI388" i="2" s="1"/>
  <c r="AI389"/>
  <c r="AI384"/>
  <c r="AI363"/>
  <c r="AI353"/>
  <c r="AI394"/>
  <c r="AI377"/>
  <c r="AI368"/>
  <c r="AI360"/>
  <c r="AI399"/>
  <c r="AI397"/>
  <c r="AI379"/>
  <c r="AI356" i="3"/>
  <c r="AI356" i="2" s="1"/>
  <c r="AI357"/>
  <c r="AI346"/>
  <c r="AI336"/>
  <c r="AI367"/>
  <c r="AI348"/>
  <c r="AI338"/>
  <c r="AI402"/>
  <c r="AI385"/>
  <c r="AI345"/>
  <c r="AI392"/>
  <c r="AI347"/>
  <c r="AI355"/>
  <c r="AI328"/>
  <c r="AI318"/>
  <c r="AI310"/>
  <c r="AI343"/>
  <c r="AI330"/>
  <c r="AI320"/>
  <c r="AI312"/>
  <c r="AI374"/>
  <c r="AI349"/>
  <c r="AI335"/>
  <c r="AI327"/>
  <c r="AI317"/>
  <c r="AI308" i="3"/>
  <c r="AI308" i="2" s="1"/>
  <c r="AI309"/>
  <c r="AI307"/>
  <c r="AI344"/>
  <c r="AI339"/>
  <c r="AI329"/>
  <c r="AI371"/>
  <c r="AI361"/>
  <c r="AI319"/>
  <c r="AI304"/>
  <c r="AI296"/>
  <c r="AI286"/>
  <c r="AI278"/>
  <c r="AI268"/>
  <c r="AI365"/>
  <c r="AI342"/>
  <c r="AI331"/>
  <c r="AI313"/>
  <c r="AI301"/>
  <c r="AI292" i="3"/>
  <c r="AI292" i="2" s="1"/>
  <c r="AI293"/>
  <c r="AI291"/>
  <c r="AI283"/>
  <c r="AI273"/>
  <c r="AI265"/>
  <c r="AI362"/>
  <c r="AI323"/>
  <c r="AI322"/>
  <c r="AI306"/>
  <c r="AI298"/>
  <c r="AI288"/>
  <c r="AI280"/>
  <c r="AI270"/>
  <c r="AI262"/>
  <c r="AI351"/>
  <c r="AI350"/>
  <c r="AI316"/>
  <c r="AI305"/>
  <c r="AI297"/>
  <c r="AI287"/>
  <c r="AI279"/>
  <c r="AI269"/>
  <c r="AI333"/>
  <c r="AI332"/>
  <c r="AI326"/>
  <c r="AI299"/>
  <c r="AI284"/>
  <c r="AI271"/>
  <c r="AI263"/>
  <c r="AI255"/>
  <c r="AI247"/>
  <c r="AI237"/>
  <c r="AI228" i="3"/>
  <c r="AI228" i="2" s="1"/>
  <c r="AI229"/>
  <c r="AI227"/>
  <c r="AI290"/>
  <c r="AI282"/>
  <c r="AI257"/>
  <c r="AI249"/>
  <c r="AI239"/>
  <c r="AI231"/>
  <c r="AI321"/>
  <c r="AI311"/>
  <c r="AI303"/>
  <c r="AI295"/>
  <c r="AI275"/>
  <c r="AI267"/>
  <c r="AI254"/>
  <c r="AI246"/>
  <c r="AI236"/>
  <c r="AI226"/>
  <c r="AI352"/>
  <c r="AI256"/>
  <c r="AI248"/>
  <c r="AI238"/>
  <c r="AI354"/>
  <c r="AI324" i="3"/>
  <c r="AI324" i="2" s="1"/>
  <c r="AI325"/>
  <c r="AI285"/>
  <c r="AI281"/>
  <c r="AI223"/>
  <c r="AI215"/>
  <c r="AI205"/>
  <c r="AI196" i="3"/>
  <c r="AI196" i="2" s="1"/>
  <c r="AI197"/>
  <c r="AI195"/>
  <c r="AI187"/>
  <c r="AI376"/>
  <c r="AI314"/>
  <c r="AI276" i="3"/>
  <c r="AI276" i="2" s="1"/>
  <c r="AI277"/>
  <c r="AI264"/>
  <c r="AI240"/>
  <c r="AI232"/>
  <c r="AI220"/>
  <c r="AI210"/>
  <c r="AI202"/>
  <c r="AI272"/>
  <c r="AI266"/>
  <c r="AI217"/>
  <c r="AI207"/>
  <c r="AI199"/>
  <c r="AI274"/>
  <c r="AI253"/>
  <c r="AI244" i="3"/>
  <c r="AI244" i="2" s="1"/>
  <c r="AI245"/>
  <c r="AI230"/>
  <c r="AI222"/>
  <c r="AI214"/>
  <c r="AI204"/>
  <c r="AI194"/>
  <c r="AI334"/>
  <c r="AI224"/>
  <c r="AI177"/>
  <c r="AI169"/>
  <c r="AI159"/>
  <c r="AI151"/>
  <c r="AI258"/>
  <c r="AI250"/>
  <c r="AI243"/>
  <c r="AI208"/>
  <c r="AI200"/>
  <c r="AI189"/>
  <c r="AI184"/>
  <c r="AI174"/>
  <c r="AI166"/>
  <c r="AI156"/>
  <c r="AI359"/>
  <c r="AI340" i="3"/>
  <c r="AI340" i="2" s="1"/>
  <c r="AI341"/>
  <c r="AI302"/>
  <c r="AI234"/>
  <c r="AI233"/>
  <c r="AI221"/>
  <c r="AI219"/>
  <c r="AI212" i="3"/>
  <c r="AI212" i="2" s="1"/>
  <c r="AI213"/>
  <c r="AI188"/>
  <c r="AI186"/>
  <c r="AI176"/>
  <c r="AI168"/>
  <c r="AI158"/>
  <c r="AI150"/>
  <c r="AI315"/>
  <c r="AI178"/>
  <c r="AI170"/>
  <c r="AI160"/>
  <c r="AI193"/>
  <c r="AI163"/>
  <c r="AI155"/>
  <c r="AI148" i="3"/>
  <c r="AI148" i="2" s="1"/>
  <c r="AI149"/>
  <c r="AI147"/>
  <c r="AI139"/>
  <c r="AI129"/>
  <c r="AI121"/>
  <c r="AI111"/>
  <c r="AI103"/>
  <c r="AI93"/>
  <c r="AI84" i="3"/>
  <c r="AI84" i="2" s="1"/>
  <c r="AI85"/>
  <c r="AI83"/>
  <c r="AI75"/>
  <c r="AI65"/>
  <c r="AI57"/>
  <c r="AI47"/>
  <c r="AI235"/>
  <c r="AI218"/>
  <c r="AI190"/>
  <c r="AI162"/>
  <c r="AI161"/>
  <c r="AI154"/>
  <c r="AI153"/>
  <c r="AI141"/>
  <c r="AI132" i="3"/>
  <c r="AI132" i="2" s="1"/>
  <c r="AI133"/>
  <c r="AI131"/>
  <c r="AI123"/>
  <c r="AI113"/>
  <c r="AI105"/>
  <c r="AI95"/>
  <c r="AI87"/>
  <c r="AI77"/>
  <c r="AI68" i="3"/>
  <c r="AI68" i="2" s="1"/>
  <c r="AI69"/>
  <c r="AI67"/>
  <c r="AI59"/>
  <c r="AI49"/>
  <c r="AI364"/>
  <c r="AI337"/>
  <c r="AI300"/>
  <c r="AI294"/>
  <c r="AI260" i="3"/>
  <c r="AI260" i="2" s="1"/>
  <c r="AI261"/>
  <c r="AI216"/>
  <c r="AI206"/>
  <c r="AI198"/>
  <c r="AI175"/>
  <c r="AI167"/>
  <c r="AI146"/>
  <c r="AI138"/>
  <c r="AI128"/>
  <c r="AI120"/>
  <c r="AI110"/>
  <c r="AI102"/>
  <c r="AI92"/>
  <c r="AI82"/>
  <c r="AI74"/>
  <c r="AI64"/>
  <c r="AI56"/>
  <c r="AI46"/>
  <c r="AI289"/>
  <c r="AI242"/>
  <c r="AI241"/>
  <c r="AI140"/>
  <c r="AI130"/>
  <c r="AI122"/>
  <c r="AI112"/>
  <c r="AI104"/>
  <c r="AI94"/>
  <c r="AI86"/>
  <c r="AI76"/>
  <c r="AI66"/>
  <c r="AI58"/>
  <c r="AI48"/>
  <c r="AI251"/>
  <c r="AI209"/>
  <c r="AI142"/>
  <c r="AI134"/>
  <c r="AI115"/>
  <c r="AI108"/>
  <c r="AI107"/>
  <c r="AI78"/>
  <c r="AI70"/>
  <c r="AI51"/>
  <c r="AI44"/>
  <c r="AI43"/>
  <c r="AI34"/>
  <c r="AI26"/>
  <c r="AI16"/>
  <c r="AI8"/>
  <c r="AI259"/>
  <c r="AI211"/>
  <c r="AI179"/>
  <c r="AI152"/>
  <c r="AI41"/>
  <c r="AI31"/>
  <c r="AI23"/>
  <c r="AI13"/>
  <c r="AI173"/>
  <c r="AI172"/>
  <c r="AI171"/>
  <c r="AI127"/>
  <c r="AI119"/>
  <c r="AI114"/>
  <c r="AI106"/>
  <c r="AI99"/>
  <c r="AI91"/>
  <c r="AI63"/>
  <c r="AI55"/>
  <c r="AI50"/>
  <c r="AI42"/>
  <c r="AI38"/>
  <c r="AI28"/>
  <c r="AI18"/>
  <c r="AI10"/>
  <c r="AI164" i="3"/>
  <c r="AI164" i="2" s="1"/>
  <c r="AI165"/>
  <c r="AI126"/>
  <c r="AI125"/>
  <c r="AI118"/>
  <c r="AI116" i="3"/>
  <c r="AI116" i="2" s="1"/>
  <c r="AI117"/>
  <c r="AI98"/>
  <c r="AI97"/>
  <c r="AI90"/>
  <c r="AI89"/>
  <c r="AI62"/>
  <c r="AI61"/>
  <c r="AI54"/>
  <c r="AI52" i="3"/>
  <c r="AI52" i="2" s="1"/>
  <c r="AI53"/>
  <c r="AI33"/>
  <c r="AI25"/>
  <c r="AI15"/>
  <c r="AI7"/>
  <c r="AI183"/>
  <c r="AI182"/>
  <c r="AI180" i="3"/>
  <c r="AI180" i="2" s="1"/>
  <c r="AI181"/>
  <c r="AI88"/>
  <c r="AI4" i="3"/>
  <c r="AI4" i="2" s="1"/>
  <c r="AI5"/>
  <c r="AI203"/>
  <c r="AI109"/>
  <c r="AI100" i="3"/>
  <c r="AI100" i="2" s="1"/>
  <c r="AI101"/>
  <c r="AI96"/>
  <c r="AI45"/>
  <c r="AI40"/>
  <c r="AI29"/>
  <c r="AI20" i="3"/>
  <c r="AI20" i="2" s="1"/>
  <c r="AI21"/>
  <c r="AI14"/>
  <c r="AI12"/>
  <c r="AI252"/>
  <c r="AI35"/>
  <c r="AI27"/>
  <c r="AI9"/>
  <c r="AI145"/>
  <c r="AI81"/>
  <c r="AI157"/>
  <c r="AI124"/>
  <c r="AI17"/>
  <c r="AI191"/>
  <c r="AI185"/>
  <c r="AI144"/>
  <c r="AI143"/>
  <c r="AI60"/>
  <c r="AI137"/>
  <c r="AI80"/>
  <c r="AI79"/>
  <c r="AI192"/>
  <c r="AI32"/>
  <c r="AI30"/>
  <c r="AI71"/>
  <c r="AI73"/>
  <c r="AI6"/>
  <c r="AI225"/>
  <c r="AI201"/>
  <c r="AI136"/>
  <c r="AI72"/>
  <c r="AI39"/>
  <c r="AI19"/>
  <c r="AI11"/>
  <c r="AI135"/>
  <c r="AI36" i="3"/>
  <c r="AI36" i="2" s="1"/>
  <c r="AI37"/>
  <c r="AI24"/>
  <c r="AI22"/>
  <c r="K401"/>
  <c r="K393"/>
  <c r="K383"/>
  <c r="K375"/>
  <c r="K398"/>
  <c r="K390"/>
  <c r="K386"/>
  <c r="K378"/>
  <c r="K403"/>
  <c r="K395"/>
  <c r="K381"/>
  <c r="K372" i="3"/>
  <c r="K372" i="2" s="1"/>
  <c r="K373"/>
  <c r="K369"/>
  <c r="K402"/>
  <c r="K385"/>
  <c r="K391"/>
  <c r="K387"/>
  <c r="K368"/>
  <c r="K366"/>
  <c r="K358"/>
  <c r="K400"/>
  <c r="K396"/>
  <c r="K382"/>
  <c r="K380"/>
  <c r="K363"/>
  <c r="K353"/>
  <c r="K388" i="3"/>
  <c r="K388" i="2" s="1"/>
  <c r="K389"/>
  <c r="K384"/>
  <c r="K371"/>
  <c r="K360"/>
  <c r="K374"/>
  <c r="K364"/>
  <c r="K346"/>
  <c r="K362"/>
  <c r="K354"/>
  <c r="K348"/>
  <c r="K338"/>
  <c r="K367"/>
  <c r="K345"/>
  <c r="K377"/>
  <c r="K376"/>
  <c r="K370"/>
  <c r="K365"/>
  <c r="K361"/>
  <c r="K347"/>
  <c r="K399"/>
  <c r="K343"/>
  <c r="K336"/>
  <c r="K328"/>
  <c r="K318"/>
  <c r="K310"/>
  <c r="K342"/>
  <c r="K330"/>
  <c r="K320"/>
  <c r="K312"/>
  <c r="K397"/>
  <c r="K394"/>
  <c r="K339"/>
  <c r="K335"/>
  <c r="K327"/>
  <c r="K317"/>
  <c r="K308" i="3"/>
  <c r="K308" i="2" s="1"/>
  <c r="K309"/>
  <c r="K307"/>
  <c r="K392"/>
  <c r="K359"/>
  <c r="K351"/>
  <c r="K350"/>
  <c r="K340" i="3"/>
  <c r="K340" i="2" s="1"/>
  <c r="K341"/>
  <c r="K329"/>
  <c r="K344"/>
  <c r="K321"/>
  <c r="K306"/>
  <c r="K304"/>
  <c r="K296"/>
  <c r="K286"/>
  <c r="K278"/>
  <c r="K268"/>
  <c r="K319"/>
  <c r="K301"/>
  <c r="K292" i="3"/>
  <c r="K292" i="2" s="1"/>
  <c r="K293"/>
  <c r="K291"/>
  <c r="K283"/>
  <c r="K273"/>
  <c r="K265"/>
  <c r="K355"/>
  <c r="K334"/>
  <c r="K326"/>
  <c r="K313"/>
  <c r="K298"/>
  <c r="K288"/>
  <c r="K280"/>
  <c r="K270"/>
  <c r="K262"/>
  <c r="K379"/>
  <c r="K331"/>
  <c r="K311"/>
  <c r="K305"/>
  <c r="K297"/>
  <c r="K287"/>
  <c r="K279"/>
  <c r="K269"/>
  <c r="K349"/>
  <c r="K302"/>
  <c r="K294"/>
  <c r="K289"/>
  <c r="K281"/>
  <c r="K274"/>
  <c r="K266"/>
  <c r="K255"/>
  <c r="K247"/>
  <c r="K237"/>
  <c r="K228" i="3"/>
  <c r="K228" i="2" s="1"/>
  <c r="K229"/>
  <c r="K227"/>
  <c r="K352"/>
  <c r="K324" i="3"/>
  <c r="K324" i="2" s="1"/>
  <c r="K325"/>
  <c r="K315"/>
  <c r="K300"/>
  <c r="K272"/>
  <c r="K264"/>
  <c r="K260" i="3"/>
  <c r="K260" i="2" s="1"/>
  <c r="K261"/>
  <c r="K257"/>
  <c r="K249"/>
  <c r="K239"/>
  <c r="K231"/>
  <c r="K285"/>
  <c r="K276" i="3"/>
  <c r="K276" i="2" s="1"/>
  <c r="K277"/>
  <c r="K254"/>
  <c r="K246"/>
  <c r="K236"/>
  <c r="K226"/>
  <c r="K356" i="3"/>
  <c r="K356" i="2" s="1"/>
  <c r="K357"/>
  <c r="K323"/>
  <c r="K314"/>
  <c r="K256"/>
  <c r="K248"/>
  <c r="K238"/>
  <c r="K332"/>
  <c r="K303"/>
  <c r="K299"/>
  <c r="K259"/>
  <c r="K252"/>
  <c r="K251"/>
  <c r="K223"/>
  <c r="K215"/>
  <c r="K205"/>
  <c r="K196" i="3"/>
  <c r="K196" i="2" s="1"/>
  <c r="K197"/>
  <c r="K195"/>
  <c r="K187"/>
  <c r="K333"/>
  <c r="K290"/>
  <c r="K284"/>
  <c r="K220"/>
  <c r="K210"/>
  <c r="K202"/>
  <c r="K337"/>
  <c r="K282"/>
  <c r="K258"/>
  <c r="K250"/>
  <c r="K243"/>
  <c r="K235"/>
  <c r="K217"/>
  <c r="K207"/>
  <c r="K199"/>
  <c r="K316"/>
  <c r="K242"/>
  <c r="K241"/>
  <c r="K234"/>
  <c r="K233"/>
  <c r="K222"/>
  <c r="K214"/>
  <c r="K204"/>
  <c r="K194"/>
  <c r="K295"/>
  <c r="K275"/>
  <c r="K192"/>
  <c r="K191"/>
  <c r="K177"/>
  <c r="K169"/>
  <c r="K159"/>
  <c r="K151"/>
  <c r="K224"/>
  <c r="K188"/>
  <c r="K184"/>
  <c r="K174"/>
  <c r="K166"/>
  <c r="K156"/>
  <c r="K263"/>
  <c r="K240"/>
  <c r="K216"/>
  <c r="K186"/>
  <c r="K176"/>
  <c r="K168"/>
  <c r="K158"/>
  <c r="K150"/>
  <c r="K225"/>
  <c r="K208"/>
  <c r="K200"/>
  <c r="K190"/>
  <c r="K178"/>
  <c r="K170"/>
  <c r="K160"/>
  <c r="K267"/>
  <c r="K244" i="3"/>
  <c r="K244" i="2" s="1"/>
  <c r="K245"/>
  <c r="K230"/>
  <c r="K173"/>
  <c r="K164" i="3"/>
  <c r="K164" i="2" s="1"/>
  <c r="K165"/>
  <c r="K148" i="3"/>
  <c r="K148" i="2" s="1"/>
  <c r="K149"/>
  <c r="K147"/>
  <c r="K139"/>
  <c r="K129"/>
  <c r="K121"/>
  <c r="K111"/>
  <c r="K103"/>
  <c r="K93"/>
  <c r="K84" i="3"/>
  <c r="K84" i="2" s="1"/>
  <c r="K85"/>
  <c r="K83"/>
  <c r="K75"/>
  <c r="K65"/>
  <c r="K57"/>
  <c r="K47"/>
  <c r="K185"/>
  <c r="K179"/>
  <c r="K172"/>
  <c r="K171"/>
  <c r="K141"/>
  <c r="K132" i="3"/>
  <c r="K132" i="2" s="1"/>
  <c r="K133"/>
  <c r="K131"/>
  <c r="K123"/>
  <c r="K113"/>
  <c r="K105"/>
  <c r="K95"/>
  <c r="K87"/>
  <c r="K77"/>
  <c r="K68" i="3"/>
  <c r="K68" i="2" s="1"/>
  <c r="K69"/>
  <c r="K67"/>
  <c r="K59"/>
  <c r="K49"/>
  <c r="K253"/>
  <c r="K183"/>
  <c r="K157"/>
  <c r="K146"/>
  <c r="K138"/>
  <c r="K128"/>
  <c r="K120"/>
  <c r="K110"/>
  <c r="K102"/>
  <c r="K92"/>
  <c r="K82"/>
  <c r="K74"/>
  <c r="K64"/>
  <c r="K56"/>
  <c r="K46"/>
  <c r="K221"/>
  <c r="K212" i="3"/>
  <c r="K212" i="2" s="1"/>
  <c r="K213"/>
  <c r="K206"/>
  <c r="K198"/>
  <c r="K182"/>
  <c r="K180" i="3"/>
  <c r="K180" i="2" s="1"/>
  <c r="K181"/>
  <c r="K153"/>
  <c r="K140"/>
  <c r="K130"/>
  <c r="K122"/>
  <c r="K112"/>
  <c r="K104"/>
  <c r="K94"/>
  <c r="K86"/>
  <c r="K76"/>
  <c r="K66"/>
  <c r="K58"/>
  <c r="K48"/>
  <c r="K34"/>
  <c r="K26"/>
  <c r="K16"/>
  <c r="K8"/>
  <c r="K189"/>
  <c r="K145"/>
  <c r="K137"/>
  <c r="K124"/>
  <c r="K96"/>
  <c r="K88"/>
  <c r="K81"/>
  <c r="K73"/>
  <c r="K60"/>
  <c r="K41"/>
  <c r="K31"/>
  <c r="K23"/>
  <c r="K13"/>
  <c r="K232"/>
  <c r="K218"/>
  <c r="K201"/>
  <c r="K152"/>
  <c r="K144"/>
  <c r="K143"/>
  <c r="K136"/>
  <c r="K135"/>
  <c r="K80"/>
  <c r="K79"/>
  <c r="K72"/>
  <c r="K71"/>
  <c r="K38"/>
  <c r="K28"/>
  <c r="K18"/>
  <c r="K10"/>
  <c r="K271"/>
  <c r="K219"/>
  <c r="K203"/>
  <c r="K109"/>
  <c r="K100" i="3"/>
  <c r="K100" i="2" s="1"/>
  <c r="K101"/>
  <c r="K45"/>
  <c r="K33"/>
  <c r="K25"/>
  <c r="K15"/>
  <c r="K7"/>
  <c r="K134"/>
  <c r="K125"/>
  <c r="K119"/>
  <c r="K118"/>
  <c r="K115"/>
  <c r="K107"/>
  <c r="K70"/>
  <c r="K61"/>
  <c r="K55"/>
  <c r="K54"/>
  <c r="K51"/>
  <c r="K43"/>
  <c r="K39"/>
  <c r="K19"/>
  <c r="K11"/>
  <c r="K6"/>
  <c r="K322"/>
  <c r="K193"/>
  <c r="K127"/>
  <c r="K126"/>
  <c r="K114"/>
  <c r="K108"/>
  <c r="K106"/>
  <c r="K63"/>
  <c r="K62"/>
  <c r="K50"/>
  <c r="K44"/>
  <c r="K42"/>
  <c r="K36" i="3"/>
  <c r="K36" i="2" s="1"/>
  <c r="K37"/>
  <c r="K17"/>
  <c r="K175"/>
  <c r="K155"/>
  <c r="K89"/>
  <c r="K32"/>
  <c r="K30"/>
  <c r="K24"/>
  <c r="K22"/>
  <c r="K163"/>
  <c r="K161"/>
  <c r="K154"/>
  <c r="K97"/>
  <c r="K91"/>
  <c r="K90"/>
  <c r="K9"/>
  <c r="K78"/>
  <c r="K40"/>
  <c r="K20" i="3"/>
  <c r="K20" i="2" s="1"/>
  <c r="K21"/>
  <c r="K211"/>
  <c r="K12"/>
  <c r="K4" i="3"/>
  <c r="K4" i="2" s="1"/>
  <c r="K5"/>
  <c r="K35"/>
  <c r="K14"/>
  <c r="K116" i="3"/>
  <c r="K116" i="2" s="1"/>
  <c r="K117"/>
  <c r="K27"/>
  <c r="K29"/>
  <c r="K162"/>
  <c r="K52" i="3"/>
  <c r="K52" i="2" s="1"/>
  <c r="K53"/>
  <c r="K209"/>
  <c r="K167"/>
  <c r="K142"/>
  <c r="K98"/>
  <c r="K99"/>
  <c r="L396"/>
  <c r="L380"/>
  <c r="L401"/>
  <c r="L393"/>
  <c r="L383"/>
  <c r="L375"/>
  <c r="L398"/>
  <c r="L390"/>
  <c r="L386"/>
  <c r="L378"/>
  <c r="L397"/>
  <c r="L376"/>
  <c r="L402"/>
  <c r="L385"/>
  <c r="L361"/>
  <c r="L395"/>
  <c r="L391"/>
  <c r="L387"/>
  <c r="L372" i="3"/>
  <c r="L372" i="2" s="1"/>
  <c r="L373"/>
  <c r="L368"/>
  <c r="L366"/>
  <c r="L358"/>
  <c r="L400"/>
  <c r="L382"/>
  <c r="L363"/>
  <c r="L384"/>
  <c r="L359"/>
  <c r="L355"/>
  <c r="L349"/>
  <c r="L340" i="3"/>
  <c r="L340" i="2" s="1"/>
  <c r="L341"/>
  <c r="L339"/>
  <c r="L399"/>
  <c r="L379"/>
  <c r="L356" i="3"/>
  <c r="L356" i="2" s="1"/>
  <c r="L357"/>
  <c r="L351"/>
  <c r="L343"/>
  <c r="L388" i="3"/>
  <c r="L388" i="2" s="1"/>
  <c r="L389"/>
  <c r="L371"/>
  <c r="L362"/>
  <c r="L354"/>
  <c r="L348"/>
  <c r="L381"/>
  <c r="L369"/>
  <c r="L360"/>
  <c r="L350"/>
  <c r="L377"/>
  <c r="L374"/>
  <c r="L337"/>
  <c r="L331"/>
  <c r="L321"/>
  <c r="L313"/>
  <c r="L365"/>
  <c r="L347"/>
  <c r="L333"/>
  <c r="L324" i="3"/>
  <c r="L324" i="2" s="1"/>
  <c r="L325"/>
  <c r="L323"/>
  <c r="L315"/>
  <c r="L367"/>
  <c r="L342"/>
  <c r="L330"/>
  <c r="L320"/>
  <c r="L312"/>
  <c r="L352"/>
  <c r="L338"/>
  <c r="L332"/>
  <c r="L322"/>
  <c r="L370"/>
  <c r="L346"/>
  <c r="L329"/>
  <c r="L314"/>
  <c r="L310"/>
  <c r="L308" i="3"/>
  <c r="L308" i="2" s="1"/>
  <c r="L309"/>
  <c r="L299"/>
  <c r="L289"/>
  <c r="L281"/>
  <c r="L271"/>
  <c r="L263"/>
  <c r="L394"/>
  <c r="L344"/>
  <c r="L306"/>
  <c r="L304"/>
  <c r="L296"/>
  <c r="L286"/>
  <c r="L278"/>
  <c r="L268"/>
  <c r="L403"/>
  <c r="L336"/>
  <c r="L335"/>
  <c r="L328"/>
  <c r="L327"/>
  <c r="L319"/>
  <c r="L301"/>
  <c r="L292" i="3"/>
  <c r="L292" i="2" s="1"/>
  <c r="L293"/>
  <c r="L291"/>
  <c r="L283"/>
  <c r="L273"/>
  <c r="L265"/>
  <c r="L392"/>
  <c r="L353"/>
  <c r="L300"/>
  <c r="L290"/>
  <c r="L282"/>
  <c r="L272"/>
  <c r="L264"/>
  <c r="L303"/>
  <c r="L295"/>
  <c r="L288"/>
  <c r="L280"/>
  <c r="L275"/>
  <c r="L267"/>
  <c r="L262"/>
  <c r="L258"/>
  <c r="L250"/>
  <c r="L240"/>
  <c r="L232"/>
  <c r="L326"/>
  <c r="L317"/>
  <c r="L287"/>
  <c r="L279"/>
  <c r="L252"/>
  <c r="L242"/>
  <c r="L234"/>
  <c r="L224"/>
  <c r="L307"/>
  <c r="L260" i="3"/>
  <c r="L260" i="2" s="1"/>
  <c r="L261"/>
  <c r="L257"/>
  <c r="L249"/>
  <c r="L239"/>
  <c r="L231"/>
  <c r="L284"/>
  <c r="L259"/>
  <c r="L251"/>
  <c r="L241"/>
  <c r="L233"/>
  <c r="L318"/>
  <c r="L297"/>
  <c r="L294"/>
  <c r="L253"/>
  <c r="L244" i="3"/>
  <c r="L244" i="2" s="1"/>
  <c r="L245"/>
  <c r="L238"/>
  <c r="L218"/>
  <c r="L208"/>
  <c r="L200"/>
  <c r="L190"/>
  <c r="L305"/>
  <c r="L302"/>
  <c r="L223"/>
  <c r="L215"/>
  <c r="L205"/>
  <c r="L196" i="3"/>
  <c r="L196" i="2" s="1"/>
  <c r="L197"/>
  <c r="L195"/>
  <c r="L334"/>
  <c r="L285"/>
  <c r="L237"/>
  <c r="L236"/>
  <c r="L220"/>
  <c r="L210"/>
  <c r="L202"/>
  <c r="L192"/>
  <c r="L276" i="3"/>
  <c r="L276" i="2" s="1"/>
  <c r="L277"/>
  <c r="L243"/>
  <c r="L235"/>
  <c r="L227"/>
  <c r="L226"/>
  <c r="L217"/>
  <c r="L207"/>
  <c r="L199"/>
  <c r="L189"/>
  <c r="L345"/>
  <c r="L298"/>
  <c r="L274"/>
  <c r="L221"/>
  <c r="L219"/>
  <c r="L212" i="3"/>
  <c r="L212" i="2" s="1"/>
  <c r="L213"/>
  <c r="L204"/>
  <c r="L193"/>
  <c r="L187"/>
  <c r="L182"/>
  <c r="L172"/>
  <c r="L162"/>
  <c r="L154"/>
  <c r="L191"/>
  <c r="L177"/>
  <c r="L169"/>
  <c r="L159"/>
  <c r="L151"/>
  <c r="L256"/>
  <c r="L254"/>
  <c r="L248"/>
  <c r="L246"/>
  <c r="L211"/>
  <c r="L209"/>
  <c r="L203"/>
  <c r="L201"/>
  <c r="L180" i="3"/>
  <c r="L180" i="2" s="1"/>
  <c r="L181"/>
  <c r="L179"/>
  <c r="L171"/>
  <c r="L161"/>
  <c r="L153"/>
  <c r="L222"/>
  <c r="L214"/>
  <c r="L194"/>
  <c r="L183"/>
  <c r="L173"/>
  <c r="L164" i="3"/>
  <c r="L164" i="2" s="1"/>
  <c r="L165"/>
  <c r="L163"/>
  <c r="L155"/>
  <c r="L175"/>
  <c r="L174"/>
  <c r="L167"/>
  <c r="L166"/>
  <c r="L160"/>
  <c r="L152"/>
  <c r="L142"/>
  <c r="L134"/>
  <c r="L124"/>
  <c r="L114"/>
  <c r="L106"/>
  <c r="L96"/>
  <c r="L88"/>
  <c r="L78"/>
  <c r="L70"/>
  <c r="L60"/>
  <c r="L50"/>
  <c r="L42"/>
  <c r="L364"/>
  <c r="L269"/>
  <c r="L247"/>
  <c r="L188"/>
  <c r="L186"/>
  <c r="L144"/>
  <c r="L136"/>
  <c r="L126"/>
  <c r="L118"/>
  <c r="L108"/>
  <c r="L98"/>
  <c r="L90"/>
  <c r="L80"/>
  <c r="L72"/>
  <c r="L62"/>
  <c r="L54"/>
  <c r="L44"/>
  <c r="L185"/>
  <c r="L184"/>
  <c r="L158"/>
  <c r="L150"/>
  <c r="L141"/>
  <c r="L132" i="3"/>
  <c r="L132" i="2" s="1"/>
  <c r="L133"/>
  <c r="L131"/>
  <c r="L123"/>
  <c r="L113"/>
  <c r="L105"/>
  <c r="L95"/>
  <c r="L87"/>
  <c r="L77"/>
  <c r="L68" i="3"/>
  <c r="L68" i="2" s="1"/>
  <c r="L69"/>
  <c r="L67"/>
  <c r="L59"/>
  <c r="L49"/>
  <c r="L255"/>
  <c r="L216"/>
  <c r="L143"/>
  <c r="L135"/>
  <c r="L125"/>
  <c r="L116" i="3"/>
  <c r="L116" i="2" s="1"/>
  <c r="L117"/>
  <c r="L115"/>
  <c r="L107"/>
  <c r="L97"/>
  <c r="L89"/>
  <c r="L79"/>
  <c r="L71"/>
  <c r="L61"/>
  <c r="L52" i="3"/>
  <c r="L52" i="2" s="1"/>
  <c r="L53"/>
  <c r="L51"/>
  <c r="L43"/>
  <c r="L316"/>
  <c r="L270"/>
  <c r="L198"/>
  <c r="L39"/>
  <c r="L29"/>
  <c r="L20" i="3"/>
  <c r="L20" i="2" s="1"/>
  <c r="L21"/>
  <c r="L19"/>
  <c r="L11"/>
  <c r="L228" i="3"/>
  <c r="L228" i="2" s="1"/>
  <c r="L229"/>
  <c r="L147"/>
  <c r="L146"/>
  <c r="L139"/>
  <c r="L138"/>
  <c r="L112"/>
  <c r="L104"/>
  <c r="L83"/>
  <c r="L82"/>
  <c r="L75"/>
  <c r="L74"/>
  <c r="L48"/>
  <c r="L34"/>
  <c r="L26"/>
  <c r="L16"/>
  <c r="L145"/>
  <c r="L137"/>
  <c r="L81"/>
  <c r="L73"/>
  <c r="L41"/>
  <c r="L31"/>
  <c r="L23"/>
  <c r="L13"/>
  <c r="L4" i="3"/>
  <c r="L4" i="2" s="1"/>
  <c r="L5"/>
  <c r="L206"/>
  <c r="L111"/>
  <c r="L110"/>
  <c r="L103"/>
  <c r="L102"/>
  <c r="L47"/>
  <c r="L46"/>
  <c r="L38"/>
  <c r="L28"/>
  <c r="L18"/>
  <c r="L10"/>
  <c r="L33"/>
  <c r="L25"/>
  <c r="L122"/>
  <c r="L120"/>
  <c r="L119"/>
  <c r="L58"/>
  <c r="L56"/>
  <c r="L55"/>
  <c r="L130"/>
  <c r="L128"/>
  <c r="L127"/>
  <c r="L121"/>
  <c r="L109"/>
  <c r="L100" i="3"/>
  <c r="L100" i="2" s="1"/>
  <c r="L101"/>
  <c r="L66"/>
  <c r="L64"/>
  <c r="L63"/>
  <c r="L57"/>
  <c r="L45"/>
  <c r="L36" i="3"/>
  <c r="L36" i="2" s="1"/>
  <c r="L37"/>
  <c r="L17"/>
  <c r="L266"/>
  <c r="L156"/>
  <c r="L129"/>
  <c r="L86"/>
  <c r="L65"/>
  <c r="L32"/>
  <c r="L30"/>
  <c r="L24"/>
  <c r="L22"/>
  <c r="L15"/>
  <c r="L140"/>
  <c r="L84" i="3"/>
  <c r="L84" i="2" s="1"/>
  <c r="L85"/>
  <c r="L8"/>
  <c r="L176"/>
  <c r="L76"/>
  <c r="L40"/>
  <c r="L311"/>
  <c r="L12"/>
  <c r="L225"/>
  <c r="L168"/>
  <c r="L99"/>
  <c r="L92"/>
  <c r="L178"/>
  <c r="L230"/>
  <c r="L170"/>
  <c r="L148" i="3"/>
  <c r="L148" i="2" s="1"/>
  <c r="L149"/>
  <c r="L9"/>
  <c r="L7"/>
  <c r="L6"/>
  <c r="L157"/>
  <c r="L35"/>
  <c r="L27"/>
  <c r="L14"/>
  <c r="L93"/>
  <c r="L91"/>
  <c r="L94"/>
  <c r="AW403"/>
  <c r="AW395"/>
  <c r="AW381"/>
  <c r="AW372" i="3"/>
  <c r="AW372" i="2" s="1"/>
  <c r="AW373"/>
  <c r="AW400"/>
  <c r="AW392"/>
  <c r="AW384"/>
  <c r="AW376"/>
  <c r="AW397"/>
  <c r="AW388" i="3"/>
  <c r="AW388" i="2" s="1"/>
  <c r="AW389"/>
  <c r="AW387"/>
  <c r="AW379"/>
  <c r="AW371"/>
  <c r="AW391"/>
  <c r="AW396"/>
  <c r="AW382"/>
  <c r="AW380"/>
  <c r="AW378"/>
  <c r="AW360"/>
  <c r="AW401"/>
  <c r="AW390"/>
  <c r="AW370"/>
  <c r="AW365"/>
  <c r="AW356" i="3"/>
  <c r="AW356" i="2" s="1"/>
  <c r="AW357"/>
  <c r="AW355"/>
  <c r="AW394"/>
  <c r="AW377"/>
  <c r="AW375"/>
  <c r="AW362"/>
  <c r="AW386"/>
  <c r="AW352"/>
  <c r="AW348"/>
  <c r="AW338"/>
  <c r="AW369"/>
  <c r="AW368"/>
  <c r="AW350"/>
  <c r="AW342"/>
  <c r="AW374"/>
  <c r="AW347"/>
  <c r="AW366"/>
  <c r="AW349"/>
  <c r="AW385"/>
  <c r="AW361"/>
  <c r="AW359"/>
  <c r="AW351"/>
  <c r="AW330"/>
  <c r="AW320"/>
  <c r="AW312"/>
  <c r="AW364"/>
  <c r="AW354"/>
  <c r="AW332"/>
  <c r="AW322"/>
  <c r="AW314"/>
  <c r="AW337"/>
  <c r="AW329"/>
  <c r="AW319"/>
  <c r="AW311"/>
  <c r="AW402"/>
  <c r="AW399"/>
  <c r="AW344"/>
  <c r="AW343"/>
  <c r="AW331"/>
  <c r="AW321"/>
  <c r="AW345"/>
  <c r="AW340" i="3"/>
  <c r="AW340" i="2" s="1"/>
  <c r="AW341"/>
  <c r="AW308" i="3"/>
  <c r="AW308" i="2" s="1"/>
  <c r="AW309"/>
  <c r="AW298"/>
  <c r="AW288"/>
  <c r="AW280"/>
  <c r="AW270"/>
  <c r="AW262"/>
  <c r="AW346"/>
  <c r="AW323"/>
  <c r="AW313"/>
  <c r="AW303"/>
  <c r="AW295"/>
  <c r="AW285"/>
  <c r="AW276" i="3"/>
  <c r="AW276" i="2" s="1"/>
  <c r="AW277"/>
  <c r="AW275"/>
  <c r="AW267"/>
  <c r="AW398"/>
  <c r="AW300"/>
  <c r="AW290"/>
  <c r="AW282"/>
  <c r="AW272"/>
  <c r="AW264"/>
  <c r="AW335"/>
  <c r="AW334"/>
  <c r="AW327"/>
  <c r="AW326"/>
  <c r="AW316"/>
  <c r="AW299"/>
  <c r="AW289"/>
  <c r="AW281"/>
  <c r="AW271"/>
  <c r="AW263"/>
  <c r="AW367"/>
  <c r="AW305"/>
  <c r="AW297"/>
  <c r="AW291"/>
  <c r="AW283"/>
  <c r="AW269"/>
  <c r="AW257"/>
  <c r="AW249"/>
  <c r="AW239"/>
  <c r="AW231"/>
  <c r="AW363"/>
  <c r="AW304"/>
  <c r="AW296"/>
  <c r="AW268"/>
  <c r="AW259"/>
  <c r="AW251"/>
  <c r="AW241"/>
  <c r="AW233"/>
  <c r="AW333"/>
  <c r="AW328"/>
  <c r="AW302"/>
  <c r="AW294"/>
  <c r="AW274"/>
  <c r="AW266"/>
  <c r="AW256"/>
  <c r="AW248"/>
  <c r="AW238"/>
  <c r="AW230"/>
  <c r="AW358"/>
  <c r="AW353"/>
  <c r="AW258"/>
  <c r="AW250"/>
  <c r="AW240"/>
  <c r="AW232"/>
  <c r="AW292" i="3"/>
  <c r="AW292" i="2" s="1"/>
  <c r="AW293"/>
  <c r="AW217"/>
  <c r="AW207"/>
  <c r="AW199"/>
  <c r="AW189"/>
  <c r="AW383"/>
  <c r="AW324" i="3"/>
  <c r="AW324" i="2" s="1"/>
  <c r="AW325"/>
  <c r="AW301"/>
  <c r="AW255"/>
  <c r="AW247"/>
  <c r="AW222"/>
  <c r="AW214"/>
  <c r="AW204"/>
  <c r="AW339"/>
  <c r="AW310"/>
  <c r="AW287"/>
  <c r="AW260" i="3"/>
  <c r="AW260" i="2" s="1"/>
  <c r="AW261"/>
  <c r="AW254"/>
  <c r="AW253"/>
  <c r="AW246"/>
  <c r="AW244" i="3"/>
  <c r="AW244" i="2" s="1"/>
  <c r="AW245"/>
  <c r="AW227"/>
  <c r="AW219"/>
  <c r="AW209"/>
  <c r="AW201"/>
  <c r="AW191"/>
  <c r="AW286"/>
  <c r="AW284"/>
  <c r="AW279"/>
  <c r="AW252"/>
  <c r="AW226"/>
  <c r="AW216"/>
  <c r="AW206"/>
  <c r="AW198"/>
  <c r="AW188"/>
  <c r="AW318"/>
  <c r="AW225"/>
  <c r="AW215"/>
  <c r="AW192"/>
  <c r="AW187"/>
  <c r="AW180" i="3"/>
  <c r="AW180" i="2" s="1"/>
  <c r="AW181"/>
  <c r="AW179"/>
  <c r="AW171"/>
  <c r="AW161"/>
  <c r="AW153"/>
  <c r="AW221"/>
  <c r="AW212" i="3"/>
  <c r="AW212" i="2" s="1"/>
  <c r="AW213"/>
  <c r="AW190"/>
  <c r="AW186"/>
  <c r="AW176"/>
  <c r="AW168"/>
  <c r="AW158"/>
  <c r="AW150"/>
  <c r="AW336"/>
  <c r="AW273"/>
  <c r="AW220"/>
  <c r="AW205"/>
  <c r="AW196" i="3"/>
  <c r="AW196" i="2" s="1"/>
  <c r="AW197"/>
  <c r="AW178"/>
  <c r="AW170"/>
  <c r="AW160"/>
  <c r="AW152"/>
  <c r="AW393"/>
  <c r="AW242"/>
  <c r="AW236"/>
  <c r="AW235"/>
  <c r="AW224"/>
  <c r="AW194"/>
  <c r="AW182"/>
  <c r="AW172"/>
  <c r="AW162"/>
  <c r="AW154"/>
  <c r="AW265"/>
  <c r="AW210"/>
  <c r="AW208"/>
  <c r="AW202"/>
  <c r="AW200"/>
  <c r="AW177"/>
  <c r="AW169"/>
  <c r="AW141"/>
  <c r="AW132" i="3"/>
  <c r="AW132" i="2" s="1"/>
  <c r="AW133"/>
  <c r="AW131"/>
  <c r="AW123"/>
  <c r="AW113"/>
  <c r="AW105"/>
  <c r="AW95"/>
  <c r="AW87"/>
  <c r="AW77"/>
  <c r="AW68" i="3"/>
  <c r="AW68" i="2" s="1"/>
  <c r="AW69"/>
  <c r="AW67"/>
  <c r="AW59"/>
  <c r="AW49"/>
  <c r="AW307"/>
  <c r="AW175"/>
  <c r="AW167"/>
  <c r="AW143"/>
  <c r="AW135"/>
  <c r="AW125"/>
  <c r="AW116" i="3"/>
  <c r="AW116" i="2" s="1"/>
  <c r="AW117"/>
  <c r="AW115"/>
  <c r="AW107"/>
  <c r="AW97"/>
  <c r="AW89"/>
  <c r="AW79"/>
  <c r="AW71"/>
  <c r="AW61"/>
  <c r="AW52" i="3"/>
  <c r="AW52" i="2" s="1"/>
  <c r="AW53"/>
  <c r="AW51"/>
  <c r="AW43"/>
  <c r="AW317"/>
  <c r="AW237"/>
  <c r="AW234"/>
  <c r="AW174"/>
  <c r="AW173"/>
  <c r="AW166"/>
  <c r="AW164" i="3"/>
  <c r="AW164" i="2" s="1"/>
  <c r="AW165"/>
  <c r="AW140"/>
  <c r="AW130"/>
  <c r="AW122"/>
  <c r="AW112"/>
  <c r="AW104"/>
  <c r="AW94"/>
  <c r="AW86"/>
  <c r="AW76"/>
  <c r="AW66"/>
  <c r="AW58"/>
  <c r="AW48"/>
  <c r="AW315"/>
  <c r="AW218"/>
  <c r="AW185"/>
  <c r="AW142"/>
  <c r="AW134"/>
  <c r="AW124"/>
  <c r="AW114"/>
  <c r="AW106"/>
  <c r="AW96"/>
  <c r="AW88"/>
  <c r="AW78"/>
  <c r="AW70"/>
  <c r="AW60"/>
  <c r="AW50"/>
  <c r="AW42"/>
  <c r="AW203"/>
  <c r="AW163"/>
  <c r="AW157"/>
  <c r="AW156"/>
  <c r="AW148" i="3"/>
  <c r="AW148" i="2" s="1"/>
  <c r="AW149"/>
  <c r="AW129"/>
  <c r="AW121"/>
  <c r="AW93"/>
  <c r="AW84" i="3"/>
  <c r="AW84" i="2" s="1"/>
  <c r="AW85"/>
  <c r="AW65"/>
  <c r="AW57"/>
  <c r="AW38"/>
  <c r="AW28"/>
  <c r="AW18"/>
  <c r="AW10"/>
  <c r="AW128"/>
  <c r="AW127"/>
  <c r="AW120"/>
  <c r="AW119"/>
  <c r="AW99"/>
  <c r="AW92"/>
  <c r="AW91"/>
  <c r="AW64"/>
  <c r="AW63"/>
  <c r="AW56"/>
  <c r="AW55"/>
  <c r="AW33"/>
  <c r="AW25"/>
  <c r="AW15"/>
  <c r="AW184"/>
  <c r="AW183"/>
  <c r="AW126"/>
  <c r="AW118"/>
  <c r="AW98"/>
  <c r="AW90"/>
  <c r="AW62"/>
  <c r="AW54"/>
  <c r="AW40"/>
  <c r="AW30"/>
  <c r="AW22"/>
  <c r="AW12"/>
  <c r="AW306"/>
  <c r="AW211"/>
  <c r="AW193"/>
  <c r="AW151"/>
  <c r="AW147"/>
  <c r="AW139"/>
  <c r="AW83"/>
  <c r="AW75"/>
  <c r="AW36" i="3"/>
  <c r="AW36" i="2" s="1"/>
  <c r="AW37"/>
  <c r="AW35"/>
  <c r="AW27"/>
  <c r="AW17"/>
  <c r="AW9"/>
  <c r="AW278"/>
  <c r="AW223"/>
  <c r="AW159"/>
  <c r="AW155"/>
  <c r="AW138"/>
  <c r="AW137"/>
  <c r="AW74"/>
  <c r="AW73"/>
  <c r="AW136"/>
  <c r="AW72"/>
  <c r="AW41"/>
  <c r="AW13"/>
  <c r="AW243"/>
  <c r="AW228" i="3"/>
  <c r="AW228" i="2" s="1"/>
  <c r="AW229"/>
  <c r="AW39"/>
  <c r="AW19"/>
  <c r="AW11"/>
  <c r="AW111"/>
  <c r="AW103"/>
  <c r="AW47"/>
  <c r="AW34"/>
  <c r="AW26"/>
  <c r="AW100" i="3"/>
  <c r="AW100" i="2" s="1"/>
  <c r="AW101"/>
  <c r="AW24"/>
  <c r="AW102"/>
  <c r="AW31"/>
  <c r="AW29"/>
  <c r="AW6"/>
  <c r="AW4" i="3"/>
  <c r="AW4" i="2" s="1"/>
  <c r="AW5"/>
  <c r="AW23"/>
  <c r="AW20" i="3"/>
  <c r="AW20" i="2" s="1"/>
  <c r="AW21"/>
  <c r="AW109"/>
  <c r="AW82"/>
  <c r="AW80"/>
  <c r="AW44"/>
  <c r="AW16"/>
  <c r="AW14"/>
  <c r="AW195"/>
  <c r="AW146"/>
  <c r="AW46"/>
  <c r="AW145"/>
  <c r="AW45"/>
  <c r="AW110"/>
  <c r="AW108"/>
  <c r="AW8"/>
  <c r="AW81"/>
  <c r="AW7"/>
  <c r="AW32"/>
  <c r="AW144"/>
  <c r="BB402"/>
  <c r="BB394"/>
  <c r="BB382"/>
  <c r="BB374"/>
  <c r="BB399"/>
  <c r="BB391"/>
  <c r="BB385"/>
  <c r="BB377"/>
  <c r="BB396"/>
  <c r="BB380"/>
  <c r="BB370"/>
  <c r="BB398"/>
  <c r="BB393"/>
  <c r="BB403"/>
  <c r="BB383"/>
  <c r="BB381"/>
  <c r="BB379"/>
  <c r="BB359"/>
  <c r="BB392"/>
  <c r="BB368"/>
  <c r="BB364"/>
  <c r="BB354"/>
  <c r="BB397"/>
  <c r="BB378"/>
  <c r="BB376"/>
  <c r="BB367"/>
  <c r="BB361"/>
  <c r="BB360"/>
  <c r="BB347"/>
  <c r="BB337"/>
  <c r="BB400"/>
  <c r="BB388" i="3"/>
  <c r="BB388" i="2" s="1"/>
  <c r="BB389"/>
  <c r="BB386"/>
  <c r="BB349"/>
  <c r="BB340" i="3"/>
  <c r="BB340" i="2" s="1"/>
  <c r="BB341"/>
  <c r="BB339"/>
  <c r="BB390"/>
  <c r="BB372" i="3"/>
  <c r="BB372" i="2" s="1"/>
  <c r="BB373"/>
  <c r="BB371"/>
  <c r="BB363"/>
  <c r="BB358"/>
  <c r="BB355"/>
  <c r="BB346"/>
  <c r="BB369"/>
  <c r="BB356" i="3"/>
  <c r="BB356" i="2" s="1"/>
  <c r="BB357"/>
  <c r="BB352"/>
  <c r="BB348"/>
  <c r="BB384"/>
  <c r="BB365"/>
  <c r="BB343"/>
  <c r="BB336"/>
  <c r="BB329"/>
  <c r="BB319"/>
  <c r="BB311"/>
  <c r="BB351"/>
  <c r="BB331"/>
  <c r="BB321"/>
  <c r="BB313"/>
  <c r="BB401"/>
  <c r="BB350"/>
  <c r="BB342"/>
  <c r="BB328"/>
  <c r="BB318"/>
  <c r="BB310"/>
  <c r="BB395"/>
  <c r="BB362"/>
  <c r="BB338"/>
  <c r="BB330"/>
  <c r="BB320"/>
  <c r="BB334"/>
  <c r="BB333"/>
  <c r="BB326"/>
  <c r="BB324" i="3"/>
  <c r="BB324" i="2" s="1"/>
  <c r="BB325"/>
  <c r="BB305"/>
  <c r="BB297"/>
  <c r="BB287"/>
  <c r="BB279"/>
  <c r="BB269"/>
  <c r="BB260" i="3"/>
  <c r="BB260" i="2" s="1"/>
  <c r="BB261"/>
  <c r="BB332"/>
  <c r="BB316"/>
  <c r="BB315"/>
  <c r="BB306"/>
  <c r="BB302"/>
  <c r="BB294"/>
  <c r="BB284"/>
  <c r="BB274"/>
  <c r="BB266"/>
  <c r="BB345"/>
  <c r="BB299"/>
  <c r="BB289"/>
  <c r="BB281"/>
  <c r="BB271"/>
  <c r="BB263"/>
  <c r="BB353"/>
  <c r="BB298"/>
  <c r="BB288"/>
  <c r="BB280"/>
  <c r="BB270"/>
  <c r="BB262"/>
  <c r="BB344"/>
  <c r="BB317"/>
  <c r="BB300"/>
  <c r="BB286"/>
  <c r="BB278"/>
  <c r="BB272"/>
  <c r="BB264"/>
  <c r="BB256"/>
  <c r="BB248"/>
  <c r="BB238"/>
  <c r="BB230"/>
  <c r="BB366"/>
  <c r="BB314"/>
  <c r="BB291"/>
  <c r="BB283"/>
  <c r="BB258"/>
  <c r="BB250"/>
  <c r="BB240"/>
  <c r="BB232"/>
  <c r="BB307"/>
  <c r="BB255"/>
  <c r="BB247"/>
  <c r="BB237"/>
  <c r="BB228" i="3"/>
  <c r="BB228" i="2" s="1"/>
  <c r="BB229"/>
  <c r="BB227"/>
  <c r="BB375"/>
  <c r="BB327"/>
  <c r="BB303"/>
  <c r="BB295"/>
  <c r="BB275"/>
  <c r="BB267"/>
  <c r="BB257"/>
  <c r="BB249"/>
  <c r="BB239"/>
  <c r="BB231"/>
  <c r="BB308" i="3"/>
  <c r="BB308" i="2" s="1"/>
  <c r="BB309"/>
  <c r="BB243"/>
  <c r="BB242"/>
  <c r="BB235"/>
  <c r="BB234"/>
  <c r="BB225"/>
  <c r="BB224"/>
  <c r="BB216"/>
  <c r="BB206"/>
  <c r="BB198"/>
  <c r="BB188"/>
  <c r="BB292" i="3"/>
  <c r="BB292" i="2" s="1"/>
  <c r="BB293"/>
  <c r="BB241"/>
  <c r="BB233"/>
  <c r="BB223"/>
  <c r="BB221"/>
  <c r="BB212" i="3"/>
  <c r="BB212" i="2" s="1"/>
  <c r="BB213"/>
  <c r="BB211"/>
  <c r="BB203"/>
  <c r="BB301"/>
  <c r="BB296"/>
  <c r="BB218"/>
  <c r="BB208"/>
  <c r="BB200"/>
  <c r="BB387"/>
  <c r="BB322"/>
  <c r="BB304"/>
  <c r="BB215"/>
  <c r="BB205"/>
  <c r="BB196" i="3"/>
  <c r="BB196" i="2" s="1"/>
  <c r="BB197"/>
  <c r="BB195"/>
  <c r="BB187"/>
  <c r="BB194"/>
  <c r="BB178"/>
  <c r="BB170"/>
  <c r="BB160"/>
  <c r="BB152"/>
  <c r="BB323"/>
  <c r="BB282"/>
  <c r="BB209"/>
  <c r="BB201"/>
  <c r="BB185"/>
  <c r="BB175"/>
  <c r="BB167"/>
  <c r="BB157"/>
  <c r="BB265"/>
  <c r="BB222"/>
  <c r="BB214"/>
  <c r="BB177"/>
  <c r="BB169"/>
  <c r="BB159"/>
  <c r="BB151"/>
  <c r="BB290"/>
  <c r="BB276" i="3"/>
  <c r="BB276" i="2" s="1"/>
  <c r="BB277"/>
  <c r="BB259"/>
  <c r="BB251"/>
  <c r="BB190"/>
  <c r="BB180" i="3"/>
  <c r="BB180" i="2" s="1"/>
  <c r="BB181"/>
  <c r="BB179"/>
  <c r="BB171"/>
  <c r="BB161"/>
  <c r="BB153"/>
  <c r="BB268"/>
  <c r="BB254"/>
  <c r="BB253"/>
  <c r="BB252"/>
  <c r="BB207"/>
  <c r="BB199"/>
  <c r="BB184"/>
  <c r="BB158"/>
  <c r="BB140"/>
  <c r="BB130"/>
  <c r="BB122"/>
  <c r="BB112"/>
  <c r="BB104"/>
  <c r="BB94"/>
  <c r="BB86"/>
  <c r="BB76"/>
  <c r="BB66"/>
  <c r="BB58"/>
  <c r="BB48"/>
  <c r="BB312"/>
  <c r="BB285"/>
  <c r="BB182"/>
  <c r="BB163"/>
  <c r="BB155"/>
  <c r="BB142"/>
  <c r="BB134"/>
  <c r="BB124"/>
  <c r="BB114"/>
  <c r="BB106"/>
  <c r="BB96"/>
  <c r="BB88"/>
  <c r="BB78"/>
  <c r="BB70"/>
  <c r="BB60"/>
  <c r="BB50"/>
  <c r="BB42"/>
  <c r="BB162"/>
  <c r="BB154"/>
  <c r="BB148" i="3"/>
  <c r="BB148" i="2" s="1"/>
  <c r="BB149"/>
  <c r="BB147"/>
  <c r="BB139"/>
  <c r="BB129"/>
  <c r="BB121"/>
  <c r="BB111"/>
  <c r="BB103"/>
  <c r="BB93"/>
  <c r="BB84" i="3"/>
  <c r="BB84" i="2" s="1"/>
  <c r="BB85"/>
  <c r="BB83"/>
  <c r="BB75"/>
  <c r="BB65"/>
  <c r="BB57"/>
  <c r="BB47"/>
  <c r="BB246"/>
  <c r="BB244" i="3"/>
  <c r="BB244" i="2" s="1"/>
  <c r="BB245"/>
  <c r="BB236"/>
  <c r="BB191"/>
  <c r="BB174"/>
  <c r="BB166"/>
  <c r="BB141"/>
  <c r="BB132" i="3"/>
  <c r="BB132" i="2" s="1"/>
  <c r="BB133"/>
  <c r="BB131"/>
  <c r="BB123"/>
  <c r="BB113"/>
  <c r="BB105"/>
  <c r="BB95"/>
  <c r="BB87"/>
  <c r="BB77"/>
  <c r="BB68" i="3"/>
  <c r="BB68" i="2" s="1"/>
  <c r="BB69"/>
  <c r="BB67"/>
  <c r="BB59"/>
  <c r="BB49"/>
  <c r="BB202"/>
  <c r="BB168"/>
  <c r="BB164" i="3"/>
  <c r="BB164" i="2" s="1"/>
  <c r="BB165"/>
  <c r="BB150"/>
  <c r="BB143"/>
  <c r="BB135"/>
  <c r="BB110"/>
  <c r="BB102"/>
  <c r="BB79"/>
  <c r="BB71"/>
  <c r="BB46"/>
  <c r="BB36" i="3"/>
  <c r="BB36" i="2" s="1"/>
  <c r="BB37"/>
  <c r="BB35"/>
  <c r="BB27"/>
  <c r="BB17"/>
  <c r="BB9"/>
  <c r="BB219"/>
  <c r="BB204"/>
  <c r="BB189"/>
  <c r="BB156"/>
  <c r="BB109"/>
  <c r="BB108"/>
  <c r="BB100" i="3"/>
  <c r="BB100" i="2" s="1"/>
  <c r="BB101"/>
  <c r="BB45"/>
  <c r="BB44"/>
  <c r="BB32"/>
  <c r="BB24"/>
  <c r="BB14"/>
  <c r="BB220"/>
  <c r="BB192"/>
  <c r="BB115"/>
  <c r="BB107"/>
  <c r="BB51"/>
  <c r="BB43"/>
  <c r="BB39"/>
  <c r="BB29"/>
  <c r="BB20" i="3"/>
  <c r="BB20" i="2" s="1"/>
  <c r="BB21"/>
  <c r="BB19"/>
  <c r="BB11"/>
  <c r="BB335"/>
  <c r="BB210"/>
  <c r="BB186"/>
  <c r="BB128"/>
  <c r="BB120"/>
  <c r="BB92"/>
  <c r="BB64"/>
  <c r="BB56"/>
  <c r="BB41"/>
  <c r="BB34"/>
  <c r="BB26"/>
  <c r="BB16"/>
  <c r="BB8"/>
  <c r="BB146"/>
  <c r="BB82"/>
  <c r="BB273"/>
  <c r="BB183"/>
  <c r="BB145"/>
  <c r="BB144"/>
  <c r="BB118"/>
  <c r="BB116" i="3"/>
  <c r="BB116" i="2" s="1"/>
  <c r="BB117"/>
  <c r="BB81"/>
  <c r="BB80"/>
  <c r="BB54"/>
  <c r="BB52" i="3"/>
  <c r="BB52" i="2" s="1"/>
  <c r="BB53"/>
  <c r="BB30"/>
  <c r="BB22"/>
  <c r="BB15"/>
  <c r="BB7"/>
  <c r="BB226"/>
  <c r="BB176"/>
  <c r="BB138"/>
  <c r="BB126"/>
  <c r="BB125"/>
  <c r="BB119"/>
  <c r="BB74"/>
  <c r="BB62"/>
  <c r="BB61"/>
  <c r="BB55"/>
  <c r="BB28"/>
  <c r="BB13"/>
  <c r="BB193"/>
  <c r="BB137"/>
  <c r="BB136"/>
  <c r="BB127"/>
  <c r="BB73"/>
  <c r="BB72"/>
  <c r="BB63"/>
  <c r="BB6"/>
  <c r="BB4" i="3"/>
  <c r="BB4" i="2" s="1"/>
  <c r="BB5"/>
  <c r="BB172"/>
  <c r="BB98"/>
  <c r="BB217"/>
  <c r="BB91"/>
  <c r="BB33"/>
  <c r="BB99"/>
  <c r="BB31"/>
  <c r="BB25"/>
  <c r="BB173"/>
  <c r="BB97"/>
  <c r="BB89"/>
  <c r="BB23"/>
  <c r="BB18"/>
  <c r="BB10"/>
  <c r="BB90"/>
  <c r="BB38"/>
  <c r="BB40"/>
  <c r="BB12"/>
  <c r="S401"/>
  <c r="S393"/>
  <c r="S383"/>
  <c r="S375"/>
  <c r="S398"/>
  <c r="S390"/>
  <c r="S386"/>
  <c r="S378"/>
  <c r="S403"/>
  <c r="S395"/>
  <c r="S381"/>
  <c r="S372" i="3"/>
  <c r="S372" i="2" s="1"/>
  <c r="S373"/>
  <c r="S369"/>
  <c r="S388" i="3"/>
  <c r="S388" i="2" s="1"/>
  <c r="S389"/>
  <c r="S384"/>
  <c r="S394"/>
  <c r="S377"/>
  <c r="S371"/>
  <c r="S366"/>
  <c r="S358"/>
  <c r="S399"/>
  <c r="S379"/>
  <c r="S363"/>
  <c r="S353"/>
  <c r="S392"/>
  <c r="S374"/>
  <c r="S360"/>
  <c r="S367"/>
  <c r="S346"/>
  <c r="S397"/>
  <c r="S365"/>
  <c r="S361"/>
  <c r="S348"/>
  <c r="S338"/>
  <c r="S345"/>
  <c r="S402"/>
  <c r="S391"/>
  <c r="S385"/>
  <c r="S364"/>
  <c r="S347"/>
  <c r="S356" i="3"/>
  <c r="S356" i="2" s="1"/>
  <c r="S357"/>
  <c r="S352"/>
  <c r="S342"/>
  <c r="S336"/>
  <c r="S328"/>
  <c r="S318"/>
  <c r="S310"/>
  <c r="S362"/>
  <c r="S330"/>
  <c r="S320"/>
  <c r="S312"/>
  <c r="S396"/>
  <c r="S382"/>
  <c r="S380"/>
  <c r="S355"/>
  <c r="S349"/>
  <c r="S344"/>
  <c r="S340" i="3"/>
  <c r="S340" i="2" s="1"/>
  <c r="S341"/>
  <c r="S335"/>
  <c r="S327"/>
  <c r="S317"/>
  <c r="S308" i="3"/>
  <c r="S308" i="2" s="1"/>
  <c r="S309"/>
  <c r="S307"/>
  <c r="S337"/>
  <c r="S329"/>
  <c r="S339"/>
  <c r="S304"/>
  <c r="S296"/>
  <c r="S286"/>
  <c r="S278"/>
  <c r="S268"/>
  <c r="S370"/>
  <c r="S359"/>
  <c r="S351"/>
  <c r="S350"/>
  <c r="S331"/>
  <c r="S301"/>
  <c r="S292" i="3"/>
  <c r="S292" i="2" s="1"/>
  <c r="S293"/>
  <c r="S291"/>
  <c r="S283"/>
  <c r="S273"/>
  <c r="S265"/>
  <c r="S400"/>
  <c r="S354"/>
  <c r="S323"/>
  <c r="S322"/>
  <c r="S311"/>
  <c r="S298"/>
  <c r="S288"/>
  <c r="S280"/>
  <c r="S270"/>
  <c r="S262"/>
  <c r="S305"/>
  <c r="S297"/>
  <c r="S287"/>
  <c r="S279"/>
  <c r="S269"/>
  <c r="S316"/>
  <c r="S299"/>
  <c r="S284"/>
  <c r="S271"/>
  <c r="S263"/>
  <c r="S255"/>
  <c r="S247"/>
  <c r="S237"/>
  <c r="S228" i="3"/>
  <c r="S228" i="2" s="1"/>
  <c r="S229"/>
  <c r="S227"/>
  <c r="S290"/>
  <c r="S282"/>
  <c r="S257"/>
  <c r="S249"/>
  <c r="S239"/>
  <c r="S231"/>
  <c r="S368"/>
  <c r="S334"/>
  <c r="S319"/>
  <c r="S303"/>
  <c r="S295"/>
  <c r="S275"/>
  <c r="S267"/>
  <c r="S254"/>
  <c r="S246"/>
  <c r="S236"/>
  <c r="S226"/>
  <c r="S387"/>
  <c r="S376"/>
  <c r="S324" i="3"/>
  <c r="S324" i="2" s="1"/>
  <c r="S325"/>
  <c r="S313"/>
  <c r="S256"/>
  <c r="S248"/>
  <c r="S238"/>
  <c r="S223"/>
  <c r="S215"/>
  <c r="S205"/>
  <c r="S196" i="3"/>
  <c r="S196" i="2" s="1"/>
  <c r="S197"/>
  <c r="S195"/>
  <c r="S187"/>
  <c r="S332"/>
  <c r="S315"/>
  <c r="S306"/>
  <c r="S300"/>
  <c r="S294"/>
  <c r="S260" i="3"/>
  <c r="S260" i="2" s="1"/>
  <c r="S261"/>
  <c r="S240"/>
  <c r="S232"/>
  <c r="S230"/>
  <c r="S220"/>
  <c r="S210"/>
  <c r="S202"/>
  <c r="S333"/>
  <c r="S302"/>
  <c r="S225"/>
  <c r="S217"/>
  <c r="S207"/>
  <c r="S199"/>
  <c r="S289"/>
  <c r="S253"/>
  <c r="S244" i="3"/>
  <c r="S244" i="2" s="1"/>
  <c r="S245"/>
  <c r="S224"/>
  <c r="S222"/>
  <c r="S214"/>
  <c r="S204"/>
  <c r="S194"/>
  <c r="S314"/>
  <c r="S276" i="3"/>
  <c r="S276" i="2" s="1"/>
  <c r="S277"/>
  <c r="S266"/>
  <c r="S177"/>
  <c r="S169"/>
  <c r="S159"/>
  <c r="S151"/>
  <c r="S274"/>
  <c r="S208"/>
  <c r="S200"/>
  <c r="S184"/>
  <c r="S174"/>
  <c r="S166"/>
  <c r="S156"/>
  <c r="S281"/>
  <c r="S259"/>
  <c r="S252"/>
  <c r="S251"/>
  <c r="S221"/>
  <c r="S219"/>
  <c r="S212" i="3"/>
  <c r="S212" i="2" s="1"/>
  <c r="S213"/>
  <c r="S190"/>
  <c r="S186"/>
  <c r="S176"/>
  <c r="S168"/>
  <c r="S158"/>
  <c r="S150"/>
  <c r="S264"/>
  <c r="S258"/>
  <c r="S250"/>
  <c r="S243"/>
  <c r="S192"/>
  <c r="S191"/>
  <c r="S189"/>
  <c r="S178"/>
  <c r="S170"/>
  <c r="S160"/>
  <c r="S343"/>
  <c r="S285"/>
  <c r="S235"/>
  <c r="S234"/>
  <c r="S211"/>
  <c r="S209"/>
  <c r="S203"/>
  <c r="S201"/>
  <c r="S163"/>
  <c r="S155"/>
  <c r="S148" i="3"/>
  <c r="S148" i="2" s="1"/>
  <c r="S149"/>
  <c r="S147"/>
  <c r="S139"/>
  <c r="S129"/>
  <c r="S121"/>
  <c r="S111"/>
  <c r="S103"/>
  <c r="S93"/>
  <c r="S84" i="3"/>
  <c r="S84" i="2" s="1"/>
  <c r="S85"/>
  <c r="S83"/>
  <c r="S75"/>
  <c r="S65"/>
  <c r="S57"/>
  <c r="S47"/>
  <c r="S272"/>
  <c r="S162"/>
  <c r="S161"/>
  <c r="S154"/>
  <c r="S153"/>
  <c r="S141"/>
  <c r="S132" i="3"/>
  <c r="S132" i="2" s="1"/>
  <c r="S133"/>
  <c r="S131"/>
  <c r="S123"/>
  <c r="S113"/>
  <c r="S105"/>
  <c r="S95"/>
  <c r="S87"/>
  <c r="S77"/>
  <c r="S68" i="3"/>
  <c r="S68" i="2" s="1"/>
  <c r="S69"/>
  <c r="S67"/>
  <c r="S59"/>
  <c r="S49"/>
  <c r="S326"/>
  <c r="S242"/>
  <c r="S241"/>
  <c r="S193"/>
  <c r="S175"/>
  <c r="S167"/>
  <c r="S146"/>
  <c r="S138"/>
  <c r="S128"/>
  <c r="S120"/>
  <c r="S110"/>
  <c r="S102"/>
  <c r="S92"/>
  <c r="S82"/>
  <c r="S74"/>
  <c r="S64"/>
  <c r="S56"/>
  <c r="S46"/>
  <c r="S188"/>
  <c r="S140"/>
  <c r="S130"/>
  <c r="S122"/>
  <c r="S112"/>
  <c r="S104"/>
  <c r="S94"/>
  <c r="S86"/>
  <c r="S76"/>
  <c r="S66"/>
  <c r="S58"/>
  <c r="S48"/>
  <c r="S233"/>
  <c r="S142"/>
  <c r="S134"/>
  <c r="S115"/>
  <c r="S108"/>
  <c r="S107"/>
  <c r="S78"/>
  <c r="S70"/>
  <c r="S51"/>
  <c r="S44"/>
  <c r="S43"/>
  <c r="S34"/>
  <c r="S26"/>
  <c r="S16"/>
  <c r="S8"/>
  <c r="S198"/>
  <c r="S157"/>
  <c r="S41"/>
  <c r="S31"/>
  <c r="S23"/>
  <c r="S13"/>
  <c r="S216"/>
  <c r="S185"/>
  <c r="S127"/>
  <c r="S119"/>
  <c r="S114"/>
  <c r="S106"/>
  <c r="S99"/>
  <c r="S91"/>
  <c r="S63"/>
  <c r="S55"/>
  <c r="S50"/>
  <c r="S42"/>
  <c r="S38"/>
  <c r="S28"/>
  <c r="S18"/>
  <c r="S10"/>
  <c r="S218"/>
  <c r="S183"/>
  <c r="S182"/>
  <c r="S180" i="3"/>
  <c r="S180" i="2" s="1"/>
  <c r="S181"/>
  <c r="S126"/>
  <c r="S125"/>
  <c r="S118"/>
  <c r="S116" i="3"/>
  <c r="S116" i="2" s="1"/>
  <c r="S117"/>
  <c r="S98"/>
  <c r="S97"/>
  <c r="S90"/>
  <c r="S89"/>
  <c r="S62"/>
  <c r="S61"/>
  <c r="S54"/>
  <c r="S52" i="3"/>
  <c r="S52" i="2" s="1"/>
  <c r="S53"/>
  <c r="S33"/>
  <c r="S25"/>
  <c r="S15"/>
  <c r="S7"/>
  <c r="S171"/>
  <c r="S152"/>
  <c r="S144"/>
  <c r="S143"/>
  <c r="S80"/>
  <c r="S79"/>
  <c r="S9"/>
  <c r="S172"/>
  <c r="S137"/>
  <c r="S73"/>
  <c r="S40"/>
  <c r="S29"/>
  <c r="S20" i="3"/>
  <c r="S20" i="2" s="1"/>
  <c r="S21"/>
  <c r="S14"/>
  <c r="S12"/>
  <c r="S173"/>
  <c r="S136"/>
  <c r="S135"/>
  <c r="S124"/>
  <c r="S72"/>
  <c r="S71"/>
  <c r="S60"/>
  <c r="S35"/>
  <c r="S27"/>
  <c r="S321"/>
  <c r="S145"/>
  <c r="S179"/>
  <c r="S81"/>
  <c r="S32"/>
  <c r="S30"/>
  <c r="S109"/>
  <c r="S96"/>
  <c r="S39"/>
  <c r="S24"/>
  <c r="S22"/>
  <c r="S164" i="3"/>
  <c r="S164" i="2" s="1"/>
  <c r="S165"/>
  <c r="S100" i="3"/>
  <c r="S100" i="2" s="1"/>
  <c r="S101"/>
  <c r="S88"/>
  <c r="S45"/>
  <c r="S36" i="3"/>
  <c r="S36" i="2" s="1"/>
  <c r="S37"/>
  <c r="S206"/>
  <c r="S17"/>
  <c r="S6"/>
  <c r="S4" i="3"/>
  <c r="S4" i="2" s="1"/>
  <c r="S5"/>
  <c r="S19"/>
  <c r="S11"/>
  <c r="U399"/>
  <c r="U391"/>
  <c r="U385"/>
  <c r="U377"/>
  <c r="U396"/>
  <c r="U380"/>
  <c r="U370"/>
  <c r="U401"/>
  <c r="U393"/>
  <c r="U383"/>
  <c r="U375"/>
  <c r="U395"/>
  <c r="U387"/>
  <c r="U372" i="3"/>
  <c r="U372" i="2" s="1"/>
  <c r="U373"/>
  <c r="U400"/>
  <c r="U382"/>
  <c r="U368"/>
  <c r="U364"/>
  <c r="U354"/>
  <c r="U388" i="3"/>
  <c r="U388" i="2" s="1"/>
  <c r="U389"/>
  <c r="U386"/>
  <c r="U384"/>
  <c r="U361"/>
  <c r="U398"/>
  <c r="U394"/>
  <c r="U371"/>
  <c r="U366"/>
  <c r="U358"/>
  <c r="U376"/>
  <c r="U369"/>
  <c r="U356" i="3"/>
  <c r="U356" i="2" s="1"/>
  <c r="U357"/>
  <c r="U352"/>
  <c r="U344"/>
  <c r="U390"/>
  <c r="U367"/>
  <c r="U346"/>
  <c r="U378"/>
  <c r="U374"/>
  <c r="U360"/>
  <c r="U353"/>
  <c r="U351"/>
  <c r="U359"/>
  <c r="U334"/>
  <c r="U326"/>
  <c r="U316"/>
  <c r="U403"/>
  <c r="U381"/>
  <c r="U379"/>
  <c r="U350"/>
  <c r="U345"/>
  <c r="U342"/>
  <c r="U339"/>
  <c r="U336"/>
  <c r="U328"/>
  <c r="U318"/>
  <c r="U310"/>
  <c r="U362"/>
  <c r="U333"/>
  <c r="U324" i="3"/>
  <c r="U324" i="2" s="1"/>
  <c r="U325"/>
  <c r="U323"/>
  <c r="U315"/>
  <c r="U365"/>
  <c r="U363"/>
  <c r="U348"/>
  <c r="U335"/>
  <c r="U327"/>
  <c r="U332"/>
  <c r="U319"/>
  <c r="U313"/>
  <c r="U306"/>
  <c r="U302"/>
  <c r="U294"/>
  <c r="U284"/>
  <c r="U274"/>
  <c r="U266"/>
  <c r="U349"/>
  <c r="U338"/>
  <c r="U312"/>
  <c r="U299"/>
  <c r="U289"/>
  <c r="U281"/>
  <c r="U271"/>
  <c r="U263"/>
  <c r="U397"/>
  <c r="U347"/>
  <c r="U337"/>
  <c r="U331"/>
  <c r="U317"/>
  <c r="U304"/>
  <c r="U296"/>
  <c r="U286"/>
  <c r="U278"/>
  <c r="U268"/>
  <c r="U340" i="3"/>
  <c r="U340" i="2" s="1"/>
  <c r="U341"/>
  <c r="U329"/>
  <c r="U321"/>
  <c r="U320"/>
  <c r="U307"/>
  <c r="U303"/>
  <c r="U295"/>
  <c r="U285"/>
  <c r="U276" i="3"/>
  <c r="U276" i="2" s="1"/>
  <c r="U277"/>
  <c r="U275"/>
  <c r="U267"/>
  <c r="U314"/>
  <c r="U253"/>
  <c r="U244" i="3"/>
  <c r="U244" i="2" s="1"/>
  <c r="U245"/>
  <c r="U243"/>
  <c r="U235"/>
  <c r="U225"/>
  <c r="U255"/>
  <c r="U247"/>
  <c r="U237"/>
  <c r="U228" i="3"/>
  <c r="U228" i="2" s="1"/>
  <c r="U229"/>
  <c r="U227"/>
  <c r="U330"/>
  <c r="U305"/>
  <c r="U297"/>
  <c r="U290"/>
  <c r="U282"/>
  <c r="U269"/>
  <c r="U252"/>
  <c r="U242"/>
  <c r="U234"/>
  <c r="U224"/>
  <c r="U355"/>
  <c r="U301"/>
  <c r="U292" i="3"/>
  <c r="U292" i="2" s="1"/>
  <c r="U293"/>
  <c r="U288"/>
  <c r="U280"/>
  <c r="U273"/>
  <c r="U265"/>
  <c r="U254"/>
  <c r="U246"/>
  <c r="U236"/>
  <c r="U343"/>
  <c r="U311"/>
  <c r="U257"/>
  <c r="U249"/>
  <c r="U241"/>
  <c r="U233"/>
  <c r="U231"/>
  <c r="U221"/>
  <c r="U212" i="3"/>
  <c r="U212" i="2" s="1"/>
  <c r="U213"/>
  <c r="U211"/>
  <c r="U203"/>
  <c r="U193"/>
  <c r="U402"/>
  <c r="U226"/>
  <c r="U218"/>
  <c r="U208"/>
  <c r="U200"/>
  <c r="U300"/>
  <c r="U298"/>
  <c r="U260" i="3"/>
  <c r="U260" i="2" s="1"/>
  <c r="U261"/>
  <c r="U256"/>
  <c r="U248"/>
  <c r="U240"/>
  <c r="U232"/>
  <c r="U223"/>
  <c r="U215"/>
  <c r="U205"/>
  <c r="U196" i="3"/>
  <c r="U196" i="2" s="1"/>
  <c r="U197"/>
  <c r="U195"/>
  <c r="U308" i="3"/>
  <c r="U308" i="2" s="1"/>
  <c r="U309"/>
  <c r="U291"/>
  <c r="U239"/>
  <c r="U230"/>
  <c r="U220"/>
  <c r="U210"/>
  <c r="U202"/>
  <c r="U192"/>
  <c r="U209"/>
  <c r="U201"/>
  <c r="U187"/>
  <c r="U185"/>
  <c r="U175"/>
  <c r="U167"/>
  <c r="U157"/>
  <c r="U287"/>
  <c r="U216"/>
  <c r="U207"/>
  <c r="U199"/>
  <c r="U188"/>
  <c r="U182"/>
  <c r="U172"/>
  <c r="U162"/>
  <c r="U154"/>
  <c r="U322"/>
  <c r="U194"/>
  <c r="U184"/>
  <c r="U174"/>
  <c r="U166"/>
  <c r="U156"/>
  <c r="U283"/>
  <c r="U270"/>
  <c r="U238"/>
  <c r="U219"/>
  <c r="U204"/>
  <c r="U186"/>
  <c r="U176"/>
  <c r="U168"/>
  <c r="U158"/>
  <c r="U392"/>
  <c r="U206"/>
  <c r="U198"/>
  <c r="U183"/>
  <c r="U145"/>
  <c r="U137"/>
  <c r="U127"/>
  <c r="U119"/>
  <c r="U109"/>
  <c r="U100" i="3"/>
  <c r="U100" i="2" s="1"/>
  <c r="U101"/>
  <c r="U99"/>
  <c r="U91"/>
  <c r="U81"/>
  <c r="U73"/>
  <c r="U63"/>
  <c r="U55"/>
  <c r="U45"/>
  <c r="U279"/>
  <c r="U264"/>
  <c r="U180" i="3"/>
  <c r="U180" i="2" s="1"/>
  <c r="U181"/>
  <c r="U177"/>
  <c r="U169"/>
  <c r="U148" i="3"/>
  <c r="U148" i="2" s="1"/>
  <c r="U149"/>
  <c r="U147"/>
  <c r="U139"/>
  <c r="U129"/>
  <c r="U121"/>
  <c r="U111"/>
  <c r="U103"/>
  <c r="U93"/>
  <c r="U84" i="3"/>
  <c r="U84" i="2" s="1"/>
  <c r="U85"/>
  <c r="U83"/>
  <c r="U75"/>
  <c r="U65"/>
  <c r="U57"/>
  <c r="U47"/>
  <c r="U272"/>
  <c r="U191"/>
  <c r="U161"/>
  <c r="U153"/>
  <c r="U144"/>
  <c r="U136"/>
  <c r="U126"/>
  <c r="U118"/>
  <c r="U108"/>
  <c r="U98"/>
  <c r="U90"/>
  <c r="U80"/>
  <c r="U72"/>
  <c r="U62"/>
  <c r="U54"/>
  <c r="U44"/>
  <c r="U173"/>
  <c r="U164" i="3"/>
  <c r="U164" i="2" s="1"/>
  <c r="U165"/>
  <c r="U160"/>
  <c r="U146"/>
  <c r="U138"/>
  <c r="U128"/>
  <c r="U120"/>
  <c r="U110"/>
  <c r="U102"/>
  <c r="U92"/>
  <c r="U82"/>
  <c r="U74"/>
  <c r="U64"/>
  <c r="U56"/>
  <c r="U46"/>
  <c r="U262"/>
  <c r="U259"/>
  <c r="U170"/>
  <c r="U159"/>
  <c r="U155"/>
  <c r="U32"/>
  <c r="U24"/>
  <c r="U14"/>
  <c r="U6"/>
  <c r="U163"/>
  <c r="U142"/>
  <c r="U134"/>
  <c r="U130"/>
  <c r="U122"/>
  <c r="U115"/>
  <c r="U107"/>
  <c r="U94"/>
  <c r="U86"/>
  <c r="U78"/>
  <c r="U70"/>
  <c r="U66"/>
  <c r="U58"/>
  <c r="U51"/>
  <c r="U43"/>
  <c r="U39"/>
  <c r="U29"/>
  <c r="U20" i="3"/>
  <c r="U20" i="2" s="1"/>
  <c r="U21"/>
  <c r="U19"/>
  <c r="U11"/>
  <c r="U250"/>
  <c r="U217"/>
  <c r="U189"/>
  <c r="U151"/>
  <c r="U141"/>
  <c r="U132" i="3"/>
  <c r="U132" i="2" s="1"/>
  <c r="U133"/>
  <c r="U77"/>
  <c r="U68" i="3"/>
  <c r="U68" i="2" s="1"/>
  <c r="U69"/>
  <c r="U34"/>
  <c r="U26"/>
  <c r="U16"/>
  <c r="U8"/>
  <c r="U258"/>
  <c r="U114"/>
  <c r="U106"/>
  <c r="U50"/>
  <c r="U42"/>
  <c r="U41"/>
  <c r="U31"/>
  <c r="U23"/>
  <c r="U13"/>
  <c r="U4" i="3"/>
  <c r="U4" i="2" s="1"/>
  <c r="U5"/>
  <c r="U190"/>
  <c r="U179"/>
  <c r="U178"/>
  <c r="U140"/>
  <c r="U116" i="3"/>
  <c r="U116" i="2" s="1"/>
  <c r="U117"/>
  <c r="U76"/>
  <c r="U52" i="3"/>
  <c r="U52" i="2" s="1"/>
  <c r="U53"/>
  <c r="U30"/>
  <c r="U22"/>
  <c r="U15"/>
  <c r="U171"/>
  <c r="U152"/>
  <c r="U143"/>
  <c r="U125"/>
  <c r="U79"/>
  <c r="U61"/>
  <c r="U28"/>
  <c r="U113"/>
  <c r="U105"/>
  <c r="U49"/>
  <c r="U9"/>
  <c r="U222"/>
  <c r="U214"/>
  <c r="U135"/>
  <c r="U124"/>
  <c r="U89"/>
  <c r="U71"/>
  <c r="U60"/>
  <c r="U40"/>
  <c r="U12"/>
  <c r="U33"/>
  <c r="U27"/>
  <c r="U150"/>
  <c r="U25"/>
  <c r="U131"/>
  <c r="U97"/>
  <c r="U38"/>
  <c r="U10"/>
  <c r="U48"/>
  <c r="U36" i="3"/>
  <c r="U36" i="2" s="1"/>
  <c r="U37"/>
  <c r="U96"/>
  <c r="U123"/>
  <c r="U88"/>
  <c r="U59"/>
  <c r="U251"/>
  <c r="U95"/>
  <c r="U112"/>
  <c r="U67"/>
  <c r="U7"/>
  <c r="U104"/>
  <c r="U35"/>
  <c r="U17"/>
  <c r="U18"/>
  <c r="U87"/>
  <c r="BJ402"/>
  <c r="BJ394"/>
  <c r="BJ382"/>
  <c r="BJ374"/>
  <c r="BJ399"/>
  <c r="BJ391"/>
  <c r="BJ385"/>
  <c r="BJ377"/>
  <c r="BJ396"/>
  <c r="BJ380"/>
  <c r="BJ370"/>
  <c r="BJ397"/>
  <c r="BJ378"/>
  <c r="BJ376"/>
  <c r="BJ368"/>
  <c r="BJ401"/>
  <c r="BJ390"/>
  <c r="BJ367"/>
  <c r="BJ359"/>
  <c r="BJ395"/>
  <c r="BJ387"/>
  <c r="BJ375"/>
  <c r="BJ372" i="3"/>
  <c r="BJ372" i="2" s="1"/>
  <c r="BJ373"/>
  <c r="BJ371"/>
  <c r="BJ364"/>
  <c r="BJ354"/>
  <c r="BJ400"/>
  <c r="BJ361"/>
  <c r="BJ384"/>
  <c r="BJ363"/>
  <c r="BJ358"/>
  <c r="BJ355"/>
  <c r="BJ347"/>
  <c r="BJ337"/>
  <c r="BJ393"/>
  <c r="BJ379"/>
  <c r="BJ356" i="3"/>
  <c r="BJ356" i="2" s="1"/>
  <c r="BJ357"/>
  <c r="BJ353"/>
  <c r="BJ349"/>
  <c r="BJ340" i="3"/>
  <c r="BJ340" i="2" s="1"/>
  <c r="BJ341"/>
  <c r="BJ339"/>
  <c r="BJ388" i="3"/>
  <c r="BJ388" i="2" s="1"/>
  <c r="BJ389"/>
  <c r="BJ386"/>
  <c r="BJ362"/>
  <c r="BJ346"/>
  <c r="BJ381"/>
  <c r="BJ360"/>
  <c r="BJ348"/>
  <c r="BJ329"/>
  <c r="BJ319"/>
  <c r="BJ311"/>
  <c r="BJ369"/>
  <c r="BJ365"/>
  <c r="BJ331"/>
  <c r="BJ321"/>
  <c r="BJ313"/>
  <c r="BJ352"/>
  <c r="BJ338"/>
  <c r="BJ328"/>
  <c r="BJ318"/>
  <c r="BJ310"/>
  <c r="BJ398"/>
  <c r="BJ330"/>
  <c r="BJ320"/>
  <c r="BJ344"/>
  <c r="BJ322"/>
  <c r="BJ314"/>
  <c r="BJ308" i="3"/>
  <c r="BJ308" i="2" s="1"/>
  <c r="BJ309"/>
  <c r="BJ305"/>
  <c r="BJ297"/>
  <c r="BJ287"/>
  <c r="BJ279"/>
  <c r="BJ269"/>
  <c r="BJ260" i="3"/>
  <c r="BJ260" i="2" s="1"/>
  <c r="BJ261"/>
  <c r="BJ259"/>
  <c r="BJ392"/>
  <c r="BJ336"/>
  <c r="BJ302"/>
  <c r="BJ294"/>
  <c r="BJ284"/>
  <c r="BJ274"/>
  <c r="BJ266"/>
  <c r="BJ299"/>
  <c r="BJ289"/>
  <c r="BJ281"/>
  <c r="BJ271"/>
  <c r="BJ263"/>
  <c r="BJ332"/>
  <c r="BJ298"/>
  <c r="BJ288"/>
  <c r="BJ280"/>
  <c r="BJ270"/>
  <c r="BJ262"/>
  <c r="BJ383"/>
  <c r="BJ304"/>
  <c r="BJ296"/>
  <c r="BJ290"/>
  <c r="BJ282"/>
  <c r="BJ268"/>
  <c r="BJ256"/>
  <c r="BJ248"/>
  <c r="BJ238"/>
  <c r="BJ230"/>
  <c r="BJ342"/>
  <c r="BJ323"/>
  <c r="BJ317"/>
  <c r="BJ301"/>
  <c r="BJ292" i="3"/>
  <c r="BJ292" i="2" s="1"/>
  <c r="BJ293"/>
  <c r="BJ273"/>
  <c r="BJ265"/>
  <c r="BJ258"/>
  <c r="BJ250"/>
  <c r="BJ240"/>
  <c r="BJ232"/>
  <c r="BJ366"/>
  <c r="BJ255"/>
  <c r="BJ247"/>
  <c r="BJ237"/>
  <c r="BJ228" i="3"/>
  <c r="BJ228" i="2" s="1"/>
  <c r="BJ229"/>
  <c r="BJ227"/>
  <c r="BJ335"/>
  <c r="BJ285"/>
  <c r="BJ276" i="3"/>
  <c r="BJ276" i="2" s="1"/>
  <c r="BJ277"/>
  <c r="BJ257"/>
  <c r="BJ249"/>
  <c r="BJ239"/>
  <c r="BJ231"/>
  <c r="BJ345"/>
  <c r="BJ334"/>
  <c r="BJ315"/>
  <c r="BJ312"/>
  <c r="BJ264"/>
  <c r="BJ254"/>
  <c r="BJ246"/>
  <c r="BJ216"/>
  <c r="BJ206"/>
  <c r="BJ198"/>
  <c r="BJ188"/>
  <c r="BJ350"/>
  <c r="BJ272"/>
  <c r="BJ267"/>
  <c r="BJ253"/>
  <c r="BJ252"/>
  <c r="BJ244" i="3"/>
  <c r="BJ244" i="2" s="1"/>
  <c r="BJ245"/>
  <c r="BJ221"/>
  <c r="BJ212" i="3"/>
  <c r="BJ212" i="2" s="1"/>
  <c r="BJ213"/>
  <c r="BJ211"/>
  <c r="BJ203"/>
  <c r="BJ306"/>
  <c r="BJ275"/>
  <c r="BJ251"/>
  <c r="BJ218"/>
  <c r="BJ208"/>
  <c r="BJ200"/>
  <c r="BJ190"/>
  <c r="BJ343"/>
  <c r="BJ327"/>
  <c r="BJ326"/>
  <c r="BJ324" i="3"/>
  <c r="BJ324" i="2" s="1"/>
  <c r="BJ325"/>
  <c r="BJ316"/>
  <c r="BJ236"/>
  <c r="BJ226"/>
  <c r="BJ215"/>
  <c r="BJ205"/>
  <c r="BJ196" i="3"/>
  <c r="BJ196" i="2" s="1"/>
  <c r="BJ197"/>
  <c r="BJ195"/>
  <c r="BJ187"/>
  <c r="BJ241"/>
  <c r="BJ235"/>
  <c r="BJ234"/>
  <c r="BJ224"/>
  <c r="BJ220"/>
  <c r="BJ178"/>
  <c r="BJ170"/>
  <c r="BJ160"/>
  <c r="BJ152"/>
  <c r="BJ233"/>
  <c r="BJ191"/>
  <c r="BJ185"/>
  <c r="BJ175"/>
  <c r="BJ167"/>
  <c r="BJ157"/>
  <c r="BJ283"/>
  <c r="BJ217"/>
  <c r="BJ210"/>
  <c r="BJ202"/>
  <c r="BJ177"/>
  <c r="BJ169"/>
  <c r="BJ159"/>
  <c r="BJ151"/>
  <c r="BJ333"/>
  <c r="BJ300"/>
  <c r="BJ295"/>
  <c r="BJ225"/>
  <c r="BJ223"/>
  <c r="BJ209"/>
  <c r="BJ201"/>
  <c r="BJ194"/>
  <c r="BJ189"/>
  <c r="BJ180" i="3"/>
  <c r="BJ180" i="2" s="1"/>
  <c r="BJ181"/>
  <c r="BJ179"/>
  <c r="BJ171"/>
  <c r="BJ161"/>
  <c r="BJ153"/>
  <c r="BJ403"/>
  <c r="BJ291"/>
  <c r="BJ278"/>
  <c r="BJ243"/>
  <c r="BJ242"/>
  <c r="BJ176"/>
  <c r="BJ168"/>
  <c r="BJ140"/>
  <c r="BJ130"/>
  <c r="BJ122"/>
  <c r="BJ112"/>
  <c r="BJ104"/>
  <c r="BJ94"/>
  <c r="BJ86"/>
  <c r="BJ76"/>
  <c r="BJ66"/>
  <c r="BJ58"/>
  <c r="BJ48"/>
  <c r="BJ207"/>
  <c r="BJ199"/>
  <c r="BJ173"/>
  <c r="BJ164" i="3"/>
  <c r="BJ164" i="2" s="1"/>
  <c r="BJ165"/>
  <c r="BJ142"/>
  <c r="BJ134"/>
  <c r="BJ124"/>
  <c r="BJ114"/>
  <c r="BJ106"/>
  <c r="BJ96"/>
  <c r="BJ88"/>
  <c r="BJ78"/>
  <c r="BJ70"/>
  <c r="BJ60"/>
  <c r="BJ50"/>
  <c r="BJ42"/>
  <c r="BJ307"/>
  <c r="BJ204"/>
  <c r="BJ186"/>
  <c r="BJ172"/>
  <c r="BJ150"/>
  <c r="BJ148" i="3"/>
  <c r="BJ148" i="2" s="1"/>
  <c r="BJ149"/>
  <c r="BJ147"/>
  <c r="BJ139"/>
  <c r="BJ129"/>
  <c r="BJ121"/>
  <c r="BJ111"/>
  <c r="BJ103"/>
  <c r="BJ93"/>
  <c r="BJ84" i="3"/>
  <c r="BJ84" i="2" s="1"/>
  <c r="BJ85"/>
  <c r="BJ83"/>
  <c r="BJ75"/>
  <c r="BJ65"/>
  <c r="BJ57"/>
  <c r="BJ47"/>
  <c r="BJ183"/>
  <c r="BJ156"/>
  <c r="BJ141"/>
  <c r="BJ132" i="3"/>
  <c r="BJ132" i="2" s="1"/>
  <c r="BJ133"/>
  <c r="BJ131"/>
  <c r="BJ123"/>
  <c r="BJ113"/>
  <c r="BJ105"/>
  <c r="BJ95"/>
  <c r="BJ87"/>
  <c r="BJ77"/>
  <c r="BJ68" i="3"/>
  <c r="BJ68" i="2" s="1"/>
  <c r="BJ69"/>
  <c r="BJ67"/>
  <c r="BJ59"/>
  <c r="BJ49"/>
  <c r="BJ41"/>
  <c r="BJ127"/>
  <c r="BJ126"/>
  <c r="BJ119"/>
  <c r="BJ118"/>
  <c r="BJ99"/>
  <c r="BJ98"/>
  <c r="BJ91"/>
  <c r="BJ90"/>
  <c r="BJ63"/>
  <c r="BJ62"/>
  <c r="BJ55"/>
  <c r="BJ54"/>
  <c r="BJ36" i="3"/>
  <c r="BJ36" i="2" s="1"/>
  <c r="BJ37"/>
  <c r="BJ35"/>
  <c r="BJ27"/>
  <c r="BJ17"/>
  <c r="BJ9"/>
  <c r="BJ174"/>
  <c r="BJ125"/>
  <c r="BJ116" i="3"/>
  <c r="BJ116" i="2" s="1"/>
  <c r="BJ117"/>
  <c r="BJ97"/>
  <c r="BJ89"/>
  <c r="BJ61"/>
  <c r="BJ52" i="3"/>
  <c r="BJ52" i="2" s="1"/>
  <c r="BJ53"/>
  <c r="BJ32"/>
  <c r="BJ24"/>
  <c r="BJ14"/>
  <c r="BJ219"/>
  <c r="BJ166"/>
  <c r="BJ155"/>
  <c r="BJ146"/>
  <c r="BJ138"/>
  <c r="BJ82"/>
  <c r="BJ74"/>
  <c r="BJ39"/>
  <c r="BJ29"/>
  <c r="BJ20" i="3"/>
  <c r="BJ20" i="2" s="1"/>
  <c r="BJ21"/>
  <c r="BJ19"/>
  <c r="BJ11"/>
  <c r="BJ192"/>
  <c r="BJ163"/>
  <c r="BJ158"/>
  <c r="BJ154"/>
  <c r="BJ145"/>
  <c r="BJ144"/>
  <c r="BJ137"/>
  <c r="BJ136"/>
  <c r="BJ81"/>
  <c r="BJ80"/>
  <c r="BJ73"/>
  <c r="BJ72"/>
  <c r="BJ34"/>
  <c r="BJ26"/>
  <c r="BJ16"/>
  <c r="BJ8"/>
  <c r="BJ351"/>
  <c r="BJ40"/>
  <c r="BJ12"/>
  <c r="BJ6"/>
  <c r="BJ4" i="3"/>
  <c r="BJ4" i="2" s="1"/>
  <c r="BJ5"/>
  <c r="BJ303"/>
  <c r="BJ162"/>
  <c r="BJ92"/>
  <c r="BJ38"/>
  <c r="BJ18"/>
  <c r="BJ10"/>
  <c r="BJ286"/>
  <c r="BJ184"/>
  <c r="BJ182"/>
  <c r="BJ143"/>
  <c r="BJ79"/>
  <c r="BJ33"/>
  <c r="BJ25"/>
  <c r="BJ31"/>
  <c r="BJ23"/>
  <c r="BJ222"/>
  <c r="BJ214"/>
  <c r="BJ193"/>
  <c r="BJ110"/>
  <c r="BJ109"/>
  <c r="BJ15"/>
  <c r="BJ46"/>
  <c r="BJ45"/>
  <c r="BJ120"/>
  <c r="BJ115"/>
  <c r="BJ135"/>
  <c r="BJ128"/>
  <c r="BJ107"/>
  <c r="BJ22"/>
  <c r="BJ71"/>
  <c r="BJ64"/>
  <c r="BJ43"/>
  <c r="BJ28"/>
  <c r="BJ108"/>
  <c r="BJ30"/>
  <c r="BJ56"/>
  <c r="BJ7"/>
  <c r="BJ44"/>
  <c r="BJ13"/>
  <c r="BJ51"/>
  <c r="BJ100" i="3"/>
  <c r="BJ100" i="2" s="1"/>
  <c r="BJ101"/>
  <c r="BJ102"/>
  <c r="X400"/>
  <c r="X392"/>
  <c r="X384"/>
  <c r="X376"/>
  <c r="X397"/>
  <c r="X388" i="3"/>
  <c r="X388" i="2" s="1"/>
  <c r="X389"/>
  <c r="X387"/>
  <c r="X379"/>
  <c r="X371"/>
  <c r="X402"/>
  <c r="X394"/>
  <c r="X382"/>
  <c r="X374"/>
  <c r="X368"/>
  <c r="X391"/>
  <c r="X396"/>
  <c r="X380"/>
  <c r="X378"/>
  <c r="X369"/>
  <c r="X365"/>
  <c r="X356" i="3"/>
  <c r="X356" i="2" s="1"/>
  <c r="X357"/>
  <c r="X355"/>
  <c r="X401"/>
  <c r="X390"/>
  <c r="X362"/>
  <c r="X352"/>
  <c r="X395"/>
  <c r="X377"/>
  <c r="X375"/>
  <c r="X372" i="3"/>
  <c r="X372" i="2" s="1"/>
  <c r="X373"/>
  <c r="X367"/>
  <c r="X359"/>
  <c r="X386"/>
  <c r="X345"/>
  <c r="X381"/>
  <c r="X370"/>
  <c r="X347"/>
  <c r="X337"/>
  <c r="X344"/>
  <c r="X366"/>
  <c r="X346"/>
  <c r="X398"/>
  <c r="X361"/>
  <c r="X335"/>
  <c r="X327"/>
  <c r="X317"/>
  <c r="X308" i="3"/>
  <c r="X308" i="2" s="1"/>
  <c r="X309"/>
  <c r="X364"/>
  <c r="X354"/>
  <c r="X343"/>
  <c r="X329"/>
  <c r="X319"/>
  <c r="X311"/>
  <c r="X403"/>
  <c r="X393"/>
  <c r="X383"/>
  <c r="X351"/>
  <c r="X334"/>
  <c r="X326"/>
  <c r="X316"/>
  <c r="X306"/>
  <c r="X349"/>
  <c r="X336"/>
  <c r="X328"/>
  <c r="X320"/>
  <c r="X314"/>
  <c r="X307"/>
  <c r="X303"/>
  <c r="X295"/>
  <c r="X285"/>
  <c r="X276" i="3"/>
  <c r="X276" i="2" s="1"/>
  <c r="X277"/>
  <c r="X275"/>
  <c r="X267"/>
  <c r="X339"/>
  <c r="X333"/>
  <c r="X324" i="3"/>
  <c r="X324" i="2" s="1"/>
  <c r="X325"/>
  <c r="X313"/>
  <c r="X300"/>
  <c r="X290"/>
  <c r="X282"/>
  <c r="X272"/>
  <c r="X264"/>
  <c r="X350"/>
  <c r="X332"/>
  <c r="X305"/>
  <c r="X297"/>
  <c r="X287"/>
  <c r="X279"/>
  <c r="X269"/>
  <c r="X260" i="3"/>
  <c r="X260" i="2" s="1"/>
  <c r="X261"/>
  <c r="X399"/>
  <c r="X342"/>
  <c r="X330"/>
  <c r="X322"/>
  <c r="X304"/>
  <c r="X296"/>
  <c r="X286"/>
  <c r="X278"/>
  <c r="X268"/>
  <c r="X348"/>
  <c r="X323"/>
  <c r="X321"/>
  <c r="X254"/>
  <c r="X246"/>
  <c r="X236"/>
  <c r="X226"/>
  <c r="X385"/>
  <c r="X299"/>
  <c r="X284"/>
  <c r="X271"/>
  <c r="X263"/>
  <c r="X256"/>
  <c r="X248"/>
  <c r="X238"/>
  <c r="X230"/>
  <c r="X353"/>
  <c r="X312"/>
  <c r="X298"/>
  <c r="X291"/>
  <c r="X283"/>
  <c r="X270"/>
  <c r="X253"/>
  <c r="X244" i="3"/>
  <c r="X244" i="2" s="1"/>
  <c r="X245"/>
  <c r="X243"/>
  <c r="X235"/>
  <c r="X225"/>
  <c r="X338"/>
  <c r="X255"/>
  <c r="X247"/>
  <c r="X237"/>
  <c r="X331"/>
  <c r="X274"/>
  <c r="X273"/>
  <c r="X258"/>
  <c r="X250"/>
  <c r="X222"/>
  <c r="X214"/>
  <c r="X204"/>
  <c r="X194"/>
  <c r="X358"/>
  <c r="X242"/>
  <c r="X234"/>
  <c r="X219"/>
  <c r="X209"/>
  <c r="X201"/>
  <c r="X363"/>
  <c r="X318"/>
  <c r="X315"/>
  <c r="X294"/>
  <c r="X292" i="3"/>
  <c r="X292" i="2" s="1"/>
  <c r="X293"/>
  <c r="X257"/>
  <c r="X249"/>
  <c r="X241"/>
  <c r="X233"/>
  <c r="X227"/>
  <c r="X216"/>
  <c r="X206"/>
  <c r="X198"/>
  <c r="X340" i="3"/>
  <c r="X340" i="2" s="1"/>
  <c r="X341"/>
  <c r="X302"/>
  <c r="X301"/>
  <c r="X240"/>
  <c r="X232"/>
  <c r="X231"/>
  <c r="X221"/>
  <c r="X212" i="3"/>
  <c r="X212" i="2" s="1"/>
  <c r="X213"/>
  <c r="X211"/>
  <c r="X203"/>
  <c r="X193"/>
  <c r="X265"/>
  <c r="X192"/>
  <c r="X186"/>
  <c r="X176"/>
  <c r="X168"/>
  <c r="X158"/>
  <c r="X150"/>
  <c r="X289"/>
  <c r="X266"/>
  <c r="X217"/>
  <c r="X210"/>
  <c r="X202"/>
  <c r="X195"/>
  <c r="X191"/>
  <c r="X189"/>
  <c r="X183"/>
  <c r="X173"/>
  <c r="X164" i="3"/>
  <c r="X164" i="2" s="1"/>
  <c r="X165"/>
  <c r="X163"/>
  <c r="X155"/>
  <c r="X223"/>
  <c r="X215"/>
  <c r="X188"/>
  <c r="X187"/>
  <c r="X185"/>
  <c r="X175"/>
  <c r="X167"/>
  <c r="X157"/>
  <c r="X252"/>
  <c r="X224"/>
  <c r="X177"/>
  <c r="X169"/>
  <c r="X159"/>
  <c r="X280"/>
  <c r="X262"/>
  <c r="X259"/>
  <c r="X228" i="3"/>
  <c r="X228" i="2" s="1"/>
  <c r="X229"/>
  <c r="X220"/>
  <c r="X172"/>
  <c r="X146"/>
  <c r="X138"/>
  <c r="X128"/>
  <c r="X120"/>
  <c r="X110"/>
  <c r="X102"/>
  <c r="X92"/>
  <c r="X82"/>
  <c r="X74"/>
  <c r="X64"/>
  <c r="X56"/>
  <c r="X46"/>
  <c r="X239"/>
  <c r="X178"/>
  <c r="X170"/>
  <c r="X156"/>
  <c r="X140"/>
  <c r="X130"/>
  <c r="X122"/>
  <c r="X112"/>
  <c r="X104"/>
  <c r="X94"/>
  <c r="X86"/>
  <c r="X76"/>
  <c r="X66"/>
  <c r="X58"/>
  <c r="X48"/>
  <c r="X182"/>
  <c r="X145"/>
  <c r="X137"/>
  <c r="X127"/>
  <c r="X119"/>
  <c r="X109"/>
  <c r="X100" i="3"/>
  <c r="X100" i="2" s="1"/>
  <c r="X101"/>
  <c r="X99"/>
  <c r="X91"/>
  <c r="X81"/>
  <c r="X73"/>
  <c r="X63"/>
  <c r="X55"/>
  <c r="X45"/>
  <c r="X360"/>
  <c r="X251"/>
  <c r="X190"/>
  <c r="X161"/>
  <c r="X153"/>
  <c r="X148" i="3"/>
  <c r="X148" i="2" s="1"/>
  <c r="X149"/>
  <c r="X147"/>
  <c r="X139"/>
  <c r="X129"/>
  <c r="X121"/>
  <c r="X111"/>
  <c r="X103"/>
  <c r="X93"/>
  <c r="X84" i="3"/>
  <c r="X84" i="2" s="1"/>
  <c r="X85"/>
  <c r="X83"/>
  <c r="X75"/>
  <c r="X65"/>
  <c r="X57"/>
  <c r="X47"/>
  <c r="X171"/>
  <c r="X166"/>
  <c r="X144"/>
  <c r="X136"/>
  <c r="X80"/>
  <c r="X72"/>
  <c r="X33"/>
  <c r="X25"/>
  <c r="X15"/>
  <c r="X7"/>
  <c r="X160"/>
  <c r="X154"/>
  <c r="X143"/>
  <c r="X135"/>
  <c r="X131"/>
  <c r="X123"/>
  <c r="X95"/>
  <c r="X87"/>
  <c r="X79"/>
  <c r="X71"/>
  <c r="X67"/>
  <c r="X59"/>
  <c r="X40"/>
  <c r="X30"/>
  <c r="X22"/>
  <c r="X12"/>
  <c r="X310"/>
  <c r="X196" i="3"/>
  <c r="X196" i="2" s="1"/>
  <c r="X197"/>
  <c r="X162"/>
  <c r="X142"/>
  <c r="X134"/>
  <c r="X108"/>
  <c r="X78"/>
  <c r="X70"/>
  <c r="X44"/>
  <c r="X36" i="3"/>
  <c r="X36" i="2" s="1"/>
  <c r="X37"/>
  <c r="X35"/>
  <c r="X27"/>
  <c r="X17"/>
  <c r="X9"/>
  <c r="X288"/>
  <c r="X200"/>
  <c r="X199"/>
  <c r="X151"/>
  <c r="X115"/>
  <c r="X107"/>
  <c r="X51"/>
  <c r="X43"/>
  <c r="X32"/>
  <c r="X24"/>
  <c r="X14"/>
  <c r="X6"/>
  <c r="X179"/>
  <c r="X141"/>
  <c r="X77"/>
  <c r="X31"/>
  <c r="X23"/>
  <c r="X16"/>
  <c r="X208"/>
  <c r="X205"/>
  <c r="X152"/>
  <c r="X118"/>
  <c r="X116" i="3"/>
  <c r="X116" i="2" s="1"/>
  <c r="X117"/>
  <c r="X54"/>
  <c r="X52" i="3"/>
  <c r="X52" i="2" s="1"/>
  <c r="X53"/>
  <c r="X29"/>
  <c r="X20" i="3"/>
  <c r="X20" i="2" s="1"/>
  <c r="X21"/>
  <c r="X10"/>
  <c r="X132" i="3"/>
  <c r="X132" i="2" s="1"/>
  <c r="X133"/>
  <c r="X126"/>
  <c r="X125"/>
  <c r="X114"/>
  <c r="X106"/>
  <c r="X68" i="3"/>
  <c r="X68" i="2" s="1"/>
  <c r="X69"/>
  <c r="X62"/>
  <c r="X61"/>
  <c r="X50"/>
  <c r="X42"/>
  <c r="X34"/>
  <c r="X28"/>
  <c r="X281"/>
  <c r="X26"/>
  <c r="X98"/>
  <c r="X88"/>
  <c r="X49"/>
  <c r="X38"/>
  <c r="X13"/>
  <c r="X11"/>
  <c r="X4" i="3"/>
  <c r="X4" i="2" s="1"/>
  <c r="X5"/>
  <c r="X207"/>
  <c r="X96"/>
  <c r="X105"/>
  <c r="X90"/>
  <c r="X39"/>
  <c r="X60"/>
  <c r="X19"/>
  <c r="X113"/>
  <c r="X8"/>
  <c r="X18"/>
  <c r="X41"/>
  <c r="X184"/>
  <c r="X124"/>
  <c r="X89"/>
  <c r="X218"/>
  <c r="X97"/>
  <c r="X180" i="3"/>
  <c r="X180" i="2" s="1"/>
  <c r="X181"/>
  <c r="X174"/>
  <c r="AS399"/>
  <c r="AS391"/>
  <c r="AS385"/>
  <c r="AS377"/>
  <c r="AS396"/>
  <c r="AS380"/>
  <c r="AS370"/>
  <c r="AS401"/>
  <c r="AS393"/>
  <c r="AS383"/>
  <c r="AS375"/>
  <c r="AS367"/>
  <c r="AS400"/>
  <c r="AS382"/>
  <c r="AS369"/>
  <c r="AS388" i="3"/>
  <c r="AS388" i="2" s="1"/>
  <c r="AS389"/>
  <c r="AS386"/>
  <c r="AS384"/>
  <c r="AS364"/>
  <c r="AS354"/>
  <c r="AS398"/>
  <c r="AS394"/>
  <c r="AS361"/>
  <c r="AS403"/>
  <c r="AS381"/>
  <c r="AS379"/>
  <c r="AS368"/>
  <c r="AS366"/>
  <c r="AS358"/>
  <c r="AS392"/>
  <c r="AS371"/>
  <c r="AS362"/>
  <c r="AS344"/>
  <c r="AS387"/>
  <c r="AS378"/>
  <c r="AS374"/>
  <c r="AS360"/>
  <c r="AS346"/>
  <c r="AS397"/>
  <c r="AS365"/>
  <c r="AS351"/>
  <c r="AS395"/>
  <c r="AS363"/>
  <c r="AS359"/>
  <c r="AS355"/>
  <c r="AS353"/>
  <c r="AS352"/>
  <c r="AS349"/>
  <c r="AS336"/>
  <c r="AS334"/>
  <c r="AS326"/>
  <c r="AS316"/>
  <c r="AS328"/>
  <c r="AS318"/>
  <c r="AS310"/>
  <c r="AS347"/>
  <c r="AS333"/>
  <c r="AS324" i="3"/>
  <c r="AS324" i="2" s="1"/>
  <c r="AS325"/>
  <c r="AS323"/>
  <c r="AS315"/>
  <c r="AS390"/>
  <c r="AS335"/>
  <c r="AS327"/>
  <c r="AS348"/>
  <c r="AS312"/>
  <c r="AS302"/>
  <c r="AS294"/>
  <c r="AS284"/>
  <c r="AS274"/>
  <c r="AS266"/>
  <c r="AS356" i="3"/>
  <c r="AS356" i="2" s="1"/>
  <c r="AS357"/>
  <c r="AS339"/>
  <c r="AS329"/>
  <c r="AS321"/>
  <c r="AS317"/>
  <c r="AS299"/>
  <c r="AS289"/>
  <c r="AS281"/>
  <c r="AS271"/>
  <c r="AS263"/>
  <c r="AS372" i="3"/>
  <c r="AS372" i="2" s="1"/>
  <c r="AS373"/>
  <c r="AS338"/>
  <c r="AS320"/>
  <c r="AS306"/>
  <c r="AS304"/>
  <c r="AS296"/>
  <c r="AS286"/>
  <c r="AS278"/>
  <c r="AS268"/>
  <c r="AS376"/>
  <c r="AS343"/>
  <c r="AS342"/>
  <c r="AS314"/>
  <c r="AS308" i="3"/>
  <c r="AS308" i="2" s="1"/>
  <c r="AS309"/>
  <c r="AS303"/>
  <c r="AS295"/>
  <c r="AS285"/>
  <c r="AS276" i="3"/>
  <c r="AS276" i="2" s="1"/>
  <c r="AS277"/>
  <c r="AS275"/>
  <c r="AS267"/>
  <c r="AS307"/>
  <c r="AS260" i="3"/>
  <c r="AS260" i="2" s="1"/>
  <c r="AS261"/>
  <c r="AS253"/>
  <c r="AS244" i="3"/>
  <c r="AS244" i="2" s="1"/>
  <c r="AS245"/>
  <c r="AS243"/>
  <c r="AS235"/>
  <c r="AS225"/>
  <c r="AS345"/>
  <c r="AS332"/>
  <c r="AS331"/>
  <c r="AS330"/>
  <c r="AS255"/>
  <c r="AS247"/>
  <c r="AS237"/>
  <c r="AS228" i="3"/>
  <c r="AS228" i="2" s="1"/>
  <c r="AS229"/>
  <c r="AS227"/>
  <c r="AS340" i="3"/>
  <c r="AS340" i="2" s="1"/>
  <c r="AS341"/>
  <c r="AS300"/>
  <c r="AS287"/>
  <c r="AS279"/>
  <c r="AS272"/>
  <c r="AS264"/>
  <c r="AS252"/>
  <c r="AS242"/>
  <c r="AS234"/>
  <c r="AS224"/>
  <c r="AS402"/>
  <c r="AS350"/>
  <c r="AS337"/>
  <c r="AS322"/>
  <c r="AS313"/>
  <c r="AS298"/>
  <c r="AS291"/>
  <c r="AS283"/>
  <c r="AS270"/>
  <c r="AS262"/>
  <c r="AS254"/>
  <c r="AS246"/>
  <c r="AS236"/>
  <c r="AS301"/>
  <c r="AS226"/>
  <c r="AS221"/>
  <c r="AS212" i="3"/>
  <c r="AS212" i="2" s="1"/>
  <c r="AS213"/>
  <c r="AS211"/>
  <c r="AS203"/>
  <c r="AS193"/>
  <c r="AS297"/>
  <c r="AS259"/>
  <c r="AS251"/>
  <c r="AS238"/>
  <c r="AS218"/>
  <c r="AS208"/>
  <c r="AS200"/>
  <c r="AS305"/>
  <c r="AS290"/>
  <c r="AS288"/>
  <c r="AS230"/>
  <c r="AS223"/>
  <c r="AS215"/>
  <c r="AS205"/>
  <c r="AS196" i="3"/>
  <c r="AS196" i="2" s="1"/>
  <c r="AS197"/>
  <c r="AS195"/>
  <c r="AS311"/>
  <c r="AS282"/>
  <c r="AS280"/>
  <c r="AS258"/>
  <c r="AS250"/>
  <c r="AS220"/>
  <c r="AS210"/>
  <c r="AS202"/>
  <c r="AS192"/>
  <c r="AS206"/>
  <c r="AS198"/>
  <c r="AS189"/>
  <c r="AS185"/>
  <c r="AS175"/>
  <c r="AS167"/>
  <c r="AS157"/>
  <c r="AS265"/>
  <c r="AS219"/>
  <c r="AS204"/>
  <c r="AS182"/>
  <c r="AS172"/>
  <c r="AS162"/>
  <c r="AS154"/>
  <c r="AS257"/>
  <c r="AS249"/>
  <c r="AS241"/>
  <c r="AS188"/>
  <c r="AS184"/>
  <c r="AS174"/>
  <c r="AS166"/>
  <c r="AS156"/>
  <c r="AS232"/>
  <c r="AS231"/>
  <c r="AS216"/>
  <c r="AS207"/>
  <c r="AS199"/>
  <c r="AS187"/>
  <c r="AS186"/>
  <c r="AS176"/>
  <c r="AS168"/>
  <c r="AS158"/>
  <c r="AS292" i="3"/>
  <c r="AS292" i="2" s="1"/>
  <c r="AS293"/>
  <c r="AS273"/>
  <c r="AS150"/>
  <c r="AS145"/>
  <c r="AS137"/>
  <c r="AS127"/>
  <c r="AS119"/>
  <c r="AS109"/>
  <c r="AS100" i="3"/>
  <c r="AS100" i="2" s="1"/>
  <c r="AS101"/>
  <c r="AS99"/>
  <c r="AS91"/>
  <c r="AS81"/>
  <c r="AS73"/>
  <c r="AS63"/>
  <c r="AS55"/>
  <c r="AS45"/>
  <c r="AS319"/>
  <c r="AS256"/>
  <c r="AS191"/>
  <c r="AS159"/>
  <c r="AS148" i="3"/>
  <c r="AS148" i="2" s="1"/>
  <c r="AS149"/>
  <c r="AS147"/>
  <c r="AS139"/>
  <c r="AS129"/>
  <c r="AS121"/>
  <c r="AS111"/>
  <c r="AS103"/>
  <c r="AS93"/>
  <c r="AS84" i="3"/>
  <c r="AS84" i="2" s="1"/>
  <c r="AS85"/>
  <c r="AS83"/>
  <c r="AS75"/>
  <c r="AS65"/>
  <c r="AS57"/>
  <c r="AS47"/>
  <c r="AS179"/>
  <c r="AS171"/>
  <c r="AS144"/>
  <c r="AS136"/>
  <c r="AS126"/>
  <c r="AS118"/>
  <c r="AS108"/>
  <c r="AS98"/>
  <c r="AS90"/>
  <c r="AS80"/>
  <c r="AS72"/>
  <c r="AS62"/>
  <c r="AS54"/>
  <c r="AS44"/>
  <c r="AS269"/>
  <c r="AS239"/>
  <c r="AS190"/>
  <c r="AS178"/>
  <c r="AS170"/>
  <c r="AS163"/>
  <c r="AS155"/>
  <c r="AS152"/>
  <c r="AS146"/>
  <c r="AS138"/>
  <c r="AS128"/>
  <c r="AS120"/>
  <c r="AS110"/>
  <c r="AS102"/>
  <c r="AS92"/>
  <c r="AS82"/>
  <c r="AS74"/>
  <c r="AS64"/>
  <c r="AS56"/>
  <c r="AS46"/>
  <c r="AS140"/>
  <c r="AS125"/>
  <c r="AS116" i="3"/>
  <c r="AS116" i="2" s="1"/>
  <c r="AS117"/>
  <c r="AS113"/>
  <c r="AS105"/>
  <c r="AS97"/>
  <c r="AS89"/>
  <c r="AS76"/>
  <c r="AS61"/>
  <c r="AS52" i="3"/>
  <c r="AS52" i="2" s="1"/>
  <c r="AS53"/>
  <c r="AS49"/>
  <c r="AS32"/>
  <c r="AS24"/>
  <c r="AS14"/>
  <c r="AS6"/>
  <c r="AS240"/>
  <c r="AS233"/>
  <c r="AS183"/>
  <c r="AS180" i="3"/>
  <c r="AS180" i="2" s="1"/>
  <c r="AS181"/>
  <c r="AS151"/>
  <c r="AS39"/>
  <c r="AS29"/>
  <c r="AS20" i="3"/>
  <c r="AS20" i="2" s="1"/>
  <c r="AS21"/>
  <c r="AS19"/>
  <c r="AS11"/>
  <c r="AS248"/>
  <c r="AS222"/>
  <c r="AS214"/>
  <c r="AS209"/>
  <c r="AS124"/>
  <c r="AS112"/>
  <c r="AS104"/>
  <c r="AS96"/>
  <c r="AS88"/>
  <c r="AS60"/>
  <c r="AS48"/>
  <c r="AS34"/>
  <c r="AS26"/>
  <c r="AS16"/>
  <c r="AS8"/>
  <c r="AS143"/>
  <c r="AS135"/>
  <c r="AS131"/>
  <c r="AS123"/>
  <c r="AS95"/>
  <c r="AS87"/>
  <c r="AS79"/>
  <c r="AS71"/>
  <c r="AS67"/>
  <c r="AS59"/>
  <c r="AS41"/>
  <c r="AS31"/>
  <c r="AS23"/>
  <c r="AS13"/>
  <c r="AS4" i="3"/>
  <c r="AS4" i="2" s="1"/>
  <c r="AS5"/>
  <c r="AS201"/>
  <c r="AS164" i="3"/>
  <c r="AS164" i="2" s="1"/>
  <c r="AS165"/>
  <c r="AS161"/>
  <c r="AS160"/>
  <c r="AS38"/>
  <c r="AS35"/>
  <c r="AS27"/>
  <c r="AS18"/>
  <c r="AS194"/>
  <c r="AS177"/>
  <c r="AS134"/>
  <c r="AS132" i="3"/>
  <c r="AS132" i="2" s="1"/>
  <c r="AS133"/>
  <c r="AS115"/>
  <c r="AS107"/>
  <c r="AS70"/>
  <c r="AS68" i="3"/>
  <c r="AS68" i="2" s="1"/>
  <c r="AS69"/>
  <c r="AS51"/>
  <c r="AS43"/>
  <c r="AS33"/>
  <c r="AS25"/>
  <c r="AS9"/>
  <c r="AS217"/>
  <c r="AS122"/>
  <c r="AS114"/>
  <c r="AS106"/>
  <c r="AS58"/>
  <c r="AS50"/>
  <c r="AS42"/>
  <c r="AS169"/>
  <c r="AS130"/>
  <c r="AS66"/>
  <c r="AS36" i="3"/>
  <c r="AS36" i="2" s="1"/>
  <c r="AS37"/>
  <c r="AS17"/>
  <c r="AS7"/>
  <c r="AS22"/>
  <c r="AS10"/>
  <c r="AS40"/>
  <c r="AS153"/>
  <c r="AS86"/>
  <c r="AS78"/>
  <c r="AS77"/>
  <c r="AS94"/>
  <c r="AS173"/>
  <c r="AS30"/>
  <c r="AS12"/>
  <c r="AS142"/>
  <c r="AS141"/>
  <c r="AS15"/>
  <c r="AS28"/>
  <c r="G397"/>
  <c r="G388" i="3"/>
  <c r="G388" i="2" s="1"/>
  <c r="G389"/>
  <c r="G387"/>
  <c r="G379"/>
  <c r="G402"/>
  <c r="G394"/>
  <c r="G382"/>
  <c r="G374"/>
  <c r="G368"/>
  <c r="G399"/>
  <c r="G391"/>
  <c r="G385"/>
  <c r="G377"/>
  <c r="G395"/>
  <c r="G375"/>
  <c r="G372" i="3"/>
  <c r="G372" i="2" s="1"/>
  <c r="G373"/>
  <c r="G400"/>
  <c r="G371"/>
  <c r="G362"/>
  <c r="G386"/>
  <c r="G384"/>
  <c r="G370"/>
  <c r="G367"/>
  <c r="G359"/>
  <c r="G398"/>
  <c r="G393"/>
  <c r="G364"/>
  <c r="G354"/>
  <c r="G356" i="3"/>
  <c r="G356" i="2" s="1"/>
  <c r="G357"/>
  <c r="G350"/>
  <c r="G342"/>
  <c r="G380"/>
  <c r="G369"/>
  <c r="G366"/>
  <c r="G352"/>
  <c r="G344"/>
  <c r="G381"/>
  <c r="G360"/>
  <c r="G349"/>
  <c r="G403"/>
  <c r="G392"/>
  <c r="G383"/>
  <c r="G351"/>
  <c r="G396"/>
  <c r="G376"/>
  <c r="G358"/>
  <c r="G355"/>
  <c r="G347"/>
  <c r="G346"/>
  <c r="G332"/>
  <c r="G322"/>
  <c r="G314"/>
  <c r="G345"/>
  <c r="G338"/>
  <c r="G334"/>
  <c r="G326"/>
  <c r="G316"/>
  <c r="G306"/>
  <c r="G361"/>
  <c r="G331"/>
  <c r="G321"/>
  <c r="G313"/>
  <c r="G401"/>
  <c r="G343"/>
  <c r="G333"/>
  <c r="G324" i="3"/>
  <c r="G324" i="2" s="1"/>
  <c r="G325"/>
  <c r="G323"/>
  <c r="G363"/>
  <c r="G340" i="3"/>
  <c r="G340" i="2" s="1"/>
  <c r="G341"/>
  <c r="G335"/>
  <c r="G327"/>
  <c r="G318"/>
  <c r="G300"/>
  <c r="G290"/>
  <c r="G282"/>
  <c r="G272"/>
  <c r="G264"/>
  <c r="G390"/>
  <c r="G378"/>
  <c r="G312"/>
  <c r="G305"/>
  <c r="G297"/>
  <c r="G287"/>
  <c r="G279"/>
  <c r="G269"/>
  <c r="G260" i="3"/>
  <c r="G260" i="2" s="1"/>
  <c r="G261"/>
  <c r="G317"/>
  <c r="G302"/>
  <c r="G294"/>
  <c r="G284"/>
  <c r="G274"/>
  <c r="G266"/>
  <c r="G365"/>
  <c r="G320"/>
  <c r="G301"/>
  <c r="G292" i="3"/>
  <c r="G292" i="2" s="1"/>
  <c r="G293"/>
  <c r="G291"/>
  <c r="G283"/>
  <c r="G273"/>
  <c r="G265"/>
  <c r="G336"/>
  <c r="G330"/>
  <c r="G319"/>
  <c r="G315"/>
  <c r="G259"/>
  <c r="G251"/>
  <c r="G241"/>
  <c r="G233"/>
  <c r="G311"/>
  <c r="G298"/>
  <c r="G285"/>
  <c r="G276" i="3"/>
  <c r="G276" i="2" s="1"/>
  <c r="G277"/>
  <c r="G270"/>
  <c r="G253"/>
  <c r="G244" i="3"/>
  <c r="G244" i="2" s="1"/>
  <c r="G245"/>
  <c r="G243"/>
  <c r="G235"/>
  <c r="G225"/>
  <c r="G308" i="3"/>
  <c r="G308" i="2" s="1"/>
  <c r="G309"/>
  <c r="G258"/>
  <c r="G250"/>
  <c r="G240"/>
  <c r="G232"/>
  <c r="G304"/>
  <c r="G296"/>
  <c r="G289"/>
  <c r="G281"/>
  <c r="G268"/>
  <c r="G252"/>
  <c r="G242"/>
  <c r="G234"/>
  <c r="G288"/>
  <c r="G262"/>
  <c r="G236"/>
  <c r="G231"/>
  <c r="G219"/>
  <c r="G209"/>
  <c r="G201"/>
  <c r="G191"/>
  <c r="G337"/>
  <c r="G286"/>
  <c r="G280"/>
  <c r="G257"/>
  <c r="G249"/>
  <c r="G226"/>
  <c r="G216"/>
  <c r="G206"/>
  <c r="G198"/>
  <c r="G278"/>
  <c r="G230"/>
  <c r="G221"/>
  <c r="G212" i="3"/>
  <c r="G212" i="2" s="1"/>
  <c r="G213"/>
  <c r="G211"/>
  <c r="G203"/>
  <c r="G193"/>
  <c r="G310"/>
  <c r="G267"/>
  <c r="G263"/>
  <c r="G256"/>
  <c r="G248"/>
  <c r="G228" i="3"/>
  <c r="G228" i="2" s="1"/>
  <c r="G229"/>
  <c r="G224"/>
  <c r="G218"/>
  <c r="G208"/>
  <c r="G200"/>
  <c r="G190"/>
  <c r="G329"/>
  <c r="G303"/>
  <c r="G299"/>
  <c r="G217"/>
  <c r="G210"/>
  <c r="G202"/>
  <c r="G195"/>
  <c r="G183"/>
  <c r="G173"/>
  <c r="G164" i="3"/>
  <c r="G164" i="2" s="1"/>
  <c r="G165"/>
  <c r="G163"/>
  <c r="G155"/>
  <c r="G353"/>
  <c r="G255"/>
  <c r="G254"/>
  <c r="G247"/>
  <c r="G246"/>
  <c r="G239"/>
  <c r="G178"/>
  <c r="G170"/>
  <c r="G160"/>
  <c r="G152"/>
  <c r="G328"/>
  <c r="G271"/>
  <c r="G237"/>
  <c r="G227"/>
  <c r="G207"/>
  <c r="G199"/>
  <c r="G194"/>
  <c r="G182"/>
  <c r="G172"/>
  <c r="G162"/>
  <c r="G154"/>
  <c r="G220"/>
  <c r="G205"/>
  <c r="G196" i="3"/>
  <c r="G196" i="2" s="1"/>
  <c r="G197"/>
  <c r="G192"/>
  <c r="G184"/>
  <c r="G174"/>
  <c r="G166"/>
  <c r="G156"/>
  <c r="G339"/>
  <c r="G307"/>
  <c r="G275"/>
  <c r="G188"/>
  <c r="G186"/>
  <c r="G185"/>
  <c r="G179"/>
  <c r="G171"/>
  <c r="G143"/>
  <c r="G135"/>
  <c r="G125"/>
  <c r="G116" i="3"/>
  <c r="G116" i="2" s="1"/>
  <c r="G117"/>
  <c r="G115"/>
  <c r="G107"/>
  <c r="G97"/>
  <c r="G89"/>
  <c r="G79"/>
  <c r="G71"/>
  <c r="G61"/>
  <c r="G52" i="3"/>
  <c r="G52" i="2" s="1"/>
  <c r="G53"/>
  <c r="G51"/>
  <c r="G43"/>
  <c r="G145"/>
  <c r="G137"/>
  <c r="G127"/>
  <c r="G119"/>
  <c r="G109"/>
  <c r="G100" i="3"/>
  <c r="G100" i="2" s="1"/>
  <c r="G101"/>
  <c r="G99"/>
  <c r="G91"/>
  <c r="G81"/>
  <c r="G73"/>
  <c r="G63"/>
  <c r="G55"/>
  <c r="G45"/>
  <c r="G223"/>
  <c r="G222"/>
  <c r="G215"/>
  <c r="G214"/>
  <c r="G180" i="3"/>
  <c r="G180" i="2" s="1"/>
  <c r="G181"/>
  <c r="G177"/>
  <c r="G169"/>
  <c r="G153"/>
  <c r="G142"/>
  <c r="G134"/>
  <c r="G124"/>
  <c r="G114"/>
  <c r="G106"/>
  <c r="G96"/>
  <c r="G88"/>
  <c r="G78"/>
  <c r="G70"/>
  <c r="G60"/>
  <c r="G50"/>
  <c r="G42"/>
  <c r="G176"/>
  <c r="G175"/>
  <c r="G168"/>
  <c r="G167"/>
  <c r="G144"/>
  <c r="G136"/>
  <c r="G126"/>
  <c r="G118"/>
  <c r="G108"/>
  <c r="G98"/>
  <c r="G90"/>
  <c r="G80"/>
  <c r="G72"/>
  <c r="G62"/>
  <c r="G54"/>
  <c r="G44"/>
  <c r="G348"/>
  <c r="G189"/>
  <c r="G131"/>
  <c r="G123"/>
  <c r="G111"/>
  <c r="G103"/>
  <c r="G95"/>
  <c r="G87"/>
  <c r="G67"/>
  <c r="G59"/>
  <c r="G47"/>
  <c r="G40"/>
  <c r="G30"/>
  <c r="G22"/>
  <c r="G12"/>
  <c r="G110"/>
  <c r="G102"/>
  <c r="G46"/>
  <c r="G36" i="3"/>
  <c r="G36" i="2" s="1"/>
  <c r="G37"/>
  <c r="G35"/>
  <c r="G27"/>
  <c r="G17"/>
  <c r="G150"/>
  <c r="G130"/>
  <c r="G122"/>
  <c r="G94"/>
  <c r="G86"/>
  <c r="G66"/>
  <c r="G58"/>
  <c r="G32"/>
  <c r="G24"/>
  <c r="G14"/>
  <c r="G6"/>
  <c r="G204"/>
  <c r="G148" i="3"/>
  <c r="G148" i="2" s="1"/>
  <c r="G149"/>
  <c r="G141"/>
  <c r="G132" i="3"/>
  <c r="G132" i="2" s="1"/>
  <c r="G133"/>
  <c r="G129"/>
  <c r="G121"/>
  <c r="G93"/>
  <c r="G84" i="3"/>
  <c r="G84" i="2" s="1"/>
  <c r="G85"/>
  <c r="G77"/>
  <c r="G68" i="3"/>
  <c r="G68" i="2" s="1"/>
  <c r="G69"/>
  <c r="G65"/>
  <c r="G57"/>
  <c r="G39"/>
  <c r="G29"/>
  <c r="G20" i="3"/>
  <c r="G20" i="2" s="1"/>
  <c r="G21"/>
  <c r="G19"/>
  <c r="G11"/>
  <c r="G128"/>
  <c r="G64"/>
  <c r="G31"/>
  <c r="G23"/>
  <c r="G16"/>
  <c r="G112"/>
  <c r="G104"/>
  <c r="G48"/>
  <c r="G9"/>
  <c r="G295"/>
  <c r="G161"/>
  <c r="G159"/>
  <c r="G92"/>
  <c r="G15"/>
  <c r="G8"/>
  <c r="G238"/>
  <c r="G158"/>
  <c r="G157"/>
  <c r="G41"/>
  <c r="G28"/>
  <c r="G13"/>
  <c r="G187"/>
  <c r="G138"/>
  <c r="G83"/>
  <c r="G82"/>
  <c r="G75"/>
  <c r="G38"/>
  <c r="G4" i="3"/>
  <c r="G4" i="2" s="1"/>
  <c r="G5"/>
  <c r="G74"/>
  <c r="G18"/>
  <c r="G7"/>
  <c r="G151"/>
  <c r="G26"/>
  <c r="G113"/>
  <c r="G147"/>
  <c r="G49"/>
  <c r="G33"/>
  <c r="G10"/>
  <c r="G105"/>
  <c r="G56"/>
  <c r="G25"/>
  <c r="G120"/>
  <c r="G146"/>
  <c r="G139"/>
  <c r="G76"/>
  <c r="G140"/>
  <c r="G34"/>
  <c r="Y403"/>
  <c r="Y395"/>
  <c r="Y381"/>
  <c r="Y372" i="3"/>
  <c r="Y372" i="2" s="1"/>
  <c r="Y373"/>
  <c r="Y400"/>
  <c r="Y392"/>
  <c r="Y384"/>
  <c r="Y376"/>
  <c r="Y397"/>
  <c r="Y388" i="3"/>
  <c r="Y388" i="2" s="1"/>
  <c r="Y389"/>
  <c r="Y387"/>
  <c r="Y379"/>
  <c r="Y371"/>
  <c r="Y402"/>
  <c r="Y385"/>
  <c r="Y383"/>
  <c r="Y370"/>
  <c r="Y391"/>
  <c r="Y360"/>
  <c r="Y396"/>
  <c r="Y382"/>
  <c r="Y380"/>
  <c r="Y378"/>
  <c r="Y369"/>
  <c r="Y365"/>
  <c r="Y356" i="3"/>
  <c r="Y356" i="2" s="1"/>
  <c r="Y357"/>
  <c r="Y355"/>
  <c r="Y401"/>
  <c r="Y390"/>
  <c r="Y368"/>
  <c r="Y362"/>
  <c r="Y393"/>
  <c r="Y364"/>
  <c r="Y348"/>
  <c r="Y338"/>
  <c r="Y398"/>
  <c r="Y394"/>
  <c r="Y363"/>
  <c r="Y358"/>
  <c r="Y354"/>
  <c r="Y350"/>
  <c r="Y342"/>
  <c r="Y367"/>
  <c r="Y352"/>
  <c r="Y347"/>
  <c r="Y399"/>
  <c r="Y361"/>
  <c r="Y349"/>
  <c r="Y330"/>
  <c r="Y320"/>
  <c r="Y312"/>
  <c r="Y377"/>
  <c r="Y375"/>
  <c r="Y346"/>
  <c r="Y332"/>
  <c r="Y322"/>
  <c r="Y314"/>
  <c r="Y366"/>
  <c r="Y343"/>
  <c r="Y329"/>
  <c r="Y319"/>
  <c r="Y311"/>
  <c r="Y353"/>
  <c r="Y345"/>
  <c r="Y339"/>
  <c r="Y331"/>
  <c r="Y321"/>
  <c r="Y386"/>
  <c r="Y336"/>
  <c r="Y328"/>
  <c r="Y315"/>
  <c r="Y310"/>
  <c r="Y298"/>
  <c r="Y288"/>
  <c r="Y280"/>
  <c r="Y270"/>
  <c r="Y262"/>
  <c r="Y335"/>
  <c r="Y334"/>
  <c r="Y327"/>
  <c r="Y326"/>
  <c r="Y308" i="3"/>
  <c r="Y308" i="2" s="1"/>
  <c r="Y309"/>
  <c r="Y307"/>
  <c r="Y303"/>
  <c r="Y295"/>
  <c r="Y285"/>
  <c r="Y276" i="3"/>
  <c r="Y276" i="2" s="1"/>
  <c r="Y277"/>
  <c r="Y275"/>
  <c r="Y267"/>
  <c r="Y359"/>
  <c r="Y351"/>
  <c r="Y333"/>
  <c r="Y324" i="3"/>
  <c r="Y324" i="2" s="1"/>
  <c r="Y325"/>
  <c r="Y313"/>
  <c r="Y306"/>
  <c r="Y300"/>
  <c r="Y290"/>
  <c r="Y282"/>
  <c r="Y272"/>
  <c r="Y264"/>
  <c r="Y374"/>
  <c r="Y323"/>
  <c r="Y317"/>
  <c r="Y299"/>
  <c r="Y289"/>
  <c r="Y281"/>
  <c r="Y271"/>
  <c r="Y263"/>
  <c r="Y340" i="3"/>
  <c r="Y340" i="2" s="1"/>
  <c r="Y341"/>
  <c r="Y301"/>
  <c r="Y292" i="3"/>
  <c r="Y292" i="2" s="1"/>
  <c r="Y293"/>
  <c r="Y287"/>
  <c r="Y279"/>
  <c r="Y273"/>
  <c r="Y265"/>
  <c r="Y257"/>
  <c r="Y249"/>
  <c r="Y239"/>
  <c r="Y231"/>
  <c r="Y318"/>
  <c r="Y316"/>
  <c r="Y286"/>
  <c r="Y278"/>
  <c r="Y260" i="3"/>
  <c r="Y260" i="2" s="1"/>
  <c r="Y261"/>
  <c r="Y259"/>
  <c r="Y251"/>
  <c r="Y241"/>
  <c r="Y233"/>
  <c r="Y344"/>
  <c r="Y284"/>
  <c r="Y256"/>
  <c r="Y248"/>
  <c r="Y238"/>
  <c r="Y230"/>
  <c r="Y258"/>
  <c r="Y250"/>
  <c r="Y240"/>
  <c r="Y232"/>
  <c r="Y269"/>
  <c r="Y268"/>
  <c r="Y266"/>
  <c r="Y237"/>
  <c r="Y217"/>
  <c r="Y207"/>
  <c r="Y199"/>
  <c r="Y189"/>
  <c r="Y274"/>
  <c r="Y243"/>
  <c r="Y236"/>
  <c r="Y235"/>
  <c r="Y222"/>
  <c r="Y214"/>
  <c r="Y204"/>
  <c r="Y242"/>
  <c r="Y234"/>
  <c r="Y219"/>
  <c r="Y209"/>
  <c r="Y201"/>
  <c r="Y191"/>
  <c r="Y337"/>
  <c r="Y297"/>
  <c r="Y296"/>
  <c r="Y294"/>
  <c r="Y227"/>
  <c r="Y216"/>
  <c r="Y206"/>
  <c r="Y198"/>
  <c r="Y188"/>
  <c r="Y228" i="3"/>
  <c r="Y228" i="2" s="1"/>
  <c r="Y229"/>
  <c r="Y218"/>
  <c r="Y211"/>
  <c r="Y203"/>
  <c r="Y180" i="3"/>
  <c r="Y180" i="2" s="1"/>
  <c r="Y181"/>
  <c r="Y179"/>
  <c r="Y171"/>
  <c r="Y161"/>
  <c r="Y153"/>
  <c r="Y305"/>
  <c r="Y304"/>
  <c r="Y302"/>
  <c r="Y291"/>
  <c r="Y225"/>
  <c r="Y192"/>
  <c r="Y186"/>
  <c r="Y176"/>
  <c r="Y168"/>
  <c r="Y158"/>
  <c r="Y150"/>
  <c r="Y208"/>
  <c r="Y200"/>
  <c r="Y178"/>
  <c r="Y170"/>
  <c r="Y160"/>
  <c r="Y152"/>
  <c r="Y253"/>
  <c r="Y244" i="3"/>
  <c r="Y244" i="2" s="1"/>
  <c r="Y245"/>
  <c r="Y221"/>
  <c r="Y212" i="3"/>
  <c r="Y212" i="2" s="1"/>
  <c r="Y213"/>
  <c r="Y182"/>
  <c r="Y172"/>
  <c r="Y162"/>
  <c r="Y154"/>
  <c r="Y223"/>
  <c r="Y215"/>
  <c r="Y159"/>
  <c r="Y141"/>
  <c r="Y132" i="3"/>
  <c r="Y132" i="2" s="1"/>
  <c r="Y133"/>
  <c r="Y131"/>
  <c r="Y123"/>
  <c r="Y113"/>
  <c r="Y105"/>
  <c r="Y95"/>
  <c r="Y87"/>
  <c r="Y77"/>
  <c r="Y68" i="3"/>
  <c r="Y68" i="2" s="1"/>
  <c r="Y69"/>
  <c r="Y67"/>
  <c r="Y59"/>
  <c r="Y49"/>
  <c r="Y246"/>
  <c r="Y210"/>
  <c r="Y205"/>
  <c r="Y202"/>
  <c r="Y196" i="3"/>
  <c r="Y196" i="2" s="1"/>
  <c r="Y197"/>
  <c r="Y184"/>
  <c r="Y183"/>
  <c r="Y157"/>
  <c r="Y151"/>
  <c r="Y143"/>
  <c r="Y135"/>
  <c r="Y125"/>
  <c r="Y116" i="3"/>
  <c r="Y116" i="2" s="1"/>
  <c r="Y117"/>
  <c r="Y115"/>
  <c r="Y107"/>
  <c r="Y97"/>
  <c r="Y89"/>
  <c r="Y79"/>
  <c r="Y71"/>
  <c r="Y61"/>
  <c r="Y52" i="3"/>
  <c r="Y52" i="2" s="1"/>
  <c r="Y53"/>
  <c r="Y51"/>
  <c r="Y43"/>
  <c r="Y247"/>
  <c r="Y195"/>
  <c r="Y163"/>
  <c r="Y156"/>
  <c r="Y155"/>
  <c r="Y140"/>
  <c r="Y130"/>
  <c r="Y122"/>
  <c r="Y112"/>
  <c r="Y104"/>
  <c r="Y94"/>
  <c r="Y86"/>
  <c r="Y76"/>
  <c r="Y66"/>
  <c r="Y58"/>
  <c r="Y48"/>
  <c r="Y254"/>
  <c r="Y252"/>
  <c r="Y224"/>
  <c r="Y193"/>
  <c r="Y142"/>
  <c r="Y134"/>
  <c r="Y124"/>
  <c r="Y114"/>
  <c r="Y106"/>
  <c r="Y96"/>
  <c r="Y88"/>
  <c r="Y78"/>
  <c r="Y70"/>
  <c r="Y60"/>
  <c r="Y50"/>
  <c r="Y42"/>
  <c r="Y177"/>
  <c r="Y174"/>
  <c r="Y173"/>
  <c r="Y167"/>
  <c r="Y146"/>
  <c r="Y145"/>
  <c r="Y138"/>
  <c r="Y137"/>
  <c r="Y82"/>
  <c r="Y81"/>
  <c r="Y74"/>
  <c r="Y73"/>
  <c r="Y38"/>
  <c r="Y28"/>
  <c r="Y18"/>
  <c r="Y10"/>
  <c r="Y169"/>
  <c r="Y166"/>
  <c r="Y164" i="3"/>
  <c r="Y164" i="2" s="1"/>
  <c r="Y165"/>
  <c r="Y144"/>
  <c r="Y136"/>
  <c r="Y111"/>
  <c r="Y103"/>
  <c r="Y80"/>
  <c r="Y72"/>
  <c r="Y47"/>
  <c r="Y33"/>
  <c r="Y25"/>
  <c r="Y15"/>
  <c r="Y226"/>
  <c r="Y110"/>
  <c r="Y109"/>
  <c r="Y102"/>
  <c r="Y100" i="3"/>
  <c r="Y100" i="2" s="1"/>
  <c r="Y101"/>
  <c r="Y46"/>
  <c r="Y45"/>
  <c r="Y40"/>
  <c r="Y30"/>
  <c r="Y22"/>
  <c r="Y12"/>
  <c r="Y194"/>
  <c r="Y187"/>
  <c r="Y108"/>
  <c r="Y44"/>
  <c r="Y36" i="3"/>
  <c r="Y36" i="2" s="1"/>
  <c r="Y37"/>
  <c r="Y35"/>
  <c r="Y27"/>
  <c r="Y17"/>
  <c r="Y9"/>
  <c r="Y32"/>
  <c r="Y24"/>
  <c r="Y6"/>
  <c r="Y190"/>
  <c r="Y147"/>
  <c r="Y83"/>
  <c r="Y283"/>
  <c r="Y31"/>
  <c r="Y23"/>
  <c r="Y16"/>
  <c r="Y4" i="3"/>
  <c r="Y4" i="2" s="1"/>
  <c r="Y5"/>
  <c r="Y255"/>
  <c r="Y220"/>
  <c r="Y139"/>
  <c r="Y119"/>
  <c r="Y118"/>
  <c r="Y75"/>
  <c r="Y55"/>
  <c r="Y54"/>
  <c r="Y29"/>
  <c r="Y20" i="3"/>
  <c r="Y20" i="2" s="1"/>
  <c r="Y21"/>
  <c r="Y14"/>
  <c r="Y129"/>
  <c r="Y92"/>
  <c r="Y64"/>
  <c r="Y7"/>
  <c r="Y148" i="3"/>
  <c r="Y148" i="2" s="1"/>
  <c r="Y149"/>
  <c r="Y93"/>
  <c r="Y65"/>
  <c r="Y84" i="3"/>
  <c r="Y84" i="2" s="1"/>
  <c r="Y85"/>
  <c r="Y34"/>
  <c r="Y175"/>
  <c r="Y90"/>
  <c r="Y57"/>
  <c r="Y56"/>
  <c r="Y41"/>
  <c r="Y19"/>
  <c r="Y11"/>
  <c r="Y128"/>
  <c r="Y91"/>
  <c r="Y185"/>
  <c r="Y99"/>
  <c r="Y120"/>
  <c r="Y8"/>
  <c r="Y62"/>
  <c r="Y26"/>
  <c r="Y13"/>
  <c r="Y121"/>
  <c r="Y98"/>
  <c r="Y127"/>
  <c r="Y63"/>
  <c r="Y126"/>
  <c r="Y39"/>
  <c r="AY401"/>
  <c r="AY393"/>
  <c r="AY383"/>
  <c r="AY375"/>
  <c r="AY398"/>
  <c r="AY390"/>
  <c r="AY386"/>
  <c r="AY378"/>
  <c r="AY403"/>
  <c r="AY395"/>
  <c r="AY381"/>
  <c r="AY372" i="3"/>
  <c r="AY372" i="2" s="1"/>
  <c r="AY373"/>
  <c r="AY369"/>
  <c r="AY397"/>
  <c r="AY376"/>
  <c r="AY402"/>
  <c r="AY385"/>
  <c r="AY371"/>
  <c r="AY366"/>
  <c r="AY358"/>
  <c r="AY391"/>
  <c r="AY387"/>
  <c r="AY367"/>
  <c r="AY363"/>
  <c r="AY353"/>
  <c r="AY400"/>
  <c r="AY396"/>
  <c r="AY382"/>
  <c r="AY380"/>
  <c r="AY360"/>
  <c r="AY359"/>
  <c r="AY355"/>
  <c r="AY346"/>
  <c r="AY336"/>
  <c r="AY377"/>
  <c r="AY356" i="3"/>
  <c r="AY356" i="2" s="1"/>
  <c r="AY357"/>
  <c r="AY352"/>
  <c r="AY348"/>
  <c r="AY338"/>
  <c r="AY394"/>
  <c r="AY392"/>
  <c r="AY370"/>
  <c r="AY362"/>
  <c r="AY354"/>
  <c r="AY345"/>
  <c r="AY374"/>
  <c r="AY347"/>
  <c r="AY342"/>
  <c r="AY328"/>
  <c r="AY318"/>
  <c r="AY310"/>
  <c r="AY330"/>
  <c r="AY320"/>
  <c r="AY312"/>
  <c r="AY364"/>
  <c r="AY349"/>
  <c r="AY340" i="3"/>
  <c r="AY340" i="2" s="1"/>
  <c r="AY341"/>
  <c r="AY335"/>
  <c r="AY327"/>
  <c r="AY317"/>
  <c r="AY308" i="3"/>
  <c r="AY308" i="2" s="1"/>
  <c r="AY309"/>
  <c r="AY307"/>
  <c r="AY337"/>
  <c r="AY329"/>
  <c r="AY379"/>
  <c r="AY315"/>
  <c r="AY314"/>
  <c r="AY304"/>
  <c r="AY296"/>
  <c r="AY286"/>
  <c r="AY278"/>
  <c r="AY268"/>
  <c r="AY384"/>
  <c r="AY351"/>
  <c r="AY350"/>
  <c r="AY331"/>
  <c r="AY301"/>
  <c r="AY292" i="3"/>
  <c r="AY292" i="2" s="1"/>
  <c r="AY293"/>
  <c r="AY291"/>
  <c r="AY283"/>
  <c r="AY273"/>
  <c r="AY265"/>
  <c r="AY323"/>
  <c r="AY322"/>
  <c r="AY319"/>
  <c r="AY298"/>
  <c r="AY288"/>
  <c r="AY280"/>
  <c r="AY270"/>
  <c r="AY262"/>
  <c r="AY344"/>
  <c r="AY305"/>
  <c r="AY297"/>
  <c r="AY287"/>
  <c r="AY279"/>
  <c r="AY269"/>
  <c r="AY311"/>
  <c r="AY299"/>
  <c r="AY284"/>
  <c r="AY271"/>
  <c r="AY263"/>
  <c r="AY255"/>
  <c r="AY247"/>
  <c r="AY237"/>
  <c r="AY228" i="3"/>
  <c r="AY228" i="2" s="1"/>
  <c r="AY229"/>
  <c r="AY227"/>
  <c r="AY306"/>
  <c r="AY290"/>
  <c r="AY282"/>
  <c r="AY257"/>
  <c r="AY249"/>
  <c r="AY239"/>
  <c r="AY231"/>
  <c r="AY334"/>
  <c r="AY316"/>
  <c r="AY303"/>
  <c r="AY295"/>
  <c r="AY275"/>
  <c r="AY267"/>
  <c r="AY260" i="3"/>
  <c r="AY260" i="2" s="1"/>
  <c r="AY261"/>
  <c r="AY254"/>
  <c r="AY246"/>
  <c r="AY236"/>
  <c r="AY226"/>
  <c r="AY368"/>
  <c r="AY343"/>
  <c r="AY324" i="3"/>
  <c r="AY324" i="2" s="1"/>
  <c r="AY325"/>
  <c r="AY256"/>
  <c r="AY248"/>
  <c r="AY238"/>
  <c r="AY215"/>
  <c r="AY205"/>
  <c r="AY196" i="3"/>
  <c r="AY196" i="2" s="1"/>
  <c r="AY197"/>
  <c r="AY195"/>
  <c r="AY187"/>
  <c r="AY365"/>
  <c r="AY326"/>
  <c r="AY313"/>
  <c r="AY300"/>
  <c r="AY294"/>
  <c r="AY240"/>
  <c r="AY232"/>
  <c r="AY220"/>
  <c r="AY210"/>
  <c r="AY202"/>
  <c r="AY399"/>
  <c r="AY321"/>
  <c r="AY302"/>
  <c r="AY217"/>
  <c r="AY207"/>
  <c r="AY199"/>
  <c r="AY339"/>
  <c r="AY289"/>
  <c r="AY253"/>
  <c r="AY244" i="3"/>
  <c r="AY244" i="2" s="1"/>
  <c r="AY245"/>
  <c r="AY222"/>
  <c r="AY214"/>
  <c r="AY204"/>
  <c r="AY194"/>
  <c r="AY361"/>
  <c r="AY223"/>
  <c r="AY193"/>
  <c r="AY177"/>
  <c r="AY169"/>
  <c r="AY159"/>
  <c r="AY151"/>
  <c r="AY264"/>
  <c r="AY208"/>
  <c r="AY200"/>
  <c r="AY192"/>
  <c r="AY191"/>
  <c r="AY184"/>
  <c r="AY174"/>
  <c r="AY166"/>
  <c r="AY156"/>
  <c r="AY285"/>
  <c r="AY259"/>
  <c r="AY252"/>
  <c r="AY251"/>
  <c r="AY230"/>
  <c r="AY221"/>
  <c r="AY219"/>
  <c r="AY212" i="3"/>
  <c r="AY212" i="2" s="1"/>
  <c r="AY213"/>
  <c r="AY190"/>
  <c r="AY186"/>
  <c r="AY176"/>
  <c r="AY168"/>
  <c r="AY158"/>
  <c r="AY150"/>
  <c r="AY388" i="3"/>
  <c r="AY388" i="2" s="1"/>
  <c r="AY389"/>
  <c r="AY274"/>
  <c r="AY258"/>
  <c r="AY250"/>
  <c r="AY243"/>
  <c r="AY189"/>
  <c r="AY178"/>
  <c r="AY170"/>
  <c r="AY160"/>
  <c r="AY211"/>
  <c r="AY209"/>
  <c r="AY203"/>
  <c r="AY201"/>
  <c r="AY163"/>
  <c r="AY155"/>
  <c r="AY152"/>
  <c r="AY148" i="3"/>
  <c r="AY148" i="2" s="1"/>
  <c r="AY149"/>
  <c r="AY147"/>
  <c r="AY139"/>
  <c r="AY129"/>
  <c r="AY121"/>
  <c r="AY111"/>
  <c r="AY103"/>
  <c r="AY93"/>
  <c r="AY84" i="3"/>
  <c r="AY84" i="2" s="1"/>
  <c r="AY85"/>
  <c r="AY83"/>
  <c r="AY75"/>
  <c r="AY65"/>
  <c r="AY57"/>
  <c r="AY47"/>
  <c r="AY276" i="3"/>
  <c r="AY276" i="2" s="1"/>
  <c r="AY277"/>
  <c r="AY162"/>
  <c r="AY161"/>
  <c r="AY154"/>
  <c r="AY153"/>
  <c r="AY141"/>
  <c r="AY132" i="3"/>
  <c r="AY132" i="2" s="1"/>
  <c r="AY133"/>
  <c r="AY131"/>
  <c r="AY123"/>
  <c r="AY113"/>
  <c r="AY105"/>
  <c r="AY95"/>
  <c r="AY87"/>
  <c r="AY77"/>
  <c r="AY68" i="3"/>
  <c r="AY68" i="2" s="1"/>
  <c r="AY69"/>
  <c r="AY67"/>
  <c r="AY59"/>
  <c r="AY49"/>
  <c r="AY41"/>
  <c r="AY332"/>
  <c r="AY233"/>
  <c r="AY175"/>
  <c r="AY167"/>
  <c r="AY146"/>
  <c r="AY138"/>
  <c r="AY128"/>
  <c r="AY120"/>
  <c r="AY110"/>
  <c r="AY102"/>
  <c r="AY92"/>
  <c r="AY82"/>
  <c r="AY74"/>
  <c r="AY64"/>
  <c r="AY56"/>
  <c r="AY46"/>
  <c r="AY140"/>
  <c r="AY130"/>
  <c r="AY122"/>
  <c r="AY112"/>
  <c r="AY104"/>
  <c r="AY94"/>
  <c r="AY86"/>
  <c r="AY76"/>
  <c r="AY66"/>
  <c r="AY58"/>
  <c r="AY48"/>
  <c r="AY272"/>
  <c r="AY206"/>
  <c r="AY142"/>
  <c r="AY134"/>
  <c r="AY115"/>
  <c r="AY108"/>
  <c r="AY107"/>
  <c r="AY78"/>
  <c r="AY70"/>
  <c r="AY51"/>
  <c r="AY44"/>
  <c r="AY43"/>
  <c r="AY34"/>
  <c r="AY26"/>
  <c r="AY16"/>
  <c r="AY8"/>
  <c r="AY157"/>
  <c r="AY31"/>
  <c r="AY23"/>
  <c r="AY13"/>
  <c r="AY242"/>
  <c r="AY224"/>
  <c r="AY185"/>
  <c r="AY127"/>
  <c r="AY119"/>
  <c r="AY114"/>
  <c r="AY106"/>
  <c r="AY99"/>
  <c r="AY91"/>
  <c r="AY63"/>
  <c r="AY55"/>
  <c r="AY50"/>
  <c r="AY42"/>
  <c r="AY38"/>
  <c r="AY28"/>
  <c r="AY18"/>
  <c r="AY10"/>
  <c r="AY235"/>
  <c r="AY183"/>
  <c r="AY182"/>
  <c r="AY180" i="3"/>
  <c r="AY180" i="2" s="1"/>
  <c r="AY181"/>
  <c r="AY126"/>
  <c r="AY125"/>
  <c r="AY118"/>
  <c r="AY116" i="3"/>
  <c r="AY116" i="2" s="1"/>
  <c r="AY117"/>
  <c r="AY98"/>
  <c r="AY97"/>
  <c r="AY90"/>
  <c r="AY89"/>
  <c r="AY62"/>
  <c r="AY61"/>
  <c r="AY54"/>
  <c r="AY52" i="3"/>
  <c r="AY52" i="2" s="1"/>
  <c r="AY53"/>
  <c r="AY33"/>
  <c r="AY25"/>
  <c r="AY15"/>
  <c r="AY7"/>
  <c r="AY225"/>
  <c r="AY198"/>
  <c r="AY144"/>
  <c r="AY143"/>
  <c r="AY80"/>
  <c r="AY79"/>
  <c r="AY333"/>
  <c r="AY218"/>
  <c r="AY164" i="3"/>
  <c r="AY164" i="2" s="1"/>
  <c r="AY165"/>
  <c r="AY137"/>
  <c r="AY73"/>
  <c r="AY40"/>
  <c r="AY29"/>
  <c r="AY20" i="3"/>
  <c r="AY20" i="2" s="1"/>
  <c r="AY21"/>
  <c r="AY14"/>
  <c r="AY12"/>
  <c r="AY136"/>
  <c r="AY135"/>
  <c r="AY124"/>
  <c r="AY72"/>
  <c r="AY71"/>
  <c r="AY60"/>
  <c r="AY35"/>
  <c r="AY27"/>
  <c r="AY4" i="3"/>
  <c r="AY4" i="2" s="1"/>
  <c r="AY5"/>
  <c r="AY234"/>
  <c r="AY179"/>
  <c r="AY100" i="3"/>
  <c r="AY100" i="2" s="1"/>
  <c r="AY101"/>
  <c r="AY32"/>
  <c r="AY30"/>
  <c r="AY171"/>
  <c r="AY39"/>
  <c r="AY24"/>
  <c r="AY22"/>
  <c r="AY6"/>
  <c r="AY266"/>
  <c r="AY241"/>
  <c r="AY81"/>
  <c r="AY216"/>
  <c r="AY109"/>
  <c r="AY19"/>
  <c r="AY17"/>
  <c r="AY88"/>
  <c r="AY11"/>
  <c r="AY9"/>
  <c r="AY281"/>
  <c r="AY172"/>
  <c r="AY96"/>
  <c r="AY173"/>
  <c r="AY45"/>
  <c r="AY36" i="3"/>
  <c r="AY36" i="2" s="1"/>
  <c r="AY37"/>
  <c r="AY145"/>
  <c r="AY188"/>
  <c r="AP398"/>
  <c r="AP390"/>
  <c r="AP386"/>
  <c r="AP378"/>
  <c r="AP403"/>
  <c r="AP395"/>
  <c r="AP381"/>
  <c r="AP372" i="3"/>
  <c r="AP372" i="2" s="1"/>
  <c r="AP373"/>
  <c r="AP369"/>
  <c r="AP400"/>
  <c r="AP392"/>
  <c r="AP384"/>
  <c r="AP376"/>
  <c r="AP399"/>
  <c r="AP379"/>
  <c r="AP368"/>
  <c r="AP374"/>
  <c r="AP363"/>
  <c r="AP353"/>
  <c r="AP397"/>
  <c r="AP393"/>
  <c r="AP371"/>
  <c r="AP360"/>
  <c r="AP402"/>
  <c r="AP385"/>
  <c r="AP383"/>
  <c r="AP367"/>
  <c r="AP365"/>
  <c r="AP356" i="3"/>
  <c r="AP356" i="2" s="1"/>
  <c r="AP357"/>
  <c r="AP355"/>
  <c r="AP377"/>
  <c r="AP370"/>
  <c r="AP361"/>
  <c r="AP351"/>
  <c r="AP343"/>
  <c r="AP401"/>
  <c r="AP359"/>
  <c r="AP352"/>
  <c r="AP345"/>
  <c r="AP391"/>
  <c r="AP364"/>
  <c r="AP350"/>
  <c r="AP388" i="3"/>
  <c r="AP388" i="2" s="1"/>
  <c r="AP389"/>
  <c r="AP380"/>
  <c r="AP375"/>
  <c r="AP362"/>
  <c r="AP358"/>
  <c r="AP354"/>
  <c r="AP348"/>
  <c r="AP333"/>
  <c r="AP324" i="3"/>
  <c r="AP324" i="2" s="1"/>
  <c r="AP325"/>
  <c r="AP323"/>
  <c r="AP315"/>
  <c r="AP339"/>
  <c r="AP335"/>
  <c r="AP327"/>
  <c r="AP317"/>
  <c r="AP308" i="3"/>
  <c r="AP308" i="2" s="1"/>
  <c r="AP309"/>
  <c r="AP307"/>
  <c r="AP346"/>
  <c r="AP332"/>
  <c r="AP322"/>
  <c r="AP314"/>
  <c r="AP334"/>
  <c r="AP326"/>
  <c r="AP336"/>
  <c r="AP311"/>
  <c r="AP301"/>
  <c r="AP292" i="3"/>
  <c r="AP292" i="2" s="1"/>
  <c r="AP293"/>
  <c r="AP291"/>
  <c r="AP283"/>
  <c r="AP273"/>
  <c r="AP265"/>
  <c r="AP338"/>
  <c r="AP337"/>
  <c r="AP328"/>
  <c r="AP320"/>
  <c r="AP316"/>
  <c r="AP298"/>
  <c r="AP288"/>
  <c r="AP280"/>
  <c r="AP270"/>
  <c r="AP262"/>
  <c r="AP382"/>
  <c r="AP344"/>
  <c r="AP303"/>
  <c r="AP295"/>
  <c r="AP285"/>
  <c r="AP276" i="3"/>
  <c r="AP276" i="2" s="1"/>
  <c r="AP277"/>
  <c r="AP275"/>
  <c r="AP267"/>
  <c r="AP387"/>
  <c r="AP366"/>
  <c r="AP340" i="3"/>
  <c r="AP340" i="2" s="1"/>
  <c r="AP341"/>
  <c r="AP313"/>
  <c r="AP302"/>
  <c r="AP294"/>
  <c r="AP284"/>
  <c r="AP274"/>
  <c r="AP266"/>
  <c r="AP318"/>
  <c r="AP252"/>
  <c r="AP242"/>
  <c r="AP234"/>
  <c r="AP224"/>
  <c r="AP347"/>
  <c r="AP329"/>
  <c r="AP319"/>
  <c r="AP254"/>
  <c r="AP246"/>
  <c r="AP236"/>
  <c r="AP226"/>
  <c r="AP396"/>
  <c r="AP349"/>
  <c r="AP299"/>
  <c r="AP286"/>
  <c r="AP278"/>
  <c r="AP271"/>
  <c r="AP263"/>
  <c r="AP259"/>
  <c r="AP251"/>
  <c r="AP241"/>
  <c r="AP233"/>
  <c r="AP394"/>
  <c r="AP321"/>
  <c r="AP305"/>
  <c r="AP297"/>
  <c r="AP290"/>
  <c r="AP282"/>
  <c r="AP269"/>
  <c r="AP260" i="3"/>
  <c r="AP260" i="2" s="1"/>
  <c r="AP261"/>
  <c r="AP253"/>
  <c r="AP244" i="3"/>
  <c r="AP244" i="2" s="1"/>
  <c r="AP245"/>
  <c r="AP243"/>
  <c r="AP235"/>
  <c r="AP296"/>
  <c r="AP225"/>
  <c r="AP220"/>
  <c r="AP210"/>
  <c r="AP202"/>
  <c r="AP192"/>
  <c r="AP310"/>
  <c r="AP304"/>
  <c r="AP289"/>
  <c r="AP287"/>
  <c r="AP258"/>
  <c r="AP250"/>
  <c r="AP237"/>
  <c r="AP217"/>
  <c r="AP207"/>
  <c r="AP199"/>
  <c r="AP342"/>
  <c r="AP281"/>
  <c r="AP279"/>
  <c r="AP228" i="3"/>
  <c r="AP228" i="2" s="1"/>
  <c r="AP229"/>
  <c r="AP222"/>
  <c r="AP214"/>
  <c r="AP204"/>
  <c r="AP194"/>
  <c r="AP331"/>
  <c r="AP330"/>
  <c r="AP264"/>
  <c r="AP257"/>
  <c r="AP249"/>
  <c r="AP219"/>
  <c r="AP209"/>
  <c r="AP201"/>
  <c r="AP191"/>
  <c r="AP272"/>
  <c r="AP205"/>
  <c r="AP196" i="3"/>
  <c r="AP196" i="2" s="1"/>
  <c r="AP197"/>
  <c r="AP188"/>
  <c r="AP184"/>
  <c r="AP174"/>
  <c r="AP166"/>
  <c r="AP156"/>
  <c r="AP230"/>
  <c r="AP218"/>
  <c r="AP211"/>
  <c r="AP203"/>
  <c r="AP180" i="3"/>
  <c r="AP180" i="2" s="1"/>
  <c r="AP181"/>
  <c r="AP179"/>
  <c r="AP171"/>
  <c r="AP161"/>
  <c r="AP153"/>
  <c r="AP306"/>
  <c r="AP255"/>
  <c r="AP247"/>
  <c r="AP239"/>
  <c r="AP238"/>
  <c r="AP232"/>
  <c r="AP195"/>
  <c r="AP187"/>
  <c r="AP183"/>
  <c r="AP173"/>
  <c r="AP164" i="3"/>
  <c r="AP164" i="2" s="1"/>
  <c r="AP165"/>
  <c r="AP163"/>
  <c r="AP155"/>
  <c r="AP268"/>
  <c r="AP223"/>
  <c r="AP215"/>
  <c r="AP206"/>
  <c r="AP198"/>
  <c r="AP185"/>
  <c r="AP175"/>
  <c r="AP167"/>
  <c r="AP157"/>
  <c r="AP231"/>
  <c r="AP144"/>
  <c r="AP136"/>
  <c r="AP126"/>
  <c r="AP118"/>
  <c r="AP108"/>
  <c r="AP98"/>
  <c r="AP90"/>
  <c r="AP80"/>
  <c r="AP72"/>
  <c r="AP62"/>
  <c r="AP54"/>
  <c r="AP44"/>
  <c r="AP193"/>
  <c r="AP158"/>
  <c r="AP152"/>
  <c r="AP146"/>
  <c r="AP138"/>
  <c r="AP128"/>
  <c r="AP120"/>
  <c r="AP110"/>
  <c r="AP102"/>
  <c r="AP92"/>
  <c r="AP82"/>
  <c r="AP74"/>
  <c r="AP64"/>
  <c r="AP56"/>
  <c r="AP46"/>
  <c r="AP178"/>
  <c r="AP170"/>
  <c r="AP143"/>
  <c r="AP135"/>
  <c r="AP125"/>
  <c r="AP116" i="3"/>
  <c r="AP116" i="2" s="1"/>
  <c r="AP117"/>
  <c r="AP115"/>
  <c r="AP107"/>
  <c r="AP97"/>
  <c r="AP89"/>
  <c r="AP79"/>
  <c r="AP71"/>
  <c r="AP61"/>
  <c r="AP52" i="3"/>
  <c r="AP52" i="2" s="1"/>
  <c r="AP53"/>
  <c r="AP51"/>
  <c r="AP43"/>
  <c r="AP240"/>
  <c r="AP177"/>
  <c r="AP169"/>
  <c r="AP162"/>
  <c r="AP154"/>
  <c r="AP151"/>
  <c r="AP145"/>
  <c r="AP137"/>
  <c r="AP127"/>
  <c r="AP119"/>
  <c r="AP109"/>
  <c r="AP100" i="3"/>
  <c r="AP100" i="2" s="1"/>
  <c r="AP101"/>
  <c r="AP99"/>
  <c r="AP91"/>
  <c r="AP81"/>
  <c r="AP73"/>
  <c r="AP63"/>
  <c r="AP55"/>
  <c r="AP45"/>
  <c r="AP208"/>
  <c r="AP186"/>
  <c r="AP182"/>
  <c r="AP147"/>
  <c r="AP139"/>
  <c r="AP124"/>
  <c r="AP112"/>
  <c r="AP104"/>
  <c r="AP96"/>
  <c r="AP88"/>
  <c r="AP83"/>
  <c r="AP75"/>
  <c r="AP60"/>
  <c r="AP48"/>
  <c r="AP41"/>
  <c r="AP31"/>
  <c r="AP23"/>
  <c r="AP13"/>
  <c r="AP4" i="3"/>
  <c r="AP4" i="2" s="1"/>
  <c r="AP5"/>
  <c r="AP248"/>
  <c r="AP227"/>
  <c r="AP221"/>
  <c r="AP212" i="3"/>
  <c r="AP212" i="2" s="1"/>
  <c r="AP213"/>
  <c r="AP38"/>
  <c r="AP28"/>
  <c r="AP18"/>
  <c r="AP256"/>
  <c r="AP190"/>
  <c r="AP131"/>
  <c r="AP123"/>
  <c r="AP111"/>
  <c r="AP103"/>
  <c r="AP95"/>
  <c r="AP87"/>
  <c r="AP67"/>
  <c r="AP59"/>
  <c r="AP47"/>
  <c r="AP33"/>
  <c r="AP25"/>
  <c r="AP15"/>
  <c r="AP7"/>
  <c r="AP300"/>
  <c r="AP142"/>
  <c r="AP134"/>
  <c r="AP130"/>
  <c r="AP122"/>
  <c r="AP94"/>
  <c r="AP86"/>
  <c r="AP78"/>
  <c r="AP70"/>
  <c r="AP66"/>
  <c r="AP58"/>
  <c r="AP40"/>
  <c r="AP30"/>
  <c r="AP22"/>
  <c r="AP12"/>
  <c r="AP312"/>
  <c r="AP132" i="3"/>
  <c r="AP132" i="2" s="1"/>
  <c r="AP133"/>
  <c r="AP114"/>
  <c r="AP106"/>
  <c r="AP68" i="3"/>
  <c r="AP68" i="2" s="1"/>
  <c r="AP69"/>
  <c r="AP50"/>
  <c r="AP42"/>
  <c r="AP36" i="3"/>
  <c r="AP36" i="2" s="1"/>
  <c r="AP37"/>
  <c r="AP34"/>
  <c r="AP26"/>
  <c r="AP17"/>
  <c r="AP200"/>
  <c r="AP121"/>
  <c r="AP113"/>
  <c r="AP105"/>
  <c r="AP57"/>
  <c r="AP49"/>
  <c r="AP32"/>
  <c r="AP24"/>
  <c r="AP8"/>
  <c r="AP168"/>
  <c r="AP129"/>
  <c r="AP65"/>
  <c r="AP189"/>
  <c r="AP172"/>
  <c r="AP148" i="3"/>
  <c r="AP148" i="2" s="1"/>
  <c r="AP149"/>
  <c r="AP84" i="3"/>
  <c r="AP84" i="2" s="1"/>
  <c r="AP85"/>
  <c r="AP16"/>
  <c r="AP6"/>
  <c r="AP160"/>
  <c r="AP10"/>
  <c r="AP39"/>
  <c r="AP93"/>
  <c r="AP19"/>
  <c r="AP14"/>
  <c r="AP11"/>
  <c r="AP27"/>
  <c r="AP9"/>
  <c r="AP150"/>
  <c r="AP35"/>
  <c r="AP29"/>
  <c r="AP141"/>
  <c r="AP176"/>
  <c r="AP20" i="3"/>
  <c r="AP20" i="2" s="1"/>
  <c r="AP21"/>
  <c r="AP140"/>
  <c r="AP216"/>
  <c r="AP76"/>
  <c r="AP77"/>
  <c r="AP159"/>
  <c r="O397"/>
  <c r="O388" i="3"/>
  <c r="O388" i="2" s="1"/>
  <c r="O389"/>
  <c r="O387"/>
  <c r="O379"/>
  <c r="O402"/>
  <c r="O394"/>
  <c r="O382"/>
  <c r="O374"/>
  <c r="O368"/>
  <c r="O399"/>
  <c r="O391"/>
  <c r="O385"/>
  <c r="O377"/>
  <c r="O398"/>
  <c r="O393"/>
  <c r="O370"/>
  <c r="O403"/>
  <c r="O383"/>
  <c r="O381"/>
  <c r="O362"/>
  <c r="O392"/>
  <c r="O369"/>
  <c r="O367"/>
  <c r="O359"/>
  <c r="O396"/>
  <c r="O380"/>
  <c r="O378"/>
  <c r="O376"/>
  <c r="O364"/>
  <c r="O354"/>
  <c r="O401"/>
  <c r="O360"/>
  <c r="O350"/>
  <c r="O342"/>
  <c r="O352"/>
  <c r="O344"/>
  <c r="O395"/>
  <c r="O384"/>
  <c r="O375"/>
  <c r="O363"/>
  <c r="O358"/>
  <c r="O355"/>
  <c r="O349"/>
  <c r="O356" i="3"/>
  <c r="O356" i="2" s="1"/>
  <c r="O357"/>
  <c r="O351"/>
  <c r="O390"/>
  <c r="O366"/>
  <c r="O338"/>
  <c r="O332"/>
  <c r="O322"/>
  <c r="O314"/>
  <c r="O386"/>
  <c r="O348"/>
  <c r="O337"/>
  <c r="O334"/>
  <c r="O326"/>
  <c r="O316"/>
  <c r="O306"/>
  <c r="O400"/>
  <c r="O371"/>
  <c r="O343"/>
  <c r="O331"/>
  <c r="O321"/>
  <c r="O313"/>
  <c r="O361"/>
  <c r="O346"/>
  <c r="O339"/>
  <c r="O333"/>
  <c r="O324" i="3"/>
  <c r="O324" i="2" s="1"/>
  <c r="O325"/>
  <c r="O323"/>
  <c r="O372" i="3"/>
  <c r="O372" i="2" s="1"/>
  <c r="O373"/>
  <c r="O347"/>
  <c r="O330"/>
  <c r="O311"/>
  <c r="O300"/>
  <c r="O290"/>
  <c r="O282"/>
  <c r="O272"/>
  <c r="O264"/>
  <c r="O315"/>
  <c r="O310"/>
  <c r="O307"/>
  <c r="O305"/>
  <c r="O297"/>
  <c r="O287"/>
  <c r="O279"/>
  <c r="O269"/>
  <c r="O260" i="3"/>
  <c r="O260" i="2" s="1"/>
  <c r="O261"/>
  <c r="O329"/>
  <c r="O320"/>
  <c r="O302"/>
  <c r="O294"/>
  <c r="O284"/>
  <c r="O274"/>
  <c r="O266"/>
  <c r="O318"/>
  <c r="O301"/>
  <c r="O292" i="3"/>
  <c r="O292" i="2" s="1"/>
  <c r="O293"/>
  <c r="O291"/>
  <c r="O283"/>
  <c r="O273"/>
  <c r="O265"/>
  <c r="O312"/>
  <c r="O259"/>
  <c r="O251"/>
  <c r="O241"/>
  <c r="O233"/>
  <c r="O365"/>
  <c r="O353"/>
  <c r="O335"/>
  <c r="O328"/>
  <c r="O319"/>
  <c r="O303"/>
  <c r="O295"/>
  <c r="O288"/>
  <c r="O280"/>
  <c r="O275"/>
  <c r="O267"/>
  <c r="O253"/>
  <c r="O244" i="3"/>
  <c r="O244" i="2" s="1"/>
  <c r="O245"/>
  <c r="O243"/>
  <c r="O235"/>
  <c r="O225"/>
  <c r="O327"/>
  <c r="O262"/>
  <c r="O258"/>
  <c r="O250"/>
  <c r="O240"/>
  <c r="O232"/>
  <c r="O345"/>
  <c r="O340" i="3"/>
  <c r="O340" i="2" s="1"/>
  <c r="O341"/>
  <c r="O308" i="3"/>
  <c r="O308" i="2" s="1"/>
  <c r="O309"/>
  <c r="O299"/>
  <c r="O286"/>
  <c r="O278"/>
  <c r="O271"/>
  <c r="O263"/>
  <c r="O252"/>
  <c r="O242"/>
  <c r="O234"/>
  <c r="O298"/>
  <c r="O255"/>
  <c r="O247"/>
  <c r="O239"/>
  <c r="O228" i="3"/>
  <c r="O228" i="2" s="1"/>
  <c r="O229"/>
  <c r="O224"/>
  <c r="O219"/>
  <c r="O209"/>
  <c r="O201"/>
  <c r="O191"/>
  <c r="O296"/>
  <c r="O254"/>
  <c r="O246"/>
  <c r="O216"/>
  <c r="O206"/>
  <c r="O198"/>
  <c r="O336"/>
  <c r="O304"/>
  <c r="O289"/>
  <c r="O238"/>
  <c r="O221"/>
  <c r="O212" i="3"/>
  <c r="O212" i="2" s="1"/>
  <c r="O213"/>
  <c r="O211"/>
  <c r="O203"/>
  <c r="O193"/>
  <c r="O285"/>
  <c r="O281"/>
  <c r="O237"/>
  <c r="O218"/>
  <c r="O208"/>
  <c r="O200"/>
  <c r="O190"/>
  <c r="O222"/>
  <c r="O214"/>
  <c r="O194"/>
  <c r="O183"/>
  <c r="O173"/>
  <c r="O164" i="3"/>
  <c r="O164" i="2" s="1"/>
  <c r="O165"/>
  <c r="O163"/>
  <c r="O155"/>
  <c r="O317"/>
  <c r="O230"/>
  <c r="O220"/>
  <c r="O205"/>
  <c r="O196" i="3"/>
  <c r="O196" i="2" s="1"/>
  <c r="O197"/>
  <c r="O178"/>
  <c r="O170"/>
  <c r="O160"/>
  <c r="O152"/>
  <c r="O270"/>
  <c r="O231"/>
  <c r="O204"/>
  <c r="O187"/>
  <c r="O182"/>
  <c r="O172"/>
  <c r="O162"/>
  <c r="O154"/>
  <c r="O256"/>
  <c r="O248"/>
  <c r="O184"/>
  <c r="O174"/>
  <c r="O166"/>
  <c r="O156"/>
  <c r="O276" i="3"/>
  <c r="O276" i="2" s="1"/>
  <c r="O277"/>
  <c r="O226"/>
  <c r="O195"/>
  <c r="O161"/>
  <c r="O153"/>
  <c r="O143"/>
  <c r="O135"/>
  <c r="O125"/>
  <c r="O116" i="3"/>
  <c r="O116" i="2" s="1"/>
  <c r="O117"/>
  <c r="O115"/>
  <c r="O107"/>
  <c r="O97"/>
  <c r="O89"/>
  <c r="O79"/>
  <c r="O71"/>
  <c r="O61"/>
  <c r="O52" i="3"/>
  <c r="O52" i="2" s="1"/>
  <c r="O53"/>
  <c r="O51"/>
  <c r="O43"/>
  <c r="O189"/>
  <c r="O145"/>
  <c r="O137"/>
  <c r="O127"/>
  <c r="O119"/>
  <c r="O109"/>
  <c r="O100" i="3"/>
  <c r="O100" i="2" s="1"/>
  <c r="O101"/>
  <c r="O99"/>
  <c r="O91"/>
  <c r="O81"/>
  <c r="O73"/>
  <c r="O63"/>
  <c r="O55"/>
  <c r="O45"/>
  <c r="O249"/>
  <c r="O188"/>
  <c r="O159"/>
  <c r="O151"/>
  <c r="O142"/>
  <c r="O134"/>
  <c r="O124"/>
  <c r="O114"/>
  <c r="O106"/>
  <c r="O96"/>
  <c r="O88"/>
  <c r="O78"/>
  <c r="O70"/>
  <c r="O60"/>
  <c r="O50"/>
  <c r="O42"/>
  <c r="O268"/>
  <c r="O223"/>
  <c r="O217"/>
  <c r="O215"/>
  <c r="O192"/>
  <c r="O158"/>
  <c r="O157"/>
  <c r="O144"/>
  <c r="O136"/>
  <c r="O126"/>
  <c r="O118"/>
  <c r="O108"/>
  <c r="O98"/>
  <c r="O90"/>
  <c r="O80"/>
  <c r="O72"/>
  <c r="O62"/>
  <c r="O54"/>
  <c r="O44"/>
  <c r="O128"/>
  <c r="O120"/>
  <c r="O92"/>
  <c r="O64"/>
  <c r="O56"/>
  <c r="O40"/>
  <c r="O30"/>
  <c r="O22"/>
  <c r="O12"/>
  <c r="O186"/>
  <c r="O185"/>
  <c r="O140"/>
  <c r="O113"/>
  <c r="O105"/>
  <c r="O76"/>
  <c r="O49"/>
  <c r="O36" i="3"/>
  <c r="O36" i="2" s="1"/>
  <c r="O37"/>
  <c r="O35"/>
  <c r="O27"/>
  <c r="O17"/>
  <c r="O199"/>
  <c r="O180" i="3"/>
  <c r="O180" i="2" s="1"/>
  <c r="O181"/>
  <c r="O147"/>
  <c r="O139"/>
  <c r="O83"/>
  <c r="O75"/>
  <c r="O32"/>
  <c r="O24"/>
  <c r="O14"/>
  <c r="O6"/>
  <c r="O202"/>
  <c r="O146"/>
  <c r="O138"/>
  <c r="O112"/>
  <c r="O104"/>
  <c r="O82"/>
  <c r="O74"/>
  <c r="O48"/>
  <c r="O39"/>
  <c r="O29"/>
  <c r="O20" i="3"/>
  <c r="O20" i="2" s="1"/>
  <c r="O21"/>
  <c r="O19"/>
  <c r="O11"/>
  <c r="O257"/>
  <c r="O169"/>
  <c r="O168"/>
  <c r="O141"/>
  <c r="O77"/>
  <c r="O123"/>
  <c r="O59"/>
  <c r="O34"/>
  <c r="O26"/>
  <c r="O7"/>
  <c r="O210"/>
  <c r="O132" i="3"/>
  <c r="O132" i="2" s="1"/>
  <c r="O133"/>
  <c r="O131"/>
  <c r="O111"/>
  <c r="O103"/>
  <c r="O68" i="3"/>
  <c r="O68" i="2" s="1"/>
  <c r="O69"/>
  <c r="O67"/>
  <c r="O47"/>
  <c r="O38"/>
  <c r="O18"/>
  <c r="O175"/>
  <c r="O150"/>
  <c r="O122"/>
  <c r="O121"/>
  <c r="O110"/>
  <c r="O102"/>
  <c r="O87"/>
  <c r="O58"/>
  <c r="O57"/>
  <c r="O46"/>
  <c r="O33"/>
  <c r="O25"/>
  <c r="O4" i="3"/>
  <c r="O4" i="2" s="1"/>
  <c r="O5"/>
  <c r="O179"/>
  <c r="O177"/>
  <c r="O167"/>
  <c r="O148" i="3"/>
  <c r="O148" i="2" s="1"/>
  <c r="O149"/>
  <c r="O130"/>
  <c r="O95"/>
  <c r="O93"/>
  <c r="O65"/>
  <c r="O28"/>
  <c r="O23"/>
  <c r="O236"/>
  <c r="O171"/>
  <c r="O94"/>
  <c r="O84" i="3"/>
  <c r="O84" i="2" s="1"/>
  <c r="O85"/>
  <c r="O66"/>
  <c r="O8"/>
  <c r="O227"/>
  <c r="O176"/>
  <c r="O86"/>
  <c r="O15"/>
  <c r="O9"/>
  <c r="O207"/>
  <c r="O13"/>
  <c r="O41"/>
  <c r="O16"/>
  <c r="O31"/>
  <c r="O10"/>
  <c r="O129"/>
  <c r="BG401"/>
  <c r="BG393"/>
  <c r="BG383"/>
  <c r="BG375"/>
  <c r="BG398"/>
  <c r="BG390"/>
  <c r="BG386"/>
  <c r="BG378"/>
  <c r="BG403"/>
  <c r="BG395"/>
  <c r="BG381"/>
  <c r="BG372" i="3"/>
  <c r="BG372" i="2" s="1"/>
  <c r="BG373"/>
  <c r="BG369"/>
  <c r="BG400"/>
  <c r="BG396"/>
  <c r="BG382"/>
  <c r="BG380"/>
  <c r="BG388" i="3"/>
  <c r="BG388" i="2" s="1"/>
  <c r="BG389"/>
  <c r="BG384"/>
  <c r="BG366"/>
  <c r="BG358"/>
  <c r="BG394"/>
  <c r="BG377"/>
  <c r="BG370"/>
  <c r="BG363"/>
  <c r="BG353"/>
  <c r="BG399"/>
  <c r="BG379"/>
  <c r="BG360"/>
  <c r="BG362"/>
  <c r="BG354"/>
  <c r="BG346"/>
  <c r="BG336"/>
  <c r="BG402"/>
  <c r="BG391"/>
  <c r="BG385"/>
  <c r="BG348"/>
  <c r="BG338"/>
  <c r="BG376"/>
  <c r="BG365"/>
  <c r="BG361"/>
  <c r="BG345"/>
  <c r="BG359"/>
  <c r="BG355"/>
  <c r="BG347"/>
  <c r="BG367"/>
  <c r="BG328"/>
  <c r="BG318"/>
  <c r="BG310"/>
  <c r="BG397"/>
  <c r="BG387"/>
  <c r="BG352"/>
  <c r="BG330"/>
  <c r="BG320"/>
  <c r="BG312"/>
  <c r="BG371"/>
  <c r="BG337"/>
  <c r="BG335"/>
  <c r="BG327"/>
  <c r="BG317"/>
  <c r="BG308" i="3"/>
  <c r="BG308" i="2" s="1"/>
  <c r="BG309"/>
  <c r="BG307"/>
  <c r="BG368"/>
  <c r="BG364"/>
  <c r="BG356" i="3"/>
  <c r="BG356" i="2" s="1"/>
  <c r="BG357"/>
  <c r="BG351"/>
  <c r="BG350"/>
  <c r="BG329"/>
  <c r="BG392"/>
  <c r="BG321"/>
  <c r="BG313"/>
  <c r="BG304"/>
  <c r="BG296"/>
  <c r="BG286"/>
  <c r="BG278"/>
  <c r="BG268"/>
  <c r="BG301"/>
  <c r="BG292" i="3"/>
  <c r="BG292" i="2" s="1"/>
  <c r="BG293"/>
  <c r="BG291"/>
  <c r="BG283"/>
  <c r="BG273"/>
  <c r="BG265"/>
  <c r="BG343"/>
  <c r="BG342"/>
  <c r="BG334"/>
  <c r="BG326"/>
  <c r="BG298"/>
  <c r="BG288"/>
  <c r="BG280"/>
  <c r="BG270"/>
  <c r="BG262"/>
  <c r="BG331"/>
  <c r="BG315"/>
  <c r="BG314"/>
  <c r="BG305"/>
  <c r="BG297"/>
  <c r="BG287"/>
  <c r="BG279"/>
  <c r="BG269"/>
  <c r="BG322"/>
  <c r="BG319"/>
  <c r="BG302"/>
  <c r="BG294"/>
  <c r="BG289"/>
  <c r="BG281"/>
  <c r="BG274"/>
  <c r="BG266"/>
  <c r="BG260" i="3"/>
  <c r="BG260" i="2" s="1"/>
  <c r="BG261"/>
  <c r="BG255"/>
  <c r="BG247"/>
  <c r="BG237"/>
  <c r="BG228" i="3"/>
  <c r="BG228" i="2" s="1"/>
  <c r="BG229"/>
  <c r="BG227"/>
  <c r="BG311"/>
  <c r="BG300"/>
  <c r="BG272"/>
  <c r="BG264"/>
  <c r="BG257"/>
  <c r="BG249"/>
  <c r="BG239"/>
  <c r="BG231"/>
  <c r="BG285"/>
  <c r="BG276" i="3"/>
  <c r="BG276" i="2" s="1"/>
  <c r="BG277"/>
  <c r="BG254"/>
  <c r="BG246"/>
  <c r="BG236"/>
  <c r="BG226"/>
  <c r="BG374"/>
  <c r="BG349"/>
  <c r="BG333"/>
  <c r="BG332"/>
  <c r="BG316"/>
  <c r="BG306"/>
  <c r="BG256"/>
  <c r="BG248"/>
  <c r="BG238"/>
  <c r="BG267"/>
  <c r="BG263"/>
  <c r="BG259"/>
  <c r="BG252"/>
  <c r="BG251"/>
  <c r="BG215"/>
  <c r="BG205"/>
  <c r="BG196" i="3"/>
  <c r="BG196" i="2" s="1"/>
  <c r="BG197"/>
  <c r="BG195"/>
  <c r="BG187"/>
  <c r="BG275"/>
  <c r="BG271"/>
  <c r="BG220"/>
  <c r="BG210"/>
  <c r="BG202"/>
  <c r="BG344"/>
  <c r="BG324" i="3"/>
  <c r="BG324" i="2" s="1"/>
  <c r="BG325"/>
  <c r="BG258"/>
  <c r="BG250"/>
  <c r="BG243"/>
  <c r="BG235"/>
  <c r="BG230"/>
  <c r="BG217"/>
  <c r="BG207"/>
  <c r="BG199"/>
  <c r="BG295"/>
  <c r="BG242"/>
  <c r="BG241"/>
  <c r="BG234"/>
  <c r="BG233"/>
  <c r="BG225"/>
  <c r="BG222"/>
  <c r="BG214"/>
  <c r="BG204"/>
  <c r="BG194"/>
  <c r="BG232"/>
  <c r="BG177"/>
  <c r="BG169"/>
  <c r="BG159"/>
  <c r="BG151"/>
  <c r="BG190"/>
  <c r="BG184"/>
  <c r="BG174"/>
  <c r="BG166"/>
  <c r="BG156"/>
  <c r="BG284"/>
  <c r="BG216"/>
  <c r="BG189"/>
  <c r="BG186"/>
  <c r="BG176"/>
  <c r="BG168"/>
  <c r="BG158"/>
  <c r="BG150"/>
  <c r="BG340" i="3"/>
  <c r="BG340" i="2" s="1"/>
  <c r="BG341"/>
  <c r="BG303"/>
  <c r="BG299"/>
  <c r="BG208"/>
  <c r="BG200"/>
  <c r="BG193"/>
  <c r="BG188"/>
  <c r="BG178"/>
  <c r="BG170"/>
  <c r="BG160"/>
  <c r="BG240"/>
  <c r="BG219"/>
  <c r="BG218"/>
  <c r="BG173"/>
  <c r="BG164" i="3"/>
  <c r="BG164" i="2" s="1"/>
  <c r="BG165"/>
  <c r="BG148" i="3"/>
  <c r="BG148" i="2" s="1"/>
  <c r="BG149"/>
  <c r="BG147"/>
  <c r="BG139"/>
  <c r="BG129"/>
  <c r="BG121"/>
  <c r="BG111"/>
  <c r="BG103"/>
  <c r="BG93"/>
  <c r="BG84" i="3"/>
  <c r="BG84" i="2" s="1"/>
  <c r="BG85"/>
  <c r="BG83"/>
  <c r="BG75"/>
  <c r="BG65"/>
  <c r="BG57"/>
  <c r="BG47"/>
  <c r="BG224"/>
  <c r="BG211"/>
  <c r="BG209"/>
  <c r="BG203"/>
  <c r="BG201"/>
  <c r="BG185"/>
  <c r="BG179"/>
  <c r="BG172"/>
  <c r="BG171"/>
  <c r="BG141"/>
  <c r="BG132" i="3"/>
  <c r="BG132" i="2" s="1"/>
  <c r="BG133"/>
  <c r="BG131"/>
  <c r="BG123"/>
  <c r="BG113"/>
  <c r="BG105"/>
  <c r="BG95"/>
  <c r="BG87"/>
  <c r="BG77"/>
  <c r="BG68" i="3"/>
  <c r="BG68" i="2" s="1"/>
  <c r="BG69"/>
  <c r="BG67"/>
  <c r="BG59"/>
  <c r="BG49"/>
  <c r="BG41"/>
  <c r="BG290"/>
  <c r="BG192"/>
  <c r="BG183"/>
  <c r="BG157"/>
  <c r="BG146"/>
  <c r="BG138"/>
  <c r="BG128"/>
  <c r="BG120"/>
  <c r="BG110"/>
  <c r="BG102"/>
  <c r="BG92"/>
  <c r="BG82"/>
  <c r="BG74"/>
  <c r="BG64"/>
  <c r="BG56"/>
  <c r="BG46"/>
  <c r="BG323"/>
  <c r="BG182"/>
  <c r="BG180" i="3"/>
  <c r="BG180" i="2" s="1"/>
  <c r="BG181"/>
  <c r="BG152"/>
  <c r="BG140"/>
  <c r="BG130"/>
  <c r="BG122"/>
  <c r="BG112"/>
  <c r="BG104"/>
  <c r="BG94"/>
  <c r="BG86"/>
  <c r="BG76"/>
  <c r="BG66"/>
  <c r="BG58"/>
  <c r="BG48"/>
  <c r="BG191"/>
  <c r="BG175"/>
  <c r="BG34"/>
  <c r="BG26"/>
  <c r="BG16"/>
  <c r="BG8"/>
  <c r="BG206"/>
  <c r="BG167"/>
  <c r="BG155"/>
  <c r="BG153"/>
  <c r="BG145"/>
  <c r="BG137"/>
  <c r="BG124"/>
  <c r="BG96"/>
  <c r="BG88"/>
  <c r="BG81"/>
  <c r="BG73"/>
  <c r="BG60"/>
  <c r="BG31"/>
  <c r="BG23"/>
  <c r="BG13"/>
  <c r="BG163"/>
  <c r="BG161"/>
  <c r="BG154"/>
  <c r="BG144"/>
  <c r="BG143"/>
  <c r="BG136"/>
  <c r="BG135"/>
  <c r="BG80"/>
  <c r="BG79"/>
  <c r="BG72"/>
  <c r="BG71"/>
  <c r="BG38"/>
  <c r="BG28"/>
  <c r="BG18"/>
  <c r="BG10"/>
  <c r="BG339"/>
  <c r="BG282"/>
  <c r="BG162"/>
  <c r="BG109"/>
  <c r="BG100" i="3"/>
  <c r="BG100" i="2" s="1"/>
  <c r="BG101"/>
  <c r="BG45"/>
  <c r="BG33"/>
  <c r="BG25"/>
  <c r="BG15"/>
  <c r="BG7"/>
  <c r="BG221"/>
  <c r="BG212" i="3"/>
  <c r="BG212" i="2" s="1"/>
  <c r="BG213"/>
  <c r="BG99"/>
  <c r="BG98"/>
  <c r="BG39"/>
  <c r="BG19"/>
  <c r="BG11"/>
  <c r="BG223"/>
  <c r="BG198"/>
  <c r="BG36" i="3"/>
  <c r="BG36" i="2" s="1"/>
  <c r="BG37"/>
  <c r="BG17"/>
  <c r="BG9"/>
  <c r="BG142"/>
  <c r="BG78"/>
  <c r="BG32"/>
  <c r="BG30"/>
  <c r="BG24"/>
  <c r="BG22"/>
  <c r="BG116" i="3"/>
  <c r="BG116" i="2" s="1"/>
  <c r="BG117"/>
  <c r="BG52" i="3"/>
  <c r="BG52" i="2" s="1"/>
  <c r="BG53"/>
  <c r="BG253"/>
  <c r="BG119"/>
  <c r="BG118"/>
  <c r="BG115"/>
  <c r="BG244" i="3"/>
  <c r="BG244" i="2" s="1"/>
  <c r="BG245"/>
  <c r="BG114"/>
  <c r="BG97"/>
  <c r="BG89"/>
  <c r="BG55"/>
  <c r="BG54"/>
  <c r="BG51"/>
  <c r="BG35"/>
  <c r="BG125"/>
  <c r="BG90"/>
  <c r="BG50"/>
  <c r="BG27"/>
  <c r="BG134"/>
  <c r="BG108"/>
  <c r="BG42"/>
  <c r="BG12"/>
  <c r="BG126"/>
  <c r="BG43"/>
  <c r="BG40"/>
  <c r="BG14"/>
  <c r="BG4" i="3"/>
  <c r="BG4" i="2" s="1"/>
  <c r="BG5"/>
  <c r="BG20" i="3"/>
  <c r="BG20" i="2" s="1"/>
  <c r="BG21"/>
  <c r="BG107"/>
  <c r="BG127"/>
  <c r="BG91"/>
  <c r="BG62"/>
  <c r="BG44"/>
  <c r="BG63"/>
  <c r="BG6"/>
  <c r="BG106"/>
  <c r="BG29"/>
  <c r="BG61"/>
  <c r="BG70"/>
  <c r="BE403"/>
  <c r="BE395"/>
  <c r="BE381"/>
  <c r="BE372" i="3"/>
  <c r="BE372" i="2" s="1"/>
  <c r="BE373"/>
  <c r="BE400"/>
  <c r="BE392"/>
  <c r="BE384"/>
  <c r="BE376"/>
  <c r="BE397"/>
  <c r="BE388" i="3"/>
  <c r="BE388" i="2" s="1"/>
  <c r="BE389"/>
  <c r="BE387"/>
  <c r="BE379"/>
  <c r="BE371"/>
  <c r="BE394"/>
  <c r="BE377"/>
  <c r="BE375"/>
  <c r="BE370"/>
  <c r="BE399"/>
  <c r="BE360"/>
  <c r="BE386"/>
  <c r="BE374"/>
  <c r="BE369"/>
  <c r="BE365"/>
  <c r="BE356" i="3"/>
  <c r="BE356" i="2" s="1"/>
  <c r="BE357"/>
  <c r="BE355"/>
  <c r="BE398"/>
  <c r="BE393"/>
  <c r="BE368"/>
  <c r="BE362"/>
  <c r="BE402"/>
  <c r="BE391"/>
  <c r="BE385"/>
  <c r="BE348"/>
  <c r="BE338"/>
  <c r="BE380"/>
  <c r="BE366"/>
  <c r="BE350"/>
  <c r="BE342"/>
  <c r="BE359"/>
  <c r="BE347"/>
  <c r="BE383"/>
  <c r="BE349"/>
  <c r="BE396"/>
  <c r="BE382"/>
  <c r="BE358"/>
  <c r="BE330"/>
  <c r="BE320"/>
  <c r="BE312"/>
  <c r="BE346"/>
  <c r="BE344"/>
  <c r="BE332"/>
  <c r="BE322"/>
  <c r="BE314"/>
  <c r="BE361"/>
  <c r="BE343"/>
  <c r="BE336"/>
  <c r="BE329"/>
  <c r="BE319"/>
  <c r="BE311"/>
  <c r="BE401"/>
  <c r="BE339"/>
  <c r="BE331"/>
  <c r="BE321"/>
  <c r="BE367"/>
  <c r="BE363"/>
  <c r="BE328"/>
  <c r="BE318"/>
  <c r="BE298"/>
  <c r="BE288"/>
  <c r="BE280"/>
  <c r="BE270"/>
  <c r="BE262"/>
  <c r="BE364"/>
  <c r="BE352"/>
  <c r="BE335"/>
  <c r="BE334"/>
  <c r="BE327"/>
  <c r="BE326"/>
  <c r="BE317"/>
  <c r="BE307"/>
  <c r="BE303"/>
  <c r="BE295"/>
  <c r="BE285"/>
  <c r="BE276" i="3"/>
  <c r="BE276" i="2" s="1"/>
  <c r="BE277"/>
  <c r="BE275"/>
  <c r="BE267"/>
  <c r="BE351"/>
  <c r="BE333"/>
  <c r="BE324" i="3"/>
  <c r="BE324" i="2" s="1"/>
  <c r="BE325"/>
  <c r="BE316"/>
  <c r="BE306"/>
  <c r="BE300"/>
  <c r="BE290"/>
  <c r="BE282"/>
  <c r="BE272"/>
  <c r="BE264"/>
  <c r="BE390"/>
  <c r="BE378"/>
  <c r="BE323"/>
  <c r="BE308" i="3"/>
  <c r="BE308" i="2" s="1"/>
  <c r="BE309"/>
  <c r="BE299"/>
  <c r="BE289"/>
  <c r="BE281"/>
  <c r="BE271"/>
  <c r="BE263"/>
  <c r="BE337"/>
  <c r="BE315"/>
  <c r="BE313"/>
  <c r="BE301"/>
  <c r="BE292" i="3"/>
  <c r="BE292" i="2" s="1"/>
  <c r="BE293"/>
  <c r="BE287"/>
  <c r="BE279"/>
  <c r="BE273"/>
  <c r="BE265"/>
  <c r="BE257"/>
  <c r="BE249"/>
  <c r="BE239"/>
  <c r="BE231"/>
  <c r="BE286"/>
  <c r="BE278"/>
  <c r="BE259"/>
  <c r="BE251"/>
  <c r="BE241"/>
  <c r="BE233"/>
  <c r="BE354"/>
  <c r="BE345"/>
  <c r="BE284"/>
  <c r="BE256"/>
  <c r="BE248"/>
  <c r="BE238"/>
  <c r="BE230"/>
  <c r="BE340" i="3"/>
  <c r="BE340" i="2" s="1"/>
  <c r="BE341"/>
  <c r="BE258"/>
  <c r="BE250"/>
  <c r="BE240"/>
  <c r="BE232"/>
  <c r="BE269"/>
  <c r="BE268"/>
  <c r="BE266"/>
  <c r="BE237"/>
  <c r="BE226"/>
  <c r="BE217"/>
  <c r="BE207"/>
  <c r="BE199"/>
  <c r="BE189"/>
  <c r="BE274"/>
  <c r="BE243"/>
  <c r="BE236"/>
  <c r="BE235"/>
  <c r="BE225"/>
  <c r="BE222"/>
  <c r="BE214"/>
  <c r="BE204"/>
  <c r="BE242"/>
  <c r="BE234"/>
  <c r="BE219"/>
  <c r="BE209"/>
  <c r="BE201"/>
  <c r="BE191"/>
  <c r="BE310"/>
  <c r="BE297"/>
  <c r="BE296"/>
  <c r="BE294"/>
  <c r="BE228" i="3"/>
  <c r="BE228" i="2" s="1"/>
  <c r="BE229"/>
  <c r="BE224"/>
  <c r="BE223"/>
  <c r="BE216"/>
  <c r="BE206"/>
  <c r="BE198"/>
  <c r="BE188"/>
  <c r="BE218"/>
  <c r="BE211"/>
  <c r="BE203"/>
  <c r="BE180" i="3"/>
  <c r="BE180" i="2" s="1"/>
  <c r="BE181"/>
  <c r="BE179"/>
  <c r="BE171"/>
  <c r="BE161"/>
  <c r="BE153"/>
  <c r="BE186"/>
  <c r="BE176"/>
  <c r="BE168"/>
  <c r="BE158"/>
  <c r="BE150"/>
  <c r="BE353"/>
  <c r="BE227"/>
  <c r="BE208"/>
  <c r="BE200"/>
  <c r="BE193"/>
  <c r="BE178"/>
  <c r="BE170"/>
  <c r="BE160"/>
  <c r="BE152"/>
  <c r="BE305"/>
  <c r="BE304"/>
  <c r="BE302"/>
  <c r="BE291"/>
  <c r="BE253"/>
  <c r="BE244" i="3"/>
  <c r="BE244" i="2" s="1"/>
  <c r="BE245"/>
  <c r="BE221"/>
  <c r="BE212" i="3"/>
  <c r="BE212" i="2" s="1"/>
  <c r="BE213"/>
  <c r="BE192"/>
  <c r="BE182"/>
  <c r="BE172"/>
  <c r="BE162"/>
  <c r="BE154"/>
  <c r="BE283"/>
  <c r="BE215"/>
  <c r="BE159"/>
  <c r="BE141"/>
  <c r="BE132" i="3"/>
  <c r="BE132" i="2" s="1"/>
  <c r="BE133"/>
  <c r="BE131"/>
  <c r="BE123"/>
  <c r="BE113"/>
  <c r="BE105"/>
  <c r="BE95"/>
  <c r="BE87"/>
  <c r="BE77"/>
  <c r="BE68" i="3"/>
  <c r="BE68" i="2" s="1"/>
  <c r="BE69"/>
  <c r="BE67"/>
  <c r="BE59"/>
  <c r="BE49"/>
  <c r="BE255"/>
  <c r="BE210"/>
  <c r="BE205"/>
  <c r="BE202"/>
  <c r="BE196" i="3"/>
  <c r="BE196" i="2" s="1"/>
  <c r="BE197"/>
  <c r="BE190"/>
  <c r="BE184"/>
  <c r="BE183"/>
  <c r="BE157"/>
  <c r="BE143"/>
  <c r="BE135"/>
  <c r="BE125"/>
  <c r="BE116" i="3"/>
  <c r="BE116" i="2" s="1"/>
  <c r="BE117"/>
  <c r="BE115"/>
  <c r="BE107"/>
  <c r="BE97"/>
  <c r="BE89"/>
  <c r="BE79"/>
  <c r="BE71"/>
  <c r="BE61"/>
  <c r="BE52" i="3"/>
  <c r="BE52" i="2" s="1"/>
  <c r="BE53"/>
  <c r="BE51"/>
  <c r="BE43"/>
  <c r="BE195"/>
  <c r="BE194"/>
  <c r="BE187"/>
  <c r="BE163"/>
  <c r="BE156"/>
  <c r="BE155"/>
  <c r="BE140"/>
  <c r="BE130"/>
  <c r="BE122"/>
  <c r="BE112"/>
  <c r="BE104"/>
  <c r="BE94"/>
  <c r="BE86"/>
  <c r="BE76"/>
  <c r="BE66"/>
  <c r="BE58"/>
  <c r="BE48"/>
  <c r="BE142"/>
  <c r="BE134"/>
  <c r="BE124"/>
  <c r="BE114"/>
  <c r="BE106"/>
  <c r="BE96"/>
  <c r="BE88"/>
  <c r="BE78"/>
  <c r="BE70"/>
  <c r="BE60"/>
  <c r="BE50"/>
  <c r="BE42"/>
  <c r="BE246"/>
  <c r="BE177"/>
  <c r="BE174"/>
  <c r="BE173"/>
  <c r="BE167"/>
  <c r="BE146"/>
  <c r="BE145"/>
  <c r="BE138"/>
  <c r="BE137"/>
  <c r="BE82"/>
  <c r="BE81"/>
  <c r="BE74"/>
  <c r="BE73"/>
  <c r="BE38"/>
  <c r="BE28"/>
  <c r="BE18"/>
  <c r="BE10"/>
  <c r="BE254"/>
  <c r="BE169"/>
  <c r="BE166"/>
  <c r="BE164" i="3"/>
  <c r="BE164" i="2" s="1"/>
  <c r="BE165"/>
  <c r="BE144"/>
  <c r="BE136"/>
  <c r="BE111"/>
  <c r="BE103"/>
  <c r="BE80"/>
  <c r="BE72"/>
  <c r="BE47"/>
  <c r="BE33"/>
  <c r="BE25"/>
  <c r="BE15"/>
  <c r="BE110"/>
  <c r="BE109"/>
  <c r="BE102"/>
  <c r="BE100" i="3"/>
  <c r="BE100" i="2" s="1"/>
  <c r="BE101"/>
  <c r="BE46"/>
  <c r="BE45"/>
  <c r="BE40"/>
  <c r="BE30"/>
  <c r="BE22"/>
  <c r="BE12"/>
  <c r="BE220"/>
  <c r="BE108"/>
  <c r="BE44"/>
  <c r="BE36" i="3"/>
  <c r="BE36" i="2" s="1"/>
  <c r="BE37"/>
  <c r="BE35"/>
  <c r="BE27"/>
  <c r="BE17"/>
  <c r="BE9"/>
  <c r="BE32"/>
  <c r="BE24"/>
  <c r="BE260" i="3"/>
  <c r="BE260" i="2" s="1"/>
  <c r="BE261"/>
  <c r="BE185"/>
  <c r="BE175"/>
  <c r="BE147"/>
  <c r="BE83"/>
  <c r="BE31"/>
  <c r="BE23"/>
  <c r="BE16"/>
  <c r="BE8"/>
  <c r="BE139"/>
  <c r="BE119"/>
  <c r="BE118"/>
  <c r="BE75"/>
  <c r="BE55"/>
  <c r="BE54"/>
  <c r="BE29"/>
  <c r="BE20" i="3"/>
  <c r="BE20" i="2" s="1"/>
  <c r="BE21"/>
  <c r="BE14"/>
  <c r="BE7"/>
  <c r="BE121"/>
  <c r="BE120"/>
  <c r="BE151"/>
  <c r="BE90"/>
  <c r="BE57"/>
  <c r="BE56"/>
  <c r="BE127"/>
  <c r="BE126"/>
  <c r="BE98"/>
  <c r="BE91"/>
  <c r="BE34"/>
  <c r="BE247"/>
  <c r="BE148" i="3"/>
  <c r="BE148" i="2" s="1"/>
  <c r="BE149"/>
  <c r="BE93"/>
  <c r="BE65"/>
  <c r="BE19"/>
  <c r="BE11"/>
  <c r="BE64"/>
  <c r="BE41"/>
  <c r="BE39"/>
  <c r="BE128"/>
  <c r="BE26"/>
  <c r="BE84" i="3"/>
  <c r="BE84" i="2" s="1"/>
  <c r="BE85"/>
  <c r="BE63"/>
  <c r="BE252"/>
  <c r="BE6"/>
  <c r="BE99"/>
  <c r="BE13"/>
  <c r="BE129"/>
  <c r="BE62"/>
  <c r="BE92"/>
  <c r="BE4" i="3"/>
  <c r="BE4" i="2" s="1"/>
  <c r="BE5"/>
  <c r="W397"/>
  <c r="W388" i="3"/>
  <c r="W388" i="2" s="1"/>
  <c r="W389"/>
  <c r="W387"/>
  <c r="W379"/>
  <c r="W402"/>
  <c r="W394"/>
  <c r="W382"/>
  <c r="W374"/>
  <c r="W368"/>
  <c r="W399"/>
  <c r="W391"/>
  <c r="W385"/>
  <c r="W377"/>
  <c r="W396"/>
  <c r="W380"/>
  <c r="W378"/>
  <c r="W376"/>
  <c r="W369"/>
  <c r="W401"/>
  <c r="W390"/>
  <c r="W362"/>
  <c r="W395"/>
  <c r="W375"/>
  <c r="W372" i="3"/>
  <c r="W372" i="2" s="1"/>
  <c r="W373"/>
  <c r="W367"/>
  <c r="W359"/>
  <c r="W400"/>
  <c r="W364"/>
  <c r="W354"/>
  <c r="W398"/>
  <c r="W371"/>
  <c r="W363"/>
  <c r="W358"/>
  <c r="W355"/>
  <c r="W350"/>
  <c r="W342"/>
  <c r="W356" i="3"/>
  <c r="W356" i="2" s="1"/>
  <c r="W357"/>
  <c r="W352"/>
  <c r="W344"/>
  <c r="W403"/>
  <c r="W392"/>
  <c r="W383"/>
  <c r="W361"/>
  <c r="W349"/>
  <c r="W360"/>
  <c r="W353"/>
  <c r="W351"/>
  <c r="W370"/>
  <c r="W347"/>
  <c r="W337"/>
  <c r="W332"/>
  <c r="W322"/>
  <c r="W314"/>
  <c r="W393"/>
  <c r="W384"/>
  <c r="W366"/>
  <c r="W334"/>
  <c r="W326"/>
  <c r="W316"/>
  <c r="W306"/>
  <c r="W386"/>
  <c r="W381"/>
  <c r="W339"/>
  <c r="W331"/>
  <c r="W321"/>
  <c r="W313"/>
  <c r="W340" i="3"/>
  <c r="W340" i="2" s="1"/>
  <c r="W341"/>
  <c r="W333"/>
  <c r="W324" i="3"/>
  <c r="W324" i="2" s="1"/>
  <c r="W325"/>
  <c r="W323"/>
  <c r="W345"/>
  <c r="W335"/>
  <c r="W327"/>
  <c r="W308" i="3"/>
  <c r="W308" i="2" s="1"/>
  <c r="W309"/>
  <c r="W300"/>
  <c r="W290"/>
  <c r="W282"/>
  <c r="W272"/>
  <c r="W264"/>
  <c r="W319"/>
  <c r="W305"/>
  <c r="W297"/>
  <c r="W287"/>
  <c r="W279"/>
  <c r="W269"/>
  <c r="W260" i="3"/>
  <c r="W260" i="2" s="1"/>
  <c r="W261"/>
  <c r="W348"/>
  <c r="W338"/>
  <c r="W318"/>
  <c r="W302"/>
  <c r="W294"/>
  <c r="W284"/>
  <c r="W274"/>
  <c r="W266"/>
  <c r="W343"/>
  <c r="W311"/>
  <c r="W301"/>
  <c r="W292" i="3"/>
  <c r="W292" i="2" s="1"/>
  <c r="W293"/>
  <c r="W291"/>
  <c r="W283"/>
  <c r="W273"/>
  <c r="W265"/>
  <c r="W320"/>
  <c r="W307"/>
  <c r="W262"/>
  <c r="W259"/>
  <c r="W251"/>
  <c r="W241"/>
  <c r="W233"/>
  <c r="W312"/>
  <c r="W298"/>
  <c r="W285"/>
  <c r="W276" i="3"/>
  <c r="W276" i="2" s="1"/>
  <c r="W277"/>
  <c r="W270"/>
  <c r="W253"/>
  <c r="W244" i="3"/>
  <c r="W244" i="2" s="1"/>
  <c r="W245"/>
  <c r="W243"/>
  <c r="W235"/>
  <c r="W225"/>
  <c r="W365"/>
  <c r="W310"/>
  <c r="W258"/>
  <c r="W250"/>
  <c r="W240"/>
  <c r="W232"/>
  <c r="W329"/>
  <c r="W328"/>
  <c r="W315"/>
  <c r="W304"/>
  <c r="W296"/>
  <c r="W289"/>
  <c r="W281"/>
  <c r="W268"/>
  <c r="W252"/>
  <c r="W242"/>
  <c r="W234"/>
  <c r="W330"/>
  <c r="W317"/>
  <c r="W275"/>
  <c r="W271"/>
  <c r="W236"/>
  <c r="W219"/>
  <c r="W209"/>
  <c r="W201"/>
  <c r="W191"/>
  <c r="W257"/>
  <c r="W249"/>
  <c r="W227"/>
  <c r="W216"/>
  <c r="W206"/>
  <c r="W198"/>
  <c r="W295"/>
  <c r="W231"/>
  <c r="W221"/>
  <c r="W212" i="3"/>
  <c r="W212" i="2" s="1"/>
  <c r="W213"/>
  <c r="W211"/>
  <c r="W203"/>
  <c r="W193"/>
  <c r="W346"/>
  <c r="W336"/>
  <c r="W303"/>
  <c r="W299"/>
  <c r="W256"/>
  <c r="W248"/>
  <c r="W226"/>
  <c r="W218"/>
  <c r="W208"/>
  <c r="W200"/>
  <c r="W190"/>
  <c r="W217"/>
  <c r="W210"/>
  <c r="W202"/>
  <c r="W195"/>
  <c r="W189"/>
  <c r="W183"/>
  <c r="W173"/>
  <c r="W164" i="3"/>
  <c r="W164" i="2" s="1"/>
  <c r="W165"/>
  <c r="W163"/>
  <c r="W155"/>
  <c r="W288"/>
  <c r="W286"/>
  <c r="W178"/>
  <c r="W170"/>
  <c r="W160"/>
  <c r="W152"/>
  <c r="W280"/>
  <c r="W207"/>
  <c r="W199"/>
  <c r="W182"/>
  <c r="W172"/>
  <c r="W162"/>
  <c r="W154"/>
  <c r="W255"/>
  <c r="W254"/>
  <c r="W247"/>
  <c r="W246"/>
  <c r="W239"/>
  <c r="W220"/>
  <c r="W205"/>
  <c r="W196" i="3"/>
  <c r="W196" i="2" s="1"/>
  <c r="W197"/>
  <c r="W194"/>
  <c r="W184"/>
  <c r="W174"/>
  <c r="W166"/>
  <c r="W156"/>
  <c r="W192"/>
  <c r="W186"/>
  <c r="W185"/>
  <c r="W179"/>
  <c r="W171"/>
  <c r="W151"/>
  <c r="W143"/>
  <c r="W135"/>
  <c r="W125"/>
  <c r="W116" i="3"/>
  <c r="W116" i="2" s="1"/>
  <c r="W117"/>
  <c r="W115"/>
  <c r="W107"/>
  <c r="W97"/>
  <c r="W89"/>
  <c r="W79"/>
  <c r="W71"/>
  <c r="W61"/>
  <c r="W52" i="3"/>
  <c r="W52" i="2" s="1"/>
  <c r="W53"/>
  <c r="W51"/>
  <c r="W43"/>
  <c r="W230"/>
  <c r="W204"/>
  <c r="W145"/>
  <c r="W137"/>
  <c r="W127"/>
  <c r="W119"/>
  <c r="W109"/>
  <c r="W100" i="3"/>
  <c r="W100" i="2" s="1"/>
  <c r="W101"/>
  <c r="W99"/>
  <c r="W91"/>
  <c r="W81"/>
  <c r="W73"/>
  <c r="W63"/>
  <c r="W55"/>
  <c r="W45"/>
  <c r="W180" i="3"/>
  <c r="W180" i="2" s="1"/>
  <c r="W181"/>
  <c r="W177"/>
  <c r="W169"/>
  <c r="W150"/>
  <c r="W142"/>
  <c r="W134"/>
  <c r="W124"/>
  <c r="W114"/>
  <c r="W106"/>
  <c r="W96"/>
  <c r="W88"/>
  <c r="W78"/>
  <c r="W70"/>
  <c r="W60"/>
  <c r="W50"/>
  <c r="W42"/>
  <c r="W278"/>
  <c r="W263"/>
  <c r="W187"/>
  <c r="W176"/>
  <c r="W175"/>
  <c r="W168"/>
  <c r="W167"/>
  <c r="W144"/>
  <c r="W136"/>
  <c r="W126"/>
  <c r="W118"/>
  <c r="W108"/>
  <c r="W98"/>
  <c r="W90"/>
  <c r="W80"/>
  <c r="W72"/>
  <c r="W62"/>
  <c r="W54"/>
  <c r="W44"/>
  <c r="W222"/>
  <c r="W214"/>
  <c r="W153"/>
  <c r="W131"/>
  <c r="W123"/>
  <c r="W111"/>
  <c r="W103"/>
  <c r="W95"/>
  <c r="W87"/>
  <c r="W67"/>
  <c r="W59"/>
  <c r="W47"/>
  <c r="W40"/>
  <c r="W30"/>
  <c r="W22"/>
  <c r="W12"/>
  <c r="W267"/>
  <c r="W223"/>
  <c r="W215"/>
  <c r="W161"/>
  <c r="W159"/>
  <c r="W110"/>
  <c r="W102"/>
  <c r="W46"/>
  <c r="W36" i="3"/>
  <c r="W36" i="2" s="1"/>
  <c r="W37"/>
  <c r="W35"/>
  <c r="W27"/>
  <c r="W17"/>
  <c r="W237"/>
  <c r="W228" i="3"/>
  <c r="W228" i="2" s="1"/>
  <c r="W229"/>
  <c r="W158"/>
  <c r="W157"/>
  <c r="W130"/>
  <c r="W122"/>
  <c r="W94"/>
  <c r="W86"/>
  <c r="W66"/>
  <c r="W58"/>
  <c r="W32"/>
  <c r="W24"/>
  <c r="W14"/>
  <c r="W6"/>
  <c r="W148" i="3"/>
  <c r="W148" i="2" s="1"/>
  <c r="W149"/>
  <c r="W141"/>
  <c r="W132" i="3"/>
  <c r="W132" i="2" s="1"/>
  <c r="W133"/>
  <c r="W129"/>
  <c r="W121"/>
  <c r="W93"/>
  <c r="W84" i="3"/>
  <c r="W84" i="2" s="1"/>
  <c r="W85"/>
  <c r="W77"/>
  <c r="W68" i="3"/>
  <c r="W68" i="2" s="1"/>
  <c r="W69"/>
  <c r="W65"/>
  <c r="W57"/>
  <c r="W39"/>
  <c r="W29"/>
  <c r="W20" i="3"/>
  <c r="W20" i="2" s="1"/>
  <c r="W21"/>
  <c r="W19"/>
  <c r="W11"/>
  <c r="W147"/>
  <c r="W83"/>
  <c r="W31"/>
  <c r="W23"/>
  <c r="W16"/>
  <c r="W4" i="3"/>
  <c r="W4" i="2" s="1"/>
  <c r="W5"/>
  <c r="W146"/>
  <c r="W140"/>
  <c r="W82"/>
  <c r="W76"/>
  <c r="W10"/>
  <c r="W139"/>
  <c r="W75"/>
  <c r="W15"/>
  <c r="W224"/>
  <c r="W138"/>
  <c r="W120"/>
  <c r="W113"/>
  <c r="W105"/>
  <c r="W74"/>
  <c r="W56"/>
  <c r="W49"/>
  <c r="W41"/>
  <c r="W28"/>
  <c r="W13"/>
  <c r="W9"/>
  <c r="W104"/>
  <c r="W34"/>
  <c r="W26"/>
  <c r="W33"/>
  <c r="W8"/>
  <c r="W238"/>
  <c r="W188"/>
  <c r="W112"/>
  <c r="W18"/>
  <c r="W48"/>
  <c r="W92"/>
  <c r="W25"/>
  <c r="W128"/>
  <c r="W7"/>
  <c r="W38"/>
  <c r="W64"/>
  <c r="V402"/>
  <c r="V394"/>
  <c r="V382"/>
  <c r="V374"/>
  <c r="V399"/>
  <c r="V391"/>
  <c r="V385"/>
  <c r="V377"/>
  <c r="V396"/>
  <c r="V380"/>
  <c r="V370"/>
  <c r="V401"/>
  <c r="V390"/>
  <c r="V395"/>
  <c r="V387"/>
  <c r="V375"/>
  <c r="V372" i="3"/>
  <c r="V372" i="2" s="1"/>
  <c r="V373"/>
  <c r="V367"/>
  <c r="V359"/>
  <c r="V400"/>
  <c r="V368"/>
  <c r="V364"/>
  <c r="V354"/>
  <c r="V388" i="3"/>
  <c r="V388" i="2" s="1"/>
  <c r="V389"/>
  <c r="V386"/>
  <c r="V384"/>
  <c r="V361"/>
  <c r="V381"/>
  <c r="V347"/>
  <c r="V337"/>
  <c r="V403"/>
  <c r="V392"/>
  <c r="V383"/>
  <c r="V362"/>
  <c r="V349"/>
  <c r="V340" i="3"/>
  <c r="V340" i="2" s="1"/>
  <c r="V341"/>
  <c r="V339"/>
  <c r="V366"/>
  <c r="V346"/>
  <c r="V397"/>
  <c r="V393"/>
  <c r="V379"/>
  <c r="V365"/>
  <c r="V348"/>
  <c r="V343"/>
  <c r="V329"/>
  <c r="V319"/>
  <c r="V311"/>
  <c r="V356" i="3"/>
  <c r="V356" i="2" s="1"/>
  <c r="V357"/>
  <c r="V352"/>
  <c r="V351"/>
  <c r="V331"/>
  <c r="V321"/>
  <c r="V313"/>
  <c r="V378"/>
  <c r="V376"/>
  <c r="V369"/>
  <c r="V360"/>
  <c r="V353"/>
  <c r="V350"/>
  <c r="V345"/>
  <c r="V342"/>
  <c r="V336"/>
  <c r="V328"/>
  <c r="V318"/>
  <c r="V310"/>
  <c r="V358"/>
  <c r="V355"/>
  <c r="V344"/>
  <c r="V338"/>
  <c r="V330"/>
  <c r="V398"/>
  <c r="V334"/>
  <c r="V333"/>
  <c r="V326"/>
  <c r="V324" i="3"/>
  <c r="V324" i="2" s="1"/>
  <c r="V325"/>
  <c r="V305"/>
  <c r="V297"/>
  <c r="V287"/>
  <c r="V279"/>
  <c r="V269"/>
  <c r="V260" i="3"/>
  <c r="V260" i="2" s="1"/>
  <c r="V261"/>
  <c r="V332"/>
  <c r="V306"/>
  <c r="V302"/>
  <c r="V294"/>
  <c r="V284"/>
  <c r="V274"/>
  <c r="V266"/>
  <c r="V363"/>
  <c r="V312"/>
  <c r="V299"/>
  <c r="V289"/>
  <c r="V281"/>
  <c r="V271"/>
  <c r="V263"/>
  <c r="V316"/>
  <c r="V315"/>
  <c r="V298"/>
  <c r="V288"/>
  <c r="V280"/>
  <c r="V270"/>
  <c r="V308" i="3"/>
  <c r="V308" i="2" s="1"/>
  <c r="V309"/>
  <c r="V300"/>
  <c r="V286"/>
  <c r="V278"/>
  <c r="V272"/>
  <c r="V264"/>
  <c r="V256"/>
  <c r="V248"/>
  <c r="V238"/>
  <c r="V230"/>
  <c r="V291"/>
  <c r="V283"/>
  <c r="V258"/>
  <c r="V250"/>
  <c r="V240"/>
  <c r="V232"/>
  <c r="V255"/>
  <c r="V247"/>
  <c r="V237"/>
  <c r="V228" i="3"/>
  <c r="V228" i="2" s="1"/>
  <c r="V229"/>
  <c r="V227"/>
  <c r="V327"/>
  <c r="V317"/>
  <c r="V303"/>
  <c r="V295"/>
  <c r="V275"/>
  <c r="V267"/>
  <c r="V257"/>
  <c r="V249"/>
  <c r="V239"/>
  <c r="V371"/>
  <c r="V323"/>
  <c r="V314"/>
  <c r="V243"/>
  <c r="V242"/>
  <c r="V235"/>
  <c r="V234"/>
  <c r="V216"/>
  <c r="V206"/>
  <c r="V198"/>
  <c r="V188"/>
  <c r="V292" i="3"/>
  <c r="V292" i="2" s="1"/>
  <c r="V293"/>
  <c r="V241"/>
  <c r="V233"/>
  <c r="V231"/>
  <c r="V221"/>
  <c r="V212" i="3"/>
  <c r="V212" i="2" s="1"/>
  <c r="V213"/>
  <c r="V211"/>
  <c r="V203"/>
  <c r="V301"/>
  <c r="V296"/>
  <c r="V226"/>
  <c r="V218"/>
  <c r="V208"/>
  <c r="V200"/>
  <c r="V335"/>
  <c r="V304"/>
  <c r="V223"/>
  <c r="V215"/>
  <c r="V205"/>
  <c r="V196" i="3"/>
  <c r="V196" i="2" s="1"/>
  <c r="V197"/>
  <c r="V195"/>
  <c r="V285"/>
  <c r="V273"/>
  <c r="V225"/>
  <c r="V191"/>
  <c r="V178"/>
  <c r="V170"/>
  <c r="V160"/>
  <c r="V152"/>
  <c r="V320"/>
  <c r="V307"/>
  <c r="V290"/>
  <c r="V276" i="3"/>
  <c r="V276" i="2" s="1"/>
  <c r="V277"/>
  <c r="V209"/>
  <c r="V201"/>
  <c r="V187"/>
  <c r="V185"/>
  <c r="V175"/>
  <c r="V167"/>
  <c r="V157"/>
  <c r="V268"/>
  <c r="V262"/>
  <c r="V224"/>
  <c r="V222"/>
  <c r="V214"/>
  <c r="V177"/>
  <c r="V169"/>
  <c r="V159"/>
  <c r="V151"/>
  <c r="V282"/>
  <c r="V259"/>
  <c r="V251"/>
  <c r="V190"/>
  <c r="V180" i="3"/>
  <c r="V180" i="2" s="1"/>
  <c r="V181"/>
  <c r="V179"/>
  <c r="V171"/>
  <c r="V161"/>
  <c r="V153"/>
  <c r="V207"/>
  <c r="V199"/>
  <c r="V194"/>
  <c r="V184"/>
  <c r="V158"/>
  <c r="V140"/>
  <c r="V130"/>
  <c r="V122"/>
  <c r="V112"/>
  <c r="V104"/>
  <c r="V94"/>
  <c r="V86"/>
  <c r="V76"/>
  <c r="V66"/>
  <c r="V58"/>
  <c r="V48"/>
  <c r="V322"/>
  <c r="V182"/>
  <c r="V163"/>
  <c r="V155"/>
  <c r="V150"/>
  <c r="V142"/>
  <c r="V134"/>
  <c r="V124"/>
  <c r="V114"/>
  <c r="V106"/>
  <c r="V96"/>
  <c r="V88"/>
  <c r="V78"/>
  <c r="V70"/>
  <c r="V60"/>
  <c r="V50"/>
  <c r="V42"/>
  <c r="V162"/>
  <c r="V154"/>
  <c r="V148" i="3"/>
  <c r="V148" i="2" s="1"/>
  <c r="V149"/>
  <c r="V147"/>
  <c r="V139"/>
  <c r="V129"/>
  <c r="V121"/>
  <c r="V111"/>
  <c r="V103"/>
  <c r="V93"/>
  <c r="V84" i="3"/>
  <c r="V84" i="2" s="1"/>
  <c r="V85"/>
  <c r="V83"/>
  <c r="V75"/>
  <c r="V65"/>
  <c r="V57"/>
  <c r="V47"/>
  <c r="V189"/>
  <c r="V174"/>
  <c r="V166"/>
  <c r="V141"/>
  <c r="V132" i="3"/>
  <c r="V132" i="2" s="1"/>
  <c r="V133"/>
  <c r="V131"/>
  <c r="V123"/>
  <c r="V113"/>
  <c r="V105"/>
  <c r="V95"/>
  <c r="V87"/>
  <c r="V77"/>
  <c r="V68" i="3"/>
  <c r="V68" i="2" s="1"/>
  <c r="V69"/>
  <c r="V67"/>
  <c r="V59"/>
  <c r="V49"/>
  <c r="V168"/>
  <c r="V164" i="3"/>
  <c r="V164" i="2" s="1"/>
  <c r="V165"/>
  <c r="V143"/>
  <c r="V135"/>
  <c r="V110"/>
  <c r="V102"/>
  <c r="V79"/>
  <c r="V71"/>
  <c r="V46"/>
  <c r="V36" i="3"/>
  <c r="V36" i="2" s="1"/>
  <c r="V37"/>
  <c r="V35"/>
  <c r="V27"/>
  <c r="V17"/>
  <c r="V9"/>
  <c r="V253"/>
  <c r="V156"/>
  <c r="V109"/>
  <c r="V108"/>
  <c r="V100" i="3"/>
  <c r="V100" i="2" s="1"/>
  <c r="V101"/>
  <c r="V45"/>
  <c r="V44"/>
  <c r="V32"/>
  <c r="V24"/>
  <c r="V14"/>
  <c r="V244" i="3"/>
  <c r="V244" i="2" s="1"/>
  <c r="V245"/>
  <c r="V115"/>
  <c r="V107"/>
  <c r="V51"/>
  <c r="V43"/>
  <c r="V39"/>
  <c r="V29"/>
  <c r="V20" i="3"/>
  <c r="V20" i="2" s="1"/>
  <c r="V21"/>
  <c r="V19"/>
  <c r="V11"/>
  <c r="V265"/>
  <c r="V217"/>
  <c r="V186"/>
  <c r="V128"/>
  <c r="V120"/>
  <c r="V92"/>
  <c r="V64"/>
  <c r="V56"/>
  <c r="V34"/>
  <c r="V26"/>
  <c r="V16"/>
  <c r="V8"/>
  <c r="V254"/>
  <c r="V246"/>
  <c r="V146"/>
  <c r="V82"/>
  <c r="V10"/>
  <c r="V252"/>
  <c r="V145"/>
  <c r="V144"/>
  <c r="V118"/>
  <c r="V116" i="3"/>
  <c r="V116" i="2" s="1"/>
  <c r="V117"/>
  <c r="V81"/>
  <c r="V80"/>
  <c r="V54"/>
  <c r="V52" i="3"/>
  <c r="V52" i="2" s="1"/>
  <c r="V53"/>
  <c r="V30"/>
  <c r="V22"/>
  <c r="V15"/>
  <c r="V220"/>
  <c r="V202"/>
  <c r="V193"/>
  <c r="V172"/>
  <c r="V138"/>
  <c r="V126"/>
  <c r="V125"/>
  <c r="V119"/>
  <c r="V74"/>
  <c r="V62"/>
  <c r="V61"/>
  <c r="V55"/>
  <c r="V41"/>
  <c r="V28"/>
  <c r="V13"/>
  <c r="V210"/>
  <c r="V173"/>
  <c r="V137"/>
  <c r="V136"/>
  <c r="V127"/>
  <c r="V73"/>
  <c r="V72"/>
  <c r="V63"/>
  <c r="V33"/>
  <c r="V236"/>
  <c r="V31"/>
  <c r="V25"/>
  <c r="V204"/>
  <c r="V91"/>
  <c r="V99"/>
  <c r="V12"/>
  <c r="V192"/>
  <c r="V98"/>
  <c r="V40"/>
  <c r="V38"/>
  <c r="V97"/>
  <c r="V89"/>
  <c r="V18"/>
  <c r="V219"/>
  <c r="V183"/>
  <c r="V7"/>
  <c r="V6"/>
  <c r="V4" i="3"/>
  <c r="V4" i="2" s="1"/>
  <c r="V5"/>
  <c r="V23"/>
  <c r="V176"/>
  <c r="V90"/>
  <c r="AE397"/>
  <c r="AE388" i="3"/>
  <c r="AE388" i="2" s="1"/>
  <c r="AE389"/>
  <c r="AE387"/>
  <c r="AE379"/>
  <c r="AE402"/>
  <c r="AE394"/>
  <c r="AE382"/>
  <c r="AE374"/>
  <c r="AE368"/>
  <c r="AE399"/>
  <c r="AE391"/>
  <c r="AE385"/>
  <c r="AE377"/>
  <c r="AE400"/>
  <c r="AE386"/>
  <c r="AE384"/>
  <c r="AE362"/>
  <c r="AE398"/>
  <c r="AE393"/>
  <c r="AE367"/>
  <c r="AE359"/>
  <c r="AE403"/>
  <c r="AE383"/>
  <c r="AE381"/>
  <c r="AE371"/>
  <c r="AE364"/>
  <c r="AE354"/>
  <c r="AE361"/>
  <c r="AE350"/>
  <c r="AE342"/>
  <c r="AE360"/>
  <c r="AE344"/>
  <c r="AE396"/>
  <c r="AE376"/>
  <c r="AE370"/>
  <c r="AE365"/>
  <c r="AE353"/>
  <c r="AE349"/>
  <c r="AE390"/>
  <c r="AE372" i="3"/>
  <c r="AE372" i="2" s="1"/>
  <c r="AE373"/>
  <c r="AE363"/>
  <c r="AE358"/>
  <c r="AE355"/>
  <c r="AE351"/>
  <c r="AE401"/>
  <c r="AE392"/>
  <c r="AE332"/>
  <c r="AE322"/>
  <c r="AE314"/>
  <c r="AE395"/>
  <c r="AE348"/>
  <c r="AE334"/>
  <c r="AE326"/>
  <c r="AE316"/>
  <c r="AE306"/>
  <c r="AE340" i="3"/>
  <c r="AE340" i="2" s="1"/>
  <c r="AE341"/>
  <c r="AE331"/>
  <c r="AE321"/>
  <c r="AE313"/>
  <c r="AE366"/>
  <c r="AE356" i="3"/>
  <c r="AE356" i="2" s="1"/>
  <c r="AE357"/>
  <c r="AE346"/>
  <c r="AE333"/>
  <c r="AE324" i="3"/>
  <c r="AE324" i="2" s="1"/>
  <c r="AE325"/>
  <c r="AE323"/>
  <c r="AE343"/>
  <c r="AE330"/>
  <c r="AE312"/>
  <c r="AE300"/>
  <c r="AE290"/>
  <c r="AE282"/>
  <c r="AE272"/>
  <c r="AE264"/>
  <c r="AE375"/>
  <c r="AE317"/>
  <c r="AE305"/>
  <c r="AE297"/>
  <c r="AE287"/>
  <c r="AE279"/>
  <c r="AE269"/>
  <c r="AE260" i="3"/>
  <c r="AE260" i="2" s="1"/>
  <c r="AE261"/>
  <c r="AE380"/>
  <c r="AE378"/>
  <c r="AE329"/>
  <c r="AE311"/>
  <c r="AE302"/>
  <c r="AE294"/>
  <c r="AE284"/>
  <c r="AE274"/>
  <c r="AE266"/>
  <c r="AE338"/>
  <c r="AE337"/>
  <c r="AE308" i="3"/>
  <c r="AE308" i="2" s="1"/>
  <c r="AE309"/>
  <c r="AE307"/>
  <c r="AE301"/>
  <c r="AE292" i="3"/>
  <c r="AE292" i="2" s="1"/>
  <c r="AE293"/>
  <c r="AE291"/>
  <c r="AE283"/>
  <c r="AE273"/>
  <c r="AE265"/>
  <c r="AE347"/>
  <c r="AE259"/>
  <c r="AE251"/>
  <c r="AE241"/>
  <c r="AE233"/>
  <c r="AE303"/>
  <c r="AE295"/>
  <c r="AE288"/>
  <c r="AE280"/>
  <c r="AE275"/>
  <c r="AE267"/>
  <c r="AE253"/>
  <c r="AE244" i="3"/>
  <c r="AE244" i="2" s="1"/>
  <c r="AE245"/>
  <c r="AE243"/>
  <c r="AE235"/>
  <c r="AE225"/>
  <c r="AE339"/>
  <c r="AE258"/>
  <c r="AE250"/>
  <c r="AE240"/>
  <c r="AE232"/>
  <c r="AE336"/>
  <c r="AE310"/>
  <c r="AE299"/>
  <c r="AE286"/>
  <c r="AE278"/>
  <c r="AE271"/>
  <c r="AE263"/>
  <c r="AE262"/>
  <c r="AE252"/>
  <c r="AE242"/>
  <c r="AE234"/>
  <c r="AE352"/>
  <c r="AE328"/>
  <c r="AE327"/>
  <c r="AE276" i="3"/>
  <c r="AE276" i="2" s="1"/>
  <c r="AE277"/>
  <c r="AE255"/>
  <c r="AE247"/>
  <c r="AE239"/>
  <c r="AE226"/>
  <c r="AE219"/>
  <c r="AE209"/>
  <c r="AE201"/>
  <c r="AE191"/>
  <c r="AE270"/>
  <c r="AE254"/>
  <c r="AE246"/>
  <c r="AE230"/>
  <c r="AE216"/>
  <c r="AE206"/>
  <c r="AE198"/>
  <c r="AE268"/>
  <c r="AE238"/>
  <c r="AE228" i="3"/>
  <c r="AE228" i="2" s="1"/>
  <c r="AE229"/>
  <c r="AE224"/>
  <c r="AE221"/>
  <c r="AE212" i="3"/>
  <c r="AE212" i="2" s="1"/>
  <c r="AE213"/>
  <c r="AE211"/>
  <c r="AE203"/>
  <c r="AE193"/>
  <c r="AE369"/>
  <c r="AE318"/>
  <c r="AE315"/>
  <c r="AE237"/>
  <c r="AE218"/>
  <c r="AE208"/>
  <c r="AE200"/>
  <c r="AE190"/>
  <c r="AE257"/>
  <c r="AE249"/>
  <c r="AE236"/>
  <c r="AE222"/>
  <c r="AE214"/>
  <c r="AE188"/>
  <c r="AE183"/>
  <c r="AE173"/>
  <c r="AE164" i="3"/>
  <c r="AE164" i="2" s="1"/>
  <c r="AE165"/>
  <c r="AE163"/>
  <c r="AE155"/>
  <c r="AE298"/>
  <c r="AE256"/>
  <c r="AE248"/>
  <c r="AE231"/>
  <c r="AE220"/>
  <c r="AE205"/>
  <c r="AE196" i="3"/>
  <c r="AE196" i="2" s="1"/>
  <c r="AE197"/>
  <c r="AE187"/>
  <c r="AE178"/>
  <c r="AE170"/>
  <c r="AE160"/>
  <c r="AE152"/>
  <c r="AE304"/>
  <c r="AE289"/>
  <c r="AE204"/>
  <c r="AE182"/>
  <c r="AE172"/>
  <c r="AE162"/>
  <c r="AE154"/>
  <c r="AE184"/>
  <c r="AE174"/>
  <c r="AE166"/>
  <c r="AE156"/>
  <c r="AE189"/>
  <c r="AE161"/>
  <c r="AE153"/>
  <c r="AE150"/>
  <c r="AE143"/>
  <c r="AE135"/>
  <c r="AE125"/>
  <c r="AE116" i="3"/>
  <c r="AE116" i="2" s="1"/>
  <c r="AE117"/>
  <c r="AE115"/>
  <c r="AE107"/>
  <c r="AE97"/>
  <c r="AE89"/>
  <c r="AE79"/>
  <c r="AE71"/>
  <c r="AE61"/>
  <c r="AE52" i="3"/>
  <c r="AE52" i="2" s="1"/>
  <c r="AE53"/>
  <c r="AE51"/>
  <c r="AE43"/>
  <c r="AE192"/>
  <c r="AE145"/>
  <c r="AE137"/>
  <c r="AE127"/>
  <c r="AE119"/>
  <c r="AE109"/>
  <c r="AE100" i="3"/>
  <c r="AE100" i="2" s="1"/>
  <c r="AE101"/>
  <c r="AE99"/>
  <c r="AE91"/>
  <c r="AE81"/>
  <c r="AE73"/>
  <c r="AE63"/>
  <c r="AE55"/>
  <c r="AE45"/>
  <c r="AE296"/>
  <c r="AE210"/>
  <c r="AE207"/>
  <c r="AE202"/>
  <c r="AE199"/>
  <c r="AE194"/>
  <c r="AE159"/>
  <c r="AE142"/>
  <c r="AE134"/>
  <c r="AE124"/>
  <c r="AE114"/>
  <c r="AE106"/>
  <c r="AE96"/>
  <c r="AE88"/>
  <c r="AE78"/>
  <c r="AE70"/>
  <c r="AE60"/>
  <c r="AE50"/>
  <c r="AE42"/>
  <c r="AE281"/>
  <c r="AE158"/>
  <c r="AE157"/>
  <c r="AE151"/>
  <c r="AE144"/>
  <c r="AE136"/>
  <c r="AE126"/>
  <c r="AE118"/>
  <c r="AE108"/>
  <c r="AE98"/>
  <c r="AE90"/>
  <c r="AE80"/>
  <c r="AE72"/>
  <c r="AE62"/>
  <c r="AE54"/>
  <c r="AE44"/>
  <c r="AE319"/>
  <c r="AE227"/>
  <c r="AE179"/>
  <c r="AE128"/>
  <c r="AE120"/>
  <c r="AE92"/>
  <c r="AE64"/>
  <c r="AE56"/>
  <c r="AE40"/>
  <c r="AE30"/>
  <c r="AE22"/>
  <c r="AE12"/>
  <c r="AE175"/>
  <c r="AE171"/>
  <c r="AE140"/>
  <c r="AE113"/>
  <c r="AE105"/>
  <c r="AE76"/>
  <c r="AE49"/>
  <c r="AE36" i="3"/>
  <c r="AE36" i="2" s="1"/>
  <c r="AE37"/>
  <c r="AE35"/>
  <c r="AE27"/>
  <c r="AE17"/>
  <c r="AE335"/>
  <c r="AE320"/>
  <c r="AE223"/>
  <c r="AE215"/>
  <c r="AE177"/>
  <c r="AE176"/>
  <c r="AE167"/>
  <c r="AE147"/>
  <c r="AE139"/>
  <c r="AE83"/>
  <c r="AE75"/>
  <c r="AE32"/>
  <c r="AE24"/>
  <c r="AE14"/>
  <c r="AE6"/>
  <c r="AE345"/>
  <c r="AE169"/>
  <c r="AE168"/>
  <c r="AE146"/>
  <c r="AE138"/>
  <c r="AE112"/>
  <c r="AE104"/>
  <c r="AE82"/>
  <c r="AE74"/>
  <c r="AE48"/>
  <c r="AE39"/>
  <c r="AE29"/>
  <c r="AE20" i="3"/>
  <c r="AE20" i="2" s="1"/>
  <c r="AE21"/>
  <c r="AE19"/>
  <c r="AE11"/>
  <c r="AE130"/>
  <c r="AE129"/>
  <c r="AE95"/>
  <c r="AE66"/>
  <c r="AE65"/>
  <c r="AE9"/>
  <c r="AE217"/>
  <c r="AE148" i="3"/>
  <c r="AE148" i="2" s="1"/>
  <c r="AE149"/>
  <c r="AE86"/>
  <c r="AE84" i="3"/>
  <c r="AE84" i="2" s="1"/>
  <c r="AE85"/>
  <c r="AE34"/>
  <c r="AE26"/>
  <c r="AE8"/>
  <c r="AE94"/>
  <c r="AE93"/>
  <c r="AE38"/>
  <c r="AE18"/>
  <c r="AE33"/>
  <c r="AE25"/>
  <c r="AE7"/>
  <c r="AE185"/>
  <c r="AE122"/>
  <c r="AE103"/>
  <c r="AE102"/>
  <c r="AE59"/>
  <c r="AE57"/>
  <c r="AE13"/>
  <c r="AE285"/>
  <c r="AE180" i="3"/>
  <c r="AE180" i="2" s="1"/>
  <c r="AE181"/>
  <c r="AE141"/>
  <c r="AE58"/>
  <c r="AE15"/>
  <c r="AE4" i="3"/>
  <c r="AE4" i="2" s="1"/>
  <c r="AE5"/>
  <c r="AE77"/>
  <c r="AE186"/>
  <c r="AE111"/>
  <c r="AE110"/>
  <c r="AE87"/>
  <c r="AE10"/>
  <c r="AE46"/>
  <c r="AE121"/>
  <c r="AE132" i="3"/>
  <c r="AE132" i="2" s="1"/>
  <c r="AE133"/>
  <c r="AE23"/>
  <c r="AE41"/>
  <c r="AE16"/>
  <c r="AE68" i="3"/>
  <c r="AE68" i="2" s="1"/>
  <c r="AE69"/>
  <c r="AE47"/>
  <c r="AE31"/>
  <c r="AE28"/>
  <c r="AE195"/>
  <c r="AE67"/>
  <c r="AE123"/>
  <c r="AE131"/>
  <c r="J398"/>
  <c r="J390"/>
  <c r="J386"/>
  <c r="J378"/>
  <c r="J403"/>
  <c r="J395"/>
  <c r="J381"/>
  <c r="J372" i="3"/>
  <c r="J372" i="2" s="1"/>
  <c r="J373"/>
  <c r="J369"/>
  <c r="J400"/>
  <c r="J392"/>
  <c r="J384"/>
  <c r="J376"/>
  <c r="J391"/>
  <c r="J387"/>
  <c r="J396"/>
  <c r="J382"/>
  <c r="J380"/>
  <c r="J363"/>
  <c r="J353"/>
  <c r="J401"/>
  <c r="J388" i="3"/>
  <c r="J388" i="2" s="1"/>
  <c r="J389"/>
  <c r="J371"/>
  <c r="J360"/>
  <c r="J394"/>
  <c r="J377"/>
  <c r="J375"/>
  <c r="J365"/>
  <c r="J356" i="3"/>
  <c r="J356" i="2" s="1"/>
  <c r="J357"/>
  <c r="J355"/>
  <c r="J399"/>
  <c r="J397"/>
  <c r="J383"/>
  <c r="J379"/>
  <c r="J351"/>
  <c r="J343"/>
  <c r="J367"/>
  <c r="J345"/>
  <c r="J402"/>
  <c r="J393"/>
  <c r="J385"/>
  <c r="J368"/>
  <c r="J350"/>
  <c r="J366"/>
  <c r="J352"/>
  <c r="J348"/>
  <c r="J333"/>
  <c r="J324" i="3"/>
  <c r="J324" i="2" s="1"/>
  <c r="J325"/>
  <c r="J323"/>
  <c r="J315"/>
  <c r="J358"/>
  <c r="J339"/>
  <c r="J335"/>
  <c r="J327"/>
  <c r="J317"/>
  <c r="J308" i="3"/>
  <c r="J308" i="2" s="1"/>
  <c r="J309"/>
  <c r="J307"/>
  <c r="J346"/>
  <c r="J332"/>
  <c r="J322"/>
  <c r="J314"/>
  <c r="J370"/>
  <c r="J344"/>
  <c r="J334"/>
  <c r="J326"/>
  <c r="J354"/>
  <c r="J342"/>
  <c r="J319"/>
  <c r="J301"/>
  <c r="J293"/>
  <c r="J292" i="3"/>
  <c r="J292" i="2" s="1"/>
  <c r="J291"/>
  <c r="J283"/>
  <c r="J273"/>
  <c r="J265"/>
  <c r="J340" i="3"/>
  <c r="J340" i="2" s="1"/>
  <c r="J341"/>
  <c r="J336"/>
  <c r="J328"/>
  <c r="J313"/>
  <c r="J298"/>
  <c r="J288"/>
  <c r="J280"/>
  <c r="J270"/>
  <c r="J262"/>
  <c r="J364"/>
  <c r="J303"/>
  <c r="J295"/>
  <c r="J285"/>
  <c r="J276" i="3"/>
  <c r="J276" i="2" s="1"/>
  <c r="J277"/>
  <c r="J275"/>
  <c r="J267"/>
  <c r="J338"/>
  <c r="J337"/>
  <c r="J316"/>
  <c r="J302"/>
  <c r="J294"/>
  <c r="J284"/>
  <c r="J274"/>
  <c r="J266"/>
  <c r="J359"/>
  <c r="J310"/>
  <c r="J252"/>
  <c r="J242"/>
  <c r="J234"/>
  <c r="J224"/>
  <c r="J329"/>
  <c r="J254"/>
  <c r="J246"/>
  <c r="J236"/>
  <c r="J226"/>
  <c r="J374"/>
  <c r="J361"/>
  <c r="J311"/>
  <c r="J306"/>
  <c r="J299"/>
  <c r="J286"/>
  <c r="J278"/>
  <c r="J271"/>
  <c r="J263"/>
  <c r="J259"/>
  <c r="J251"/>
  <c r="J241"/>
  <c r="J233"/>
  <c r="J321"/>
  <c r="J318"/>
  <c r="J305"/>
  <c r="J297"/>
  <c r="J290"/>
  <c r="J282"/>
  <c r="J269"/>
  <c r="J253"/>
  <c r="J244" i="3"/>
  <c r="J244" i="2" s="1"/>
  <c r="J245"/>
  <c r="J243"/>
  <c r="J235"/>
  <c r="J312"/>
  <c r="J296"/>
  <c r="J220"/>
  <c r="J210"/>
  <c r="J202"/>
  <c r="J192"/>
  <c r="J349"/>
  <c r="J304"/>
  <c r="J289"/>
  <c r="J287"/>
  <c r="J258"/>
  <c r="J250"/>
  <c r="J237"/>
  <c r="J217"/>
  <c r="J207"/>
  <c r="J199"/>
  <c r="J281"/>
  <c r="J279"/>
  <c r="J231"/>
  <c r="J227"/>
  <c r="J222"/>
  <c r="J214"/>
  <c r="J204"/>
  <c r="J194"/>
  <c r="J320"/>
  <c r="J264"/>
  <c r="J257"/>
  <c r="J249"/>
  <c r="J230"/>
  <c r="J219"/>
  <c r="J209"/>
  <c r="J201"/>
  <c r="J191"/>
  <c r="J347"/>
  <c r="J331"/>
  <c r="J300"/>
  <c r="J260" i="3"/>
  <c r="J260" i="2" s="1"/>
  <c r="J261"/>
  <c r="J205"/>
  <c r="J196" i="3"/>
  <c r="J196" i="2" s="1"/>
  <c r="J197"/>
  <c r="J188"/>
  <c r="J184"/>
  <c r="J174"/>
  <c r="J166"/>
  <c r="J156"/>
  <c r="J268"/>
  <c r="J218"/>
  <c r="J211"/>
  <c r="J203"/>
  <c r="J180" i="3"/>
  <c r="J180" i="2" s="1"/>
  <c r="J181"/>
  <c r="J179"/>
  <c r="J171"/>
  <c r="J161"/>
  <c r="J153"/>
  <c r="J362"/>
  <c r="J255"/>
  <c r="J247"/>
  <c r="J239"/>
  <c r="J238"/>
  <c r="J232"/>
  <c r="J228" i="3"/>
  <c r="J228" i="2" s="1"/>
  <c r="J229"/>
  <c r="J195"/>
  <c r="J183"/>
  <c r="J173"/>
  <c r="J164" i="3"/>
  <c r="J164" i="2" s="1"/>
  <c r="J165"/>
  <c r="J163"/>
  <c r="J155"/>
  <c r="J223"/>
  <c r="J215"/>
  <c r="J206"/>
  <c r="J198"/>
  <c r="J185"/>
  <c r="J175"/>
  <c r="J167"/>
  <c r="J157"/>
  <c r="J193"/>
  <c r="J190"/>
  <c r="J189"/>
  <c r="J187"/>
  <c r="J144"/>
  <c r="J136"/>
  <c r="J126"/>
  <c r="J118"/>
  <c r="J108"/>
  <c r="J98"/>
  <c r="J90"/>
  <c r="J80"/>
  <c r="J72"/>
  <c r="J62"/>
  <c r="J54"/>
  <c r="J44"/>
  <c r="J248"/>
  <c r="J158"/>
  <c r="J150"/>
  <c r="J146"/>
  <c r="J138"/>
  <c r="J128"/>
  <c r="J120"/>
  <c r="J110"/>
  <c r="J102"/>
  <c r="J92"/>
  <c r="J82"/>
  <c r="J74"/>
  <c r="J64"/>
  <c r="J56"/>
  <c r="J46"/>
  <c r="J178"/>
  <c r="J170"/>
  <c r="J143"/>
  <c r="J135"/>
  <c r="J125"/>
  <c r="J116" i="3"/>
  <c r="J116" i="2" s="1"/>
  <c r="J117"/>
  <c r="J115"/>
  <c r="J107"/>
  <c r="J97"/>
  <c r="J89"/>
  <c r="J79"/>
  <c r="J71"/>
  <c r="J61"/>
  <c r="J52" i="3"/>
  <c r="J52" i="2" s="1"/>
  <c r="J53"/>
  <c r="J51"/>
  <c r="J43"/>
  <c r="J256"/>
  <c r="J225"/>
  <c r="J177"/>
  <c r="J169"/>
  <c r="J162"/>
  <c r="J154"/>
  <c r="J145"/>
  <c r="J137"/>
  <c r="J127"/>
  <c r="J119"/>
  <c r="J109"/>
  <c r="J100" i="3"/>
  <c r="J100" i="2" s="1"/>
  <c r="J101"/>
  <c r="J99"/>
  <c r="J91"/>
  <c r="J81"/>
  <c r="J73"/>
  <c r="J63"/>
  <c r="J55"/>
  <c r="J45"/>
  <c r="J216"/>
  <c r="J186"/>
  <c r="J182"/>
  <c r="J147"/>
  <c r="J139"/>
  <c r="J124"/>
  <c r="J112"/>
  <c r="J104"/>
  <c r="J96"/>
  <c r="J88"/>
  <c r="J83"/>
  <c r="J75"/>
  <c r="J60"/>
  <c r="J48"/>
  <c r="J41"/>
  <c r="J31"/>
  <c r="J23"/>
  <c r="J13"/>
  <c r="J4" i="3"/>
  <c r="J4" i="2" s="1"/>
  <c r="J5"/>
  <c r="J200"/>
  <c r="J152"/>
  <c r="J38"/>
  <c r="J28"/>
  <c r="J18"/>
  <c r="J131"/>
  <c r="J123"/>
  <c r="J111"/>
  <c r="J103"/>
  <c r="J95"/>
  <c r="J87"/>
  <c r="J67"/>
  <c r="J59"/>
  <c r="J47"/>
  <c r="J33"/>
  <c r="J25"/>
  <c r="J15"/>
  <c r="J7"/>
  <c r="J142"/>
  <c r="J134"/>
  <c r="J130"/>
  <c r="J122"/>
  <c r="J94"/>
  <c r="J86"/>
  <c r="J78"/>
  <c r="J70"/>
  <c r="J66"/>
  <c r="J58"/>
  <c r="J40"/>
  <c r="J30"/>
  <c r="J22"/>
  <c r="J12"/>
  <c r="J208"/>
  <c r="J132" i="3"/>
  <c r="J132" i="2" s="1"/>
  <c r="J133"/>
  <c r="J114"/>
  <c r="J106"/>
  <c r="J68" i="3"/>
  <c r="J68" i="2" s="1"/>
  <c r="J69"/>
  <c r="J50"/>
  <c r="J42"/>
  <c r="J36" i="3"/>
  <c r="J36" i="2" s="1"/>
  <c r="J37"/>
  <c r="J34"/>
  <c r="J26"/>
  <c r="J17"/>
  <c r="J121"/>
  <c r="J113"/>
  <c r="J105"/>
  <c r="J57"/>
  <c r="J49"/>
  <c r="J32"/>
  <c r="J24"/>
  <c r="J10"/>
  <c r="J240"/>
  <c r="J129"/>
  <c r="J65"/>
  <c r="J9"/>
  <c r="J330"/>
  <c r="J176"/>
  <c r="J160"/>
  <c r="J159"/>
  <c r="J148" i="3"/>
  <c r="J148" i="2" s="1"/>
  <c r="J149"/>
  <c r="J84" i="3"/>
  <c r="J84" i="2" s="1"/>
  <c r="J85"/>
  <c r="J16"/>
  <c r="J77"/>
  <c r="J76"/>
  <c r="J39"/>
  <c r="J19"/>
  <c r="J14"/>
  <c r="J11"/>
  <c r="J6"/>
  <c r="J172"/>
  <c r="J27"/>
  <c r="J141"/>
  <c r="J212" i="3"/>
  <c r="J212" i="2" s="1"/>
  <c r="J213"/>
  <c r="J93"/>
  <c r="J8"/>
  <c r="J221"/>
  <c r="J151"/>
  <c r="J140"/>
  <c r="J20" i="3"/>
  <c r="J20" i="2" s="1"/>
  <c r="J21"/>
  <c r="J168"/>
  <c r="J272"/>
  <c r="J35"/>
  <c r="J29"/>
  <c r="M399"/>
  <c r="M391"/>
  <c r="M385"/>
  <c r="M377"/>
  <c r="M396"/>
  <c r="M380"/>
  <c r="M370"/>
  <c r="M401"/>
  <c r="M393"/>
  <c r="M383"/>
  <c r="M375"/>
  <c r="M392"/>
  <c r="M374"/>
  <c r="M369"/>
  <c r="M397"/>
  <c r="M378"/>
  <c r="M376"/>
  <c r="M364"/>
  <c r="M354"/>
  <c r="M402"/>
  <c r="M390"/>
  <c r="M361"/>
  <c r="M395"/>
  <c r="M387"/>
  <c r="M372" i="3"/>
  <c r="M372" i="2" s="1"/>
  <c r="M373"/>
  <c r="M368"/>
  <c r="M366"/>
  <c r="M358"/>
  <c r="M403"/>
  <c r="M394"/>
  <c r="M352"/>
  <c r="M344"/>
  <c r="M346"/>
  <c r="M379"/>
  <c r="M356" i="3"/>
  <c r="M356" i="2" s="1"/>
  <c r="M357"/>
  <c r="M351"/>
  <c r="M398"/>
  <c r="M367"/>
  <c r="M353"/>
  <c r="M362"/>
  <c r="M360"/>
  <c r="M349"/>
  <c r="M334"/>
  <c r="M326"/>
  <c r="M316"/>
  <c r="M400"/>
  <c r="M371"/>
  <c r="M355"/>
  <c r="M336"/>
  <c r="M328"/>
  <c r="M318"/>
  <c r="M310"/>
  <c r="M365"/>
  <c r="M363"/>
  <c r="M347"/>
  <c r="M333"/>
  <c r="M324" i="3"/>
  <c r="M324" i="2" s="1"/>
  <c r="M325"/>
  <c r="M323"/>
  <c r="M315"/>
  <c r="M345"/>
  <c r="M335"/>
  <c r="M327"/>
  <c r="M382"/>
  <c r="M359"/>
  <c r="M348"/>
  <c r="M320"/>
  <c r="M302"/>
  <c r="M294"/>
  <c r="M284"/>
  <c r="M274"/>
  <c r="M266"/>
  <c r="M343"/>
  <c r="M342"/>
  <c r="M329"/>
  <c r="M321"/>
  <c r="M314"/>
  <c r="M308" i="3"/>
  <c r="M308" i="2" s="1"/>
  <c r="M309"/>
  <c r="M299"/>
  <c r="M289"/>
  <c r="M281"/>
  <c r="M271"/>
  <c r="M263"/>
  <c r="M340" i="3"/>
  <c r="M340" i="2" s="1"/>
  <c r="M341"/>
  <c r="M306"/>
  <c r="M304"/>
  <c r="M296"/>
  <c r="M286"/>
  <c r="M278"/>
  <c r="M268"/>
  <c r="M339"/>
  <c r="M317"/>
  <c r="M303"/>
  <c r="M295"/>
  <c r="M285"/>
  <c r="M276" i="3"/>
  <c r="M276" i="2" s="1"/>
  <c r="M277"/>
  <c r="M275"/>
  <c r="M267"/>
  <c r="M384"/>
  <c r="M337"/>
  <c r="M253"/>
  <c r="M244" i="3"/>
  <c r="M244" i="2" s="1"/>
  <c r="M245"/>
  <c r="M243"/>
  <c r="M235"/>
  <c r="M225"/>
  <c r="M388" i="3"/>
  <c r="M388" i="2" s="1"/>
  <c r="M389"/>
  <c r="M332"/>
  <c r="M331"/>
  <c r="M330"/>
  <c r="M313"/>
  <c r="M255"/>
  <c r="M247"/>
  <c r="M237"/>
  <c r="M228" i="3"/>
  <c r="M228" i="2" s="1"/>
  <c r="M229"/>
  <c r="M227"/>
  <c r="M381"/>
  <c r="M338"/>
  <c r="M300"/>
  <c r="M287"/>
  <c r="M279"/>
  <c r="M272"/>
  <c r="M264"/>
  <c r="M252"/>
  <c r="M242"/>
  <c r="M234"/>
  <c r="M224"/>
  <c r="M322"/>
  <c r="M311"/>
  <c r="M298"/>
  <c r="M291"/>
  <c r="M283"/>
  <c r="M270"/>
  <c r="M254"/>
  <c r="M246"/>
  <c r="M236"/>
  <c r="M301"/>
  <c r="M221"/>
  <c r="M212" i="3"/>
  <c r="M212" i="2" s="1"/>
  <c r="M213"/>
  <c r="M211"/>
  <c r="M203"/>
  <c r="M193"/>
  <c r="M312"/>
  <c r="M297"/>
  <c r="M259"/>
  <c r="M251"/>
  <c r="M238"/>
  <c r="M218"/>
  <c r="M208"/>
  <c r="M200"/>
  <c r="M386"/>
  <c r="M319"/>
  <c r="M305"/>
  <c r="M290"/>
  <c r="M288"/>
  <c r="M262"/>
  <c r="M223"/>
  <c r="M215"/>
  <c r="M205"/>
  <c r="M196" i="3"/>
  <c r="M196" i="2" s="1"/>
  <c r="M197"/>
  <c r="M195"/>
  <c r="M282"/>
  <c r="M280"/>
  <c r="M258"/>
  <c r="M250"/>
  <c r="M231"/>
  <c r="M220"/>
  <c r="M210"/>
  <c r="M202"/>
  <c r="M192"/>
  <c r="M292" i="3"/>
  <c r="M292" i="2" s="1"/>
  <c r="M293"/>
  <c r="M230"/>
  <c r="M226"/>
  <c r="M206"/>
  <c r="M198"/>
  <c r="M189"/>
  <c r="M185"/>
  <c r="M175"/>
  <c r="M167"/>
  <c r="M157"/>
  <c r="M350"/>
  <c r="M260" i="3"/>
  <c r="M260" i="2" s="1"/>
  <c r="M261"/>
  <c r="M219"/>
  <c r="M204"/>
  <c r="M187"/>
  <c r="M182"/>
  <c r="M172"/>
  <c r="M162"/>
  <c r="M154"/>
  <c r="M269"/>
  <c r="M257"/>
  <c r="M249"/>
  <c r="M241"/>
  <c r="M188"/>
  <c r="M184"/>
  <c r="M174"/>
  <c r="M166"/>
  <c r="M156"/>
  <c r="M265"/>
  <c r="M232"/>
  <c r="M216"/>
  <c r="M207"/>
  <c r="M199"/>
  <c r="M186"/>
  <c r="M176"/>
  <c r="M168"/>
  <c r="M158"/>
  <c r="M191"/>
  <c r="M145"/>
  <c r="M137"/>
  <c r="M127"/>
  <c r="M119"/>
  <c r="M109"/>
  <c r="M100" i="3"/>
  <c r="M100" i="2" s="1"/>
  <c r="M101"/>
  <c r="M99"/>
  <c r="M91"/>
  <c r="M81"/>
  <c r="M73"/>
  <c r="M63"/>
  <c r="M55"/>
  <c r="M45"/>
  <c r="M240"/>
  <c r="M159"/>
  <c r="M151"/>
  <c r="M148" i="3"/>
  <c r="M148" i="2" s="1"/>
  <c r="M149"/>
  <c r="M147"/>
  <c r="M139"/>
  <c r="M129"/>
  <c r="M121"/>
  <c r="M111"/>
  <c r="M103"/>
  <c r="M93"/>
  <c r="M84" i="3"/>
  <c r="M84" i="2" s="1"/>
  <c r="M85"/>
  <c r="M83"/>
  <c r="M75"/>
  <c r="M65"/>
  <c r="M57"/>
  <c r="M47"/>
  <c r="M248"/>
  <c r="M179"/>
  <c r="M171"/>
  <c r="M144"/>
  <c r="M136"/>
  <c r="M126"/>
  <c r="M118"/>
  <c r="M108"/>
  <c r="M98"/>
  <c r="M90"/>
  <c r="M80"/>
  <c r="M72"/>
  <c r="M62"/>
  <c r="M54"/>
  <c r="M44"/>
  <c r="M233"/>
  <c r="M194"/>
  <c r="M178"/>
  <c r="M170"/>
  <c r="M163"/>
  <c r="M155"/>
  <c r="M146"/>
  <c r="M138"/>
  <c r="M128"/>
  <c r="M120"/>
  <c r="M110"/>
  <c r="M102"/>
  <c r="M92"/>
  <c r="M82"/>
  <c r="M74"/>
  <c r="M64"/>
  <c r="M56"/>
  <c r="M46"/>
  <c r="M256"/>
  <c r="M140"/>
  <c r="M125"/>
  <c r="M116" i="3"/>
  <c r="M116" i="2" s="1"/>
  <c r="M117"/>
  <c r="M113"/>
  <c r="M105"/>
  <c r="M97"/>
  <c r="M89"/>
  <c r="M76"/>
  <c r="M61"/>
  <c r="M52" i="3"/>
  <c r="M52" i="2" s="1"/>
  <c r="M53"/>
  <c r="M49"/>
  <c r="M32"/>
  <c r="M24"/>
  <c r="M14"/>
  <c r="M6"/>
  <c r="M217"/>
  <c r="M183"/>
  <c r="M180" i="3"/>
  <c r="M180" i="2" s="1"/>
  <c r="M181"/>
  <c r="M39"/>
  <c r="M29"/>
  <c r="M20" i="3"/>
  <c r="M20" i="2" s="1"/>
  <c r="M21"/>
  <c r="M19"/>
  <c r="M11"/>
  <c r="M273"/>
  <c r="M239"/>
  <c r="M124"/>
  <c r="M112"/>
  <c r="M104"/>
  <c r="M96"/>
  <c r="M88"/>
  <c r="M60"/>
  <c r="M48"/>
  <c r="M34"/>
  <c r="M26"/>
  <c r="M16"/>
  <c r="M8"/>
  <c r="M201"/>
  <c r="M152"/>
  <c r="M150"/>
  <c r="M143"/>
  <c r="M135"/>
  <c r="M131"/>
  <c r="M123"/>
  <c r="M95"/>
  <c r="M87"/>
  <c r="M79"/>
  <c r="M71"/>
  <c r="M67"/>
  <c r="M59"/>
  <c r="M41"/>
  <c r="M31"/>
  <c r="M23"/>
  <c r="M13"/>
  <c r="M4" i="3"/>
  <c r="M4" i="2" s="1"/>
  <c r="M5"/>
  <c r="M307"/>
  <c r="M38"/>
  <c r="M35"/>
  <c r="M27"/>
  <c r="M18"/>
  <c r="M173"/>
  <c r="M134"/>
  <c r="M132" i="3"/>
  <c r="M132" i="2" s="1"/>
  <c r="M133"/>
  <c r="M115"/>
  <c r="M107"/>
  <c r="M70"/>
  <c r="M68" i="3"/>
  <c r="M68" i="2" s="1"/>
  <c r="M69"/>
  <c r="M51"/>
  <c r="M43"/>
  <c r="M33"/>
  <c r="M25"/>
  <c r="M222"/>
  <c r="M214"/>
  <c r="M153"/>
  <c r="M122"/>
  <c r="M114"/>
  <c r="M106"/>
  <c r="M58"/>
  <c r="M50"/>
  <c r="M42"/>
  <c r="M10"/>
  <c r="M130"/>
  <c r="M66"/>
  <c r="M36" i="3"/>
  <c r="M36" i="2" s="1"/>
  <c r="M37"/>
  <c r="M17"/>
  <c r="M142"/>
  <c r="M141"/>
  <c r="M94"/>
  <c r="M22"/>
  <c r="M169"/>
  <c r="M86"/>
  <c r="M78"/>
  <c r="M77"/>
  <c r="M161"/>
  <c r="M40"/>
  <c r="M190"/>
  <c r="M160"/>
  <c r="M28"/>
  <c r="M209"/>
  <c r="M30"/>
  <c r="M177"/>
  <c r="M15"/>
  <c r="M12"/>
  <c r="M9"/>
  <c r="M164" i="3"/>
  <c r="M164" i="2" s="1"/>
  <c r="M165"/>
  <c r="M7"/>
  <c r="BF398"/>
  <c r="BF390"/>
  <c r="BF386"/>
  <c r="BF378"/>
  <c r="BF403"/>
  <c r="BF395"/>
  <c r="BF381"/>
  <c r="BF372" i="3"/>
  <c r="BF372" i="2" s="1"/>
  <c r="BF373"/>
  <c r="BF369"/>
  <c r="BF400"/>
  <c r="BF392"/>
  <c r="BF384"/>
  <c r="BF376"/>
  <c r="BF401"/>
  <c r="BF388" i="3"/>
  <c r="BF388" i="2" s="1"/>
  <c r="BF389"/>
  <c r="BF394"/>
  <c r="BF377"/>
  <c r="BF375"/>
  <c r="BF370"/>
  <c r="BF363"/>
  <c r="BF353"/>
  <c r="BF399"/>
  <c r="BF379"/>
  <c r="BF360"/>
  <c r="BF374"/>
  <c r="BF365"/>
  <c r="BF356" i="3"/>
  <c r="BF356" i="2" s="1"/>
  <c r="BF357"/>
  <c r="BF355"/>
  <c r="BF352"/>
  <c r="BF351"/>
  <c r="BF343"/>
  <c r="BF361"/>
  <c r="BF345"/>
  <c r="BF380"/>
  <c r="BF366"/>
  <c r="BF350"/>
  <c r="BF396"/>
  <c r="BF387"/>
  <c r="BF382"/>
  <c r="BF371"/>
  <c r="BF368"/>
  <c r="BF367"/>
  <c r="BF364"/>
  <c r="BF393"/>
  <c r="BF383"/>
  <c r="BF348"/>
  <c r="BF340" i="3"/>
  <c r="BF340" i="2" s="1"/>
  <c r="BF341"/>
  <c r="BF338"/>
  <c r="BF333"/>
  <c r="BF324" i="3"/>
  <c r="BF324" i="2" s="1"/>
  <c r="BF325"/>
  <c r="BF323"/>
  <c r="BF315"/>
  <c r="BF391"/>
  <c r="BF337"/>
  <c r="BF335"/>
  <c r="BF327"/>
  <c r="BF317"/>
  <c r="BF308" i="3"/>
  <c r="BF308" i="2" s="1"/>
  <c r="BF309"/>
  <c r="BF307"/>
  <c r="BF359"/>
  <c r="BF346"/>
  <c r="BF344"/>
  <c r="BF332"/>
  <c r="BF322"/>
  <c r="BF314"/>
  <c r="BF354"/>
  <c r="BF342"/>
  <c r="BF334"/>
  <c r="BF326"/>
  <c r="BF402"/>
  <c r="BF301"/>
  <c r="BF292" i="3"/>
  <c r="BF292" i="2" s="1"/>
  <c r="BF293"/>
  <c r="BF291"/>
  <c r="BF283"/>
  <c r="BF273"/>
  <c r="BF265"/>
  <c r="BF328"/>
  <c r="BF320"/>
  <c r="BF318"/>
  <c r="BF312"/>
  <c r="BF298"/>
  <c r="BF288"/>
  <c r="BF280"/>
  <c r="BF270"/>
  <c r="BF262"/>
  <c r="BF349"/>
  <c r="BF311"/>
  <c r="BF303"/>
  <c r="BF295"/>
  <c r="BF285"/>
  <c r="BF276" i="3"/>
  <c r="BF276" i="2" s="1"/>
  <c r="BF277"/>
  <c r="BF275"/>
  <c r="BF267"/>
  <c r="BF397"/>
  <c r="BF362"/>
  <c r="BF358"/>
  <c r="BF310"/>
  <c r="BF302"/>
  <c r="BF294"/>
  <c r="BF284"/>
  <c r="BF274"/>
  <c r="BF266"/>
  <c r="BF339"/>
  <c r="BF252"/>
  <c r="BF242"/>
  <c r="BF234"/>
  <c r="BF224"/>
  <c r="BF254"/>
  <c r="BF246"/>
  <c r="BF236"/>
  <c r="BF226"/>
  <c r="BF347"/>
  <c r="BF299"/>
  <c r="BF286"/>
  <c r="BF278"/>
  <c r="BF271"/>
  <c r="BF263"/>
  <c r="BF259"/>
  <c r="BF251"/>
  <c r="BF241"/>
  <c r="BF233"/>
  <c r="BF223"/>
  <c r="BF331"/>
  <c r="BF330"/>
  <c r="BF305"/>
  <c r="BF297"/>
  <c r="BF290"/>
  <c r="BF282"/>
  <c r="BF269"/>
  <c r="BF253"/>
  <c r="BF244" i="3"/>
  <c r="BF244" i="2" s="1"/>
  <c r="BF245"/>
  <c r="BF243"/>
  <c r="BF235"/>
  <c r="BF306"/>
  <c r="BF272"/>
  <c r="BF227"/>
  <c r="BF220"/>
  <c r="BF210"/>
  <c r="BF202"/>
  <c r="BF192"/>
  <c r="BF319"/>
  <c r="BF268"/>
  <c r="BF258"/>
  <c r="BF250"/>
  <c r="BF237"/>
  <c r="BF230"/>
  <c r="BF217"/>
  <c r="BF207"/>
  <c r="BF199"/>
  <c r="BF385"/>
  <c r="BF316"/>
  <c r="BF225"/>
  <c r="BF222"/>
  <c r="BF214"/>
  <c r="BF204"/>
  <c r="BF194"/>
  <c r="BF321"/>
  <c r="BF313"/>
  <c r="BF300"/>
  <c r="BF257"/>
  <c r="BF249"/>
  <c r="BF219"/>
  <c r="BF209"/>
  <c r="BF201"/>
  <c r="BF191"/>
  <c r="BF231"/>
  <c r="BF205"/>
  <c r="BF196" i="3"/>
  <c r="BF196" i="2" s="1"/>
  <c r="BF197"/>
  <c r="BF190"/>
  <c r="BF184"/>
  <c r="BF174"/>
  <c r="BF166"/>
  <c r="BF156"/>
  <c r="BF281"/>
  <c r="BF228" i="3"/>
  <c r="BF228" i="2" s="1"/>
  <c r="BF229"/>
  <c r="BF218"/>
  <c r="BF211"/>
  <c r="BF203"/>
  <c r="BF180" i="3"/>
  <c r="BF180" i="2" s="1"/>
  <c r="BF181"/>
  <c r="BF179"/>
  <c r="BF171"/>
  <c r="BF161"/>
  <c r="BF153"/>
  <c r="BF264"/>
  <c r="BF195"/>
  <c r="BF183"/>
  <c r="BF173"/>
  <c r="BF164" i="3"/>
  <c r="BF164" i="2" s="1"/>
  <c r="BF165"/>
  <c r="BF163"/>
  <c r="BF155"/>
  <c r="BF296"/>
  <c r="BF215"/>
  <c r="BF206"/>
  <c r="BF198"/>
  <c r="BF185"/>
  <c r="BF175"/>
  <c r="BF167"/>
  <c r="BF157"/>
  <c r="BF248"/>
  <c r="BF247"/>
  <c r="BF221"/>
  <c r="BF216"/>
  <c r="BF212" i="3"/>
  <c r="BF212" i="2" s="1"/>
  <c r="BF213"/>
  <c r="BF150"/>
  <c r="BF144"/>
  <c r="BF136"/>
  <c r="BF126"/>
  <c r="BF118"/>
  <c r="BF108"/>
  <c r="BF98"/>
  <c r="BF90"/>
  <c r="BF80"/>
  <c r="BF72"/>
  <c r="BF62"/>
  <c r="BF54"/>
  <c r="BF44"/>
  <c r="BF232"/>
  <c r="BF208"/>
  <c r="BF200"/>
  <c r="BF189"/>
  <c r="BF158"/>
  <c r="BF146"/>
  <c r="BF138"/>
  <c r="BF128"/>
  <c r="BF120"/>
  <c r="BF110"/>
  <c r="BF102"/>
  <c r="BF92"/>
  <c r="BF82"/>
  <c r="BF74"/>
  <c r="BF64"/>
  <c r="BF56"/>
  <c r="BF46"/>
  <c r="BF256"/>
  <c r="BF255"/>
  <c r="BF188"/>
  <c r="BF178"/>
  <c r="BF170"/>
  <c r="BF143"/>
  <c r="BF135"/>
  <c r="BF125"/>
  <c r="BF116" i="3"/>
  <c r="BF116" i="2" s="1"/>
  <c r="BF117"/>
  <c r="BF115"/>
  <c r="BF107"/>
  <c r="BF97"/>
  <c r="BF89"/>
  <c r="BF79"/>
  <c r="BF71"/>
  <c r="BF61"/>
  <c r="BF52" i="3"/>
  <c r="BF52" i="2" s="1"/>
  <c r="BF53"/>
  <c r="BF51"/>
  <c r="BF43"/>
  <c r="BF304"/>
  <c r="BF279"/>
  <c r="BF260" i="3"/>
  <c r="BF260" i="2" s="1"/>
  <c r="BF261"/>
  <c r="BF177"/>
  <c r="BF169"/>
  <c r="BF162"/>
  <c r="BF154"/>
  <c r="BF145"/>
  <c r="BF137"/>
  <c r="BF127"/>
  <c r="BF119"/>
  <c r="BF109"/>
  <c r="BF100" i="3"/>
  <c r="BF100" i="2" s="1"/>
  <c r="BF101"/>
  <c r="BF99"/>
  <c r="BF91"/>
  <c r="BF81"/>
  <c r="BF73"/>
  <c r="BF63"/>
  <c r="BF55"/>
  <c r="BF45"/>
  <c r="BF238"/>
  <c r="BF176"/>
  <c r="BF172"/>
  <c r="BF152"/>
  <c r="BF147"/>
  <c r="BF139"/>
  <c r="BF124"/>
  <c r="BF112"/>
  <c r="BF104"/>
  <c r="BF96"/>
  <c r="BF88"/>
  <c r="BF83"/>
  <c r="BF75"/>
  <c r="BF60"/>
  <c r="BF48"/>
  <c r="BF31"/>
  <c r="BF23"/>
  <c r="BF13"/>
  <c r="BF4" i="3"/>
  <c r="BF4" i="2" s="1"/>
  <c r="BF5"/>
  <c r="BF287"/>
  <c r="BF168"/>
  <c r="BF38"/>
  <c r="BF28"/>
  <c r="BF18"/>
  <c r="BF240"/>
  <c r="BF187"/>
  <c r="BF160"/>
  <c r="BF159"/>
  <c r="BF131"/>
  <c r="BF123"/>
  <c r="BF111"/>
  <c r="BF103"/>
  <c r="BF95"/>
  <c r="BF87"/>
  <c r="BF67"/>
  <c r="BF59"/>
  <c r="BF47"/>
  <c r="BF33"/>
  <c r="BF25"/>
  <c r="BF15"/>
  <c r="BF7"/>
  <c r="BF142"/>
  <c r="BF134"/>
  <c r="BF130"/>
  <c r="BF122"/>
  <c r="BF94"/>
  <c r="BF86"/>
  <c r="BF78"/>
  <c r="BF70"/>
  <c r="BF66"/>
  <c r="BF58"/>
  <c r="BF40"/>
  <c r="BF30"/>
  <c r="BF22"/>
  <c r="BF12"/>
  <c r="BF289"/>
  <c r="BF239"/>
  <c r="BF93"/>
  <c r="BF36" i="3"/>
  <c r="BF36" i="2" s="1"/>
  <c r="BF37"/>
  <c r="BF34"/>
  <c r="BF26"/>
  <c r="BF17"/>
  <c r="BF9"/>
  <c r="BF329"/>
  <c r="BF186"/>
  <c r="BF182"/>
  <c r="BF32"/>
  <c r="BF24"/>
  <c r="BF141"/>
  <c r="BF140"/>
  <c r="BF77"/>
  <c r="BF76"/>
  <c r="BF16"/>
  <c r="BF8"/>
  <c r="BF114"/>
  <c r="BF35"/>
  <c r="BF336"/>
  <c r="BF121"/>
  <c r="BF113"/>
  <c r="BF50"/>
  <c r="BF27"/>
  <c r="BF151"/>
  <c r="BF57"/>
  <c r="BF49"/>
  <c r="BF29"/>
  <c r="BF132" i="3"/>
  <c r="BF132" i="2" s="1"/>
  <c r="BF133"/>
  <c r="BF129"/>
  <c r="BF41"/>
  <c r="BF39"/>
  <c r="BF20" i="3"/>
  <c r="BF20" i="2" s="1"/>
  <c r="BF21"/>
  <c r="BF106"/>
  <c r="BF105"/>
  <c r="BF65"/>
  <c r="BF11"/>
  <c r="BF10"/>
  <c r="BF14"/>
  <c r="BF148" i="3"/>
  <c r="BF148" i="2" s="1"/>
  <c r="BF149"/>
  <c r="BF68" i="3"/>
  <c r="BF68" i="2" s="1"/>
  <c r="BF69"/>
  <c r="BF6"/>
  <c r="BF84" i="3"/>
  <c r="BF84" i="2" s="1"/>
  <c r="BF85"/>
  <c r="BF19"/>
  <c r="BF193"/>
  <c r="BF42"/>
  <c r="AD402"/>
  <c r="AD394"/>
  <c r="AD382"/>
  <c r="AD374"/>
  <c r="AD399"/>
  <c r="AD391"/>
  <c r="AD385"/>
  <c r="AD377"/>
  <c r="AD396"/>
  <c r="AD380"/>
  <c r="AD370"/>
  <c r="AD388" i="3"/>
  <c r="AD388" i="2" s="1"/>
  <c r="AD389"/>
  <c r="AD386"/>
  <c r="AD384"/>
  <c r="AD368"/>
  <c r="AD398"/>
  <c r="AD393"/>
  <c r="AD367"/>
  <c r="AD359"/>
  <c r="AD403"/>
  <c r="AD383"/>
  <c r="AD381"/>
  <c r="AD379"/>
  <c r="AD371"/>
  <c r="AD364"/>
  <c r="AD354"/>
  <c r="AD392"/>
  <c r="AD361"/>
  <c r="AD395"/>
  <c r="AD375"/>
  <c r="AD366"/>
  <c r="AD352"/>
  <c r="AD347"/>
  <c r="AD337"/>
  <c r="AD376"/>
  <c r="AD365"/>
  <c r="AD353"/>
  <c r="AD349"/>
  <c r="AD340" i="3"/>
  <c r="AD340" i="2" s="1"/>
  <c r="AD341"/>
  <c r="AD339"/>
  <c r="AD400"/>
  <c r="AD369"/>
  <c r="AD346"/>
  <c r="AD401"/>
  <c r="AD387"/>
  <c r="AD378"/>
  <c r="AD348"/>
  <c r="AD363"/>
  <c r="AD345"/>
  <c r="AD329"/>
  <c r="AD319"/>
  <c r="AD311"/>
  <c r="AD390"/>
  <c r="AD344"/>
  <c r="AD331"/>
  <c r="AD321"/>
  <c r="AD313"/>
  <c r="AD338"/>
  <c r="AD336"/>
  <c r="AD328"/>
  <c r="AD318"/>
  <c r="AD310"/>
  <c r="AD397"/>
  <c r="AD330"/>
  <c r="AD320"/>
  <c r="AD358"/>
  <c r="AD342"/>
  <c r="AD322"/>
  <c r="AD317"/>
  <c r="AD305"/>
  <c r="AD297"/>
  <c r="AD287"/>
  <c r="AD279"/>
  <c r="AD269"/>
  <c r="AD260" i="3"/>
  <c r="AD260" i="2" s="1"/>
  <c r="AD261"/>
  <c r="AD372" i="3"/>
  <c r="AD372" i="2" s="1"/>
  <c r="AD373"/>
  <c r="AD362"/>
  <c r="AD302"/>
  <c r="AD294"/>
  <c r="AD284"/>
  <c r="AD274"/>
  <c r="AD266"/>
  <c r="AD316"/>
  <c r="AD315"/>
  <c r="AD299"/>
  <c r="AD289"/>
  <c r="AD281"/>
  <c r="AD271"/>
  <c r="AD263"/>
  <c r="AD355"/>
  <c r="AD332"/>
  <c r="AD298"/>
  <c r="AD288"/>
  <c r="AD280"/>
  <c r="AD270"/>
  <c r="AD304"/>
  <c r="AD296"/>
  <c r="AD290"/>
  <c r="AD282"/>
  <c r="AD268"/>
  <c r="AD256"/>
  <c r="AD248"/>
  <c r="AD238"/>
  <c r="AD230"/>
  <c r="AD323"/>
  <c r="AD308" i="3"/>
  <c r="AD308" i="2" s="1"/>
  <c r="AD309"/>
  <c r="AD307"/>
  <c r="AD301"/>
  <c r="AD292" i="3"/>
  <c r="AD292" i="2" s="1"/>
  <c r="AD293"/>
  <c r="AD273"/>
  <c r="AD265"/>
  <c r="AD258"/>
  <c r="AD250"/>
  <c r="AD240"/>
  <c r="AD232"/>
  <c r="AD351"/>
  <c r="AD350"/>
  <c r="AD314"/>
  <c r="AD306"/>
  <c r="AD255"/>
  <c r="AD247"/>
  <c r="AD237"/>
  <c r="AD228" i="3"/>
  <c r="AD228" i="2" s="1"/>
  <c r="AD229"/>
  <c r="AD227"/>
  <c r="AD335"/>
  <c r="AD312"/>
  <c r="AD285"/>
  <c r="AD276" i="3"/>
  <c r="AD276" i="2" s="1"/>
  <c r="AD277"/>
  <c r="AD257"/>
  <c r="AD249"/>
  <c r="AD239"/>
  <c r="AD360"/>
  <c r="AD264"/>
  <c r="AD254"/>
  <c r="AD246"/>
  <c r="AD216"/>
  <c r="AD206"/>
  <c r="AD198"/>
  <c r="AD188"/>
  <c r="AD343"/>
  <c r="AD272"/>
  <c r="AD267"/>
  <c r="AD253"/>
  <c r="AD252"/>
  <c r="AD244" i="3"/>
  <c r="AD244" i="2" s="1"/>
  <c r="AD245"/>
  <c r="AD225"/>
  <c r="AD224"/>
  <c r="AD221"/>
  <c r="AD212" i="3"/>
  <c r="AD212" i="2" s="1"/>
  <c r="AD213"/>
  <c r="AD211"/>
  <c r="AD203"/>
  <c r="AD275"/>
  <c r="AD259"/>
  <c r="AD251"/>
  <c r="AD218"/>
  <c r="AD208"/>
  <c r="AD200"/>
  <c r="AD333"/>
  <c r="AD236"/>
  <c r="AD223"/>
  <c r="AD215"/>
  <c r="AD205"/>
  <c r="AD196" i="3"/>
  <c r="AD196" i="2" s="1"/>
  <c r="AD197"/>
  <c r="AD195"/>
  <c r="AD327"/>
  <c r="AD324" i="3"/>
  <c r="AD324" i="2" s="1"/>
  <c r="AD325"/>
  <c r="AD241"/>
  <c r="AD235"/>
  <c r="AD234"/>
  <c r="AD231"/>
  <c r="AD220"/>
  <c r="AD187"/>
  <c r="AD178"/>
  <c r="AD170"/>
  <c r="AD160"/>
  <c r="AD152"/>
  <c r="AD300"/>
  <c r="AD295"/>
  <c r="AD233"/>
  <c r="AD194"/>
  <c r="AD185"/>
  <c r="AD175"/>
  <c r="AD167"/>
  <c r="AD157"/>
  <c r="AD278"/>
  <c r="AD217"/>
  <c r="AD210"/>
  <c r="AD202"/>
  <c r="AD193"/>
  <c r="AD192"/>
  <c r="AD190"/>
  <c r="AD177"/>
  <c r="AD169"/>
  <c r="AD159"/>
  <c r="AD151"/>
  <c r="AD262"/>
  <c r="AD209"/>
  <c r="AD201"/>
  <c r="AD191"/>
  <c r="AD189"/>
  <c r="AD180" i="3"/>
  <c r="AD180" i="2" s="1"/>
  <c r="AD181"/>
  <c r="AD179"/>
  <c r="AD171"/>
  <c r="AD161"/>
  <c r="AD153"/>
  <c r="AD356" i="3"/>
  <c r="AD356" i="2" s="1"/>
  <c r="AD357"/>
  <c r="AD176"/>
  <c r="AD168"/>
  <c r="AD140"/>
  <c r="AD130"/>
  <c r="AD122"/>
  <c r="AD112"/>
  <c r="AD104"/>
  <c r="AD94"/>
  <c r="AD86"/>
  <c r="AD76"/>
  <c r="AD66"/>
  <c r="AD58"/>
  <c r="AD48"/>
  <c r="AD207"/>
  <c r="AD199"/>
  <c r="AD173"/>
  <c r="AD164" i="3"/>
  <c r="AD164" i="2" s="1"/>
  <c r="AD165"/>
  <c r="AD142"/>
  <c r="AD134"/>
  <c r="AD124"/>
  <c r="AD114"/>
  <c r="AD106"/>
  <c r="AD96"/>
  <c r="AD88"/>
  <c r="AD78"/>
  <c r="AD70"/>
  <c r="AD60"/>
  <c r="AD50"/>
  <c r="AD42"/>
  <c r="AD226"/>
  <c r="AD204"/>
  <c r="AD186"/>
  <c r="AD172"/>
  <c r="AD148" i="3"/>
  <c r="AD148" i="2" s="1"/>
  <c r="AD149"/>
  <c r="AD147"/>
  <c r="AD139"/>
  <c r="AD129"/>
  <c r="AD121"/>
  <c r="AD111"/>
  <c r="AD103"/>
  <c r="AD93"/>
  <c r="AD84" i="3"/>
  <c r="AD84" i="2" s="1"/>
  <c r="AD85"/>
  <c r="AD83"/>
  <c r="AD75"/>
  <c r="AD65"/>
  <c r="AD57"/>
  <c r="AD47"/>
  <c r="AD286"/>
  <c r="AD183"/>
  <c r="AD156"/>
  <c r="AD141"/>
  <c r="AD132" i="3"/>
  <c r="AD132" i="2" s="1"/>
  <c r="AD133"/>
  <c r="AD131"/>
  <c r="AD123"/>
  <c r="AD113"/>
  <c r="AD105"/>
  <c r="AD95"/>
  <c r="AD87"/>
  <c r="AD77"/>
  <c r="AD68" i="3"/>
  <c r="AD68" i="2" s="1"/>
  <c r="AD69"/>
  <c r="AD67"/>
  <c r="AD59"/>
  <c r="AD49"/>
  <c r="AD334"/>
  <c r="AD242"/>
  <c r="AD127"/>
  <c r="AD126"/>
  <c r="AD119"/>
  <c r="AD118"/>
  <c r="AD99"/>
  <c r="AD98"/>
  <c r="AD91"/>
  <c r="AD90"/>
  <c r="AD63"/>
  <c r="AD62"/>
  <c r="AD55"/>
  <c r="AD54"/>
  <c r="AD36" i="3"/>
  <c r="AD36" i="2" s="1"/>
  <c r="AD37"/>
  <c r="AD35"/>
  <c r="AD27"/>
  <c r="AD17"/>
  <c r="AD9"/>
  <c r="AD222"/>
  <c r="AD214"/>
  <c r="AD174"/>
  <c r="AD150"/>
  <c r="AD125"/>
  <c r="AD116" i="3"/>
  <c r="AD116" i="2" s="1"/>
  <c r="AD117"/>
  <c r="AD97"/>
  <c r="AD89"/>
  <c r="AD61"/>
  <c r="AD52" i="3"/>
  <c r="AD52" i="2" s="1"/>
  <c r="AD53"/>
  <c r="AD32"/>
  <c r="AD24"/>
  <c r="AD14"/>
  <c r="AD166"/>
  <c r="AD155"/>
  <c r="AD146"/>
  <c r="AD138"/>
  <c r="AD82"/>
  <c r="AD74"/>
  <c r="AD39"/>
  <c r="AD29"/>
  <c r="AD20" i="3"/>
  <c r="AD20" i="2" s="1"/>
  <c r="AD21"/>
  <c r="AD19"/>
  <c r="AD11"/>
  <c r="AD303"/>
  <c r="AD163"/>
  <c r="AD158"/>
  <c r="AD154"/>
  <c r="AD145"/>
  <c r="AD144"/>
  <c r="AD137"/>
  <c r="AD136"/>
  <c r="AD81"/>
  <c r="AD80"/>
  <c r="AD73"/>
  <c r="AD72"/>
  <c r="AD34"/>
  <c r="AD26"/>
  <c r="AD16"/>
  <c r="AD8"/>
  <c r="AD40"/>
  <c r="AD12"/>
  <c r="AD243"/>
  <c r="AD92"/>
  <c r="AD38"/>
  <c r="AD18"/>
  <c r="AD143"/>
  <c r="AD79"/>
  <c r="AD33"/>
  <c r="AD25"/>
  <c r="AD7"/>
  <c r="AD291"/>
  <c r="AD283"/>
  <c r="AD31"/>
  <c r="AD23"/>
  <c r="AD162"/>
  <c r="AD15"/>
  <c r="AD4" i="3"/>
  <c r="AD4" i="2" s="1"/>
  <c r="AD5"/>
  <c r="AD135"/>
  <c r="AD128"/>
  <c r="AD107"/>
  <c r="AD6"/>
  <c r="AD108"/>
  <c r="AD71"/>
  <c r="AD64"/>
  <c r="AD43"/>
  <c r="AD46"/>
  <c r="AD45"/>
  <c r="AD22"/>
  <c r="AD326"/>
  <c r="AD219"/>
  <c r="AD10"/>
  <c r="AD100" i="3"/>
  <c r="AD100" i="2" s="1"/>
  <c r="AD101"/>
  <c r="AD13"/>
  <c r="AD102"/>
  <c r="AD51"/>
  <c r="AD41"/>
  <c r="AD28"/>
  <c r="AD182"/>
  <c r="AD110"/>
  <c r="AD120"/>
  <c r="AD184"/>
  <c r="AD109"/>
  <c r="AD44"/>
  <c r="AD56"/>
  <c r="AD115"/>
  <c r="AD30"/>
  <c r="BL400"/>
  <c r="BL392"/>
  <c r="BL384"/>
  <c r="BL376"/>
  <c r="BL397"/>
  <c r="BL388" i="3"/>
  <c r="BL388" i="2" s="1"/>
  <c r="BL389"/>
  <c r="BL387"/>
  <c r="BL379"/>
  <c r="BL371"/>
  <c r="BL402"/>
  <c r="BL394"/>
  <c r="BL382"/>
  <c r="BL374"/>
  <c r="BL368"/>
  <c r="BL403"/>
  <c r="BL385"/>
  <c r="BL383"/>
  <c r="BL381"/>
  <c r="BL391"/>
  <c r="BL365"/>
  <c r="BL356" i="3"/>
  <c r="BL356" i="2" s="1"/>
  <c r="BL357"/>
  <c r="BL355"/>
  <c r="BL396"/>
  <c r="BL380"/>
  <c r="BL378"/>
  <c r="BL362"/>
  <c r="BL352"/>
  <c r="BL401"/>
  <c r="BL390"/>
  <c r="BL367"/>
  <c r="BL359"/>
  <c r="BL370"/>
  <c r="BL364"/>
  <c r="BL345"/>
  <c r="BL395"/>
  <c r="BL375"/>
  <c r="BL363"/>
  <c r="BL358"/>
  <c r="BL354"/>
  <c r="BL347"/>
  <c r="BL337"/>
  <c r="BL344"/>
  <c r="BL386"/>
  <c r="BL377"/>
  <c r="BL361"/>
  <c r="BL346"/>
  <c r="BL399"/>
  <c r="BL350"/>
  <c r="BL343"/>
  <c r="BL335"/>
  <c r="BL327"/>
  <c r="BL317"/>
  <c r="BL308" i="3"/>
  <c r="BL308" i="2" s="1"/>
  <c r="BL309"/>
  <c r="BL342"/>
  <c r="BL339"/>
  <c r="BL329"/>
  <c r="BL319"/>
  <c r="BL311"/>
  <c r="BL369"/>
  <c r="BL353"/>
  <c r="BL348"/>
  <c r="BL334"/>
  <c r="BL326"/>
  <c r="BL316"/>
  <c r="BL306"/>
  <c r="BL338"/>
  <c r="BL328"/>
  <c r="BL366"/>
  <c r="BL323"/>
  <c r="BL315"/>
  <c r="BL310"/>
  <c r="BL303"/>
  <c r="BL295"/>
  <c r="BL285"/>
  <c r="BL276" i="3"/>
  <c r="BL276" i="2" s="1"/>
  <c r="BL277"/>
  <c r="BL275"/>
  <c r="BL267"/>
  <c r="BL330"/>
  <c r="BL322"/>
  <c r="BL314"/>
  <c r="BL300"/>
  <c r="BL290"/>
  <c r="BL282"/>
  <c r="BL272"/>
  <c r="BL264"/>
  <c r="BL360"/>
  <c r="BL336"/>
  <c r="BL321"/>
  <c r="BL313"/>
  <c r="BL305"/>
  <c r="BL297"/>
  <c r="BL287"/>
  <c r="BL279"/>
  <c r="BL269"/>
  <c r="BL260" i="3"/>
  <c r="BL260" i="2" s="1"/>
  <c r="BL261"/>
  <c r="BL340" i="3"/>
  <c r="BL340" i="2" s="1"/>
  <c r="BL341"/>
  <c r="BL333"/>
  <c r="BL324" i="3"/>
  <c r="BL324" i="2" s="1"/>
  <c r="BL325"/>
  <c r="BL312"/>
  <c r="BL304"/>
  <c r="BL296"/>
  <c r="BL286"/>
  <c r="BL278"/>
  <c r="BL268"/>
  <c r="BL351"/>
  <c r="BL254"/>
  <c r="BL246"/>
  <c r="BL236"/>
  <c r="BL226"/>
  <c r="BL393"/>
  <c r="BL372" i="3"/>
  <c r="BL372" i="2" s="1"/>
  <c r="BL373"/>
  <c r="BL320"/>
  <c r="BL302"/>
  <c r="BL294"/>
  <c r="BL289"/>
  <c r="BL281"/>
  <c r="BL274"/>
  <c r="BL266"/>
  <c r="BL256"/>
  <c r="BL248"/>
  <c r="BL238"/>
  <c r="BL230"/>
  <c r="BL301"/>
  <c r="BL292" i="3"/>
  <c r="BL292" i="2" s="1"/>
  <c r="BL293"/>
  <c r="BL288"/>
  <c r="BL280"/>
  <c r="BL273"/>
  <c r="BL265"/>
  <c r="BL253"/>
  <c r="BL244" i="3"/>
  <c r="BL244" i="2" s="1"/>
  <c r="BL245"/>
  <c r="BL243"/>
  <c r="BL235"/>
  <c r="BL225"/>
  <c r="BL255"/>
  <c r="BL247"/>
  <c r="BL237"/>
  <c r="BL398"/>
  <c r="BL318"/>
  <c r="BL223"/>
  <c r="BL222"/>
  <c r="BL214"/>
  <c r="BL204"/>
  <c r="BL194"/>
  <c r="BL263"/>
  <c r="BL262"/>
  <c r="BL239"/>
  <c r="BL231"/>
  <c r="BL219"/>
  <c r="BL209"/>
  <c r="BL201"/>
  <c r="BL271"/>
  <c r="BL270"/>
  <c r="BL259"/>
  <c r="BL252"/>
  <c r="BL216"/>
  <c r="BL206"/>
  <c r="BL198"/>
  <c r="BL251"/>
  <c r="BL227"/>
  <c r="BL221"/>
  <c r="BL212" i="3"/>
  <c r="BL212" i="2" s="1"/>
  <c r="BL213"/>
  <c r="BL211"/>
  <c r="BL203"/>
  <c r="BL193"/>
  <c r="BL332"/>
  <c r="BL242"/>
  <c r="BL207"/>
  <c r="BL199"/>
  <c r="BL186"/>
  <c r="BL176"/>
  <c r="BL168"/>
  <c r="BL158"/>
  <c r="BL150"/>
  <c r="BL257"/>
  <c r="BL249"/>
  <c r="BL241"/>
  <c r="BL240"/>
  <c r="BL234"/>
  <c r="BL192"/>
  <c r="BL188"/>
  <c r="BL183"/>
  <c r="BL173"/>
  <c r="BL164" i="3"/>
  <c r="BL164" i="2" s="1"/>
  <c r="BL165"/>
  <c r="BL163"/>
  <c r="BL155"/>
  <c r="BL331"/>
  <c r="BL218"/>
  <c r="BL190"/>
  <c r="BL187"/>
  <c r="BL185"/>
  <c r="BL175"/>
  <c r="BL167"/>
  <c r="BL157"/>
  <c r="BL307"/>
  <c r="BL217"/>
  <c r="BL210"/>
  <c r="BL202"/>
  <c r="BL195"/>
  <c r="BL177"/>
  <c r="BL169"/>
  <c r="BL159"/>
  <c r="BL191"/>
  <c r="BL180" i="3"/>
  <c r="BL180" i="2" s="1"/>
  <c r="BL181"/>
  <c r="BL162"/>
  <c r="BL154"/>
  <c r="BL152"/>
  <c r="BL146"/>
  <c r="BL138"/>
  <c r="BL128"/>
  <c r="BL120"/>
  <c r="BL110"/>
  <c r="BL102"/>
  <c r="BL92"/>
  <c r="BL82"/>
  <c r="BL74"/>
  <c r="BL64"/>
  <c r="BL56"/>
  <c r="BL46"/>
  <c r="BL220"/>
  <c r="BL215"/>
  <c r="BL174"/>
  <c r="BL166"/>
  <c r="BL160"/>
  <c r="BL151"/>
  <c r="BL140"/>
  <c r="BL130"/>
  <c r="BL122"/>
  <c r="BL112"/>
  <c r="BL104"/>
  <c r="BL94"/>
  <c r="BL86"/>
  <c r="BL76"/>
  <c r="BL66"/>
  <c r="BL58"/>
  <c r="BL48"/>
  <c r="BL232"/>
  <c r="BL224"/>
  <c r="BL208"/>
  <c r="BL205"/>
  <c r="BL200"/>
  <c r="BL196" i="3"/>
  <c r="BL196" i="2" s="1"/>
  <c r="BL197"/>
  <c r="BL145"/>
  <c r="BL137"/>
  <c r="BL127"/>
  <c r="BL119"/>
  <c r="BL109"/>
  <c r="BL100" i="3"/>
  <c r="BL100" i="2" s="1"/>
  <c r="BL101"/>
  <c r="BL99"/>
  <c r="BL91"/>
  <c r="BL81"/>
  <c r="BL73"/>
  <c r="BL63"/>
  <c r="BL55"/>
  <c r="BL45"/>
  <c r="BL298"/>
  <c r="BL189"/>
  <c r="BL184"/>
  <c r="BL179"/>
  <c r="BL171"/>
  <c r="BL148" i="3"/>
  <c r="BL148" i="2" s="1"/>
  <c r="BL149"/>
  <c r="BL147"/>
  <c r="BL139"/>
  <c r="BL129"/>
  <c r="BL121"/>
  <c r="BL111"/>
  <c r="BL103"/>
  <c r="BL93"/>
  <c r="BL84" i="3"/>
  <c r="BL84" i="2" s="1"/>
  <c r="BL85"/>
  <c r="BL83"/>
  <c r="BL75"/>
  <c r="BL65"/>
  <c r="BL57"/>
  <c r="BL47"/>
  <c r="BL141"/>
  <c r="BL132" i="3"/>
  <c r="BL132" i="2" s="1"/>
  <c r="BL133"/>
  <c r="BL114"/>
  <c r="BL106"/>
  <c r="BL77"/>
  <c r="BL68" i="3"/>
  <c r="BL68" i="2" s="1"/>
  <c r="BL69"/>
  <c r="BL50"/>
  <c r="BL42"/>
  <c r="BL33"/>
  <c r="BL25"/>
  <c r="BL15"/>
  <c r="BL7"/>
  <c r="BL299"/>
  <c r="BL178"/>
  <c r="BL172"/>
  <c r="BL126"/>
  <c r="BL118"/>
  <c r="BL98"/>
  <c r="BL90"/>
  <c r="BL62"/>
  <c r="BL54"/>
  <c r="BL40"/>
  <c r="BL30"/>
  <c r="BL22"/>
  <c r="BL12"/>
  <c r="BL349"/>
  <c r="BL284"/>
  <c r="BL233"/>
  <c r="BL170"/>
  <c r="BL125"/>
  <c r="BL116" i="3"/>
  <c r="BL116" i="2" s="1"/>
  <c r="BL117"/>
  <c r="BL113"/>
  <c r="BL105"/>
  <c r="BL97"/>
  <c r="BL89"/>
  <c r="BL61"/>
  <c r="BL52" i="3"/>
  <c r="BL52" i="2" s="1"/>
  <c r="BL53"/>
  <c r="BL49"/>
  <c r="BL41"/>
  <c r="BL36" i="3"/>
  <c r="BL36" i="2" s="1"/>
  <c r="BL37"/>
  <c r="BL35"/>
  <c r="BL27"/>
  <c r="BL17"/>
  <c r="BL9"/>
  <c r="BL156"/>
  <c r="BL153"/>
  <c r="BL124"/>
  <c r="BL96"/>
  <c r="BL88"/>
  <c r="BL60"/>
  <c r="BL32"/>
  <c r="BL24"/>
  <c r="BL14"/>
  <c r="BL6"/>
  <c r="BL87"/>
  <c r="BL28"/>
  <c r="BL13"/>
  <c r="BL161"/>
  <c r="BL95"/>
  <c r="BL39"/>
  <c r="BL19"/>
  <c r="BL11"/>
  <c r="BL144"/>
  <c r="BL80"/>
  <c r="BL34"/>
  <c r="BL26"/>
  <c r="BL4" i="3"/>
  <c r="BL4" i="2" s="1"/>
  <c r="BL5"/>
  <c r="BL228" i="3"/>
  <c r="BL228" i="2" s="1"/>
  <c r="BL229"/>
  <c r="BL182"/>
  <c r="BL143"/>
  <c r="BL79"/>
  <c r="BL38"/>
  <c r="BL18"/>
  <c r="BL10"/>
  <c r="BL131"/>
  <c r="BL70"/>
  <c r="BL44"/>
  <c r="BL16"/>
  <c r="BL8"/>
  <c r="BL258"/>
  <c r="BL67"/>
  <c r="BL250"/>
  <c r="BL142"/>
  <c r="BL136"/>
  <c r="BL59"/>
  <c r="BL23"/>
  <c r="BL20" i="3"/>
  <c r="BL20" i="2" s="1"/>
  <c r="BL21"/>
  <c r="BL135"/>
  <c r="BL29"/>
  <c r="BL134"/>
  <c r="BL283"/>
  <c r="BL107"/>
  <c r="BL108"/>
  <c r="BL123"/>
  <c r="BL31"/>
  <c r="BL291"/>
  <c r="BL72"/>
  <c r="BL115"/>
  <c r="BL71"/>
  <c r="BL51"/>
  <c r="BL43"/>
  <c r="BL78"/>
  <c r="Q2"/>
  <c r="R2"/>
  <c r="AL2"/>
  <c r="AM2"/>
  <c r="P2"/>
  <c r="AX2"/>
  <c r="AQ2"/>
  <c r="Z2"/>
  <c r="BK2"/>
  <c r="BC2"/>
  <c r="H2"/>
  <c r="AR2"/>
  <c r="AG2"/>
  <c r="AA2"/>
  <c r="AB2"/>
  <c r="AC2"/>
  <c r="AF2"/>
  <c r="AN2"/>
  <c r="N2"/>
  <c r="BA2"/>
  <c r="F2"/>
  <c r="AU2"/>
  <c r="AH2"/>
  <c r="BD2"/>
  <c r="AV2"/>
  <c r="AZ2"/>
  <c r="AJ2"/>
  <c r="AO2"/>
  <c r="T2"/>
  <c r="BI2"/>
  <c r="AK2"/>
  <c r="AT2"/>
  <c r="BH2"/>
  <c r="I2"/>
  <c r="BM2"/>
  <c r="AI2"/>
  <c r="K2"/>
  <c r="L2"/>
  <c r="AW2"/>
  <c r="BB2"/>
  <c r="S2"/>
  <c r="U2"/>
  <c r="BJ2"/>
  <c r="X2"/>
  <c r="AS2"/>
  <c r="G2"/>
  <c r="Y2"/>
  <c r="AY2"/>
  <c r="AP2"/>
  <c r="O2"/>
  <c r="BG2"/>
  <c r="BE2"/>
  <c r="W2"/>
  <c r="V2"/>
  <c r="AE2"/>
  <c r="J2"/>
  <c r="M2"/>
  <c r="BF2"/>
  <c r="AD2"/>
  <c r="BL2"/>
</calcChain>
</file>

<file path=xl/sharedStrings.xml><?xml version="1.0" encoding="utf-8"?>
<sst xmlns="http://schemas.openxmlformats.org/spreadsheetml/2006/main" count="31" uniqueCount="31">
  <si>
    <t>**重要提示**</t>
  </si>
  <si>
    <t>本文件、本文件所含信息以及任何基于此的衍生信息仅限SHANGHAI UNIVERSITY的JIARUI YANG使用。</t>
  </si>
  <si>
    <t>~~~~~~~~~~~~~~~~~~~~~~~~~~~~~~~~~~~~~~~~~~~~~~~~~~~~~~~~~~~~~~~~~~~~~~~~~~~~~~~~~~~~~~~~~~~~~~~~~~~~~~~~~~~~~~~~~~~~~~~~~~~~~~~~~~~~~~~~~~~~~~~~~~~~~~~</t>
  </si>
  <si>
    <t>**参考**</t>
  </si>
  <si>
    <t xml:space="preserve">     彭博行业(BI)Excel输出生成的电子数据表可作为参考表格，用于不同的模型和其他表格。</t>
  </si>
  <si>
    <t xml:space="preserve">     暂不支持自动建造模型或从BI输出表格中拖放，但将BI输出作为参考表格用于其他电子数</t>
  </si>
  <si>
    <t xml:space="preserve">   据表，功能强大，简便易用，能帮助您实现各种分析目的。</t>
  </si>
  <si>
    <t xml:space="preserve">   --BI Excel输出表格通常包含2个数据标签(有些BI模型，比如BI行情显示部分的模型，只能生</t>
  </si>
  <si>
    <t xml:space="preserve">   成1个数据标签“工作表1”)：</t>
  </si>
  <si>
    <t xml:space="preserve">     1) BI数据：此标签界面简洁，数据与BI控制面板同步。 </t>
  </si>
  <si>
    <t xml:space="preserve">          列示表格可作为参考表格，用于不同的模型和其他衍生电子数据表。</t>
  </si>
  <si>
    <t xml:space="preserve">     2) 参考数据：此标签下存储着所有的原始数据并包含数据加工。通常会有两个独立的表格：</t>
  </si>
  <si>
    <t xml:space="preserve">          上表包括出错处理、公式等等，下表包含输出的任何/所有实时API信息。 </t>
  </si>
  <si>
    <t xml:space="preserve">          实际API(BDP/BDH)公式的构建也是在下表中，因此如果想查看/运用相应API详情，可参</t>
  </si>
  <si>
    <t xml:space="preserve">          看此处。</t>
  </si>
  <si>
    <t xml:space="preserve">          注：有些时候，可能没有下表(如果所选数据无一来自实时API链接)。</t>
  </si>
  <si>
    <t xml:space="preserve">   --不同标签的表格中包含有共同的数据列：</t>
  </si>
  <si>
    <t xml:space="preserve">     1) 简介:此行标签与您在BI上看到的行标签相同。</t>
  </si>
  <si>
    <t xml:space="preserve">     2) 代码：与此行对应的公司/指数代码(代码用于 </t>
  </si>
  <si>
    <t xml:space="preserve">          此行BDP/BDH公式，如适用)</t>
  </si>
  <si>
    <t xml:space="preserve">     3) 栏目代码：此calcrout代码用于构建此行BDP/BDH公式(如适用)。</t>
  </si>
  <si>
    <t xml:space="preserve">     4) 栏目助记符：此calcrout助记符与用于构建此行BDP/BDH公式(如适用)的栏目代码相对应。</t>
  </si>
  <si>
    <t xml:space="preserve">     5) 数据状态：此特定行的数据状态，包括“动态”、“静态”、“合计”、“平均”、“中值”或“标题”。</t>
  </si>
  <si>
    <t xml:space="preserve">           如果是“动态”，那么一旦有新数据进入数据库，即可自动更新至表格，无需再次输出。</t>
  </si>
  <si>
    <t xml:space="preserve">           如果是“静态”，即此行不存在实时链接，新数据只能通过再次运行BI并输出。</t>
  </si>
  <si>
    <t xml:space="preserve">           如果是“合计”、“平均”、“中值”或“公式”，有些公式组件的数据或许能自动更新，但如果要</t>
  </si>
  <si>
    <t xml:space="preserve">           确保表格中的数据都是最新的，必须再次运行BI并输出。</t>
  </si>
  <si>
    <t>~~~~~~~~~~~~~~~~~~~~~~~~~~~~~~~~~~~~~~~~~~~~~~~~~~~~~~~~~~~~~~~~~~~~~~~~~~~~~~~~~~~~~~~~~~~~~~~~~~~~~~~~~~~~~~~~~~~~~~~~~~~~~~~~~~~~~~~~~~~~~~~~~~~~~~~~~~~~~~~~</t>
  </si>
  <si>
    <t>**帮助**</t>
  </si>
  <si>
    <t xml:space="preserve">     如果您在BI Excel输出过程中或对输出结果有任何疑问，请在彭博终端上运行BI&lt;GO&gt;功能，</t>
  </si>
  <si>
    <t xml:space="preserve">   然后按&lt;HELP&gt;键两次。</t>
  </si>
</sst>
</file>

<file path=xl/styles.xml><?xml version="1.0" encoding="utf-8"?>
<styleSheet xmlns="http://schemas.openxmlformats.org/spreadsheetml/2006/main">
  <fonts count="20">
    <font>
      <sz val="11"/>
      <color theme="1"/>
      <name val="宋体"/>
      <family val="2"/>
      <scheme val="minor"/>
    </font>
    <font>
      <b/>
      <sz val="11"/>
      <color indexed="9"/>
      <name val="Calibri"/>
      <family val="2"/>
    </font>
    <font>
      <sz val="11"/>
      <color theme="1"/>
      <name val="宋体"/>
      <family val="2"/>
      <scheme val="minor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sz val="9"/>
      <name val="宋体"/>
      <family val="3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2">
    <xf numFmtId="0" fontId="0" fillId="0" borderId="0" xfId="0"/>
    <xf numFmtId="0" fontId="1" fillId="33" borderId="0" xfId="26" applyNumberFormat="1" applyFont="1" applyFill="1" applyBorder="1" applyAlignment="1" applyProtection="1"/>
  </cellXfs>
  <cellStyles count="43">
    <cellStyle name="20% - 强调文字颜色 1" xfId="1" builtinId="30" customBuiltin="1"/>
    <cellStyle name="20% - 强调文字颜色 2" xfId="2" builtinId="34" customBuiltin="1"/>
    <cellStyle name="20% - 强调文字颜色 3" xfId="3" builtinId="38" customBuiltin="1"/>
    <cellStyle name="20% - 强调文字颜色 4" xfId="4" builtinId="42" customBuiltin="1"/>
    <cellStyle name="20% - 强调文字颜色 5" xfId="5" builtinId="46" customBuiltin="1"/>
    <cellStyle name="20% - 强调文字颜色 6" xfId="6" builtinId="50" customBuiltin="1"/>
    <cellStyle name="40% - 强调文字颜色 1" xfId="7" builtinId="31" customBuiltin="1"/>
    <cellStyle name="40% - 强调文字颜色 2" xfId="8" builtinId="35" customBuiltin="1"/>
    <cellStyle name="40% - 强调文字颜色 3" xfId="9" builtinId="39" customBuiltin="1"/>
    <cellStyle name="40% - 强调文字颜色 4" xfId="10" builtinId="43" customBuiltin="1"/>
    <cellStyle name="40% - 强调文字颜色 5" xfId="11" builtinId="47" customBuiltin="1"/>
    <cellStyle name="40% - 强调文字颜色 6" xfId="12" builtinId="51" customBuiltin="1"/>
    <cellStyle name="60% - 强调文字颜色 1" xfId="13" builtinId="32" customBuiltin="1"/>
    <cellStyle name="60% - 强调文字颜色 2" xfId="14" builtinId="36" customBuiltin="1"/>
    <cellStyle name="60% - 强调文字颜色 3" xfId="15" builtinId="40" customBuiltin="1"/>
    <cellStyle name="60% - 强调文字颜色 4" xfId="16" builtinId="44" customBuiltin="1"/>
    <cellStyle name="60% - 强调文字颜色 5" xfId="17" builtinId="48" customBuiltin="1"/>
    <cellStyle name="60% - 强调文字颜色 6" xfId="18" builtinId="52" customBuiltin="1"/>
    <cellStyle name="blp_column_header" xfId="26"/>
    <cellStyle name="标题" xfId="40" builtinId="15" customBuiltin="1"/>
    <cellStyle name="标题 1" xfId="31" builtinId="16" customBuiltin="1"/>
    <cellStyle name="标题 2" xfId="32" builtinId="17" customBuiltin="1"/>
    <cellStyle name="标题 3" xfId="33" builtinId="18" customBuiltin="1"/>
    <cellStyle name="标题 4" xfId="34" builtinId="19" customBuiltin="1"/>
    <cellStyle name="差" xfId="25" builtinId="27" customBuiltin="1"/>
    <cellStyle name="常规" xfId="0" builtinId="0"/>
    <cellStyle name="好" xfId="30" builtinId="26" customBuiltin="1"/>
    <cellStyle name="汇总" xfId="41" builtinId="25" customBuiltin="1"/>
    <cellStyle name="计算" xfId="27" builtinId="22" customBuiltin="1"/>
    <cellStyle name="检查单元格" xfId="28" builtinId="23" customBuiltin="1"/>
    <cellStyle name="解释性文本" xfId="29" builtinId="53" customBuiltin="1"/>
    <cellStyle name="警告文本" xfId="42" builtinId="11" customBuiltin="1"/>
    <cellStyle name="链接单元格" xfId="36" builtinId="24" customBuiltin="1"/>
    <cellStyle name="强调文字颜色 1" xfId="19" builtinId="29" customBuiltin="1"/>
    <cellStyle name="强调文字颜色 2" xfId="20" builtinId="33" customBuiltin="1"/>
    <cellStyle name="强调文字颜色 3" xfId="21" builtinId="37" customBuiltin="1"/>
    <cellStyle name="强调文字颜色 4" xfId="22" builtinId="41" customBuiltin="1"/>
    <cellStyle name="强调文字颜色 5" xfId="23" builtinId="45" customBuiltin="1"/>
    <cellStyle name="强调文字颜色 6" xfId="24" builtinId="49" customBuiltin="1"/>
    <cellStyle name="适中" xfId="37" builtinId="28" customBuiltin="1"/>
    <cellStyle name="输出" xfId="39" builtinId="21" customBuiltin="1"/>
    <cellStyle name="输入" xfId="35" builtinId="20" customBuiltin="1"/>
    <cellStyle name="注释" xfId="38" builtinId="10" customBuiltin="1"/>
  </cellStyles>
  <dxfs count="0"/>
  <tableStyles count="0" defaultTableStyle="TableStyleMedium2" defaultPivotStyle="PivotStyleLight16"/>
</styleSheet>
</file>

<file path=xl/volatileDependencies.xml><?xml version="1.0" encoding="utf-8"?>
<volTypes xmlns="http://schemas.openxmlformats.org/spreadsheetml/2006/main">
  <volType type="realTimeData">
    <main first="bloomberg.rtd">
      <tp t="s">
        <v>#N/A Authorization</v>
        <stp/>
        <stp>##V3_BDHV12</stp>
        <stp>DDR US Equity</stp>
        <stp>BE592</stp>
        <stp>-60CQ</stp>
        <stp>2018/3/31</stp>
        <stp>[零售reit companeis.xlsx]ReferenceData!R633C6</stp>
        <stp>Per=CQ</stp>
        <stp>Dts=H</stp>
        <stp>Dir=H</stp>
        <stp>Points=60</stp>
        <stp>Sort=R</stp>
        <stp>Days=A</stp>
        <stp>Fill=B</stp>
        <stp>BE997=1GY</stp>
        <stp>FX=USD</stp>
        <tr r="F633" s="3"/>
      </tp>
      <tp t="s">
        <v>#N/A Authorization</v>
        <stp/>
        <stp>##V3_BDHV12</stp>
        <stp>CBL US Equity</stp>
        <stp>BE592</stp>
        <stp>-60CQ</stp>
        <stp>2018/3/31</stp>
        <stp>[零售reit companeis.xlsx]ReferenceData!R632C6</stp>
        <stp>Per=CQ</stp>
        <stp>Dts=H</stp>
        <stp>Dir=H</stp>
        <stp>Points=60</stp>
        <stp>Sort=R</stp>
        <stp>Days=A</stp>
        <stp>Fill=B</stp>
        <stp>BE997=1GY</stp>
        <stp>FX=USD</stp>
        <tr r="F632" s="3"/>
      </tp>
      <tp t="s">
        <v>#N/A Authorization</v>
        <stp/>
        <stp>##V3_BDHV12</stp>
        <stp>BRX US Equity</stp>
        <stp>BE592</stp>
        <stp>-60CQ</stp>
        <stp>2018/3/31</stp>
        <stp>[零售reit companeis.xlsx]ReferenceData!R631C6</stp>
        <stp>Per=CQ</stp>
        <stp>Dts=H</stp>
        <stp>Dir=H</stp>
        <stp>Points=60</stp>
        <stp>Sort=R</stp>
        <stp>Days=A</stp>
        <stp>Fill=B</stp>
        <stp>BE997=1GY</stp>
        <stp>FX=USD</stp>
        <tr r="F631" s="3"/>
      </tp>
      <tp t="s">
        <v>#N/A Authorization</v>
        <stp/>
        <stp>##V3_BDHV12</stp>
        <stp>FRT US Equity</stp>
        <stp>BE592</stp>
        <stp>-60CQ</stp>
        <stp>2018/3/31</stp>
        <stp>[零售reit companeis.xlsx]ReferenceData!R634C6</stp>
        <stp>Per=CQ</stp>
        <stp>Dts=H</stp>
        <stp>Dir=H</stp>
        <stp>Points=60</stp>
        <stp>Sort=R</stp>
        <stp>Days=A</stp>
        <stp>Fill=B</stp>
        <stp>BE997=1GY</stp>
        <stp>FX=USD</stp>
        <tr r="F634" s="3"/>
      </tp>
      <tp t="s">
        <v>#N/A Authorization</v>
        <stp/>
        <stp>##V3_BDHV12</stp>
        <stp>KIM US Equity</stp>
        <stp>BE592</stp>
        <stp>-60CQ</stp>
        <stp>2018/3/31</stp>
        <stp>[零售reit companeis.xlsx]ReferenceData!R635C6</stp>
        <stp>Per=CQ</stp>
        <stp>Dts=H</stp>
        <stp>Dir=H</stp>
        <stp>Points=60</stp>
        <stp>Sort=R</stp>
        <stp>Days=A</stp>
        <stp>Fill=B</stp>
        <stp>BE997=1GY</stp>
        <stp>FX=USD</stp>
        <tr r="F635" s="3"/>
      </tp>
      <tp t="s">
        <v>#N/A Authorization</v>
        <stp/>
        <stp>##V3_BDHV12</stp>
        <stp>NNN US Equity</stp>
        <stp>BE592</stp>
        <stp>-60CQ</stp>
        <stp>2018/3/31</stp>
        <stp>[零售reit companeis.xlsx]ReferenceData!R636C6</stp>
        <stp>Per=CQ</stp>
        <stp>Dts=H</stp>
        <stp>Dir=H</stp>
        <stp>Points=60</stp>
        <stp>Sort=R</stp>
        <stp>Days=A</stp>
        <stp>Fill=B</stp>
        <stp>BE997=1GY</stp>
        <stp>FX=USD</stp>
        <tr r="F636" s="3"/>
      </tp>
      <tp t="s">
        <v>#N/A Authorization</v>
        <stp/>
        <stp>##V3_BDHV12</stp>
        <stp>REG US Equity</stp>
        <stp>BE592</stp>
        <stp>-60CQ</stp>
        <stp>2018/3/31</stp>
        <stp>[零售reit companeis.xlsx]ReferenceData!R638C6</stp>
        <stp>Per=CQ</stp>
        <stp>Dts=H</stp>
        <stp>Dir=H</stp>
        <stp>Points=60</stp>
        <stp>Sort=R</stp>
        <stp>Days=A</stp>
        <stp>Fill=B</stp>
        <stp>BE997=1GY</stp>
        <stp>FX=USD</stp>
        <tr r="F638" s="3"/>
      </tp>
      <tp t="s">
        <v>#N/A Authorization</v>
        <stp/>
        <stp>##V3_BDHV12</stp>
        <stp>BRX US Equity</stp>
        <stp>RR253</stp>
        <stp>-60CQ</stp>
        <stp>2018/3/31</stp>
        <stp>[BI_RETRN_1.xlsx]ReferenceData!R838C3</stp>
        <stp>PER=CQ</stp>
        <stp>Dts=S</stp>
        <stp>DtFmt=FI</stp>
        <stp>rows=2</stp>
        <stp>Dir=H</stp>
        <stp>Points=60</stp>
        <stp>Sort=R</stp>
        <stp>Days=A</stp>
        <stp>Fill=B</stp>
        <stp>FX=USD</stp>
        <tr r="C838" s="3"/>
      </tp>
      <tp t="s">
        <v>#N/A Authorization</v>
        <stp/>
        <stp>##V3_BDHV12</stp>
        <stp>VER US Equity</stp>
        <stp>BE592</stp>
        <stp>-60CQ</stp>
        <stp>2018/3/31</stp>
        <stp>[零售reit companeis.xlsx]ReferenceData!R643C6</stp>
        <stp>Per=CQ</stp>
        <stp>Dts=H</stp>
        <stp>Dir=H</stp>
        <stp>Points=60</stp>
        <stp>Sort=R</stp>
        <stp>Days=A</stp>
        <stp>Fill=B</stp>
        <stp>BE997=1GY</stp>
        <stp>FX=USD</stp>
        <tr r="F643" s="3"/>
      </tp>
      <tp t="s">
        <v>#N/A Authorization</v>
        <stp/>
        <stp>##V3_BDHV12</stp>
        <stp>SKT US Equity</stp>
        <stp>BE592</stp>
        <stp>-60CQ</stp>
        <stp>2018/3/31</stp>
        <stp>[零售reit companeis.xlsx]ReferenceData!R642C6</stp>
        <stp>Per=CQ</stp>
        <stp>Dts=H</stp>
        <stp>Dir=H</stp>
        <stp>Points=60</stp>
        <stp>Sort=R</stp>
        <stp>Days=A</stp>
        <stp>Fill=B</stp>
        <stp>BE997=1GY</stp>
        <stp>FX=USD</stp>
        <tr r="F642" s="3"/>
      </tp>
      <tp t="s">
        <v>#N/A Authorization</v>
        <stp/>
        <stp>##V3_BDHV12</stp>
        <stp>WPG US Equity</stp>
        <stp>BE592</stp>
        <stp>-60CQ</stp>
        <stp>2018/3/31</stp>
        <stp>[零售reit companeis.xlsx]ReferenceData!R644C6</stp>
        <stp>Per=CQ</stp>
        <stp>Dts=H</stp>
        <stp>Dir=H</stp>
        <stp>Points=60</stp>
        <stp>Sort=R</stp>
        <stp>Days=A</stp>
        <stp>Fill=B</stp>
        <stp>BE997=1GY</stp>
        <stp>FX=USD</stp>
        <tr r="F644" s="3"/>
      </tp>
      <tp t="s">
        <v>#N/A Authorization</v>
        <stp/>
        <stp>##V3_BDHV12</stp>
        <stp>SPG US Equity</stp>
        <stp>BE592</stp>
        <stp>-60CQ</stp>
        <stp>2018/3/31</stp>
        <stp>[零售reit companeis.xlsx]ReferenceData!R641C6</stp>
        <stp>Per=CQ</stp>
        <stp>Dts=H</stp>
        <stp>Dir=H</stp>
        <stp>Points=60</stp>
        <stp>Sort=R</stp>
        <stp>Days=A</stp>
        <stp>Fill=B</stp>
        <stp>BE997=1GY</stp>
        <stp>FX=USD</stp>
        <tr r="F641" s="3"/>
      </tp>
      <tp t="s">
        <v>#N/A Authorization</v>
        <stp/>
        <stp>##V3_BDHV12</stp>
        <stp>WRI US Equity</stp>
        <stp>BE592</stp>
        <stp>-60CQ</stp>
        <stp>2018/3/31</stp>
        <stp>[零售reit companeis.xlsx]ReferenceData!R645C6</stp>
        <stp>Per=CQ</stp>
        <stp>Dts=H</stp>
        <stp>Dir=H</stp>
        <stp>Points=60</stp>
        <stp>Sort=R</stp>
        <stp>Days=A</stp>
        <stp>Fill=B</stp>
        <stp>BE997=1GY</stp>
        <stp>FX=USD</stp>
        <tr r="F645" s="3"/>
      </tp>
      <tp t="s">
        <v>#N/A Authorization</v>
        <stp/>
        <stp>##V3_BDHV12</stp>
        <stp>BRX US Equity</stp>
        <stp>BS658</stp>
        <stp>-60CQ</stp>
        <stp>2018/3/31</stp>
        <stp>[BI_RETRN_1.xlsx]ReferenceData!R842C3</stp>
        <stp>PER=CQ</stp>
        <stp>Dts=S</stp>
        <stp>DtFmt=FI</stp>
        <stp>rows=2</stp>
        <stp>Dir=H</stp>
        <stp>Points=60</stp>
        <stp>Sort=R</stp>
        <stp>Days=A</stp>
        <stp>Fill=B</stp>
        <stp>FX=USD</stp>
        <tr r="C842" s="3"/>
      </tp>
      <tp t="s">
        <v>#N/A Authorization</v>
        <stp/>
        <stp>##V3_BDHV12</stp>
        <stp>BRX US Equity</stp>
        <stp>BS189</stp>
        <stp>-60CQ</stp>
        <stp>2018/3/31</stp>
        <stp>[BI_RETRN_1.xlsx]ReferenceData!R840C3</stp>
        <stp>PER=CQ</stp>
        <stp>Dts=S</stp>
        <stp>DtFmt=FI</stp>
        <stp>rows=2</stp>
        <stp>Dir=H</stp>
        <stp>Points=60</stp>
        <stp>Sort=R</stp>
        <stp>Days=A</stp>
        <stp>Fill=B</stp>
        <stp>FX=USD</stp>
        <tr r="C840" s="3"/>
      </tp>
      <tp t="s">
        <v>#N/A Authorization</v>
        <stp/>
        <stp>##V3_BDHV12</stp>
        <stp>ROIC US Equity</stp>
        <stp>BE592</stp>
        <stp>-60CQ</stp>
        <stp>2018/3/31</stp>
        <stp>[零售reit companeis.xlsx]ReferenceData!R639C6</stp>
        <stp>Per=CQ</stp>
        <stp>Dts=H</stp>
        <stp>Dir=H</stp>
        <stp>Points=60</stp>
        <stp>Sort=R</stp>
        <stp>Days=A</stp>
        <stp>Fill=B</stp>
        <stp>BE997=1GY</stp>
        <stp>FX=USD</stp>
        <tr r="F639" s="3"/>
      </tp>
      <tp t="s">
        <v>#N/A Authorization</v>
        <stp/>
        <stp>##V3_BDHV12</stp>
        <stp>RPAI US Equity</stp>
        <stp>BE592</stp>
        <stp>-60CQ</stp>
        <stp>2018/3/31</stp>
        <stp>[零售reit companeis.xlsx]ReferenceData!R640C6</stp>
        <stp>Per=CQ</stp>
        <stp>Dts=H</stp>
        <stp>Dir=H</stp>
        <stp>Points=60</stp>
        <stp>Sort=R</stp>
        <stp>Days=A</stp>
        <stp>Fill=B</stp>
        <stp>BE997=1GY</stp>
        <stp>FX=USD</stp>
        <tr r="F640" s="3"/>
      </tp>
    </main>
    <main first="bloomberg.ccyreader">
      <tp>
        <v>0</v>
        <stp/>
        <stp>#track</stp>
        <stp>DBG</stp>
        <stp>BIHITX</stp>
        <stp>1.0</stp>
        <stp>RepeatHit</stp>
        <tr r="A413" s="3"/>
      </tp>
    </main>
    <main first="bloomberg.rtd">
      <tp t="s">
        <v>#N/A Authorization</v>
        <stp/>
        <stp>##V3_BDHV12</stp>
        <stp>O US Equity</stp>
        <stp>BE592</stp>
        <stp>-60CQ</stp>
        <stp>2018/3/31</stp>
        <stp>[零售reit companeis.xlsx]ReferenceData!R637C6</stp>
        <stp>Per=CQ</stp>
        <stp>Dts=H</stp>
        <stp>Dir=H</stp>
        <stp>Points=60</stp>
        <stp>Sort=R</stp>
        <stp>Days=A</stp>
        <stp>Fill=B</stp>
        <stp>BE997=1GY</stp>
        <stp>FX=USD</stp>
        <tr r="F637" s="3"/>
      </tp>
      <tp t="s">
        <v>#N/A Authorization</v>
        <stp/>
        <stp>##V3_BDHV12</stp>
        <stp>BRX US Equity</stp>
        <stp>RX225</stp>
        <stp>-60CQ</stp>
        <stp>2018/3/31</stp>
        <stp>[零售reit companeis.xlsx]ReferenceData!R646C6</stp>
        <stp>Per=CQ</stp>
        <stp>Dts=H</stp>
        <stp>Dir=H</stp>
        <stp>Points=60</stp>
        <stp>Sort=R</stp>
        <stp>Days=A</stp>
        <stp>Fill=B</stp>
        <stp>FX=USD</stp>
        <tr r="F646" s="3"/>
      </tp>
      <tp t="s">
        <v>#N/A Authorization</v>
        <stp/>
        <stp>##V3_BDHV12</stp>
        <stp>FRT US Equity</stp>
        <stp>RX225</stp>
        <stp>-60CQ</stp>
        <stp>2018/3/31</stp>
        <stp>[零售reit companeis.xlsx]ReferenceData!R649C6</stp>
        <stp>Per=CQ</stp>
        <stp>Dts=H</stp>
        <stp>Dir=H</stp>
        <stp>Points=60</stp>
        <stp>Sort=R</stp>
        <stp>Days=A</stp>
        <stp>Fill=B</stp>
        <stp>FX=USD</stp>
        <tr r="F649" s="3"/>
      </tp>
      <tp t="s">
        <v>#N/A Authorization</v>
        <stp/>
        <stp>##V3_BDHV12</stp>
        <stp>WPG US Equity</stp>
        <stp>RR106</stp>
        <stp>-60CQ</stp>
        <stp>2018/3/31</stp>
        <stp>[零售reit companeis.xlsx]ReferenceData!R824C6</stp>
        <stp>Per=CQ</stp>
        <stp>Dts=H</stp>
        <stp>Dir=H</stp>
        <stp>Points=60</stp>
        <stp>Sort=R</stp>
        <stp>Days=A</stp>
        <stp>Fill=B</stp>
        <stp>FX=USD</stp>
        <tr r="F824" s="3"/>
      </tp>
      <tp t="s">
        <v>#N/A Authorization</v>
        <stp/>
        <stp>##V3_BDHV12</stp>
        <stp>SPG US Equity</stp>
        <stp>RR106</stp>
        <stp>-60CQ</stp>
        <stp>2018/3/31</stp>
        <stp>[零售reit companeis.xlsx]ReferenceData!R821C6</stp>
        <stp>Per=CQ</stp>
        <stp>Dts=H</stp>
        <stp>Dir=H</stp>
        <stp>Points=60</stp>
        <stp>Sort=R</stp>
        <stp>Days=A</stp>
        <stp>Fill=B</stp>
        <stp>FX=USD</stp>
        <tr r="F821" s="3"/>
      </tp>
      <tp t="s">
        <v>#N/A Authorization</v>
        <stp/>
        <stp>##V3_BDHV12</stp>
        <stp>SPG US Equity</stp>
        <stp>RR009</stp>
        <stp>-60CQ</stp>
        <stp>2018/3/31</stp>
        <stp>[零售reit companeis.xlsx]ReferenceData!R551C6</stp>
        <stp>Per=CQ</stp>
        <stp>Dts=H</stp>
        <stp>Dir=H</stp>
        <stp>Points=60</stp>
        <stp>Sort=R</stp>
        <stp>Days=A</stp>
        <stp>Fill=B</stp>
        <stp>FX=USD</stp>
        <tr r="F551" s="3"/>
      </tp>
      <tp t="s">
        <v>#N/A Authorization</v>
        <stp/>
        <stp>##V3_BDHV12</stp>
        <stp>WPG US Equity</stp>
        <stp>RR009</stp>
        <stp>-60CQ</stp>
        <stp>2018/3/31</stp>
        <stp>[零售reit companeis.xlsx]ReferenceData!R554C6</stp>
        <stp>Per=CQ</stp>
        <stp>Dts=H</stp>
        <stp>Dir=H</stp>
        <stp>Points=60</stp>
        <stp>Sort=R</stp>
        <stp>Days=A</stp>
        <stp>Fill=B</stp>
        <stp>FX=USD</stp>
        <tr r="F554" s="3"/>
      </tp>
      <tp t="s">
        <v>#N/A Authorization</v>
        <stp/>
        <stp>##V3_BDHV12</stp>
        <stp>WRI US Equity</stp>
        <stp>RX225</stp>
        <stp>-60CQ</stp>
        <stp>2018/3/31</stp>
        <stp>[零售reit companeis.xlsx]ReferenceData!R660C6</stp>
        <stp>Per=CQ</stp>
        <stp>Dts=H</stp>
        <stp>Dir=H</stp>
        <stp>Points=60</stp>
        <stp>Sort=R</stp>
        <stp>Days=A</stp>
        <stp>Fill=B</stp>
        <stp>FX=USD</stp>
        <tr r="F660" s="3"/>
      </tp>
      <tp t="s">
        <v>#N/A Authorization</v>
        <stp/>
        <stp>##V3_BDHV12</stp>
        <stp>SPG US Equity</stp>
        <stp>RR008</stp>
        <stp>-60CQ</stp>
        <stp>2018/3/31</stp>
        <stp>[零售reit companeis.xlsx]ReferenceData!R806C6</stp>
        <stp>Per=CQ</stp>
        <stp>Dts=H</stp>
        <stp>Dir=H</stp>
        <stp>Points=60</stp>
        <stp>Sort=R</stp>
        <stp>Days=A</stp>
        <stp>Fill=B</stp>
        <stp>FX=USD</stp>
        <tr r="F806" s="3"/>
      </tp>
      <tp t="s">
        <v>#N/A Authorization</v>
        <stp/>
        <stp>##V3_BDHV12</stp>
        <stp>WPG US Equity</stp>
        <stp>RR008</stp>
        <stp>-60CQ</stp>
        <stp>2018/3/31</stp>
        <stp>[零售reit companeis.xlsx]ReferenceData!R809C6</stp>
        <stp>Per=CQ</stp>
        <stp>Dts=H</stp>
        <stp>Dir=H</stp>
        <stp>Points=60</stp>
        <stp>Sort=R</stp>
        <stp>Days=A</stp>
        <stp>Fill=B</stp>
        <stp>FX=USD</stp>
        <tr r="F809" s="3"/>
      </tp>
      <tp t="s">
        <v>#N/A Authorization</v>
        <stp/>
        <stp>##V3_BDHV12</stp>
        <stp>SPG US Equity</stp>
        <stp>RR502</stp>
        <stp>-60CQ</stp>
        <stp>2018/3/31</stp>
        <stp>[零售reit companeis.xlsx]ReferenceData!R536C6</stp>
        <stp>Per=CQ</stp>
        <stp>Dts=H</stp>
        <stp>Dir=H</stp>
        <stp>Points=60</stp>
        <stp>Sort=R</stp>
        <stp>Days=A</stp>
        <stp>Fill=B</stp>
        <stp>FX=USD</stp>
        <tr r="F536" s="3"/>
      </tp>
      <tp t="s">
        <v>#N/A Authorization</v>
        <stp/>
        <stp>##V3_BDHV12</stp>
        <stp>WPG US Equity</stp>
        <stp>RR502</stp>
        <stp>-60CQ</stp>
        <stp>2018/3/31</stp>
        <stp>[零售reit companeis.xlsx]ReferenceData!R539C6</stp>
        <stp>Per=CQ</stp>
        <stp>Dts=H</stp>
        <stp>Dir=H</stp>
        <stp>Points=60</stp>
        <stp>Sort=R</stp>
        <stp>Days=A</stp>
        <stp>Fill=B</stp>
        <stp>FX=USD</stp>
        <tr r="F539" s="3"/>
      </tp>
      <tp t="s">
        <v>#N/A Authorization</v>
        <stp/>
        <stp>##V3_BDHV12</stp>
        <stp>WPG US Equity</stp>
        <stp>RX902</stp>
        <stp>-60CQ</stp>
        <stp>2018/3/31</stp>
        <stp>[零售reit companeis.xlsx]ReferenceData!R674C6</stp>
        <stp>Per=CQ</stp>
        <stp>Dts=H</stp>
        <stp>Dir=H</stp>
        <stp>Points=60</stp>
        <stp>Sort=R</stp>
        <stp>Days=A</stp>
        <stp>Fill=B</stp>
        <stp>FX=USD</stp>
        <tr r="F674" s="3"/>
      </tp>
      <tp t="s">
        <v>#N/A Authorization</v>
        <stp/>
        <stp>##V3_BDHV12</stp>
        <stp>SPG US Equity</stp>
        <stp>RX902</stp>
        <stp>-60CQ</stp>
        <stp>2018/3/31</stp>
        <stp>[零售reit companeis.xlsx]ReferenceData!R671C6</stp>
        <stp>Per=CQ</stp>
        <stp>Dts=H</stp>
        <stp>Dir=H</stp>
        <stp>Points=60</stp>
        <stp>Sort=R</stp>
        <stp>Days=A</stp>
        <stp>Fill=B</stp>
        <stp>FX=USD</stp>
        <tr r="F671" s="3"/>
      </tp>
      <tp t="s">
        <v>#N/A Authorization</v>
        <stp/>
        <stp>##V3_BDHV12</stp>
        <stp>BRX US Equity</stp>
        <stp>RR033</stp>
        <stp>-60CQ</stp>
        <stp>2018/3/31</stp>
        <stp>[零售reit companeis.xlsx]ReferenceData!R601C6</stp>
        <stp>Per=CQ</stp>
        <stp>Dts=H</stp>
        <stp>Dir=H</stp>
        <stp>Points=60</stp>
        <stp>Sort=R</stp>
        <stp>Days=A</stp>
        <stp>Fill=B</stp>
        <stp>FX=USD</stp>
        <tr r="F601" s="3"/>
      </tp>
      <tp t="s">
        <v>#N/A Authorization</v>
        <stp/>
        <stp>##V3_BDHV12</stp>
        <stp>SPG US Equity</stp>
        <stp>IS010</stp>
        <stp>-60CQ</stp>
        <stp>2018/3/31</stp>
        <stp>[零售reit companeis.xlsx]ReferenceData!R521C6</stp>
        <stp>Per=CQ</stp>
        <stp>Dts=H</stp>
        <stp>Dir=H</stp>
        <stp>Points=60</stp>
        <stp>Sort=R</stp>
        <stp>Days=A</stp>
        <stp>Fill=B</stp>
        <stp>FX=USD</stp>
        <tr r="F521" s="3"/>
      </tp>
      <tp t="s">
        <v>#N/A Authorization</v>
        <stp/>
        <stp>##V3_BDHV12</stp>
        <stp>WPG US Equity</stp>
        <stp>IS010</stp>
        <stp>-60CQ</stp>
        <stp>2018/3/31</stp>
        <stp>[零售reit companeis.xlsx]ReferenceData!R524C6</stp>
        <stp>Per=CQ</stp>
        <stp>Dts=H</stp>
        <stp>Dir=H</stp>
        <stp>Points=60</stp>
        <stp>Sort=R</stp>
        <stp>Days=A</stp>
        <stp>Fill=B</stp>
        <stp>FX=USD</stp>
        <tr r="F524" s="3"/>
      </tp>
      <tp t="s">
        <v>#N/A Authorization</v>
        <stp/>
        <stp>##V3_BDHV12</stp>
        <stp>WRI US Equity</stp>
        <stp>CF039</stp>
        <stp>-60CQ</stp>
        <stp>2018/3/31</stp>
        <stp>[零售reit companeis.xlsx]ReferenceData!R585C6</stp>
        <stp>Per=CQ</stp>
        <stp>Dts=H</stp>
        <stp>Dir=H</stp>
        <stp>Points=60</stp>
        <stp>Sort=R</stp>
        <stp>Days=A</stp>
        <stp>Fill=B</stp>
        <stp>FX=USD</stp>
        <tr r="F585" s="3"/>
      </tp>
      <tp t="s">
        <v>#N/A Authorization</v>
        <stp/>
        <stp>##V3_BDHV12</stp>
        <stp>WRI US Equity</stp>
        <stp>IS030</stp>
        <stp>-60CQ</stp>
        <stp>2018/3/31</stp>
        <stp>[零售reit companeis.xlsx]ReferenceData!R480C6</stp>
        <stp>Per=CQ</stp>
        <stp>Dts=H</stp>
        <stp>Dir=H</stp>
        <stp>Points=60</stp>
        <stp>Sort=R</stp>
        <stp>Days=A</stp>
        <stp>Fill=B</stp>
        <stp>FX=USD</stp>
        <tr r="F480" s="3"/>
      </tp>
      <tp t="s">
        <v>#N/A Authorization</v>
        <stp/>
        <stp>##V3_BDHV12</stp>
        <stp>FRT US Equity</stp>
        <stp>RR033</stp>
        <stp>-60CQ</stp>
        <stp>2018/3/31</stp>
        <stp>[零售reit companeis.xlsx]ReferenceData!R604C6</stp>
        <stp>Per=CQ</stp>
        <stp>Dts=H</stp>
        <stp>Dir=H</stp>
        <stp>Points=60</stp>
        <stp>Sort=R</stp>
        <stp>Days=A</stp>
        <stp>Fill=B</stp>
        <stp>FX=USD</stp>
        <tr r="F604" s="3"/>
      </tp>
      <tp t="s">
        <v>#N/A Authorization</v>
        <stp/>
        <stp>##V3_BDHV12</stp>
        <stp>WRI US Equity</stp>
        <stp>RR033</stp>
        <stp>-60CQ</stp>
        <stp>2018/3/31</stp>
        <stp>[零售reit companeis.xlsx]ReferenceData!R615C6</stp>
        <stp>Per=CQ</stp>
        <stp>Dts=H</stp>
        <stp>Dir=H</stp>
        <stp>Points=60</stp>
        <stp>Sort=R</stp>
        <stp>Days=A</stp>
        <stp>Fill=B</stp>
        <stp>FX=USD</stp>
        <tr r="F615" s="3"/>
      </tp>
      <tp t="s">
        <v>#N/A Authorization</v>
        <stp/>
        <stp>##V3_BDHV12</stp>
        <stp>FRT US Equity</stp>
        <stp>CF039</stp>
        <stp>-60CQ</stp>
        <stp>2018/3/31</stp>
        <stp>[零售reit companeis.xlsx]ReferenceData!R574C6</stp>
        <stp>Per=CQ</stp>
        <stp>Dts=H</stp>
        <stp>Dir=H</stp>
        <stp>Points=60</stp>
        <stp>Sort=R</stp>
        <stp>Days=A</stp>
        <stp>Fill=B</stp>
        <stp>FX=USD</stp>
        <tr r="F574" s="3"/>
      </tp>
      <tp t="s">
        <v>#N/A Authorization</v>
        <stp/>
        <stp>##V3_BDHV12</stp>
        <stp>FRT US Equity</stp>
        <stp>IS030</stp>
        <stp>-60CQ</stp>
        <stp>2018/3/31</stp>
        <stp>[零售reit companeis.xlsx]ReferenceData!R469C6</stp>
        <stp>Per=CQ</stp>
        <stp>Dts=H</stp>
        <stp>Dir=H</stp>
        <stp>Points=60</stp>
        <stp>Sort=R</stp>
        <stp>Days=A</stp>
        <stp>Fill=B</stp>
        <stp>FX=USD</stp>
        <tr r="F469" s="3"/>
      </tp>
      <tp t="s">
        <v>#N/A Authorization</v>
        <stp/>
        <stp>##V3_BDHV12</stp>
        <stp>BRX US Equity</stp>
        <stp>CF039</stp>
        <stp>-60CQ</stp>
        <stp>2018/3/31</stp>
        <stp>[零售reit companeis.xlsx]ReferenceData!R571C6</stp>
        <stp>Per=CQ</stp>
        <stp>Dts=H</stp>
        <stp>Dir=H</stp>
        <stp>Points=60</stp>
        <stp>Sort=R</stp>
        <stp>Days=A</stp>
        <stp>Fill=B</stp>
        <stp>FX=USD</stp>
        <tr r="F571" s="3"/>
      </tp>
      <tp t="s">
        <v>#N/A Authorization</v>
        <stp/>
        <stp>##V3_BDHV12</stp>
        <stp>BRX US Equity</stp>
        <stp>IS030</stp>
        <stp>-60CQ</stp>
        <stp>2018/3/31</stp>
        <stp>[零售reit companeis.xlsx]ReferenceData!R466C6</stp>
        <stp>Per=CQ</stp>
        <stp>Dts=H</stp>
        <stp>Dir=H</stp>
        <stp>Points=60</stp>
        <stp>Sort=R</stp>
        <stp>Days=A</stp>
        <stp>Fill=B</stp>
        <stp>FX=USD</stp>
        <tr r="F466" s="3"/>
      </tp>
      <tp t="s">
        <v>#N/A Authorization</v>
        <stp/>
        <stp>##V3_BDHV12</stp>
        <stp>BRX US Equity</stp>
        <stp>RX902</stp>
        <stp>-60CQ</stp>
        <stp>2018/3/31</stp>
        <stp>[零售reit companeis.xlsx]ReferenceData!R661C6</stp>
        <stp>Per=CQ</stp>
        <stp>Dts=H</stp>
        <stp>Dir=H</stp>
        <stp>Points=60</stp>
        <stp>Sort=R</stp>
        <stp>Days=A</stp>
        <stp>Fill=B</stp>
        <stp>FX=USD</stp>
        <tr r="F661" s="3"/>
      </tp>
      <tp t="s">
        <v>#N/A Authorization</v>
        <stp/>
        <stp>##V3_BDHV12</stp>
        <stp>BRX US Equity</stp>
        <stp>RR502</stp>
        <stp>-60CQ</stp>
        <stp>2018/3/31</stp>
        <stp>[零售reit companeis.xlsx]ReferenceData!R526C6</stp>
        <stp>Per=CQ</stp>
        <stp>Dts=H</stp>
        <stp>Dir=H</stp>
        <stp>Points=60</stp>
        <stp>Sort=R</stp>
        <stp>Days=A</stp>
        <stp>Fill=B</stp>
        <stp>FX=USD</stp>
        <tr r="F526" s="3"/>
      </tp>
      <tp t="s">
        <v>#N/A Authorization</v>
        <stp/>
        <stp>##V3_BDHV12</stp>
        <stp>FRT US Equity</stp>
        <stp>RR009</stp>
        <stp>-60CQ</stp>
        <stp>2018/3/31</stp>
        <stp>[零售reit companeis.xlsx]ReferenceData!R544C6</stp>
        <stp>Per=CQ</stp>
        <stp>Dts=H</stp>
        <stp>Dir=H</stp>
        <stp>Points=60</stp>
        <stp>Sort=R</stp>
        <stp>Days=A</stp>
        <stp>Fill=B</stp>
        <stp>FX=USD</stp>
        <tr r="F544" s="3"/>
      </tp>
      <tp t="s">
        <v>#N/A Authorization</v>
        <stp/>
        <stp>##V3_BDHV12</stp>
        <stp>FRT US Equity</stp>
        <stp>RR008</stp>
        <stp>-60CQ</stp>
        <stp>2018/3/31</stp>
        <stp>[零售reit companeis.xlsx]ReferenceData!R799C6</stp>
        <stp>Per=CQ</stp>
        <stp>Dts=H</stp>
        <stp>Dir=H</stp>
        <stp>Points=60</stp>
        <stp>Sort=R</stp>
        <stp>Days=A</stp>
        <stp>Fill=B</stp>
        <stp>FX=USD</stp>
        <tr r="F799" s="3"/>
      </tp>
      <tp t="s">
        <v>#N/A Authorization</v>
        <stp/>
        <stp>##V3_BDHV12</stp>
        <stp>FRT US Equity</stp>
        <stp>RR106</stp>
        <stp>-60CQ</stp>
        <stp>2018/3/31</stp>
        <stp>[零售reit companeis.xlsx]ReferenceData!R814C6</stp>
        <stp>Per=CQ</stp>
        <stp>Dts=H</stp>
        <stp>Dir=H</stp>
        <stp>Points=60</stp>
        <stp>Sort=R</stp>
        <stp>Days=A</stp>
        <stp>Fill=B</stp>
        <stp>FX=USD</stp>
        <tr r="F814" s="3"/>
      </tp>
      <tp t="s">
        <v>#N/A Authorization</v>
        <stp/>
        <stp>##V3_BDHV12</stp>
        <stp>BRX US Equity</stp>
        <stp>RR009</stp>
        <stp>-60CQ</stp>
        <stp>2018/3/31</stp>
        <stp>[零售reit companeis.xlsx]ReferenceData!R541C6</stp>
        <stp>Per=CQ</stp>
        <stp>Dts=H</stp>
        <stp>Dir=H</stp>
        <stp>Points=60</stp>
        <stp>Sort=R</stp>
        <stp>Days=A</stp>
        <stp>Fill=B</stp>
        <stp>FX=USD</stp>
        <tr r="F541" s="3"/>
      </tp>
      <tp t="s">
        <v>#N/A Authorization</v>
        <stp/>
        <stp>##V3_BDHV12</stp>
        <stp>BRX US Equity</stp>
        <stp>RR008</stp>
        <stp>-60CQ</stp>
        <stp>2018/3/31</stp>
        <stp>[零售reit companeis.xlsx]ReferenceData!R796C6</stp>
        <stp>Per=CQ</stp>
        <stp>Dts=H</stp>
        <stp>Dir=H</stp>
        <stp>Points=60</stp>
        <stp>Sort=R</stp>
        <stp>Days=A</stp>
        <stp>Fill=B</stp>
        <stp>FX=USD</stp>
        <tr r="F796" s="3"/>
      </tp>
      <tp t="s">
        <v>#N/A Authorization</v>
        <stp/>
        <stp>##V3_BDHV12</stp>
        <stp>BRX US Equity</stp>
        <stp>RR106</stp>
        <stp>-60CQ</stp>
        <stp>2018/3/31</stp>
        <stp>[零售reit companeis.xlsx]ReferenceData!R811C6</stp>
        <stp>Per=CQ</stp>
        <stp>Dts=H</stp>
        <stp>Dir=H</stp>
        <stp>Points=60</stp>
        <stp>Sort=R</stp>
        <stp>Days=A</stp>
        <stp>Fill=B</stp>
        <stp>FX=USD</stp>
        <tr r="F811" s="3"/>
      </tp>
      <tp t="s">
        <v>#N/A Authorization</v>
        <stp/>
        <stp>##V3_BDHV12</stp>
        <stp>FRT US Equity</stp>
        <stp>RX902</stp>
        <stp>-60CQ</stp>
        <stp>2018/3/31</stp>
        <stp>[零售reit companeis.xlsx]ReferenceData!R664C6</stp>
        <stp>Per=CQ</stp>
        <stp>Dts=H</stp>
        <stp>Dir=H</stp>
        <stp>Points=60</stp>
        <stp>Sort=R</stp>
        <stp>Days=A</stp>
        <stp>Fill=B</stp>
        <stp>FX=USD</stp>
        <tr r="F664" s="3"/>
      </tp>
      <tp t="s">
        <v>#N/A Authorization</v>
        <stp/>
        <stp>##V3_BDHV12</stp>
        <stp>FRT US Equity</stp>
        <stp>RR502</stp>
        <stp>-60CQ</stp>
        <stp>2018/3/31</stp>
        <stp>[零售reit companeis.xlsx]ReferenceData!R529C6</stp>
        <stp>Per=CQ</stp>
        <stp>Dts=H</stp>
        <stp>Dir=H</stp>
        <stp>Points=60</stp>
        <stp>Sort=R</stp>
        <stp>Days=A</stp>
        <stp>Fill=B</stp>
        <stp>FX=USD</stp>
        <tr r="F529" s="3"/>
      </tp>
      <tp t="s">
        <v>#N/A Authorization</v>
        <stp/>
        <stp>##V3_BDHV12</stp>
        <stp>WRI US Equity</stp>
        <stp>RX902</stp>
        <stp>-60CQ</stp>
        <stp>2018/3/31</stp>
        <stp>[零售reit companeis.xlsx]ReferenceData!R675C6</stp>
        <stp>Per=CQ</stp>
        <stp>Dts=H</stp>
        <stp>Dir=H</stp>
        <stp>Points=60</stp>
        <stp>Sort=R</stp>
        <stp>Days=A</stp>
        <stp>Fill=B</stp>
        <stp>FX=USD</stp>
        <tr r="F675" s="3"/>
      </tp>
      <tp t="s">
        <v>#N/A Authorization</v>
        <stp/>
        <stp>##V3_BDHV12</stp>
        <stp>WRI US Equity</stp>
        <stp>RR502</stp>
        <stp>-60CQ</stp>
        <stp>2018/3/31</stp>
        <stp>[零售reit companeis.xlsx]ReferenceData!R540C6</stp>
        <stp>Per=CQ</stp>
        <stp>Dts=H</stp>
        <stp>Dir=H</stp>
        <stp>Points=60</stp>
        <stp>Sort=R</stp>
        <stp>Days=A</stp>
        <stp>Fill=B</stp>
        <stp>FX=USD</stp>
        <tr r="F540" s="3"/>
      </tp>
      <tp t="s">
        <v>#N/A Authorization</v>
        <stp/>
        <stp>##V3_BDHV12</stp>
        <stp>WRI US Equity</stp>
        <stp>RR008</stp>
        <stp>-60CQ</stp>
        <stp>2018/3/31</stp>
        <stp>[零售reit companeis.xlsx]ReferenceData!R810C6</stp>
        <stp>Per=CQ</stp>
        <stp>Dts=H</stp>
        <stp>Dir=H</stp>
        <stp>Points=60</stp>
        <stp>Sort=R</stp>
        <stp>Days=A</stp>
        <stp>Fill=B</stp>
        <stp>FX=USD</stp>
        <tr r="F810" s="3"/>
      </tp>
      <tp t="s">
        <v>#N/A Authorization</v>
        <stp/>
        <stp>##V3_BDHV12</stp>
        <stp>WRI US Equity</stp>
        <stp>RR009</stp>
        <stp>-60CQ</stp>
        <stp>2018/3/31</stp>
        <stp>[零售reit companeis.xlsx]ReferenceData!R555C6</stp>
        <stp>Per=CQ</stp>
        <stp>Dts=H</stp>
        <stp>Dir=H</stp>
        <stp>Points=60</stp>
        <stp>Sort=R</stp>
        <stp>Days=A</stp>
        <stp>Fill=B</stp>
        <stp>FX=USD</stp>
        <tr r="F555" s="3"/>
      </tp>
      <tp t="s">
        <v>#N/A Authorization</v>
        <stp/>
        <stp>##V3_BDHV12</stp>
        <stp>SPG US Equity</stp>
        <stp>RX225</stp>
        <stp>-60CQ</stp>
        <stp>2018/3/31</stp>
        <stp>[零售reit companeis.xlsx]ReferenceData!R656C6</stp>
        <stp>Per=CQ</stp>
        <stp>Dts=H</stp>
        <stp>Dir=H</stp>
        <stp>Points=60</stp>
        <stp>Sort=R</stp>
        <stp>Days=A</stp>
        <stp>Fill=B</stp>
        <stp>FX=USD</stp>
        <tr r="F656" s="3"/>
      </tp>
      <tp t="s">
        <v>#N/A Authorization</v>
        <stp/>
        <stp>##V3_BDHV12</stp>
        <stp>WPG US Equity</stp>
        <stp>RX225</stp>
        <stp>-60CQ</stp>
        <stp>2018/3/31</stp>
        <stp>[零售reit companeis.xlsx]ReferenceData!R659C6</stp>
        <stp>Per=CQ</stp>
        <stp>Dts=H</stp>
        <stp>Dir=H</stp>
        <stp>Points=60</stp>
        <stp>Sort=R</stp>
        <stp>Days=A</stp>
        <stp>Fill=B</stp>
        <stp>FX=USD</stp>
        <tr r="F659" s="3"/>
      </tp>
      <tp t="s">
        <v>#N/A Authorization</v>
        <stp/>
        <stp>##V3_BDHV12</stp>
        <stp>WRI US Equity</stp>
        <stp>RR106</stp>
        <stp>-60CQ</stp>
        <stp>2018/3/31</stp>
        <stp>[零售reit companeis.xlsx]ReferenceData!R825C6</stp>
        <stp>Per=CQ</stp>
        <stp>Dts=H</stp>
        <stp>Dir=H</stp>
        <stp>Points=60</stp>
        <stp>Sort=R</stp>
        <stp>Days=A</stp>
        <stp>Fill=B</stp>
        <stp>FX=USD</stp>
        <tr r="F825" s="3"/>
      </tp>
      <tp t="s">
        <v>#N/A Authorization</v>
        <stp/>
        <stp>##V3_BDHV12</stp>
        <stp>SPG US Equity</stp>
        <stp>IS030</stp>
        <stp>-60CQ</stp>
        <stp>2018/3/31</stp>
        <stp>[零售reit companeis.xlsx]ReferenceData!R476C6</stp>
        <stp>Per=CQ</stp>
        <stp>Dts=H</stp>
        <stp>Dir=H</stp>
        <stp>Points=60</stp>
        <stp>Sort=R</stp>
        <stp>Days=A</stp>
        <stp>Fill=B</stp>
        <stp>FX=USD</stp>
        <tr r="F476" s="3"/>
      </tp>
      <tp t="s">
        <v>#N/A Authorization</v>
        <stp/>
        <stp>##V3_BDHV12</stp>
        <stp>WPG US Equity</stp>
        <stp>IS030</stp>
        <stp>-60CQ</stp>
        <stp>2018/3/31</stp>
        <stp>[零售reit companeis.xlsx]ReferenceData!R479C6</stp>
        <stp>Per=CQ</stp>
        <stp>Dts=H</stp>
        <stp>Dir=H</stp>
        <stp>Points=60</stp>
        <stp>Sort=R</stp>
        <stp>Days=A</stp>
        <stp>Fill=B</stp>
        <stp>FX=USD</stp>
        <tr r="F479" s="3"/>
      </tp>
      <tp t="s">
        <v>#N/A Authorization</v>
        <stp/>
        <stp>##V3_BDHV12</stp>
        <stp>SPG US Equity</stp>
        <stp>CF039</stp>
        <stp>-60CQ</stp>
        <stp>2018/3/31</stp>
        <stp>[零售reit companeis.xlsx]ReferenceData!R581C6</stp>
        <stp>Per=CQ</stp>
        <stp>Dts=H</stp>
        <stp>Dir=H</stp>
        <stp>Points=60</stp>
        <stp>Sort=R</stp>
        <stp>Days=A</stp>
        <stp>Fill=B</stp>
        <stp>FX=USD</stp>
        <tr r="F581" s="3"/>
      </tp>
      <tp t="s">
        <v>#N/A Authorization</v>
        <stp/>
        <stp>##V3_BDHV12</stp>
        <stp>WPG US Equity</stp>
        <stp>CF039</stp>
        <stp>-60CQ</stp>
        <stp>2018/3/31</stp>
        <stp>[零售reit companeis.xlsx]ReferenceData!R584C6</stp>
        <stp>Per=CQ</stp>
        <stp>Dts=H</stp>
        <stp>Dir=H</stp>
        <stp>Points=60</stp>
        <stp>Sort=R</stp>
        <stp>Days=A</stp>
        <stp>Fill=B</stp>
        <stp>FX=USD</stp>
        <tr r="F584" s="3"/>
      </tp>
      <tp t="s">
        <v>#N/A Authorization</v>
        <stp/>
        <stp>##V3_BDHV12</stp>
        <stp>WRI US Equity</stp>
        <stp>IS010</stp>
        <stp>-60CQ</stp>
        <stp>2018/3/31</stp>
        <stp>[零售reit companeis.xlsx]ReferenceData!R525C6</stp>
        <stp>Per=CQ</stp>
        <stp>Dts=H</stp>
        <stp>Dir=H</stp>
        <stp>Points=60</stp>
        <stp>Sort=R</stp>
        <stp>Days=A</stp>
        <stp>Fill=B</stp>
        <stp>FX=USD</stp>
        <tr r="F525" s="3"/>
      </tp>
      <tp t="s">
        <v>#N/A Authorization</v>
        <stp/>
        <stp>##V3_BDHV12</stp>
        <stp>FRT US Equity</stp>
        <stp>IS010</stp>
        <stp>-60CQ</stp>
        <stp>2018/3/31</stp>
        <stp>[零售reit companeis.xlsx]ReferenceData!R514C6</stp>
        <stp>Per=CQ</stp>
        <stp>Dts=H</stp>
        <stp>Dir=H</stp>
        <stp>Points=60</stp>
        <stp>Sort=R</stp>
        <stp>Days=A</stp>
        <stp>Fill=B</stp>
        <stp>FX=USD</stp>
        <tr r="F514" s="3"/>
      </tp>
      <tp t="s">
        <v>#N/A Authorization</v>
        <stp/>
        <stp>##V3_BDHV12</stp>
        <stp>BRX US Equity</stp>
        <stp>IS010</stp>
        <stp>-60CQ</stp>
        <stp>2018/3/31</stp>
        <stp>[零售reit companeis.xlsx]ReferenceData!R511C6</stp>
        <stp>Per=CQ</stp>
        <stp>Dts=H</stp>
        <stp>Dir=H</stp>
        <stp>Points=60</stp>
        <stp>Sort=R</stp>
        <stp>Days=A</stp>
        <stp>Fill=B</stp>
        <stp>FX=USD</stp>
        <tr r="F511" s="3"/>
      </tp>
      <tp t="s">
        <v>#N/A Authorization</v>
        <stp/>
        <stp>##V3_BDHV12</stp>
        <stp>SPG US Equity</stp>
        <stp>RR033</stp>
        <stp>-60CQ</stp>
        <stp>2018/3/31</stp>
        <stp>[零售reit companeis.xlsx]ReferenceData!R611C6</stp>
        <stp>Per=CQ</stp>
        <stp>Dts=H</stp>
        <stp>Dir=H</stp>
        <stp>Points=60</stp>
        <stp>Sort=R</stp>
        <stp>Days=A</stp>
        <stp>Fill=B</stp>
        <stp>FX=USD</stp>
        <tr r="F611" s="3"/>
      </tp>
      <tp t="s">
        <v>#N/A Authorization</v>
        <stp/>
        <stp>##V3_BDHV12</stp>
        <stp>WPG US Equity</stp>
        <stp>RR033</stp>
        <stp>-60CQ</stp>
        <stp>2018/3/31</stp>
        <stp>[零售reit companeis.xlsx]ReferenceData!R614C6</stp>
        <stp>Per=CQ</stp>
        <stp>Dts=H</stp>
        <stp>Dir=H</stp>
        <stp>Points=60</stp>
        <stp>Sort=R</stp>
        <stp>Days=A</stp>
        <stp>Fill=B</stp>
        <stp>FX=USD</stp>
        <tr r="F614" s="3"/>
      </tp>
      <tp t="s">
        <v>#N/A Authorization</v>
        <stp/>
        <stp>##V3_BDHV12</stp>
        <stp>BRX US Equity</stp>
        <stp>RR263</stp>
        <stp>-60CQ</stp>
        <stp>2018/3/31</stp>
        <stp>[零售reit companeis.xlsx]ReferenceData!R751C6</stp>
        <stp>Per=CQ</stp>
        <stp>Dts=H</stp>
        <stp>Dir=H</stp>
        <stp>Points=60</stp>
        <stp>Sort=R</stp>
        <stp>Days=A</stp>
        <stp>Fill=B</stp>
        <stp>FX=USD</stp>
        <tr r="F751" s="3"/>
      </tp>
      <tp t="s">
        <v>#N/A Authorization</v>
        <stp/>
        <stp>##V3_BDHV12</stp>
        <stp>FRT US Equity</stp>
        <stp>RR263</stp>
        <stp>-60CQ</stp>
        <stp>2018/3/31</stp>
        <stp>[零售reit companeis.xlsx]ReferenceData!R754C6</stp>
        <stp>Per=CQ</stp>
        <stp>Dts=H</stp>
        <stp>Dir=H</stp>
        <stp>Points=60</stp>
        <stp>Sort=R</stp>
        <stp>Days=A</stp>
        <stp>Fill=B</stp>
        <stp>FX=USD</stp>
        <tr r="F754" s="3"/>
      </tp>
      <tp t="s">
        <v>#N/A Authorization</v>
        <stp/>
        <stp>##V3_BDHV12</stp>
        <stp>WRI US Equity</stp>
        <stp>RR263</stp>
        <stp>-60CQ</stp>
        <stp>2018/3/31</stp>
        <stp>[零售reit companeis.xlsx]ReferenceData!R765C6</stp>
        <stp>Per=CQ</stp>
        <stp>Dts=H</stp>
        <stp>Dir=H</stp>
        <stp>Points=60</stp>
        <stp>Sort=R</stp>
        <stp>Days=A</stp>
        <stp>Fill=B</stp>
        <stp>FX=USD</stp>
        <tr r="F765" s="3"/>
      </tp>
      <tp t="s">
        <v>#N/A Authorization</v>
        <stp/>
        <stp>##V3_BDHV12</stp>
        <stp>SPG US Equity</stp>
        <stp>RR147</stp>
        <stp>-60CQ</stp>
        <stp>2018/3/31</stp>
        <stp>[零售reit companeis.xlsx]ReferenceData!R746C6</stp>
        <stp>Per=CQ</stp>
        <stp>Dts=H</stp>
        <stp>Dir=H</stp>
        <stp>Points=60</stp>
        <stp>Sort=R</stp>
        <stp>Days=A</stp>
        <stp>Fill=B</stp>
        <stp>FX=USD</stp>
        <tr r="F746" s="3"/>
      </tp>
      <tp t="s">
        <v>#N/A Authorization</v>
        <stp/>
        <stp>##V3_BDHV12</stp>
        <stp>WPG US Equity</stp>
        <stp>RR147</stp>
        <stp>-60CQ</stp>
        <stp>2018/3/31</stp>
        <stp>[零售reit companeis.xlsx]ReferenceData!R749C6</stp>
        <stp>Per=CQ</stp>
        <stp>Dts=H</stp>
        <stp>Dir=H</stp>
        <stp>Points=60</stp>
        <stp>Sort=R</stp>
        <stp>Days=A</stp>
        <stp>Fill=B</stp>
        <stp>FX=USD</stp>
        <tr r="F749" s="3"/>
      </tp>
      <tp t="s">
        <v>#N/A Authorization</v>
        <stp/>
        <stp>##V3_BDHV12</stp>
        <stp>SPG US Equity</stp>
        <stp>BS658</stp>
        <stp>-60CQ</stp>
        <stp>2018/3/31</stp>
        <stp>[零售reit companeis.xlsx]ReferenceData!R791C6</stp>
        <stp>Per=CQ</stp>
        <stp>Dts=H</stp>
        <stp>Dir=H</stp>
        <stp>Points=60</stp>
        <stp>Sort=R</stp>
        <stp>Days=A</stp>
        <stp>Fill=B</stp>
        <stp>FX=USD</stp>
        <tr r="F791" s="3"/>
      </tp>
      <tp t="s">
        <v>#N/A Authorization</v>
        <stp/>
        <stp>##V3_BDHV12</stp>
        <stp>WPG US Equity</stp>
        <stp>BS658</stp>
        <stp>-60CQ</stp>
        <stp>2018/3/31</stp>
        <stp>[零售reit companeis.xlsx]ReferenceData!R794C6</stp>
        <stp>Per=CQ</stp>
        <stp>Dts=H</stp>
        <stp>Dir=H</stp>
        <stp>Points=60</stp>
        <stp>Sort=R</stp>
        <stp>Days=A</stp>
        <stp>Fill=B</stp>
        <stp>FX=USD</stp>
        <tr r="F794" s="3"/>
      </tp>
      <tp t="s">
        <v>#N/A Authorization</v>
        <stp/>
        <stp>##V3_BDHV12</stp>
        <stp>WPG US Equity</stp>
        <stp>BS658</stp>
        <stp>-60CQ</stp>
        <stp>2018/3/31</stp>
        <stp>[零售reit companeis.xlsx]ReferenceData!R462C6</stp>
        <stp>Per=CQ</stp>
        <stp>Dts=H</stp>
        <stp>Dir=H</stp>
        <stp>Points=60</stp>
        <stp>Sort=R</stp>
        <stp>Days=A</stp>
        <stp>Fill=B</stp>
        <stp>FX=USD</stp>
        <tr r="F462" s="3"/>
      </tp>
      <tp t="s">
        <v>#N/A Authorization</v>
        <stp/>
        <stp>##V3_BDHV12</stp>
        <stp>SPG US Equity</stp>
        <stp>BS658</stp>
        <stp>-60CQ</stp>
        <stp>2018/3/31</stp>
        <stp>[零售reit companeis.xlsx]ReferenceData!R453C6</stp>
        <stp>Per=CQ</stp>
        <stp>Dts=H</stp>
        <stp>Dir=H</stp>
        <stp>Points=60</stp>
        <stp>Sort=R</stp>
        <stp>Days=A</stp>
        <stp>Fill=B</stp>
        <stp>FX=USD</stp>
        <tr r="F453" s="3"/>
      </tp>
      <tp t="s">
        <v>#N/A Authorization</v>
        <stp/>
        <stp>##V3_BDHV12</stp>
        <stp>WRI US Equity</stp>
        <stp>IS972</stp>
        <stp>-60CQ</stp>
        <stp>2018/3/31</stp>
        <stp>[零售reit companeis.xlsx]ReferenceData!R570C6</stp>
        <stp>Per=CQ</stp>
        <stp>Dts=H</stp>
        <stp>Dir=H</stp>
        <stp>Points=60</stp>
        <stp>Sort=R</stp>
        <stp>Days=A</stp>
        <stp>Fill=B</stp>
        <stp>FX=USD</stp>
        <tr r="F570" s="3"/>
      </tp>
      <tp t="s">
        <v>#N/A Authorization</v>
        <stp/>
        <stp>##V3_BDHV12</stp>
        <stp>WRI US Equity</stp>
        <stp>IM275</stp>
        <stp>-60CQ</stp>
        <stp>2018/3/31</stp>
        <stp>[零售reit companeis.xlsx]ReferenceData!R495C6</stp>
        <stp>Per=CQ</stp>
        <stp>Dts=H</stp>
        <stp>Dir=H</stp>
        <stp>Points=60</stp>
        <stp>Sort=R</stp>
        <stp>Days=A</stp>
        <stp>Fill=B</stp>
        <stp>FX=USD</stp>
        <tr r="F495" s="3"/>
      </tp>
      <tp t="s">
        <v>#N/A Authorization</v>
        <stp/>
        <stp>##V3_BDHV12</stp>
        <stp>WRI US Equity</stp>
        <stp>F0578</stp>
        <stp>-60CQ</stp>
        <stp>2018/3/31</stp>
        <stp>[零售reit companeis.xlsx]ReferenceData!R600C6</stp>
        <stp>Per=CQ</stp>
        <stp>Dts=H</stp>
        <stp>Dir=H</stp>
        <stp>Points=60</stp>
        <stp>Sort=R</stp>
        <stp>Days=A</stp>
        <stp>Fill=B</stp>
        <stp>FX=USD</stp>
        <tr r="F600" s="3"/>
      </tp>
      <tp t="s">
        <v>#N/A Authorization</v>
        <stp/>
        <stp>##V3_BDHV12</stp>
        <stp>WRI US Equity</stp>
        <stp>F1178</stp>
        <stp>-60CQ</stp>
        <stp>2018/3/31</stp>
        <stp>[零售reit companeis.xlsx]ReferenceData!R735C6</stp>
        <stp>Per=CQ</stp>
        <stp>Dts=H</stp>
        <stp>Dir=H</stp>
        <stp>Points=60</stp>
        <stp>Sort=R</stp>
        <stp>Days=A</stp>
        <stp>Fill=B</stp>
        <stp>FX=USD</stp>
        <tr r="F735" s="3"/>
      </tp>
      <tp t="s">
        <v>#N/A Authorization</v>
        <stp/>
        <stp>##V3_BDHV12</stp>
        <stp>FRT US Equity</stp>
        <stp>F0578</stp>
        <stp>-60CQ</stp>
        <stp>2018/3/31</stp>
        <stp>[零售reit companeis.xlsx]ReferenceData!R589C6</stp>
        <stp>Per=CQ</stp>
        <stp>Dts=H</stp>
        <stp>Dir=H</stp>
        <stp>Points=60</stp>
        <stp>Sort=R</stp>
        <stp>Days=A</stp>
        <stp>Fill=B</stp>
        <stp>FX=USD</stp>
        <tr r="F589" s="3"/>
      </tp>
      <tp t="s">
        <v>#N/A Authorization</v>
        <stp/>
        <stp>##V3_BDHV12</stp>
        <stp>FRT US Equity</stp>
        <stp>F1178</stp>
        <stp>-60CQ</stp>
        <stp>2018/3/31</stp>
        <stp>[零售reit companeis.xlsx]ReferenceData!R724C6</stp>
        <stp>Per=CQ</stp>
        <stp>Dts=H</stp>
        <stp>Dir=H</stp>
        <stp>Points=60</stp>
        <stp>Sort=R</stp>
        <stp>Days=A</stp>
        <stp>Fill=B</stp>
        <stp>FX=USD</stp>
        <tr r="F724" s="3"/>
      </tp>
      <tp t="s">
        <v>#N/A Authorization</v>
        <stp/>
        <stp>##V3_BDHV12</stp>
        <stp>FRT US Equity</stp>
        <stp>IM275</stp>
        <stp>-60CQ</stp>
        <stp>2018/3/31</stp>
        <stp>[零售reit companeis.xlsx]ReferenceData!R484C6</stp>
        <stp>Per=CQ</stp>
        <stp>Dts=H</stp>
        <stp>Dir=H</stp>
        <stp>Points=60</stp>
        <stp>Sort=R</stp>
        <stp>Days=A</stp>
        <stp>Fill=B</stp>
        <stp>FX=USD</stp>
        <tr r="F484" s="3"/>
      </tp>
      <tp t="s">
        <v>#N/A Authorization</v>
        <stp/>
        <stp>##V3_BDHV12</stp>
        <stp>FRT US Equity</stp>
        <stp>IS972</stp>
        <stp>-60CQ</stp>
        <stp>2018/3/31</stp>
        <stp>[零售reit companeis.xlsx]ReferenceData!R559C6</stp>
        <stp>Per=CQ</stp>
        <stp>Dts=H</stp>
        <stp>Dir=H</stp>
        <stp>Points=60</stp>
        <stp>Sort=R</stp>
        <stp>Days=A</stp>
        <stp>Fill=B</stp>
        <stp>FX=USD</stp>
        <tr r="F559" s="3"/>
      </tp>
      <tp t="s">
        <v>#N/A Authorization</v>
        <stp/>
        <stp>##V3_BDHV12</stp>
        <stp>WPG US Equity</stp>
        <stp>RR554</stp>
        <stp>-60CQ</stp>
        <stp>2018/3/31</stp>
        <stp>[零售reit companeis.xlsx]ReferenceData!R704C6</stp>
        <stp>Per=CQ</stp>
        <stp>Dts=H</stp>
        <stp>Dir=H</stp>
        <stp>Points=60</stp>
        <stp>Sort=R</stp>
        <stp>Days=A</stp>
        <stp>Fill=B</stp>
        <stp>FX=USD</stp>
        <tr r="F704" s="3"/>
      </tp>
      <tp t="s">
        <v>#N/A Authorization</v>
        <stp/>
        <stp>##V3_BDHV12</stp>
        <stp>SPG US Equity</stp>
        <stp>RR554</stp>
        <stp>-60CQ</stp>
        <stp>2018/3/31</stp>
        <stp>[零售reit companeis.xlsx]ReferenceData!R701C6</stp>
        <stp>Per=CQ</stp>
        <stp>Dts=H</stp>
        <stp>Dir=H</stp>
        <stp>Points=60</stp>
        <stp>Sort=R</stp>
        <stp>Days=A</stp>
        <stp>Fill=B</stp>
        <stp>FX=USD</stp>
        <tr r="F701" s="3"/>
      </tp>
      <tp t="s">
        <v>#N/A Authorization</v>
        <stp/>
        <stp>##V3_BDHV12</stp>
        <stp>BRX US Equity</stp>
        <stp>IS972</stp>
        <stp>-60CQ</stp>
        <stp>2018/3/31</stp>
        <stp>[零售reit companeis.xlsx]ReferenceData!R556C6</stp>
        <stp>Per=CQ</stp>
        <stp>Dts=H</stp>
        <stp>Dir=H</stp>
        <stp>Points=60</stp>
        <stp>Sort=R</stp>
        <stp>Days=A</stp>
        <stp>Fill=B</stp>
        <stp>FX=USD</stp>
        <tr r="F556" s="3"/>
      </tp>
      <tp t="s">
        <v>#N/A Authorization</v>
        <stp/>
        <stp>##V3_BDHV12</stp>
        <stp>BRX US Equity</stp>
        <stp>F0578</stp>
        <stp>-60CQ</stp>
        <stp>2018/3/31</stp>
        <stp>[零售reit companeis.xlsx]ReferenceData!R586C6</stp>
        <stp>Per=CQ</stp>
        <stp>Dts=H</stp>
        <stp>Dir=H</stp>
        <stp>Points=60</stp>
        <stp>Sort=R</stp>
        <stp>Days=A</stp>
        <stp>Fill=B</stp>
        <stp>FX=USD</stp>
        <tr r="F586" s="3"/>
      </tp>
      <tp t="s">
        <v>#N/A Authorization</v>
        <stp/>
        <stp>##V3_BDHV12</stp>
        <stp>SPG US Equity</stp>
        <stp>RR551</stp>
        <stp>-60CQ</stp>
        <stp>2018/3/31</stp>
        <stp>[零售reit companeis.xlsx]ReferenceData!R626C6</stp>
        <stp>Per=CQ</stp>
        <stp>Dts=H</stp>
        <stp>Dir=H</stp>
        <stp>Points=60</stp>
        <stp>Sort=R</stp>
        <stp>Days=A</stp>
        <stp>Fill=B</stp>
        <stp>FX=USD</stp>
        <tr r="F626" s="3"/>
      </tp>
      <tp t="s">
        <v>#N/A Authorization</v>
        <stp/>
        <stp>##V3_BDHV12</stp>
        <stp>WPG US Equity</stp>
        <stp>RR551</stp>
        <stp>-60CQ</stp>
        <stp>2018/3/31</stp>
        <stp>[零售reit companeis.xlsx]ReferenceData!R629C6</stp>
        <stp>Per=CQ</stp>
        <stp>Dts=H</stp>
        <stp>Dir=H</stp>
        <stp>Points=60</stp>
        <stp>Sort=R</stp>
        <stp>Days=A</stp>
        <stp>Fill=B</stp>
        <stp>FX=USD</stp>
        <tr r="F629" s="3"/>
      </tp>
      <tp t="s">
        <v>#N/A Authorization</v>
        <stp/>
        <stp>##V3_BDHV12</stp>
        <stp>WPG US Equity</stp>
        <stp>RR253</stp>
        <stp>-60CQ</stp>
        <stp>2018/3/31</stp>
        <stp>[零售reit companeis.xlsx]ReferenceData!R460C6</stp>
        <stp>Per=CQ</stp>
        <stp>Dts=H</stp>
        <stp>Dir=H</stp>
        <stp>Points=60</stp>
        <stp>Sort=R</stp>
        <stp>Days=A</stp>
        <stp>Fill=B</stp>
        <stp>FX=USD</stp>
        <tr r="F460" s="3"/>
      </tp>
      <tp t="s">
        <v>#N/A Authorization</v>
        <stp/>
        <stp>##V3_BDHV12</stp>
        <stp>SPG US Equity</stp>
        <stp>RR253</stp>
        <stp>-60CQ</stp>
        <stp>2018/3/31</stp>
        <stp>[零售reit companeis.xlsx]ReferenceData!R451C6</stp>
        <stp>Per=CQ</stp>
        <stp>Dts=H</stp>
        <stp>Dir=H</stp>
        <stp>Points=60</stp>
        <stp>Sort=R</stp>
        <stp>Days=A</stp>
        <stp>Fill=B</stp>
        <stp>FX=USD</stp>
        <tr r="F451" s="3"/>
      </tp>
      <tp t="s">
        <v>#N/A Authorization</v>
        <stp/>
        <stp>##V3_BDHV12</stp>
        <stp>SPG US Equity</stp>
        <stp>RR253</stp>
        <stp>-60CQ</stp>
        <stp>2018/3/31</stp>
        <stp>[零售reit companeis.xlsx]ReferenceData!R776C6</stp>
        <stp>Per=CQ</stp>
        <stp>Dts=H</stp>
        <stp>Dir=H</stp>
        <stp>Points=60</stp>
        <stp>Sort=R</stp>
        <stp>Days=A</stp>
        <stp>Fill=B</stp>
        <stp>FX=USD</stp>
        <tr r="F776" s="3"/>
      </tp>
      <tp t="s">
        <v>#N/A Authorization</v>
        <stp/>
        <stp>##V3_BDHV12</stp>
        <stp>WPG US Equity</stp>
        <stp>RR253</stp>
        <stp>-60CQ</stp>
        <stp>2018/3/31</stp>
        <stp>[零售reit companeis.xlsx]ReferenceData!R779C6</stp>
        <stp>Per=CQ</stp>
        <stp>Dts=H</stp>
        <stp>Dir=H</stp>
        <stp>Points=60</stp>
        <stp>Sort=R</stp>
        <stp>Days=A</stp>
        <stp>Fill=B</stp>
        <stp>FX=USD</stp>
        <tr r="F779" s="3"/>
      </tp>
      <tp t="s">
        <v>#N/A Authorization</v>
        <stp/>
        <stp>##V3_BDHV12</stp>
        <stp>BRX US Equity</stp>
        <stp>F1178</stp>
        <stp>-60CQ</stp>
        <stp>2018/3/31</stp>
        <stp>[零售reit companeis.xlsx]ReferenceData!R721C6</stp>
        <stp>Per=CQ</stp>
        <stp>Dts=H</stp>
        <stp>Dir=H</stp>
        <stp>Points=60</stp>
        <stp>Sort=R</stp>
        <stp>Days=A</stp>
        <stp>Fill=B</stp>
        <stp>FX=USD</stp>
        <tr r="F721" s="3"/>
      </tp>
      <tp t="s">
        <v>#N/A Authorization</v>
        <stp/>
        <stp>##V3_BDHV12</stp>
        <stp>SPG US Equity</stp>
        <stp>RR553</stp>
        <stp>-60CQ</stp>
        <stp>2018/3/31</stp>
        <stp>[零售reit companeis.xlsx]ReferenceData!R686C6</stp>
        <stp>Per=CQ</stp>
        <stp>Dts=H</stp>
        <stp>Dir=H</stp>
        <stp>Points=60</stp>
        <stp>Sort=R</stp>
        <stp>Days=A</stp>
        <stp>Fill=B</stp>
        <stp>FX=USD</stp>
        <tr r="F686" s="3"/>
      </tp>
      <tp t="s">
        <v>#N/A Authorization</v>
        <stp/>
        <stp>##V3_BDHV12</stp>
        <stp>WPG US Equity</stp>
        <stp>RR553</stp>
        <stp>-60CQ</stp>
        <stp>2018/3/31</stp>
        <stp>[零售reit companeis.xlsx]ReferenceData!R689C6</stp>
        <stp>Per=CQ</stp>
        <stp>Dts=H</stp>
        <stp>Dir=H</stp>
        <stp>Points=60</stp>
        <stp>Sort=R</stp>
        <stp>Days=A</stp>
        <stp>Fill=B</stp>
        <stp>FX=USD</stp>
        <tr r="F689" s="3"/>
      </tp>
      <tp t="s">
        <v>#N/A Authorization</v>
        <stp/>
        <stp>##V3_BDHV12</stp>
        <stp>SPG US Equity</stp>
        <stp>RR052</stp>
        <stp>-60CQ</stp>
        <stp>2018/3/31</stp>
        <stp>[零售reit companeis.xlsx]ReferenceData!R716C6</stp>
        <stp>Per=CQ</stp>
        <stp>Dts=H</stp>
        <stp>Dir=H</stp>
        <stp>Points=60</stp>
        <stp>Sort=R</stp>
        <stp>Days=A</stp>
        <stp>Fill=B</stp>
        <stp>FX=USD</stp>
        <tr r="F716" s="3"/>
      </tp>
      <tp t="s">
        <v>#N/A Authorization</v>
        <stp/>
        <stp>##V3_BDHV12</stp>
        <stp>WPG US Equity</stp>
        <stp>RR052</stp>
        <stp>-60CQ</stp>
        <stp>2018/3/31</stp>
        <stp>[零售reit companeis.xlsx]ReferenceData!R719C6</stp>
        <stp>Per=CQ</stp>
        <stp>Dts=H</stp>
        <stp>Dir=H</stp>
        <stp>Points=60</stp>
        <stp>Sort=R</stp>
        <stp>Days=A</stp>
        <stp>Fill=B</stp>
        <stp>FX=USD</stp>
        <tr r="F719" s="3"/>
      </tp>
      <tp t="s">
        <v>#N/A Authorization</v>
        <stp/>
        <stp>##V3_BDHV12</stp>
        <stp>BRX US Equity</stp>
        <stp>IM275</stp>
        <stp>-60CQ</stp>
        <stp>2018/3/31</stp>
        <stp>[零售reit companeis.xlsx]ReferenceData!R481C6</stp>
        <stp>Per=CQ</stp>
        <stp>Dts=H</stp>
        <stp>Dir=H</stp>
        <stp>Points=60</stp>
        <stp>Sort=R</stp>
        <stp>Days=A</stp>
        <stp>Fill=B</stp>
        <stp>FX=USD</stp>
        <tr r="F481" s="3"/>
      </tp>
      <tp t="s">
        <v>#N/A Authorization</v>
        <stp/>
        <stp>##V3_BDHV12</stp>
        <stp>BRX US Equity</stp>
        <stp>RR147</stp>
        <stp>-60CQ</stp>
        <stp>2018/3/31</stp>
        <stp>[零售reit companeis.xlsx]ReferenceData!R736C6</stp>
        <stp>Per=CQ</stp>
        <stp>Dts=H</stp>
        <stp>Dir=H</stp>
        <stp>Points=60</stp>
        <stp>Sort=R</stp>
        <stp>Days=A</stp>
        <stp>Fill=B</stp>
        <stp>FX=USD</stp>
        <tr r="F736" s="3"/>
      </tp>
      <tp t="s">
        <v>#N/A Authorization</v>
        <stp/>
        <stp>##V3_BDHV12</stp>
        <stp>FRT US Equity</stp>
        <stp>RR147</stp>
        <stp>-60CQ</stp>
        <stp>2018/3/31</stp>
        <stp>[零售reit companeis.xlsx]ReferenceData!R739C6</stp>
        <stp>Per=CQ</stp>
        <stp>Dts=H</stp>
        <stp>Dir=H</stp>
        <stp>Points=60</stp>
        <stp>Sort=R</stp>
        <stp>Days=A</stp>
        <stp>Fill=B</stp>
        <stp>FX=USD</stp>
        <tr r="F739" s="3"/>
      </tp>
      <tp t="s">
        <v>#N/A Authorization</v>
        <stp/>
        <stp>##V3_BDHV12</stp>
        <stp>WRI US Equity</stp>
        <stp>RR147</stp>
        <stp>-60CQ</stp>
        <stp>2018/3/31</stp>
        <stp>[零售reit companeis.xlsx]ReferenceData!R750C6</stp>
        <stp>Per=CQ</stp>
        <stp>Dts=H</stp>
        <stp>Dir=H</stp>
        <stp>Points=60</stp>
        <stp>Sort=R</stp>
        <stp>Days=A</stp>
        <stp>Fill=B</stp>
        <stp>FX=USD</stp>
        <tr r="F750" s="3"/>
      </tp>
      <tp t="s">
        <v>#N/A Authorization</v>
        <stp/>
        <stp>##V3_BDHV12</stp>
        <stp>SPG US Equity</stp>
        <stp>RR263</stp>
        <stp>-60CQ</stp>
        <stp>2018/3/31</stp>
        <stp>[零售reit companeis.xlsx]ReferenceData!R761C6</stp>
        <stp>Per=CQ</stp>
        <stp>Dts=H</stp>
        <stp>Dir=H</stp>
        <stp>Points=60</stp>
        <stp>Sort=R</stp>
        <stp>Days=A</stp>
        <stp>Fill=B</stp>
        <stp>FX=USD</stp>
        <tr r="F761" s="3"/>
      </tp>
      <tp t="s">
        <v>#N/A Authorization</v>
        <stp/>
        <stp>##V3_BDHV12</stp>
        <stp>WPG US Equity</stp>
        <stp>RR263</stp>
        <stp>-60CQ</stp>
        <stp>2018/3/31</stp>
        <stp>[零售reit companeis.xlsx]ReferenceData!R764C6</stp>
        <stp>Per=CQ</stp>
        <stp>Dts=H</stp>
        <stp>Dir=H</stp>
        <stp>Points=60</stp>
        <stp>Sort=R</stp>
        <stp>Days=A</stp>
        <stp>Fill=B</stp>
        <stp>FX=USD</stp>
        <tr r="F764" s="3"/>
      </tp>
      <tp t="s">
        <v>#N/A Authorization</v>
        <stp/>
        <stp>##V3_BDHV12</stp>
        <stp>BRX US Equity</stp>
        <stp>RR052</stp>
        <stp>-60CQ</stp>
        <stp>2018/3/31</stp>
        <stp>[零售reit companeis.xlsx]ReferenceData!R706C6</stp>
        <stp>Per=CQ</stp>
        <stp>Dts=H</stp>
        <stp>Dir=H</stp>
        <stp>Points=60</stp>
        <stp>Sort=R</stp>
        <stp>Days=A</stp>
        <stp>Fill=B</stp>
        <stp>FX=USD</stp>
        <tr r="F706" s="3"/>
      </tp>
      <tp t="s">
        <v>#N/A Authorization</v>
        <stp/>
        <stp>##V3_BDHV12</stp>
        <stp>BRX US Equity</stp>
        <stp>RR553</stp>
        <stp>-60CQ</stp>
        <stp>2018/3/31</stp>
        <stp>[零售reit companeis.xlsx]ReferenceData!R676C6</stp>
        <stp>Per=CQ</stp>
        <stp>Dts=H</stp>
        <stp>Dir=H</stp>
        <stp>Points=60</stp>
        <stp>Sort=R</stp>
        <stp>Days=A</stp>
        <stp>Fill=B</stp>
        <stp>FX=USD</stp>
        <tr r="F676" s="3"/>
      </tp>
      <tp t="s">
        <v>#N/A Authorization</v>
        <stp/>
        <stp>##V3_BDHV12</stp>
        <stp>SPG US Equity</stp>
        <stp>IM275</stp>
        <stp>-60CQ</stp>
        <stp>2018/3/31</stp>
        <stp>[零售reit companeis.xlsx]ReferenceData!R491C6</stp>
        <stp>Per=CQ</stp>
        <stp>Dts=H</stp>
        <stp>Dir=H</stp>
        <stp>Points=60</stp>
        <stp>Sort=R</stp>
        <stp>Days=A</stp>
        <stp>Fill=B</stp>
        <stp>FX=USD</stp>
        <tr r="F491" s="3"/>
      </tp>
      <tp t="s">
        <v>#N/A Authorization</v>
        <stp/>
        <stp>##V3_BDHV12</stp>
        <stp>WPG US Equity</stp>
        <stp>IM275</stp>
        <stp>-60CQ</stp>
        <stp>2018/3/31</stp>
        <stp>[零售reit companeis.xlsx]ReferenceData!R494C6</stp>
        <stp>Per=CQ</stp>
        <stp>Dts=H</stp>
        <stp>Dir=H</stp>
        <stp>Points=60</stp>
        <stp>Sort=R</stp>
        <stp>Days=A</stp>
        <stp>Fill=B</stp>
        <stp>FX=USD</stp>
        <tr r="F494" s="3"/>
      </tp>
      <tp t="s">
        <v>#N/A Authorization</v>
        <stp/>
        <stp>##V3_BDHV12</stp>
        <stp>BRX US Equity</stp>
        <stp>RR253</stp>
        <stp>-60CQ</stp>
        <stp>2018/3/31</stp>
        <stp>[零售reit companeis.xlsx]ReferenceData!R766C6</stp>
        <stp>Per=CQ</stp>
        <stp>Dts=H</stp>
        <stp>Dir=H</stp>
        <stp>Points=60</stp>
        <stp>Sort=R</stp>
        <stp>Days=A</stp>
        <stp>Fill=B</stp>
        <stp>FX=USD</stp>
        <tr r="F766" s="3"/>
      </tp>
      <tp t="s">
        <v>#N/A Authorization</v>
        <stp/>
        <stp>##V3_BDHV12</stp>
        <stp>WPG US Equity</stp>
        <stp>F1178</stp>
        <stp>-60CQ</stp>
        <stp>2018/3/31</stp>
        <stp>[零售reit companeis.xlsx]ReferenceData!R734C6</stp>
        <stp>Per=CQ</stp>
        <stp>Dts=H</stp>
        <stp>Dir=H</stp>
        <stp>Points=60</stp>
        <stp>Sort=R</stp>
        <stp>Days=A</stp>
        <stp>Fill=B</stp>
        <stp>FX=USD</stp>
        <tr r="F734" s="3"/>
      </tp>
      <tp t="s">
        <v>#N/A Authorization</v>
        <stp/>
        <stp>##V3_BDHV12</stp>
        <stp>SPG US Equity</stp>
        <stp>F1178</stp>
        <stp>-60CQ</stp>
        <stp>2018/3/31</stp>
        <stp>[零售reit companeis.xlsx]ReferenceData!R731C6</stp>
        <stp>Per=CQ</stp>
        <stp>Dts=H</stp>
        <stp>Dir=H</stp>
        <stp>Points=60</stp>
        <stp>Sort=R</stp>
        <stp>Days=A</stp>
        <stp>Fill=B</stp>
        <stp>FX=USD</stp>
        <tr r="F731" s="3"/>
      </tp>
      <tp t="s">
        <v>#N/A Authorization</v>
        <stp/>
        <stp>##V3_BDHV12</stp>
        <stp>BRX US Equity</stp>
        <stp>RR253</stp>
        <stp>-60CQ</stp>
        <stp>2018/3/31</stp>
        <stp>[零售reit companeis.xlsx]ReferenceData!R421C6</stp>
        <stp>Per=CQ</stp>
        <stp>Dts=H</stp>
        <stp>Dir=H</stp>
        <stp>Points=60</stp>
        <stp>Sort=R</stp>
        <stp>Days=A</stp>
        <stp>Fill=B</stp>
        <stp>FX=USD</stp>
        <tr r="F421" s="3"/>
      </tp>
      <tp t="s">
        <v>#N/A Authorization</v>
        <stp/>
        <stp>##V3_BDHV12</stp>
        <stp>BRX US Equity</stp>
        <stp>RR551</stp>
        <stp>-60CQ</stp>
        <stp>2018/3/31</stp>
        <stp>[零售reit companeis.xlsx]ReferenceData!R616C6</stp>
        <stp>Per=CQ</stp>
        <stp>Dts=H</stp>
        <stp>Dir=H</stp>
        <stp>Points=60</stp>
        <stp>Sort=R</stp>
        <stp>Days=A</stp>
        <stp>Fill=B</stp>
        <stp>FX=USD</stp>
        <tr r="F616" s="3"/>
      </tp>
      <tp t="s">
        <v>#N/A Authorization</v>
        <stp/>
        <stp>##V3_BDHV12</stp>
        <stp>SPG US Equity</stp>
        <stp>F0578</stp>
        <stp>-60CQ</stp>
        <stp>2018/3/31</stp>
        <stp>[零售reit companeis.xlsx]ReferenceData!R596C6</stp>
        <stp>Per=CQ</stp>
        <stp>Dts=H</stp>
        <stp>Dir=H</stp>
        <stp>Points=60</stp>
        <stp>Sort=R</stp>
        <stp>Days=A</stp>
        <stp>Fill=B</stp>
        <stp>FX=USD</stp>
        <tr r="F596" s="3"/>
      </tp>
      <tp t="s">
        <v>#N/A Authorization</v>
        <stp/>
        <stp>##V3_BDHV12</stp>
        <stp>WPG US Equity</stp>
        <stp>F0578</stp>
        <stp>-60CQ</stp>
        <stp>2018/3/31</stp>
        <stp>[零售reit companeis.xlsx]ReferenceData!R599C6</stp>
        <stp>Per=CQ</stp>
        <stp>Dts=H</stp>
        <stp>Dir=H</stp>
        <stp>Points=60</stp>
        <stp>Sort=R</stp>
        <stp>Days=A</stp>
        <stp>Fill=B</stp>
        <stp>FX=USD</stp>
        <tr r="F599" s="3"/>
      </tp>
      <tp t="s">
        <v>#N/A Authorization</v>
        <stp/>
        <stp>##V3_BDHV12</stp>
        <stp>WPG US Equity</stp>
        <stp>IS972</stp>
        <stp>-60CQ</stp>
        <stp>2018/3/31</stp>
        <stp>[零售reit companeis.xlsx]ReferenceData!R569C6</stp>
        <stp>Per=CQ</stp>
        <stp>Dts=H</stp>
        <stp>Dir=H</stp>
        <stp>Points=60</stp>
        <stp>Sort=R</stp>
        <stp>Days=A</stp>
        <stp>Fill=B</stp>
        <stp>FX=USD</stp>
        <tr r="F569" s="3"/>
      </tp>
      <tp t="s">
        <v>#N/A Authorization</v>
        <stp/>
        <stp>##V3_BDHV12</stp>
        <stp>SPG US Equity</stp>
        <stp>IS972</stp>
        <stp>-60CQ</stp>
        <stp>2018/3/31</stp>
        <stp>[零售reit companeis.xlsx]ReferenceData!R566C6</stp>
        <stp>Per=CQ</stp>
        <stp>Dts=H</stp>
        <stp>Dir=H</stp>
        <stp>Points=60</stp>
        <stp>Sort=R</stp>
        <stp>Days=A</stp>
        <stp>Fill=B</stp>
        <stp>FX=USD</stp>
        <tr r="F566" s="3"/>
      </tp>
      <tp t="s">
        <v>#N/A Authorization</v>
        <stp/>
        <stp>##V3_BDHV12</stp>
        <stp>BRX US Equity</stp>
        <stp>RR554</stp>
        <stp>-60CQ</stp>
        <stp>2018/3/31</stp>
        <stp>[零售reit companeis.xlsx]ReferenceData!R691C6</stp>
        <stp>Per=CQ</stp>
        <stp>Dts=H</stp>
        <stp>Dir=H</stp>
        <stp>Points=60</stp>
        <stp>Sort=R</stp>
        <stp>Days=A</stp>
        <stp>Fill=B</stp>
        <stp>FX=USD</stp>
        <tr r="F691" s="3"/>
      </tp>
      <tp t="s">
        <v>#N/A Authorization</v>
        <stp/>
        <stp>##V3_BDHV12</stp>
        <stp>WRI US Equity</stp>
        <stp>BS658</stp>
        <stp>-60CQ</stp>
        <stp>2018/3/31</stp>
        <stp>[零售reit companeis.xlsx]ReferenceData!R465C6</stp>
        <stp>Per=CQ</stp>
        <stp>Dts=H</stp>
        <stp>Dir=H</stp>
        <stp>Points=60</stp>
        <stp>Sort=R</stp>
        <stp>Days=A</stp>
        <stp>Fill=B</stp>
        <stp>FX=USD</stp>
        <tr r="F465" s="3"/>
      </tp>
      <tp t="s">
        <v>#N/A Authorization</v>
        <stp/>
        <stp>##V3_BDHV12</stp>
        <stp>WRI US Equity</stp>
        <stp>BS658</stp>
        <stp>-60CQ</stp>
        <stp>2018/3/31</stp>
        <stp>[零售reit companeis.xlsx]ReferenceData!R795C6</stp>
        <stp>Per=CQ</stp>
        <stp>Dts=H</stp>
        <stp>Dir=H</stp>
        <stp>Points=60</stp>
        <stp>Sort=R</stp>
        <stp>Days=A</stp>
        <stp>Fill=B</stp>
        <stp>FX=USD</stp>
        <tr r="F795" s="3"/>
      </tp>
      <tp t="s">
        <v>#N/A Authorization</v>
        <stp/>
        <stp>##V3_BDHV12</stp>
        <stp>FRT US Equity</stp>
        <stp>RR554</stp>
        <stp>-60CQ</stp>
        <stp>2018/3/31</stp>
        <stp>[零售reit companeis.xlsx]ReferenceData!R694C6</stp>
        <stp>Per=CQ</stp>
        <stp>Dts=H</stp>
        <stp>Dir=H</stp>
        <stp>Points=60</stp>
        <stp>Sort=R</stp>
        <stp>Days=A</stp>
        <stp>Fill=B</stp>
        <stp>FX=USD</stp>
        <tr r="F694" s="3"/>
      </tp>
      <tp t="s">
        <v>#N/A Authorization</v>
        <stp/>
        <stp>##V3_BDHV12</stp>
        <stp>FRT US Equity</stp>
        <stp>RR052</stp>
        <stp>-60CQ</stp>
        <stp>2018/3/31</stp>
        <stp>[零售reit companeis.xlsx]ReferenceData!R709C6</stp>
        <stp>Per=CQ</stp>
        <stp>Dts=H</stp>
        <stp>Dir=H</stp>
        <stp>Points=60</stp>
        <stp>Sort=R</stp>
        <stp>Days=A</stp>
        <stp>Fill=B</stp>
        <stp>FX=USD</stp>
        <tr r="F709" s="3"/>
      </tp>
      <tp t="s">
        <v>#N/A Authorization</v>
        <stp/>
        <stp>##V3_BDHV12</stp>
        <stp>FRT US Equity</stp>
        <stp>RR553</stp>
        <stp>-60CQ</stp>
        <stp>2018/3/31</stp>
        <stp>[零售reit companeis.xlsx]ReferenceData!R679C6</stp>
        <stp>Per=CQ</stp>
        <stp>Dts=H</stp>
        <stp>Dir=H</stp>
        <stp>Points=60</stp>
        <stp>Sort=R</stp>
        <stp>Days=A</stp>
        <stp>Fill=B</stp>
        <stp>FX=USD</stp>
        <tr r="F679" s="3"/>
      </tp>
      <tp t="s">
        <v>#N/A Authorization</v>
        <stp/>
        <stp>##V3_BDHV12</stp>
        <stp>FRT US Equity</stp>
        <stp>RR253</stp>
        <stp>-60CQ</stp>
        <stp>2018/3/31</stp>
        <stp>[零售reit companeis.xlsx]ReferenceData!R769C6</stp>
        <stp>Per=CQ</stp>
        <stp>Dts=H</stp>
        <stp>Dir=H</stp>
        <stp>Points=60</stp>
        <stp>Sort=R</stp>
        <stp>Days=A</stp>
        <stp>Fill=B</stp>
        <stp>FX=USD</stp>
        <tr r="F769" s="3"/>
      </tp>
      <tp t="s">
        <v>#N/A Authorization</v>
        <stp/>
        <stp>##V3_BDHV12</stp>
        <stp>FRT US Equity</stp>
        <stp>RR253</stp>
        <stp>-60CQ</stp>
        <stp>2018/3/31</stp>
        <stp>[零售reit companeis.xlsx]ReferenceData!R430C6</stp>
        <stp>Per=CQ</stp>
        <stp>Dts=H</stp>
        <stp>Dir=H</stp>
        <stp>Points=60</stp>
        <stp>Sort=R</stp>
        <stp>Days=A</stp>
        <stp>Fill=B</stp>
        <stp>FX=USD</stp>
        <tr r="F430" s="3"/>
      </tp>
      <tp t="s">
        <v>#N/A Authorization</v>
        <stp/>
        <stp>##V3_BDHV12</stp>
        <stp>FRT US Equity</stp>
        <stp>RR551</stp>
        <stp>-60CQ</stp>
        <stp>2018/3/31</stp>
        <stp>[零售reit companeis.xlsx]ReferenceData!R619C6</stp>
        <stp>Per=CQ</stp>
        <stp>Dts=H</stp>
        <stp>Dir=H</stp>
        <stp>Points=60</stp>
        <stp>Sort=R</stp>
        <stp>Days=A</stp>
        <stp>Fill=B</stp>
        <stp>FX=USD</stp>
        <tr r="F619" s="3"/>
      </tp>
      <tp t="s">
        <v>#N/A Authorization</v>
        <stp/>
        <stp>##V3_BDHV12</stp>
        <stp>WRI US Equity</stp>
        <stp>RR253</stp>
        <stp>-60CQ</stp>
        <stp>2018/3/31</stp>
        <stp>[零售reit companeis.xlsx]ReferenceData!R780C6</stp>
        <stp>Per=CQ</stp>
        <stp>Dts=H</stp>
        <stp>Dir=H</stp>
        <stp>Points=60</stp>
        <stp>Sort=R</stp>
        <stp>Days=A</stp>
        <stp>Fill=B</stp>
        <stp>FX=USD</stp>
        <tr r="F780" s="3"/>
      </tp>
      <tp t="s">
        <v>#N/A Authorization</v>
        <stp/>
        <stp>##V3_BDHV12</stp>
        <stp>WRI US Equity</stp>
        <stp>RR553</stp>
        <stp>-60CQ</stp>
        <stp>2018/3/31</stp>
        <stp>[零售reit companeis.xlsx]ReferenceData!R690C6</stp>
        <stp>Per=CQ</stp>
        <stp>Dts=H</stp>
        <stp>Dir=H</stp>
        <stp>Points=60</stp>
        <stp>Sort=R</stp>
        <stp>Days=A</stp>
        <stp>Fill=B</stp>
        <stp>FX=USD</stp>
        <tr r="F690" s="3"/>
      </tp>
      <tp t="s">
        <v>#N/A Authorization</v>
        <stp/>
        <stp>##V3_BDHV12</stp>
        <stp>WRI US Equity</stp>
        <stp>RR052</stp>
        <stp>-60CQ</stp>
        <stp>2018/3/31</stp>
        <stp>[零售reit companeis.xlsx]ReferenceData!R720C6</stp>
        <stp>Per=CQ</stp>
        <stp>Dts=H</stp>
        <stp>Dir=H</stp>
        <stp>Points=60</stp>
        <stp>Sort=R</stp>
        <stp>Days=A</stp>
        <stp>Fill=B</stp>
        <stp>FX=USD</stp>
        <tr r="F720" s="3"/>
      </tp>
      <tp t="s">
        <v>#N/A Authorization</v>
        <stp/>
        <stp>##V3_BDHV12</stp>
        <stp>WRI US Equity</stp>
        <stp>RR551</stp>
        <stp>-60CQ</stp>
        <stp>2018/3/31</stp>
        <stp>[零售reit companeis.xlsx]ReferenceData!R630C6</stp>
        <stp>Per=CQ</stp>
        <stp>Dts=H</stp>
        <stp>Dir=H</stp>
        <stp>Points=60</stp>
        <stp>Sort=R</stp>
        <stp>Days=A</stp>
        <stp>Fill=B</stp>
        <stp>FX=USD</stp>
        <tr r="F630" s="3"/>
      </tp>
      <tp t="s">
        <v>#N/A Authorization</v>
        <stp/>
        <stp>##V3_BDHV12</stp>
        <stp>WRI US Equity</stp>
        <stp>RR253</stp>
        <stp>-60CQ</stp>
        <stp>2018/3/31</stp>
        <stp>[零售reit companeis.xlsx]ReferenceData!R463C6</stp>
        <stp>Per=CQ</stp>
        <stp>Dts=H</stp>
        <stp>Dir=H</stp>
        <stp>Points=60</stp>
        <stp>Sort=R</stp>
        <stp>Days=A</stp>
        <stp>Fill=B</stp>
        <stp>FX=USD</stp>
        <tr r="F463" s="3"/>
      </tp>
      <tp t="s">
        <v>#N/A Authorization</v>
        <stp/>
        <stp>##V3_BDHV12</stp>
        <stp>FRT US Equity</stp>
        <stp>BS658</stp>
        <stp>-60CQ</stp>
        <stp>2018/3/31</stp>
        <stp>[零售reit companeis.xlsx]ReferenceData!R432C6</stp>
        <stp>Per=CQ</stp>
        <stp>Dts=H</stp>
        <stp>Dir=H</stp>
        <stp>Points=60</stp>
        <stp>Sort=R</stp>
        <stp>Days=A</stp>
        <stp>Fill=B</stp>
        <stp>FX=USD</stp>
        <tr r="F432" s="3"/>
      </tp>
      <tp t="s">
        <v>#N/A Authorization</v>
        <stp/>
        <stp>##V3_BDHV12</stp>
        <stp>FRT US Equity</stp>
        <stp>BS658</stp>
        <stp>-60CQ</stp>
        <stp>2018/3/31</stp>
        <stp>[零售reit companeis.xlsx]ReferenceData!R784C6</stp>
        <stp>Per=CQ</stp>
        <stp>Dts=H</stp>
        <stp>Dir=H</stp>
        <stp>Points=60</stp>
        <stp>Sort=R</stp>
        <stp>Days=A</stp>
        <stp>Fill=B</stp>
        <stp>FX=USD</stp>
        <tr r="F784" s="3"/>
      </tp>
      <tp t="s">
        <v>#N/A Authorization</v>
        <stp/>
        <stp>##V3_BDHV12</stp>
        <stp>WRI US Equity</stp>
        <stp>RR554</stp>
        <stp>-60CQ</stp>
        <stp>2018/3/31</stp>
        <stp>[零售reit companeis.xlsx]ReferenceData!R705C6</stp>
        <stp>Per=CQ</stp>
        <stp>Dts=H</stp>
        <stp>Dir=H</stp>
        <stp>Points=60</stp>
        <stp>Sort=R</stp>
        <stp>Days=A</stp>
        <stp>Fill=B</stp>
        <stp>FX=USD</stp>
        <tr r="F705" s="3"/>
      </tp>
      <tp t="s">
        <v>#N/A Authorization</v>
        <stp/>
        <stp>##V3_BDHV12</stp>
        <stp>BRX US Equity</stp>
        <stp>BS658</stp>
        <stp>-60CQ</stp>
        <stp>2018/3/31</stp>
        <stp>[零售reit companeis.xlsx]ReferenceData!R423C6</stp>
        <stp>Per=CQ</stp>
        <stp>Dts=H</stp>
        <stp>Dir=H</stp>
        <stp>Points=60</stp>
        <stp>Sort=R</stp>
        <stp>Days=A</stp>
        <stp>Fill=B</stp>
        <stp>FX=USD</stp>
        <tr r="F423" s="3"/>
      </tp>
      <tp t="s">
        <v>#N/A Authorization</v>
        <stp/>
        <stp>##V3_BDHV12</stp>
        <stp>BRX US Equity</stp>
        <stp>BS658</stp>
        <stp>-60CQ</stp>
        <stp>2018/3/31</stp>
        <stp>[零售reit companeis.xlsx]ReferenceData!R781C6</stp>
        <stp>Per=CQ</stp>
        <stp>Dts=H</stp>
        <stp>Dir=H</stp>
        <stp>Points=60</stp>
        <stp>Sort=R</stp>
        <stp>Days=A</stp>
        <stp>Fill=B</stp>
        <stp>FX=USD</stp>
        <tr r="F781" s="3"/>
      </tp>
      <tp t="s">
        <v>#N/A Authorization</v>
        <stp/>
        <stp>##V3_BDHV12</stp>
        <stp>O US Equity</stp>
        <stp>BS189</stp>
        <stp>-60CQ</stp>
        <stp>2018/3/31</stp>
        <stp>[零售reit companeis.xlsx]ReferenceData!R440C6</stp>
        <stp>Per=CQ</stp>
        <stp>Dts=H</stp>
        <stp>Dir=H</stp>
        <stp>Points=60</stp>
        <stp>Sort=R</stp>
        <stp>Days=A</stp>
        <stp>Fill=B</stp>
        <stp>FX=USD</stp>
        <tr r="F440" s="3"/>
      </tp>
      <tp t="s">
        <v>#N/A Authorization</v>
        <stp/>
        <stp>##V3_BDHV12</stp>
        <stp>O US Equity</stp>
        <stp>IM281</stp>
        <stp>-60CQ</stp>
        <stp>2018/3/31</stp>
        <stp>[零售reit companeis.xlsx]ReferenceData!R502C6</stp>
        <stp>Per=CQ</stp>
        <stp>Dts=H</stp>
        <stp>Dir=H</stp>
        <stp>Points=60</stp>
        <stp>Sort=R</stp>
        <stp>Days=A</stp>
        <stp>Fill=B</stp>
        <stp>FX=USD</stp>
        <tr r="F502" s="3"/>
      </tp>
      <tp t="s">
        <v>#N/A Authorization</v>
        <stp/>
        <stp>##V3_BDHV12</stp>
        <stp>SPG US Equity</stp>
        <stp>IM281</stp>
        <stp>-60CQ</stp>
        <stp>2018/3/31</stp>
        <stp>[零售reit companeis.xlsx]ReferenceData!R506C6</stp>
        <stp>Per=CQ</stp>
        <stp>Dts=H</stp>
        <stp>Dir=H</stp>
        <stp>Points=60</stp>
        <stp>Sort=R</stp>
        <stp>Days=A</stp>
        <stp>Fill=B</stp>
        <stp>FX=USD</stp>
        <tr r="F506" s="3"/>
      </tp>
      <tp t="s">
        <v>#N/A Authorization</v>
        <stp/>
        <stp>##V3_BDHV12</stp>
        <stp>WPG US Equity</stp>
        <stp>IM281</stp>
        <stp>-60CQ</stp>
        <stp>2018/3/31</stp>
        <stp>[零售reit companeis.xlsx]ReferenceData!R509C6</stp>
        <stp>Per=CQ</stp>
        <stp>Dts=H</stp>
        <stp>Dir=H</stp>
        <stp>Points=60</stp>
        <stp>Sort=R</stp>
        <stp>Days=A</stp>
        <stp>Fill=B</stp>
        <stp>FX=USD</stp>
        <tr r="F509" s="3"/>
      </tp>
      <tp t="s">
        <v>#N/A Authorization</v>
        <stp/>
        <stp>##V3_BDHV12</stp>
        <stp>WPG US Equity</stp>
        <stp>BS189</stp>
        <stp>-60CQ</stp>
        <stp>2018/3/31</stp>
        <stp>[零售reit companeis.xlsx]ReferenceData!R461C6</stp>
        <stp>Per=CQ</stp>
        <stp>Dts=H</stp>
        <stp>Dir=H</stp>
        <stp>Points=60</stp>
        <stp>Sort=R</stp>
        <stp>Days=A</stp>
        <stp>Fill=B</stp>
        <stp>FX=USD</stp>
        <tr r="F461" s="3"/>
      </tp>
      <tp t="s">
        <v>#N/A Authorization</v>
        <stp/>
        <stp>##V3_BDHV12</stp>
        <stp>SPG US Equity</stp>
        <stp>BS189</stp>
        <stp>-60CQ</stp>
        <stp>2018/3/31</stp>
        <stp>[零售reit companeis.xlsx]ReferenceData!R452C6</stp>
        <stp>Per=CQ</stp>
        <stp>Dts=H</stp>
        <stp>Dir=H</stp>
        <stp>Points=60</stp>
        <stp>Sort=R</stp>
        <stp>Days=A</stp>
        <stp>Fill=B</stp>
        <stp>FX=USD</stp>
        <tr r="F452" s="3"/>
      </tp>
      <tp t="s">
        <v>#N/A Authorization</v>
        <stp/>
        <stp>##V3_BDHV12</stp>
        <stp>O US Equity</stp>
        <stp>IS972</stp>
        <stp>-60CQ</stp>
        <stp>2018/3/31</stp>
        <stp>[零售reit companeis.xlsx]ReferenceData!R562C6</stp>
        <stp>Per=CQ</stp>
        <stp>Dts=H</stp>
        <stp>Dir=H</stp>
        <stp>Points=60</stp>
        <stp>Sort=R</stp>
        <stp>Days=A</stp>
        <stp>Fill=B</stp>
        <stp>FX=USD</stp>
        <tr r="F562" s="3"/>
      </tp>
      <tp t="s">
        <v>#N/A Authorization</v>
        <stp/>
        <stp>##V3_BDHV12</stp>
        <stp>O US Equity</stp>
        <stp>F0578</stp>
        <stp>-60CQ</stp>
        <stp>2018/3/31</stp>
        <stp>[零售reit companeis.xlsx]ReferenceData!R592C6</stp>
        <stp>Per=CQ</stp>
        <stp>Dts=H</stp>
        <stp>Dir=H</stp>
        <stp>Points=60</stp>
        <stp>Sort=R</stp>
        <stp>Days=A</stp>
        <stp>Fill=B</stp>
        <stp>FX=USD</stp>
        <tr r="F592" s="3"/>
      </tp>
      <tp t="s">
        <v>#N/A Authorization</v>
        <stp/>
        <stp>##V3_BDHV12</stp>
        <stp>O US Equity</stp>
        <stp>IM275</stp>
        <stp>-60CQ</stp>
        <stp>2018/3/31</stp>
        <stp>[零售reit companeis.xlsx]ReferenceData!R487C6</stp>
        <stp>Per=CQ</stp>
        <stp>Dts=H</stp>
        <stp>Dir=H</stp>
        <stp>Points=60</stp>
        <stp>Sort=R</stp>
        <stp>Days=A</stp>
        <stp>Fill=B</stp>
        <stp>FX=USD</stp>
        <tr r="F487" s="3"/>
      </tp>
      <tp t="s">
        <v>#N/A Authorization</v>
        <stp/>
        <stp>##V3_BDHV12</stp>
        <stp>O US Equity</stp>
        <stp>F1178</stp>
        <stp>-60CQ</stp>
        <stp>2018/3/31</stp>
        <stp>[零售reit companeis.xlsx]ReferenceData!R727C6</stp>
        <stp>Per=CQ</stp>
        <stp>Dts=H</stp>
        <stp>Dir=H</stp>
        <stp>Points=60</stp>
        <stp>Sort=R</stp>
        <stp>Days=A</stp>
        <stp>Fill=B</stp>
        <stp>FX=USD</stp>
        <tr r="F727" s="3"/>
      </tp>
      <tp t="s">
        <v>#N/A Authorization</v>
        <stp/>
        <stp>##V3_BDHV12</stp>
        <stp>O US Equity</stp>
        <stp>RR263</stp>
        <stp>-60CQ</stp>
        <stp>2018/3/31</stp>
        <stp>[零售reit companeis.xlsx]ReferenceData!R757C6</stp>
        <stp>Per=CQ</stp>
        <stp>Dts=H</stp>
        <stp>Dir=H</stp>
        <stp>Points=60</stp>
        <stp>Sort=R</stp>
        <stp>Days=A</stp>
        <stp>Fill=B</stp>
        <stp>FX=USD</stp>
        <tr r="F757" s="3"/>
      </tp>
      <tp t="s">
        <v>#N/A Authorization</v>
        <stp/>
        <stp>##V3_BDHV12</stp>
        <stp>WRI US Equity</stp>
        <stp>BS189</stp>
        <stp>-60CQ</stp>
        <stp>2018/3/31</stp>
        <stp>[零售reit companeis.xlsx]ReferenceData!R464C6</stp>
        <stp>Per=CQ</stp>
        <stp>Dts=H</stp>
        <stp>Dir=H</stp>
        <stp>Points=60</stp>
        <stp>Sort=R</stp>
        <stp>Days=A</stp>
        <stp>Fill=B</stp>
        <stp>FX=USD</stp>
        <tr r="F464" s="3"/>
      </tp>
      <tp t="s">
        <v>#N/A Authorization</v>
        <stp/>
        <stp>##V3_BDHV12</stp>
        <stp>WRI US Equity</stp>
        <stp>IM281</stp>
        <stp>-60CQ</stp>
        <stp>2018/3/31</stp>
        <stp>[零售reit companeis.xlsx]ReferenceData!R510C6</stp>
        <stp>Per=CQ</stp>
        <stp>Dts=H</stp>
        <stp>Dir=H</stp>
        <stp>Points=60</stp>
        <stp>Sort=R</stp>
        <stp>Days=A</stp>
        <stp>Fill=B</stp>
        <stp>FX=USD</stp>
        <tr r="F510" s="3"/>
      </tp>
      <tp t="s">
        <v>#N/A Authorization</v>
        <stp/>
        <stp>##V3_BDHV12</stp>
        <stp>FRT US Equity</stp>
        <stp>BS189</stp>
        <stp>-60CQ</stp>
        <stp>2018/3/31</stp>
        <stp>[零售reit companeis.xlsx]ReferenceData!R431C6</stp>
        <stp>Per=CQ</stp>
        <stp>Dts=H</stp>
        <stp>Dir=H</stp>
        <stp>Points=60</stp>
        <stp>Sort=R</stp>
        <stp>Days=A</stp>
        <stp>Fill=B</stp>
        <stp>FX=USD</stp>
        <tr r="F431" s="3"/>
      </tp>
      <tp t="s">
        <v>#N/A Authorization</v>
        <stp/>
        <stp>##V3_BDHV12</stp>
        <stp>FRT US Equity</stp>
        <stp>IM281</stp>
        <stp>-60CQ</stp>
        <stp>2018/3/31</stp>
        <stp>[零售reit companeis.xlsx]ReferenceData!R499C6</stp>
        <stp>Per=CQ</stp>
        <stp>Dts=H</stp>
        <stp>Dir=H</stp>
        <stp>Points=60</stp>
        <stp>Sort=R</stp>
        <stp>Days=A</stp>
        <stp>Fill=B</stp>
        <stp>FX=USD</stp>
        <tr r="F499" s="3"/>
      </tp>
      <tp t="s">
        <v>#N/A Authorization</v>
        <stp/>
        <stp>##V3_BDHV12</stp>
        <stp>BRX US Equity</stp>
        <stp>BS189</stp>
        <stp>-60CQ</stp>
        <stp>2018/3/31</stp>
        <stp>[零售reit companeis.xlsx]ReferenceData!R422C6</stp>
        <stp>Per=CQ</stp>
        <stp>Dts=H</stp>
        <stp>Dir=H</stp>
        <stp>Points=60</stp>
        <stp>Sort=R</stp>
        <stp>Days=A</stp>
        <stp>Fill=B</stp>
        <stp>FX=USD</stp>
        <tr r="F422" s="3"/>
      </tp>
      <tp t="s">
        <v>#N/A Authorization</v>
        <stp/>
        <stp>##V3_BDHV12</stp>
        <stp>BRX US Equity</stp>
        <stp>IM281</stp>
        <stp>-60CQ</stp>
        <stp>2018/3/31</stp>
        <stp>[零售reit companeis.xlsx]ReferenceData!R496C6</stp>
        <stp>Per=CQ</stp>
        <stp>Dts=H</stp>
        <stp>Dir=H</stp>
        <stp>Points=60</stp>
        <stp>Sort=R</stp>
        <stp>Days=A</stp>
        <stp>Fill=B</stp>
        <stp>FX=USD</stp>
        <tr r="F496" s="3"/>
      </tp>
      <tp t="s">
        <v>#N/A Authorization</v>
        <stp/>
        <stp>##V3_BDHV12</stp>
        <stp>O US Equity</stp>
        <stp>BS658</stp>
        <stp>-60CQ</stp>
        <stp>2018/3/31</stp>
        <stp>[零售reit companeis.xlsx]ReferenceData!R441C6</stp>
        <stp>Per=CQ</stp>
        <stp>Dts=H</stp>
        <stp>Dir=H</stp>
        <stp>Points=60</stp>
        <stp>Sort=R</stp>
        <stp>Days=A</stp>
        <stp>Fill=B</stp>
        <stp>FX=USD</stp>
        <tr r="F441" s="3"/>
      </tp>
      <tp t="s">
        <v>#N/A Authorization</v>
        <stp/>
        <stp>##V3_BDHV12</stp>
        <stp>O US Equity</stp>
        <stp>BS658</stp>
        <stp>-60CQ</stp>
        <stp>2018/3/31</stp>
        <stp>[零售reit companeis.xlsx]ReferenceData!R787C6</stp>
        <stp>Per=CQ</stp>
        <stp>Dts=H</stp>
        <stp>Dir=H</stp>
        <stp>Points=60</stp>
        <stp>Sort=R</stp>
        <stp>Days=A</stp>
        <stp>Fill=B</stp>
        <stp>FX=USD</stp>
        <tr r="F787" s="3"/>
      </tp>
      <tp t="s">
        <v>#N/A Authorization</v>
        <stp/>
        <stp>##V3_BDHV12</stp>
        <stp>O US Equity</stp>
        <stp>RR253</stp>
        <stp>-60CQ</stp>
        <stp>2018/3/31</stp>
        <stp>[零售reit companeis.xlsx]ReferenceData!R772C6</stp>
        <stp>Per=CQ</stp>
        <stp>Dts=H</stp>
        <stp>Dir=H</stp>
        <stp>Points=60</stp>
        <stp>Sort=R</stp>
        <stp>Days=A</stp>
        <stp>Fill=B</stp>
        <stp>FX=USD</stp>
        <tr r="F772" s="3"/>
      </tp>
      <tp t="s">
        <v>#N/A Authorization</v>
        <stp/>
        <stp>##V3_BDHV12</stp>
        <stp>O US Equity</stp>
        <stp>RR052</stp>
        <stp>-60CQ</stp>
        <stp>2018/3/31</stp>
        <stp>[零售reit companeis.xlsx]ReferenceData!R712C6</stp>
        <stp>Per=CQ</stp>
        <stp>Dts=H</stp>
        <stp>Dir=H</stp>
        <stp>Points=60</stp>
        <stp>Sort=R</stp>
        <stp>Days=A</stp>
        <stp>Fill=B</stp>
        <stp>FX=USD</stp>
        <tr r="F712" s="3"/>
      </tp>
      <tp t="s">
        <v>#N/A Authorization</v>
        <stp/>
        <stp>##V3_BDHV12</stp>
        <stp>O US Equity</stp>
        <stp>RR553</stp>
        <stp>-60CQ</stp>
        <stp>2018/3/31</stp>
        <stp>[零售reit companeis.xlsx]ReferenceData!R682C6</stp>
        <stp>Per=CQ</stp>
        <stp>Dts=H</stp>
        <stp>Dir=H</stp>
        <stp>Points=60</stp>
        <stp>Sort=R</stp>
        <stp>Days=A</stp>
        <stp>Fill=B</stp>
        <stp>FX=USD</stp>
        <tr r="F682" s="3"/>
      </tp>
      <tp t="s">
        <v>#N/A Authorization</v>
        <stp/>
        <stp>##V3_BDHV12</stp>
        <stp>O US Equity</stp>
        <stp>RR253</stp>
        <stp>-60CQ</stp>
        <stp>2018/3/31</stp>
        <stp>[零售reit companeis.xlsx]ReferenceData!R439C6</stp>
        <stp>Per=CQ</stp>
        <stp>Dts=H</stp>
        <stp>Dir=H</stp>
        <stp>Points=60</stp>
        <stp>Sort=R</stp>
        <stp>Days=A</stp>
        <stp>Fill=B</stp>
        <stp>FX=USD</stp>
        <tr r="F439" s="3"/>
      </tp>
      <tp t="s">
        <v>#N/A Authorization</v>
        <stp/>
        <stp>##V3_BDHV12</stp>
        <stp>O US Equity</stp>
        <stp>RR551</stp>
        <stp>-60CQ</stp>
        <stp>2018/3/31</stp>
        <stp>[零售reit companeis.xlsx]ReferenceData!R622C6</stp>
        <stp>Per=CQ</stp>
        <stp>Dts=H</stp>
        <stp>Dir=H</stp>
        <stp>Points=60</stp>
        <stp>Sort=R</stp>
        <stp>Days=A</stp>
        <stp>Fill=B</stp>
        <stp>FX=USD</stp>
        <tr r="F622" s="3"/>
      </tp>
      <tp t="s">
        <v>#N/A Authorization</v>
        <stp/>
        <stp>##V3_BDHV12</stp>
        <stp>O US Equity</stp>
        <stp>RR554</stp>
        <stp>-60CQ</stp>
        <stp>2018/3/31</stp>
        <stp>[零售reit companeis.xlsx]ReferenceData!R697C6</stp>
        <stp>Per=CQ</stp>
        <stp>Dts=H</stp>
        <stp>Dir=H</stp>
        <stp>Points=60</stp>
        <stp>Sort=R</stp>
        <stp>Days=A</stp>
        <stp>Fill=B</stp>
        <stp>FX=USD</stp>
        <tr r="F697" s="3"/>
      </tp>
      <tp t="s">
        <v>#N/A Authorization</v>
        <stp/>
        <stp>##V3_BDHV12</stp>
        <stp>O US Equity</stp>
        <stp>RR147</stp>
        <stp>-60CQ</stp>
        <stp>2018/3/31</stp>
        <stp>[零售reit companeis.xlsx]ReferenceData!R742C6</stp>
        <stp>Per=CQ</stp>
        <stp>Dts=H</stp>
        <stp>Dir=H</stp>
        <stp>Points=60</stp>
        <stp>Sort=R</stp>
        <stp>Days=A</stp>
        <stp>Fill=B</stp>
        <stp>FX=USD</stp>
        <tr r="F742" s="3"/>
      </tp>
      <tp t="s">
        <v>#N/A Authorization</v>
        <stp/>
        <stp>##V3_BDHV12</stp>
        <stp>O US Equity</stp>
        <stp>CF039</stp>
        <stp>-60CQ</stp>
        <stp>2018/3/31</stp>
        <stp>[零售reit companeis.xlsx]ReferenceData!R577C6</stp>
        <stp>Per=CQ</stp>
        <stp>Dts=H</stp>
        <stp>Dir=H</stp>
        <stp>Points=60</stp>
        <stp>Sort=R</stp>
        <stp>Days=A</stp>
        <stp>Fill=B</stp>
        <stp>FX=USD</stp>
        <tr r="F577" s="3"/>
      </tp>
      <tp t="s">
        <v>#N/A Authorization</v>
        <stp/>
        <stp>##V3_BDHV12</stp>
        <stp>O US Equity</stp>
        <stp>IS030</stp>
        <stp>-60CQ</stp>
        <stp>2018/3/31</stp>
        <stp>[零售reit companeis.xlsx]ReferenceData!R472C6</stp>
        <stp>Per=CQ</stp>
        <stp>Dts=H</stp>
        <stp>Dir=H</stp>
        <stp>Points=60</stp>
        <stp>Sort=R</stp>
        <stp>Days=A</stp>
        <stp>Fill=B</stp>
        <stp>FX=USD</stp>
        <tr r="F472" s="3"/>
      </tp>
      <tp t="s">
        <v>#N/A Authorization</v>
        <stp/>
        <stp>##V3_BDHV12</stp>
        <stp>O US Equity</stp>
        <stp>RR033</stp>
        <stp>-60CQ</stp>
        <stp>2018/3/31</stp>
        <stp>[零售reit companeis.xlsx]ReferenceData!R607C6</stp>
        <stp>Per=CQ</stp>
        <stp>Dts=H</stp>
        <stp>Dir=H</stp>
        <stp>Points=60</stp>
        <stp>Sort=R</stp>
        <stp>Days=A</stp>
        <stp>Fill=B</stp>
        <stp>FX=USD</stp>
        <tr r="F607" s="3"/>
      </tp>
      <tp t="s">
        <v>#N/A Authorization</v>
        <stp/>
        <stp>##V3_BDHV12</stp>
        <stp>O US Equity</stp>
        <stp>RX225</stp>
        <stp>-60CQ</stp>
        <stp>2018/3/31</stp>
        <stp>[零售reit companeis.xlsx]ReferenceData!R652C6</stp>
        <stp>Per=CQ</stp>
        <stp>Dts=H</stp>
        <stp>Dir=H</stp>
        <stp>Points=60</stp>
        <stp>Sort=R</stp>
        <stp>Days=A</stp>
        <stp>Fill=B</stp>
        <stp>FX=USD</stp>
        <tr r="F652" s="3"/>
      </tp>
      <tp t="s">
        <v>#N/A Authorization</v>
        <stp/>
        <stp>##V3_BDHV12</stp>
        <stp>O US Equity</stp>
        <stp>IS010</stp>
        <stp>-60CQ</stp>
        <stp>2018/3/31</stp>
        <stp>[零售reit companeis.xlsx]ReferenceData!R517C6</stp>
        <stp>Per=CQ</stp>
        <stp>Dts=H</stp>
        <stp>Dir=H</stp>
        <stp>Points=60</stp>
        <stp>Sort=R</stp>
        <stp>Days=A</stp>
        <stp>Fill=B</stp>
        <stp>FX=USD</stp>
        <tr r="F517" s="3"/>
      </tp>
      <tp t="s">
        <v>#N/A Authorization</v>
        <stp/>
        <stp>##V3_BDHV12</stp>
        <stp>O US Equity</stp>
        <stp>RR009</stp>
        <stp>-60CQ</stp>
        <stp>2018/3/31</stp>
        <stp>[零售reit companeis.xlsx]ReferenceData!R547C6</stp>
        <stp>Per=CQ</stp>
        <stp>Dts=H</stp>
        <stp>Dir=H</stp>
        <stp>Points=60</stp>
        <stp>Sort=R</stp>
        <stp>Days=A</stp>
        <stp>Fill=B</stp>
        <stp>FX=USD</stp>
        <tr r="F547" s="3"/>
      </tp>
      <tp t="s">
        <v>#N/A Authorization</v>
        <stp/>
        <stp>##V3_BDHV12</stp>
        <stp>O US Equity</stp>
        <stp>RR106</stp>
        <stp>-60CQ</stp>
        <stp>2018/3/31</stp>
        <stp>[零售reit companeis.xlsx]ReferenceData!R817C6</stp>
        <stp>Per=CQ</stp>
        <stp>Dts=H</stp>
        <stp>Dir=H</stp>
        <stp>Points=60</stp>
        <stp>Sort=R</stp>
        <stp>Days=A</stp>
        <stp>Fill=B</stp>
        <stp>FX=USD</stp>
        <tr r="F817" s="3"/>
      </tp>
      <tp t="s">
        <v>#N/A Authorization</v>
        <stp/>
        <stp>##V3_BDHV12</stp>
        <stp>O US Equity</stp>
        <stp>RX902</stp>
        <stp>-60CQ</stp>
        <stp>2018/3/31</stp>
        <stp>[零售reit companeis.xlsx]ReferenceData!R667C6</stp>
        <stp>Per=CQ</stp>
        <stp>Dts=H</stp>
        <stp>Dir=H</stp>
        <stp>Points=60</stp>
        <stp>Sort=R</stp>
        <stp>Days=A</stp>
        <stp>Fill=B</stp>
        <stp>FX=USD</stp>
        <tr r="F667" s="3"/>
      </tp>
      <tp t="s">
        <v>#N/A Authorization</v>
        <stp/>
        <stp>##V3_BDHV12</stp>
        <stp>O US Equity</stp>
        <stp>RR502</stp>
        <stp>-60CQ</stp>
        <stp>2018/3/31</stp>
        <stp>[零售reit companeis.xlsx]ReferenceData!R532C6</stp>
        <stp>Per=CQ</stp>
        <stp>Dts=H</stp>
        <stp>Dir=H</stp>
        <stp>Points=60</stp>
        <stp>Sort=R</stp>
        <stp>Days=A</stp>
        <stp>Fill=B</stp>
        <stp>FX=USD</stp>
        <tr r="F532" s="3"/>
      </tp>
      <tp t="s">
        <v>#N/A Authorization</v>
        <stp/>
        <stp>##V3_BDHV12</stp>
        <stp>O US Equity</stp>
        <stp>RR008</stp>
        <stp>-60CQ</stp>
        <stp>2018/3/31</stp>
        <stp>[零售reit companeis.xlsx]ReferenceData!R802C6</stp>
        <stp>Per=CQ</stp>
        <stp>Dts=H</stp>
        <stp>Dir=H</stp>
        <stp>Points=60</stp>
        <stp>Sort=R</stp>
        <stp>Days=A</stp>
        <stp>Fill=B</stp>
        <stp>FX=USD</stp>
        <tr r="F802" s="3"/>
      </tp>
      <tp t="s">
        <v>#N/A Authorization</v>
        <stp/>
        <stp>##V3_BDHV12</stp>
        <stp>REG US Equity</stp>
        <stp>BS658</stp>
        <stp>-60CQ</stp>
        <stp>2018/3/31</stp>
        <stp>[零售reit companeis.xlsx]ReferenceData!R788C6</stp>
        <stp>Per=CQ</stp>
        <stp>Dts=H</stp>
        <stp>Dir=H</stp>
        <stp>Points=60</stp>
        <stp>Sort=R</stp>
        <stp>Days=A</stp>
        <stp>Fill=B</stp>
        <stp>FX=USD</stp>
        <tr r="F788" s="3"/>
      </tp>
      <tp t="s">
        <v>#N/A Authorization</v>
        <stp/>
        <stp>##V3_BDHV12</stp>
        <stp>REG US Equity</stp>
        <stp>BS658</stp>
        <stp>-60CQ</stp>
        <stp>2018/3/31</stp>
        <stp>[零售reit companeis.xlsx]ReferenceData!R444C6</stp>
        <stp>Per=CQ</stp>
        <stp>Dts=H</stp>
        <stp>Dir=H</stp>
        <stp>Points=60</stp>
        <stp>Sort=R</stp>
        <stp>Days=A</stp>
        <stp>Fill=B</stp>
        <stp>FX=USD</stp>
        <tr r="F444" s="3"/>
      </tp>
      <tp t="s">
        <v>#N/A Authorization</v>
        <stp/>
        <stp>##V3_BDHV12</stp>
        <stp>VER US Equity</stp>
        <stp>RR551</stp>
        <stp>-60CQ</stp>
        <stp>2018/3/31</stp>
        <stp>[零售reit companeis.xlsx]ReferenceData!R628C6</stp>
        <stp>Per=CQ</stp>
        <stp>Dts=H</stp>
        <stp>Dir=H</stp>
        <stp>Points=60</stp>
        <stp>Sort=R</stp>
        <stp>Days=A</stp>
        <stp>Fill=B</stp>
        <stp>FX=USD</stp>
        <tr r="F628" s="3"/>
      </tp>
      <tp t="s">
        <v>#N/A Authorization</v>
        <stp/>
        <stp>##V3_BDHV12</stp>
        <stp>VER US Equity</stp>
        <stp>RR253</stp>
        <stp>-60CQ</stp>
        <stp>2018/3/31</stp>
        <stp>[零售reit companeis.xlsx]ReferenceData!R457C6</stp>
        <stp>Per=CQ</stp>
        <stp>Dts=H</stp>
        <stp>Dir=H</stp>
        <stp>Points=60</stp>
        <stp>Sort=R</stp>
        <stp>Days=A</stp>
        <stp>Fill=B</stp>
        <stp>FX=USD</stp>
        <tr r="F457" s="3"/>
      </tp>
      <tp t="s">
        <v>#N/A Authorization</v>
        <stp/>
        <stp>##V3_BDHV12</stp>
        <stp>VER US Equity</stp>
        <stp>RR553</stp>
        <stp>-60CQ</stp>
        <stp>2018/3/31</stp>
        <stp>[零售reit companeis.xlsx]ReferenceData!R688C6</stp>
        <stp>Per=CQ</stp>
        <stp>Dts=H</stp>
        <stp>Dir=H</stp>
        <stp>Points=60</stp>
        <stp>Sort=R</stp>
        <stp>Days=A</stp>
        <stp>Fill=B</stp>
        <stp>FX=USD</stp>
        <tr r="F688" s="3"/>
      </tp>
      <tp t="s">
        <v>#N/A Authorization</v>
        <stp/>
        <stp>##V3_BDHV12</stp>
        <stp>VER US Equity</stp>
        <stp>RR052</stp>
        <stp>-60CQ</stp>
        <stp>2018/3/31</stp>
        <stp>[零售reit companeis.xlsx]ReferenceData!R718C6</stp>
        <stp>Per=CQ</stp>
        <stp>Dts=H</stp>
        <stp>Dir=H</stp>
        <stp>Points=60</stp>
        <stp>Sort=R</stp>
        <stp>Days=A</stp>
        <stp>Fill=B</stp>
        <stp>FX=USD</stp>
        <tr r="F718" s="3"/>
      </tp>
      <tp t="s">
        <v>#N/A Authorization</v>
        <stp/>
        <stp>##V3_BDHV12</stp>
        <stp>VER US Equity</stp>
        <stp>RR253</stp>
        <stp>-60CQ</stp>
        <stp>2018/3/31</stp>
        <stp>[零售reit companeis.xlsx]ReferenceData!R778C6</stp>
        <stp>Per=CQ</stp>
        <stp>Dts=H</stp>
        <stp>Dir=H</stp>
        <stp>Points=60</stp>
        <stp>Sort=R</stp>
        <stp>Days=A</stp>
        <stp>Fill=B</stp>
        <stp>FX=USD</stp>
        <tr r="F778" s="3"/>
      </tp>
      <tp t="s">
        <v>#N/A Authorization</v>
        <stp/>
        <stp>##V3_BDHV12</stp>
        <stp>VER US Equity</stp>
        <stp>RR554</stp>
        <stp>-60CQ</stp>
        <stp>2018/3/31</stp>
        <stp>[零售reit companeis.xlsx]ReferenceData!R703C6</stp>
        <stp>Per=CQ</stp>
        <stp>Dts=H</stp>
        <stp>Dir=H</stp>
        <stp>Points=60</stp>
        <stp>Sort=R</stp>
        <stp>Days=A</stp>
        <stp>Fill=B</stp>
        <stp>FX=USD</stp>
        <tr r="F703" s="3"/>
      </tp>
      <tp t="s">
        <v>#N/A Authorization</v>
        <stp/>
        <stp>##V3_BDHV12</stp>
        <stp>DDR US Equity</stp>
        <stp>RR147</stp>
        <stp>-60CQ</stp>
        <stp>2018/3/31</stp>
        <stp>[零售reit companeis.xlsx]ReferenceData!R738C6</stp>
        <stp>Per=CQ</stp>
        <stp>Dts=H</stp>
        <stp>Dir=H</stp>
        <stp>Points=60</stp>
        <stp>Sort=R</stp>
        <stp>Days=A</stp>
        <stp>Fill=B</stp>
        <stp>FX=USD</stp>
        <tr r="F738" s="3"/>
      </tp>
      <tp t="s">
        <v>#N/A Authorization</v>
        <stp/>
        <stp>##V3_BDHV12</stp>
        <stp>VER US Equity</stp>
        <stp>BS658</stp>
        <stp>-60CQ</stp>
        <stp>2018/3/31</stp>
        <stp>[零售reit companeis.xlsx]ReferenceData!R793C6</stp>
        <stp>Per=CQ</stp>
        <stp>Dts=H</stp>
        <stp>Dir=H</stp>
        <stp>Points=60</stp>
        <stp>Sort=R</stp>
        <stp>Days=A</stp>
        <stp>Fill=B</stp>
        <stp>FX=USD</stp>
        <tr r="F793" s="3"/>
      </tp>
      <tp t="s">
        <v>#N/A Authorization</v>
        <stp/>
        <stp>##V3_BDHV12</stp>
        <stp>CBL US Equity</stp>
        <stp>RX225</stp>
        <stp>-60CQ</stp>
        <stp>2018/3/31</stp>
        <stp>[零售reit companeis.xlsx]ReferenceData!R647C6</stp>
        <stp>Per=CQ</stp>
        <stp>Dts=H</stp>
        <stp>Dir=H</stp>
        <stp>Points=60</stp>
        <stp>Sort=R</stp>
        <stp>Days=A</stp>
        <stp>Fill=B</stp>
        <stp>FX=USD</stp>
        <tr r="F647" s="3"/>
      </tp>
      <tp t="s">
        <v>#N/A Authorization</v>
        <stp/>
        <stp>##V3_BDHV12</stp>
        <stp>VER US Equity</stp>
        <stp>BS658</stp>
        <stp>-60CQ</stp>
        <stp>2018/3/31</stp>
        <stp>[零售reit companeis.xlsx]ReferenceData!R459C6</stp>
        <stp>Per=CQ</stp>
        <stp>Dts=H</stp>
        <stp>Dir=H</stp>
        <stp>Points=60</stp>
        <stp>Sort=R</stp>
        <stp>Days=A</stp>
        <stp>Fill=B</stp>
        <stp>FX=USD</stp>
        <tr r="F459" s="3"/>
      </tp>
      <tp t="s">
        <v>#N/A Authorization</v>
        <stp/>
        <stp>##V3_BDHV12</stp>
        <stp>REG US Equity</stp>
        <stp>RR554</stp>
        <stp>-60CQ</stp>
        <stp>2018/3/31</stp>
        <stp>[零售reit companeis.xlsx]ReferenceData!R698C6</stp>
        <stp>Per=CQ</stp>
        <stp>Dts=H</stp>
        <stp>Dir=H</stp>
        <stp>Points=60</stp>
        <stp>Sort=R</stp>
        <stp>Days=A</stp>
        <stp>Fill=B</stp>
        <stp>FX=USD</stp>
        <tr r="F698" s="3"/>
      </tp>
      <tp t="s">
        <v>#N/A Authorization</v>
        <stp/>
        <stp>##V3_BDHV12</stp>
        <stp>REG US Equity</stp>
        <stp>RR551</stp>
        <stp>-60CQ</stp>
        <stp>2018/3/31</stp>
        <stp>[零售reit companeis.xlsx]ReferenceData!R623C6</stp>
        <stp>Per=CQ</stp>
        <stp>Dts=H</stp>
        <stp>Dir=H</stp>
        <stp>Points=60</stp>
        <stp>Sort=R</stp>
        <stp>Days=A</stp>
        <stp>Fill=B</stp>
        <stp>FX=USD</stp>
        <tr r="F623" s="3"/>
      </tp>
      <tp t="s">
        <v>#N/A Authorization</v>
        <stp/>
        <stp>##V3_BDHV12</stp>
        <stp>REG US Equity</stp>
        <stp>RR253</stp>
        <stp>-60CQ</stp>
        <stp>2018/3/31</stp>
        <stp>[零售reit companeis.xlsx]ReferenceData!R442C6</stp>
        <stp>Per=CQ</stp>
        <stp>Dts=H</stp>
        <stp>Dir=H</stp>
        <stp>Points=60</stp>
        <stp>Sort=R</stp>
        <stp>Days=A</stp>
        <stp>Fill=B</stp>
        <stp>FX=USD</stp>
        <tr r="F442" s="3"/>
      </tp>
      <tp t="s">
        <v>#N/A Authorization</v>
        <stp/>
        <stp>##V3_BDHV12</stp>
        <stp>REG US Equity</stp>
        <stp>RR253</stp>
        <stp>-60CQ</stp>
        <stp>2018/3/31</stp>
        <stp>[零售reit companeis.xlsx]ReferenceData!R773C6</stp>
        <stp>Per=CQ</stp>
        <stp>Dts=H</stp>
        <stp>Dir=H</stp>
        <stp>Points=60</stp>
        <stp>Sort=R</stp>
        <stp>Days=A</stp>
        <stp>Fill=B</stp>
        <stp>FX=USD</stp>
        <tr r="F773" s="3"/>
      </tp>
      <tp t="s">
        <v>#N/A Authorization</v>
        <stp/>
        <stp>##V3_BDHV12</stp>
        <stp>REG US Equity</stp>
        <stp>RR553</stp>
        <stp>-60CQ</stp>
        <stp>2018/3/31</stp>
        <stp>[零售reit companeis.xlsx]ReferenceData!R683C6</stp>
        <stp>Per=CQ</stp>
        <stp>Dts=H</stp>
        <stp>Dir=H</stp>
        <stp>Points=60</stp>
        <stp>Sort=R</stp>
        <stp>Days=A</stp>
        <stp>Fill=B</stp>
        <stp>FX=USD</stp>
        <tr r="F683" s="3"/>
      </tp>
      <tp t="s">
        <v>#N/A Authorization</v>
        <stp/>
        <stp>##V3_BDHV12</stp>
        <stp>REG US Equity</stp>
        <stp>RR052</stp>
        <stp>-60CQ</stp>
        <stp>2018/3/31</stp>
        <stp>[零售reit companeis.xlsx]ReferenceData!R713C6</stp>
        <stp>Per=CQ</stp>
        <stp>Dts=H</stp>
        <stp>Dir=H</stp>
        <stp>Points=60</stp>
        <stp>Sort=R</stp>
        <stp>Days=A</stp>
        <stp>Fill=B</stp>
        <stp>FX=USD</stp>
        <tr r="F713" s="3"/>
      </tp>
      <tp t="s">
        <v>#N/A Authorization</v>
        <stp/>
        <stp>##V3_BDHV12</stp>
        <stp>DDR US Equity</stp>
        <stp>RR253</stp>
        <stp>-60CQ</stp>
        <stp>2018/3/31</stp>
        <stp>[零售reit companeis.xlsx]ReferenceData!R427C6</stp>
        <stp>Per=CQ</stp>
        <stp>Dts=H</stp>
        <stp>Dir=H</stp>
        <stp>Points=60</stp>
        <stp>Sort=R</stp>
        <stp>Days=A</stp>
        <stp>Fill=B</stp>
        <stp>FX=USD</stp>
        <tr r="F427" s="3"/>
      </tp>
      <tp t="s">
        <v>#N/A Authorization</v>
        <stp/>
        <stp>##V3_BDHV12</stp>
        <stp>DDR US Equity</stp>
        <stp>RR551</stp>
        <stp>-60CQ</stp>
        <stp>2018/3/31</stp>
        <stp>[零售reit companeis.xlsx]ReferenceData!R618C6</stp>
        <stp>Per=CQ</stp>
        <stp>Dts=H</stp>
        <stp>Dir=H</stp>
        <stp>Points=60</stp>
        <stp>Sort=R</stp>
        <stp>Days=A</stp>
        <stp>Fill=B</stp>
        <stp>FX=USD</stp>
        <tr r="F618" s="3"/>
      </tp>
      <tp t="s">
        <v>#N/A Authorization</v>
        <stp/>
        <stp>##V3_BDHV12</stp>
        <stp>DDR US Equity</stp>
        <stp>RR052</stp>
        <stp>-60CQ</stp>
        <stp>2018/3/31</stp>
        <stp>[零售reit companeis.xlsx]ReferenceData!R708C6</stp>
        <stp>Per=CQ</stp>
        <stp>Dts=H</stp>
        <stp>Dir=H</stp>
        <stp>Points=60</stp>
        <stp>Sort=R</stp>
        <stp>Days=A</stp>
        <stp>Fill=B</stp>
        <stp>FX=USD</stp>
        <tr r="F708" s="3"/>
      </tp>
      <tp t="s">
        <v>#N/A Authorization</v>
        <stp/>
        <stp>##V3_BDHV12</stp>
        <stp>DDR US Equity</stp>
        <stp>RR553</stp>
        <stp>-60CQ</stp>
        <stp>2018/3/31</stp>
        <stp>[零售reit companeis.xlsx]ReferenceData!R678C6</stp>
        <stp>Per=CQ</stp>
        <stp>Dts=H</stp>
        <stp>Dir=H</stp>
        <stp>Points=60</stp>
        <stp>Sort=R</stp>
        <stp>Days=A</stp>
        <stp>Fill=B</stp>
        <stp>FX=USD</stp>
        <tr r="F678" s="3"/>
      </tp>
      <tp t="s">
        <v>#N/A Authorization</v>
        <stp/>
        <stp>##V3_BDHV12</stp>
        <stp>DDR US Equity</stp>
        <stp>RR253</stp>
        <stp>-60CQ</stp>
        <stp>2018/3/31</stp>
        <stp>[零售reit companeis.xlsx]ReferenceData!R768C6</stp>
        <stp>Per=CQ</stp>
        <stp>Dts=H</stp>
        <stp>Dir=H</stp>
        <stp>Points=60</stp>
        <stp>Sort=R</stp>
        <stp>Days=A</stp>
        <stp>Fill=B</stp>
        <stp>FX=USD</stp>
        <tr r="F768" s="3"/>
      </tp>
      <tp t="s">
        <v>#N/A Authorization</v>
        <stp/>
        <stp>##V3_BDHV12</stp>
        <stp>CBL US Equity</stp>
        <stp>CF039</stp>
        <stp>-60CQ</stp>
        <stp>2018/3/31</stp>
        <stp>[零售reit companeis.xlsx]ReferenceData!R572C6</stp>
        <stp>Per=CQ</stp>
        <stp>Dts=H</stp>
        <stp>Dir=H</stp>
        <stp>Points=60</stp>
        <stp>Sort=R</stp>
        <stp>Days=A</stp>
        <stp>Fill=B</stp>
        <stp>FX=USD</stp>
        <tr r="F572" s="3"/>
      </tp>
      <tp t="s">
        <v>#N/A Authorization</v>
        <stp/>
        <stp>##V3_BDHV12</stp>
        <stp>DDR US Equity</stp>
        <stp>RR554</stp>
        <stp>-60CQ</stp>
        <stp>2018/3/31</stp>
        <stp>[零售reit companeis.xlsx]ReferenceData!R693C6</stp>
        <stp>Per=CQ</stp>
        <stp>Dts=H</stp>
        <stp>Dir=H</stp>
        <stp>Points=60</stp>
        <stp>Sort=R</stp>
        <stp>Days=A</stp>
        <stp>Fill=B</stp>
        <stp>FX=USD</stp>
        <tr r="F693" s="3"/>
      </tp>
      <tp t="s">
        <v>#N/A Authorization</v>
        <stp/>
        <stp>##V3_BDHV12</stp>
        <stp>KIM US Equity</stp>
        <stp>BS189</stp>
        <stp>-60CQ</stp>
        <stp>2018/3/31</stp>
        <stp>[零售reit companeis.xlsx]ReferenceData!R434C6</stp>
        <stp>Per=CQ</stp>
        <stp>Dts=H</stp>
        <stp>Dir=H</stp>
        <stp>Points=60</stp>
        <stp>Sort=R</stp>
        <stp>Days=A</stp>
        <stp>Fill=B</stp>
        <stp>FX=USD</stp>
        <tr r="F434" s="3"/>
      </tp>
      <tp t="s">
        <v>#N/A Authorization</v>
        <stp/>
        <stp>##V3_BDHV12</stp>
        <stp>CBL US Equity</stp>
        <stp>IS030</stp>
        <stp>-60CQ</stp>
        <stp>2018/3/31</stp>
        <stp>[零售reit companeis.xlsx]ReferenceData!R467C6</stp>
        <stp>Per=CQ</stp>
        <stp>Dts=H</stp>
        <stp>Dir=H</stp>
        <stp>Points=60</stp>
        <stp>Sort=R</stp>
        <stp>Days=A</stp>
        <stp>Fill=B</stp>
        <stp>FX=USD</stp>
        <tr r="F467" s="3"/>
      </tp>
      <tp t="s">
        <v>#N/A Authorization</v>
        <stp/>
        <stp>##V3_BDHV12</stp>
        <stp>VER US Equity</stp>
        <stp>RR147</stp>
        <stp>-60CQ</stp>
        <stp>2018/3/31</stp>
        <stp>[零售reit companeis.xlsx]ReferenceData!R748C6</stp>
        <stp>Per=CQ</stp>
        <stp>Dts=H</stp>
        <stp>Dir=H</stp>
        <stp>Points=60</stp>
        <stp>Sort=R</stp>
        <stp>Days=A</stp>
        <stp>Fill=B</stp>
        <stp>FX=USD</stp>
        <tr r="F748" s="3"/>
      </tp>
      <tp t="s">
        <v>#N/A Authorization</v>
        <stp/>
        <stp>##V3_BDHV12</stp>
        <stp>KIM US Equity</stp>
        <stp>IM281</stp>
        <stp>-60CQ</stp>
        <stp>2018/3/31</stp>
        <stp>[零售reit companeis.xlsx]ReferenceData!R500C6</stp>
        <stp>Per=CQ</stp>
        <stp>Dts=H</stp>
        <stp>Dir=H</stp>
        <stp>Points=60</stp>
        <stp>Sort=R</stp>
        <stp>Days=A</stp>
        <stp>Fill=B</stp>
        <stp>FX=USD</stp>
        <tr r="F500" s="3"/>
      </tp>
      <tp t="s">
        <v>#N/A Authorization</v>
        <stp/>
        <stp>##V3_BDHV12</stp>
        <stp>DDR US Equity</stp>
        <stp>BS658</stp>
        <stp>-60CQ</stp>
        <stp>2018/3/31</stp>
        <stp>[零售reit companeis.xlsx]ReferenceData!R783C6</stp>
        <stp>Per=CQ</stp>
        <stp>Dts=H</stp>
        <stp>Dir=H</stp>
        <stp>Points=60</stp>
        <stp>Sort=R</stp>
        <stp>Days=A</stp>
        <stp>Fill=B</stp>
        <stp>FX=USD</stp>
        <tr r="F783" s="3"/>
      </tp>
      <tp t="s">
        <v>#N/A Authorization</v>
        <stp/>
        <stp>##V3_BDHV12</stp>
        <stp>DDR US Equity</stp>
        <stp>BS658</stp>
        <stp>-60CQ</stp>
        <stp>2018/3/31</stp>
        <stp>[零售reit companeis.xlsx]ReferenceData!R429C6</stp>
        <stp>Per=CQ</stp>
        <stp>Dts=H</stp>
        <stp>Dir=H</stp>
        <stp>Points=60</stp>
        <stp>Sort=R</stp>
        <stp>Days=A</stp>
        <stp>Fill=B</stp>
        <stp>FX=USD</stp>
        <tr r="F429" s="3"/>
      </tp>
      <tp t="s">
        <v>#N/A Authorization</v>
        <stp/>
        <stp>##V3_BDHV12</stp>
        <stp>CBL US Equity</stp>
        <stp>RR033</stp>
        <stp>-60CQ</stp>
        <stp>2018/3/31</stp>
        <stp>[零售reit companeis.xlsx]ReferenceData!R602C6</stp>
        <stp>Per=CQ</stp>
        <stp>Dts=H</stp>
        <stp>Dir=H</stp>
        <stp>Points=60</stp>
        <stp>Sort=R</stp>
        <stp>Days=A</stp>
        <stp>Fill=B</stp>
        <stp>FX=USD</stp>
        <tr r="F602" s="3"/>
      </tp>
      <tp t="s">
        <v>#N/A Authorization</v>
        <stp/>
        <stp>##V3_BDHV12</stp>
        <stp>REG US Equity</stp>
        <stp>RR147</stp>
        <stp>-60CQ</stp>
        <stp>2018/3/31</stp>
        <stp>[零售reit companeis.xlsx]ReferenceData!R743C6</stp>
        <stp>Per=CQ</stp>
        <stp>Dts=H</stp>
        <stp>Dir=H</stp>
        <stp>Points=60</stp>
        <stp>Sort=R</stp>
        <stp>Days=A</stp>
        <stp>Fill=B</stp>
        <stp>FX=USD</stp>
        <tr r="F743" s="3"/>
      </tp>
      <tp t="s">
        <v>#N/A Authorization</v>
        <stp/>
        <stp>##V3_BDHV12</stp>
        <stp>REG US Equity</stp>
        <stp>IM275</stp>
        <stp>-60CQ</stp>
        <stp>2018/3/31</stp>
        <stp>[零售reit companeis.xlsx]ReferenceData!R488C6</stp>
        <stp>Per=CQ</stp>
        <stp>Dts=H</stp>
        <stp>Dir=H</stp>
        <stp>Points=60</stp>
        <stp>Sort=R</stp>
        <stp>Days=A</stp>
        <stp>Fill=B</stp>
        <stp>FX=USD</stp>
        <tr r="F488" s="3"/>
      </tp>
      <tp t="s">
        <v>#N/A Authorization</v>
        <stp/>
        <stp>##V3_BDHV12</stp>
        <stp>REG US Equity</stp>
        <stp>F1178</stp>
        <stp>-60CQ</stp>
        <stp>2018/3/31</stp>
        <stp>[零售reit companeis.xlsx]ReferenceData!R728C6</stp>
        <stp>Per=CQ</stp>
        <stp>Dts=H</stp>
        <stp>Dir=H</stp>
        <stp>Points=60</stp>
        <stp>Sort=R</stp>
        <stp>Days=A</stp>
        <stp>Fill=B</stp>
        <stp>FX=USD</stp>
        <tr r="F728" s="3"/>
      </tp>
      <tp t="s">
        <v>#N/A Authorization</v>
        <stp/>
        <stp>##V3_BDHV12</stp>
        <stp>REG US Equity</stp>
        <stp>F0578</stp>
        <stp>-60CQ</stp>
        <stp>2018/3/31</stp>
        <stp>[零售reit companeis.xlsx]ReferenceData!R593C6</stp>
        <stp>Per=CQ</stp>
        <stp>Dts=H</stp>
        <stp>Dir=H</stp>
        <stp>Points=60</stp>
        <stp>Sort=R</stp>
        <stp>Days=A</stp>
        <stp>Fill=B</stp>
        <stp>FX=USD</stp>
        <tr r="F593" s="3"/>
      </tp>
      <tp t="s">
        <v>#N/A Authorization</v>
        <stp/>
        <stp>##V3_BDHV12</stp>
        <stp>REG US Equity</stp>
        <stp>IS972</stp>
        <stp>-60CQ</stp>
        <stp>2018/3/31</stp>
        <stp>[零售reit companeis.xlsx]ReferenceData!R563C6</stp>
        <stp>Per=CQ</stp>
        <stp>Dts=H</stp>
        <stp>Dir=H</stp>
        <stp>Points=60</stp>
        <stp>Sort=R</stp>
        <stp>Days=A</stp>
        <stp>Fill=B</stp>
        <stp>FX=USD</stp>
        <tr r="F563" s="3"/>
      </tp>
      <tp t="s">
        <v>#N/A Authorization</v>
        <stp/>
        <stp>##V3_BDHV12</stp>
        <stp>DDR US Equity</stp>
        <stp>RR263</stp>
        <stp>-60CQ</stp>
        <stp>2018/3/31</stp>
        <stp>[零售reit companeis.xlsx]ReferenceData!R753C6</stp>
        <stp>Per=CQ</stp>
        <stp>Dts=H</stp>
        <stp>Dir=H</stp>
        <stp>Points=60</stp>
        <stp>Sort=R</stp>
        <stp>Days=A</stp>
        <stp>Fill=B</stp>
        <stp>FX=USD</stp>
        <tr r="F753" s="3"/>
      </tp>
      <tp t="s">
        <v>#N/A Authorization</v>
        <stp/>
        <stp>##V3_BDHV12</stp>
        <stp>VER US Equity</stp>
        <stp>IS972</stp>
        <stp>-60CQ</stp>
        <stp>2018/3/31</stp>
        <stp>[零售reit companeis.xlsx]ReferenceData!R568C6</stp>
        <stp>Per=CQ</stp>
        <stp>Dts=H</stp>
        <stp>Dir=H</stp>
        <stp>Points=60</stp>
        <stp>Sort=R</stp>
        <stp>Days=A</stp>
        <stp>Fill=B</stp>
        <stp>FX=USD</stp>
        <tr r="F568" s="3"/>
      </tp>
      <tp t="s">
        <v>#N/A Authorization</v>
        <stp/>
        <stp>##V3_BDHV12</stp>
        <stp>VER US Equity</stp>
        <stp>F1178</stp>
        <stp>-60CQ</stp>
        <stp>2018/3/31</stp>
        <stp>[零售reit companeis.xlsx]ReferenceData!R733C6</stp>
        <stp>Per=CQ</stp>
        <stp>Dts=H</stp>
        <stp>Dir=H</stp>
        <stp>Points=60</stp>
        <stp>Sort=R</stp>
        <stp>Days=A</stp>
        <stp>Fill=B</stp>
        <stp>FX=USD</stp>
        <tr r="F733" s="3"/>
      </tp>
      <tp t="s">
        <v>#N/A Authorization</v>
        <stp/>
        <stp>##V3_BDHV12</stp>
        <stp>CBL US Equity</stp>
        <stp>RX902</stp>
        <stp>-60CQ</stp>
        <stp>2018/3/31</stp>
        <stp>[零售reit companeis.xlsx]ReferenceData!R662C6</stp>
        <stp>Per=CQ</stp>
        <stp>Dts=H</stp>
        <stp>Dir=H</stp>
        <stp>Points=60</stp>
        <stp>Sort=R</stp>
        <stp>Days=A</stp>
        <stp>Fill=B</stp>
        <stp>FX=USD</stp>
        <tr r="F662" s="3"/>
      </tp>
      <tp t="s">
        <v>#N/A Authorization</v>
        <stp/>
        <stp>##V3_BDHV12</stp>
        <stp>VER US Equity</stp>
        <stp>IM275</stp>
        <stp>-60CQ</stp>
        <stp>2018/3/31</stp>
        <stp>[零售reit companeis.xlsx]ReferenceData!R493C6</stp>
        <stp>Per=CQ</stp>
        <stp>Dts=H</stp>
        <stp>Dir=H</stp>
        <stp>Points=60</stp>
        <stp>Sort=R</stp>
        <stp>Days=A</stp>
        <stp>Fill=B</stp>
        <stp>FX=USD</stp>
        <tr r="F493" s="3"/>
      </tp>
      <tp t="s">
        <v>#N/A Authorization</v>
        <stp/>
        <stp>##V3_BDHV12</stp>
        <stp>CBL US Equity</stp>
        <stp>RR502</stp>
        <stp>-60CQ</stp>
        <stp>2018/3/31</stp>
        <stp>[零售reit companeis.xlsx]ReferenceData!R527C6</stp>
        <stp>Per=CQ</stp>
        <stp>Dts=H</stp>
        <stp>Dir=H</stp>
        <stp>Points=60</stp>
        <stp>Sort=R</stp>
        <stp>Days=A</stp>
        <stp>Fill=B</stp>
        <stp>FX=USD</stp>
        <tr r="F527" s="3"/>
      </tp>
      <tp t="s">
        <v>#N/A Authorization</v>
        <stp/>
        <stp>##V3_BDHV12</stp>
        <stp>VER US Equity</stp>
        <stp>F0578</stp>
        <stp>-60CQ</stp>
        <stp>2018/3/31</stp>
        <stp>[零售reit companeis.xlsx]ReferenceData!R598C6</stp>
        <stp>Per=CQ</stp>
        <stp>Dts=H</stp>
        <stp>Dir=H</stp>
        <stp>Points=60</stp>
        <stp>Sort=R</stp>
        <stp>Days=A</stp>
        <stp>Fill=B</stp>
        <stp>FX=USD</stp>
        <tr r="F598" s="3"/>
      </tp>
      <tp t="s">
        <v>#N/A Authorization</v>
        <stp/>
        <stp>##V3_BDHV12</stp>
        <stp>CBL US Equity</stp>
        <stp>RR009</stp>
        <stp>-60CQ</stp>
        <stp>2018/3/31</stp>
        <stp>[零售reit companeis.xlsx]ReferenceData!R542C6</stp>
        <stp>Per=CQ</stp>
        <stp>Dts=H</stp>
        <stp>Dir=H</stp>
        <stp>Points=60</stp>
        <stp>Sort=R</stp>
        <stp>Days=A</stp>
        <stp>Fill=B</stp>
        <stp>FX=USD</stp>
        <tr r="F542" s="3"/>
      </tp>
      <tp t="s">
        <v>#N/A Authorization</v>
        <stp/>
        <stp>##V3_BDHV12</stp>
        <stp>CBL US Equity</stp>
        <stp>RR008</stp>
        <stp>-60CQ</stp>
        <stp>2018/3/31</stp>
        <stp>[零售reit companeis.xlsx]ReferenceData!R797C6</stp>
        <stp>Per=CQ</stp>
        <stp>Dts=H</stp>
        <stp>Dir=H</stp>
        <stp>Points=60</stp>
        <stp>Sort=R</stp>
        <stp>Days=A</stp>
        <stp>Fill=B</stp>
        <stp>FX=USD</stp>
        <tr r="F797" s="3"/>
      </tp>
      <tp t="s">
        <v>#N/A Authorization</v>
        <stp/>
        <stp>##V3_BDHV12</stp>
        <stp>CBL US Equity</stp>
        <stp>RR106</stp>
        <stp>-60CQ</stp>
        <stp>2018/3/31</stp>
        <stp>[零售reit companeis.xlsx]ReferenceData!R812C6</stp>
        <stp>Per=CQ</stp>
        <stp>Dts=H</stp>
        <stp>Dir=H</stp>
        <stp>Points=60</stp>
        <stp>Sort=R</stp>
        <stp>Days=A</stp>
        <stp>Fill=B</stp>
        <stp>FX=USD</stp>
        <tr r="F812" s="3"/>
      </tp>
      <tp t="s">
        <v>#N/A Authorization</v>
        <stp/>
        <stp>##V3_BDHV12</stp>
        <stp>VER US Equity</stp>
        <stp>RR263</stp>
        <stp>-60CQ</stp>
        <stp>2018/3/31</stp>
        <stp>[零售reit companeis.xlsx]ReferenceData!R763C6</stp>
        <stp>Per=CQ</stp>
        <stp>Dts=H</stp>
        <stp>Dir=H</stp>
        <stp>Points=60</stp>
        <stp>Sort=R</stp>
        <stp>Days=A</stp>
        <stp>Fill=B</stp>
        <stp>FX=USD</stp>
        <tr r="F763" s="3"/>
      </tp>
      <tp t="s">
        <v>#N/A Authorization</v>
        <stp/>
        <stp>##V3_BDHV12</stp>
        <stp>CBL US Equity</stp>
        <stp>IS010</stp>
        <stp>-60CQ</stp>
        <stp>2018/3/31</stp>
        <stp>[零售reit companeis.xlsx]ReferenceData!R512C6</stp>
        <stp>Per=CQ</stp>
        <stp>Dts=H</stp>
        <stp>Dir=H</stp>
        <stp>Points=60</stp>
        <stp>Sort=R</stp>
        <stp>Days=A</stp>
        <stp>Fill=B</stp>
        <stp>FX=USD</stp>
        <tr r="F512" s="3"/>
      </tp>
      <tp t="s">
        <v>#N/A Authorization</v>
        <stp/>
        <stp>##V3_BDHV12</stp>
        <stp>DDR US Equity</stp>
        <stp>IS972</stp>
        <stp>-60CQ</stp>
        <stp>2018/3/31</stp>
        <stp>[零售reit companeis.xlsx]ReferenceData!R558C6</stp>
        <stp>Per=CQ</stp>
        <stp>Dts=H</stp>
        <stp>Dir=H</stp>
        <stp>Points=60</stp>
        <stp>Sort=R</stp>
        <stp>Days=A</stp>
        <stp>Fill=B</stp>
        <stp>FX=USD</stp>
        <tr r="F558" s="3"/>
      </tp>
      <tp t="s">
        <v>#N/A Authorization</v>
        <stp/>
        <stp>##V3_BDHV12</stp>
        <stp>SKT US Equity</stp>
        <stp>BS189</stp>
        <stp>-60CQ</stp>
        <stp>2018/3/31</stp>
        <stp>[零售reit companeis.xlsx]ReferenceData!R455C6</stp>
        <stp>Per=CQ</stp>
        <stp>Dts=H</stp>
        <stp>Dir=H</stp>
        <stp>Points=60</stp>
        <stp>Sort=R</stp>
        <stp>Days=A</stp>
        <stp>Fill=B</stp>
        <stp>FX=USD</stp>
        <tr r="F455" s="3"/>
      </tp>
      <tp t="s">
        <v>#N/A Authorization</v>
        <stp/>
        <stp>##V3_BDHV12</stp>
        <stp>DDR US Equity</stp>
        <stp>F1178</stp>
        <stp>-60CQ</stp>
        <stp>2018/3/31</stp>
        <stp>[零售reit companeis.xlsx]ReferenceData!R723C6</stp>
        <stp>Per=CQ</stp>
        <stp>Dts=H</stp>
        <stp>Dir=H</stp>
        <stp>Points=60</stp>
        <stp>Sort=R</stp>
        <stp>Days=A</stp>
        <stp>Fill=B</stp>
        <stp>FX=USD</stp>
        <tr r="F723" s="3"/>
      </tp>
      <tp t="s">
        <v>#N/A Authorization</v>
        <stp/>
        <stp>##V3_BDHV12</stp>
        <stp>DDR US Equity</stp>
        <stp>IM275</stp>
        <stp>-60CQ</stp>
        <stp>2018/3/31</stp>
        <stp>[零售reit companeis.xlsx]ReferenceData!R483C6</stp>
        <stp>Per=CQ</stp>
        <stp>Dts=H</stp>
        <stp>Dir=H</stp>
        <stp>Points=60</stp>
        <stp>Sort=R</stp>
        <stp>Days=A</stp>
        <stp>Fill=B</stp>
        <stp>FX=USD</stp>
        <tr r="F483" s="3"/>
      </tp>
      <tp t="s">
        <v>#N/A Authorization</v>
        <stp/>
        <stp>##V3_BDHV12</stp>
        <stp>SKT US Equity</stp>
        <stp>IM281</stp>
        <stp>-60CQ</stp>
        <stp>2018/3/31</stp>
        <stp>[零售reit companeis.xlsx]ReferenceData!R507C6</stp>
        <stp>Per=CQ</stp>
        <stp>Dts=H</stp>
        <stp>Dir=H</stp>
        <stp>Points=60</stp>
        <stp>Sort=R</stp>
        <stp>Days=A</stp>
        <stp>Fill=B</stp>
        <stp>FX=USD</stp>
        <tr r="F507" s="3"/>
      </tp>
      <tp t="s">
        <v>#N/A Authorization</v>
        <stp/>
        <stp>##V3_BDHV12</stp>
        <stp>DDR US Equity</stp>
        <stp>F0578</stp>
        <stp>-60CQ</stp>
        <stp>2018/3/31</stp>
        <stp>[零售reit companeis.xlsx]ReferenceData!R588C6</stp>
        <stp>Per=CQ</stp>
        <stp>Dts=H</stp>
        <stp>Dir=H</stp>
        <stp>Points=60</stp>
        <stp>Sort=R</stp>
        <stp>Days=A</stp>
        <stp>Fill=B</stp>
        <stp>FX=USD</stp>
        <tr r="F588" s="3"/>
      </tp>
      <tp t="s">
        <v>#N/A Authorization</v>
        <stp/>
        <stp>##V3_BDHV12</stp>
        <stp>REG US Equity</stp>
        <stp>RR263</stp>
        <stp>-60CQ</stp>
        <stp>2018/3/31</stp>
        <stp>[零售reit companeis.xlsx]ReferenceData!R758C6</stp>
        <stp>Per=CQ</stp>
        <stp>Dts=H</stp>
        <stp>Dir=H</stp>
        <stp>Points=60</stp>
        <stp>Sort=R</stp>
        <stp>Days=A</stp>
        <stp>Fill=B</stp>
        <stp>FX=USD</stp>
        <tr r="F758" s="3"/>
      </tp>
      <tp t="s">
        <v>#N/A Authorization</v>
        <stp/>
        <stp>##V3_BDHV12</stp>
        <stp>DDR US Equity</stp>
        <stp>RR008</stp>
        <stp>-60CQ</stp>
        <stp>2018/3/31</stp>
        <stp>[零售reit companeis.xlsx]ReferenceData!R798C6</stp>
        <stp>Per=CQ</stp>
        <stp>Dts=H</stp>
        <stp>Dir=H</stp>
        <stp>Points=60</stp>
        <stp>Sort=R</stp>
        <stp>Days=A</stp>
        <stp>Fill=B</stp>
        <stp>FX=USD</stp>
        <tr r="F798" s="3"/>
      </tp>
      <tp t="s">
        <v>#N/A Authorization</v>
        <stp/>
        <stp>##V3_BDHV12</stp>
        <stp>DDR US Equity</stp>
        <stp>RR106</stp>
        <stp>-60CQ</stp>
        <stp>2018/3/31</stp>
        <stp>[零售reit companeis.xlsx]ReferenceData!R813C6</stp>
        <stp>Per=CQ</stp>
        <stp>Dts=H</stp>
        <stp>Dir=H</stp>
        <stp>Points=60</stp>
        <stp>Sort=R</stp>
        <stp>Days=A</stp>
        <stp>Fill=B</stp>
        <stp>FX=USD</stp>
        <tr r="F813" s="3"/>
      </tp>
      <tp t="s">
        <v>#N/A Authorization</v>
        <stp/>
        <stp>##V3_BDHV12</stp>
        <stp>DDR US Equity</stp>
        <stp>RR009</stp>
        <stp>-60CQ</stp>
        <stp>2018/3/31</stp>
        <stp>[零售reit companeis.xlsx]ReferenceData!R543C6</stp>
        <stp>Per=CQ</stp>
        <stp>Dts=H</stp>
        <stp>Dir=H</stp>
        <stp>Points=60</stp>
        <stp>Sort=R</stp>
        <stp>Days=A</stp>
        <stp>Fill=B</stp>
        <stp>FX=USD</stp>
        <tr r="F543" s="3"/>
      </tp>
      <tp t="s">
        <v>#N/A Authorization</v>
        <stp/>
        <stp>##V3_BDHV12</stp>
        <stp>REG US Equity</stp>
        <stp>IS010</stp>
        <stp>-60CQ</stp>
        <stp>2018/3/31</stp>
        <stp>[零售reit companeis.xlsx]ReferenceData!R518C6</stp>
        <stp>Per=CQ</stp>
        <stp>Dts=H</stp>
        <stp>Dir=H</stp>
        <stp>Points=60</stp>
        <stp>Sort=R</stp>
        <stp>Days=A</stp>
        <stp>Fill=B</stp>
        <stp>FX=USD</stp>
        <tr r="F518" s="3"/>
      </tp>
      <tp t="s">
        <v>#N/A Authorization</v>
        <stp/>
        <stp>##V3_BDHV12</stp>
        <stp>DDR US Equity</stp>
        <stp>RR502</stp>
        <stp>-60CQ</stp>
        <stp>2018/3/31</stp>
        <stp>[零售reit companeis.xlsx]ReferenceData!R528C6</stp>
        <stp>Per=CQ</stp>
        <stp>Dts=H</stp>
        <stp>Dir=H</stp>
        <stp>Points=60</stp>
        <stp>Sort=R</stp>
        <stp>Days=A</stp>
        <stp>Fill=B</stp>
        <stp>FX=USD</stp>
        <tr r="F528" s="3"/>
      </tp>
      <tp t="s">
        <v>#N/A Authorization</v>
        <stp/>
        <stp>##V3_BDHV12</stp>
        <stp>DDR US Equity</stp>
        <stp>RX902</stp>
        <stp>-60CQ</stp>
        <stp>2018/3/31</stp>
        <stp>[零售reit companeis.xlsx]ReferenceData!R663C6</stp>
        <stp>Per=CQ</stp>
        <stp>Dts=H</stp>
        <stp>Dir=H</stp>
        <stp>Points=60</stp>
        <stp>Sort=R</stp>
        <stp>Days=A</stp>
        <stp>Fill=B</stp>
        <stp>FX=USD</stp>
        <tr r="F663" s="3"/>
      </tp>
      <tp t="s">
        <v>#N/A Authorization</v>
        <stp/>
        <stp>##V3_BDHV12</stp>
        <stp>VER US Equity</stp>
        <stp>IS010</stp>
        <stp>-60CQ</stp>
        <stp>2018/3/31</stp>
        <stp>[零售reit companeis.xlsx]ReferenceData!R523C6</stp>
        <stp>Per=CQ</stp>
        <stp>Dts=H</stp>
        <stp>Dir=H</stp>
        <stp>Points=60</stp>
        <stp>Sort=R</stp>
        <stp>Days=A</stp>
        <stp>Fill=B</stp>
        <stp>FX=USD</stp>
        <tr r="F523" s="3"/>
      </tp>
      <tp t="s">
        <v>#N/A Authorization</v>
        <stp/>
        <stp>##V3_BDHV12</stp>
        <stp>CBL US Equity</stp>
        <stp>RR263</stp>
        <stp>-60CQ</stp>
        <stp>2018/3/31</stp>
        <stp>[零售reit companeis.xlsx]ReferenceData!R752C6</stp>
        <stp>Per=CQ</stp>
        <stp>Dts=H</stp>
        <stp>Dir=H</stp>
        <stp>Points=60</stp>
        <stp>Sort=R</stp>
        <stp>Days=A</stp>
        <stp>Fill=B</stp>
        <stp>FX=USD</stp>
        <tr r="F752" s="3"/>
      </tp>
      <tp t="s">
        <v>#N/A Authorization</v>
        <stp/>
        <stp>##V3_BDHV12</stp>
        <stp>VER US Equity</stp>
        <stp>RR106</stp>
        <stp>-60CQ</stp>
        <stp>2018/3/31</stp>
        <stp>[零售reit companeis.xlsx]ReferenceData!R823C6</stp>
        <stp>Per=CQ</stp>
        <stp>Dts=H</stp>
        <stp>Dir=H</stp>
        <stp>Points=60</stp>
        <stp>Sort=R</stp>
        <stp>Days=A</stp>
        <stp>Fill=B</stp>
        <stp>FX=USD</stp>
        <tr r="F823" s="3"/>
      </tp>
      <tp t="s">
        <v>#N/A Authorization</v>
        <stp/>
        <stp>##V3_BDHV12</stp>
        <stp>VER US Equity</stp>
        <stp>RR009</stp>
        <stp>-60CQ</stp>
        <stp>2018/3/31</stp>
        <stp>[零售reit companeis.xlsx]ReferenceData!R553C6</stp>
        <stp>Per=CQ</stp>
        <stp>Dts=H</stp>
        <stp>Dir=H</stp>
        <stp>Points=60</stp>
        <stp>Sort=R</stp>
        <stp>Days=A</stp>
        <stp>Fill=B</stp>
        <stp>FX=USD</stp>
        <tr r="F553" s="3"/>
      </tp>
      <tp t="s">
        <v>#N/A Authorization</v>
        <stp/>
        <stp>##V3_BDHV12</stp>
        <stp>VER US Equity</stp>
        <stp>RR502</stp>
        <stp>-60CQ</stp>
        <stp>2018/3/31</stp>
        <stp>[零售reit companeis.xlsx]ReferenceData!R538C6</stp>
        <stp>Per=CQ</stp>
        <stp>Dts=H</stp>
        <stp>Dir=H</stp>
        <stp>Points=60</stp>
        <stp>Sort=R</stp>
        <stp>Days=A</stp>
        <stp>Fill=B</stp>
        <stp>FX=USD</stp>
        <tr r="F538" s="3"/>
      </tp>
      <tp t="s">
        <v>#N/A Authorization</v>
        <stp/>
        <stp>##V3_BDHV12</stp>
        <stp>CBL US Equity</stp>
        <stp>F0578</stp>
        <stp>-60CQ</stp>
        <stp>2018/3/31</stp>
        <stp>[零售reit companeis.xlsx]ReferenceData!R587C6</stp>
        <stp>Per=CQ</stp>
        <stp>Dts=H</stp>
        <stp>Dir=H</stp>
        <stp>Points=60</stp>
        <stp>Sort=R</stp>
        <stp>Days=A</stp>
        <stp>Fill=B</stp>
        <stp>FX=USD</stp>
        <tr r="F587" s="3"/>
      </tp>
      <tp t="s">
        <v>#N/A Authorization</v>
        <stp/>
        <stp>##V3_BDHV12</stp>
        <stp>CBL US Equity</stp>
        <stp>F1178</stp>
        <stp>-60CQ</stp>
        <stp>2018/3/31</stp>
        <stp>[零售reit companeis.xlsx]ReferenceData!R722C6</stp>
        <stp>Per=CQ</stp>
        <stp>Dts=H</stp>
        <stp>Dir=H</stp>
        <stp>Points=60</stp>
        <stp>Sort=R</stp>
        <stp>Days=A</stp>
        <stp>Fill=B</stp>
        <stp>FX=USD</stp>
        <tr r="F722" s="3"/>
      </tp>
      <tp t="s">
        <v>#N/A Authorization</v>
        <stp/>
        <stp>##V3_BDHV12</stp>
        <stp>VER US Equity</stp>
        <stp>RX902</stp>
        <stp>-60CQ</stp>
        <stp>2018/3/31</stp>
        <stp>[零售reit companeis.xlsx]ReferenceData!R673C6</stp>
        <stp>Per=CQ</stp>
        <stp>Dts=H</stp>
        <stp>Dir=H</stp>
        <stp>Points=60</stp>
        <stp>Sort=R</stp>
        <stp>Days=A</stp>
        <stp>Fill=B</stp>
        <stp>FX=USD</stp>
        <tr r="F673" s="3"/>
      </tp>
      <tp t="s">
        <v>#N/A Authorization</v>
        <stp/>
        <stp>##V3_BDHV12</stp>
        <stp>CBL US Equity</stp>
        <stp>IM275</stp>
        <stp>-60CQ</stp>
        <stp>2018/3/31</stp>
        <stp>[零售reit companeis.xlsx]ReferenceData!R482C6</stp>
        <stp>Per=CQ</stp>
        <stp>Dts=H</stp>
        <stp>Dir=H</stp>
        <stp>Points=60</stp>
        <stp>Sort=R</stp>
        <stp>Days=A</stp>
        <stp>Fill=B</stp>
        <stp>FX=USD</stp>
        <tr r="F482" s="3"/>
      </tp>
      <tp t="s">
        <v>#N/A Authorization</v>
        <stp/>
        <stp>##V3_BDHV12</stp>
        <stp>CBL US Equity</stp>
        <stp>IS972</stp>
        <stp>-60CQ</stp>
        <stp>2018/3/31</stp>
        <stp>[零售reit companeis.xlsx]ReferenceData!R557C6</stp>
        <stp>Per=CQ</stp>
        <stp>Dts=H</stp>
        <stp>Dir=H</stp>
        <stp>Points=60</stp>
        <stp>Sort=R</stp>
        <stp>Days=A</stp>
        <stp>Fill=B</stp>
        <stp>FX=USD</stp>
        <tr r="F557" s="3"/>
      </tp>
      <tp t="s">
        <v>#N/A Authorization</v>
        <stp/>
        <stp>##V3_BDHV12</stp>
        <stp>VER US Equity</stp>
        <stp>RR008</stp>
        <stp>-60CQ</stp>
        <stp>2018/3/31</stp>
        <stp>[零售reit companeis.xlsx]ReferenceData!R808C6</stp>
        <stp>Per=CQ</stp>
        <stp>Dts=H</stp>
        <stp>Dir=H</stp>
        <stp>Points=60</stp>
        <stp>Sort=R</stp>
        <stp>Days=A</stp>
        <stp>Fill=B</stp>
        <stp>FX=USD</stp>
        <tr r="F808" s="3"/>
      </tp>
      <tp t="s">
        <v>#N/A Authorization</v>
        <stp/>
        <stp>##V3_BDHV12</stp>
        <stp>DDR US Equity</stp>
        <stp>IS010</stp>
        <stp>-60CQ</stp>
        <stp>2018/3/31</stp>
        <stp>[零售reit companeis.xlsx]ReferenceData!R513C6</stp>
        <stp>Per=CQ</stp>
        <stp>Dts=H</stp>
        <stp>Dir=H</stp>
        <stp>Points=60</stp>
        <stp>Sort=R</stp>
        <stp>Days=A</stp>
        <stp>Fill=B</stp>
        <stp>FX=USD</stp>
        <tr r="F513" s="3"/>
      </tp>
      <tp t="s">
        <v>#N/A Authorization</v>
        <stp/>
        <stp>##V3_BDHV12</stp>
        <stp>REG US Equity</stp>
        <stp>RR106</stp>
        <stp>-60CQ</stp>
        <stp>2018/3/31</stp>
        <stp>[零售reit companeis.xlsx]ReferenceData!R818C6</stp>
        <stp>Per=CQ</stp>
        <stp>Dts=H</stp>
        <stp>Dir=H</stp>
        <stp>Points=60</stp>
        <stp>Sort=R</stp>
        <stp>Days=A</stp>
        <stp>Fill=B</stp>
        <stp>FX=USD</stp>
        <tr r="F818" s="3"/>
      </tp>
      <tp t="s">
        <v>#N/A Authorization</v>
        <stp/>
        <stp>##V3_BDHV12</stp>
        <stp>REG US Equity</stp>
        <stp>RR009</stp>
        <stp>-60CQ</stp>
        <stp>2018/3/31</stp>
        <stp>[零售reit companeis.xlsx]ReferenceData!R548C6</stp>
        <stp>Per=CQ</stp>
        <stp>Dts=H</stp>
        <stp>Dir=H</stp>
        <stp>Points=60</stp>
        <stp>Sort=R</stp>
        <stp>Days=A</stp>
        <stp>Fill=B</stp>
        <stp>FX=USD</stp>
        <tr r="F548" s="3"/>
      </tp>
      <tp t="s">
        <v>#N/A Authorization</v>
        <stp/>
        <stp>##V3_BDHV12</stp>
        <stp>REG US Equity</stp>
        <stp>RR008</stp>
        <stp>-60CQ</stp>
        <stp>2018/3/31</stp>
        <stp>[零售reit companeis.xlsx]ReferenceData!R803C6</stp>
        <stp>Per=CQ</stp>
        <stp>Dts=H</stp>
        <stp>Dir=H</stp>
        <stp>Points=60</stp>
        <stp>Sort=R</stp>
        <stp>Days=A</stp>
        <stp>Fill=B</stp>
        <stp>FX=USD</stp>
        <tr r="F803" s="3"/>
      </tp>
      <tp t="s">
        <v>#N/A Authorization</v>
        <stp/>
        <stp>##V3_BDHV12</stp>
        <stp>REG US Equity</stp>
        <stp>RR502</stp>
        <stp>-60CQ</stp>
        <stp>2018/3/31</stp>
        <stp>[零售reit companeis.xlsx]ReferenceData!R533C6</stp>
        <stp>Per=CQ</stp>
        <stp>Dts=H</stp>
        <stp>Dir=H</stp>
        <stp>Points=60</stp>
        <stp>Sort=R</stp>
        <stp>Days=A</stp>
        <stp>Fill=B</stp>
        <stp>FX=USD</stp>
        <tr r="F533" s="3"/>
      </tp>
      <tp t="s">
        <v>#N/A Authorization</v>
        <stp/>
        <stp>##V3_BDHV12</stp>
        <stp>REG US Equity</stp>
        <stp>RX902</stp>
        <stp>-60CQ</stp>
        <stp>2018/3/31</stp>
        <stp>[零售reit companeis.xlsx]ReferenceData!R668C6</stp>
        <stp>Per=CQ</stp>
        <stp>Dts=H</stp>
        <stp>Dir=H</stp>
        <stp>Points=60</stp>
        <stp>Sort=R</stp>
        <stp>Days=A</stp>
        <stp>Fill=B</stp>
        <stp>FX=USD</stp>
        <tr r="F668" s="3"/>
      </tp>
      <tp t="s">
        <v>#N/A Authorization</v>
        <stp/>
        <stp>##V3_BDHV12</stp>
        <stp>REG US Equity</stp>
        <stp>IS030</stp>
        <stp>-60CQ</stp>
        <stp>2018/3/31</stp>
        <stp>[零售reit companeis.xlsx]ReferenceData!R473C6</stp>
        <stp>Per=CQ</stp>
        <stp>Dts=H</stp>
        <stp>Dir=H</stp>
        <stp>Points=60</stp>
        <stp>Sort=R</stp>
        <stp>Days=A</stp>
        <stp>Fill=B</stp>
        <stp>FX=USD</stp>
        <tr r="F473" s="3"/>
      </tp>
      <tp t="s">
        <v>#N/A Authorization</v>
        <stp/>
        <stp>##V3_BDHV12</stp>
        <stp>REG US Equity</stp>
        <stp>CF039</stp>
        <stp>-60CQ</stp>
        <stp>2018/3/31</stp>
        <stp>[零售reit companeis.xlsx]ReferenceData!R578C6</stp>
        <stp>Per=CQ</stp>
        <stp>Dts=H</stp>
        <stp>Dir=H</stp>
        <stp>Points=60</stp>
        <stp>Sort=R</stp>
        <stp>Days=A</stp>
        <stp>Fill=B</stp>
        <stp>FX=USD</stp>
        <tr r="F578" s="3"/>
      </tp>
      <tp t="s">
        <v>#N/A Authorization</v>
        <stp/>
        <stp>##V3_BDHV12</stp>
        <stp>VER US Equity</stp>
        <stp>RR033</stp>
        <stp>-60CQ</stp>
        <stp>2018/3/31</stp>
        <stp>[零售reit companeis.xlsx]ReferenceData!R613C6</stp>
        <stp>Per=CQ</stp>
        <stp>Dts=H</stp>
        <stp>Dir=H</stp>
        <stp>Points=60</stp>
        <stp>Sort=R</stp>
        <stp>Days=A</stp>
        <stp>Fill=B</stp>
        <stp>FX=USD</stp>
        <tr r="F613" s="3"/>
      </tp>
      <tp t="s">
        <v>#N/A Authorization</v>
        <stp/>
        <stp>##V3_BDHV12</stp>
        <stp>DDR US Equity</stp>
        <stp>RX225</stp>
        <stp>-60CQ</stp>
        <stp>2018/3/31</stp>
        <stp>[零售reit companeis.xlsx]ReferenceData!R648C6</stp>
        <stp>Per=CQ</stp>
        <stp>Dts=H</stp>
        <stp>Dir=H</stp>
        <stp>Points=60</stp>
        <stp>Sort=R</stp>
        <stp>Days=A</stp>
        <stp>Fill=B</stp>
        <stp>FX=USD</stp>
        <tr r="F648" s="3"/>
      </tp>
      <tp t="s">
        <v>#N/A Authorization</v>
        <stp/>
        <stp>##V3_BDHV12</stp>
        <stp>NNN US Equity</stp>
        <stp>IM281</stp>
        <stp>-60CQ</stp>
        <stp>2018/3/31</stp>
        <stp>[零售reit companeis.xlsx]ReferenceData!R501C6</stp>
        <stp>Per=CQ</stp>
        <stp>Dts=H</stp>
        <stp>Dir=H</stp>
        <stp>Points=60</stp>
        <stp>Sort=R</stp>
        <stp>Days=A</stp>
        <stp>Fill=B</stp>
        <stp>FX=USD</stp>
        <tr r="F501" s="3"/>
      </tp>
      <tp t="s">
        <v>#N/A Authorization</v>
        <stp/>
        <stp>##V3_BDHV12</stp>
        <stp>NNN US Equity</stp>
        <stp>BS189</stp>
        <stp>-60CQ</stp>
        <stp>2018/3/31</stp>
        <stp>[零售reit companeis.xlsx]ReferenceData!R437C6</stp>
        <stp>Per=CQ</stp>
        <stp>Dts=H</stp>
        <stp>Dir=H</stp>
        <stp>Points=60</stp>
        <stp>Sort=R</stp>
        <stp>Days=A</stp>
        <stp>Fill=B</stp>
        <stp>FX=USD</stp>
        <tr r="F437" s="3"/>
      </tp>
      <tp t="s">
        <v>#N/A Authorization</v>
        <stp/>
        <stp>##V3_BDHV12</stp>
        <stp>VER US Equity</stp>
        <stp>IS030</stp>
        <stp>-60CQ</stp>
        <stp>2018/3/31</stp>
        <stp>[零售reit companeis.xlsx]ReferenceData!R478C6</stp>
        <stp>Per=CQ</stp>
        <stp>Dts=H</stp>
        <stp>Dir=H</stp>
        <stp>Points=60</stp>
        <stp>Sort=R</stp>
        <stp>Days=A</stp>
        <stp>Fill=B</stp>
        <stp>FX=USD</stp>
        <tr r="F478" s="3"/>
      </tp>
      <tp t="s">
        <v>#N/A Authorization</v>
        <stp/>
        <stp>##V3_BDHV12</stp>
        <stp>CBL US Equity</stp>
        <stp>RR147</stp>
        <stp>-60CQ</stp>
        <stp>2018/3/31</stp>
        <stp>[零售reit companeis.xlsx]ReferenceData!R737C6</stp>
        <stp>Per=CQ</stp>
        <stp>Dts=H</stp>
        <stp>Dir=H</stp>
        <stp>Points=60</stp>
        <stp>Sort=R</stp>
        <stp>Days=A</stp>
        <stp>Fill=B</stp>
        <stp>FX=USD</stp>
        <tr r="F737" s="3"/>
      </tp>
      <tp t="s">
        <v>#N/A Authorization</v>
        <stp/>
        <stp>##V3_BDHV12</stp>
        <stp>VER US Equity</stp>
        <stp>CF039</stp>
        <stp>-60CQ</stp>
        <stp>2018/3/31</stp>
        <stp>[零售reit companeis.xlsx]ReferenceData!R583C6</stp>
        <stp>Per=CQ</stp>
        <stp>Dts=H</stp>
        <stp>Dir=H</stp>
        <stp>Points=60</stp>
        <stp>Sort=R</stp>
        <stp>Days=A</stp>
        <stp>Fill=B</stp>
        <stp>FX=USD</stp>
        <tr r="F583" s="3"/>
      </tp>
      <tp t="s">
        <v>#N/A Authorization</v>
        <stp/>
        <stp>##V3_BDHV12</stp>
        <stp>REG US Equity</stp>
        <stp>RR033</stp>
        <stp>-60CQ</stp>
        <stp>2018/3/31</stp>
        <stp>[零售reit companeis.xlsx]ReferenceData!R608C6</stp>
        <stp>Per=CQ</stp>
        <stp>Dts=H</stp>
        <stp>Dir=H</stp>
        <stp>Points=60</stp>
        <stp>Sort=R</stp>
        <stp>Days=A</stp>
        <stp>Fill=B</stp>
        <stp>FX=USD</stp>
        <tr r="F608" s="3"/>
      </tp>
      <tp t="s">
        <v>#N/A Authorization</v>
        <stp/>
        <stp>##V3_BDHV12</stp>
        <stp>DDR US Equity</stp>
        <stp>RR033</stp>
        <stp>-60CQ</stp>
        <stp>2018/3/31</stp>
        <stp>[零售reit companeis.xlsx]ReferenceData!R603C6</stp>
        <stp>Per=CQ</stp>
        <stp>Dts=H</stp>
        <stp>Dir=H</stp>
        <stp>Points=60</stp>
        <stp>Sort=R</stp>
        <stp>Days=A</stp>
        <stp>Fill=B</stp>
        <stp>FX=USD</stp>
        <tr r="F603" s="3"/>
      </tp>
      <tp t="s">
        <v>#N/A Authorization</v>
        <stp/>
        <stp>##V3_BDHV12</stp>
        <stp>VER US Equity</stp>
        <stp>RX225</stp>
        <stp>-60CQ</stp>
        <stp>2018/3/31</stp>
        <stp>[零售reit companeis.xlsx]ReferenceData!R658C6</stp>
        <stp>Per=CQ</stp>
        <stp>Dts=H</stp>
        <stp>Dir=H</stp>
        <stp>Points=60</stp>
        <stp>Sort=R</stp>
        <stp>Days=A</stp>
        <stp>Fill=B</stp>
        <stp>FX=USD</stp>
        <tr r="F658" s="3"/>
      </tp>
      <tp t="s">
        <v>#N/A Authorization</v>
        <stp/>
        <stp>##V3_BDHV12</stp>
        <stp>CBL US Equity</stp>
        <stp>BS658</stp>
        <stp>-60CQ</stp>
        <stp>2018/3/31</stp>
        <stp>[零售reit companeis.xlsx]ReferenceData!R426C6</stp>
        <stp>Per=CQ</stp>
        <stp>Dts=H</stp>
        <stp>Dir=H</stp>
        <stp>Points=60</stp>
        <stp>Sort=R</stp>
        <stp>Days=A</stp>
        <stp>Fill=B</stp>
        <stp>FX=USD</stp>
        <tr r="F426" s="3"/>
      </tp>
      <tp t="s">
        <v>#N/A Authorization</v>
        <stp/>
        <stp>##V3_BDHV12</stp>
        <stp>CBL US Equity</stp>
        <stp>BS658</stp>
        <stp>-60CQ</stp>
        <stp>2018/3/31</stp>
        <stp>[零售reit companeis.xlsx]ReferenceData!R782C6</stp>
        <stp>Per=CQ</stp>
        <stp>Dts=H</stp>
        <stp>Dir=H</stp>
        <stp>Points=60</stp>
        <stp>Sort=R</stp>
        <stp>Days=A</stp>
        <stp>Fill=B</stp>
        <stp>FX=USD</stp>
        <tr r="F782" s="3"/>
      </tp>
      <tp t="s">
        <v>#N/A Authorization</v>
        <stp/>
        <stp>##V3_BDHV12</stp>
        <stp>DDR US Equity</stp>
        <stp>IS030</stp>
        <stp>-60CQ</stp>
        <stp>2018/3/31</stp>
        <stp>[零售reit companeis.xlsx]ReferenceData!R468C6</stp>
        <stp>Per=CQ</stp>
        <stp>Dts=H</stp>
        <stp>Dir=H</stp>
        <stp>Points=60</stp>
        <stp>Sort=R</stp>
        <stp>Days=A</stp>
        <stp>Fill=B</stp>
        <stp>FX=USD</stp>
        <tr r="F468" s="3"/>
      </tp>
      <tp t="s">
        <v>#N/A Authorization</v>
        <stp/>
        <stp>##V3_BDHV12</stp>
        <stp>DDR US Equity</stp>
        <stp>CF039</stp>
        <stp>-60CQ</stp>
        <stp>2018/3/31</stp>
        <stp>[零售reit companeis.xlsx]ReferenceData!R573C6</stp>
        <stp>Per=CQ</stp>
        <stp>Dts=H</stp>
        <stp>Dir=H</stp>
        <stp>Points=60</stp>
        <stp>Sort=R</stp>
        <stp>Days=A</stp>
        <stp>Fill=B</stp>
        <stp>FX=USD</stp>
        <tr r="F573" s="3"/>
      </tp>
      <tp t="s">
        <v>#N/A Authorization</v>
        <stp/>
        <stp>##V3_BDHV12</stp>
        <stp>CBL US Equity</stp>
        <stp>RR554</stp>
        <stp>-60CQ</stp>
        <stp>2018/3/31</stp>
        <stp>[零售reit companeis.xlsx]ReferenceData!R692C6</stp>
        <stp>Per=CQ</stp>
        <stp>Dts=H</stp>
        <stp>Dir=H</stp>
        <stp>Points=60</stp>
        <stp>Sort=R</stp>
        <stp>Days=A</stp>
        <stp>Fill=B</stp>
        <stp>FX=USD</stp>
        <tr r="F692" s="3"/>
      </tp>
      <tp t="s">
        <v>#N/A Authorization</v>
        <stp/>
        <stp>##V3_BDHV12</stp>
        <stp>CBL US Equity</stp>
        <stp>RR052</stp>
        <stp>-60CQ</stp>
        <stp>2018/3/31</stp>
        <stp>[零售reit companeis.xlsx]ReferenceData!R707C6</stp>
        <stp>Per=CQ</stp>
        <stp>Dts=H</stp>
        <stp>Dir=H</stp>
        <stp>Points=60</stp>
        <stp>Sort=R</stp>
        <stp>Days=A</stp>
        <stp>Fill=B</stp>
        <stp>FX=USD</stp>
        <tr r="F707" s="3"/>
      </tp>
      <tp t="s">
        <v>#N/A Authorization</v>
        <stp/>
        <stp>##V3_BDHV12</stp>
        <stp>CBL US Equity</stp>
        <stp>RR553</stp>
        <stp>-60CQ</stp>
        <stp>2018/3/31</stp>
        <stp>[零售reit companeis.xlsx]ReferenceData!R677C6</stp>
        <stp>Per=CQ</stp>
        <stp>Dts=H</stp>
        <stp>Dir=H</stp>
        <stp>Points=60</stp>
        <stp>Sort=R</stp>
        <stp>Days=A</stp>
        <stp>Fill=B</stp>
        <stp>FX=USD</stp>
        <tr r="F677" s="3"/>
      </tp>
      <tp t="s">
        <v>#N/A Authorization</v>
        <stp/>
        <stp>##V3_BDHV12</stp>
        <stp>CBL US Equity</stp>
        <stp>RR253</stp>
        <stp>-60CQ</stp>
        <stp>2018/3/31</stp>
        <stp>[零售reit companeis.xlsx]ReferenceData!R767C6</stp>
        <stp>Per=CQ</stp>
        <stp>Dts=H</stp>
        <stp>Dir=H</stp>
        <stp>Points=60</stp>
        <stp>Sort=R</stp>
        <stp>Days=A</stp>
        <stp>Fill=B</stp>
        <stp>FX=USD</stp>
        <tr r="F767" s="3"/>
      </tp>
      <tp t="s">
        <v>#N/A Authorization</v>
        <stp/>
        <stp>##V3_BDHV12</stp>
        <stp>CBL US Equity</stp>
        <stp>RR253</stp>
        <stp>-60CQ</stp>
        <stp>2018/3/31</stp>
        <stp>[零售reit companeis.xlsx]ReferenceData!R424C6</stp>
        <stp>Per=CQ</stp>
        <stp>Dts=H</stp>
        <stp>Dir=H</stp>
        <stp>Points=60</stp>
        <stp>Sort=R</stp>
        <stp>Days=A</stp>
        <stp>Fill=B</stp>
        <stp>FX=USD</stp>
        <tr r="F424" s="3"/>
      </tp>
      <tp t="s">
        <v>#N/A Authorization</v>
        <stp/>
        <stp>##V3_BDHV12</stp>
        <stp>CBL US Equity</stp>
        <stp>RR551</stp>
        <stp>-60CQ</stp>
        <stp>2018/3/31</stp>
        <stp>[零售reit companeis.xlsx]ReferenceData!R617C6</stp>
        <stp>Per=CQ</stp>
        <stp>Dts=H</stp>
        <stp>Dir=H</stp>
        <stp>Points=60</stp>
        <stp>Sort=R</stp>
        <stp>Days=A</stp>
        <stp>Fill=B</stp>
        <stp>FX=USD</stp>
        <tr r="F617" s="3"/>
      </tp>
      <tp t="s">
        <v>#N/A Authorization</v>
        <stp/>
        <stp>##V3_BDHV12</stp>
        <stp>REG US Equity</stp>
        <stp>RX225</stp>
        <stp>-60CQ</stp>
        <stp>2018/3/31</stp>
        <stp>[零售reit companeis.xlsx]ReferenceData!R653C6</stp>
        <stp>Per=CQ</stp>
        <stp>Dts=H</stp>
        <stp>Dir=H</stp>
        <stp>Points=60</stp>
        <stp>Sort=R</stp>
        <stp>Days=A</stp>
        <stp>Fill=B</stp>
        <stp>FX=USD</stp>
        <tr r="F653" s="3"/>
      </tp>
      <tp t="s">
        <v>#N/A Authorization</v>
        <stp/>
        <stp>##V3_BDHV12</stp>
        <stp>SKT US Equity</stp>
        <stp>RR033</stp>
        <stp>-60CQ</stp>
        <stp>2018/3/31</stp>
        <stp>[零售reit companeis.xlsx]ReferenceData!R612C6</stp>
        <stp>Per=CQ</stp>
        <stp>Dts=H</stp>
        <stp>Dir=H</stp>
        <stp>Points=60</stp>
        <stp>Sort=R</stp>
        <stp>Days=A</stp>
        <stp>Fill=B</stp>
        <stp>FX=USD</stp>
        <tr r="F612" s="3"/>
      </tp>
      <tp t="s">
        <v>#N/A Authorization</v>
        <stp/>
        <stp>##V3_BDHV12</stp>
        <stp>KIM US Equity</stp>
        <stp>IS010</stp>
        <stp>-60CQ</stp>
        <stp>2018/3/31</stp>
        <stp>[零售reit companeis.xlsx]ReferenceData!R515C6</stp>
        <stp>Per=CQ</stp>
        <stp>Dts=H</stp>
        <stp>Dir=H</stp>
        <stp>Points=60</stp>
        <stp>Sort=R</stp>
        <stp>Days=A</stp>
        <stp>Fill=B</stp>
        <stp>FX=USD</stp>
        <tr r="F515" s="3"/>
      </tp>
      <tp t="s">
        <v>#N/A Authorization</v>
        <stp/>
        <stp>##V3_BDHV12</stp>
        <stp>SKT US Equity</stp>
        <stp>CF039</stp>
        <stp>-60CQ</stp>
        <stp>2018/3/31</stp>
        <stp>[零售reit companeis.xlsx]ReferenceData!R582C6</stp>
        <stp>Per=CQ</stp>
        <stp>Dts=H</stp>
        <stp>Dir=H</stp>
        <stp>Points=60</stp>
        <stp>Sort=R</stp>
        <stp>Days=A</stp>
        <stp>Fill=B</stp>
        <stp>FX=USD</stp>
        <tr r="F582" s="3"/>
      </tp>
      <tp t="s">
        <v>#N/A Authorization</v>
        <stp/>
        <stp>##V3_BDHV12</stp>
        <stp>SKT US Equity</stp>
        <stp>IS030</stp>
        <stp>-60CQ</stp>
        <stp>2018/3/31</stp>
        <stp>[零售reit companeis.xlsx]ReferenceData!R477C6</stp>
        <stp>Per=CQ</stp>
        <stp>Dts=H</stp>
        <stp>Dir=H</stp>
        <stp>Points=60</stp>
        <stp>Sort=R</stp>
        <stp>Days=A</stp>
        <stp>Fill=B</stp>
        <stp>FX=USD</stp>
        <tr r="F477" s="3"/>
      </tp>
      <tp t="s">
        <v>#N/A Authorization</v>
        <stp/>
        <stp>##V3_BDHV12</stp>
        <stp>NNN US Equity</stp>
        <stp>RR263</stp>
        <stp>-60CQ</stp>
        <stp>2018/3/31</stp>
        <stp>[零售reit companeis.xlsx]ReferenceData!R756C6</stp>
        <stp>Per=CQ</stp>
        <stp>Dts=H</stp>
        <stp>Dir=H</stp>
        <stp>Points=60</stp>
        <stp>Sort=R</stp>
        <stp>Days=A</stp>
        <stp>Fill=B</stp>
        <stp>FX=USD</stp>
        <tr r="F756" s="3"/>
      </tp>
      <tp t="s">
        <v>#N/A Authorization</v>
        <stp/>
        <stp>##V3_BDHV12</stp>
        <stp>NNN US Equity</stp>
        <stp>F1178</stp>
        <stp>-60CQ</stp>
        <stp>2018/3/31</stp>
        <stp>[零售reit companeis.xlsx]ReferenceData!R726C6</stp>
        <stp>Per=CQ</stp>
        <stp>Dts=H</stp>
        <stp>Dir=H</stp>
        <stp>Points=60</stp>
        <stp>Sort=R</stp>
        <stp>Days=A</stp>
        <stp>Fill=B</stp>
        <stp>FX=USD</stp>
        <tr r="F726" s="3"/>
      </tp>
      <tp t="s">
        <v>#N/A Authorization</v>
        <stp/>
        <stp>##V3_BDHV12</stp>
        <stp>NNN US Equity</stp>
        <stp>IM275</stp>
        <stp>-60CQ</stp>
        <stp>2018/3/31</stp>
        <stp>[零售reit companeis.xlsx]ReferenceData!R486C6</stp>
        <stp>Per=CQ</stp>
        <stp>Dts=H</stp>
        <stp>Dir=H</stp>
        <stp>Points=60</stp>
        <stp>Sort=R</stp>
        <stp>Days=A</stp>
        <stp>Fill=B</stp>
        <stp>FX=USD</stp>
        <tr r="F486" s="3"/>
      </tp>
      <tp t="s">
        <v>#N/A Authorization</v>
        <stp/>
        <stp>##V3_BDHV12</stp>
        <stp>SKT US Equity</stp>
        <stp>RX225</stp>
        <stp>-60CQ</stp>
        <stp>2018/3/31</stp>
        <stp>[零售reit companeis.xlsx]ReferenceData!R657C6</stp>
        <stp>Per=CQ</stp>
        <stp>Dts=H</stp>
        <stp>Dir=H</stp>
        <stp>Points=60</stp>
        <stp>Sort=R</stp>
        <stp>Days=A</stp>
        <stp>Fill=B</stp>
        <stp>FX=USD</stp>
        <tr r="F657" s="3"/>
      </tp>
      <tp t="s">
        <v>#N/A Authorization</v>
        <stp/>
        <stp>##V3_BDHV12</stp>
        <stp>NNN US Equity</stp>
        <stp>F0578</stp>
        <stp>-60CQ</stp>
        <stp>2018/3/31</stp>
        <stp>[零售reit companeis.xlsx]ReferenceData!R591C6</stp>
        <stp>Per=CQ</stp>
        <stp>Dts=H</stp>
        <stp>Dir=H</stp>
        <stp>Points=60</stp>
        <stp>Sort=R</stp>
        <stp>Days=A</stp>
        <stp>Fill=B</stp>
        <stp>FX=USD</stp>
        <tr r="F591" s="3"/>
      </tp>
      <tp t="s">
        <v>#N/A Authorization</v>
        <stp/>
        <stp>##V3_BDHV12</stp>
        <stp>NNN US Equity</stp>
        <stp>IS972</stp>
        <stp>-60CQ</stp>
        <stp>2018/3/31</stp>
        <stp>[零售reit companeis.xlsx]ReferenceData!R561C6</stp>
        <stp>Per=CQ</stp>
        <stp>Dts=H</stp>
        <stp>Dir=H</stp>
        <stp>Points=60</stp>
        <stp>Sort=R</stp>
        <stp>Days=A</stp>
        <stp>Fill=B</stp>
        <stp>FX=USD</stp>
        <tr r="F561" s="3"/>
      </tp>
      <tp t="s">
        <v>#N/A Authorization</v>
        <stp/>
        <stp>##V3_BDHV12</stp>
        <stp>KIM US Equity</stp>
        <stp>RR008</stp>
        <stp>-60CQ</stp>
        <stp>2018/3/31</stp>
        <stp>[零售reit companeis.xlsx]ReferenceData!R800C6</stp>
        <stp>Per=CQ</stp>
        <stp>Dts=H</stp>
        <stp>Dir=H</stp>
        <stp>Points=60</stp>
        <stp>Sort=R</stp>
        <stp>Days=A</stp>
        <stp>Fill=B</stp>
        <stp>FX=USD</stp>
        <tr r="F800" s="3"/>
      </tp>
      <tp t="s">
        <v>#N/A Authorization</v>
        <stp/>
        <stp>##V3_BDHV12</stp>
        <stp>KIM US Equity</stp>
        <stp>RX902</stp>
        <stp>-60CQ</stp>
        <stp>2018/3/31</stp>
        <stp>[零售reit companeis.xlsx]ReferenceData!R665C6</stp>
        <stp>Per=CQ</stp>
        <stp>Dts=H</stp>
        <stp>Dir=H</stp>
        <stp>Points=60</stp>
        <stp>Sort=R</stp>
        <stp>Days=A</stp>
        <stp>Fill=B</stp>
        <stp>FX=USD</stp>
        <tr r="F665" s="3"/>
      </tp>
      <tp t="s">
        <v>#N/A Authorization</v>
        <stp/>
        <stp>##V3_BDHV12</stp>
        <stp>KIM US Equity</stp>
        <stp>RR502</stp>
        <stp>-60CQ</stp>
        <stp>2018/3/31</stp>
        <stp>[零售reit companeis.xlsx]ReferenceData!R530C6</stp>
        <stp>Per=CQ</stp>
        <stp>Dts=H</stp>
        <stp>Dir=H</stp>
        <stp>Points=60</stp>
        <stp>Sort=R</stp>
        <stp>Days=A</stp>
        <stp>Fill=B</stp>
        <stp>FX=USD</stp>
        <tr r="F530" s="3"/>
      </tp>
      <tp t="s">
        <v>#N/A Authorization</v>
        <stp/>
        <stp>##V3_BDHV12</stp>
        <stp>KIM US Equity</stp>
        <stp>RR009</stp>
        <stp>-60CQ</stp>
        <stp>2018/3/31</stp>
        <stp>[零售reit companeis.xlsx]ReferenceData!R545C6</stp>
        <stp>Per=CQ</stp>
        <stp>Dts=H</stp>
        <stp>Dir=H</stp>
        <stp>Points=60</stp>
        <stp>Sort=R</stp>
        <stp>Days=A</stp>
        <stp>Fill=B</stp>
        <stp>FX=USD</stp>
        <tr r="F545" s="3"/>
      </tp>
      <tp t="s">
        <v>#N/A Authorization</v>
        <stp/>
        <stp>##V3_BDHV12</stp>
        <stp>KIM US Equity</stp>
        <stp>RR106</stp>
        <stp>-60CQ</stp>
        <stp>2018/3/31</stp>
        <stp>[零售reit companeis.xlsx]ReferenceData!R815C6</stp>
        <stp>Per=CQ</stp>
        <stp>Dts=H</stp>
        <stp>Dir=H</stp>
        <stp>Points=60</stp>
        <stp>Sort=R</stp>
        <stp>Days=A</stp>
        <stp>Fill=B</stp>
        <stp>FX=USD</stp>
        <tr r="F815" s="3"/>
      </tp>
      <tp t="s">
        <v>#N/A Authorization</v>
        <stp/>
        <stp>##V3_BDHV12</stp>
        <stp>CBL US Equity</stp>
        <stp>BS189</stp>
        <stp>-60CQ</stp>
        <stp>2018/3/31</stp>
        <stp>[零售reit companeis.xlsx]ReferenceData!R425C6</stp>
        <stp>Per=CQ</stp>
        <stp>Dts=H</stp>
        <stp>Dir=H</stp>
        <stp>Points=60</stp>
        <stp>Sort=R</stp>
        <stp>Days=A</stp>
        <stp>Fill=B</stp>
        <stp>FX=USD</stp>
        <tr r="F425" s="3"/>
      </tp>
      <tp t="s">
        <v>#N/A Authorization</v>
        <stp/>
        <stp>##V3_BDHV12</stp>
        <stp>KIM US Equity</stp>
        <stp>CF039</stp>
        <stp>-60CQ</stp>
        <stp>2018/3/31</stp>
        <stp>[零售reit companeis.xlsx]ReferenceData!R575C6</stp>
        <stp>Per=CQ</stp>
        <stp>Dts=H</stp>
        <stp>Dir=H</stp>
        <stp>Points=60</stp>
        <stp>Sort=R</stp>
        <stp>Days=A</stp>
        <stp>Fill=B</stp>
        <stp>FX=USD</stp>
        <tr r="F575" s="3"/>
      </tp>
      <tp t="s">
        <v>#N/A Authorization</v>
        <stp/>
        <stp>##V3_BDHV12</stp>
        <stp>KIM US Equity</stp>
        <stp>IS030</stp>
        <stp>-60CQ</stp>
        <stp>2018/3/31</stp>
        <stp>[零售reit companeis.xlsx]ReferenceData!R470C6</stp>
        <stp>Per=CQ</stp>
        <stp>Dts=H</stp>
        <stp>Dir=H</stp>
        <stp>Points=60</stp>
        <stp>Sort=R</stp>
        <stp>Days=A</stp>
        <stp>Fill=B</stp>
        <stp>FX=USD</stp>
        <tr r="F470" s="3"/>
      </tp>
      <tp t="s">
        <v>#N/A Authorization</v>
        <stp/>
        <stp>##V3_BDHV12</stp>
        <stp>CBL US Equity</stp>
        <stp>IM281</stp>
        <stp>-60CQ</stp>
        <stp>2018/3/31</stp>
        <stp>[零售reit companeis.xlsx]ReferenceData!R497C6</stp>
        <stp>Per=CQ</stp>
        <stp>Dts=H</stp>
        <stp>Dir=H</stp>
        <stp>Points=60</stp>
        <stp>Sort=R</stp>
        <stp>Days=A</stp>
        <stp>Fill=B</stp>
        <stp>FX=USD</stp>
        <tr r="F497" s="3"/>
      </tp>
      <tp t="s">
        <v>#N/A Authorization</v>
        <stp/>
        <stp>##V3_BDHV12</stp>
        <stp>NNN US Equity</stp>
        <stp>RR147</stp>
        <stp>-60CQ</stp>
        <stp>2018/3/31</stp>
        <stp>[零售reit companeis.xlsx]ReferenceData!R741C6</stp>
        <stp>Per=CQ</stp>
        <stp>Dts=H</stp>
        <stp>Dir=H</stp>
        <stp>Points=60</stp>
        <stp>Sort=R</stp>
        <stp>Days=A</stp>
        <stp>Fill=B</stp>
        <stp>FX=USD</stp>
        <tr r="F741" s="3"/>
      </tp>
      <tp t="s">
        <v>#N/A Authorization</v>
        <stp/>
        <stp>##V3_BDHV12</stp>
        <stp>KIM US Equity</stp>
        <stp>RR033</stp>
        <stp>-60CQ</stp>
        <stp>2018/3/31</stp>
        <stp>[零售reit companeis.xlsx]ReferenceData!R605C6</stp>
        <stp>Per=CQ</stp>
        <stp>Dts=H</stp>
        <stp>Dir=H</stp>
        <stp>Points=60</stp>
        <stp>Sort=R</stp>
        <stp>Days=A</stp>
        <stp>Fill=B</stp>
        <stp>FX=USD</stp>
        <tr r="F605" s="3"/>
      </tp>
      <tp t="s">
        <v>#N/A Authorization</v>
        <stp/>
        <stp>##V3_BDHV12</stp>
        <stp>SKT US Equity</stp>
        <stp>IS010</stp>
        <stp>-60CQ</stp>
        <stp>2018/3/31</stp>
        <stp>[零售reit companeis.xlsx]ReferenceData!R522C6</stp>
        <stp>Per=CQ</stp>
        <stp>Dts=H</stp>
        <stp>Dir=H</stp>
        <stp>Points=60</stp>
        <stp>Sort=R</stp>
        <stp>Days=A</stp>
        <stp>Fill=B</stp>
        <stp>FX=USD</stp>
        <tr r="F522" s="3"/>
      </tp>
      <tp t="s">
        <v>#N/A Authorization</v>
        <stp/>
        <stp>##V3_BDHV12</stp>
        <stp>SKT US Equity</stp>
        <stp>RR009</stp>
        <stp>-60CQ</stp>
        <stp>2018/3/31</stp>
        <stp>[零售reit companeis.xlsx]ReferenceData!R552C6</stp>
        <stp>Per=CQ</stp>
        <stp>Dts=H</stp>
        <stp>Dir=H</stp>
        <stp>Points=60</stp>
        <stp>Sort=R</stp>
        <stp>Days=A</stp>
        <stp>Fill=B</stp>
        <stp>FX=USD</stp>
        <tr r="F552" s="3"/>
      </tp>
      <tp t="s">
        <v>#N/A Authorization</v>
        <stp/>
        <stp>##V3_BDHV12</stp>
        <stp>SKT US Equity</stp>
        <stp>RR106</stp>
        <stp>-60CQ</stp>
        <stp>2018/3/31</stp>
        <stp>[零售reit companeis.xlsx]ReferenceData!R822C6</stp>
        <stp>Per=CQ</stp>
        <stp>Dts=H</stp>
        <stp>Dir=H</stp>
        <stp>Points=60</stp>
        <stp>Sort=R</stp>
        <stp>Days=A</stp>
        <stp>Fill=B</stp>
        <stp>FX=USD</stp>
        <tr r="F822" s="3"/>
      </tp>
      <tp t="s">
        <v>#N/A Authorization</v>
        <stp/>
        <stp>##V3_BDHV12</stp>
        <stp>SKT US Equity</stp>
        <stp>RR008</stp>
        <stp>-60CQ</stp>
        <stp>2018/3/31</stp>
        <stp>[零售reit companeis.xlsx]ReferenceData!R807C6</stp>
        <stp>Per=CQ</stp>
        <stp>Dts=H</stp>
        <stp>Dir=H</stp>
        <stp>Points=60</stp>
        <stp>Sort=R</stp>
        <stp>Days=A</stp>
        <stp>Fill=B</stp>
        <stp>FX=USD</stp>
        <tr r="F807" s="3"/>
      </tp>
      <tp t="s">
        <v>#N/A Authorization</v>
        <stp/>
        <stp>##V3_BDHV12</stp>
        <stp>NNN US Equity</stp>
        <stp>BS658</stp>
        <stp>-60CQ</stp>
        <stp>2018/3/31</stp>
        <stp>[零售reit companeis.xlsx]ReferenceData!R786C6</stp>
        <stp>Per=CQ</stp>
        <stp>Dts=H</stp>
        <stp>Dir=H</stp>
        <stp>Points=60</stp>
        <stp>Sort=R</stp>
        <stp>Days=A</stp>
        <stp>Fill=B</stp>
        <stp>FX=USD</stp>
        <tr r="F786" s="3"/>
      </tp>
      <tp t="s">
        <v>#N/A Authorization</v>
        <stp/>
        <stp>##V3_BDHV12</stp>
        <stp>SKT US Equity</stp>
        <stp>RX902</stp>
        <stp>-60CQ</stp>
        <stp>2018/3/31</stp>
        <stp>[零售reit companeis.xlsx]ReferenceData!R672C6</stp>
        <stp>Per=CQ</stp>
        <stp>Dts=H</stp>
        <stp>Dir=H</stp>
        <stp>Points=60</stp>
        <stp>Sort=R</stp>
        <stp>Days=A</stp>
        <stp>Fill=B</stp>
        <stp>FX=USD</stp>
        <tr r="F672" s="3"/>
      </tp>
      <tp t="s">
        <v>#N/A Authorization</v>
        <stp/>
        <stp>##V3_BDHV12</stp>
        <stp>SKT US Equity</stp>
        <stp>RR502</stp>
        <stp>-60CQ</stp>
        <stp>2018/3/31</stp>
        <stp>[零售reit companeis.xlsx]ReferenceData!R537C6</stp>
        <stp>Per=CQ</stp>
        <stp>Dts=H</stp>
        <stp>Dir=H</stp>
        <stp>Points=60</stp>
        <stp>Sort=R</stp>
        <stp>Days=A</stp>
        <stp>Fill=B</stp>
        <stp>FX=USD</stp>
        <tr r="F537" s="3"/>
      </tp>
      <tp t="s">
        <v>#N/A Authorization</v>
        <stp/>
        <stp>##V3_BDHV12</stp>
        <stp>NNN US Equity</stp>
        <stp>BS658</stp>
        <stp>-60CQ</stp>
        <stp>2018/3/31</stp>
        <stp>[零售reit companeis.xlsx]ReferenceData!R438C6</stp>
        <stp>Per=CQ</stp>
        <stp>Dts=H</stp>
        <stp>Dir=H</stp>
        <stp>Points=60</stp>
        <stp>Sort=R</stp>
        <stp>Days=A</stp>
        <stp>Fill=B</stp>
        <stp>FX=USD</stp>
        <tr r="F438" s="3"/>
      </tp>
      <tp t="s">
        <v>#N/A Authorization</v>
        <stp/>
        <stp>##V3_BDHV12</stp>
        <stp>NNN US Equity</stp>
        <stp>RR554</stp>
        <stp>-60CQ</stp>
        <stp>2018/3/31</stp>
        <stp>[零售reit companeis.xlsx]ReferenceData!R696C6</stp>
        <stp>Per=CQ</stp>
        <stp>Dts=H</stp>
        <stp>Dir=H</stp>
        <stp>Points=60</stp>
        <stp>Sort=R</stp>
        <stp>Days=A</stp>
        <stp>Fill=B</stp>
        <stp>FX=USD</stp>
        <tr r="F696" s="3"/>
      </tp>
      <tp t="s">
        <v>#N/A Authorization</v>
        <stp/>
        <stp>##V3_BDHV12</stp>
        <stp>KIM US Equity</stp>
        <stp>RX225</stp>
        <stp>-60CQ</stp>
        <stp>2018/3/31</stp>
        <stp>[零售reit companeis.xlsx]ReferenceData!R650C6</stp>
        <stp>Per=CQ</stp>
        <stp>Dts=H</stp>
        <stp>Dir=H</stp>
        <stp>Points=60</stp>
        <stp>Sort=R</stp>
        <stp>Days=A</stp>
        <stp>Fill=B</stp>
        <stp>FX=USD</stp>
        <tr r="F650" s="3"/>
      </tp>
      <tp t="s">
        <v>#N/A Authorization</v>
        <stp/>
        <stp>##V3_BDHV12</stp>
        <stp>NNN US Equity</stp>
        <stp>RR551</stp>
        <stp>-60CQ</stp>
        <stp>2018/3/31</stp>
        <stp>[零售reit companeis.xlsx]ReferenceData!R621C6</stp>
        <stp>Per=CQ</stp>
        <stp>Dts=H</stp>
        <stp>Dir=H</stp>
        <stp>Points=60</stp>
        <stp>Sort=R</stp>
        <stp>Days=A</stp>
        <stp>Fill=B</stp>
        <stp>FX=USD</stp>
        <tr r="F621" s="3"/>
      </tp>
      <tp t="s">
        <v>#N/A Authorization</v>
        <stp/>
        <stp>##V3_BDHV12</stp>
        <stp>NNN US Equity</stp>
        <stp>RR253</stp>
        <stp>-60CQ</stp>
        <stp>2018/3/31</stp>
        <stp>[零售reit companeis.xlsx]ReferenceData!R436C6</stp>
        <stp>Per=CQ</stp>
        <stp>Dts=H</stp>
        <stp>Dir=H</stp>
        <stp>Points=60</stp>
        <stp>Sort=R</stp>
        <stp>Days=A</stp>
        <stp>Fill=B</stp>
        <stp>FX=USD</stp>
        <tr r="F436" s="3"/>
      </tp>
      <tp t="s">
        <v>#N/A Authorization</v>
        <stp/>
        <stp>##V3_BDHV12</stp>
        <stp>NNN US Equity</stp>
        <stp>RR553</stp>
        <stp>-60CQ</stp>
        <stp>2018/3/31</stp>
        <stp>[零售reit companeis.xlsx]ReferenceData!R681C6</stp>
        <stp>Per=CQ</stp>
        <stp>Dts=H</stp>
        <stp>Dir=H</stp>
        <stp>Points=60</stp>
        <stp>Sort=R</stp>
        <stp>Days=A</stp>
        <stp>Fill=B</stp>
        <stp>FX=USD</stp>
        <tr r="F681" s="3"/>
      </tp>
      <tp t="s">
        <v>#N/A Authorization</v>
        <stp/>
        <stp>##V3_BDHV12</stp>
        <stp>NNN US Equity</stp>
        <stp>RR052</stp>
        <stp>-60CQ</stp>
        <stp>2018/3/31</stp>
        <stp>[零售reit companeis.xlsx]ReferenceData!R711C6</stp>
        <stp>Per=CQ</stp>
        <stp>Dts=H</stp>
        <stp>Dir=H</stp>
        <stp>Points=60</stp>
        <stp>Sort=R</stp>
        <stp>Days=A</stp>
        <stp>Fill=B</stp>
        <stp>FX=USD</stp>
        <tr r="F711" s="3"/>
      </tp>
      <tp t="s">
        <v>#N/A Authorization</v>
        <stp/>
        <stp>##V3_BDHV12</stp>
        <stp>NNN US Equity</stp>
        <stp>RR253</stp>
        <stp>-60CQ</stp>
        <stp>2018/3/31</stp>
        <stp>[零售reit companeis.xlsx]ReferenceData!R771C6</stp>
        <stp>Per=CQ</stp>
        <stp>Dts=H</stp>
        <stp>Dir=H</stp>
        <stp>Points=60</stp>
        <stp>Sort=R</stp>
        <stp>Days=A</stp>
        <stp>Fill=B</stp>
        <stp>FX=USD</stp>
        <tr r="F771" s="3"/>
      </tp>
      <tp t="s">
        <v>#N/A Authorization</v>
        <stp/>
        <stp>##V3_BDHV12</stp>
        <stp>KIM US Equity</stp>
        <stp>BS658</stp>
        <stp>-60CQ</stp>
        <stp>2018/3/31</stp>
        <stp>[零售reit companeis.xlsx]ReferenceData!R435C6</stp>
        <stp>Per=CQ</stp>
        <stp>Dts=H</stp>
        <stp>Dir=H</stp>
        <stp>Points=60</stp>
        <stp>Sort=R</stp>
        <stp>Days=A</stp>
        <stp>Fill=B</stp>
        <stp>FX=USD</stp>
        <tr r="F435" s="3"/>
      </tp>
      <tp t="s">
        <v>#N/A Authorization</v>
        <stp/>
        <stp>##V3_BDHV12</stp>
        <stp>KIM US Equity</stp>
        <stp>BS658</stp>
        <stp>-60CQ</stp>
        <stp>2018/3/31</stp>
        <stp>[零售reit companeis.xlsx]ReferenceData!R785C6</stp>
        <stp>Per=CQ</stp>
        <stp>Dts=H</stp>
        <stp>Dir=H</stp>
        <stp>Points=60</stp>
        <stp>Sort=R</stp>
        <stp>Days=A</stp>
        <stp>Fill=B</stp>
        <stp>FX=USD</stp>
        <tr r="F785" s="3"/>
      </tp>
      <tp t="s">
        <v>#N/A Authorization</v>
        <stp/>
        <stp>##V3_BDHV12</stp>
        <stp>NNN US Equity</stp>
        <stp>RX225</stp>
        <stp>-60CQ</stp>
        <stp>2018/3/31</stp>
        <stp>[零售reit companeis.xlsx]ReferenceData!R651C6</stp>
        <stp>Per=CQ</stp>
        <stp>Dts=H</stp>
        <stp>Dir=H</stp>
        <stp>Points=60</stp>
        <stp>Sort=R</stp>
        <stp>Days=A</stp>
        <stp>Fill=B</stp>
        <stp>FX=USD</stp>
        <tr r="F651" s="3"/>
      </tp>
      <tp t="s">
        <v>#N/A Authorization</v>
        <stp/>
        <stp>##V3_BDHV12</stp>
        <stp>SKT US Equity</stp>
        <stp>F0578</stp>
        <stp>-60CQ</stp>
        <stp>2018/3/31</stp>
        <stp>[零售reit companeis.xlsx]ReferenceData!R597C6</stp>
        <stp>Per=CQ</stp>
        <stp>Dts=H</stp>
        <stp>Dir=H</stp>
        <stp>Points=60</stp>
        <stp>Sort=R</stp>
        <stp>Days=A</stp>
        <stp>Fill=B</stp>
        <stp>FX=USD</stp>
        <tr r="F597" s="3"/>
      </tp>
      <tp t="s">
        <v>#N/A Authorization</v>
        <stp/>
        <stp>##V3_BDHV12</stp>
        <stp>DDR US Equity</stp>
        <stp>IM281</stp>
        <stp>-60CQ</stp>
        <stp>2018/3/31</stp>
        <stp>[零售reit companeis.xlsx]ReferenceData!R498C6</stp>
        <stp>Per=CQ</stp>
        <stp>Dts=H</stp>
        <stp>Dir=H</stp>
        <stp>Points=60</stp>
        <stp>Sort=R</stp>
        <stp>Days=A</stp>
        <stp>Fill=B</stp>
        <stp>FX=USD</stp>
        <tr r="F498" s="3"/>
      </tp>
      <tp t="s">
        <v>#N/A Authorization</v>
        <stp/>
        <stp>##V3_BDHV12</stp>
        <stp>KIM US Equity</stp>
        <stp>RR554</stp>
        <stp>-60CQ</stp>
        <stp>2018/3/31</stp>
        <stp>[零售reit companeis.xlsx]ReferenceData!R695C6</stp>
        <stp>Per=CQ</stp>
        <stp>Dts=H</stp>
        <stp>Dir=H</stp>
        <stp>Points=60</stp>
        <stp>Sort=R</stp>
        <stp>Days=A</stp>
        <stp>Fill=B</stp>
        <stp>FX=USD</stp>
        <tr r="F695" s="3"/>
      </tp>
      <tp t="s">
        <v>#N/A Authorization</v>
        <stp/>
        <stp>##V3_BDHV12</stp>
        <stp>DDR US Equity</stp>
        <stp>BS189</stp>
        <stp>-60CQ</stp>
        <stp>2018/3/31</stp>
        <stp>[零售reit companeis.xlsx]ReferenceData!R428C6</stp>
        <stp>Per=CQ</stp>
        <stp>Dts=H</stp>
        <stp>Dir=H</stp>
        <stp>Points=60</stp>
        <stp>Sort=R</stp>
        <stp>Days=A</stp>
        <stp>Fill=B</stp>
        <stp>FX=USD</stp>
        <tr r="F428" s="3"/>
      </tp>
      <tp t="s">
        <v>#N/A Authorization</v>
        <stp/>
        <stp>##V3_BDHV12</stp>
        <stp>SKT US Equity</stp>
        <stp>F1178</stp>
        <stp>-60CQ</stp>
        <stp>2018/3/31</stp>
        <stp>[零售reit companeis.xlsx]ReferenceData!R732C6</stp>
        <stp>Per=CQ</stp>
        <stp>Dts=H</stp>
        <stp>Dir=H</stp>
        <stp>Points=60</stp>
        <stp>Sort=R</stp>
        <stp>Days=A</stp>
        <stp>Fill=B</stp>
        <stp>FX=USD</stp>
        <tr r="F732" s="3"/>
      </tp>
      <tp t="s">
        <v>#N/A Authorization</v>
        <stp/>
        <stp>##V3_BDHV12</stp>
        <stp>SKT US Equity</stp>
        <stp>IM275</stp>
        <stp>-60CQ</stp>
        <stp>2018/3/31</stp>
        <stp>[零售reit companeis.xlsx]ReferenceData!R492C6</stp>
        <stp>Per=CQ</stp>
        <stp>Dts=H</stp>
        <stp>Dir=H</stp>
        <stp>Points=60</stp>
        <stp>Sort=R</stp>
        <stp>Days=A</stp>
        <stp>Fill=B</stp>
        <stp>FX=USD</stp>
        <tr r="F492" s="3"/>
      </tp>
      <tp t="s">
        <v>#N/A Authorization</v>
        <stp/>
        <stp>##V3_BDHV12</stp>
        <stp>KIM US Equity</stp>
        <stp>RR253</stp>
        <stp>-60CQ</stp>
        <stp>2018/3/31</stp>
        <stp>[零售reit companeis.xlsx]ReferenceData!R770C6</stp>
        <stp>Per=CQ</stp>
        <stp>Dts=H</stp>
        <stp>Dir=H</stp>
        <stp>Points=60</stp>
        <stp>Sort=R</stp>
        <stp>Days=A</stp>
        <stp>Fill=B</stp>
        <stp>FX=USD</stp>
        <tr r="F770" s="3"/>
      </tp>
      <tp t="s">
        <v>#N/A Authorization</v>
        <stp/>
        <stp>##V3_BDHV12</stp>
        <stp>KIM US Equity</stp>
        <stp>RR553</stp>
        <stp>-60CQ</stp>
        <stp>2018/3/31</stp>
        <stp>[零售reit companeis.xlsx]ReferenceData!R680C6</stp>
        <stp>Per=CQ</stp>
        <stp>Dts=H</stp>
        <stp>Dir=H</stp>
        <stp>Points=60</stp>
        <stp>Sort=R</stp>
        <stp>Days=A</stp>
        <stp>Fill=B</stp>
        <stp>FX=USD</stp>
        <tr r="F680" s="3"/>
      </tp>
      <tp t="s">
        <v>#N/A Authorization</v>
        <stp/>
        <stp>##V3_BDHV12</stp>
        <stp>KIM US Equity</stp>
        <stp>RR052</stp>
        <stp>-60CQ</stp>
        <stp>2018/3/31</stp>
        <stp>[零售reit companeis.xlsx]ReferenceData!R710C6</stp>
        <stp>Per=CQ</stp>
        <stp>Dts=H</stp>
        <stp>Dir=H</stp>
        <stp>Points=60</stp>
        <stp>Sort=R</stp>
        <stp>Days=A</stp>
        <stp>Fill=B</stp>
        <stp>FX=USD</stp>
        <tr r="F710" s="3"/>
      </tp>
      <tp t="s">
        <v>#N/A Authorization</v>
        <stp/>
        <stp>##V3_BDHV12</stp>
        <stp>SKT US Equity</stp>
        <stp>IS972</stp>
        <stp>-60CQ</stp>
        <stp>2018/3/31</stp>
        <stp>[零售reit companeis.xlsx]ReferenceData!R567C6</stp>
        <stp>Per=CQ</stp>
        <stp>Dts=H</stp>
        <stp>Dir=H</stp>
        <stp>Points=60</stp>
        <stp>Sort=R</stp>
        <stp>Days=A</stp>
        <stp>Fill=B</stp>
        <stp>FX=USD</stp>
        <tr r="F567" s="3"/>
      </tp>
      <tp t="s">
        <v>#N/A Authorization</v>
        <stp/>
        <stp>##V3_BDHV12</stp>
        <stp>KIM US Equity</stp>
        <stp>RR551</stp>
        <stp>-60CQ</stp>
        <stp>2018/3/31</stp>
        <stp>[零售reit companeis.xlsx]ReferenceData!R620C6</stp>
        <stp>Per=CQ</stp>
        <stp>Dts=H</stp>
        <stp>Dir=H</stp>
        <stp>Points=60</stp>
        <stp>Sort=R</stp>
        <stp>Days=A</stp>
        <stp>Fill=B</stp>
        <stp>FX=USD</stp>
        <tr r="F620" s="3"/>
      </tp>
      <tp t="s">
        <v>#N/A Authorization</v>
        <stp/>
        <stp>##V3_BDHV12</stp>
        <stp>KIM US Equity</stp>
        <stp>RR253</stp>
        <stp>-60CQ</stp>
        <stp>2018/3/31</stp>
        <stp>[零售reit companeis.xlsx]ReferenceData!R433C6</stp>
        <stp>Per=CQ</stp>
        <stp>Dts=H</stp>
        <stp>Dir=H</stp>
        <stp>Points=60</stp>
        <stp>Sort=R</stp>
        <stp>Days=A</stp>
        <stp>Fill=B</stp>
        <stp>FX=USD</stp>
        <tr r="F433" s="3"/>
      </tp>
      <tp t="s">
        <v>#N/A Authorization</v>
        <stp/>
        <stp>##V3_BDHV12</stp>
        <stp>REG US Equity</stp>
        <stp>IM281</stp>
        <stp>-60CQ</stp>
        <stp>2018/3/31</stp>
        <stp>[零售reit companeis.xlsx]ReferenceData!R503C6</stp>
        <stp>Per=CQ</stp>
        <stp>Dts=H</stp>
        <stp>Dir=H</stp>
        <stp>Points=60</stp>
        <stp>Sort=R</stp>
        <stp>Days=A</stp>
        <stp>Fill=B</stp>
        <stp>FX=USD</stp>
        <tr r="F503" s="3"/>
      </tp>
      <tp t="s">
        <v>#N/A Authorization</v>
        <stp/>
        <stp>##V3_BDHV12</stp>
        <stp>REG US Equity</stp>
        <stp>BS189</stp>
        <stp>-60CQ</stp>
        <stp>2018/3/31</stp>
        <stp>[零售reit companeis.xlsx]ReferenceData!R443C6</stp>
        <stp>Per=CQ</stp>
        <stp>Dts=H</stp>
        <stp>Dir=H</stp>
        <stp>Points=60</stp>
        <stp>Sort=R</stp>
        <stp>Days=A</stp>
        <stp>Fill=B</stp>
        <stp>FX=USD</stp>
        <tr r="F443" s="3"/>
      </tp>
      <tp t="s">
        <v>#N/A Authorization</v>
        <stp/>
        <stp>##V3_BDHV12</stp>
        <stp>NNN US Equity</stp>
        <stp>IS030</stp>
        <stp>-60CQ</stp>
        <stp>2018/3/31</stp>
        <stp>[零售reit companeis.xlsx]ReferenceData!R471C6</stp>
        <stp>Per=CQ</stp>
        <stp>Dts=H</stp>
        <stp>Dir=H</stp>
        <stp>Points=60</stp>
        <stp>Sort=R</stp>
        <stp>Days=A</stp>
        <stp>Fill=B</stp>
        <stp>FX=USD</stp>
        <tr r="F471" s="3"/>
      </tp>
      <tp t="s">
        <v>#N/A Authorization</v>
        <stp/>
        <stp>##V3_BDHV12</stp>
        <stp>SKT US Equity</stp>
        <stp>RR263</stp>
        <stp>-60CQ</stp>
        <stp>2018/3/31</stp>
        <stp>[零售reit companeis.xlsx]ReferenceData!R762C6</stp>
        <stp>Per=CQ</stp>
        <stp>Dts=H</stp>
        <stp>Dir=H</stp>
        <stp>Points=60</stp>
        <stp>Sort=R</stp>
        <stp>Days=A</stp>
        <stp>Fill=B</stp>
        <stp>FX=USD</stp>
        <tr r="F762" s="3"/>
      </tp>
      <tp t="s">
        <v>#N/A Authorization</v>
        <stp/>
        <stp>##V3_BDHV12</stp>
        <stp>NNN US Equity</stp>
        <stp>CF039</stp>
        <stp>-60CQ</stp>
        <stp>2018/3/31</stp>
        <stp>[零售reit companeis.xlsx]ReferenceData!R576C6</stp>
        <stp>Per=CQ</stp>
        <stp>Dts=H</stp>
        <stp>Dir=H</stp>
        <stp>Points=60</stp>
        <stp>Sort=R</stp>
        <stp>Days=A</stp>
        <stp>Fill=B</stp>
        <stp>FX=USD</stp>
        <tr r="F576" s="3"/>
      </tp>
      <tp t="s">
        <v>#N/A Authorization</v>
        <stp/>
        <stp>##V3_BDHV12</stp>
        <stp>KIM US Equity</stp>
        <stp>RR147</stp>
        <stp>-60CQ</stp>
        <stp>2018/3/31</stp>
        <stp>[零售reit companeis.xlsx]ReferenceData!R740C6</stp>
        <stp>Per=CQ</stp>
        <stp>Dts=H</stp>
        <stp>Dir=H</stp>
        <stp>Points=60</stp>
        <stp>Sort=R</stp>
        <stp>Days=A</stp>
        <stp>Fill=B</stp>
        <stp>FX=USD</stp>
        <tr r="F740" s="3"/>
      </tp>
      <tp t="s">
        <v>#N/A Authorization</v>
        <stp/>
        <stp>##V3_BDHV12</stp>
        <stp>VER US Equity</stp>
        <stp>IM281</stp>
        <stp>-60CQ</stp>
        <stp>2018/3/31</stp>
        <stp>[零售reit companeis.xlsx]ReferenceData!R508C6</stp>
        <stp>Per=CQ</stp>
        <stp>Dts=H</stp>
        <stp>Dir=H</stp>
        <stp>Points=60</stp>
        <stp>Sort=R</stp>
        <stp>Days=A</stp>
        <stp>Fill=B</stp>
        <stp>FX=USD</stp>
        <tr r="F508" s="3"/>
      </tp>
      <tp t="s">
        <v>#N/A Authorization</v>
        <stp/>
        <stp>##V3_BDHV12</stp>
        <stp>VER US Equity</stp>
        <stp>BS189</stp>
        <stp>-60CQ</stp>
        <stp>2018/3/31</stp>
        <stp>[零售reit companeis.xlsx]ReferenceData!R458C6</stp>
        <stp>Per=CQ</stp>
        <stp>Dts=H</stp>
        <stp>Dir=H</stp>
        <stp>Points=60</stp>
        <stp>Sort=R</stp>
        <stp>Days=A</stp>
        <stp>Fill=B</stp>
        <stp>FX=USD</stp>
        <tr r="F458" s="3"/>
      </tp>
      <tp t="s">
        <v>#N/A Authorization</v>
        <stp/>
        <stp>##V3_BDHV12</stp>
        <stp>NNN US Equity</stp>
        <stp>RR033</stp>
        <stp>-60CQ</stp>
        <stp>2018/3/31</stp>
        <stp>[零售reit companeis.xlsx]ReferenceData!R606C6</stp>
        <stp>Per=CQ</stp>
        <stp>Dts=H</stp>
        <stp>Dir=H</stp>
        <stp>Points=60</stp>
        <stp>Sort=R</stp>
        <stp>Days=A</stp>
        <stp>Fill=B</stp>
        <stp>FX=USD</stp>
        <tr r="F606" s="3"/>
      </tp>
      <tp t="s">
        <v>#N/A Authorization</v>
        <stp/>
        <stp>##V3_BDHV12</stp>
        <stp>KIM US Equity</stp>
        <stp>F0578</stp>
        <stp>-60CQ</stp>
        <stp>2018/3/31</stp>
        <stp>[零售reit companeis.xlsx]ReferenceData!R590C6</stp>
        <stp>Per=CQ</stp>
        <stp>Dts=H</stp>
        <stp>Dir=H</stp>
        <stp>Points=60</stp>
        <stp>Sort=R</stp>
        <stp>Days=A</stp>
        <stp>Fill=B</stp>
        <stp>FX=USD</stp>
        <tr r="F590" s="3"/>
      </tp>
      <tp t="s">
        <v>#N/A Authorization</v>
        <stp/>
        <stp>##V3_BDHV12</stp>
        <stp>SKT US Equity</stp>
        <stp>RR554</stp>
        <stp>-60CQ</stp>
        <stp>2018/3/31</stp>
        <stp>[零售reit companeis.xlsx]ReferenceData!R702C6</stp>
        <stp>Per=CQ</stp>
        <stp>Dts=H</stp>
        <stp>Dir=H</stp>
        <stp>Points=60</stp>
        <stp>Sort=R</stp>
        <stp>Days=A</stp>
        <stp>Fill=B</stp>
        <stp>FX=USD</stp>
        <tr r="F702" s="3"/>
      </tp>
      <tp t="s">
        <v>#N/A Authorization</v>
        <stp/>
        <stp>##V3_BDHV12</stp>
        <stp>KIM US Equity</stp>
        <stp>IM275</stp>
        <stp>-60CQ</stp>
        <stp>2018/3/31</stp>
        <stp>[零售reit companeis.xlsx]ReferenceData!R485C6</stp>
        <stp>Per=CQ</stp>
        <stp>Dts=H</stp>
        <stp>Dir=H</stp>
        <stp>Points=60</stp>
        <stp>Sort=R</stp>
        <stp>Days=A</stp>
        <stp>Fill=B</stp>
        <stp>FX=USD</stp>
        <tr r="F485" s="3"/>
      </tp>
      <tp t="s">
        <v>#N/A Authorization</v>
        <stp/>
        <stp>##V3_BDHV12</stp>
        <stp>KIM US Equity</stp>
        <stp>F1178</stp>
        <stp>-60CQ</stp>
        <stp>2018/3/31</stp>
        <stp>[零售reit companeis.xlsx]ReferenceData!R725C6</stp>
        <stp>Per=CQ</stp>
        <stp>Dts=H</stp>
        <stp>Dir=H</stp>
        <stp>Points=60</stp>
        <stp>Sort=R</stp>
        <stp>Days=A</stp>
        <stp>Fill=B</stp>
        <stp>FX=USD</stp>
        <tr r="F725" s="3"/>
      </tp>
      <tp t="s">
        <v>#N/A Authorization</v>
        <stp/>
        <stp>##V3_BDHV12</stp>
        <stp>SKT US Equity</stp>
        <stp>RR553</stp>
        <stp>-60CQ</stp>
        <stp>2018/3/31</stp>
        <stp>[零售reit companeis.xlsx]ReferenceData!R687C6</stp>
        <stp>Per=CQ</stp>
        <stp>Dts=H</stp>
        <stp>Dir=H</stp>
        <stp>Points=60</stp>
        <stp>Sort=R</stp>
        <stp>Days=A</stp>
        <stp>Fill=B</stp>
        <stp>FX=USD</stp>
        <tr r="F687" s="3"/>
      </tp>
      <tp t="s">
        <v>#N/A Authorization</v>
        <stp/>
        <stp>##V3_BDHV12</stp>
        <stp>SKT US Equity</stp>
        <stp>RR052</stp>
        <stp>-60CQ</stp>
        <stp>2018/3/31</stp>
        <stp>[零售reit companeis.xlsx]ReferenceData!R717C6</stp>
        <stp>Per=CQ</stp>
        <stp>Dts=H</stp>
        <stp>Dir=H</stp>
        <stp>Points=60</stp>
        <stp>Sort=R</stp>
        <stp>Days=A</stp>
        <stp>Fill=B</stp>
        <stp>FX=USD</stp>
        <tr r="F717" s="3"/>
      </tp>
      <tp t="s">
        <v>#N/A Authorization</v>
        <stp/>
        <stp>##V3_BDHV12</stp>
        <stp>KIM US Equity</stp>
        <stp>IS972</stp>
        <stp>-60CQ</stp>
        <stp>2018/3/31</stp>
        <stp>[零售reit companeis.xlsx]ReferenceData!R560C6</stp>
        <stp>Per=CQ</stp>
        <stp>Dts=H</stp>
        <stp>Dir=H</stp>
        <stp>Points=60</stp>
        <stp>Sort=R</stp>
        <stp>Days=A</stp>
        <stp>Fill=B</stp>
        <stp>FX=USD</stp>
        <tr r="F560" s="3"/>
      </tp>
      <tp t="s">
        <v>#N/A Authorization</v>
        <stp/>
        <stp>##V3_BDHV12</stp>
        <stp>SKT US Equity</stp>
        <stp>RR253</stp>
        <stp>-60CQ</stp>
        <stp>2018/3/31</stp>
        <stp>[零售reit companeis.xlsx]ReferenceData!R777C6</stp>
        <stp>Per=CQ</stp>
        <stp>Dts=H</stp>
        <stp>Dir=H</stp>
        <stp>Points=60</stp>
        <stp>Sort=R</stp>
        <stp>Days=A</stp>
        <stp>Fill=B</stp>
        <stp>FX=USD</stp>
        <tr r="F777" s="3"/>
      </tp>
      <tp t="s">
        <v>#N/A Authorization</v>
        <stp/>
        <stp>##V3_BDHV12</stp>
        <stp>SKT US Equity</stp>
        <stp>RR551</stp>
        <stp>-60CQ</stp>
        <stp>2018/3/31</stp>
        <stp>[零售reit companeis.xlsx]ReferenceData!R627C6</stp>
        <stp>Per=CQ</stp>
        <stp>Dts=H</stp>
        <stp>Dir=H</stp>
        <stp>Points=60</stp>
        <stp>Sort=R</stp>
        <stp>Days=A</stp>
        <stp>Fill=B</stp>
        <stp>FX=USD</stp>
        <tr r="F627" s="3"/>
      </tp>
      <tp t="s">
        <v>#N/A Authorization</v>
        <stp/>
        <stp>##V3_BDHV12</stp>
        <stp>SKT US Equity</stp>
        <stp>RR253</stp>
        <stp>-60CQ</stp>
        <stp>2018/3/31</stp>
        <stp>[零售reit companeis.xlsx]ReferenceData!R454C6</stp>
        <stp>Per=CQ</stp>
        <stp>Dts=H</stp>
        <stp>Dir=H</stp>
        <stp>Points=60</stp>
        <stp>Sort=R</stp>
        <stp>Days=A</stp>
        <stp>Fill=B</stp>
        <stp>FX=USD</stp>
        <tr r="F454" s="3"/>
      </tp>
      <tp t="s">
        <v>#N/A Authorization</v>
        <stp/>
        <stp>##V3_BDHV12</stp>
        <stp>NNN US Equity</stp>
        <stp>RR008</stp>
        <stp>-60CQ</stp>
        <stp>2018/3/31</stp>
        <stp>[零售reit companeis.xlsx]ReferenceData!R801C6</stp>
        <stp>Per=CQ</stp>
        <stp>Dts=H</stp>
        <stp>Dir=H</stp>
        <stp>Points=60</stp>
        <stp>Sort=R</stp>
        <stp>Days=A</stp>
        <stp>Fill=B</stp>
        <stp>FX=USD</stp>
        <tr r="F801" s="3"/>
      </tp>
      <tp t="s">
        <v>#N/A Authorization</v>
        <stp/>
        <stp>##V3_BDHV12</stp>
        <stp>NNN US Equity</stp>
        <stp>RR502</stp>
        <stp>-60CQ</stp>
        <stp>2018/3/31</stp>
        <stp>[零售reit companeis.xlsx]ReferenceData!R531C6</stp>
        <stp>Per=CQ</stp>
        <stp>Dts=H</stp>
        <stp>Dir=H</stp>
        <stp>Points=60</stp>
        <stp>Sort=R</stp>
        <stp>Days=A</stp>
        <stp>Fill=B</stp>
        <stp>FX=USD</stp>
        <tr r="F531" s="3"/>
      </tp>
      <tp t="s">
        <v>#N/A Authorization</v>
        <stp/>
        <stp>##V3_BDHV12</stp>
        <stp>SKT US Equity</stp>
        <stp>BS658</stp>
        <stp>-60CQ</stp>
        <stp>2018/3/31</stp>
        <stp>[零售reit companeis.xlsx]ReferenceData!R456C6</stp>
        <stp>Per=CQ</stp>
        <stp>Dts=H</stp>
        <stp>Dir=H</stp>
        <stp>Points=60</stp>
        <stp>Sort=R</stp>
        <stp>Days=A</stp>
        <stp>Fill=B</stp>
        <stp>FX=USD</stp>
        <tr r="F456" s="3"/>
      </tp>
      <tp t="s">
        <v>#N/A Authorization</v>
        <stp/>
        <stp>##V3_BDHV12</stp>
        <stp>SKT US Equity</stp>
        <stp>BS658</stp>
        <stp>-60CQ</stp>
        <stp>2018/3/31</stp>
        <stp>[零售reit companeis.xlsx]ReferenceData!R792C6</stp>
        <stp>Per=CQ</stp>
        <stp>Dts=H</stp>
        <stp>Dir=H</stp>
        <stp>Points=60</stp>
        <stp>Sort=R</stp>
        <stp>Days=A</stp>
        <stp>Fill=B</stp>
        <stp>FX=USD</stp>
        <tr r="F792" s="3"/>
      </tp>
      <tp t="s">
        <v>#N/A Authorization</v>
        <stp/>
        <stp>##V3_BDHV12</stp>
        <stp>NNN US Equity</stp>
        <stp>RX902</stp>
        <stp>-60CQ</stp>
        <stp>2018/3/31</stp>
        <stp>[零售reit companeis.xlsx]ReferenceData!R666C6</stp>
        <stp>Per=CQ</stp>
        <stp>Dts=H</stp>
        <stp>Dir=H</stp>
        <stp>Points=60</stp>
        <stp>Sort=R</stp>
        <stp>Days=A</stp>
        <stp>Fill=B</stp>
        <stp>FX=USD</stp>
        <tr r="F666" s="3"/>
      </tp>
      <tp t="s">
        <v>#N/A Authorization</v>
        <stp/>
        <stp>##V3_BDHV12</stp>
        <stp>NNN US Equity</stp>
        <stp>RR106</stp>
        <stp>-60CQ</stp>
        <stp>2018/3/31</stp>
        <stp>[零售reit companeis.xlsx]ReferenceData!R816C6</stp>
        <stp>Per=CQ</stp>
        <stp>Dts=H</stp>
        <stp>Dir=H</stp>
        <stp>Points=60</stp>
        <stp>Sort=R</stp>
        <stp>Days=A</stp>
        <stp>Fill=B</stp>
        <stp>FX=USD</stp>
        <tr r="F816" s="3"/>
      </tp>
      <tp t="s">
        <v>#N/A Authorization</v>
        <stp/>
        <stp>##V3_BDHV12</stp>
        <stp>NNN US Equity</stp>
        <stp>RR009</stp>
        <stp>-60CQ</stp>
        <stp>2018/3/31</stp>
        <stp>[零售reit companeis.xlsx]ReferenceData!R546C6</stp>
        <stp>Per=CQ</stp>
        <stp>Dts=H</stp>
        <stp>Dir=H</stp>
        <stp>Points=60</stp>
        <stp>Sort=R</stp>
        <stp>Days=A</stp>
        <stp>Fill=B</stp>
        <stp>FX=USD</stp>
        <tr r="F546" s="3"/>
      </tp>
      <tp t="s">
        <v>#N/A Authorization</v>
        <stp/>
        <stp>##V3_BDHV12</stp>
        <stp>SKT US Equity</stp>
        <stp>RR147</stp>
        <stp>-60CQ</stp>
        <stp>2018/3/31</stp>
        <stp>[零售reit companeis.xlsx]ReferenceData!R747C6</stp>
        <stp>Per=CQ</stp>
        <stp>Dts=H</stp>
        <stp>Dir=H</stp>
        <stp>Points=60</stp>
        <stp>Sort=R</stp>
        <stp>Days=A</stp>
        <stp>Fill=B</stp>
        <stp>FX=USD</stp>
        <tr r="F747" s="3"/>
      </tp>
      <tp t="s">
        <v>#N/A Authorization</v>
        <stp/>
        <stp>##V3_BDHV12</stp>
        <stp>NNN US Equity</stp>
        <stp>IS010</stp>
        <stp>-60CQ</stp>
        <stp>2018/3/31</stp>
        <stp>[零售reit companeis.xlsx]ReferenceData!R516C6</stp>
        <stp>Per=CQ</stp>
        <stp>Dts=H</stp>
        <stp>Dir=H</stp>
        <stp>Points=60</stp>
        <stp>Sort=R</stp>
        <stp>Days=A</stp>
        <stp>Fill=B</stp>
        <stp>FX=USD</stp>
        <tr r="F516" s="3"/>
      </tp>
      <tp t="s">
        <v>#N/A Authorization</v>
        <stp/>
        <stp>##V3_BDHV12</stp>
        <stp>KIM US Equity</stp>
        <stp>RR263</stp>
        <stp>-60CQ</stp>
        <stp>2018/3/31</stp>
        <stp>[零售reit companeis.xlsx]ReferenceData!R755C6</stp>
        <stp>Per=CQ</stp>
        <stp>Dts=H</stp>
        <stp>Dir=H</stp>
        <stp>Points=60</stp>
        <stp>Sort=R</stp>
        <stp>Days=A</stp>
        <stp>Fill=B</stp>
        <stp>FX=USD</stp>
        <tr r="F755" s="3"/>
      </tp>
      <tp t="s">
        <v>#N/A Authorization</v>
        <stp/>
        <stp>##V3_BDHV12</stp>
        <stp>BRX US Equity</stp>
        <stp>RR253</stp>
        <stp>-60CQ</stp>
        <stp>2018/3/31</stp>
        <stp>[零售reit companeis.xlsx]ReferenceData!R846C3</stp>
        <stp>PER=CQ</stp>
        <stp>Dts=S</stp>
        <stp>DtFmt=FI</stp>
        <stp>rows=2</stp>
        <stp>Dir=H</stp>
        <stp>Points=60</stp>
        <stp>Sort=R</stp>
        <stp>Days=A</stp>
        <stp>Fill=B</stp>
        <stp>FX=USD</stp>
        <tr r="C846" s="3"/>
      </tp>
      <tp t="s">
        <v>#N/A Authorization</v>
        <stp/>
        <stp>##V3_BDHV12</stp>
        <stp>BRX US Equity</stp>
        <stp>BS658</stp>
        <stp>-60CQ</stp>
        <stp>2018/3/31</stp>
        <stp>[零售reit companeis.xlsx]ReferenceData!R850C3</stp>
        <stp>PER=CQ</stp>
        <stp>Dts=S</stp>
        <stp>DtFmt=FI</stp>
        <stp>rows=2</stp>
        <stp>Dir=H</stp>
        <stp>Points=60</stp>
        <stp>Sort=R</stp>
        <stp>Days=A</stp>
        <stp>Fill=B</stp>
        <stp>FX=USD</stp>
        <tr r="C850" s="3"/>
      </tp>
      <tp t="s">
        <v>#N/A Authorization</v>
        <stp/>
        <stp>##V3_BDHV12</stp>
        <stp>BRX US Equity</stp>
        <stp>BS189</stp>
        <stp>-60CQ</stp>
        <stp>2018/3/31</stp>
        <stp>[零售reit companeis.xlsx]ReferenceData!R848C3</stp>
        <stp>PER=CQ</stp>
        <stp>Dts=S</stp>
        <stp>DtFmt=FI</stp>
        <stp>rows=2</stp>
        <stp>Dir=H</stp>
        <stp>Points=60</stp>
        <stp>Sort=R</stp>
        <stp>Days=A</stp>
        <stp>Fill=B</stp>
        <stp>FX=USD</stp>
        <tr r="C848" s="3"/>
      </tp>
      <tp t="s">
        <v>#N/A Authorization</v>
        <stp/>
        <stp>##V3_BDHV12</stp>
        <stp>ROIC US Equity</stp>
        <stp>BS658</stp>
        <stp>-60CQ</stp>
        <stp>2018/3/31</stp>
        <stp>[零售reit companeis.xlsx]ReferenceData!R447C6</stp>
        <stp>Per=CQ</stp>
        <stp>Dts=H</stp>
        <stp>Dir=H</stp>
        <stp>Points=60</stp>
        <stp>Sort=R</stp>
        <stp>Days=A</stp>
        <stp>Fill=B</stp>
        <stp>FX=USD</stp>
        <tr r="F447" s="3"/>
      </tp>
      <tp t="s">
        <v>#N/A Authorization</v>
        <stp/>
        <stp>##V3_BDHV12</stp>
        <stp>ROIC US Equity</stp>
        <stp>BS658</stp>
        <stp>-60CQ</stp>
        <stp>2018/3/31</stp>
        <stp>[零售reit companeis.xlsx]ReferenceData!R789C6</stp>
        <stp>Per=CQ</stp>
        <stp>Dts=H</stp>
        <stp>Dir=H</stp>
        <stp>Points=60</stp>
        <stp>Sort=R</stp>
        <stp>Days=A</stp>
        <stp>Fill=B</stp>
        <stp>FX=USD</stp>
        <tr r="F789" s="3"/>
      </tp>
      <tp t="s">
        <v>#N/A Authorization</v>
        <stp/>
        <stp>##V3_BDHV12</stp>
        <stp>ROIC US Equity</stp>
        <stp>RR554</stp>
        <stp>-60CQ</stp>
        <stp>2018/3/31</stp>
        <stp>[零售reit companeis.xlsx]ReferenceData!R699C6</stp>
        <stp>Per=CQ</stp>
        <stp>Dts=H</stp>
        <stp>Dir=H</stp>
        <stp>Points=60</stp>
        <stp>Sort=R</stp>
        <stp>Days=A</stp>
        <stp>Fill=B</stp>
        <stp>FX=USD</stp>
        <tr r="F699" s="3"/>
      </tp>
      <tp t="s">
        <v>#N/A Authorization</v>
        <stp/>
        <stp>##V3_BDHV12</stp>
        <stp>ROIC US Equity</stp>
        <stp>RR253</stp>
        <stp>-60CQ</stp>
        <stp>2018/3/31</stp>
        <stp>[零售reit companeis.xlsx]ReferenceData!R774C6</stp>
        <stp>Per=CQ</stp>
        <stp>Dts=H</stp>
        <stp>Dir=H</stp>
        <stp>Points=60</stp>
        <stp>Sort=R</stp>
        <stp>Days=A</stp>
        <stp>Fill=B</stp>
        <stp>FX=USD</stp>
        <tr r="F774" s="3"/>
      </tp>
      <tp t="s">
        <v>#N/A Authorization</v>
        <stp/>
        <stp>##V3_BDHV12</stp>
        <stp>ROIC US Equity</stp>
        <stp>RR052</stp>
        <stp>-60CQ</stp>
        <stp>2018/3/31</stp>
        <stp>[零售reit companeis.xlsx]ReferenceData!R714C6</stp>
        <stp>Per=CQ</stp>
        <stp>Dts=H</stp>
        <stp>Dir=H</stp>
        <stp>Points=60</stp>
        <stp>Sort=R</stp>
        <stp>Days=A</stp>
        <stp>Fill=B</stp>
        <stp>FX=USD</stp>
        <tr r="F714" s="3"/>
      </tp>
      <tp t="s">
        <v>#N/A Authorization</v>
        <stp/>
        <stp>##V3_BDHV12</stp>
        <stp>ROIC US Equity</stp>
        <stp>RR553</stp>
        <stp>-60CQ</stp>
        <stp>2018/3/31</stp>
        <stp>[零售reit companeis.xlsx]ReferenceData!R684C6</stp>
        <stp>Per=CQ</stp>
        <stp>Dts=H</stp>
        <stp>Dir=H</stp>
        <stp>Points=60</stp>
        <stp>Sort=R</stp>
        <stp>Days=A</stp>
        <stp>Fill=B</stp>
        <stp>FX=USD</stp>
        <tr r="F684" s="3"/>
      </tp>
      <tp t="s">
        <v>#N/A Authorization</v>
        <stp/>
        <stp>##V3_BDHV12</stp>
        <stp>ROIC US Equity</stp>
        <stp>RR551</stp>
        <stp>-60CQ</stp>
        <stp>2018/3/31</stp>
        <stp>[零售reit companeis.xlsx]ReferenceData!R624C6</stp>
        <stp>Per=CQ</stp>
        <stp>Dts=H</stp>
        <stp>Dir=H</stp>
        <stp>Points=60</stp>
        <stp>Sort=R</stp>
        <stp>Days=A</stp>
        <stp>Fill=B</stp>
        <stp>FX=USD</stp>
        <tr r="F624" s="3"/>
      </tp>
      <tp t="s">
        <v>#N/A Authorization</v>
        <stp/>
        <stp>##V3_BDHV12</stp>
        <stp>ROIC US Equity</stp>
        <stp>RR253</stp>
        <stp>-60CQ</stp>
        <stp>2018/3/31</stp>
        <stp>[零售reit companeis.xlsx]ReferenceData!R445C6</stp>
        <stp>Per=CQ</stp>
        <stp>Dts=H</stp>
        <stp>Dir=H</stp>
        <stp>Points=60</stp>
        <stp>Sort=R</stp>
        <stp>Days=A</stp>
        <stp>Fill=B</stp>
        <stp>FX=USD</stp>
        <tr r="F445" s="3"/>
      </tp>
      <tp t="s">
        <v>#N/A Authorization</v>
        <stp/>
        <stp>##V3_BDHV12</stp>
        <stp>ROIC US Equity</stp>
        <stp>RR147</stp>
        <stp>-60CQ</stp>
        <stp>2018/3/31</stp>
        <stp>[零售reit companeis.xlsx]ReferenceData!R744C6</stp>
        <stp>Per=CQ</stp>
        <stp>Dts=H</stp>
        <stp>Dir=H</stp>
        <stp>Points=60</stp>
        <stp>Sort=R</stp>
        <stp>Days=A</stp>
        <stp>Fill=B</stp>
        <stp>FX=USD</stp>
        <tr r="F744" s="3"/>
      </tp>
      <tp t="s">
        <v>#N/A Authorization</v>
        <stp/>
        <stp>##V3_BDHV12</stp>
        <stp>ROIC US Equity</stp>
        <stp>F0578</stp>
        <stp>-60CQ</stp>
        <stp>2018/3/31</stp>
        <stp>[零售reit companeis.xlsx]ReferenceData!R594C6</stp>
        <stp>Per=CQ</stp>
        <stp>Dts=H</stp>
        <stp>Dir=H</stp>
        <stp>Points=60</stp>
        <stp>Sort=R</stp>
        <stp>Days=A</stp>
        <stp>Fill=B</stp>
        <stp>FX=USD</stp>
        <tr r="F594" s="3"/>
      </tp>
      <tp t="s">
        <v>#N/A Authorization</v>
        <stp/>
        <stp>##V3_BDHV12</stp>
        <stp>ROIC US Equity</stp>
        <stp>IM275</stp>
        <stp>-60CQ</stp>
        <stp>2018/3/31</stp>
        <stp>[零售reit companeis.xlsx]ReferenceData!R489C6</stp>
        <stp>Per=CQ</stp>
        <stp>Dts=H</stp>
        <stp>Dir=H</stp>
        <stp>Points=60</stp>
        <stp>Sort=R</stp>
        <stp>Days=A</stp>
        <stp>Fill=B</stp>
        <stp>FX=USD</stp>
        <tr r="F489" s="3"/>
      </tp>
      <tp t="s">
        <v>#N/A Authorization</v>
        <stp/>
        <stp>##V3_BDHV12</stp>
        <stp>ROIC US Equity</stp>
        <stp>F1178</stp>
        <stp>-60CQ</stp>
        <stp>2018/3/31</stp>
        <stp>[零售reit companeis.xlsx]ReferenceData!R729C6</stp>
        <stp>Per=CQ</stp>
        <stp>Dts=H</stp>
        <stp>Dir=H</stp>
        <stp>Points=60</stp>
        <stp>Sort=R</stp>
        <stp>Days=A</stp>
        <stp>Fill=B</stp>
        <stp>FX=USD</stp>
        <tr r="F729" s="3"/>
      </tp>
      <tp t="s">
        <v>#N/A Authorization</v>
        <stp/>
        <stp>##V3_BDHV12</stp>
        <stp>ROIC US Equity</stp>
        <stp>IS972</stp>
        <stp>-60CQ</stp>
        <stp>2018/3/31</stp>
        <stp>[零售reit companeis.xlsx]ReferenceData!R564C6</stp>
        <stp>Per=CQ</stp>
        <stp>Dts=H</stp>
        <stp>Dir=H</stp>
        <stp>Points=60</stp>
        <stp>Sort=R</stp>
        <stp>Days=A</stp>
        <stp>Fill=B</stp>
        <stp>FX=USD</stp>
        <tr r="F564" s="3"/>
      </tp>
      <tp t="s">
        <v>#N/A Authorization</v>
        <stp/>
        <stp>##V3_BDHV12</stp>
        <stp>ROIC US Equity</stp>
        <stp>RR263</stp>
        <stp>-60CQ</stp>
        <stp>2018/3/31</stp>
        <stp>[零售reit companeis.xlsx]ReferenceData!R759C6</stp>
        <stp>Per=CQ</stp>
        <stp>Dts=H</stp>
        <stp>Dir=H</stp>
        <stp>Points=60</stp>
        <stp>Sort=R</stp>
        <stp>Days=A</stp>
        <stp>Fill=B</stp>
        <stp>FX=USD</stp>
        <tr r="F759" s="3"/>
      </tp>
      <tp t="s">
        <v>#N/A Authorization</v>
        <stp/>
        <stp>##V3_BDHV12</stp>
        <stp>ROIC US Equity</stp>
        <stp>IS010</stp>
        <stp>-60CQ</stp>
        <stp>2018/3/31</stp>
        <stp>[零售reit companeis.xlsx]ReferenceData!R519C6</stp>
        <stp>Per=CQ</stp>
        <stp>Dts=H</stp>
        <stp>Dir=H</stp>
        <stp>Points=60</stp>
        <stp>Sort=R</stp>
        <stp>Days=A</stp>
        <stp>Fill=B</stp>
        <stp>FX=USD</stp>
        <tr r="F519" s="3"/>
      </tp>
      <tp t="s">
        <v>#N/A Authorization</v>
        <stp/>
        <stp>##V3_BDHV12</stp>
        <stp>RPAI US Equity</stp>
        <stp>IM281</stp>
        <stp>-60CQ</stp>
        <stp>2018/3/31</stp>
        <stp>[零售reit companeis.xlsx]ReferenceData!R505C6</stp>
        <stp>Per=CQ</stp>
        <stp>Dts=H</stp>
        <stp>Dir=H</stp>
        <stp>Points=60</stp>
        <stp>Sort=R</stp>
        <stp>Days=A</stp>
        <stp>Fill=B</stp>
        <stp>FX=USD</stp>
        <tr r="F505" s="3"/>
      </tp>
      <tp t="s">
        <v>#N/A Authorization</v>
        <stp/>
        <stp>##V3_BDHV12</stp>
        <stp>RPAI US Equity</stp>
        <stp>BS189</stp>
        <stp>-60CQ</stp>
        <stp>2018/3/31</stp>
        <stp>[零售reit companeis.xlsx]ReferenceData!R449C6</stp>
        <stp>Per=CQ</stp>
        <stp>Dts=H</stp>
        <stp>Dir=H</stp>
        <stp>Points=60</stp>
        <stp>Sort=R</stp>
        <stp>Days=A</stp>
        <stp>Fill=B</stp>
        <stp>FX=USD</stp>
        <tr r="F449" s="3"/>
      </tp>
      <tp t="s">
        <v>#N/A Authorization</v>
        <stp/>
        <stp>##V3_BDHV12</stp>
        <stp>ROIC US Equity</stp>
        <stp>RR009</stp>
        <stp>-60CQ</stp>
        <stp>2018/3/31</stp>
        <stp>[零售reit companeis.xlsx]ReferenceData!R549C6</stp>
        <stp>Per=CQ</stp>
        <stp>Dts=H</stp>
        <stp>Dir=H</stp>
        <stp>Points=60</stp>
        <stp>Sort=R</stp>
        <stp>Days=A</stp>
        <stp>Fill=B</stp>
        <stp>FX=USD</stp>
        <tr r="F549" s="3"/>
      </tp>
      <tp t="s">
        <v>#N/A Authorization</v>
        <stp/>
        <stp>##V3_BDHV12</stp>
        <stp>ROIC US Equity</stp>
        <stp>RR106</stp>
        <stp>-60CQ</stp>
        <stp>2018/3/31</stp>
        <stp>[零售reit companeis.xlsx]ReferenceData!R819C6</stp>
        <stp>Per=CQ</stp>
        <stp>Dts=H</stp>
        <stp>Dir=H</stp>
        <stp>Points=60</stp>
        <stp>Sort=R</stp>
        <stp>Days=A</stp>
        <stp>Fill=B</stp>
        <stp>FX=USD</stp>
        <tr r="F819" s="3"/>
      </tp>
      <tp t="s">
        <v>#N/A Authorization</v>
        <stp/>
        <stp>##V3_BDHV12</stp>
        <stp>ROIC US Equity</stp>
        <stp>RR008</stp>
        <stp>-60CQ</stp>
        <stp>2018/3/31</stp>
        <stp>[零售reit companeis.xlsx]ReferenceData!R804C6</stp>
        <stp>Per=CQ</stp>
        <stp>Dts=H</stp>
        <stp>Dir=H</stp>
        <stp>Points=60</stp>
        <stp>Sort=R</stp>
        <stp>Days=A</stp>
        <stp>Fill=B</stp>
        <stp>FX=USD</stp>
        <tr r="F804" s="3"/>
      </tp>
      <tp t="s">
        <v>#N/A Authorization</v>
        <stp/>
        <stp>##V3_BDHV12</stp>
        <stp>ROIC US Equity</stp>
        <stp>RX902</stp>
        <stp>-60CQ</stp>
        <stp>2018/3/31</stp>
        <stp>[零售reit companeis.xlsx]ReferenceData!R669C6</stp>
        <stp>Per=CQ</stp>
        <stp>Dts=H</stp>
        <stp>Dir=H</stp>
        <stp>Points=60</stp>
        <stp>Sort=R</stp>
        <stp>Days=A</stp>
        <stp>Fill=B</stp>
        <stp>FX=USD</stp>
        <tr r="F669" s="3"/>
      </tp>
      <tp t="s">
        <v>#N/A Authorization</v>
        <stp/>
        <stp>##V3_BDHV12</stp>
        <stp>ROIC US Equity</stp>
        <stp>RR502</stp>
        <stp>-60CQ</stp>
        <stp>2018/3/31</stp>
        <stp>[零售reit companeis.xlsx]ReferenceData!R534C6</stp>
        <stp>Per=CQ</stp>
        <stp>Dts=H</stp>
        <stp>Dir=H</stp>
        <stp>Points=60</stp>
        <stp>Sort=R</stp>
        <stp>Days=A</stp>
        <stp>Fill=B</stp>
        <stp>FX=USD</stp>
        <tr r="F534" s="3"/>
      </tp>
      <tp t="s">
        <v>#N/A Authorization</v>
        <stp/>
        <stp>##V3_BDHV12</stp>
        <stp>ROIC US Equity</stp>
        <stp>CF039</stp>
        <stp>-60CQ</stp>
        <stp>2018/3/31</stp>
        <stp>[零售reit companeis.xlsx]ReferenceData!R579C6</stp>
        <stp>Per=CQ</stp>
        <stp>Dts=H</stp>
        <stp>Dir=H</stp>
        <stp>Points=60</stp>
        <stp>Sort=R</stp>
        <stp>Days=A</stp>
        <stp>Fill=B</stp>
        <stp>FX=USD</stp>
        <tr r="F579" s="3"/>
      </tp>
      <tp t="s">
        <v>#N/A Authorization</v>
        <stp/>
        <stp>##V3_BDHV12</stp>
        <stp>ROIC US Equity</stp>
        <stp>IS030</stp>
        <stp>-60CQ</stp>
        <stp>2018/3/31</stp>
        <stp>[零售reit companeis.xlsx]ReferenceData!R474C6</stp>
        <stp>Per=CQ</stp>
        <stp>Dts=H</stp>
        <stp>Dir=H</stp>
        <stp>Points=60</stp>
        <stp>Sort=R</stp>
        <stp>Days=A</stp>
        <stp>Fill=B</stp>
        <stp>FX=USD</stp>
        <tr r="F474" s="3"/>
      </tp>
      <tp t="s">
        <v>#N/A Authorization</v>
        <stp/>
        <stp>##V3_BDHV12</stp>
        <stp>ROIC US Equity</stp>
        <stp>RR033</stp>
        <stp>-60CQ</stp>
        <stp>2018/3/31</stp>
        <stp>[零售reit companeis.xlsx]ReferenceData!R609C6</stp>
        <stp>Per=CQ</stp>
        <stp>Dts=H</stp>
        <stp>Dir=H</stp>
        <stp>Points=60</stp>
        <stp>Sort=R</stp>
        <stp>Days=A</stp>
        <stp>Fill=B</stp>
        <stp>FX=USD</stp>
        <tr r="F609" s="3"/>
      </tp>
      <tp t="s">
        <v>#N/A Authorization</v>
        <stp/>
        <stp>##V3_BDHV12</stp>
        <stp>ROIC US Equity</stp>
        <stp>RX225</stp>
        <stp>-60CQ</stp>
        <stp>2018/3/31</stp>
        <stp>[零售reit companeis.xlsx]ReferenceData!R654C6</stp>
        <stp>Per=CQ</stp>
        <stp>Dts=H</stp>
        <stp>Dir=H</stp>
        <stp>Points=60</stp>
        <stp>Sort=R</stp>
        <stp>Days=A</stp>
        <stp>Fill=B</stp>
        <stp>FX=USD</stp>
        <tr r="F654" s="3"/>
      </tp>
      <tp t="s">
        <v>#N/A Authorization</v>
        <stp/>
        <stp>##V3_BDHV12</stp>
        <stp>RPAI US Equity</stp>
        <stp>BS658</stp>
        <stp>-60CQ</stp>
        <stp>2018/3/31</stp>
        <stp>[零售reit companeis.xlsx]ReferenceData!R790C6</stp>
        <stp>Per=CQ</stp>
        <stp>Dts=H</stp>
        <stp>Dir=H</stp>
        <stp>Points=60</stp>
        <stp>Sort=R</stp>
        <stp>Days=A</stp>
        <stp>Fill=B</stp>
        <stp>FX=USD</stp>
        <tr r="F790" s="3"/>
      </tp>
      <tp t="s">
        <v>#N/A Authorization</v>
        <stp/>
        <stp>##V3_BDHV12</stp>
        <stp>RPAI US Equity</stp>
        <stp>BS658</stp>
        <stp>-60CQ</stp>
        <stp>2018/3/31</stp>
        <stp>[零售reit companeis.xlsx]ReferenceData!R450C6</stp>
        <stp>Per=CQ</stp>
        <stp>Dts=H</stp>
        <stp>Dir=H</stp>
        <stp>Points=60</stp>
        <stp>Sort=R</stp>
        <stp>Days=A</stp>
        <stp>Fill=B</stp>
        <stp>FX=USD</stp>
        <tr r="F450" s="3"/>
      </tp>
      <tp t="s">
        <v>#N/A Authorization</v>
        <stp/>
        <stp>##V3_BDHV12</stp>
        <stp>RPAI US Equity</stp>
        <stp>RR554</stp>
        <stp>-60CQ</stp>
        <stp>2018/3/31</stp>
        <stp>[零售reit companeis.xlsx]ReferenceData!R700C6</stp>
        <stp>Per=CQ</stp>
        <stp>Dts=H</stp>
        <stp>Dir=H</stp>
        <stp>Points=60</stp>
        <stp>Sort=R</stp>
        <stp>Days=A</stp>
        <stp>Fill=B</stp>
        <stp>FX=USD</stp>
        <tr r="F700" s="3"/>
      </tp>
      <tp t="s">
        <v>#N/A Authorization</v>
        <stp/>
        <stp>##V3_BDHV12</stp>
        <stp>RPAI US Equity</stp>
        <stp>RR551</stp>
        <stp>-60CQ</stp>
        <stp>2018/3/31</stp>
        <stp>[零售reit companeis.xlsx]ReferenceData!R625C6</stp>
        <stp>Per=CQ</stp>
        <stp>Dts=H</stp>
        <stp>Dir=H</stp>
        <stp>Points=60</stp>
        <stp>Sort=R</stp>
        <stp>Days=A</stp>
        <stp>Fill=B</stp>
        <stp>FX=USD</stp>
        <tr r="F625" s="3"/>
      </tp>
      <tp t="s">
        <v>#N/A Authorization</v>
        <stp/>
        <stp>##V3_BDHV12</stp>
        <stp>RPAI US Equity</stp>
        <stp>RR253</stp>
        <stp>-60CQ</stp>
        <stp>2018/3/31</stp>
        <stp>[零售reit companeis.xlsx]ReferenceData!R448C6</stp>
        <stp>Per=CQ</stp>
        <stp>Dts=H</stp>
        <stp>Dir=H</stp>
        <stp>Points=60</stp>
        <stp>Sort=R</stp>
        <stp>Days=A</stp>
        <stp>Fill=B</stp>
        <stp>FX=USD</stp>
        <tr r="F448" s="3"/>
      </tp>
      <tp t="s">
        <v>#N/A Authorization</v>
        <stp/>
        <stp>##V3_BDHV12</stp>
        <stp>RPAI US Equity</stp>
        <stp>RR253</stp>
        <stp>-60CQ</stp>
        <stp>2018/3/31</stp>
        <stp>[零售reit companeis.xlsx]ReferenceData!R775C6</stp>
        <stp>Per=CQ</stp>
        <stp>Dts=H</stp>
        <stp>Dir=H</stp>
        <stp>Points=60</stp>
        <stp>Sort=R</stp>
        <stp>Days=A</stp>
        <stp>Fill=B</stp>
        <stp>FX=USD</stp>
        <tr r="F775" s="3"/>
      </tp>
      <tp t="s">
        <v>#N/A Authorization</v>
        <stp/>
        <stp>##V3_BDHV12</stp>
        <stp>RPAI US Equity</stp>
        <stp>RR052</stp>
        <stp>-60CQ</stp>
        <stp>2018/3/31</stp>
        <stp>[零售reit companeis.xlsx]ReferenceData!R715C6</stp>
        <stp>Per=CQ</stp>
        <stp>Dts=H</stp>
        <stp>Dir=H</stp>
        <stp>Points=60</stp>
        <stp>Sort=R</stp>
        <stp>Days=A</stp>
        <stp>Fill=B</stp>
        <stp>FX=USD</stp>
        <tr r="F715" s="3"/>
      </tp>
      <tp t="s">
        <v>#N/A Authorization</v>
        <stp/>
        <stp>##V3_BDHV12</stp>
        <stp>RPAI US Equity</stp>
        <stp>RR553</stp>
        <stp>-60CQ</stp>
        <stp>2018/3/31</stp>
        <stp>[零售reit companeis.xlsx]ReferenceData!R685C6</stp>
        <stp>Per=CQ</stp>
        <stp>Dts=H</stp>
        <stp>Dir=H</stp>
        <stp>Points=60</stp>
        <stp>Sort=R</stp>
        <stp>Days=A</stp>
        <stp>Fill=B</stp>
        <stp>FX=USD</stp>
        <tr r="F685" s="3"/>
      </tp>
      <tp t="s">
        <v>#N/A Authorization</v>
        <stp/>
        <stp>##V3_BDHV12</stp>
        <stp>RPAI US Equity</stp>
        <stp>RR147</stp>
        <stp>-60CQ</stp>
        <stp>2018/3/31</stp>
        <stp>[零售reit companeis.xlsx]ReferenceData!R745C6</stp>
        <stp>Per=CQ</stp>
        <stp>Dts=H</stp>
        <stp>Dir=H</stp>
        <stp>Points=60</stp>
        <stp>Sort=R</stp>
        <stp>Days=A</stp>
        <stp>Fill=B</stp>
        <stp>FX=USD</stp>
        <tr r="F745" s="3"/>
      </tp>
      <tp t="s">
        <v>#N/A Authorization</v>
        <stp/>
        <stp>##V3_BDHV12</stp>
        <stp>RPAI US Equity</stp>
        <stp>IM275</stp>
        <stp>-60CQ</stp>
        <stp>2018/3/31</stp>
        <stp>[零售reit companeis.xlsx]ReferenceData!R490C6</stp>
        <stp>Per=CQ</stp>
        <stp>Dts=H</stp>
        <stp>Dir=H</stp>
        <stp>Points=60</stp>
        <stp>Sort=R</stp>
        <stp>Days=A</stp>
        <stp>Fill=B</stp>
        <stp>FX=USD</stp>
        <tr r="F490" s="3"/>
      </tp>
      <tp t="s">
        <v>#N/A Authorization</v>
        <stp/>
        <stp>##V3_BDHV12</stp>
        <stp>RPAI US Equity</stp>
        <stp>F1178</stp>
        <stp>-60CQ</stp>
        <stp>2018/3/31</stp>
        <stp>[零售reit companeis.xlsx]ReferenceData!R730C6</stp>
        <stp>Per=CQ</stp>
        <stp>Dts=H</stp>
        <stp>Dir=H</stp>
        <stp>Points=60</stp>
        <stp>Sort=R</stp>
        <stp>Days=A</stp>
        <stp>Fill=B</stp>
        <stp>FX=USD</stp>
        <tr r="F730" s="3"/>
      </tp>
      <tp t="s">
        <v>#N/A Authorization</v>
        <stp/>
        <stp>##V3_BDHV12</stp>
        <stp>RPAI US Equity</stp>
        <stp>F0578</stp>
        <stp>-60CQ</stp>
        <stp>2018/3/31</stp>
        <stp>[零售reit companeis.xlsx]ReferenceData!R595C6</stp>
        <stp>Per=CQ</stp>
        <stp>Dts=H</stp>
        <stp>Dir=H</stp>
        <stp>Points=60</stp>
        <stp>Sort=R</stp>
        <stp>Days=A</stp>
        <stp>Fill=B</stp>
        <stp>FX=USD</stp>
        <tr r="F595" s="3"/>
      </tp>
      <tp t="s">
        <v>#N/A Authorization</v>
        <stp/>
        <stp>##V3_BDHV12</stp>
        <stp>RPAI US Equity</stp>
        <stp>IS972</stp>
        <stp>-60CQ</stp>
        <stp>2018/3/31</stp>
        <stp>[零售reit companeis.xlsx]ReferenceData!R565C6</stp>
        <stp>Per=CQ</stp>
        <stp>Dts=H</stp>
        <stp>Dir=H</stp>
        <stp>Points=60</stp>
        <stp>Sort=R</stp>
        <stp>Days=A</stp>
        <stp>Fill=B</stp>
        <stp>FX=USD</stp>
        <tr r="F565" s="3"/>
      </tp>
      <tp t="s">
        <v>#N/A Authorization</v>
        <stp/>
        <stp>##V3_BDHV12</stp>
        <stp>RPAI US Equity</stp>
        <stp>RR263</stp>
        <stp>-60CQ</stp>
        <stp>2018/3/31</stp>
        <stp>[零售reit companeis.xlsx]ReferenceData!R760C6</stp>
        <stp>Per=CQ</stp>
        <stp>Dts=H</stp>
        <stp>Dir=H</stp>
        <stp>Points=60</stp>
        <stp>Sort=R</stp>
        <stp>Days=A</stp>
        <stp>Fill=B</stp>
        <stp>FX=USD</stp>
        <tr r="F760" s="3"/>
      </tp>
      <tp t="s">
        <v>#N/A Authorization</v>
        <stp/>
        <stp>##V3_BDHV12</stp>
        <stp>RPAI US Equity</stp>
        <stp>IS010</stp>
        <stp>-60CQ</stp>
        <stp>2018/3/31</stp>
        <stp>[零售reit companeis.xlsx]ReferenceData!R520C6</stp>
        <stp>Per=CQ</stp>
        <stp>Dts=H</stp>
        <stp>Dir=H</stp>
        <stp>Points=60</stp>
        <stp>Sort=R</stp>
        <stp>Days=A</stp>
        <stp>Fill=B</stp>
        <stp>FX=USD</stp>
        <tr r="F520" s="3"/>
      </tp>
      <tp t="s">
        <v>#N/A Authorization</v>
        <stp/>
        <stp>##V3_BDHV12</stp>
        <stp>ROIC US Equity</stp>
        <stp>BS189</stp>
        <stp>-60CQ</stp>
        <stp>2018/3/31</stp>
        <stp>[零售reit companeis.xlsx]ReferenceData!R446C6</stp>
        <stp>Per=CQ</stp>
        <stp>Dts=H</stp>
        <stp>Dir=H</stp>
        <stp>Points=60</stp>
        <stp>Sort=R</stp>
        <stp>Days=A</stp>
        <stp>Fill=B</stp>
        <stp>FX=USD</stp>
        <tr r="F446" s="3"/>
      </tp>
      <tp t="s">
        <v>#N/A Authorization</v>
        <stp/>
        <stp>##V3_BDHV12</stp>
        <stp>ROIC US Equity</stp>
        <stp>IM281</stp>
        <stp>-60CQ</stp>
        <stp>2018/3/31</stp>
        <stp>[零售reit companeis.xlsx]ReferenceData!R504C6</stp>
        <stp>Per=CQ</stp>
        <stp>Dts=H</stp>
        <stp>Dir=H</stp>
        <stp>Points=60</stp>
        <stp>Sort=R</stp>
        <stp>Days=A</stp>
        <stp>Fill=B</stp>
        <stp>FX=USD</stp>
        <tr r="F504" s="3"/>
      </tp>
      <tp t="s">
        <v>#N/A Authorization</v>
        <stp/>
        <stp>##V3_BDHV12</stp>
        <stp>RPAI US Equity</stp>
        <stp>RR008</stp>
        <stp>-60CQ</stp>
        <stp>2018/3/31</stp>
        <stp>[零售reit companeis.xlsx]ReferenceData!R805C6</stp>
        <stp>Per=CQ</stp>
        <stp>Dts=H</stp>
        <stp>Dir=H</stp>
        <stp>Points=60</stp>
        <stp>Sort=R</stp>
        <stp>Days=A</stp>
        <stp>Fill=B</stp>
        <stp>FX=USD</stp>
        <tr r="F805" s="3"/>
      </tp>
      <tp t="s">
        <v>#N/A Authorization</v>
        <stp/>
        <stp>##V3_BDHV12</stp>
        <stp>RPAI US Equity</stp>
        <stp>RR502</stp>
        <stp>-60CQ</stp>
        <stp>2018/3/31</stp>
        <stp>[零售reit companeis.xlsx]ReferenceData!R535C6</stp>
        <stp>Per=CQ</stp>
        <stp>Dts=H</stp>
        <stp>Dir=H</stp>
        <stp>Points=60</stp>
        <stp>Sort=R</stp>
        <stp>Days=A</stp>
        <stp>Fill=B</stp>
        <stp>FX=USD</stp>
        <tr r="F535" s="3"/>
      </tp>
      <tp t="s">
        <v>#N/A Authorization</v>
        <stp/>
        <stp>##V3_BDHV12</stp>
        <stp>RPAI US Equity</stp>
        <stp>RX902</stp>
        <stp>-60CQ</stp>
        <stp>2018/3/31</stp>
        <stp>[零售reit companeis.xlsx]ReferenceData!R670C6</stp>
        <stp>Per=CQ</stp>
        <stp>Dts=H</stp>
        <stp>Dir=H</stp>
        <stp>Points=60</stp>
        <stp>Sort=R</stp>
        <stp>Days=A</stp>
        <stp>Fill=B</stp>
        <stp>FX=USD</stp>
        <tr r="F670" s="3"/>
      </tp>
      <tp t="s">
        <v>#N/A Authorization</v>
        <stp/>
        <stp>##V3_BDHV12</stp>
        <stp>RPAI US Equity</stp>
        <stp>RR106</stp>
        <stp>-60CQ</stp>
        <stp>2018/3/31</stp>
        <stp>[零售reit companeis.xlsx]ReferenceData!R820C6</stp>
        <stp>Per=CQ</stp>
        <stp>Dts=H</stp>
        <stp>Dir=H</stp>
        <stp>Points=60</stp>
        <stp>Sort=R</stp>
        <stp>Days=A</stp>
        <stp>Fill=B</stp>
        <stp>FX=USD</stp>
        <tr r="F820" s="3"/>
      </tp>
      <tp t="s">
        <v>#N/A Authorization</v>
        <stp/>
        <stp>##V3_BDHV12</stp>
        <stp>RPAI US Equity</stp>
        <stp>RR009</stp>
        <stp>-60CQ</stp>
        <stp>2018/3/31</stp>
        <stp>[零售reit companeis.xlsx]ReferenceData!R550C6</stp>
        <stp>Per=CQ</stp>
        <stp>Dts=H</stp>
        <stp>Dir=H</stp>
        <stp>Points=60</stp>
        <stp>Sort=R</stp>
        <stp>Days=A</stp>
        <stp>Fill=B</stp>
        <stp>FX=USD</stp>
        <tr r="F550" s="3"/>
      </tp>
      <tp t="s">
        <v>#N/A Authorization</v>
        <stp/>
        <stp>##V3_BDHV12</stp>
        <stp>RPAI US Equity</stp>
        <stp>IS030</stp>
        <stp>-60CQ</stp>
        <stp>2018/3/31</stp>
        <stp>[零售reit companeis.xlsx]ReferenceData!R475C6</stp>
        <stp>Per=CQ</stp>
        <stp>Dts=H</stp>
        <stp>Dir=H</stp>
        <stp>Points=60</stp>
        <stp>Sort=R</stp>
        <stp>Days=A</stp>
        <stp>Fill=B</stp>
        <stp>FX=USD</stp>
        <tr r="F475" s="3"/>
      </tp>
      <tp t="s">
        <v>#N/A Authorization</v>
        <stp/>
        <stp>##V3_BDHV12</stp>
        <stp>RPAI US Equity</stp>
        <stp>CF039</stp>
        <stp>-60CQ</stp>
        <stp>2018/3/31</stp>
        <stp>[零售reit companeis.xlsx]ReferenceData!R580C6</stp>
        <stp>Per=CQ</stp>
        <stp>Dts=H</stp>
        <stp>Dir=H</stp>
        <stp>Points=60</stp>
        <stp>Sort=R</stp>
        <stp>Days=A</stp>
        <stp>Fill=B</stp>
        <stp>FX=USD</stp>
        <tr r="F580" s="3"/>
      </tp>
      <tp t="s">
        <v>#N/A Authorization</v>
        <stp/>
        <stp>##V3_BDHV12</stp>
        <stp>RPAI US Equity</stp>
        <stp>RR033</stp>
        <stp>-60CQ</stp>
        <stp>2018/3/31</stp>
        <stp>[零售reit companeis.xlsx]ReferenceData!R610C6</stp>
        <stp>Per=CQ</stp>
        <stp>Dts=H</stp>
        <stp>Dir=H</stp>
        <stp>Points=60</stp>
        <stp>Sort=R</stp>
        <stp>Days=A</stp>
        <stp>Fill=B</stp>
        <stp>FX=USD</stp>
        <tr r="F610" s="3"/>
      </tp>
      <tp t="s">
        <v>#N/A Authorization</v>
        <stp/>
        <stp>##V3_BDHV12</stp>
        <stp>RPAI US Equity</stp>
        <stp>RX225</stp>
        <stp>-60CQ</stp>
        <stp>2018/3/31</stp>
        <stp>[零售reit companeis.xlsx]ReferenceData!R655C6</stp>
        <stp>Per=CQ</stp>
        <stp>Dts=H</stp>
        <stp>Dir=H</stp>
        <stp>Points=60</stp>
        <stp>Sort=R</stp>
        <stp>Days=A</stp>
        <stp>Fill=B</stp>
        <stp>FX=USD</stp>
        <tr r="F655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M403"/>
  <sheetViews>
    <sheetView tabSelected="1" workbookViewId="0"/>
  </sheetViews>
  <sheetFormatPr defaultRowHeight="13.5"/>
  <cols>
    <col min="1" max="1" width="56.375" customWidth="1"/>
    <col min="2" max="2" width="15.75" customWidth="1"/>
    <col min="3" max="65" width="9.125" bestFit="1" customWidth="1"/>
  </cols>
  <sheetData>
    <row r="1" spans="1:65" ht="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t="str">
        <f>IFERROR(IF(0=LEN(ReferenceData!$A$2),"",ReferenceData!$A$2),"")</f>
        <v>简述</v>
      </c>
      <c r="B2" t="str">
        <f>IFERROR(IF(0=LEN(ReferenceData!$B$2),"",ReferenceData!$B$2),"")</f>
        <v>代码</v>
      </c>
      <c r="C2" t="str">
        <f>IFERROR(IF(0=LEN(ReferenceData!$C$2),"",ReferenceData!$C$2),"")</f>
        <v>栏目ID</v>
      </c>
      <c r="D2" t="str">
        <f>IFERROR(IF(0=LEN(ReferenceData!$D$2),"",ReferenceData!$D$2),"")</f>
        <v>栏目助记符</v>
      </c>
      <c r="E2" t="str">
        <f>IFERROR(IF(0=LEN(ReferenceData!$E$2),"",ReferenceData!$E$2),"")</f>
        <v>数据状态</v>
      </c>
      <c r="F2" t="str">
        <f>IFERROR(IF(0=LEN(ReferenceData!$F$2),"",ReferenceData!$F$2),"")</f>
        <v>2018 Q1</v>
      </c>
      <c r="G2" t="str">
        <f>IFERROR(IF(0=LEN(ReferenceData!$G$2),"",ReferenceData!$G$2),"")</f>
        <v>2017 Q4</v>
      </c>
      <c r="H2" t="str">
        <f>IFERROR(IF(0=LEN(ReferenceData!$H$2),"",ReferenceData!$H$2),"")</f>
        <v>2017 Q3</v>
      </c>
      <c r="I2" t="str">
        <f>IFERROR(IF(0=LEN(ReferenceData!$I$2),"",ReferenceData!$I$2),"")</f>
        <v>2017 Q2</v>
      </c>
      <c r="J2" t="str">
        <f>IFERROR(IF(0=LEN(ReferenceData!$J$2),"",ReferenceData!$J$2),"")</f>
        <v>2017 Q1</v>
      </c>
      <c r="K2" t="str">
        <f>IFERROR(IF(0=LEN(ReferenceData!$K$2),"",ReferenceData!$K$2),"")</f>
        <v>2016 Q4</v>
      </c>
      <c r="L2" t="str">
        <f>IFERROR(IF(0=LEN(ReferenceData!$L$2),"",ReferenceData!$L$2),"")</f>
        <v>2016 Q3</v>
      </c>
      <c r="M2" t="str">
        <f>IFERROR(IF(0=LEN(ReferenceData!$M$2),"",ReferenceData!$M$2),"")</f>
        <v>2016 Q2</v>
      </c>
      <c r="N2" t="str">
        <f>IFERROR(IF(0=LEN(ReferenceData!$N$2),"",ReferenceData!$N$2),"")</f>
        <v>2016 Q1</v>
      </c>
      <c r="O2" t="str">
        <f>IFERROR(IF(0=LEN(ReferenceData!$O$2),"",ReferenceData!$O$2),"")</f>
        <v>2015 Q4</v>
      </c>
      <c r="P2" t="str">
        <f>IFERROR(IF(0=LEN(ReferenceData!$P$2),"",ReferenceData!$P$2),"")</f>
        <v>2015 Q3</v>
      </c>
      <c r="Q2" t="str">
        <f>IFERROR(IF(0=LEN(ReferenceData!$Q$2),"",ReferenceData!$Q$2),"")</f>
        <v>2015 Q2</v>
      </c>
      <c r="R2" t="str">
        <f>IFERROR(IF(0=LEN(ReferenceData!$R$2),"",ReferenceData!$R$2),"")</f>
        <v>2015 Q1</v>
      </c>
      <c r="S2" t="str">
        <f>IFERROR(IF(0=LEN(ReferenceData!$S$2),"",ReferenceData!$S$2),"")</f>
        <v>2014 Q4</v>
      </c>
      <c r="T2" t="str">
        <f>IFERROR(IF(0=LEN(ReferenceData!$T$2),"",ReferenceData!$T$2),"")</f>
        <v>2014 Q3</v>
      </c>
      <c r="U2" t="str">
        <f>IFERROR(IF(0=LEN(ReferenceData!$U$2),"",ReferenceData!$U$2),"")</f>
        <v>2014 Q2</v>
      </c>
      <c r="V2" t="str">
        <f>IFERROR(IF(0=LEN(ReferenceData!$V$2),"",ReferenceData!$V$2),"")</f>
        <v>2014 Q1</v>
      </c>
      <c r="W2" t="str">
        <f>IFERROR(IF(0=LEN(ReferenceData!$W$2),"",ReferenceData!$W$2),"")</f>
        <v>2013 Q4</v>
      </c>
      <c r="X2" t="str">
        <f>IFERROR(IF(0=LEN(ReferenceData!$X$2),"",ReferenceData!$X$2),"")</f>
        <v>2013 Q3</v>
      </c>
      <c r="Y2" t="str">
        <f>IFERROR(IF(0=LEN(ReferenceData!$Y$2),"",ReferenceData!$Y$2),"")</f>
        <v>2013 Q2</v>
      </c>
      <c r="Z2" t="str">
        <f>IFERROR(IF(0=LEN(ReferenceData!$Z$2),"",ReferenceData!$Z$2),"")</f>
        <v>2013 Q1</v>
      </c>
      <c r="AA2" t="str">
        <f>IFERROR(IF(0=LEN(ReferenceData!$AA$2),"",ReferenceData!$AA$2),"")</f>
        <v>2012 Q4</v>
      </c>
      <c r="AB2" t="str">
        <f>IFERROR(IF(0=LEN(ReferenceData!$AB$2),"",ReferenceData!$AB$2),"")</f>
        <v>2012 Q3</v>
      </c>
      <c r="AC2" t="str">
        <f>IFERROR(IF(0=LEN(ReferenceData!$AC$2),"",ReferenceData!$AC$2),"")</f>
        <v>2012 Q2</v>
      </c>
      <c r="AD2" t="str">
        <f>IFERROR(IF(0=LEN(ReferenceData!$AD$2),"",ReferenceData!$AD$2),"")</f>
        <v>2012 Q1</v>
      </c>
      <c r="AE2" t="str">
        <f>IFERROR(IF(0=LEN(ReferenceData!$AE$2),"",ReferenceData!$AE$2),"")</f>
        <v>2011 Q4</v>
      </c>
      <c r="AF2" t="str">
        <f>IFERROR(IF(0=LEN(ReferenceData!$AF$2),"",ReferenceData!$AF$2),"")</f>
        <v>2011 Q3</v>
      </c>
      <c r="AG2" t="str">
        <f>IFERROR(IF(0=LEN(ReferenceData!$AG$2),"",ReferenceData!$AG$2),"")</f>
        <v>2011 Q2</v>
      </c>
      <c r="AH2" t="str">
        <f>IFERROR(IF(0=LEN(ReferenceData!$AH$2),"",ReferenceData!$AH$2),"")</f>
        <v>2011 Q1</v>
      </c>
      <c r="AI2" t="str">
        <f>IFERROR(IF(0=LEN(ReferenceData!$AI$2),"",ReferenceData!$AI$2),"")</f>
        <v>2010 Q4</v>
      </c>
      <c r="AJ2" t="str">
        <f>IFERROR(IF(0=LEN(ReferenceData!$AJ$2),"",ReferenceData!$AJ$2),"")</f>
        <v>2010 Q3</v>
      </c>
      <c r="AK2" t="str">
        <f>IFERROR(IF(0=LEN(ReferenceData!$AK$2),"",ReferenceData!$AK$2),"")</f>
        <v>2010 Q2</v>
      </c>
      <c r="AL2" t="str">
        <f>IFERROR(IF(0=LEN(ReferenceData!$AL$2),"",ReferenceData!$AL$2),"")</f>
        <v>2010 Q1</v>
      </c>
      <c r="AM2" t="str">
        <f>IFERROR(IF(0=LEN(ReferenceData!$AM$2),"",ReferenceData!$AM$2),"")</f>
        <v>2009 Q4</v>
      </c>
      <c r="AN2" t="str">
        <f>IFERROR(IF(0=LEN(ReferenceData!$AN$2),"",ReferenceData!$AN$2),"")</f>
        <v>2009 Q3</v>
      </c>
      <c r="AO2" t="str">
        <f>IFERROR(IF(0=LEN(ReferenceData!$AO$2),"",ReferenceData!$AO$2),"")</f>
        <v>2009 Q2</v>
      </c>
      <c r="AP2" t="str">
        <f>IFERROR(IF(0=LEN(ReferenceData!$AP$2),"",ReferenceData!$AP$2),"")</f>
        <v>2009 Q1</v>
      </c>
      <c r="AQ2" t="str">
        <f>IFERROR(IF(0=LEN(ReferenceData!$AQ$2),"",ReferenceData!$AQ$2),"")</f>
        <v>2008 Q4</v>
      </c>
      <c r="AR2" t="str">
        <f>IFERROR(IF(0=LEN(ReferenceData!$AR$2),"",ReferenceData!$AR$2),"")</f>
        <v>2008 Q3</v>
      </c>
      <c r="AS2" t="str">
        <f>IFERROR(IF(0=LEN(ReferenceData!$AS$2),"",ReferenceData!$AS$2),"")</f>
        <v>2008 Q2</v>
      </c>
      <c r="AT2" t="str">
        <f>IFERROR(IF(0=LEN(ReferenceData!$AT$2),"",ReferenceData!$AT$2),"")</f>
        <v>2008 Q1</v>
      </c>
      <c r="AU2" t="str">
        <f>IFERROR(IF(0=LEN(ReferenceData!$AU$2),"",ReferenceData!$AU$2),"")</f>
        <v>2007 Q4</v>
      </c>
      <c r="AV2" t="str">
        <f>IFERROR(IF(0=LEN(ReferenceData!$AV$2),"",ReferenceData!$AV$2),"")</f>
        <v>2007 Q3</v>
      </c>
      <c r="AW2" t="str">
        <f>IFERROR(IF(0=LEN(ReferenceData!$AW$2),"",ReferenceData!$AW$2),"")</f>
        <v>2007 Q2</v>
      </c>
      <c r="AX2" t="str">
        <f>IFERROR(IF(0=LEN(ReferenceData!$AX$2),"",ReferenceData!$AX$2),"")</f>
        <v>2007 Q1</v>
      </c>
      <c r="AY2" t="str">
        <f>IFERROR(IF(0=LEN(ReferenceData!$AY$2),"",ReferenceData!$AY$2),"")</f>
        <v>2006 Q4</v>
      </c>
      <c r="AZ2" t="str">
        <f>IFERROR(IF(0=LEN(ReferenceData!$AZ$2),"",ReferenceData!$AZ$2),"")</f>
        <v>2006 Q3</v>
      </c>
      <c r="BA2" t="str">
        <f>IFERROR(IF(0=LEN(ReferenceData!$BA$2),"",ReferenceData!$BA$2),"")</f>
        <v>2006 Q2</v>
      </c>
      <c r="BB2" t="str">
        <f>IFERROR(IF(0=LEN(ReferenceData!$BB$2),"",ReferenceData!$BB$2),"")</f>
        <v>2006 Q1</v>
      </c>
      <c r="BC2" t="str">
        <f>IFERROR(IF(0=LEN(ReferenceData!$BC$2),"",ReferenceData!$BC$2),"")</f>
        <v>2005 Q4</v>
      </c>
      <c r="BD2" t="str">
        <f>IFERROR(IF(0=LEN(ReferenceData!$BD$2),"",ReferenceData!$BD$2),"")</f>
        <v>2005 Q3</v>
      </c>
      <c r="BE2" t="str">
        <f>IFERROR(IF(0=LEN(ReferenceData!$BE$2),"",ReferenceData!$BE$2),"")</f>
        <v>2005 Q2</v>
      </c>
      <c r="BF2" t="str">
        <f>IFERROR(IF(0=LEN(ReferenceData!$BF$2),"",ReferenceData!$BF$2),"")</f>
        <v>2005 Q1</v>
      </c>
      <c r="BG2" t="str">
        <f>IFERROR(IF(0=LEN(ReferenceData!$BG$2),"",ReferenceData!$BG$2),"")</f>
        <v>2004 Q4</v>
      </c>
      <c r="BH2" t="str">
        <f>IFERROR(IF(0=LEN(ReferenceData!$BH$2),"",ReferenceData!$BH$2),"")</f>
        <v>2004 Q3</v>
      </c>
      <c r="BI2" t="str">
        <f>IFERROR(IF(0=LEN(ReferenceData!$BI$2),"",ReferenceData!$BI$2),"")</f>
        <v>2004 Q2</v>
      </c>
      <c r="BJ2" t="str">
        <f>IFERROR(IF(0=LEN(ReferenceData!$BJ$2),"",ReferenceData!$BJ$2),"")</f>
        <v>2004 Q1</v>
      </c>
      <c r="BK2" t="str">
        <f>IFERROR(IF(0=LEN(ReferenceData!$BK$2),"",ReferenceData!$BK$2),"")</f>
        <v>2003 Q4</v>
      </c>
      <c r="BL2" t="str">
        <f>IFERROR(IF(0=LEN(ReferenceData!$BL$2),"",ReferenceData!$BL$2),"")</f>
        <v>2003 Q3</v>
      </c>
      <c r="BM2" t="str">
        <f>IFERROR(IF(0=LEN(ReferenceData!$BM$2),"",ReferenceData!$BM$2),"")</f>
        <v>2003 Q2</v>
      </c>
    </row>
    <row r="3" spans="1:65">
      <c r="A3" t="str">
        <f>IFERROR(IF(0=LEN(ReferenceData!$A$3),"",ReferenceData!$A$3),"")</f>
        <v>盈利摘要</v>
      </c>
      <c r="B3" t="str">
        <f>IFERROR(IF(0=LEN(ReferenceData!$B$3),"",ReferenceData!$B$3),"")</f>
        <v/>
      </c>
      <c r="C3" t="str">
        <f>IFERROR(IF(0=LEN(ReferenceData!$C$3),"",ReferenceData!$C$3),"")</f>
        <v/>
      </c>
      <c r="D3" t="str">
        <f>IFERROR(IF(0=LEN(ReferenceData!$D$3),"",ReferenceData!$D$3),"")</f>
        <v/>
      </c>
      <c r="E3" t="str">
        <f>IFERROR(IF(0=LEN(ReferenceData!$E$3),"",ReferenceData!$E$3),"")</f>
        <v>标题</v>
      </c>
      <c r="F3" t="str">
        <f>IFERROR(IF(0=LEN(ReferenceData!$F$3),"",ReferenceData!$F$3),"")</f>
        <v/>
      </c>
      <c r="G3" t="str">
        <f>IFERROR(IF(0=LEN(ReferenceData!$G$3),"",ReferenceData!$G$3),"")</f>
        <v/>
      </c>
      <c r="H3" t="str">
        <f>IFERROR(IF(0=LEN(ReferenceData!$H$3),"",ReferenceData!$H$3),"")</f>
        <v/>
      </c>
      <c r="I3" t="str">
        <f>IFERROR(IF(0=LEN(ReferenceData!$I$3),"",ReferenceData!$I$3),"")</f>
        <v/>
      </c>
      <c r="J3" t="str">
        <f>IFERROR(IF(0=LEN(ReferenceData!$J$3),"",ReferenceData!$J$3),"")</f>
        <v/>
      </c>
      <c r="K3" t="str">
        <f>IFERROR(IF(0=LEN(ReferenceData!$K$3),"",ReferenceData!$K$3),"")</f>
        <v/>
      </c>
      <c r="L3" t="str">
        <f>IFERROR(IF(0=LEN(ReferenceData!$L$3),"",ReferenceData!$L$3),"")</f>
        <v/>
      </c>
      <c r="M3" t="str">
        <f>IFERROR(IF(0=LEN(ReferenceData!$M$3),"",ReferenceData!$M$3),"")</f>
        <v/>
      </c>
      <c r="N3" t="str">
        <f>IFERROR(IF(0=LEN(ReferenceData!$N$3),"",ReferenceData!$N$3),"")</f>
        <v/>
      </c>
      <c r="O3" t="str">
        <f>IFERROR(IF(0=LEN(ReferenceData!$O$3),"",ReferenceData!$O$3),"")</f>
        <v/>
      </c>
      <c r="P3" t="str">
        <f>IFERROR(IF(0=LEN(ReferenceData!$P$3),"",ReferenceData!$P$3),"")</f>
        <v/>
      </c>
      <c r="Q3" t="str">
        <f>IFERROR(IF(0=LEN(ReferenceData!$Q$3),"",ReferenceData!$Q$3),"")</f>
        <v/>
      </c>
      <c r="R3" t="str">
        <f>IFERROR(IF(0=LEN(ReferenceData!$R$3),"",ReferenceData!$R$3),"")</f>
        <v/>
      </c>
      <c r="S3" t="str">
        <f>IFERROR(IF(0=LEN(ReferenceData!$S$3),"",ReferenceData!$S$3),"")</f>
        <v/>
      </c>
      <c r="T3" t="str">
        <f>IFERROR(IF(0=LEN(ReferenceData!$T$3),"",ReferenceData!$T$3),"")</f>
        <v/>
      </c>
      <c r="U3" t="str">
        <f>IFERROR(IF(0=LEN(ReferenceData!$U$3),"",ReferenceData!$U$3),"")</f>
        <v/>
      </c>
      <c r="V3" t="str">
        <f>IFERROR(IF(0=LEN(ReferenceData!$V$3),"",ReferenceData!$V$3),"")</f>
        <v/>
      </c>
      <c r="W3" t="str">
        <f>IFERROR(IF(0=LEN(ReferenceData!$W$3),"",ReferenceData!$W$3),"")</f>
        <v/>
      </c>
      <c r="X3" t="str">
        <f>IFERROR(IF(0=LEN(ReferenceData!$X$3),"",ReferenceData!$X$3),"")</f>
        <v/>
      </c>
      <c r="Y3" t="str">
        <f>IFERROR(IF(0=LEN(ReferenceData!$Y$3),"",ReferenceData!$Y$3),"")</f>
        <v/>
      </c>
      <c r="Z3" t="str">
        <f>IFERROR(IF(0=LEN(ReferenceData!$Z$3),"",ReferenceData!$Z$3),"")</f>
        <v/>
      </c>
      <c r="AA3" t="str">
        <f>IFERROR(IF(0=LEN(ReferenceData!$AA$3),"",ReferenceData!$AA$3),"")</f>
        <v/>
      </c>
      <c r="AB3" t="str">
        <f>IFERROR(IF(0=LEN(ReferenceData!$AB$3),"",ReferenceData!$AB$3),"")</f>
        <v/>
      </c>
      <c r="AC3" t="str">
        <f>IFERROR(IF(0=LEN(ReferenceData!$AC$3),"",ReferenceData!$AC$3),"")</f>
        <v/>
      </c>
      <c r="AD3" t="str">
        <f>IFERROR(IF(0=LEN(ReferenceData!$AD$3),"",ReferenceData!$AD$3),"")</f>
        <v/>
      </c>
      <c r="AE3" t="str">
        <f>IFERROR(IF(0=LEN(ReferenceData!$AE$3),"",ReferenceData!$AE$3),"")</f>
        <v/>
      </c>
      <c r="AF3" t="str">
        <f>IFERROR(IF(0=LEN(ReferenceData!$AF$3),"",ReferenceData!$AF$3),"")</f>
        <v/>
      </c>
      <c r="AG3" t="str">
        <f>IFERROR(IF(0=LEN(ReferenceData!$AG$3),"",ReferenceData!$AG$3),"")</f>
        <v/>
      </c>
      <c r="AH3" t="str">
        <f>IFERROR(IF(0=LEN(ReferenceData!$AH$3),"",ReferenceData!$AH$3),"")</f>
        <v/>
      </c>
      <c r="AI3" t="str">
        <f>IFERROR(IF(0=LEN(ReferenceData!$AI$3),"",ReferenceData!$AI$3),"")</f>
        <v/>
      </c>
      <c r="AJ3" t="str">
        <f>IFERROR(IF(0=LEN(ReferenceData!$AJ$3),"",ReferenceData!$AJ$3),"")</f>
        <v/>
      </c>
      <c r="AK3" t="str">
        <f>IFERROR(IF(0=LEN(ReferenceData!$AK$3),"",ReferenceData!$AK$3),"")</f>
        <v/>
      </c>
      <c r="AL3" t="str">
        <f>IFERROR(IF(0=LEN(ReferenceData!$AL$3),"",ReferenceData!$AL$3),"")</f>
        <v/>
      </c>
      <c r="AM3" t="str">
        <f>IFERROR(IF(0=LEN(ReferenceData!$AM$3),"",ReferenceData!$AM$3),"")</f>
        <v/>
      </c>
      <c r="AN3" t="str">
        <f>IFERROR(IF(0=LEN(ReferenceData!$AN$3),"",ReferenceData!$AN$3),"")</f>
        <v/>
      </c>
      <c r="AO3" t="str">
        <f>IFERROR(IF(0=LEN(ReferenceData!$AO$3),"",ReferenceData!$AO$3),"")</f>
        <v/>
      </c>
      <c r="AP3" t="str">
        <f>IFERROR(IF(0=LEN(ReferenceData!$AP$3),"",ReferenceData!$AP$3),"")</f>
        <v/>
      </c>
      <c r="AQ3" t="str">
        <f>IFERROR(IF(0=LEN(ReferenceData!$AQ$3),"",ReferenceData!$AQ$3),"")</f>
        <v/>
      </c>
      <c r="AR3" t="str">
        <f>IFERROR(IF(0=LEN(ReferenceData!$AR$3),"",ReferenceData!$AR$3),"")</f>
        <v/>
      </c>
      <c r="AS3" t="str">
        <f>IFERROR(IF(0=LEN(ReferenceData!$AS$3),"",ReferenceData!$AS$3),"")</f>
        <v/>
      </c>
      <c r="AT3" t="str">
        <f>IFERROR(IF(0=LEN(ReferenceData!$AT$3),"",ReferenceData!$AT$3),"")</f>
        <v/>
      </c>
      <c r="AU3" t="str">
        <f>IFERROR(IF(0=LEN(ReferenceData!$AU$3),"",ReferenceData!$AU$3),"")</f>
        <v/>
      </c>
      <c r="AV3" t="str">
        <f>IFERROR(IF(0=LEN(ReferenceData!$AV$3),"",ReferenceData!$AV$3),"")</f>
        <v/>
      </c>
      <c r="AW3" t="str">
        <f>IFERROR(IF(0=LEN(ReferenceData!$AW$3),"",ReferenceData!$AW$3),"")</f>
        <v/>
      </c>
      <c r="AX3" t="str">
        <f>IFERROR(IF(0=LEN(ReferenceData!$AX$3),"",ReferenceData!$AX$3),"")</f>
        <v/>
      </c>
      <c r="AY3" t="str">
        <f>IFERROR(IF(0=LEN(ReferenceData!$AY$3),"",ReferenceData!$AY$3),"")</f>
        <v/>
      </c>
      <c r="AZ3" t="str">
        <f>IFERROR(IF(0=LEN(ReferenceData!$AZ$3),"",ReferenceData!$AZ$3),"")</f>
        <v/>
      </c>
      <c r="BA3" t="str">
        <f>IFERROR(IF(0=LEN(ReferenceData!$BA$3),"",ReferenceData!$BA$3),"")</f>
        <v/>
      </c>
      <c r="BB3" t="str">
        <f>IFERROR(IF(0=LEN(ReferenceData!$BB$3),"",ReferenceData!$BB$3),"")</f>
        <v/>
      </c>
      <c r="BC3" t="str">
        <f>IFERROR(IF(0=LEN(ReferenceData!$BC$3),"",ReferenceData!$BC$3),"")</f>
        <v/>
      </c>
      <c r="BD3" t="str">
        <f>IFERROR(IF(0=LEN(ReferenceData!$BD$3),"",ReferenceData!$BD$3),"")</f>
        <v/>
      </c>
      <c r="BE3" t="str">
        <f>IFERROR(IF(0=LEN(ReferenceData!$BE$3),"",ReferenceData!$BE$3),"")</f>
        <v/>
      </c>
      <c r="BF3" t="str">
        <f>IFERROR(IF(0=LEN(ReferenceData!$BF$3),"",ReferenceData!$BF$3),"")</f>
        <v/>
      </c>
      <c r="BG3" t="str">
        <f>IFERROR(IF(0=LEN(ReferenceData!$BG$3),"",ReferenceData!$BG$3),"")</f>
        <v/>
      </c>
      <c r="BH3" t="str">
        <f>IFERROR(IF(0=LEN(ReferenceData!$BH$3),"",ReferenceData!$BH$3),"")</f>
        <v/>
      </c>
      <c r="BI3" t="str">
        <f>IFERROR(IF(0=LEN(ReferenceData!$BI$3),"",ReferenceData!$BI$3),"")</f>
        <v/>
      </c>
      <c r="BJ3" t="str">
        <f>IFERROR(IF(0=LEN(ReferenceData!$BJ$3),"",ReferenceData!$BJ$3),"")</f>
        <v/>
      </c>
      <c r="BK3" t="str">
        <f>IFERROR(IF(0=LEN(ReferenceData!$BK$3),"",ReferenceData!$BK$3),"")</f>
        <v/>
      </c>
      <c r="BL3" t="str">
        <f>IFERROR(IF(0=LEN(ReferenceData!$BL$3),"",ReferenceData!$BL$3),"")</f>
        <v/>
      </c>
      <c r="BM3" t="str">
        <f>IFERROR(IF(0=LEN(ReferenceData!$BM$3),"",ReferenceData!$BM$3),"")</f>
        <v/>
      </c>
    </row>
    <row r="4" spans="1:65">
      <c r="A4" t="str">
        <f>IFERROR(IF(0=LEN(ReferenceData!$A$4),"",ReferenceData!$A$4),"")</f>
        <v>租赁收入</v>
      </c>
      <c r="B4" t="str">
        <f>IFERROR(IF(0=LEN(ReferenceData!$B$4),"",ReferenceData!$B$4),"")</f>
        <v/>
      </c>
      <c r="C4" t="str">
        <f>IFERROR(IF(0=LEN(ReferenceData!$C$4),"",ReferenceData!$C$4),"")</f>
        <v/>
      </c>
      <c r="D4" t="str">
        <f>IFERROR(IF(0=LEN(ReferenceData!$D$4),"",ReferenceData!$D$4),"")</f>
        <v/>
      </c>
      <c r="E4" t="str">
        <f>IFERROR(IF(0=LEN(ReferenceData!$E$4),"",ReferenceData!$E$4),"")</f>
        <v>Median</v>
      </c>
      <c r="F4" t="str">
        <f ca="1">IFERROR(IF(0=LEN(ReferenceData!$F$4),"",ReferenceData!$F$4),"")</f>
        <v/>
      </c>
      <c r="G4">
        <f ca="1">IFERROR(IF(0=LEN(ReferenceData!$G$4),"",ReferenceData!$G$4),"")</f>
        <v>220.72</v>
      </c>
      <c r="H4">
        <f ca="1">IFERROR(IF(0=LEN(ReferenceData!$H$4),"",ReferenceData!$H$4),"")</f>
        <v>212.048</v>
      </c>
      <c r="I4">
        <f ca="1">IFERROR(IF(0=LEN(ReferenceData!$I$4),"",ReferenceData!$I$4),"")</f>
        <v>222.07900000000001</v>
      </c>
      <c r="J4">
        <f ca="1">IFERROR(IF(0=LEN(ReferenceData!$J$4),"",ReferenceData!$J$4),"")</f>
        <v>204.447</v>
      </c>
      <c r="K4">
        <f ca="1">IFERROR(IF(0=LEN(ReferenceData!$K$4),"",ReferenceData!$K$4),"")</f>
        <v>217.785</v>
      </c>
      <c r="L4">
        <f ca="1">IFERROR(IF(0=LEN(ReferenceData!$L$4),"",ReferenceData!$L$4),"")</f>
        <v>209.922</v>
      </c>
      <c r="M4">
        <f ca="1">IFERROR(IF(0=LEN(ReferenceData!$M$4),"",ReferenceData!$M$4),"")</f>
        <v>205.738</v>
      </c>
      <c r="N4">
        <f ca="1">IFERROR(IF(0=LEN(ReferenceData!$N$4),"",ReferenceData!$N$4),"")</f>
        <v>210.03100000000001</v>
      </c>
      <c r="O4">
        <f ca="1">IFERROR(IF(0=LEN(ReferenceData!$O$4),"",ReferenceData!$O$4),"")</f>
        <v>229.37700000000001</v>
      </c>
      <c r="P4">
        <f ca="1">IFERROR(IF(0=LEN(ReferenceData!$P$4),"",ReferenceData!$P$4),"")</f>
        <v>216.739</v>
      </c>
      <c r="Q4">
        <f ca="1">IFERROR(IF(0=LEN(ReferenceData!$Q$4),"",ReferenceData!$Q$4),"")</f>
        <v>237.52799999999999</v>
      </c>
      <c r="R4">
        <f ca="1">IFERROR(IF(0=LEN(ReferenceData!$R$4),"",ReferenceData!$R$4),"")</f>
        <v>237.71799999999999</v>
      </c>
      <c r="S4">
        <f ca="1">IFERROR(IF(0=LEN(ReferenceData!$S$4),"",ReferenceData!$S$4),"")</f>
        <v>177.298</v>
      </c>
      <c r="T4">
        <f ca="1">IFERROR(IF(0=LEN(ReferenceData!$T$4),"",ReferenceData!$T$4),"")</f>
        <v>167.684</v>
      </c>
      <c r="U4">
        <f ca="1">IFERROR(IF(0=LEN(ReferenceData!$U$4),"",ReferenceData!$U$4),"")</f>
        <v>162.38300000000001</v>
      </c>
      <c r="V4">
        <f ca="1">IFERROR(IF(0=LEN(ReferenceData!$V$4),"",ReferenceData!$V$4),"")</f>
        <v>166.19300000000001</v>
      </c>
      <c r="W4">
        <f ca="1">IFERROR(IF(0=LEN(ReferenceData!$W$4),"",ReferenceData!$W$4),"")</f>
        <v>150.75049999999999</v>
      </c>
      <c r="X4">
        <f ca="1">IFERROR(IF(0=LEN(ReferenceData!$X$4),"",ReferenceData!$X$4),"")</f>
        <v>144.21549999999999</v>
      </c>
      <c r="Y4">
        <f ca="1">IFERROR(IF(0=LEN(ReferenceData!$Y$4),"",ReferenceData!$Y$4),"")</f>
        <v>141.58199999999999</v>
      </c>
      <c r="Z4">
        <f ca="1">IFERROR(IF(0=LEN(ReferenceData!$Z$4),"",ReferenceData!$Z$4),"")</f>
        <v>141.1165</v>
      </c>
      <c r="AA4">
        <f ca="1">IFERROR(IF(0=LEN(ReferenceData!$AA$4),"",ReferenceData!$AA$4),"")</f>
        <v>132.57849999999999</v>
      </c>
      <c r="AB4">
        <f ca="1">IFERROR(IF(0=LEN(ReferenceData!$AB$4),"",ReferenceData!$AB$4),"")</f>
        <v>128.05099999999999</v>
      </c>
      <c r="AC4">
        <f ca="1">IFERROR(IF(0=LEN(ReferenceData!$AC$4),"",ReferenceData!$AC$4),"")</f>
        <v>128.238</v>
      </c>
      <c r="AD4">
        <f ca="1">IFERROR(IF(0=LEN(ReferenceData!$AD$4),"",ReferenceData!$AD$4),"")</f>
        <v>129.62049999999999</v>
      </c>
      <c r="AE4">
        <f ca="1">IFERROR(IF(0=LEN(ReferenceData!$AE$4),"",ReferenceData!$AE$4),"")</f>
        <v>116.752</v>
      </c>
      <c r="AF4">
        <f ca="1">IFERROR(IF(0=LEN(ReferenceData!$AF$4),"",ReferenceData!$AF$4),"")</f>
        <v>119.746</v>
      </c>
      <c r="AG4">
        <f ca="1">IFERROR(IF(0=LEN(ReferenceData!$AG$4),"",ReferenceData!$AG$4),"")</f>
        <v>117.843</v>
      </c>
      <c r="AH4">
        <f ca="1">IFERROR(IF(0=LEN(ReferenceData!$AH$4),"",ReferenceData!$AH$4),"")</f>
        <v>116.47</v>
      </c>
      <c r="AI4">
        <f ca="1">IFERROR(IF(0=LEN(ReferenceData!$AI$4),"",ReferenceData!$AI$4),"")</f>
        <v>132.25450000000001</v>
      </c>
      <c r="AJ4">
        <f ca="1">IFERROR(IF(0=LEN(ReferenceData!$AJ$4),"",ReferenceData!$AJ$4),"")</f>
        <v>129.6635</v>
      </c>
      <c r="AK4">
        <f ca="1">IFERROR(IF(0=LEN(ReferenceData!$AK$4),"",ReferenceData!$AK$4),"")</f>
        <v>129.636</v>
      </c>
      <c r="AL4">
        <f ca="1">IFERROR(IF(0=LEN(ReferenceData!$AL$4),"",ReferenceData!$AL$4),"")</f>
        <v>124.2475</v>
      </c>
      <c r="AM4">
        <f ca="1">IFERROR(IF(0=LEN(ReferenceData!$AM$4),"",ReferenceData!$AM$4),"")</f>
        <v>135.01350000000002</v>
      </c>
      <c r="AN4">
        <f ca="1">IFERROR(IF(0=LEN(ReferenceData!$AN$4),"",ReferenceData!$AN$4),"")</f>
        <v>138.17500000000001</v>
      </c>
      <c r="AO4">
        <f ca="1">IFERROR(IF(0=LEN(ReferenceData!$AO$4),"",ReferenceData!$AO$4),"")</f>
        <v>132.578</v>
      </c>
      <c r="AP4">
        <f ca="1">IFERROR(IF(0=LEN(ReferenceData!$AP$4),"",ReferenceData!$AP$4),"")</f>
        <v>133.773</v>
      </c>
      <c r="AQ4">
        <f ca="1">IFERROR(IF(0=LEN(ReferenceData!$AQ$4),"",ReferenceData!$AQ$4),"")</f>
        <v>136.22899999999998</v>
      </c>
      <c r="AR4">
        <f ca="1">IFERROR(IF(0=LEN(ReferenceData!$AR$4),"",ReferenceData!$AR$4),"")</f>
        <v>138.15949999999998</v>
      </c>
      <c r="AS4">
        <f ca="1">IFERROR(IF(0=LEN(ReferenceData!$AS$4),"",ReferenceData!$AS$4),"")</f>
        <v>135.93049999999999</v>
      </c>
      <c r="AT4">
        <f ca="1">IFERROR(IF(0=LEN(ReferenceData!$AT$4),"",ReferenceData!$AT$4),"")</f>
        <v>135.32599999999999</v>
      </c>
      <c r="AU4">
        <f ca="1">IFERROR(IF(0=LEN(ReferenceData!$AU$4),"",ReferenceData!$AU$4),"")</f>
        <v>134.5205</v>
      </c>
      <c r="AV4">
        <f ca="1">IFERROR(IF(0=LEN(ReferenceData!$AV$4),"",ReferenceData!$AV$4),"")</f>
        <v>133.09399999999999</v>
      </c>
      <c r="AW4">
        <f ca="1">IFERROR(IF(0=LEN(ReferenceData!$AW$4),"",ReferenceData!$AW$4),"")</f>
        <v>127.167</v>
      </c>
      <c r="AX4">
        <f ca="1">IFERROR(IF(0=LEN(ReferenceData!$AX$4),"",ReferenceData!$AX$4),"")</f>
        <v>126.21550000000001</v>
      </c>
      <c r="AY4">
        <f ca="1">IFERROR(IF(0=LEN(ReferenceData!$AY$4),"",ReferenceData!$AY$4),"")</f>
        <v>120.28949999999999</v>
      </c>
      <c r="AZ4">
        <f ca="1">IFERROR(IF(0=LEN(ReferenceData!$AZ$4),"",ReferenceData!$AZ$4),"")</f>
        <v>123.56</v>
      </c>
      <c r="BA4">
        <f ca="1">IFERROR(IF(0=LEN(ReferenceData!$BA$4),"",ReferenceData!$BA$4),"")</f>
        <v>118.01849999999999</v>
      </c>
      <c r="BB4">
        <f ca="1">IFERROR(IF(0=LEN(ReferenceData!$BB$4),"",ReferenceData!$BB$4),"")</f>
        <v>117.0245</v>
      </c>
      <c r="BC4">
        <f ca="1">IFERROR(IF(0=LEN(ReferenceData!$BC$4),"",ReferenceData!$BC$4),"")</f>
        <v>109.22499999999999</v>
      </c>
      <c r="BD4">
        <f ca="1">IFERROR(IF(0=LEN(ReferenceData!$BD$4),"",ReferenceData!$BD$4),"")</f>
        <v>113.76</v>
      </c>
      <c r="BE4">
        <f ca="1">IFERROR(IF(0=LEN(ReferenceData!$BE$4),"",ReferenceData!$BE$4),"")</f>
        <v>110.79300000000001</v>
      </c>
      <c r="BF4">
        <f ca="1">IFERROR(IF(0=LEN(ReferenceData!$BF$4),"",ReferenceData!$BF$4),"")</f>
        <v>113.51650000000001</v>
      </c>
      <c r="BG4">
        <f ca="1">IFERROR(IF(0=LEN(ReferenceData!$BG$4),"",ReferenceData!$BG$4),"")</f>
        <v>110.30600000000001</v>
      </c>
      <c r="BH4">
        <f ca="1">IFERROR(IF(0=LEN(ReferenceData!$BH$4),"",ReferenceData!$BH$4),"")</f>
        <v>108.967</v>
      </c>
      <c r="BI4">
        <f ca="1">IFERROR(IF(0=LEN(ReferenceData!$BI$4),"",ReferenceData!$BI$4),"")</f>
        <v>105.9234998</v>
      </c>
      <c r="BJ4">
        <f ca="1">IFERROR(IF(0=LEN(ReferenceData!$BJ$4),"",ReferenceData!$BJ$4),"")</f>
        <v>101.908502</v>
      </c>
      <c r="BK4">
        <f ca="1">IFERROR(IF(0=LEN(ReferenceData!$BK$4),"",ReferenceData!$BK$4),"")</f>
        <v>100.5359995</v>
      </c>
      <c r="BL4">
        <f ca="1">IFERROR(IF(0=LEN(ReferenceData!$BL$4),"",ReferenceData!$BL$4),"")</f>
        <v>94.974998499999998</v>
      </c>
      <c r="BM4">
        <f ca="1">IFERROR(IF(0=LEN(ReferenceData!$BM$4),"",ReferenceData!$BM$4),"")</f>
        <v>93.577999000000005</v>
      </c>
    </row>
    <row r="5" spans="1:65">
      <c r="A5" t="str">
        <f>IFERROR(IF(0=LEN(ReferenceData!$A$5),"",ReferenceData!$A$5),"")</f>
        <v xml:space="preserve">    Brixmor Property Group Inc</v>
      </c>
      <c r="B5" t="str">
        <f>IFERROR(IF(0=LEN(ReferenceData!$B$5),"",ReferenceData!$B$5),"")</f>
        <v>BRX US Equity</v>
      </c>
      <c r="C5" t="str">
        <f>IFERROR(IF(0=LEN(ReferenceData!$C$5),"",ReferenceData!$C$5),"")</f>
        <v>IS030</v>
      </c>
      <c r="D5" t="str">
        <f>IFERROR(IF(0=LEN(ReferenceData!$D$5),"",ReferenceData!$D$5),"")</f>
        <v>IS_RENT_INC</v>
      </c>
      <c r="E5" t="str">
        <f>IFERROR(IF(0=LEN(ReferenceData!$E$5),"",ReferenceData!$E$5),"")</f>
        <v>动态</v>
      </c>
      <c r="F5" t="str">
        <f ca="1">IFERROR(IF(0=LEN(ReferenceData!$F$5),"",ReferenceData!$F$5),"")</f>
        <v/>
      </c>
      <c r="G5">
        <f ca="1">IFERROR(IF(0=LEN(ReferenceData!$G$5),"",ReferenceData!$G$5),"")</f>
        <v>319.03100000000001</v>
      </c>
      <c r="H5">
        <f ca="1">IFERROR(IF(0=LEN(ReferenceData!$H$5),"",ReferenceData!$H$5),"")</f>
        <v>313.06700000000001</v>
      </c>
      <c r="I5">
        <f ca="1">IFERROR(IF(0=LEN(ReferenceData!$I$5),"",ReferenceData!$I$5),"")</f>
        <v>320.81599999999997</v>
      </c>
      <c r="J5">
        <f ca="1">IFERROR(IF(0=LEN(ReferenceData!$J$5),"",ReferenceData!$J$5),"")</f>
        <v>322.81099999999998</v>
      </c>
      <c r="K5">
        <f ca="1">IFERROR(IF(0=LEN(ReferenceData!$K$5),"",ReferenceData!$K$5),"")</f>
        <v>323.142</v>
      </c>
      <c r="L5">
        <f ca="1">IFERROR(IF(0=LEN(ReferenceData!$L$5),"",ReferenceData!$L$5),"")</f>
        <v>317.32799999999997</v>
      </c>
      <c r="M5">
        <f ca="1">IFERROR(IF(0=LEN(ReferenceData!$M$5),"",ReferenceData!$M$5),"")</f>
        <v>307.33800000000002</v>
      </c>
      <c r="N5">
        <f ca="1">IFERROR(IF(0=LEN(ReferenceData!$N$5),"",ReferenceData!$N$5),"")</f>
        <v>320.858</v>
      </c>
      <c r="O5">
        <f ca="1">IFERROR(IF(0=LEN(ReferenceData!$O$5),"",ReferenceData!$O$5),"")</f>
        <v>326.58100000000002</v>
      </c>
      <c r="P5">
        <f ca="1">IFERROR(IF(0=LEN(ReferenceData!$P$5),"",ReferenceData!$P$5),"")</f>
        <v>311.13299999999998</v>
      </c>
      <c r="Q5">
        <f ca="1">IFERROR(IF(0=LEN(ReferenceData!$Q$5),"",ReferenceData!$Q$5),"")</f>
        <v>309.54199999999997</v>
      </c>
      <c r="R5">
        <f ca="1">IFERROR(IF(0=LEN(ReferenceData!$R$5),"",ReferenceData!$R$5),"")</f>
        <v>313.32400000000001</v>
      </c>
      <c r="S5">
        <f ca="1">IFERROR(IF(0=LEN(ReferenceData!$S$5),"",ReferenceData!$S$5),"")</f>
        <v>313.04599999999999</v>
      </c>
      <c r="T5">
        <f ca="1">IFERROR(IF(0=LEN(ReferenceData!$T$5),"",ReferenceData!$T$5),"")</f>
        <v>304.29899999999998</v>
      </c>
      <c r="U5">
        <f ca="1">IFERROR(IF(0=LEN(ReferenceData!$U$5),"",ReferenceData!$U$5),"")</f>
        <v>305.642</v>
      </c>
      <c r="V5">
        <f ca="1">IFERROR(IF(0=LEN(ReferenceData!$V$5),"",ReferenceData!$V$5),"")</f>
        <v>305.762</v>
      </c>
      <c r="W5">
        <f ca="1">IFERROR(IF(0=LEN(ReferenceData!$W$5),"",ReferenceData!$W$5),"")</f>
        <v>297.01400000000001</v>
      </c>
      <c r="X5">
        <f ca="1">IFERROR(IF(0=LEN(ReferenceData!$X$5),"",ReferenceData!$X$5),"")</f>
        <v>283.84399999999999</v>
      </c>
      <c r="Y5">
        <f ca="1">IFERROR(IF(0=LEN(ReferenceData!$Y$5),"",ReferenceData!$Y$5),"")</f>
        <v>275.60700000000003</v>
      </c>
      <c r="Z5">
        <f ca="1">IFERROR(IF(0=LEN(ReferenceData!$Z$5),"",ReferenceData!$Z$5),"")</f>
        <v>274.161</v>
      </c>
      <c r="AA5">
        <f ca="1">IFERROR(IF(0=LEN(ReferenceData!$AA$5),"",ReferenceData!$AA$5),"")</f>
        <v>282.61200000000002</v>
      </c>
      <c r="AB5">
        <f ca="1">IFERROR(IF(0=LEN(ReferenceData!$AB$5),"",ReferenceData!$AB$5),"")</f>
        <v>277.99700000000001</v>
      </c>
      <c r="AC5">
        <f ca="1">IFERROR(IF(0=LEN(ReferenceData!$AC$5),"",ReferenceData!$AC$5),"")</f>
        <v>274.15100000000001</v>
      </c>
      <c r="AD5">
        <f ca="1">IFERROR(IF(0=LEN(ReferenceData!$AD$5),"",ReferenceData!$AD$5),"")</f>
        <v>277.048</v>
      </c>
      <c r="AE5" t="str">
        <f ca="1">IFERROR(IF(0=LEN(ReferenceData!$AE$5),"",ReferenceData!$AE$5),"")</f>
        <v/>
      </c>
      <c r="AF5" t="str">
        <f ca="1">IFERROR(IF(0=LEN(ReferenceData!$AF$5),"",ReferenceData!$AF$5),"")</f>
        <v/>
      </c>
      <c r="AG5" t="str">
        <f ca="1">IFERROR(IF(0=LEN(ReferenceData!$AG$5),"",ReferenceData!$AG$5),"")</f>
        <v/>
      </c>
      <c r="AH5" t="str">
        <f ca="1">IFERROR(IF(0=LEN(ReferenceData!$AH$5),"",ReferenceData!$AH$5),"")</f>
        <v/>
      </c>
      <c r="AI5" t="str">
        <f ca="1">IFERROR(IF(0=LEN(ReferenceData!$AI$5),"",ReferenceData!$AI$5),"")</f>
        <v/>
      </c>
      <c r="AJ5" t="str">
        <f ca="1">IFERROR(IF(0=LEN(ReferenceData!$AJ$5),"",ReferenceData!$AJ$5),"")</f>
        <v/>
      </c>
      <c r="AK5" t="str">
        <f ca="1">IFERROR(IF(0=LEN(ReferenceData!$AK$5),"",ReferenceData!$AK$5),"")</f>
        <v/>
      </c>
      <c r="AL5" t="str">
        <f ca="1">IFERROR(IF(0=LEN(ReferenceData!$AL$5),"",ReferenceData!$AL$5),"")</f>
        <v/>
      </c>
      <c r="AM5" t="str">
        <f ca="1">IFERROR(IF(0=LEN(ReferenceData!$AM$5),"",ReferenceData!$AM$5),"")</f>
        <v/>
      </c>
      <c r="AN5" t="str">
        <f ca="1">IFERROR(IF(0=LEN(ReferenceData!$AN$5),"",ReferenceData!$AN$5),"")</f>
        <v/>
      </c>
      <c r="AO5" t="str">
        <f ca="1">IFERROR(IF(0=LEN(ReferenceData!$AO$5),"",ReferenceData!$AO$5),"")</f>
        <v/>
      </c>
      <c r="AP5" t="str">
        <f ca="1">IFERROR(IF(0=LEN(ReferenceData!$AP$5),"",ReferenceData!$AP$5),"")</f>
        <v/>
      </c>
      <c r="AQ5" t="str">
        <f ca="1">IFERROR(IF(0=LEN(ReferenceData!$AQ$5),"",ReferenceData!$AQ$5),"")</f>
        <v/>
      </c>
      <c r="AR5" t="str">
        <f ca="1">IFERROR(IF(0=LEN(ReferenceData!$AR$5),"",ReferenceData!$AR$5),"")</f>
        <v/>
      </c>
      <c r="AS5" t="str">
        <f ca="1">IFERROR(IF(0=LEN(ReferenceData!$AS$5),"",ReferenceData!$AS$5),"")</f>
        <v/>
      </c>
      <c r="AT5" t="str">
        <f ca="1">IFERROR(IF(0=LEN(ReferenceData!$AT$5),"",ReferenceData!$AT$5),"")</f>
        <v/>
      </c>
      <c r="AU5" t="str">
        <f ca="1">IFERROR(IF(0=LEN(ReferenceData!$AU$5),"",ReferenceData!$AU$5),"")</f>
        <v/>
      </c>
      <c r="AV5" t="str">
        <f ca="1">IFERROR(IF(0=LEN(ReferenceData!$AV$5),"",ReferenceData!$AV$5),"")</f>
        <v/>
      </c>
      <c r="AW5" t="str">
        <f ca="1">IFERROR(IF(0=LEN(ReferenceData!$AW$5),"",ReferenceData!$AW$5),"")</f>
        <v/>
      </c>
      <c r="AX5" t="str">
        <f ca="1">IFERROR(IF(0=LEN(ReferenceData!$AX$5),"",ReferenceData!$AX$5),"")</f>
        <v/>
      </c>
      <c r="AY5" t="str">
        <f ca="1">IFERROR(IF(0=LEN(ReferenceData!$AY$5),"",ReferenceData!$AY$5),"")</f>
        <v/>
      </c>
      <c r="AZ5" t="str">
        <f ca="1">IFERROR(IF(0=LEN(ReferenceData!$AZ$5),"",ReferenceData!$AZ$5),"")</f>
        <v/>
      </c>
      <c r="BA5" t="str">
        <f ca="1">IFERROR(IF(0=LEN(ReferenceData!$BA$5),"",ReferenceData!$BA$5),"")</f>
        <v/>
      </c>
      <c r="BB5" t="str">
        <f ca="1">IFERROR(IF(0=LEN(ReferenceData!$BB$5),"",ReferenceData!$BB$5),"")</f>
        <v/>
      </c>
      <c r="BC5" t="str">
        <f ca="1">IFERROR(IF(0=LEN(ReferenceData!$BC$5),"",ReferenceData!$BC$5),"")</f>
        <v/>
      </c>
      <c r="BD5" t="str">
        <f ca="1">IFERROR(IF(0=LEN(ReferenceData!$BD$5),"",ReferenceData!$BD$5),"")</f>
        <v/>
      </c>
      <c r="BE5" t="str">
        <f ca="1">IFERROR(IF(0=LEN(ReferenceData!$BE$5),"",ReferenceData!$BE$5),"")</f>
        <v/>
      </c>
      <c r="BF5" t="str">
        <f ca="1">IFERROR(IF(0=LEN(ReferenceData!$BF$5),"",ReferenceData!$BF$5),"")</f>
        <v/>
      </c>
      <c r="BG5" t="str">
        <f ca="1">IFERROR(IF(0=LEN(ReferenceData!$BG$5),"",ReferenceData!$BG$5),"")</f>
        <v/>
      </c>
      <c r="BH5" t="str">
        <f ca="1">IFERROR(IF(0=LEN(ReferenceData!$BH$5),"",ReferenceData!$BH$5),"")</f>
        <v/>
      </c>
      <c r="BI5" t="str">
        <f ca="1">IFERROR(IF(0=LEN(ReferenceData!$BI$5),"",ReferenceData!$BI$5),"")</f>
        <v/>
      </c>
      <c r="BJ5" t="str">
        <f ca="1">IFERROR(IF(0=LEN(ReferenceData!$BJ$5),"",ReferenceData!$BJ$5),"")</f>
        <v/>
      </c>
      <c r="BK5" t="str">
        <f ca="1">IFERROR(IF(0=LEN(ReferenceData!$BK$5),"",ReferenceData!$BK$5),"")</f>
        <v/>
      </c>
      <c r="BL5" t="str">
        <f ca="1">IFERROR(IF(0=LEN(ReferenceData!$BL$5),"",ReferenceData!$BL$5),"")</f>
        <v/>
      </c>
      <c r="BM5" t="str">
        <f ca="1">IFERROR(IF(0=LEN(ReferenceData!$BM$5),"",ReferenceData!$BM$5),"")</f>
        <v/>
      </c>
    </row>
    <row r="6" spans="1:65">
      <c r="A6" t="str">
        <f>IFERROR(IF(0=LEN(ReferenceData!$A$6),"",ReferenceData!$A$6),"")</f>
        <v xml:space="preserve">    CBL &amp; Associates Properties In</v>
      </c>
      <c r="B6" t="str">
        <f>IFERROR(IF(0=LEN(ReferenceData!$B$6),"",ReferenceData!$B$6),"")</f>
        <v>CBL US Equity</v>
      </c>
      <c r="C6" t="str">
        <f>IFERROR(IF(0=LEN(ReferenceData!$C$6),"",ReferenceData!$C$6),"")</f>
        <v>IS030</v>
      </c>
      <c r="D6" t="str">
        <f>IFERROR(IF(0=LEN(ReferenceData!$D$6),"",ReferenceData!$D$6),"")</f>
        <v>IS_RENT_INC</v>
      </c>
      <c r="E6" t="str">
        <f>IFERROR(IF(0=LEN(ReferenceData!$E$6),"",ReferenceData!$E$6),"")</f>
        <v>动态</v>
      </c>
      <c r="F6" t="str">
        <f ca="1">IFERROR(IF(0=LEN(ReferenceData!$F$6),"",ReferenceData!$F$6),"")</f>
        <v/>
      </c>
      <c r="G6">
        <f ca="1">IFERROR(IF(0=LEN(ReferenceData!$G$6),"",ReferenceData!$G$6),"")</f>
        <v>230.52500000000001</v>
      </c>
      <c r="H6">
        <f ca="1">IFERROR(IF(0=LEN(ReferenceData!$H$6),"",ReferenceData!$H$6),"")</f>
        <v>220.68100000000001</v>
      </c>
      <c r="I6">
        <f ca="1">IFERROR(IF(0=LEN(ReferenceData!$I$6),"",ReferenceData!$I$6),"")</f>
        <v>225.30699999999999</v>
      </c>
      <c r="J6">
        <f ca="1">IFERROR(IF(0=LEN(ReferenceData!$J$6),"",ReferenceData!$J$6),"")</f>
        <v>233.08199999999999</v>
      </c>
      <c r="K6">
        <f ca="1">IFERROR(IF(0=LEN(ReferenceData!$K$6),"",ReferenceData!$K$6),"")</f>
        <v>252.339</v>
      </c>
      <c r="L6">
        <f ca="1">IFERROR(IF(0=LEN(ReferenceData!$L$6),"",ReferenceData!$L$6),"")</f>
        <v>241.024</v>
      </c>
      <c r="M6">
        <f ca="1">IFERROR(IF(0=LEN(ReferenceData!$M$6),"",ReferenceData!$M$6),"")</f>
        <v>244.82300000000001</v>
      </c>
      <c r="N6">
        <f ca="1">IFERROR(IF(0=LEN(ReferenceData!$N$6),"",ReferenceData!$N$6),"")</f>
        <v>253.73</v>
      </c>
      <c r="O6">
        <f ca="1">IFERROR(IF(0=LEN(ReferenceData!$O$6),"",ReferenceData!$O$6),"")</f>
        <v>267.67</v>
      </c>
      <c r="P6">
        <f ca="1">IFERROR(IF(0=LEN(ReferenceData!$P$6),"",ReferenceData!$P$6),"")</f>
        <v>250.90799999999999</v>
      </c>
      <c r="Q6">
        <f ca="1">IFERROR(IF(0=LEN(ReferenceData!$Q$6),"",ReferenceData!$Q$6),"")</f>
        <v>243.48500000000001</v>
      </c>
      <c r="R6">
        <f ca="1">IFERROR(IF(0=LEN(ReferenceData!$R$6),"",ReferenceData!$R$6),"")</f>
        <v>250.52199999999999</v>
      </c>
      <c r="S6">
        <f ca="1">IFERROR(IF(0=LEN(ReferenceData!$S$6),"",ReferenceData!$S$6),"")</f>
        <v>269.81</v>
      </c>
      <c r="T6">
        <f ca="1">IFERROR(IF(0=LEN(ReferenceData!$T$6),"",ReferenceData!$T$6),"")</f>
        <v>247.3</v>
      </c>
      <c r="U6">
        <f ca="1">IFERROR(IF(0=LEN(ReferenceData!$U$6),"",ReferenceData!$U$6),"")</f>
        <v>244.84200000000001</v>
      </c>
      <c r="V6">
        <f ca="1">IFERROR(IF(0=LEN(ReferenceData!$V$6),"",ReferenceData!$V$6),"")</f>
        <v>250.38300000000001</v>
      </c>
      <c r="W6">
        <f ca="1">IFERROR(IF(0=LEN(ReferenceData!$W$6),"",ReferenceData!$W$6),"")</f>
        <v>271.00599999999997</v>
      </c>
      <c r="X6">
        <f ca="1">IFERROR(IF(0=LEN(ReferenceData!$X$6),"",ReferenceData!$X$6),"")</f>
        <v>244.91300000000001</v>
      </c>
      <c r="Y6">
        <f ca="1">IFERROR(IF(0=LEN(ReferenceData!$Y$6),"",ReferenceData!$Y$6),"")</f>
        <v>243.03399999999999</v>
      </c>
      <c r="Z6">
        <f ca="1">IFERROR(IF(0=LEN(ReferenceData!$Z$6),"",ReferenceData!$Z$6),"")</f>
        <v>247.56</v>
      </c>
      <c r="AA6">
        <f ca="1">IFERROR(IF(0=LEN(ReferenceData!$AA$6),"",ReferenceData!$AA$6),"")</f>
        <v>259.495</v>
      </c>
      <c r="AB6">
        <f ca="1">IFERROR(IF(0=LEN(ReferenceData!$AB$6),"",ReferenceData!$AB$6),"")</f>
        <v>238.15199999999999</v>
      </c>
      <c r="AC6">
        <f ca="1">IFERROR(IF(0=LEN(ReferenceData!$AC$6),"",ReferenceData!$AC$6),"")</f>
        <v>242.02699999999999</v>
      </c>
      <c r="AD6">
        <f ca="1">IFERROR(IF(0=LEN(ReferenceData!$AD$6),"",ReferenceData!$AD$6),"")</f>
        <v>235.94</v>
      </c>
      <c r="AE6">
        <f ca="1">IFERROR(IF(0=LEN(ReferenceData!$AE$6),"",ReferenceData!$AE$6),"")</f>
        <v>254.232</v>
      </c>
      <c r="AF6">
        <f ca="1">IFERROR(IF(0=LEN(ReferenceData!$AF$6),"",ReferenceData!$AF$6),"")</f>
        <v>256.94499999999999</v>
      </c>
      <c r="AG6">
        <f ca="1">IFERROR(IF(0=LEN(ReferenceData!$AG$6),"",ReferenceData!$AG$6),"")</f>
        <v>251.95400000000001</v>
      </c>
      <c r="AH6">
        <f ca="1">IFERROR(IF(0=LEN(ReferenceData!$AH$6),"",ReferenceData!$AH$6),"")</f>
        <v>256.47199999999998</v>
      </c>
      <c r="AI6">
        <f ca="1">IFERROR(IF(0=LEN(ReferenceData!$AI$6),"",ReferenceData!$AI$6),"")</f>
        <v>277.03500000000003</v>
      </c>
      <c r="AJ6">
        <f ca="1">IFERROR(IF(0=LEN(ReferenceData!$AJ$6),"",ReferenceData!$AJ$6),"")</f>
        <v>251.95</v>
      </c>
      <c r="AK6">
        <f ca="1">IFERROR(IF(0=LEN(ReferenceData!$AK$6),"",ReferenceData!$AK$6),"")</f>
        <v>248.81800000000001</v>
      </c>
      <c r="AL6">
        <f ca="1">IFERROR(IF(0=LEN(ReferenceData!$AL$6),"",ReferenceData!$AL$6),"")</f>
        <v>252.78700000000001</v>
      </c>
      <c r="AM6">
        <f ca="1">IFERROR(IF(0=LEN(ReferenceData!$AM$6),"",ReferenceData!$AM$6),"")</f>
        <v>277.428</v>
      </c>
      <c r="AN6">
        <f ca="1">IFERROR(IF(0=LEN(ReferenceData!$AN$6),"",ReferenceData!$AN$6),"")</f>
        <v>253.26599999999999</v>
      </c>
      <c r="AO6">
        <f ca="1">IFERROR(IF(0=LEN(ReferenceData!$AO$6),"",ReferenceData!$AO$6),"")</f>
        <v>257.93200000000002</v>
      </c>
      <c r="AP6">
        <f ca="1">IFERROR(IF(0=LEN(ReferenceData!$AP$6),"",ReferenceData!$AP$6),"")</f>
        <v>262.505</v>
      </c>
      <c r="AQ6">
        <f ca="1">IFERROR(IF(0=LEN(ReferenceData!$AQ$6),"",ReferenceData!$AQ$6),"")</f>
        <v>291.36399999999998</v>
      </c>
      <c r="AR6">
        <f ca="1">IFERROR(IF(0=LEN(ReferenceData!$AR$6),"",ReferenceData!$AR$6),"")</f>
        <v>267.96800000000002</v>
      </c>
      <c r="AS6">
        <f ca="1">IFERROR(IF(0=LEN(ReferenceData!$AS$6),"",ReferenceData!$AS$6),"")</f>
        <v>263.709</v>
      </c>
      <c r="AT6">
        <f ca="1">IFERROR(IF(0=LEN(ReferenceData!$AT$6),"",ReferenceData!$AT$6),"")</f>
        <v>270.964</v>
      </c>
      <c r="AU6">
        <f ca="1">IFERROR(IF(0=LEN(ReferenceData!$AU$6),"",ReferenceData!$AU$6),"")</f>
        <v>285.86700000000002</v>
      </c>
      <c r="AV6">
        <f ca="1">IFERROR(IF(0=LEN(ReferenceData!$AV$6),"",ReferenceData!$AV$6),"")</f>
        <v>245.77199999999999</v>
      </c>
      <c r="AW6">
        <f ca="1">IFERROR(IF(0=LEN(ReferenceData!$AW$6),"",ReferenceData!$AW$6),"")</f>
        <v>235.64500000000001</v>
      </c>
      <c r="AX6">
        <f ca="1">IFERROR(IF(0=LEN(ReferenceData!$AX$6),"",ReferenceData!$AX$6),"")</f>
        <v>242.81700000000001</v>
      </c>
      <c r="AY6">
        <f ca="1">IFERROR(IF(0=LEN(ReferenceData!$AY$6),"",ReferenceData!$AY$6),"")</f>
        <v>262.43299999999999</v>
      </c>
      <c r="AZ6">
        <f ca="1">IFERROR(IF(0=LEN(ReferenceData!$AZ$6),"",ReferenceData!$AZ$6),"")</f>
        <v>238.185</v>
      </c>
      <c r="BA6">
        <f ca="1">IFERROR(IF(0=LEN(ReferenceData!$BA$6),"",ReferenceData!$BA$6),"")</f>
        <v>228.07599999999999</v>
      </c>
      <c r="BB6">
        <f ca="1">IFERROR(IF(0=LEN(ReferenceData!$BB$6),"",ReferenceData!$BB$6),"")</f>
        <v>238.376</v>
      </c>
      <c r="BC6">
        <f ca="1">IFERROR(IF(0=LEN(ReferenceData!$BC$6),"",ReferenceData!$BC$6),"")</f>
        <v>253.333</v>
      </c>
      <c r="BD6">
        <f ca="1">IFERROR(IF(0=LEN(ReferenceData!$BD$6),"",ReferenceData!$BD$6),"")</f>
        <v>211.97900000000001</v>
      </c>
      <c r="BE6">
        <f ca="1">IFERROR(IF(0=LEN(ReferenceData!$BE$6),"",ReferenceData!$BE$6),"")</f>
        <v>195.10599999999999</v>
      </c>
      <c r="BF6">
        <f ca="1">IFERROR(IF(0=LEN(ReferenceData!$BF$6),"",ReferenceData!$BF$6),"")</f>
        <v>207.036</v>
      </c>
      <c r="BG6">
        <f ca="1">IFERROR(IF(0=LEN(ReferenceData!$BG$6),"",ReferenceData!$BG$6),"")</f>
        <v>217.77799999999999</v>
      </c>
      <c r="BH6">
        <f ca="1">IFERROR(IF(0=LEN(ReferenceData!$BH$6),"",ReferenceData!$BH$6),"")</f>
        <v>185.26499999999999</v>
      </c>
      <c r="BI6">
        <f ca="1">IFERROR(IF(0=LEN(ReferenceData!$BI$6),"",ReferenceData!$BI$6),"")</f>
        <v>167.93800400000001</v>
      </c>
      <c r="BJ6">
        <f ca="1">IFERROR(IF(0=LEN(ReferenceData!$BJ$6),"",ReferenceData!$BJ$6),"")</f>
        <v>166.73100299999999</v>
      </c>
      <c r="BK6">
        <f ca="1">IFERROR(IF(0=LEN(ReferenceData!$BK$6),"",ReferenceData!$BK$6),"")</f>
        <v>172.75900300000001</v>
      </c>
      <c r="BL6">
        <f ca="1">IFERROR(IF(0=LEN(ReferenceData!$BL$6),"",ReferenceData!$BL$6),"")</f>
        <v>158.04600500000001</v>
      </c>
      <c r="BM6">
        <f ca="1">IFERROR(IF(0=LEN(ReferenceData!$BM$6),"",ReferenceData!$BM$6),"")</f>
        <v>157.192993</v>
      </c>
    </row>
    <row r="7" spans="1:65">
      <c r="A7" t="str">
        <f>IFERROR(IF(0=LEN(ReferenceData!$A$7),"",ReferenceData!$A$7),"")</f>
        <v xml:space="preserve">    DDR Corp</v>
      </c>
      <c r="B7" t="str">
        <f>IFERROR(IF(0=LEN(ReferenceData!$B$7),"",ReferenceData!$B$7),"")</f>
        <v>DDR US Equity</v>
      </c>
      <c r="C7" t="str">
        <f>IFERROR(IF(0=LEN(ReferenceData!$C$7),"",ReferenceData!$C$7),"")</f>
        <v>IS030</v>
      </c>
      <c r="D7" t="str">
        <f>IFERROR(IF(0=LEN(ReferenceData!$D$7),"",ReferenceData!$D$7),"")</f>
        <v>IS_RENT_INC</v>
      </c>
      <c r="E7" t="str">
        <f>IFERROR(IF(0=LEN(ReferenceData!$E$7),"",ReferenceData!$E$7),"")</f>
        <v>动态</v>
      </c>
      <c r="F7" t="str">
        <f ca="1">IFERROR(IF(0=LEN(ReferenceData!$F$7),"",ReferenceData!$F$7),"")</f>
        <v/>
      </c>
      <c r="G7">
        <f ca="1">IFERROR(IF(0=LEN(ReferenceData!$G$7),"",ReferenceData!$G$7),"")</f>
        <v>197.161</v>
      </c>
      <c r="H7">
        <f ca="1">IFERROR(IF(0=LEN(ReferenceData!$H$7),"",ReferenceData!$H$7),"")</f>
        <v>206.309</v>
      </c>
      <c r="I7">
        <f ca="1">IFERROR(IF(0=LEN(ReferenceData!$I$7),"",ReferenceData!$I$7),"")</f>
        <v>222.07900000000001</v>
      </c>
      <c r="J7">
        <f ca="1">IFERROR(IF(0=LEN(ReferenceData!$J$7),"",ReferenceData!$J$7),"")</f>
        <v>226.404</v>
      </c>
      <c r="K7">
        <f ca="1">IFERROR(IF(0=LEN(ReferenceData!$K$7),"",ReferenceData!$K$7),"")</f>
        <v>226.46100000000001</v>
      </c>
      <c r="L7">
        <f ca="1">IFERROR(IF(0=LEN(ReferenceData!$L$7),"",ReferenceData!$L$7),"")</f>
        <v>238.78</v>
      </c>
      <c r="M7">
        <f ca="1">IFERROR(IF(0=LEN(ReferenceData!$M$7),"",ReferenceData!$M$7),"")</f>
        <v>241.09399999999999</v>
      </c>
      <c r="N7">
        <f ca="1">IFERROR(IF(0=LEN(ReferenceData!$N$7),"",ReferenceData!$N$7),"")</f>
        <v>240.90199999999999</v>
      </c>
      <c r="O7">
        <f ca="1">IFERROR(IF(0=LEN(ReferenceData!$O$7),"",ReferenceData!$O$7),"")</f>
        <v>240.53200000000001</v>
      </c>
      <c r="P7">
        <f ca="1">IFERROR(IF(0=LEN(ReferenceData!$P$7),"",ReferenceData!$P$7),"")</f>
        <v>243.273</v>
      </c>
      <c r="Q7">
        <f ca="1">IFERROR(IF(0=LEN(ReferenceData!$Q$7),"",ReferenceData!$Q$7),"")</f>
        <v>242.756</v>
      </c>
      <c r="R7">
        <f ca="1">IFERROR(IF(0=LEN(ReferenceData!$R$7),"",ReferenceData!$R$7),"")</f>
        <v>246.16200000000001</v>
      </c>
      <c r="S7">
        <f ca="1">IFERROR(IF(0=LEN(ReferenceData!$S$7),"",ReferenceData!$S$7),"")</f>
        <v>242.58</v>
      </c>
      <c r="T7">
        <f ca="1">IFERROR(IF(0=LEN(ReferenceData!$T$7),"",ReferenceData!$T$7),"")</f>
        <v>230.51599999999999</v>
      </c>
      <c r="U7">
        <f ca="1">IFERROR(IF(0=LEN(ReferenceData!$U$7),"",ReferenceData!$U$7),"")</f>
        <v>226.05</v>
      </c>
      <c r="V7">
        <f ca="1">IFERROR(IF(0=LEN(ReferenceData!$V$7),"",ReferenceData!$V$7),"")</f>
        <v>225.62799999999999</v>
      </c>
      <c r="W7">
        <f ca="1">IFERROR(IF(0=LEN(ReferenceData!$W$7),"",ReferenceData!$W$7),"")</f>
        <v>224.85400000000001</v>
      </c>
      <c r="X7">
        <f ca="1">IFERROR(IF(0=LEN(ReferenceData!$X$7),"",ReferenceData!$X$7),"")</f>
        <v>187.20599999999999</v>
      </c>
      <c r="Y7">
        <f ca="1">IFERROR(IF(0=LEN(ReferenceData!$Y$7),"",ReferenceData!$Y$7),"")</f>
        <v>185.2</v>
      </c>
      <c r="Z7">
        <f ca="1">IFERROR(IF(0=LEN(ReferenceData!$Z$7),"",ReferenceData!$Z$7),"")</f>
        <v>183.34700000000001</v>
      </c>
      <c r="AA7">
        <f ca="1">IFERROR(IF(0=LEN(ReferenceData!$AA$7),"",ReferenceData!$AA$7),"")</f>
        <v>183.91</v>
      </c>
      <c r="AB7">
        <f ca="1">IFERROR(IF(0=LEN(ReferenceData!$AB$7),"",ReferenceData!$AB$7),"")</f>
        <v>176.18100000000001</v>
      </c>
      <c r="AC7">
        <f ca="1">IFERROR(IF(0=LEN(ReferenceData!$AC$7),"",ReferenceData!$AC$7),"")</f>
        <v>172.7</v>
      </c>
      <c r="AD7">
        <f ca="1">IFERROR(IF(0=LEN(ReferenceData!$AD$7),"",ReferenceData!$AD$7),"")</f>
        <v>172.18899999999999</v>
      </c>
      <c r="AE7">
        <f ca="1">IFERROR(IF(0=LEN(ReferenceData!$AE$7),"",ReferenceData!$AE$7),"")</f>
        <v>167.095</v>
      </c>
      <c r="AF7">
        <f ca="1">IFERROR(IF(0=LEN(ReferenceData!$AF$7),"",ReferenceData!$AF$7),"")</f>
        <v>166.09899999999999</v>
      </c>
      <c r="AG7">
        <f ca="1">IFERROR(IF(0=LEN(ReferenceData!$AG$7),"",ReferenceData!$AG$7),"")</f>
        <v>167.19399999999999</v>
      </c>
      <c r="AH7">
        <f ca="1">IFERROR(IF(0=LEN(ReferenceData!$AH$7),"",ReferenceData!$AH$7),"")</f>
        <v>172.50200000000001</v>
      </c>
      <c r="AI7">
        <f ca="1">IFERROR(IF(0=LEN(ReferenceData!$AI$7),"",ReferenceData!$AI$7),"")</f>
        <v>169.655</v>
      </c>
      <c r="AJ7">
        <f ca="1">IFERROR(IF(0=LEN(ReferenceData!$AJ$7),"",ReferenceData!$AJ$7),"")</f>
        <v>173.346</v>
      </c>
      <c r="AK7">
        <f ca="1">IFERROR(IF(0=LEN(ReferenceData!$AK$7),"",ReferenceData!$AK$7),"")</f>
        <v>174.273</v>
      </c>
      <c r="AL7">
        <f ca="1">IFERROR(IF(0=LEN(ReferenceData!$AL$7),"",ReferenceData!$AL$7),"")</f>
        <v>182.15700000000001</v>
      </c>
      <c r="AM7">
        <f ca="1">IFERROR(IF(0=LEN(ReferenceData!$AM$7),"",ReferenceData!$AM$7),"")</f>
        <v>181.06700000000001</v>
      </c>
      <c r="AN7">
        <f ca="1">IFERROR(IF(0=LEN(ReferenceData!$AN$7),"",ReferenceData!$AN$7),"")</f>
        <v>180.68</v>
      </c>
      <c r="AO7">
        <f ca="1">IFERROR(IF(0=LEN(ReferenceData!$AO$7),"",ReferenceData!$AO$7),"")</f>
        <v>176.81800000000001</v>
      </c>
      <c r="AP7">
        <f ca="1">IFERROR(IF(0=LEN(ReferenceData!$AP$7),"",ReferenceData!$AP$7),"")</f>
        <v>185.035</v>
      </c>
      <c r="AQ7">
        <f ca="1">IFERROR(IF(0=LEN(ReferenceData!$AQ$7),"",ReferenceData!$AQ$7),"")</f>
        <v>195.39400000000001</v>
      </c>
      <c r="AR7">
        <f ca="1">IFERROR(IF(0=LEN(ReferenceData!$AR$7),"",ReferenceData!$AR$7),"")</f>
        <v>199.93700000000001</v>
      </c>
      <c r="AS7">
        <f ca="1">IFERROR(IF(0=LEN(ReferenceData!$AS$7),"",ReferenceData!$AS$7),"")</f>
        <v>199.05</v>
      </c>
      <c r="AT7">
        <f ca="1">IFERROR(IF(0=LEN(ReferenceData!$AT$7),"",ReferenceData!$AT$7),"")</f>
        <v>211.70500000000001</v>
      </c>
      <c r="AU7">
        <f ca="1">IFERROR(IF(0=LEN(ReferenceData!$AU$7),"",ReferenceData!$AU$7),"")</f>
        <v>213.94499999999999</v>
      </c>
      <c r="AV7">
        <f ca="1">IFERROR(IF(0=LEN(ReferenceData!$AV$7),"",ReferenceData!$AV$7),"")</f>
        <v>210.5</v>
      </c>
      <c r="AW7">
        <f ca="1">IFERROR(IF(0=LEN(ReferenceData!$AW$7),"",ReferenceData!$AW$7),"")</f>
        <v>232.14</v>
      </c>
      <c r="AX7">
        <f ca="1">IFERROR(IF(0=LEN(ReferenceData!$AX$7),"",ReferenceData!$AX$7),"")</f>
        <v>197.55199999999999</v>
      </c>
      <c r="AY7">
        <f ca="1">IFERROR(IF(0=LEN(ReferenceData!$AY$7),"",ReferenceData!$AY$7),"")</f>
        <v>172.72200000000001</v>
      </c>
      <c r="AZ7">
        <f ca="1">IFERROR(IF(0=LEN(ReferenceData!$AZ$7),"",ReferenceData!$AZ$7),"")</f>
        <v>180.06299999999999</v>
      </c>
      <c r="BA7">
        <f ca="1">IFERROR(IF(0=LEN(ReferenceData!$BA$7),"",ReferenceData!$BA$7),"")</f>
        <v>176.71700000000001</v>
      </c>
      <c r="BB7">
        <f ca="1">IFERROR(IF(0=LEN(ReferenceData!$BB$7),"",ReferenceData!$BB$7),"")</f>
        <v>181.11500000000001</v>
      </c>
      <c r="BC7">
        <f ca="1">IFERROR(IF(0=LEN(ReferenceData!$BC$7),"",ReferenceData!$BC$7),"")</f>
        <v>178.292</v>
      </c>
      <c r="BD7">
        <f ca="1">IFERROR(IF(0=LEN(ReferenceData!$BD$7),"",ReferenceData!$BD$7),"")</f>
        <v>166.14599999999999</v>
      </c>
      <c r="BE7">
        <f ca="1">IFERROR(IF(0=LEN(ReferenceData!$BE$7),"",ReferenceData!$BE$7),"")</f>
        <v>166.375</v>
      </c>
      <c r="BF7">
        <f ca="1">IFERROR(IF(0=LEN(ReferenceData!$BF$7),"",ReferenceData!$BF$7),"")</f>
        <v>162.166</v>
      </c>
      <c r="BG7">
        <f ca="1">IFERROR(IF(0=LEN(ReferenceData!$BG$7),"",ReferenceData!$BG$7),"")</f>
        <v>149.79599999999999</v>
      </c>
      <c r="BH7">
        <f ca="1">IFERROR(IF(0=LEN(ReferenceData!$BH$7),"",ReferenceData!$BH$7),"")</f>
        <v>148.143</v>
      </c>
      <c r="BI7">
        <f ca="1">IFERROR(IF(0=LEN(ReferenceData!$BI$7),"",ReferenceData!$BI$7),"")</f>
        <v>137.40700000000001</v>
      </c>
      <c r="BJ7">
        <f ca="1">IFERROR(IF(0=LEN(ReferenceData!$BJ$7),"",ReferenceData!$BJ$7),"")</f>
        <v>117.384</v>
      </c>
      <c r="BK7">
        <f ca="1">IFERROR(IF(0=LEN(ReferenceData!$BK$7),"",ReferenceData!$BK$7),"")</f>
        <v>115.875</v>
      </c>
      <c r="BL7">
        <f ca="1">IFERROR(IF(0=LEN(ReferenceData!$BL$7),"",ReferenceData!$BL$7),"")</f>
        <v>114.92400000000001</v>
      </c>
      <c r="BM7">
        <f ca="1">IFERROR(IF(0=LEN(ReferenceData!$BM$7),"",ReferenceData!$BM$7),"")</f>
        <v>115.863</v>
      </c>
    </row>
    <row r="8" spans="1:65">
      <c r="A8" t="str">
        <f>IFERROR(IF(0=LEN(ReferenceData!$A$8),"",ReferenceData!$A$8),"")</f>
        <v xml:space="preserve">    Federal Realty Investment Trus</v>
      </c>
      <c r="B8" t="str">
        <f>IFERROR(IF(0=LEN(ReferenceData!$B$8),"",ReferenceData!$B$8),"")</f>
        <v>FRT US Equity</v>
      </c>
      <c r="C8" t="str">
        <f>IFERROR(IF(0=LEN(ReferenceData!$C$8),"",ReferenceData!$C$8),"")</f>
        <v>IS030</v>
      </c>
      <c r="D8" t="str">
        <f>IFERROR(IF(0=LEN(ReferenceData!$D$8),"",ReferenceData!$D$8),"")</f>
        <v>IS_RENT_INC</v>
      </c>
      <c r="E8" t="str">
        <f>IFERROR(IF(0=LEN(ReferenceData!$E$8),"",ReferenceData!$E$8),"")</f>
        <v>动态</v>
      </c>
      <c r="F8" t="str">
        <f ca="1">IFERROR(IF(0=LEN(ReferenceData!$F$8),"",ReferenceData!$F$8),"")</f>
        <v/>
      </c>
      <c r="G8">
        <f ca="1">IFERROR(IF(0=LEN(ReferenceData!$G$8),"",ReferenceData!$G$8),"")</f>
        <v>220.72</v>
      </c>
      <c r="H8">
        <f ca="1">IFERROR(IF(0=LEN(ReferenceData!$H$8),"",ReferenceData!$H$8),"")</f>
        <v>212.048</v>
      </c>
      <c r="I8">
        <f ca="1">IFERROR(IF(0=LEN(ReferenceData!$I$8),"",ReferenceData!$I$8),"")</f>
        <v>204.24600000000001</v>
      </c>
      <c r="J8">
        <f ca="1">IFERROR(IF(0=LEN(ReferenceData!$J$8),"",ReferenceData!$J$8),"")</f>
        <v>204.447</v>
      </c>
      <c r="K8">
        <f ca="1">IFERROR(IF(0=LEN(ReferenceData!$K$8),"",ReferenceData!$K$8),"")</f>
        <v>200.87100000000001</v>
      </c>
      <c r="L8">
        <f ca="1">IFERROR(IF(0=LEN(ReferenceData!$L$8),"",ReferenceData!$L$8),"")</f>
        <v>197.46899999999999</v>
      </c>
      <c r="M8">
        <f ca="1">IFERROR(IF(0=LEN(ReferenceData!$M$8),"",ReferenceData!$M$8),"")</f>
        <v>192.935</v>
      </c>
      <c r="N8">
        <f ca="1">IFERROR(IF(0=LEN(ReferenceData!$N$8),"",ReferenceData!$N$8),"")</f>
        <v>195.30799999999999</v>
      </c>
      <c r="O8">
        <f ca="1">IFERROR(IF(0=LEN(ReferenceData!$O$8),"",ReferenceData!$O$8),"")</f>
        <v>189.2</v>
      </c>
      <c r="P8">
        <f ca="1">IFERROR(IF(0=LEN(ReferenceData!$P$8),"",ReferenceData!$P$8),"")</f>
        <v>181.56200000000001</v>
      </c>
      <c r="Q8">
        <f ca="1">IFERROR(IF(0=LEN(ReferenceData!$Q$8),"",ReferenceData!$Q$8),"")</f>
        <v>175.88399999999999</v>
      </c>
      <c r="R8">
        <f ca="1">IFERROR(IF(0=LEN(ReferenceData!$R$8),"",ReferenceData!$R$8),"")</f>
        <v>181.166</v>
      </c>
      <c r="S8">
        <f ca="1">IFERROR(IF(0=LEN(ReferenceData!$S$8),"",ReferenceData!$S$8),"")</f>
        <v>171.63399999999999</v>
      </c>
      <c r="T8">
        <f ca="1">IFERROR(IF(0=LEN(ReferenceData!$T$8),"",ReferenceData!$T$8),"")</f>
        <v>166.11199999999999</v>
      </c>
      <c r="U8">
        <f ca="1">IFERROR(IF(0=LEN(ReferenceData!$U$8),"",ReferenceData!$U$8),"")</f>
        <v>162.38300000000001</v>
      </c>
      <c r="V8">
        <f ca="1">IFERROR(IF(0=LEN(ReferenceData!$V$8),"",ReferenceData!$V$8),"")</f>
        <v>166.19300000000001</v>
      </c>
      <c r="W8">
        <f ca="1">IFERROR(IF(0=LEN(ReferenceData!$W$8),"",ReferenceData!$W$8),"")</f>
        <v>159.953</v>
      </c>
      <c r="X8">
        <f ca="1">IFERROR(IF(0=LEN(ReferenceData!$X$8),"",ReferenceData!$X$8),"")</f>
        <v>154.30799999999999</v>
      </c>
      <c r="Y8">
        <f ca="1">IFERROR(IF(0=LEN(ReferenceData!$Y$8),"",ReferenceData!$Y$8),"")</f>
        <v>153.21199999999999</v>
      </c>
      <c r="Z8">
        <f ca="1">IFERROR(IF(0=LEN(ReferenceData!$Z$8),"",ReferenceData!$Z$8),"")</f>
        <v>152.61600000000001</v>
      </c>
      <c r="AA8">
        <f ca="1">IFERROR(IF(0=LEN(ReferenceData!$AA$8),"",ReferenceData!$AA$8),"")</f>
        <v>151.78399999999999</v>
      </c>
      <c r="AB8">
        <f ca="1">IFERROR(IF(0=LEN(ReferenceData!$AB$8),"",ReferenceData!$AB$8),"")</f>
        <v>147.51499999999999</v>
      </c>
      <c r="AC8">
        <f ca="1">IFERROR(IF(0=LEN(ReferenceData!$AC$8),"",ReferenceData!$AC$8),"")</f>
        <v>141.79599999999999</v>
      </c>
      <c r="AD8">
        <f ca="1">IFERROR(IF(0=LEN(ReferenceData!$AD$8),"",ReferenceData!$AD$8),"")</f>
        <v>140.661</v>
      </c>
      <c r="AE8">
        <f ca="1">IFERROR(IF(0=LEN(ReferenceData!$AE$8),"",ReferenceData!$AE$8),"")</f>
        <v>137.249</v>
      </c>
      <c r="AF8">
        <f ca="1">IFERROR(IF(0=LEN(ReferenceData!$AF$8),"",ReferenceData!$AF$8),"")</f>
        <v>134.01400000000001</v>
      </c>
      <c r="AG8">
        <f ca="1">IFERROR(IF(0=LEN(ReferenceData!$AG$8),"",ReferenceData!$AG$8),"")</f>
        <v>133</v>
      </c>
      <c r="AH8">
        <f ca="1">IFERROR(IF(0=LEN(ReferenceData!$AH$8),"",ReferenceData!$AH$8),"")</f>
        <v>134.43799999999999</v>
      </c>
      <c r="AI8">
        <f ca="1">IFERROR(IF(0=LEN(ReferenceData!$AI$8),"",ReferenceData!$AI$8),"")</f>
        <v>132.66300000000001</v>
      </c>
      <c r="AJ8">
        <f ca="1">IFERROR(IF(0=LEN(ReferenceData!$AJ$8),"",ReferenceData!$AJ$8),"")</f>
        <v>129.52699999999999</v>
      </c>
      <c r="AK8">
        <f ca="1">IFERROR(IF(0=LEN(ReferenceData!$AK$8),"",ReferenceData!$AK$8),"")</f>
        <v>129.636</v>
      </c>
      <c r="AL8">
        <f ca="1">IFERROR(IF(0=LEN(ReferenceData!$AL$8),"",ReferenceData!$AL$8),"")</f>
        <v>131.34800000000001</v>
      </c>
      <c r="AM8">
        <f ca="1">IFERROR(IF(0=LEN(ReferenceData!$AM$8),"",ReferenceData!$AM$8),"")</f>
        <v>133.57300000000001</v>
      </c>
      <c r="AN8">
        <f ca="1">IFERROR(IF(0=LEN(ReferenceData!$AN$8),"",ReferenceData!$AN$8),"")</f>
        <v>126.169</v>
      </c>
      <c r="AO8">
        <f ca="1">IFERROR(IF(0=LEN(ReferenceData!$AO$8),"",ReferenceData!$AO$8),"")</f>
        <v>126.09</v>
      </c>
      <c r="AP8">
        <f ca="1">IFERROR(IF(0=LEN(ReferenceData!$AP$8),"",ReferenceData!$AP$8),"")</f>
        <v>127.206</v>
      </c>
      <c r="AQ8">
        <f ca="1">IFERROR(IF(0=LEN(ReferenceData!$AQ$8),"",ReferenceData!$AQ$8),"")</f>
        <v>130.32300000000001</v>
      </c>
      <c r="AR8">
        <f ca="1">IFERROR(IF(0=LEN(ReferenceData!$AR$8),"",ReferenceData!$AR$8),"")</f>
        <v>126.59399999999999</v>
      </c>
      <c r="AS8">
        <f ca="1">IFERROR(IF(0=LEN(ReferenceData!$AS$8),"",ReferenceData!$AS$8),"")</f>
        <v>122.97</v>
      </c>
      <c r="AT8">
        <f ca="1">IFERROR(IF(0=LEN(ReferenceData!$AT$8),"",ReferenceData!$AT$8),"")</f>
        <v>121.867</v>
      </c>
      <c r="AU8">
        <f ca="1">IFERROR(IF(0=LEN(ReferenceData!$AU$8),"",ReferenceData!$AU$8),"")</f>
        <v>122.128</v>
      </c>
      <c r="AV8">
        <f ca="1">IFERROR(IF(0=LEN(ReferenceData!$AV$8),"",ReferenceData!$AV$8),"")</f>
        <v>117.801</v>
      </c>
      <c r="AW8">
        <f ca="1">IFERROR(IF(0=LEN(ReferenceData!$AW$8),"",ReferenceData!$AW$8),"")</f>
        <v>115.28100000000001</v>
      </c>
      <c r="AX8">
        <f ca="1">IFERROR(IF(0=LEN(ReferenceData!$AX$8),"",ReferenceData!$AX$8),"")</f>
        <v>111.76300000000001</v>
      </c>
      <c r="AY8">
        <f ca="1">IFERROR(IF(0=LEN(ReferenceData!$AY$8),"",ReferenceData!$AY$8),"")</f>
        <v>95.314999999999998</v>
      </c>
      <c r="AZ8">
        <f ca="1">IFERROR(IF(0=LEN(ReferenceData!$AZ$8),"",ReferenceData!$AZ$8),"")</f>
        <v>109.371</v>
      </c>
      <c r="BA8">
        <f ca="1">IFERROR(IF(0=LEN(ReferenceData!$BA$8),"",ReferenceData!$BA$8),"")</f>
        <v>105.32899999999999</v>
      </c>
      <c r="BB8">
        <f ca="1">IFERROR(IF(0=LEN(ReferenceData!$BB$8),"",ReferenceData!$BB$8),"")</f>
        <v>104.964</v>
      </c>
      <c r="BC8">
        <f ca="1">IFERROR(IF(0=LEN(ReferenceData!$BC$8),"",ReferenceData!$BC$8),"")</f>
        <v>100.27</v>
      </c>
      <c r="BD8">
        <f ca="1">IFERROR(IF(0=LEN(ReferenceData!$BD$8),"",ReferenceData!$BD$8),"")</f>
        <v>99.209000000000003</v>
      </c>
      <c r="BE8">
        <f ca="1">IFERROR(IF(0=LEN(ReferenceData!$BE$8),"",ReferenceData!$BE$8),"")</f>
        <v>95.762</v>
      </c>
      <c r="BF8">
        <f ca="1">IFERROR(IF(0=LEN(ReferenceData!$BF$8),"",ReferenceData!$BF$8),"")</f>
        <v>98.307000000000002</v>
      </c>
      <c r="BG8">
        <f ca="1">IFERROR(IF(0=LEN(ReferenceData!$BG$8),"",ReferenceData!$BG$8),"")</f>
        <v>94.547996519999998</v>
      </c>
      <c r="BH8">
        <f ca="1">IFERROR(IF(0=LEN(ReferenceData!$BH$8),"",ReferenceData!$BH$8),"")</f>
        <v>97.603999999999999</v>
      </c>
      <c r="BI8">
        <f ca="1">IFERROR(IF(0=LEN(ReferenceData!$BI$8),"",ReferenceData!$BI$8),"")</f>
        <v>92.144996640000002</v>
      </c>
      <c r="BJ8">
        <f ca="1">IFERROR(IF(0=LEN(ReferenceData!$BJ$8),"",ReferenceData!$BJ$8),"")</f>
        <v>89.643000000000001</v>
      </c>
      <c r="BK8">
        <f ca="1">IFERROR(IF(0=LEN(ReferenceData!$BK$8),"",ReferenceData!$BK$8),"")</f>
        <v>92.75</v>
      </c>
      <c r="BL8">
        <f ca="1">IFERROR(IF(0=LEN(ReferenceData!$BL$8),"",ReferenceData!$BL$8),"")</f>
        <v>81.387</v>
      </c>
      <c r="BM8">
        <f ca="1">IFERROR(IF(0=LEN(ReferenceData!$BM$8),"",ReferenceData!$BM$8),"")</f>
        <v>80.563999999999993</v>
      </c>
    </row>
    <row r="9" spans="1:65">
      <c r="A9" t="str">
        <f>IFERROR(IF(0=LEN(ReferenceData!$A$9),"",ReferenceData!$A$9),"")</f>
        <v xml:space="preserve">    Kimco Realty Corp</v>
      </c>
      <c r="B9" t="str">
        <f>IFERROR(IF(0=LEN(ReferenceData!$B$9),"",ReferenceData!$B$9),"")</f>
        <v>KIM US Equity</v>
      </c>
      <c r="C9" t="str">
        <f>IFERROR(IF(0=LEN(ReferenceData!$C$9),"",ReferenceData!$C$9),"")</f>
        <v>IS030</v>
      </c>
      <c r="D9" t="str">
        <f>IFERROR(IF(0=LEN(ReferenceData!$D$9),"",ReferenceData!$D$9),"")</f>
        <v>IS_RENT_INC</v>
      </c>
      <c r="E9" t="str">
        <f>IFERROR(IF(0=LEN(ReferenceData!$E$9),"",ReferenceData!$E$9),"")</f>
        <v>动态</v>
      </c>
      <c r="F9" t="str">
        <f ca="1">IFERROR(IF(0=LEN(ReferenceData!$F$9),"",ReferenceData!$F$9),"")</f>
        <v/>
      </c>
      <c r="G9">
        <f ca="1">IFERROR(IF(0=LEN(ReferenceData!$G$9),"",ReferenceData!$G$9),"")</f>
        <v>310.63200000000001</v>
      </c>
      <c r="H9">
        <f ca="1">IFERROR(IF(0=LEN(ReferenceData!$H$9),"",ReferenceData!$H$9),"")</f>
        <v>290.91899999999998</v>
      </c>
      <c r="I9">
        <f ca="1">IFERROR(IF(0=LEN(ReferenceData!$I$9),"",ReferenceData!$I$9),"")</f>
        <v>292.84300000000002</v>
      </c>
      <c r="J9">
        <f ca="1">IFERROR(IF(0=LEN(ReferenceData!$J$9),"",ReferenceData!$J$9),"")</f>
        <v>289.39100000000002</v>
      </c>
      <c r="K9">
        <f ca="1">IFERROR(IF(0=LEN(ReferenceData!$K$9),"",ReferenceData!$K$9),"")</f>
        <v>292.90899999999999</v>
      </c>
      <c r="L9">
        <f ca="1">IFERROR(IF(0=LEN(ReferenceData!$L$9),"",ReferenceData!$L$9),"")</f>
        <v>279.286</v>
      </c>
      <c r="M9">
        <f ca="1">IFERROR(IF(0=LEN(ReferenceData!$M$9),"",ReferenceData!$M$9),"")</f>
        <v>287.11500000000001</v>
      </c>
      <c r="N9">
        <f ca="1">IFERROR(IF(0=LEN(ReferenceData!$N$9),"",ReferenceData!$N$9),"")</f>
        <v>293.09100000000001</v>
      </c>
      <c r="O9">
        <f ca="1">IFERROR(IF(0=LEN(ReferenceData!$O$9),"",ReferenceData!$O$9),"")</f>
        <v>296.50099999999998</v>
      </c>
      <c r="P9">
        <f ca="1">IFERROR(IF(0=LEN(ReferenceData!$P$9),"",ReferenceData!$P$9),"")</f>
        <v>283.387</v>
      </c>
      <c r="Q9">
        <f ca="1">IFERROR(IF(0=LEN(ReferenceData!$Q$9),"",ReferenceData!$Q$9),"")</f>
        <v>289.08</v>
      </c>
      <c r="R9">
        <f ca="1">IFERROR(IF(0=LEN(ReferenceData!$R$9),"",ReferenceData!$R$9),"")</f>
        <v>275.50599999999997</v>
      </c>
      <c r="S9">
        <f ca="1">IFERROR(IF(0=LEN(ReferenceData!$S$9),"",ReferenceData!$S$9),"")</f>
        <v>255.74799999999999</v>
      </c>
      <c r="T9">
        <f ca="1">IFERROR(IF(0=LEN(ReferenceData!$T$9),"",ReferenceData!$T$9),"")</f>
        <v>246.55500000000001</v>
      </c>
      <c r="U9">
        <f ca="1">IFERROR(IF(0=LEN(ReferenceData!$U$9),"",ReferenceData!$U$9),"")</f>
        <v>237.43199999999999</v>
      </c>
      <c r="V9">
        <f ca="1">IFERROR(IF(0=LEN(ReferenceData!$V$9),"",ReferenceData!$V$9),"")</f>
        <v>219.15199999999999</v>
      </c>
      <c r="W9">
        <f ca="1">IFERROR(IF(0=LEN(ReferenceData!$W$9),"",ReferenceData!$W$9),"")</f>
        <v>217.36199999999999</v>
      </c>
      <c r="X9">
        <f ca="1">IFERROR(IF(0=LEN(ReferenceData!$X$9),"",ReferenceData!$X$9),"")</f>
        <v>212.15299999999999</v>
      </c>
      <c r="Y9">
        <f ca="1">IFERROR(IF(0=LEN(ReferenceData!$Y$9),"",ReferenceData!$Y$9),"")</f>
        <v>237.07900000000001</v>
      </c>
      <c r="Z9">
        <f ca="1">IFERROR(IF(0=LEN(ReferenceData!$Z$9),"",ReferenceData!$Z$9),"")</f>
        <v>218.62200000000001</v>
      </c>
      <c r="AA9">
        <f ca="1">IFERROR(IF(0=LEN(ReferenceData!$AA$9),"",ReferenceData!$AA$9),"")</f>
        <v>216.89599999999999</v>
      </c>
      <c r="AB9">
        <f ca="1">IFERROR(IF(0=LEN(ReferenceData!$AB$9),"",ReferenceData!$AB$9),"")</f>
        <v>213.946</v>
      </c>
      <c r="AC9">
        <f ca="1">IFERROR(IF(0=LEN(ReferenceData!$AC$9),"",ReferenceData!$AC$9),"")</f>
        <v>217.809</v>
      </c>
      <c r="AD9">
        <f ca="1">IFERROR(IF(0=LEN(ReferenceData!$AD$9),"",ReferenceData!$AD$9),"")</f>
        <v>214.56399999999999</v>
      </c>
      <c r="AE9">
        <f ca="1">IFERROR(IF(0=LEN(ReferenceData!$AE$9),"",ReferenceData!$AE$9),"")</f>
        <v>212.46299999999999</v>
      </c>
      <c r="AF9">
        <f ca="1">IFERROR(IF(0=LEN(ReferenceData!$AF$9),"",ReferenceData!$AF$9),"")</f>
        <v>204.297</v>
      </c>
      <c r="AG9">
        <f ca="1">IFERROR(IF(0=LEN(ReferenceData!$AG$9),"",ReferenceData!$AG$9),"")</f>
        <v>211.637</v>
      </c>
      <c r="AH9">
        <f ca="1">IFERROR(IF(0=LEN(ReferenceData!$AH$9),"",ReferenceData!$AH$9),"")</f>
        <v>215.47300000000001</v>
      </c>
      <c r="AI9">
        <f ca="1">IFERROR(IF(0=LEN(ReferenceData!$AI$9),"",ReferenceData!$AI$9),"")</f>
        <v>210.58500000000001</v>
      </c>
      <c r="AJ9">
        <f ca="1">IFERROR(IF(0=LEN(ReferenceData!$AJ$9),"",ReferenceData!$AJ$9),"")</f>
        <v>207.23099999999999</v>
      </c>
      <c r="AK9">
        <f ca="1">IFERROR(IF(0=LEN(ReferenceData!$AK$9),"",ReferenceData!$AK$9),"")</f>
        <v>208.322</v>
      </c>
      <c r="AL9">
        <f ca="1">IFERROR(IF(0=LEN(ReferenceData!$AL$9),"",ReferenceData!$AL$9),"")</f>
        <v>213.35</v>
      </c>
      <c r="AM9">
        <f ca="1">IFERROR(IF(0=LEN(ReferenceData!$AM$9),"",ReferenceData!$AM$9),"")</f>
        <v>203.465</v>
      </c>
      <c r="AN9">
        <f ca="1">IFERROR(IF(0=LEN(ReferenceData!$AN$9),"",ReferenceData!$AN$9),"")</f>
        <v>190.09200000000001</v>
      </c>
      <c r="AO9">
        <f ca="1">IFERROR(IF(0=LEN(ReferenceData!$AO$9),"",ReferenceData!$AO$9),"")</f>
        <v>188.095</v>
      </c>
      <c r="AP9">
        <f ca="1">IFERROR(IF(0=LEN(ReferenceData!$AP$9),"",ReferenceData!$AP$9),"")</f>
        <v>193.626</v>
      </c>
      <c r="AQ9">
        <f ca="1">IFERROR(IF(0=LEN(ReferenceData!$AQ$9),"",ReferenceData!$AQ$9),"")</f>
        <v>196.989</v>
      </c>
      <c r="AR9">
        <f ca="1">IFERROR(IF(0=LEN(ReferenceData!$AR$9),"",ReferenceData!$AR$9),"")</f>
        <v>189.952</v>
      </c>
      <c r="AS9">
        <f ca="1">IFERROR(IF(0=LEN(ReferenceData!$AS$9),"",ReferenceData!$AS$9),"")</f>
        <v>182.97</v>
      </c>
      <c r="AT9">
        <f ca="1">IFERROR(IF(0=LEN(ReferenceData!$AT$9),"",ReferenceData!$AT$9),"")</f>
        <v>188.79400000000001</v>
      </c>
      <c r="AU9">
        <f ca="1">IFERROR(IF(0=LEN(ReferenceData!$AU$9),"",ReferenceData!$AU$9),"")</f>
        <v>174.76400000000001</v>
      </c>
      <c r="AV9">
        <f ca="1">IFERROR(IF(0=LEN(ReferenceData!$AV$9),"",ReferenceData!$AV$9),"")</f>
        <v>172.23699999999999</v>
      </c>
      <c r="AW9">
        <f ca="1">IFERROR(IF(0=LEN(ReferenceData!$AW$9),"",ReferenceData!$AW$9),"")</f>
        <v>169.256</v>
      </c>
      <c r="AX9">
        <f ca="1">IFERROR(IF(0=LEN(ReferenceData!$AX$9),"",ReferenceData!$AX$9),"")</f>
        <v>158.27699999999999</v>
      </c>
      <c r="AY9">
        <f ca="1">IFERROR(IF(0=LEN(ReferenceData!$AY$9),"",ReferenceData!$AY$9),"")</f>
        <v>155.28100000000001</v>
      </c>
      <c r="AZ9">
        <f ca="1">IFERROR(IF(0=LEN(ReferenceData!$AZ$9),"",ReferenceData!$AZ$9),"")</f>
        <v>149.124</v>
      </c>
      <c r="BA9">
        <f ca="1">IFERROR(IF(0=LEN(ReferenceData!$BA$9),"",ReferenceData!$BA$9),"")</f>
        <v>145.98599999999999</v>
      </c>
      <c r="BB9">
        <f ca="1">IFERROR(IF(0=LEN(ReferenceData!$BB$9),"",ReferenceData!$BB$9),"")</f>
        <v>137.15600000000001</v>
      </c>
      <c r="BC9">
        <f ca="1">IFERROR(IF(0=LEN(ReferenceData!$BC$9),"",ReferenceData!$BC$9),"")</f>
        <v>122.108</v>
      </c>
      <c r="BD9">
        <f ca="1">IFERROR(IF(0=LEN(ReferenceData!$BD$9),"",ReferenceData!$BD$9),"")</f>
        <v>128.31100000000001</v>
      </c>
      <c r="BE9">
        <f ca="1">IFERROR(IF(0=LEN(ReferenceData!$BE$9),"",ReferenceData!$BE$9),"")</f>
        <v>125.824</v>
      </c>
      <c r="BF9">
        <f ca="1">IFERROR(IF(0=LEN(ReferenceData!$BF$9),"",ReferenceData!$BF$9),"")</f>
        <v>129.31399999999999</v>
      </c>
      <c r="BG9">
        <f ca="1">IFERROR(IF(0=LEN(ReferenceData!$BG$9),"",ReferenceData!$BG$9),"")</f>
        <v>122.26300000000001</v>
      </c>
      <c r="BH9">
        <f ca="1">IFERROR(IF(0=LEN(ReferenceData!$BH$9),"",ReferenceData!$BH$9),"")</f>
        <v>120.33</v>
      </c>
      <c r="BI9">
        <f ca="1">IFERROR(IF(0=LEN(ReferenceData!$BI$9),"",ReferenceData!$BI$9),"")</f>
        <v>131.02600000000001</v>
      </c>
      <c r="BJ9">
        <f ca="1">IFERROR(IF(0=LEN(ReferenceData!$BJ$9),"",ReferenceData!$BJ$9),"")</f>
        <v>139.92699999999999</v>
      </c>
      <c r="BK9">
        <f ca="1">IFERROR(IF(0=LEN(ReferenceData!$BK$9),"",ReferenceData!$BK$9),"")</f>
        <v>124.96899999999999</v>
      </c>
      <c r="BL9">
        <f ca="1">IFERROR(IF(0=LEN(ReferenceData!$BL$9),"",ReferenceData!$BL$9),"")</f>
        <v>117.40899659999999</v>
      </c>
      <c r="BM9">
        <f ca="1">IFERROR(IF(0=LEN(ReferenceData!$BM$9),"",ReferenceData!$BM$9),"")</f>
        <v>114.645</v>
      </c>
    </row>
    <row r="10" spans="1:65">
      <c r="A10" t="str">
        <f>IFERROR(IF(0=LEN(ReferenceData!$A$10),"",ReferenceData!$A$10),"")</f>
        <v xml:space="preserve">    National Retail Properties Inc</v>
      </c>
      <c r="B10" t="str">
        <f>IFERROR(IF(0=LEN(ReferenceData!$B$10),"",ReferenceData!$B$10),"")</f>
        <v>NNN US Equity</v>
      </c>
      <c r="C10" t="str">
        <f>IFERROR(IF(0=LEN(ReferenceData!$C$10),"",ReferenceData!$C$10),"")</f>
        <v>IS030</v>
      </c>
      <c r="D10" t="str">
        <f>IFERROR(IF(0=LEN(ReferenceData!$D$10),"",ReferenceData!$D$10),"")</f>
        <v>IS_RENT_INC</v>
      </c>
      <c r="E10" t="str">
        <f>IFERROR(IF(0=LEN(ReferenceData!$E$10),"",ReferenceData!$E$10),"")</f>
        <v>动态</v>
      </c>
      <c r="F10" t="str">
        <f ca="1">IFERROR(IF(0=LEN(ReferenceData!$F$10),"",ReferenceData!$F$10),"")</f>
        <v/>
      </c>
      <c r="G10">
        <f ca="1">IFERROR(IF(0=LEN(ReferenceData!$G$10),"",ReferenceData!$G$10),"")</f>
        <v>149.52500000000001</v>
      </c>
      <c r="H10">
        <f ca="1">IFERROR(IF(0=LEN(ReferenceData!$H$10),"",ReferenceData!$H$10),"")</f>
        <v>147.22900000000001</v>
      </c>
      <c r="I10">
        <f ca="1">IFERROR(IF(0=LEN(ReferenceData!$I$10),"",ReferenceData!$I$10),"")</f>
        <v>145.196</v>
      </c>
      <c r="J10">
        <f ca="1">IFERROR(IF(0=LEN(ReferenceData!$J$10),"",ReferenceData!$J$10),"")</f>
        <v>140.90100000000001</v>
      </c>
      <c r="K10">
        <f ca="1">IFERROR(IF(0=LEN(ReferenceData!$K$10),"",ReferenceData!$K$10),"")</f>
        <v>140.679</v>
      </c>
      <c r="L10">
        <f ca="1">IFERROR(IF(0=LEN(ReferenceData!$L$10),"",ReferenceData!$L$10),"")</f>
        <v>133.678</v>
      </c>
      <c r="M10">
        <f ca="1">IFERROR(IF(0=LEN(ReferenceData!$M$10),"",ReferenceData!$M$10),"")</f>
        <v>129.83000000000001</v>
      </c>
      <c r="N10">
        <f ca="1">IFERROR(IF(0=LEN(ReferenceData!$N$10),"",ReferenceData!$N$10),"")</f>
        <v>125.709</v>
      </c>
      <c r="O10">
        <f ca="1">IFERROR(IF(0=LEN(ReferenceData!$O$10),"",ReferenceData!$O$10),"")</f>
        <v>125.667</v>
      </c>
      <c r="P10">
        <f ca="1">IFERROR(IF(0=LEN(ReferenceData!$P$10),"",ReferenceData!$P$10),"")</f>
        <v>122.018</v>
      </c>
      <c r="Q10">
        <f ca="1">IFERROR(IF(0=LEN(ReferenceData!$Q$10),"",ReferenceData!$Q$10),"")</f>
        <v>116.151</v>
      </c>
      <c r="R10">
        <f ca="1">IFERROR(IF(0=LEN(ReferenceData!$R$10),"",ReferenceData!$R$10),"")</f>
        <v>115.17400000000001</v>
      </c>
      <c r="S10">
        <f ca="1">IFERROR(IF(0=LEN(ReferenceData!$S$10),"",ReferenceData!$S$10),"")</f>
        <v>114.34099999999999</v>
      </c>
      <c r="T10">
        <f ca="1">IFERROR(IF(0=LEN(ReferenceData!$T$10),"",ReferenceData!$T$10),"")</f>
        <v>108.51300000000001</v>
      </c>
      <c r="U10">
        <f ca="1">IFERROR(IF(0=LEN(ReferenceData!$U$10),"",ReferenceData!$U$10),"")</f>
        <v>104.181</v>
      </c>
      <c r="V10">
        <f ca="1">IFERROR(IF(0=LEN(ReferenceData!$V$10),"",ReferenceData!$V$10),"")</f>
        <v>102.377</v>
      </c>
      <c r="W10">
        <f ca="1">IFERROR(IF(0=LEN(ReferenceData!$W$10),"",ReferenceData!$W$10),"")</f>
        <v>103.11799999999999</v>
      </c>
      <c r="X10">
        <f ca="1">IFERROR(IF(0=LEN(ReferenceData!$X$10),"",ReferenceData!$X$10),"")</f>
        <v>99.152000000000001</v>
      </c>
      <c r="Y10">
        <f ca="1">IFERROR(IF(0=LEN(ReferenceData!$Y$10),"",ReferenceData!$Y$10),"")</f>
        <v>94.837000000000003</v>
      </c>
      <c r="Z10">
        <f ca="1">IFERROR(IF(0=LEN(ReferenceData!$Z$10),"",ReferenceData!$Z$10),"")</f>
        <v>90.965999999999994</v>
      </c>
      <c r="AA10">
        <f ca="1">IFERROR(IF(0=LEN(ReferenceData!$AA$10),"",ReferenceData!$AA$10),"")</f>
        <v>88.022000000000006</v>
      </c>
      <c r="AB10">
        <f ca="1">IFERROR(IF(0=LEN(ReferenceData!$AB$10),"",ReferenceData!$AB$10),"")</f>
        <v>82.715000000000003</v>
      </c>
      <c r="AC10">
        <f ca="1">IFERROR(IF(0=LEN(ReferenceData!$AC$10),"",ReferenceData!$AC$10),"")</f>
        <v>79.302000000000007</v>
      </c>
      <c r="AD10">
        <f ca="1">IFERROR(IF(0=LEN(ReferenceData!$AD$10),"",ReferenceData!$AD$10),"")</f>
        <v>75.295000000000002</v>
      </c>
      <c r="AE10">
        <f ca="1">IFERROR(IF(0=LEN(ReferenceData!$AE$10),"",ReferenceData!$AE$10),"")</f>
        <v>71.596999999999994</v>
      </c>
      <c r="AF10">
        <f ca="1">IFERROR(IF(0=LEN(ReferenceData!$AF$10),"",ReferenceData!$AF$10),"")</f>
        <v>64.823999999999998</v>
      </c>
      <c r="AG10">
        <f ca="1">IFERROR(IF(0=LEN(ReferenceData!$AG$10),"",ReferenceData!$AG$10),"")</f>
        <v>59.851999999999997</v>
      </c>
      <c r="AH10">
        <f ca="1">IFERROR(IF(0=LEN(ReferenceData!$AH$10),"",ReferenceData!$AH$10),"")</f>
        <v>59.402000000000001</v>
      </c>
      <c r="AI10">
        <f ca="1">IFERROR(IF(0=LEN(ReferenceData!$AI$10),"",ReferenceData!$AI$10),"")</f>
        <v>58.262999999999998</v>
      </c>
      <c r="AJ10">
        <f ca="1">IFERROR(IF(0=LEN(ReferenceData!$AJ$10),"",ReferenceData!$AJ$10),"")</f>
        <v>54.158000000000001</v>
      </c>
      <c r="AK10">
        <f ca="1">IFERROR(IF(0=LEN(ReferenceData!$AK$10),"",ReferenceData!$AK$10),"")</f>
        <v>53.826000000000001</v>
      </c>
      <c r="AL10">
        <f ca="1">IFERROR(IF(0=LEN(ReferenceData!$AL$10),"",ReferenceData!$AL$10),"")</f>
        <v>53.731000000000002</v>
      </c>
      <c r="AM10">
        <f ca="1">IFERROR(IF(0=LEN(ReferenceData!$AM$10),"",ReferenceData!$AM$10),"")</f>
        <v>55.38</v>
      </c>
      <c r="AN10">
        <f ca="1">IFERROR(IF(0=LEN(ReferenceData!$AN$10),"",ReferenceData!$AN$10),"")</f>
        <v>54.176000000000002</v>
      </c>
      <c r="AO10">
        <f ca="1">IFERROR(IF(0=LEN(ReferenceData!$AO$10),"",ReferenceData!$AO$10),"")</f>
        <v>55.113999999999997</v>
      </c>
      <c r="AP10">
        <f ca="1">IFERROR(IF(0=LEN(ReferenceData!$AP$10),"",ReferenceData!$AP$10),"")</f>
        <v>55.25</v>
      </c>
      <c r="AQ10">
        <f ca="1">IFERROR(IF(0=LEN(ReferenceData!$AQ$10),"",ReferenceData!$AQ$10),"")</f>
        <v>55.499000000000002</v>
      </c>
      <c r="AR10">
        <f ca="1">IFERROR(IF(0=LEN(ReferenceData!$AR$10),"",ReferenceData!$AR$10),"")</f>
        <v>56.058999999999997</v>
      </c>
      <c r="AS10">
        <f ca="1">IFERROR(IF(0=LEN(ReferenceData!$AS$10),"",ReferenceData!$AS$10),"")</f>
        <v>53.011000000000003</v>
      </c>
      <c r="AT10">
        <f ca="1">IFERROR(IF(0=LEN(ReferenceData!$AT$10),"",ReferenceData!$AT$10),"")</f>
        <v>51.417999999999999</v>
      </c>
      <c r="AU10">
        <f ca="1">IFERROR(IF(0=LEN(ReferenceData!$AU$10),"",ReferenceData!$AU$10),"")</f>
        <v>45.738</v>
      </c>
      <c r="AV10">
        <f ca="1">IFERROR(IF(0=LEN(ReferenceData!$AV$10),"",ReferenceData!$AV$10),"")</f>
        <v>43.238</v>
      </c>
      <c r="AW10">
        <f ca="1">IFERROR(IF(0=LEN(ReferenceData!$AW$10),"",ReferenceData!$AW$10),"")</f>
        <v>42.088001249999998</v>
      </c>
      <c r="AX10">
        <f ca="1">IFERROR(IF(0=LEN(ReferenceData!$AX$10),"",ReferenceData!$AX$10),"")</f>
        <v>36.874000000000002</v>
      </c>
      <c r="AY10">
        <f ca="1">IFERROR(IF(0=LEN(ReferenceData!$AY$10),"",ReferenceData!$AY$10),"")</f>
        <v>34.268001560000002</v>
      </c>
      <c r="AZ10">
        <f ca="1">IFERROR(IF(0=LEN(ReferenceData!$AZ$10),"",ReferenceData!$AZ$10),"")</f>
        <v>31.82</v>
      </c>
      <c r="BA10">
        <f ca="1">IFERROR(IF(0=LEN(ReferenceData!$BA$10),"",ReferenceData!$BA$10),"")</f>
        <v>29.916000369999999</v>
      </c>
      <c r="BB10">
        <f ca="1">IFERROR(IF(0=LEN(ReferenceData!$BB$10),"",ReferenceData!$BB$10),"")</f>
        <v>29.978999999999999</v>
      </c>
      <c r="BC10">
        <f ca="1">IFERROR(IF(0=LEN(ReferenceData!$BC$10),"",ReferenceData!$BC$10),"")</f>
        <v>25.12199974</v>
      </c>
      <c r="BD10">
        <f ca="1">IFERROR(IF(0=LEN(ReferenceData!$BD$10),"",ReferenceData!$BD$10),"")</f>
        <v>25.033000950000002</v>
      </c>
      <c r="BE10">
        <f ca="1">IFERROR(IF(0=LEN(ReferenceData!$BE$10),"",ReferenceData!$BE$10),"")</f>
        <v>23.915000920000001</v>
      </c>
      <c r="BF10">
        <f ca="1">IFERROR(IF(0=LEN(ReferenceData!$BF$10),"",ReferenceData!$BF$10),"")</f>
        <v>23.181999999999999</v>
      </c>
      <c r="BG10">
        <f ca="1">IFERROR(IF(0=LEN(ReferenceData!$BG$10),"",ReferenceData!$BG$10),"")</f>
        <v>29.571999999999999</v>
      </c>
      <c r="BH10">
        <f ca="1">IFERROR(IF(0=LEN(ReferenceData!$BH$10),"",ReferenceData!$BH$10),"")</f>
        <v>28.428999999999998</v>
      </c>
      <c r="BI10">
        <f ca="1">IFERROR(IF(0=LEN(ReferenceData!$BI$10),"",ReferenceData!$BI$10),"")</f>
        <v>29.728000000000002</v>
      </c>
      <c r="BJ10">
        <f ca="1">IFERROR(IF(0=LEN(ReferenceData!$BJ$10),"",ReferenceData!$BJ$10),"")</f>
        <v>29.59</v>
      </c>
      <c r="BK10">
        <f ca="1">IFERROR(IF(0=LEN(ReferenceData!$BK$10),"",ReferenceData!$BK$10),"")</f>
        <v>22.95</v>
      </c>
      <c r="BL10">
        <f ca="1">IFERROR(IF(0=LEN(ReferenceData!$BL$10),"",ReferenceData!$BL$10),"")</f>
        <v>24.318000789999999</v>
      </c>
      <c r="BM10">
        <f ca="1">IFERROR(IF(0=LEN(ReferenceData!$BM$10),"",ReferenceData!$BM$10),"")</f>
        <v>21.491</v>
      </c>
    </row>
    <row r="11" spans="1:65">
      <c r="A11" t="str">
        <f>IFERROR(IF(0=LEN(ReferenceData!$A$11),"",ReferenceData!$A$11),"")</f>
        <v xml:space="preserve">    Realty Income Corp</v>
      </c>
      <c r="B11" t="str">
        <f>IFERROR(IF(0=LEN(ReferenceData!$B$11),"",ReferenceData!$B$11),"")</f>
        <v>O US Equity</v>
      </c>
      <c r="C11" t="str">
        <f>IFERROR(IF(0=LEN(ReferenceData!$C$11),"",ReferenceData!$C$11),"")</f>
        <v>IS030</v>
      </c>
      <c r="D11" t="str">
        <f>IFERROR(IF(0=LEN(ReferenceData!$D$11),"",ReferenceData!$D$11),"")</f>
        <v>IS_RENT_INC</v>
      </c>
      <c r="E11" t="str">
        <f>IFERROR(IF(0=LEN(ReferenceData!$E$11),"",ReferenceData!$E$11),"")</f>
        <v>动态</v>
      </c>
      <c r="F11" t="str">
        <f ca="1">IFERROR(IF(0=LEN(ReferenceData!$F$11),"",ReferenceData!$F$11),"")</f>
        <v/>
      </c>
      <c r="G11">
        <f ca="1">IFERROR(IF(0=LEN(ReferenceData!$G$11),"",ReferenceData!$G$11),"")</f>
        <v>310.06400000000002</v>
      </c>
      <c r="H11">
        <f ca="1">IFERROR(IF(0=LEN(ReferenceData!$H$11),"",ReferenceData!$H$11),"")</f>
        <v>305.38799999999998</v>
      </c>
      <c r="I11">
        <f ca="1">IFERROR(IF(0=LEN(ReferenceData!$I$11),"",ReferenceData!$I$11),"")</f>
        <v>299.80500000000001</v>
      </c>
      <c r="J11">
        <f ca="1">IFERROR(IF(0=LEN(ReferenceData!$J$11),"",ReferenceData!$J$11),"")</f>
        <v>297.05</v>
      </c>
      <c r="K11">
        <f ca="1">IFERROR(IF(0=LEN(ReferenceData!$K$11),"",ReferenceData!$K$11),"")</f>
        <v>286.58699999999999</v>
      </c>
      <c r="L11">
        <f ca="1">IFERROR(IF(0=LEN(ReferenceData!$L$11),"",ReferenceData!$L$11),"")</f>
        <v>276.85599999999999</v>
      </c>
      <c r="M11">
        <f ca="1">IFERROR(IF(0=LEN(ReferenceData!$M$11),"",ReferenceData!$M$11),"")</f>
        <v>271.16800000000001</v>
      </c>
      <c r="N11">
        <f ca="1">IFERROR(IF(0=LEN(ReferenceData!$N$11),"",ReferenceData!$N$11),"")</f>
        <v>265.90600000000001</v>
      </c>
      <c r="O11">
        <f ca="1">IFERROR(IF(0=LEN(ReferenceData!$O$11),"",ReferenceData!$O$11),"")</f>
        <v>262.99200000000002</v>
      </c>
      <c r="P11">
        <f ca="1">IFERROR(IF(0=LEN(ReferenceData!$P$11),"",ReferenceData!$P$11),"")</f>
        <v>257.76499999999999</v>
      </c>
      <c r="Q11">
        <f ca="1">IFERROR(IF(0=LEN(ReferenceData!$Q$11),"",ReferenceData!$Q$11),"")</f>
        <v>253.03800000000001</v>
      </c>
      <c r="R11">
        <f ca="1">IFERROR(IF(0=LEN(ReferenceData!$R$11),"",ReferenceData!$R$11),"")</f>
        <v>245.08500000000001</v>
      </c>
      <c r="S11">
        <f ca="1">IFERROR(IF(0=LEN(ReferenceData!$S$11),"",ReferenceData!$S$11),"")</f>
        <v>246.881</v>
      </c>
      <c r="T11">
        <f ca="1">IFERROR(IF(0=LEN(ReferenceData!$T$11),"",ReferenceData!$T$11),"")</f>
        <v>235.107</v>
      </c>
      <c r="U11">
        <f ca="1">IFERROR(IF(0=LEN(ReferenceData!$U$11),"",ReferenceData!$U$11),"")</f>
        <v>228.03700000000001</v>
      </c>
      <c r="V11">
        <f ca="1">IFERROR(IF(0=LEN(ReferenceData!$V$11),"",ReferenceData!$V$11),"")</f>
        <v>220.54900000000001</v>
      </c>
      <c r="W11">
        <f ca="1">IFERROR(IF(0=LEN(ReferenceData!$W$11),"",ReferenceData!$W$11),"")</f>
        <v>214.32300000000001</v>
      </c>
      <c r="X11">
        <f ca="1">IFERROR(IF(0=LEN(ReferenceData!$X$11),"",ReferenceData!$X$11),"")</f>
        <v>200.43899999999999</v>
      </c>
      <c r="Y11">
        <f ca="1">IFERROR(IF(0=LEN(ReferenceData!$Y$11),"",ReferenceData!$Y$11),"")</f>
        <v>184.57400000000001</v>
      </c>
      <c r="Z11">
        <f ca="1">IFERROR(IF(0=LEN(ReferenceData!$Z$11),"",ReferenceData!$Z$11),"")</f>
        <v>173.82499999999999</v>
      </c>
      <c r="AA11">
        <f ca="1">IFERROR(IF(0=LEN(ReferenceData!$AA$11),"",ReferenceData!$AA$11),"")</f>
        <v>132.28399999999999</v>
      </c>
      <c r="AB11">
        <f ca="1">IFERROR(IF(0=LEN(ReferenceData!$AB$11),"",ReferenceData!$AB$11),"")</f>
        <v>116.795</v>
      </c>
      <c r="AC11">
        <f ca="1">IFERROR(IF(0=LEN(ReferenceData!$AC$11),"",ReferenceData!$AC$11),"")</f>
        <v>112.52800000000001</v>
      </c>
      <c r="AD11">
        <f ca="1">IFERROR(IF(0=LEN(ReferenceData!$AD$11),"",ReferenceData!$AD$11),"")</f>
        <v>112.053</v>
      </c>
      <c r="AE11">
        <f ca="1">IFERROR(IF(0=LEN(ReferenceData!$AE$11),"",ReferenceData!$AE$11),"")</f>
        <v>110.97799999999999</v>
      </c>
      <c r="AF11">
        <f ca="1">IFERROR(IF(0=LEN(ReferenceData!$AF$11),"",ReferenceData!$AF$11),"")</f>
        <v>105.742</v>
      </c>
      <c r="AG11">
        <f ca="1">IFERROR(IF(0=LEN(ReferenceData!$AG$11),"",ReferenceData!$AG$11),"")</f>
        <v>101.361</v>
      </c>
      <c r="AH11">
        <f ca="1">IFERROR(IF(0=LEN(ReferenceData!$AH$11),"",ReferenceData!$AH$11),"")</f>
        <v>97.144999999999996</v>
      </c>
      <c r="AI11">
        <f ca="1">IFERROR(IF(0=LEN(ReferenceData!$AI$11),"",ReferenceData!$AI$11),"")</f>
        <v>91.974000000000004</v>
      </c>
      <c r="AJ11">
        <f ca="1">IFERROR(IF(0=LEN(ReferenceData!$AJ$11),"",ReferenceData!$AJ$11),"")</f>
        <v>86.748999999999995</v>
      </c>
      <c r="AK11">
        <f ca="1">IFERROR(IF(0=LEN(ReferenceData!$AK$11),"",ReferenceData!$AK$11),"")</f>
        <v>82.201999999999998</v>
      </c>
      <c r="AL11">
        <f ca="1">IFERROR(IF(0=LEN(ReferenceData!$AL$11),"",ReferenceData!$AL$11),"")</f>
        <v>82.512</v>
      </c>
      <c r="AM11">
        <f ca="1">IFERROR(IF(0=LEN(ReferenceData!$AM$11),"",ReferenceData!$AM$11),"")</f>
        <v>81.116</v>
      </c>
      <c r="AN11">
        <f ca="1">IFERROR(IF(0=LEN(ReferenceData!$AN$11),"",ReferenceData!$AN$11),"")</f>
        <v>81.036000000000001</v>
      </c>
      <c r="AO11">
        <f ca="1">IFERROR(IF(0=LEN(ReferenceData!$AO$11),"",ReferenceData!$AO$11),"")</f>
        <v>81.215999999999994</v>
      </c>
      <c r="AP11">
        <f ca="1">IFERROR(IF(0=LEN(ReferenceData!$AP$11),"",ReferenceData!$AP$11),"")</f>
        <v>81.778000000000006</v>
      </c>
      <c r="AQ11">
        <f ca="1">IFERROR(IF(0=LEN(ReferenceData!$AQ$11),"",ReferenceData!$AQ$11),"")</f>
        <v>82.125</v>
      </c>
      <c r="AR11">
        <f ca="1">IFERROR(IF(0=LEN(ReferenceData!$AR$11),"",ReferenceData!$AR$11),"")</f>
        <v>81.950999999999993</v>
      </c>
      <c r="AS11">
        <f ca="1">IFERROR(IF(0=LEN(ReferenceData!$AS$11),"",ReferenceData!$AS$11),"")</f>
        <v>81.981999999999999</v>
      </c>
      <c r="AT11">
        <f ca="1">IFERROR(IF(0=LEN(ReferenceData!$AT$11),"",ReferenceData!$AT$11),"")</f>
        <v>81.241</v>
      </c>
      <c r="AU11">
        <f ca="1">IFERROR(IF(0=LEN(ReferenceData!$AU$11),"",ReferenceData!$AU$11),"")</f>
        <v>77.421000000000006</v>
      </c>
      <c r="AV11">
        <f ca="1">IFERROR(IF(0=LEN(ReferenceData!$AV$11),"",ReferenceData!$AV$11),"")</f>
        <v>72.228996280000004</v>
      </c>
      <c r="AW11">
        <f ca="1">IFERROR(IF(0=LEN(ReferenceData!$AW$11),"",ReferenceData!$AW$11),"")</f>
        <v>70.111999510000004</v>
      </c>
      <c r="AX11">
        <f ca="1">IFERROR(IF(0=LEN(ReferenceData!$AX$11),"",ReferenceData!$AX$11),"")</f>
        <v>69.177999999999997</v>
      </c>
      <c r="AY11">
        <f ca="1">IFERROR(IF(0=LEN(ReferenceData!$AY$11),"",ReferenceData!$AY$11),"")</f>
        <v>67.831999999999994</v>
      </c>
      <c r="AZ11">
        <f ca="1">IFERROR(IF(0=LEN(ReferenceData!$AZ$11),"",ReferenceData!$AZ$11),"")</f>
        <v>58.918999999999997</v>
      </c>
      <c r="BA11">
        <f ca="1">IFERROR(IF(0=LEN(ReferenceData!$BA$11),"",ReferenceData!$BA$11),"")</f>
        <v>55.703998570000003</v>
      </c>
      <c r="BB11">
        <f ca="1">IFERROR(IF(0=LEN(ReferenceData!$BB$11),"",ReferenceData!$BB$11),"")</f>
        <v>55.031999999999996</v>
      </c>
      <c r="BC11">
        <f ca="1">IFERROR(IF(0=LEN(ReferenceData!$BC$11),"",ReferenceData!$BC$11),"")</f>
        <v>53.319000000000003</v>
      </c>
      <c r="BD11">
        <f ca="1">IFERROR(IF(0=LEN(ReferenceData!$BD$11),"",ReferenceData!$BD$11),"")</f>
        <v>48.750999450000002</v>
      </c>
      <c r="BE11">
        <f ca="1">IFERROR(IF(0=LEN(ReferenceData!$BE$11),"",ReferenceData!$BE$11),"")</f>
        <v>47.08000183</v>
      </c>
      <c r="BF11">
        <f ca="1">IFERROR(IF(0=LEN(ReferenceData!$BF$11),"",ReferenceData!$BF$11),"")</f>
        <v>46.515998840000002</v>
      </c>
      <c r="BG11">
        <f ca="1">IFERROR(IF(0=LEN(ReferenceData!$BG$11),"",ReferenceData!$BG$11),"")</f>
        <v>42.902999999999999</v>
      </c>
      <c r="BH11">
        <f ca="1">IFERROR(IF(0=LEN(ReferenceData!$BH$11),"",ReferenceData!$BH$11),"")</f>
        <v>43.636000000000003</v>
      </c>
      <c r="BI11">
        <f ca="1">IFERROR(IF(0=LEN(ReferenceData!$BI$11),"",ReferenceData!$BI$11),"")</f>
        <v>43.534999999999997</v>
      </c>
      <c r="BJ11">
        <f ca="1">IFERROR(IF(0=LEN(ReferenceData!$BJ$11),"",ReferenceData!$BJ$11),"")</f>
        <v>41.932998660000003</v>
      </c>
      <c r="BK11">
        <f ca="1">IFERROR(IF(0=LEN(ReferenceData!$BK$11),"",ReferenceData!$BK$11),"")</f>
        <v>39.710998539999999</v>
      </c>
      <c r="BL11">
        <f ca="1">IFERROR(IF(0=LEN(ReferenceData!$BL$11),"",ReferenceData!$BL$11),"")</f>
        <v>36.051998140000002</v>
      </c>
      <c r="BM11">
        <f ca="1">IFERROR(IF(0=LEN(ReferenceData!$BM$11),"",ReferenceData!$BM$11),"")</f>
        <v>35.395000459999999</v>
      </c>
    </row>
    <row r="12" spans="1:65">
      <c r="A12" t="str">
        <f>IFERROR(IF(0=LEN(ReferenceData!$A$12),"",ReferenceData!$A$12),"")</f>
        <v xml:space="preserve">    Regency Centers Corp</v>
      </c>
      <c r="B12" t="str">
        <f>IFERROR(IF(0=LEN(ReferenceData!$B$12),"",ReferenceData!$B$12),"")</f>
        <v>REG US Equity</v>
      </c>
      <c r="C12" t="str">
        <f>IFERROR(IF(0=LEN(ReferenceData!$C$12),"",ReferenceData!$C$12),"")</f>
        <v>IS030</v>
      </c>
      <c r="D12" t="str">
        <f>IFERROR(IF(0=LEN(ReferenceData!$D$12),"",ReferenceData!$D$12),"")</f>
        <v>IS_RENT_INC</v>
      </c>
      <c r="E12" t="str">
        <f>IFERROR(IF(0=LEN(ReferenceData!$E$12),"",ReferenceData!$E$12),"")</f>
        <v>动态</v>
      </c>
      <c r="F12" t="str">
        <f ca="1">IFERROR(IF(0=LEN(ReferenceData!$F$12),"",ReferenceData!$F$12),"")</f>
        <v/>
      </c>
      <c r="G12">
        <f ca="1">IFERROR(IF(0=LEN(ReferenceData!$G$12),"",ReferenceData!$G$12),"")</f>
        <v>257.94499999999999</v>
      </c>
      <c r="H12">
        <f ca="1">IFERROR(IF(0=LEN(ReferenceData!$H$12),"",ReferenceData!$H$12),"")</f>
        <v>256.09399999999999</v>
      </c>
      <c r="I12">
        <f ca="1">IFERROR(IF(0=LEN(ReferenceData!$I$12),"",ReferenceData!$I$12),"")</f>
        <v>254.70400000000001</v>
      </c>
      <c r="J12">
        <f ca="1">IFERROR(IF(0=LEN(ReferenceData!$J$12),"",ReferenceData!$J$12),"")</f>
        <v>189.42500000000001</v>
      </c>
      <c r="K12">
        <f ca="1">IFERROR(IF(0=LEN(ReferenceData!$K$12),"",ReferenceData!$K$12),"")</f>
        <v>152.99299999999999</v>
      </c>
      <c r="L12">
        <f ca="1">IFERROR(IF(0=LEN(ReferenceData!$L$12),"",ReferenceData!$L$12),"")</f>
        <v>146.91300000000001</v>
      </c>
      <c r="M12">
        <f ca="1">IFERROR(IF(0=LEN(ReferenceData!$M$12),"",ReferenceData!$M$12),"")</f>
        <v>146.27199999999999</v>
      </c>
      <c r="N12">
        <f ca="1">IFERROR(IF(0=LEN(ReferenceData!$N$12),"",ReferenceData!$N$12),"")</f>
        <v>142.864</v>
      </c>
      <c r="O12">
        <f ca="1">IFERROR(IF(0=LEN(ReferenceData!$O$12),"",ReferenceData!$O$12),"")</f>
        <v>138.637</v>
      </c>
      <c r="P12">
        <f ca="1">IFERROR(IF(0=LEN(ReferenceData!$P$12),"",ReferenceData!$P$12),"")</f>
        <v>136.28200000000001</v>
      </c>
      <c r="Q12">
        <f ca="1">IFERROR(IF(0=LEN(ReferenceData!$Q$12),"",ReferenceData!$Q$12),"")</f>
        <v>135.12100000000001</v>
      </c>
      <c r="R12">
        <f ca="1">IFERROR(IF(0=LEN(ReferenceData!$R$12),"",ReferenceData!$R$12),"")</f>
        <v>134.161</v>
      </c>
      <c r="S12">
        <f ca="1">IFERROR(IF(0=LEN(ReferenceData!$S$12),"",ReferenceData!$S$12),"")</f>
        <v>130.423</v>
      </c>
      <c r="T12">
        <f ca="1">IFERROR(IF(0=LEN(ReferenceData!$T$12),"",ReferenceData!$T$12),"")</f>
        <v>127.77800000000001</v>
      </c>
      <c r="U12">
        <f ca="1">IFERROR(IF(0=LEN(ReferenceData!$U$12),"",ReferenceData!$U$12),"")</f>
        <v>128.63900000000001</v>
      </c>
      <c r="V12">
        <f ca="1">IFERROR(IF(0=LEN(ReferenceData!$V$12),"",ReferenceData!$V$12),"")</f>
        <v>126.961</v>
      </c>
      <c r="W12">
        <f ca="1">IFERROR(IF(0=LEN(ReferenceData!$W$12),"",ReferenceData!$W$12),"")</f>
        <v>120.104</v>
      </c>
      <c r="X12">
        <f ca="1">IFERROR(IF(0=LEN(ReferenceData!$X$12),"",ReferenceData!$X$12),"")</f>
        <v>114.624</v>
      </c>
      <c r="Y12">
        <f ca="1">IFERROR(IF(0=LEN(ReferenceData!$Y$12),"",ReferenceData!$Y$12),"")</f>
        <v>115.566</v>
      </c>
      <c r="Z12">
        <f ca="1">IFERROR(IF(0=LEN(ReferenceData!$Z$12),"",ReferenceData!$Z$12),"")</f>
        <v>113.617</v>
      </c>
      <c r="AA12">
        <f ca="1">IFERROR(IF(0=LEN(ReferenceData!$AA$12),"",ReferenceData!$AA$12),"")</f>
        <v>109.779</v>
      </c>
      <c r="AB12">
        <f ca="1">IFERROR(IF(0=LEN(ReferenceData!$AB$12),"",ReferenceData!$AB$12),"")</f>
        <v>109.148</v>
      </c>
      <c r="AC12">
        <f ca="1">IFERROR(IF(0=LEN(ReferenceData!$AC$12),"",ReferenceData!$AC$12),"")</f>
        <v>120.29600000000001</v>
      </c>
      <c r="AD12">
        <f ca="1">IFERROR(IF(0=LEN(ReferenceData!$AD$12),"",ReferenceData!$AD$12),"")</f>
        <v>119.093</v>
      </c>
      <c r="AE12">
        <f ca="1">IFERROR(IF(0=LEN(ReferenceData!$AE$12),"",ReferenceData!$AE$12),"")</f>
        <v>116.61</v>
      </c>
      <c r="AF12">
        <f ca="1">IFERROR(IF(0=LEN(ReferenceData!$AF$12),"",ReferenceData!$AF$12),"")</f>
        <v>116.08</v>
      </c>
      <c r="AG12">
        <f ca="1">IFERROR(IF(0=LEN(ReferenceData!$AG$12),"",ReferenceData!$AG$12),"")</f>
        <v>112.45</v>
      </c>
      <c r="AH12">
        <f ca="1">IFERROR(IF(0=LEN(ReferenceData!$AH$12),"",ReferenceData!$AH$12),"")</f>
        <v>116.47</v>
      </c>
      <c r="AI12">
        <f ca="1">IFERROR(IF(0=LEN(ReferenceData!$AI$12),"",ReferenceData!$AI$12),"")</f>
        <v>111.15921</v>
      </c>
      <c r="AJ12">
        <f ca="1">IFERROR(IF(0=LEN(ReferenceData!$AJ$12),"",ReferenceData!$AJ$12),"")</f>
        <v>114.26900000000001</v>
      </c>
      <c r="AK12">
        <f ca="1">IFERROR(IF(0=LEN(ReferenceData!$AK$12),"",ReferenceData!$AK$12),"")</f>
        <v>111.733</v>
      </c>
      <c r="AL12">
        <f ca="1">IFERROR(IF(0=LEN(ReferenceData!$AL$12),"",ReferenceData!$AL$12),"")</f>
        <v>117.14700000000001</v>
      </c>
      <c r="AM12">
        <f ca="1">IFERROR(IF(0=LEN(ReferenceData!$AM$12),"",ReferenceData!$AM$12),"")</f>
        <v>113.313671</v>
      </c>
      <c r="AN12">
        <f ca="1">IFERROR(IF(0=LEN(ReferenceData!$AN$12),"",ReferenceData!$AN$12),"")</f>
        <v>116.715</v>
      </c>
      <c r="AO12">
        <f ca="1">IFERROR(IF(0=LEN(ReferenceData!$AO$12),"",ReferenceData!$AO$12),"")</f>
        <v>108.396</v>
      </c>
      <c r="AP12">
        <f ca="1">IFERROR(IF(0=LEN(ReferenceData!$AP$12),"",ReferenceData!$AP$12),"")</f>
        <v>111.95699999999999</v>
      </c>
      <c r="AQ12">
        <f ca="1">IFERROR(IF(0=LEN(ReferenceData!$AQ$12),"",ReferenceData!$AQ$12),"")</f>
        <v>112.77685</v>
      </c>
      <c r="AR12">
        <f ca="1">IFERROR(IF(0=LEN(ReferenceData!$AR$12),"",ReferenceData!$AR$12),"")</f>
        <v>113.545</v>
      </c>
      <c r="AS12">
        <f ca="1">IFERROR(IF(0=LEN(ReferenceData!$AS$12),"",ReferenceData!$AS$12),"")</f>
        <v>108.95399999999999</v>
      </c>
      <c r="AT12">
        <f ca="1">IFERROR(IF(0=LEN(ReferenceData!$AT$12),"",ReferenceData!$AT$12),"")</f>
        <v>107.05800000000001</v>
      </c>
      <c r="AU12">
        <f ca="1">IFERROR(IF(0=LEN(ReferenceData!$AU$12),"",ReferenceData!$AU$12),"")</f>
        <v>99.231999999999999</v>
      </c>
      <c r="AV12">
        <f ca="1">IFERROR(IF(0=LEN(ReferenceData!$AV$12),"",ReferenceData!$AV$12),"")</f>
        <v>103.911</v>
      </c>
      <c r="AW12">
        <f ca="1">IFERROR(IF(0=LEN(ReferenceData!$AW$12),"",ReferenceData!$AW$12),"")</f>
        <v>100.343</v>
      </c>
      <c r="AX12">
        <f ca="1">IFERROR(IF(0=LEN(ReferenceData!$AX$12),"",ReferenceData!$AX$12),"")</f>
        <v>100.032</v>
      </c>
      <c r="AY12">
        <f ca="1">IFERROR(IF(0=LEN(ReferenceData!$AY$12),"",ReferenceData!$AY$12),"")</f>
        <v>102.06399999999999</v>
      </c>
      <c r="AZ12">
        <f ca="1">IFERROR(IF(0=LEN(ReferenceData!$AZ$12),"",ReferenceData!$AZ$12),"")</f>
        <v>97.29</v>
      </c>
      <c r="BA12">
        <f ca="1">IFERROR(IF(0=LEN(ReferenceData!$BA$12),"",ReferenceData!$BA$12),"")</f>
        <v>93.259</v>
      </c>
      <c r="BB12">
        <f ca="1">IFERROR(IF(0=LEN(ReferenceData!$BB$12),"",ReferenceData!$BB$12),"")</f>
        <v>92.55</v>
      </c>
      <c r="BC12">
        <f ca="1">IFERROR(IF(0=LEN(ReferenceData!$BC$12),"",ReferenceData!$BC$12),"")</f>
        <v>84.316999999999993</v>
      </c>
      <c r="BD12">
        <f ca="1">IFERROR(IF(0=LEN(ReferenceData!$BD$12),"",ReferenceData!$BD$12),"")</f>
        <v>90.936999999999998</v>
      </c>
      <c r="BE12">
        <f ca="1">IFERROR(IF(0=LEN(ReferenceData!$BE$12),"",ReferenceData!$BE$12),"")</f>
        <v>90.04</v>
      </c>
      <c r="BF12">
        <f ca="1">IFERROR(IF(0=LEN(ReferenceData!$BF$12),"",ReferenceData!$BF$12),"")</f>
        <v>90.230999999999995</v>
      </c>
      <c r="BG12">
        <f ca="1">IFERROR(IF(0=LEN(ReferenceData!$BG$12),"",ReferenceData!$BG$12),"")</f>
        <v>98.349000000000004</v>
      </c>
      <c r="BH12">
        <f ca="1">IFERROR(IF(0=LEN(ReferenceData!$BH$12),"",ReferenceData!$BH$12),"")</f>
        <v>90.581000000000003</v>
      </c>
      <c r="BI12">
        <f ca="1">IFERROR(IF(0=LEN(ReferenceData!$BI$12),"",ReferenceData!$BI$12),"")</f>
        <v>92.224997999999999</v>
      </c>
      <c r="BJ12">
        <f ca="1">IFERROR(IF(0=LEN(ReferenceData!$BJ$12),"",ReferenceData!$BJ$12),"")</f>
        <v>88.097999999999999</v>
      </c>
      <c r="BK12">
        <f ca="1">IFERROR(IF(0=LEN(ReferenceData!$BK$12),"",ReferenceData!$BK$12),"")</f>
        <v>88.84500122</v>
      </c>
      <c r="BL12">
        <f ca="1">IFERROR(IF(0=LEN(ReferenceData!$BL$12),"",ReferenceData!$BL$12),"")</f>
        <v>87.168998999999999</v>
      </c>
      <c r="BM12">
        <f ca="1">IFERROR(IF(0=LEN(ReferenceData!$BM$12),"",ReferenceData!$BM$12),"")</f>
        <v>87.330001999999993</v>
      </c>
    </row>
    <row r="13" spans="1:65">
      <c r="A13" t="str">
        <f>IFERROR(IF(0=LEN(ReferenceData!$A$13),"",ReferenceData!$A$13),"")</f>
        <v xml:space="preserve">    Retail Opportunity Investments</v>
      </c>
      <c r="B13" t="str">
        <f>IFERROR(IF(0=LEN(ReferenceData!$B$13),"",ReferenceData!$B$13),"")</f>
        <v>ROIC US Equity</v>
      </c>
      <c r="C13" t="str">
        <f>IFERROR(IF(0=LEN(ReferenceData!$C$13),"",ReferenceData!$C$13),"")</f>
        <v>IS030</v>
      </c>
      <c r="D13" t="str">
        <f>IFERROR(IF(0=LEN(ReferenceData!$D$13),"",ReferenceData!$D$13),"")</f>
        <v>IS_RENT_INC</v>
      </c>
      <c r="E13" t="str">
        <f>IFERROR(IF(0=LEN(ReferenceData!$E$13),"",ReferenceData!$E$13),"")</f>
        <v>动态</v>
      </c>
      <c r="F13" t="str">
        <f ca="1">IFERROR(IF(0=LEN(ReferenceData!$F$13),"",ReferenceData!$F$13),"")</f>
        <v/>
      </c>
      <c r="G13">
        <f ca="1">IFERROR(IF(0=LEN(ReferenceData!$G$13),"",ReferenceData!$G$13),"")</f>
        <v>71.403999999999996</v>
      </c>
      <c r="H13">
        <f ca="1">IFERROR(IF(0=LEN(ReferenceData!$H$13),"",ReferenceData!$H$13),"")</f>
        <v>67.081000000000003</v>
      </c>
      <c r="I13">
        <f ca="1">IFERROR(IF(0=LEN(ReferenceData!$I$13),"",ReferenceData!$I$13),"")</f>
        <v>65.75</v>
      </c>
      <c r="J13">
        <f ca="1">IFERROR(IF(0=LEN(ReferenceData!$J$13),"",ReferenceData!$J$13),"")</f>
        <v>65.147000000000006</v>
      </c>
      <c r="K13">
        <f ca="1">IFERROR(IF(0=LEN(ReferenceData!$K$13),"",ReferenceData!$K$13),"")</f>
        <v>62.213000000000001</v>
      </c>
      <c r="L13">
        <f ca="1">IFERROR(IF(0=LEN(ReferenceData!$L$13),"",ReferenceData!$L$13),"")</f>
        <v>58.7</v>
      </c>
      <c r="M13">
        <f ca="1">IFERROR(IF(0=LEN(ReferenceData!$M$13),"",ReferenceData!$M$13),"")</f>
        <v>58.162999999999997</v>
      </c>
      <c r="N13">
        <f ca="1">IFERROR(IF(0=LEN(ReferenceData!$N$13),"",ReferenceData!$N$13),"")</f>
        <v>55.707999999999998</v>
      </c>
      <c r="O13">
        <f ca="1">IFERROR(IF(0=LEN(ReferenceData!$O$13),"",ReferenceData!$O$13),"")</f>
        <v>50.491</v>
      </c>
      <c r="P13">
        <f ca="1">IFERROR(IF(0=LEN(ReferenceData!$P$13),"",ReferenceData!$P$13),"")</f>
        <v>47.933</v>
      </c>
      <c r="Q13">
        <f ca="1">IFERROR(IF(0=LEN(ReferenceData!$Q$13),"",ReferenceData!$Q$13),"")</f>
        <v>45.869</v>
      </c>
      <c r="R13">
        <f ca="1">IFERROR(IF(0=LEN(ReferenceData!$R$13),"",ReferenceData!$R$13),"")</f>
        <v>44.890999999999998</v>
      </c>
      <c r="S13">
        <f ca="1">IFERROR(IF(0=LEN(ReferenceData!$S$13),"",ReferenceData!$S$13),"")</f>
        <v>41.419696999999999</v>
      </c>
      <c r="T13">
        <f ca="1">IFERROR(IF(0=LEN(ReferenceData!$T$13),"",ReferenceData!$T$13),"")</f>
        <v>39.701728000000003</v>
      </c>
      <c r="U13">
        <f ca="1">IFERROR(IF(0=LEN(ReferenceData!$U$13),"",ReferenceData!$U$13),"")</f>
        <v>36.514774000000003</v>
      </c>
      <c r="V13">
        <f ca="1">IFERROR(IF(0=LEN(ReferenceData!$V$13),"",ReferenceData!$V$13),"")</f>
        <v>35.151000000000003</v>
      </c>
      <c r="W13">
        <f ca="1">IFERROR(IF(0=LEN(ReferenceData!$W$13),"",ReferenceData!$W$13),"")</f>
        <v>32.944949999999999</v>
      </c>
      <c r="X13">
        <f ca="1">IFERROR(IF(0=LEN(ReferenceData!$X$13),"",ReferenceData!$X$13),"")</f>
        <v>26.017026999999999</v>
      </c>
      <c r="Y13">
        <f ca="1">IFERROR(IF(0=LEN(ReferenceData!$Y$13),"",ReferenceData!$Y$13),"")</f>
        <v>25.635429999999999</v>
      </c>
      <c r="Z13">
        <f ca="1">IFERROR(IF(0=LEN(ReferenceData!$Z$13),"",ReferenceData!$Z$13),"")</f>
        <v>24.180389999999999</v>
      </c>
      <c r="AA13">
        <f ca="1">IFERROR(IF(0=LEN(ReferenceData!$AA$13),"",ReferenceData!$AA$13),"")</f>
        <v>21.235913</v>
      </c>
      <c r="AB13">
        <f ca="1">IFERROR(IF(0=LEN(ReferenceData!$AB$13),"",ReferenceData!$AB$13),"")</f>
        <v>18.699279000000001</v>
      </c>
      <c r="AC13">
        <f ca="1">IFERROR(IF(0=LEN(ReferenceData!$AC$13),"",ReferenceData!$AC$13),"")</f>
        <v>17.608944000000001</v>
      </c>
      <c r="AD13">
        <f ca="1">IFERROR(IF(0=LEN(ReferenceData!$AD$13),"",ReferenceData!$AD$13),"")</f>
        <v>16.445461999999999</v>
      </c>
      <c r="AE13">
        <f ca="1">IFERROR(IF(0=LEN(ReferenceData!$AE$13),"",ReferenceData!$AE$13),"")</f>
        <v>16.44275</v>
      </c>
      <c r="AF13">
        <f ca="1">IFERROR(IF(0=LEN(ReferenceData!$AF$13),"",ReferenceData!$AF$13),"")</f>
        <v>13.125278</v>
      </c>
      <c r="AG13">
        <f ca="1">IFERROR(IF(0=LEN(ReferenceData!$AG$13),"",ReferenceData!$AG$13),"")</f>
        <v>11.174416000000001</v>
      </c>
      <c r="AH13">
        <f ca="1">IFERROR(IF(0=LEN(ReferenceData!$AH$13),"",ReferenceData!$AH$13),"")</f>
        <v>9.0864130000000003</v>
      </c>
      <c r="AI13">
        <f ca="1">IFERROR(IF(0=LEN(ReferenceData!$AI$13),"",ReferenceData!$AI$13),"")</f>
        <v>6.538303</v>
      </c>
      <c r="AJ13">
        <f ca="1">IFERROR(IF(0=LEN(ReferenceData!$AJ$13),"",ReferenceData!$AJ$13),"")</f>
        <v>4.4581530000000003</v>
      </c>
      <c r="AK13">
        <f ca="1">IFERROR(IF(0=LEN(ReferenceData!$AK$13),"",ReferenceData!$AK$13),"")</f>
        <v>2.8942209999999999</v>
      </c>
      <c r="AL13">
        <f ca="1">IFERROR(IF(0=LEN(ReferenceData!$AL$13),"",ReferenceData!$AL$13),"")</f>
        <v>1.369332</v>
      </c>
      <c r="AM13" t="str">
        <f ca="1">IFERROR(IF(0=LEN(ReferenceData!$AM$13),"",ReferenceData!$AM$13),"")</f>
        <v/>
      </c>
      <c r="AN13" t="str">
        <f ca="1">IFERROR(IF(0=LEN(ReferenceData!$AN$13),"",ReferenceData!$AN$13),"")</f>
        <v/>
      </c>
      <c r="AO13" t="str">
        <f ca="1">IFERROR(IF(0=LEN(ReferenceData!$AO$13),"",ReferenceData!$AO$13),"")</f>
        <v/>
      </c>
      <c r="AP13" t="str">
        <f ca="1">IFERROR(IF(0=LEN(ReferenceData!$AP$13),"",ReferenceData!$AP$13),"")</f>
        <v/>
      </c>
      <c r="AQ13" t="str">
        <f ca="1">IFERROR(IF(0=LEN(ReferenceData!$AQ$13),"",ReferenceData!$AQ$13),"")</f>
        <v/>
      </c>
      <c r="AR13" t="str">
        <f ca="1">IFERROR(IF(0=LEN(ReferenceData!$AR$13),"",ReferenceData!$AR$13),"")</f>
        <v/>
      </c>
      <c r="AS13" t="str">
        <f ca="1">IFERROR(IF(0=LEN(ReferenceData!$AS$13),"",ReferenceData!$AS$13),"")</f>
        <v/>
      </c>
      <c r="AT13" t="str">
        <f ca="1">IFERROR(IF(0=LEN(ReferenceData!$AT$13),"",ReferenceData!$AT$13),"")</f>
        <v/>
      </c>
      <c r="AU13" t="str">
        <f ca="1">IFERROR(IF(0=LEN(ReferenceData!$AU$13),"",ReferenceData!$AU$13),"")</f>
        <v/>
      </c>
      <c r="AV13" t="str">
        <f ca="1">IFERROR(IF(0=LEN(ReferenceData!$AV$13),"",ReferenceData!$AV$13),"")</f>
        <v/>
      </c>
      <c r="AW13" t="str">
        <f ca="1">IFERROR(IF(0=LEN(ReferenceData!$AW$13),"",ReferenceData!$AW$13),"")</f>
        <v/>
      </c>
      <c r="AX13" t="str">
        <f ca="1">IFERROR(IF(0=LEN(ReferenceData!$AX$13),"",ReferenceData!$AX$13),"")</f>
        <v/>
      </c>
      <c r="AY13" t="str">
        <f ca="1">IFERROR(IF(0=LEN(ReferenceData!$AY$13),"",ReferenceData!$AY$13),"")</f>
        <v/>
      </c>
      <c r="AZ13" t="str">
        <f ca="1">IFERROR(IF(0=LEN(ReferenceData!$AZ$13),"",ReferenceData!$AZ$13),"")</f>
        <v/>
      </c>
      <c r="BA13" t="str">
        <f ca="1">IFERROR(IF(0=LEN(ReferenceData!$BA$13),"",ReferenceData!$BA$13),"")</f>
        <v/>
      </c>
      <c r="BB13" t="str">
        <f ca="1">IFERROR(IF(0=LEN(ReferenceData!$BB$13),"",ReferenceData!$BB$13),"")</f>
        <v/>
      </c>
      <c r="BC13" t="str">
        <f ca="1">IFERROR(IF(0=LEN(ReferenceData!$BC$13),"",ReferenceData!$BC$13),"")</f>
        <v/>
      </c>
      <c r="BD13" t="str">
        <f ca="1">IFERROR(IF(0=LEN(ReferenceData!$BD$13),"",ReferenceData!$BD$13),"")</f>
        <v/>
      </c>
      <c r="BE13" t="str">
        <f ca="1">IFERROR(IF(0=LEN(ReferenceData!$BE$13),"",ReferenceData!$BE$13),"")</f>
        <v/>
      </c>
      <c r="BF13" t="str">
        <f ca="1">IFERROR(IF(0=LEN(ReferenceData!$BF$13),"",ReferenceData!$BF$13),"")</f>
        <v/>
      </c>
      <c r="BG13" t="str">
        <f ca="1">IFERROR(IF(0=LEN(ReferenceData!$BG$13),"",ReferenceData!$BG$13),"")</f>
        <v/>
      </c>
      <c r="BH13" t="str">
        <f ca="1">IFERROR(IF(0=LEN(ReferenceData!$BH$13),"",ReferenceData!$BH$13),"")</f>
        <v/>
      </c>
      <c r="BI13" t="str">
        <f ca="1">IFERROR(IF(0=LEN(ReferenceData!$BI$13),"",ReferenceData!$BI$13),"")</f>
        <v/>
      </c>
      <c r="BJ13" t="str">
        <f ca="1">IFERROR(IF(0=LEN(ReferenceData!$BJ$13),"",ReferenceData!$BJ$13),"")</f>
        <v/>
      </c>
      <c r="BK13" t="str">
        <f ca="1">IFERROR(IF(0=LEN(ReferenceData!$BK$13),"",ReferenceData!$BK$13),"")</f>
        <v/>
      </c>
      <c r="BL13" t="str">
        <f ca="1">IFERROR(IF(0=LEN(ReferenceData!$BL$13),"",ReferenceData!$BL$13),"")</f>
        <v/>
      </c>
      <c r="BM13" t="str">
        <f ca="1">IFERROR(IF(0=LEN(ReferenceData!$BM$13),"",ReferenceData!$BM$13),"")</f>
        <v/>
      </c>
    </row>
    <row r="14" spans="1:65">
      <c r="A14" t="str">
        <f>IFERROR(IF(0=LEN(ReferenceData!$A$14),"",ReferenceData!$A$14),"")</f>
        <v xml:space="preserve">    Retail Properties of America I</v>
      </c>
      <c r="B14" t="str">
        <f>IFERROR(IF(0=LEN(ReferenceData!$B$14),"",ReferenceData!$B$14),"")</f>
        <v>RPAI US Equity</v>
      </c>
      <c r="C14" t="str">
        <f>IFERROR(IF(0=LEN(ReferenceData!$C$14),"",ReferenceData!$C$14),"")</f>
        <v>IS030</v>
      </c>
      <c r="D14" t="str">
        <f>IFERROR(IF(0=LEN(ReferenceData!$D$14),"",ReferenceData!$D$14),"")</f>
        <v>IS_RENT_INC</v>
      </c>
      <c r="E14" t="str">
        <f>IFERROR(IF(0=LEN(ReferenceData!$E$14),"",ReferenceData!$E$14),"")</f>
        <v>动态</v>
      </c>
      <c r="F14" t="str">
        <f ca="1">IFERROR(IF(0=LEN(ReferenceData!$F$14),"",ReferenceData!$F$14),"")</f>
        <v/>
      </c>
      <c r="G14">
        <f ca="1">IFERROR(IF(0=LEN(ReferenceData!$G$14),"",ReferenceData!$G$14),"")</f>
        <v>125.446</v>
      </c>
      <c r="H14">
        <f ca="1">IFERROR(IF(0=LEN(ReferenceData!$H$14),"",ReferenceData!$H$14),"")</f>
        <v>129.001</v>
      </c>
      <c r="I14">
        <f ca="1">IFERROR(IF(0=LEN(ReferenceData!$I$14),"",ReferenceData!$I$14),"")</f>
        <v>135.541</v>
      </c>
      <c r="J14">
        <f ca="1">IFERROR(IF(0=LEN(ReferenceData!$J$14),"",ReferenceData!$J$14),"")</f>
        <v>140.76</v>
      </c>
      <c r="K14">
        <f ca="1">IFERROR(IF(0=LEN(ReferenceData!$K$14),"",ReferenceData!$K$14),"")</f>
        <v>141.006</v>
      </c>
      <c r="L14">
        <f ca="1">IFERROR(IF(0=LEN(ReferenceData!$L$14),"",ReferenceData!$L$14),"")</f>
        <v>142.75700000000001</v>
      </c>
      <c r="M14">
        <f ca="1">IFERROR(IF(0=LEN(ReferenceData!$M$14),"",ReferenceData!$M$14),"")</f>
        <v>144.84800000000001</v>
      </c>
      <c r="N14">
        <f ca="1">IFERROR(IF(0=LEN(ReferenceData!$N$14),"",ReferenceData!$N$14),"")</f>
        <v>145.61600000000001</v>
      </c>
      <c r="O14">
        <f ca="1">IFERROR(IF(0=LEN(ReferenceData!$O$14),"",ReferenceData!$O$14),"")</f>
        <v>146.738</v>
      </c>
      <c r="P14">
        <f ca="1">IFERROR(IF(0=LEN(ReferenceData!$P$14),"",ReferenceData!$P$14),"")</f>
        <v>145.61600000000001</v>
      </c>
      <c r="Q14">
        <f ca="1">IFERROR(IF(0=LEN(ReferenceData!$Q$14),"",ReferenceData!$Q$14),"")</f>
        <v>148.43799999999999</v>
      </c>
      <c r="R14">
        <f ca="1">IFERROR(IF(0=LEN(ReferenceData!$R$14),"",ReferenceData!$R$14),"")</f>
        <v>151.08799999999999</v>
      </c>
      <c r="S14">
        <f ca="1">IFERROR(IF(0=LEN(ReferenceData!$S$14),"",ReferenceData!$S$14),"")</f>
        <v>149.22499999999999</v>
      </c>
      <c r="T14">
        <f ca="1">IFERROR(IF(0=LEN(ReferenceData!$T$14),"",ReferenceData!$T$14),"")</f>
        <v>149.37299999999999</v>
      </c>
      <c r="U14">
        <f ca="1">IFERROR(IF(0=LEN(ReferenceData!$U$14),"",ReferenceData!$U$14),"")</f>
        <v>144.52699999999999</v>
      </c>
      <c r="V14">
        <f ca="1">IFERROR(IF(0=LEN(ReferenceData!$V$14),"",ReferenceData!$V$14),"")</f>
        <v>147.279</v>
      </c>
      <c r="W14">
        <f ca="1">IFERROR(IF(0=LEN(ReferenceData!$W$14),"",ReferenceData!$W$14),"")</f>
        <v>141.548</v>
      </c>
      <c r="X14">
        <f ca="1">IFERROR(IF(0=LEN(ReferenceData!$X$14),"",ReferenceData!$X$14),"")</f>
        <v>134.12299999999999</v>
      </c>
      <c r="Y14">
        <f ca="1">IFERROR(IF(0=LEN(ReferenceData!$Y$14),"",ReferenceData!$Y$14),"")</f>
        <v>129.952</v>
      </c>
      <c r="Z14">
        <f ca="1">IFERROR(IF(0=LEN(ReferenceData!$Z$14),"",ReferenceData!$Z$14),"")</f>
        <v>129.61699999999999</v>
      </c>
      <c r="AA14">
        <f ca="1">IFERROR(IF(0=LEN(ReferenceData!$AA$14),"",ReferenceData!$AA$14),"")</f>
        <v>132.87299999999999</v>
      </c>
      <c r="AB14">
        <f ca="1">IFERROR(IF(0=LEN(ReferenceData!$AB$14),"",ReferenceData!$AB$14),"")</f>
        <v>136.89099999999999</v>
      </c>
      <c r="AC14">
        <f ca="1">IFERROR(IF(0=LEN(ReferenceData!$AC$14),"",ReferenceData!$AC$14),"")</f>
        <v>136.18</v>
      </c>
      <c r="AD14">
        <f ca="1">IFERROR(IF(0=LEN(ReferenceData!$AD$14),"",ReferenceData!$AD$14),"")</f>
        <v>140.148</v>
      </c>
      <c r="AE14">
        <f ca="1">IFERROR(IF(0=LEN(ReferenceData!$AE$14),"",ReferenceData!$AE$14),"")</f>
        <v>140.624</v>
      </c>
      <c r="AF14">
        <f ca="1">IFERROR(IF(0=LEN(ReferenceData!$AF$14),"",ReferenceData!$AF$14),"")</f>
        <v>143.76499999999999</v>
      </c>
      <c r="AG14">
        <f ca="1">IFERROR(IF(0=LEN(ReferenceData!$AG$14),"",ReferenceData!$AG$14),"")</f>
        <v>144.58000000000001</v>
      </c>
      <c r="AH14">
        <f ca="1">IFERROR(IF(0=LEN(ReferenceData!$AH$14),"",ReferenceData!$AH$14),"")</f>
        <v>149.50700000000001</v>
      </c>
      <c r="AI14">
        <f ca="1">IFERROR(IF(0=LEN(ReferenceData!$AI$14),"",ReferenceData!$AI$14),"")</f>
        <v>135.70099999999999</v>
      </c>
      <c r="AJ14">
        <f ca="1">IFERROR(IF(0=LEN(ReferenceData!$AJ$14),"",ReferenceData!$AJ$14),"")</f>
        <v>160.066</v>
      </c>
      <c r="AK14" t="str">
        <f ca="1">IFERROR(IF(0=LEN(ReferenceData!$AK$14),"",ReferenceData!$AK$14),"")</f>
        <v/>
      </c>
      <c r="AL14" t="str">
        <f ca="1">IFERROR(IF(0=LEN(ReferenceData!$AL$14),"",ReferenceData!$AL$14),"")</f>
        <v/>
      </c>
      <c r="AM14" t="str">
        <f ca="1">IFERROR(IF(0=LEN(ReferenceData!$AM$14),"",ReferenceData!$AM$14),"")</f>
        <v/>
      </c>
      <c r="AN14">
        <f ca="1">IFERROR(IF(0=LEN(ReferenceData!$AN$14),"",ReferenceData!$AN$14),"")</f>
        <v>160.55099999999999</v>
      </c>
      <c r="AO14" t="str">
        <f ca="1">IFERROR(IF(0=LEN(ReferenceData!$AO$14),"",ReferenceData!$AO$14),"")</f>
        <v/>
      </c>
      <c r="AP14" t="str">
        <f ca="1">IFERROR(IF(0=LEN(ReferenceData!$AP$14),"",ReferenceData!$AP$14),"")</f>
        <v/>
      </c>
      <c r="AQ14" t="str">
        <f ca="1">IFERROR(IF(0=LEN(ReferenceData!$AQ$14),"",ReferenceData!$AQ$14),"")</f>
        <v/>
      </c>
      <c r="AR14" t="str">
        <f ca="1">IFERROR(IF(0=LEN(ReferenceData!$AR$14),"",ReferenceData!$AR$14),"")</f>
        <v/>
      </c>
      <c r="AS14" t="str">
        <f ca="1">IFERROR(IF(0=LEN(ReferenceData!$AS$14),"",ReferenceData!$AS$14),"")</f>
        <v/>
      </c>
      <c r="AT14" t="str">
        <f ca="1">IFERROR(IF(0=LEN(ReferenceData!$AT$14),"",ReferenceData!$AT$14),"")</f>
        <v/>
      </c>
      <c r="AU14" t="str">
        <f ca="1">IFERROR(IF(0=LEN(ReferenceData!$AU$14),"",ReferenceData!$AU$14),"")</f>
        <v/>
      </c>
      <c r="AV14" t="str">
        <f ca="1">IFERROR(IF(0=LEN(ReferenceData!$AV$14),"",ReferenceData!$AV$14),"")</f>
        <v/>
      </c>
      <c r="AW14" t="str">
        <f ca="1">IFERROR(IF(0=LEN(ReferenceData!$AW$14),"",ReferenceData!$AW$14),"")</f>
        <v/>
      </c>
      <c r="AX14" t="str">
        <f ca="1">IFERROR(IF(0=LEN(ReferenceData!$AX$14),"",ReferenceData!$AX$14),"")</f>
        <v/>
      </c>
      <c r="AY14" t="str">
        <f ca="1">IFERROR(IF(0=LEN(ReferenceData!$AY$14),"",ReferenceData!$AY$14),"")</f>
        <v/>
      </c>
      <c r="AZ14" t="str">
        <f ca="1">IFERROR(IF(0=LEN(ReferenceData!$AZ$14),"",ReferenceData!$AZ$14),"")</f>
        <v/>
      </c>
      <c r="BA14" t="str">
        <f ca="1">IFERROR(IF(0=LEN(ReferenceData!$BA$14),"",ReferenceData!$BA$14),"")</f>
        <v/>
      </c>
      <c r="BB14" t="str">
        <f ca="1">IFERROR(IF(0=LEN(ReferenceData!$BB$14),"",ReferenceData!$BB$14),"")</f>
        <v/>
      </c>
      <c r="BC14" t="str">
        <f ca="1">IFERROR(IF(0=LEN(ReferenceData!$BC$14),"",ReferenceData!$BC$14),"")</f>
        <v/>
      </c>
      <c r="BD14" t="str">
        <f ca="1">IFERROR(IF(0=LEN(ReferenceData!$BD$14),"",ReferenceData!$BD$14),"")</f>
        <v/>
      </c>
      <c r="BE14" t="str">
        <f ca="1">IFERROR(IF(0=LEN(ReferenceData!$BE$14),"",ReferenceData!$BE$14),"")</f>
        <v/>
      </c>
      <c r="BF14" t="str">
        <f ca="1">IFERROR(IF(0=LEN(ReferenceData!$BF$14),"",ReferenceData!$BF$14),"")</f>
        <v/>
      </c>
      <c r="BG14" t="str">
        <f ca="1">IFERROR(IF(0=LEN(ReferenceData!$BG$14),"",ReferenceData!$BG$14),"")</f>
        <v/>
      </c>
      <c r="BH14" t="str">
        <f ca="1">IFERROR(IF(0=LEN(ReferenceData!$BH$14),"",ReferenceData!$BH$14),"")</f>
        <v/>
      </c>
      <c r="BI14" t="str">
        <f ca="1">IFERROR(IF(0=LEN(ReferenceData!$BI$14),"",ReferenceData!$BI$14),"")</f>
        <v/>
      </c>
      <c r="BJ14" t="str">
        <f ca="1">IFERROR(IF(0=LEN(ReferenceData!$BJ$14),"",ReferenceData!$BJ$14),"")</f>
        <v/>
      </c>
      <c r="BK14" t="str">
        <f ca="1">IFERROR(IF(0=LEN(ReferenceData!$BK$14),"",ReferenceData!$BK$14),"")</f>
        <v/>
      </c>
      <c r="BL14" t="str">
        <f ca="1">IFERROR(IF(0=LEN(ReferenceData!$BL$14),"",ReferenceData!$BL$14),"")</f>
        <v/>
      </c>
      <c r="BM14" t="str">
        <f ca="1">IFERROR(IF(0=LEN(ReferenceData!$BM$14),"",ReferenceData!$BM$14),"")</f>
        <v/>
      </c>
    </row>
    <row r="15" spans="1:65">
      <c r="A15" t="str">
        <f>IFERROR(IF(0=LEN(ReferenceData!$A$15),"",ReferenceData!$A$15),"")</f>
        <v xml:space="preserve">    Simon Property Group Inc</v>
      </c>
      <c r="B15" t="str">
        <f>IFERROR(IF(0=LEN(ReferenceData!$B$15),"",ReferenceData!$B$15),"")</f>
        <v>SPG US Equity</v>
      </c>
      <c r="C15" t="str">
        <f>IFERROR(IF(0=LEN(ReferenceData!$C$15),"",ReferenceData!$C$15),"")</f>
        <v>IS030</v>
      </c>
      <c r="D15" t="str">
        <f>IFERROR(IF(0=LEN(ReferenceData!$D$15),"",ReferenceData!$D$15),"")</f>
        <v>IS_RENT_INC</v>
      </c>
      <c r="E15" t="str">
        <f>IFERROR(IF(0=LEN(ReferenceData!$E$15),"",ReferenceData!$E$15),"")</f>
        <v>动态</v>
      </c>
      <c r="F15" t="str">
        <f ca="1">IFERROR(IF(0=LEN(ReferenceData!$F$15),"",ReferenceData!$F$15),"")</f>
        <v/>
      </c>
      <c r="G15">
        <f ca="1">IFERROR(IF(0=LEN(ReferenceData!$G$15),"",ReferenceData!$G$15),"")</f>
        <v>1320.1120000000001</v>
      </c>
      <c r="H15">
        <f ca="1">IFERROR(IF(0=LEN(ReferenceData!$H$15),"",ReferenceData!$H$15),"")</f>
        <v>1284.5309999999999</v>
      </c>
      <c r="I15">
        <f ca="1">IFERROR(IF(0=LEN(ReferenceData!$I$15),"",ReferenceData!$I$15),"")</f>
        <v>1261.8430000000001</v>
      </c>
      <c r="J15">
        <f ca="1">IFERROR(IF(0=LEN(ReferenceData!$J$15),"",ReferenceData!$J$15),"")</f>
        <v>1253.9169999999999</v>
      </c>
      <c r="K15">
        <f ca="1">IFERROR(IF(0=LEN(ReferenceData!$K$15),"",ReferenceData!$K$15),"")</f>
        <v>1314.1310000000001</v>
      </c>
      <c r="L15">
        <f ca="1">IFERROR(IF(0=LEN(ReferenceData!$L$15),"",ReferenceData!$L$15),"")</f>
        <v>1261.077</v>
      </c>
      <c r="M15">
        <f ca="1">IFERROR(IF(0=LEN(ReferenceData!$M$15),"",ReferenceData!$M$15),"")</f>
        <v>1220.5360000000001</v>
      </c>
      <c r="N15">
        <f ca="1">IFERROR(IF(0=LEN(ReferenceData!$N$15),"",ReferenceData!$N$15),"")</f>
        <v>1219.0650000000001</v>
      </c>
      <c r="O15">
        <f ca="1">IFERROR(IF(0=LEN(ReferenceData!$O$15),"",ReferenceData!$O$15),"")</f>
        <v>1270.9680000000001</v>
      </c>
      <c r="P15">
        <f ca="1">IFERROR(IF(0=LEN(ReferenceData!$P$15),"",ReferenceData!$P$15),"")</f>
        <v>1209.0239999999999</v>
      </c>
      <c r="Q15">
        <f ca="1">IFERROR(IF(0=LEN(ReferenceData!$Q$15),"",ReferenceData!$Q$15),"")</f>
        <v>1169.4760000000001</v>
      </c>
      <c r="R15">
        <f ca="1">IFERROR(IF(0=LEN(ReferenceData!$R$15),"",ReferenceData!$R$15),"")</f>
        <v>1132.5719999999999</v>
      </c>
      <c r="S15">
        <f ca="1">IFERROR(IF(0=LEN(ReferenceData!$S$15),"",ReferenceData!$S$15),"")</f>
        <v>1199.1769999999999</v>
      </c>
      <c r="T15">
        <f ca="1">IFERROR(IF(0=LEN(ReferenceData!$T$15),"",ReferenceData!$T$15),"")</f>
        <v>1143.3109999999999</v>
      </c>
      <c r="U15">
        <f ca="1">IFERROR(IF(0=LEN(ReferenceData!$U$15),"",ReferenceData!$U$15),"")</f>
        <v>1109.896</v>
      </c>
      <c r="V15">
        <f ca="1">IFERROR(IF(0=LEN(ReferenceData!$V$15),"",ReferenceData!$V$15),"")</f>
        <v>1079.4280000000001</v>
      </c>
      <c r="W15">
        <f ca="1">IFERROR(IF(0=LEN(ReferenceData!$W$15),"",ReferenceData!$W$15),"")</f>
        <v>1159.761</v>
      </c>
      <c r="X15">
        <f ca="1">IFERROR(IF(0=LEN(ReferenceData!$X$15),"",ReferenceData!$X$15),"")</f>
        <v>1066.1980000000001</v>
      </c>
      <c r="Y15">
        <f ca="1">IFERROR(IF(0=LEN(ReferenceData!$Y$15),"",ReferenceData!$Y$15),"")</f>
        <v>1021.09</v>
      </c>
      <c r="Z15">
        <f ca="1">IFERROR(IF(0=LEN(ReferenceData!$Z$15),"",ReferenceData!$Z$15),"")</f>
        <v>1154.575</v>
      </c>
      <c r="AA15">
        <f ca="1">IFERROR(IF(0=LEN(ReferenceData!$AA$15),"",ReferenceData!$AA$15),"")</f>
        <v>1254.9880000000001</v>
      </c>
      <c r="AB15">
        <f ca="1">IFERROR(IF(0=LEN(ReferenceData!$AB$15),"",ReferenceData!$AB$15),"")</f>
        <v>1152.652</v>
      </c>
      <c r="AC15">
        <f ca="1">IFERROR(IF(0=LEN(ReferenceData!$AC$15),"",ReferenceData!$AC$15),"")</f>
        <v>1108.095</v>
      </c>
      <c r="AD15">
        <f ca="1">IFERROR(IF(0=LEN(ReferenceData!$AD$15),"",ReferenceData!$AD$15),"")</f>
        <v>1036.1659999999999</v>
      </c>
      <c r="AE15">
        <f ca="1">IFERROR(IF(0=LEN(ReferenceData!$AE$15),"",ReferenceData!$AE$15),"")</f>
        <v>1087.0830000000001</v>
      </c>
      <c r="AF15">
        <f ca="1">IFERROR(IF(0=LEN(ReferenceData!$AF$15),"",ReferenceData!$AF$15),"")</f>
        <v>995.68200000000002</v>
      </c>
      <c r="AG15">
        <f ca="1">IFERROR(IF(0=LEN(ReferenceData!$AG$15),"",ReferenceData!$AG$15),"")</f>
        <v>957.173</v>
      </c>
      <c r="AH15">
        <f ca="1">IFERROR(IF(0=LEN(ReferenceData!$AH$15),"",ReferenceData!$AH$15),"")</f>
        <v>942.899</v>
      </c>
      <c r="AI15">
        <f ca="1">IFERROR(IF(0=LEN(ReferenceData!$AI$15),"",ReferenceData!$AI$15),"")</f>
        <v>1027.42</v>
      </c>
      <c r="AJ15">
        <f ca="1">IFERROR(IF(0=LEN(ReferenceData!$AJ$15),"",ReferenceData!$AJ$15),"")</f>
        <v>905.42399999999998</v>
      </c>
      <c r="AK15">
        <f ca="1">IFERROR(IF(0=LEN(ReferenceData!$AK$15),"",ReferenceData!$AK$15),"")</f>
        <v>850.327</v>
      </c>
      <c r="AL15">
        <f ca="1">IFERROR(IF(0=LEN(ReferenceData!$AL$15),"",ReferenceData!$AL$15),"")</f>
        <v>840.74900000000002</v>
      </c>
      <c r="AM15">
        <f ca="1">IFERROR(IF(0=LEN(ReferenceData!$AM$15),"",ReferenceData!$AM$15),"")</f>
        <v>924.13599999999997</v>
      </c>
      <c r="AN15">
        <f ca="1">IFERROR(IF(0=LEN(ReferenceData!$AN$15),"",ReferenceData!$AN$15),"")</f>
        <v>858.51700000000005</v>
      </c>
      <c r="AO15">
        <f ca="1">IFERROR(IF(0=LEN(ReferenceData!$AO$15),"",ReferenceData!$AO$15),"")</f>
        <v>838.65800000000002</v>
      </c>
      <c r="AP15">
        <f ca="1">IFERROR(IF(0=LEN(ReferenceData!$AP$15),"",ReferenceData!$AP$15),"")</f>
        <v>842.67600000000004</v>
      </c>
      <c r="AQ15">
        <f ca="1">IFERROR(IF(0=LEN(ReferenceData!$AQ$15),"",ReferenceData!$AQ$15),"")</f>
        <v>935.83</v>
      </c>
      <c r="AR15">
        <f ca="1">IFERROR(IF(0=LEN(ReferenceData!$AR$15),"",ReferenceData!$AR$15),"")</f>
        <v>860.84900000000005</v>
      </c>
      <c r="AS15">
        <f ca="1">IFERROR(IF(0=LEN(ReferenceData!$AS$15),"",ReferenceData!$AS$15),"")</f>
        <v>843.83799999999997</v>
      </c>
      <c r="AT15">
        <f ca="1">IFERROR(IF(0=LEN(ReferenceData!$AT$15),"",ReferenceData!$AT$15),"")</f>
        <v>817.58100000000002</v>
      </c>
      <c r="AU15">
        <f ca="1">IFERROR(IF(0=LEN(ReferenceData!$AU$15),"",ReferenceData!$AU$15),"")</f>
        <v>924.197</v>
      </c>
      <c r="AV15">
        <f ca="1">IFERROR(IF(0=LEN(ReferenceData!$AV$15),"",ReferenceData!$AV$15),"")</f>
        <v>825.60900000000004</v>
      </c>
      <c r="AW15">
        <f ca="1">IFERROR(IF(0=LEN(ReferenceData!$AW$15),"",ReferenceData!$AW$15),"")</f>
        <v>778.70399999999995</v>
      </c>
      <c r="AX15">
        <f ca="1">IFERROR(IF(0=LEN(ReferenceData!$AX$15),"",ReferenceData!$AX$15),"")</f>
        <v>759.37</v>
      </c>
      <c r="AY15">
        <f ca="1">IFERROR(IF(0=LEN(ReferenceData!$AY$15),"",ReferenceData!$AY$15),"")</f>
        <v>854.29700000000003</v>
      </c>
      <c r="AZ15">
        <f ca="1">IFERROR(IF(0=LEN(ReferenceData!$AZ$15),"",ReferenceData!$AZ$15),"")</f>
        <v>755.798</v>
      </c>
      <c r="BA15">
        <f ca="1">IFERROR(IF(0=LEN(ReferenceData!$BA$15),"",ReferenceData!$BA$15),"")</f>
        <v>727.9</v>
      </c>
      <c r="BB15">
        <f ca="1">IFERROR(IF(0=LEN(ReferenceData!$BB$15),"",ReferenceData!$BB$15),"")</f>
        <v>725.18200000000002</v>
      </c>
      <c r="BC15">
        <f ca="1">IFERROR(IF(0=LEN(ReferenceData!$BC$15),"",ReferenceData!$BC$15),"")</f>
        <v>818.43100000000004</v>
      </c>
      <c r="BD15">
        <f ca="1">IFERROR(IF(0=LEN(ReferenceData!$BD$15),"",ReferenceData!$BD$15),"")</f>
        <v>720.36900000000003</v>
      </c>
      <c r="BE15">
        <f ca="1">IFERROR(IF(0=LEN(ReferenceData!$BE$15),"",ReferenceData!$BE$15),"")</f>
        <v>694.56500000000005</v>
      </c>
      <c r="BF15">
        <f ca="1">IFERROR(IF(0=LEN(ReferenceData!$BF$15),"",ReferenceData!$BF$15),"")</f>
        <v>686.72900000000004</v>
      </c>
      <c r="BG15">
        <f ca="1">IFERROR(IF(0=LEN(ReferenceData!$BG$15),"",ReferenceData!$BG$15),"")</f>
        <v>741.00599999999997</v>
      </c>
      <c r="BH15">
        <f ca="1">IFERROR(IF(0=LEN(ReferenceData!$BH$15),"",ReferenceData!$BH$15),"")</f>
        <v>561.80999999999995</v>
      </c>
      <c r="BI15">
        <f ca="1">IFERROR(IF(0=LEN(ReferenceData!$BI$15),"",ReferenceData!$BI$15),"")</f>
        <v>548.63</v>
      </c>
      <c r="BJ15">
        <f ca="1">IFERROR(IF(0=LEN(ReferenceData!$BJ$15),"",ReferenceData!$BJ$15),"")</f>
        <v>539.18100000000004</v>
      </c>
      <c r="BK15">
        <f ca="1">IFERROR(IF(0=LEN(ReferenceData!$BK$15),"",ReferenceData!$BK$15),"")</f>
        <v>555.03300000000002</v>
      </c>
      <c r="BL15">
        <f ca="1">IFERROR(IF(0=LEN(ReferenceData!$BL$15),"",ReferenceData!$BL$15),"")</f>
        <v>515.41600000000005</v>
      </c>
      <c r="BM15">
        <f ca="1">IFERROR(IF(0=LEN(ReferenceData!$BM$15),"",ReferenceData!$BM$15),"")</f>
        <v>504.73899999999998</v>
      </c>
    </row>
    <row r="16" spans="1:65">
      <c r="A16" t="str">
        <f>IFERROR(IF(0=LEN(ReferenceData!$A$16),"",ReferenceData!$A$16),"")</f>
        <v xml:space="preserve">    Tanger Factory Outlet Centers</v>
      </c>
      <c r="B16" t="str">
        <f>IFERROR(IF(0=LEN(ReferenceData!$B$16),"",ReferenceData!$B$16),"")</f>
        <v>SKT US Equity</v>
      </c>
      <c r="C16" t="str">
        <f>IFERROR(IF(0=LEN(ReferenceData!$C$16),"",ReferenceData!$C$16),"")</f>
        <v>IS030</v>
      </c>
      <c r="D16" t="str">
        <f>IFERROR(IF(0=LEN(ReferenceData!$D$16),"",ReferenceData!$D$16),"")</f>
        <v>IS_RENT_INC</v>
      </c>
      <c r="E16" t="str">
        <f>IFERROR(IF(0=LEN(ReferenceData!$E$16),"",ReferenceData!$E$16),"")</f>
        <v>动态</v>
      </c>
      <c r="F16" t="str">
        <f ca="1">IFERROR(IF(0=LEN(ReferenceData!$F$16),"",ReferenceData!$F$16),"")</f>
        <v/>
      </c>
      <c r="G16">
        <f ca="1">IFERROR(IF(0=LEN(ReferenceData!$G$16),"",ReferenceData!$G$16),"")</f>
        <v>123.589</v>
      </c>
      <c r="H16">
        <f ca="1">IFERROR(IF(0=LEN(ReferenceData!$H$16),"",ReferenceData!$H$16),"")</f>
        <v>117.667</v>
      </c>
      <c r="I16">
        <f ca="1">IFERROR(IF(0=LEN(ReferenceData!$I$16),"",ReferenceData!$I$16),"")</f>
        <v>116.616</v>
      </c>
      <c r="J16">
        <f ca="1">IFERROR(IF(0=LEN(ReferenceData!$J$16),"",ReferenceData!$J$16),"")</f>
        <v>118.783</v>
      </c>
      <c r="K16">
        <f ca="1">IFERROR(IF(0=LEN(ReferenceData!$K$16),"",ReferenceData!$K$16),"")</f>
        <v>121.605</v>
      </c>
      <c r="L16">
        <f ca="1">IFERROR(IF(0=LEN(ReferenceData!$L$16),"",ReferenceData!$L$16),"")</f>
        <v>115.68899999999999</v>
      </c>
      <c r="M16">
        <f ca="1">IFERROR(IF(0=LEN(ReferenceData!$M$16),"",ReferenceData!$M$16),"")</f>
        <v>108.083</v>
      </c>
      <c r="N16">
        <f ca="1">IFERROR(IF(0=LEN(ReferenceData!$N$16),"",ReferenceData!$N$16),"")</f>
        <v>108.015</v>
      </c>
      <c r="O16">
        <f ca="1">IFERROR(IF(0=LEN(ReferenceData!$O$16),"",ReferenceData!$O$16),"")</f>
        <v>109.803</v>
      </c>
      <c r="P16">
        <f ca="1">IFERROR(IF(0=LEN(ReferenceData!$P$16),"",ReferenceData!$P$16),"")</f>
        <v>109.008</v>
      </c>
      <c r="Q16">
        <f ca="1">IFERROR(IF(0=LEN(ReferenceData!$Q$16),"",ReferenceData!$Q$16),"")</f>
        <v>104.28</v>
      </c>
      <c r="R16">
        <f ca="1">IFERROR(IF(0=LEN(ReferenceData!$R$16),"",ReferenceData!$R$16),"")</f>
        <v>103.22199999999999</v>
      </c>
      <c r="S16">
        <f ca="1">IFERROR(IF(0=LEN(ReferenceData!$S$16),"",ReferenceData!$S$16),"")</f>
        <v>105.482</v>
      </c>
      <c r="T16">
        <f ca="1">IFERROR(IF(0=LEN(ReferenceData!$T$16),"",ReferenceData!$T$16),"")</f>
        <v>101.709</v>
      </c>
      <c r="U16">
        <f ca="1">IFERROR(IF(0=LEN(ReferenceData!$U$16),"",ReferenceData!$U$16),"")</f>
        <v>99.527000000000001</v>
      </c>
      <c r="V16">
        <f ca="1">IFERROR(IF(0=LEN(ReferenceData!$V$16),"",ReferenceData!$V$16),"")</f>
        <v>100.601</v>
      </c>
      <c r="W16">
        <f ca="1">IFERROR(IF(0=LEN(ReferenceData!$W$16),"",ReferenceData!$W$16),"")</f>
        <v>104.21599999999999</v>
      </c>
      <c r="X16">
        <f ca="1">IFERROR(IF(0=LEN(ReferenceData!$X$16),"",ReferenceData!$X$16),"")</f>
        <v>94.799000000000007</v>
      </c>
      <c r="Y16">
        <f ca="1">IFERROR(IF(0=LEN(ReferenceData!$Y$16),"",ReferenceData!$Y$16),"")</f>
        <v>88.724999999999994</v>
      </c>
      <c r="Z16">
        <f ca="1">IFERROR(IF(0=LEN(ReferenceData!$Z$16),"",ReferenceData!$Z$16),"")</f>
        <v>86.566999999999993</v>
      </c>
      <c r="AA16">
        <f ca="1">IFERROR(IF(0=LEN(ReferenceData!$AA$16),"",ReferenceData!$AA$16),"")</f>
        <v>91.731999999999999</v>
      </c>
      <c r="AB16">
        <f ca="1">IFERROR(IF(0=LEN(ReferenceData!$AB$16),"",ReferenceData!$AB$16),"")</f>
        <v>87.488</v>
      </c>
      <c r="AC16">
        <f ca="1">IFERROR(IF(0=LEN(ReferenceData!$AC$16),"",ReferenceData!$AC$16),"")</f>
        <v>85.19</v>
      </c>
      <c r="AD16">
        <f ca="1">IFERROR(IF(0=LEN(ReferenceData!$AD$16),"",ReferenceData!$AD$16),"")</f>
        <v>82.438999999999993</v>
      </c>
      <c r="AE16">
        <f ca="1">IFERROR(IF(0=LEN(ReferenceData!$AE$16),"",ReferenceData!$AE$16),"")</f>
        <v>86.704999999999998</v>
      </c>
      <c r="AF16">
        <f ca="1">IFERROR(IF(0=LEN(ReferenceData!$AF$16),"",ReferenceData!$AF$16),"")</f>
        <v>80.674999999999997</v>
      </c>
      <c r="AG16">
        <f ca="1">IFERROR(IF(0=LEN(ReferenceData!$AG$16),"",ReferenceData!$AG$16),"")</f>
        <v>70.146000000000001</v>
      </c>
      <c r="AH16">
        <f ca="1">IFERROR(IF(0=LEN(ReferenceData!$AH$16),"",ReferenceData!$AH$16),"")</f>
        <v>68.814999999999998</v>
      </c>
      <c r="AI16">
        <f ca="1">IFERROR(IF(0=LEN(ReferenceData!$AI$16),"",ReferenceData!$AI$16),"")</f>
        <v>72.844999999999999</v>
      </c>
      <c r="AJ16">
        <f ca="1">IFERROR(IF(0=LEN(ReferenceData!$AJ$16),"",ReferenceData!$AJ$16),"")</f>
        <v>66.906000000000006</v>
      </c>
      <c r="AK16">
        <f ca="1">IFERROR(IF(0=LEN(ReferenceData!$AK$16),"",ReferenceData!$AK$16),"")</f>
        <v>63.445</v>
      </c>
      <c r="AL16">
        <f ca="1">IFERROR(IF(0=LEN(ReferenceData!$AL$16),"",ReferenceData!$AL$16),"")</f>
        <v>64.320999999999998</v>
      </c>
      <c r="AM16">
        <f ca="1">IFERROR(IF(0=LEN(ReferenceData!$AM$16),"",ReferenceData!$AM$16),"")</f>
        <v>69.304000000000002</v>
      </c>
      <c r="AN16">
        <f ca="1">IFERROR(IF(0=LEN(ReferenceData!$AN$16),"",ReferenceData!$AN$16),"")</f>
        <v>64.41</v>
      </c>
      <c r="AO16">
        <f ca="1">IFERROR(IF(0=LEN(ReferenceData!$AO$16),"",ReferenceData!$AO$16),"")</f>
        <v>62.478999999999999</v>
      </c>
      <c r="AP16">
        <f ca="1">IFERROR(IF(0=LEN(ReferenceData!$AP$16),"",ReferenceData!$AP$16),"")</f>
        <v>63.454000000000001</v>
      </c>
      <c r="AQ16">
        <f ca="1">IFERROR(IF(0=LEN(ReferenceData!$AQ$16),"",ReferenceData!$AQ$16),"")</f>
        <v>66.2</v>
      </c>
      <c r="AR16">
        <f ca="1">IFERROR(IF(0=LEN(ReferenceData!$AR$16),"",ReferenceData!$AR$16),"")</f>
        <v>60.606999999999999</v>
      </c>
      <c r="AS16">
        <f ca="1">IFERROR(IF(0=LEN(ReferenceData!$AS$16),"",ReferenceData!$AS$16),"")</f>
        <v>55.435000000000002</v>
      </c>
      <c r="AT16">
        <f ca="1">IFERROR(IF(0=LEN(ReferenceData!$AT$16),"",ReferenceData!$AT$16),"")</f>
        <v>55.887999999999998</v>
      </c>
      <c r="AU16">
        <f ca="1">IFERROR(IF(0=LEN(ReferenceData!$AU$16),"",ReferenceData!$AU$16),"")</f>
        <v>60.015000000000001</v>
      </c>
      <c r="AV16">
        <f ca="1">IFERROR(IF(0=LEN(ReferenceData!$AV$16),"",ReferenceData!$AV$16),"")</f>
        <v>56.231000000000002</v>
      </c>
      <c r="AW16">
        <f ca="1">IFERROR(IF(0=LEN(ReferenceData!$AW$16),"",ReferenceData!$AW$16),"")</f>
        <v>53.744</v>
      </c>
      <c r="AX16">
        <f ca="1">IFERROR(IF(0=LEN(ReferenceData!$AX$16),"",ReferenceData!$AX$16),"")</f>
        <v>51.569000000000003</v>
      </c>
      <c r="AY16">
        <f ca="1">IFERROR(IF(0=LEN(ReferenceData!$AY$16),"",ReferenceData!$AY$16),"")</f>
        <v>56.311999999999998</v>
      </c>
      <c r="AZ16">
        <f ca="1">IFERROR(IF(0=LEN(ReferenceData!$AZ$16),"",ReferenceData!$AZ$16),"")</f>
        <v>51.862000000000002</v>
      </c>
      <c r="BA16">
        <f ca="1">IFERROR(IF(0=LEN(ReferenceData!$BA$16),"",ReferenceData!$BA$16),"")</f>
        <v>49.024000000000001</v>
      </c>
      <c r="BB16">
        <f ca="1">IFERROR(IF(0=LEN(ReferenceData!$BB$16),"",ReferenceData!$BB$16),"")</f>
        <v>46.843000000000004</v>
      </c>
      <c r="BC16">
        <f ca="1">IFERROR(IF(0=LEN(ReferenceData!$BC$16),"",ReferenceData!$BC$16),"")</f>
        <v>51.527999999999999</v>
      </c>
      <c r="BD16">
        <f ca="1">IFERROR(IF(0=LEN(ReferenceData!$BD$16),"",ReferenceData!$BD$16),"")</f>
        <v>49.03</v>
      </c>
      <c r="BE16">
        <f ca="1">IFERROR(IF(0=LEN(ReferenceData!$BE$16),"",ReferenceData!$BE$16),"")</f>
        <v>46.395000000000003</v>
      </c>
      <c r="BF16">
        <f ca="1">IFERROR(IF(0=LEN(ReferenceData!$BF$16),"",ReferenceData!$BF$16),"")</f>
        <v>46.034999999999997</v>
      </c>
      <c r="BG16">
        <f ca="1">IFERROR(IF(0=LEN(ReferenceData!$BG$16),"",ReferenceData!$BG$16),"")</f>
        <v>50.127000000000002</v>
      </c>
      <c r="BH16">
        <f ca="1">IFERROR(IF(0=LEN(ReferenceData!$BH$16),"",ReferenceData!$BH$16),"")</f>
        <v>47.228000000000002</v>
      </c>
      <c r="BI16">
        <f ca="1">IFERROR(IF(0=LEN(ReferenceData!$BI$16),"",ReferenceData!$BI$16),"")</f>
        <v>46.57</v>
      </c>
      <c r="BJ16">
        <f ca="1">IFERROR(IF(0=LEN(ReferenceData!$BJ$16),"",ReferenceData!$BJ$16),"")</f>
        <v>44.92</v>
      </c>
      <c r="BK16">
        <f ca="1">IFERROR(IF(0=LEN(ReferenceData!$BK$16),"",ReferenceData!$BK$16),"")</f>
        <v>33.122001650000001</v>
      </c>
      <c r="BL16">
        <f ca="1">IFERROR(IF(0=LEN(ReferenceData!$BL$16),"",ReferenceData!$BL$16),"")</f>
        <v>27.925999999999998</v>
      </c>
      <c r="BM16">
        <f ca="1">IFERROR(IF(0=LEN(ReferenceData!$BM$16),"",ReferenceData!$BM$16),"")</f>
        <v>28.081</v>
      </c>
    </row>
    <row r="17" spans="1:65">
      <c r="A17" t="str">
        <f>IFERROR(IF(0=LEN(ReferenceData!$A$17),"",ReferenceData!$A$17),"")</f>
        <v xml:space="preserve">    VEREIT Inc</v>
      </c>
      <c r="B17" t="str">
        <f>IFERROR(IF(0=LEN(ReferenceData!$B$17),"",ReferenceData!$B$17),"")</f>
        <v>VER US Equity</v>
      </c>
      <c r="C17" t="str">
        <f>IFERROR(IF(0=LEN(ReferenceData!$C$17),"",ReferenceData!$C$17),"")</f>
        <v>IS030</v>
      </c>
      <c r="D17" t="str">
        <f>IFERROR(IF(0=LEN(ReferenceData!$D$17),"",ReferenceData!$D$17),"")</f>
        <v>IS_RENT_INC</v>
      </c>
      <c r="E17" t="str">
        <f>IFERROR(IF(0=LEN(ReferenceData!$E$17),"",ReferenceData!$E$17),"")</f>
        <v>动态</v>
      </c>
      <c r="F17" t="str">
        <f ca="1">IFERROR(IF(0=LEN(ReferenceData!$F$17),"",ReferenceData!$F$17),"")</f>
        <v/>
      </c>
      <c r="G17">
        <f ca="1">IFERROR(IF(0=LEN(ReferenceData!$G$17),"",ReferenceData!$G$17),"")</f>
        <v>290.56400000000002</v>
      </c>
      <c r="H17">
        <f ca="1">IFERROR(IF(0=LEN(ReferenceData!$H$17),"",ReferenceData!$H$17),"")</f>
        <v>282.34100000000001</v>
      </c>
      <c r="I17">
        <f ca="1">IFERROR(IF(0=LEN(ReferenceData!$I$17),"",ReferenceData!$I$17),"")</f>
        <v>286.291</v>
      </c>
      <c r="J17">
        <f ca="1">IFERROR(IF(0=LEN(ReferenceData!$J$17),"",ReferenceData!$J$17),"")</f>
        <v>293.73899999999998</v>
      </c>
      <c r="K17">
        <f ca="1">IFERROR(IF(0=LEN(ReferenceData!$K$17),"",ReferenceData!$K$17),"")</f>
        <v>299.23099999999999</v>
      </c>
      <c r="L17">
        <f ca="1">IFERROR(IF(0=LEN(ReferenceData!$L$17),"",ReferenceData!$L$17),"")</f>
        <v>303.38299999999998</v>
      </c>
      <c r="M17">
        <f ca="1">IFERROR(IF(0=LEN(ReferenceData!$M$17),"",ReferenceData!$M$17),"")</f>
        <v>311.35199999999998</v>
      </c>
      <c r="N17">
        <f ca="1">IFERROR(IF(0=LEN(ReferenceData!$N$17),"",ReferenceData!$N$17),"")</f>
        <v>313.971</v>
      </c>
      <c r="O17">
        <f ca="1">IFERROR(IF(0=LEN(ReferenceData!$O$17),"",ReferenceData!$O$17),"")</f>
        <v>322.07900000000001</v>
      </c>
      <c r="P17">
        <f ca="1">IFERROR(IF(0=LEN(ReferenceData!$P$17),"",ReferenceData!$P$17),"")</f>
        <v>333.76600000000002</v>
      </c>
      <c r="Q17">
        <f ca="1">IFERROR(IF(0=LEN(ReferenceData!$Q$17),"",ReferenceData!$Q$17),"")</f>
        <v>341.18299999999999</v>
      </c>
      <c r="R17">
        <f ca="1">IFERROR(IF(0=LEN(ReferenceData!$R$17),"",ReferenceData!$R$17),"")</f>
        <v>342.75900000000001</v>
      </c>
      <c r="S17">
        <f ca="1">IFERROR(IF(0=LEN(ReferenceData!$S$17),"",ReferenceData!$S$17),"")</f>
        <v>346.928</v>
      </c>
      <c r="T17">
        <f ca="1">IFERROR(IF(0=LEN(ReferenceData!$T$17),"",ReferenceData!$T$17),"")</f>
        <v>365.71199999999999</v>
      </c>
      <c r="U17">
        <f ca="1">IFERROR(IF(0=LEN(ReferenceData!$U$17),"",ReferenceData!$U$17),"")</f>
        <v>314.51900000000001</v>
      </c>
      <c r="V17">
        <f ca="1">IFERROR(IF(0=LEN(ReferenceData!$V$17),"",ReferenceData!$V$17),"")</f>
        <v>244.41499999999999</v>
      </c>
      <c r="W17">
        <f ca="1">IFERROR(IF(0=LEN(ReferenceData!$W$17),"",ReferenceData!$W$17),"")</f>
        <v>85.256</v>
      </c>
      <c r="X17">
        <f ca="1">IFERROR(IF(0=LEN(ReferenceData!$X$17),"",ReferenceData!$X$17),"")</f>
        <v>89.728999999999999</v>
      </c>
      <c r="Y17">
        <f ca="1">IFERROR(IF(0=LEN(ReferenceData!$Y$17),"",ReferenceData!$Y$17),"")</f>
        <v>52.664000000000001</v>
      </c>
      <c r="Z17">
        <f ca="1">IFERROR(IF(0=LEN(ReferenceData!$Z$17),"",ReferenceData!$Z$17),"")</f>
        <v>40.987000000000002</v>
      </c>
      <c r="AA17">
        <f ca="1">IFERROR(IF(0=LEN(ReferenceData!$AA$17),"",ReferenceData!$AA$17),"")</f>
        <v>28.846</v>
      </c>
      <c r="AB17">
        <f ca="1">IFERROR(IF(0=LEN(ReferenceData!$AB$17),"",ReferenceData!$AB$17),"")</f>
        <v>18.300999999999998</v>
      </c>
      <c r="AC17">
        <f ca="1">IFERROR(IF(0=LEN(ReferenceData!$AC$17),"",ReferenceData!$AC$17),"")</f>
        <v>11.329000000000001</v>
      </c>
      <c r="AD17">
        <f ca="1">IFERROR(IF(0=LEN(ReferenceData!$AD$17),"",ReferenceData!$AD$17),"")</f>
        <v>6.0830000000000002</v>
      </c>
      <c r="AE17">
        <f ca="1">IFERROR(IF(0=LEN(ReferenceData!$AE$17),"",ReferenceData!$AE$17),"")</f>
        <v>0.75083599999999995</v>
      </c>
      <c r="AF17">
        <f ca="1">IFERROR(IF(0=LEN(ReferenceData!$AF$17),"",ReferenceData!$AF$17),"")</f>
        <v>0.57599999999999996</v>
      </c>
      <c r="AG17">
        <f ca="1">IFERROR(IF(0=LEN(ReferenceData!$AG$17),"",ReferenceData!$AG$17),"")</f>
        <v>0</v>
      </c>
      <c r="AH17">
        <f ca="1">IFERROR(IF(0=LEN(ReferenceData!$AH$17),"",ReferenceData!$AH$17),"")</f>
        <v>1.6951639999999999</v>
      </c>
      <c r="AI17" t="str">
        <f ca="1">IFERROR(IF(0=LEN(ReferenceData!$AI$17),"",ReferenceData!$AI$17),"")</f>
        <v/>
      </c>
      <c r="AJ17" t="str">
        <f ca="1">IFERROR(IF(0=LEN(ReferenceData!$AJ$17),"",ReferenceData!$AJ$17),"")</f>
        <v/>
      </c>
      <c r="AK17" t="str">
        <f ca="1">IFERROR(IF(0=LEN(ReferenceData!$AK$17),"",ReferenceData!$AK$17),"")</f>
        <v/>
      </c>
      <c r="AL17">
        <f ca="1">IFERROR(IF(0=LEN(ReferenceData!$AL$17),"",ReferenceData!$AL$17),"")</f>
        <v>1.749868</v>
      </c>
      <c r="AM17" t="str">
        <f ca="1">IFERROR(IF(0=LEN(ReferenceData!$AM$17),"",ReferenceData!$AM$17),"")</f>
        <v/>
      </c>
      <c r="AN17" t="str">
        <f ca="1">IFERROR(IF(0=LEN(ReferenceData!$AN$17),"",ReferenceData!$AN$17),"")</f>
        <v/>
      </c>
      <c r="AO17" t="str">
        <f ca="1">IFERROR(IF(0=LEN(ReferenceData!$AO$17),"",ReferenceData!$AO$17),"")</f>
        <v/>
      </c>
      <c r="AP17" t="str">
        <f ca="1">IFERROR(IF(0=LEN(ReferenceData!$AP$17),"",ReferenceData!$AP$17),"")</f>
        <v/>
      </c>
      <c r="AQ17" t="str">
        <f ca="1">IFERROR(IF(0=LEN(ReferenceData!$AQ$17),"",ReferenceData!$AQ$17),"")</f>
        <v/>
      </c>
      <c r="AR17" t="str">
        <f ca="1">IFERROR(IF(0=LEN(ReferenceData!$AR$17),"",ReferenceData!$AR$17),"")</f>
        <v/>
      </c>
      <c r="AS17" t="str">
        <f ca="1">IFERROR(IF(0=LEN(ReferenceData!$AS$17),"",ReferenceData!$AS$17),"")</f>
        <v/>
      </c>
      <c r="AT17" t="str">
        <f ca="1">IFERROR(IF(0=LEN(ReferenceData!$AT$17),"",ReferenceData!$AT$17),"")</f>
        <v/>
      </c>
      <c r="AU17" t="str">
        <f ca="1">IFERROR(IF(0=LEN(ReferenceData!$AU$17),"",ReferenceData!$AU$17),"")</f>
        <v/>
      </c>
      <c r="AV17" t="str">
        <f ca="1">IFERROR(IF(0=LEN(ReferenceData!$AV$17),"",ReferenceData!$AV$17),"")</f>
        <v/>
      </c>
      <c r="AW17" t="str">
        <f ca="1">IFERROR(IF(0=LEN(ReferenceData!$AW$17),"",ReferenceData!$AW$17),"")</f>
        <v/>
      </c>
      <c r="AX17" t="str">
        <f ca="1">IFERROR(IF(0=LEN(ReferenceData!$AX$17),"",ReferenceData!$AX$17),"")</f>
        <v/>
      </c>
      <c r="AY17" t="str">
        <f ca="1">IFERROR(IF(0=LEN(ReferenceData!$AY$17),"",ReferenceData!$AY$17),"")</f>
        <v/>
      </c>
      <c r="AZ17" t="str">
        <f ca="1">IFERROR(IF(0=LEN(ReferenceData!$AZ$17),"",ReferenceData!$AZ$17),"")</f>
        <v/>
      </c>
      <c r="BA17" t="str">
        <f ca="1">IFERROR(IF(0=LEN(ReferenceData!$BA$17),"",ReferenceData!$BA$17),"")</f>
        <v/>
      </c>
      <c r="BB17" t="str">
        <f ca="1">IFERROR(IF(0=LEN(ReferenceData!$BB$17),"",ReferenceData!$BB$17),"")</f>
        <v/>
      </c>
      <c r="BC17" t="str">
        <f ca="1">IFERROR(IF(0=LEN(ReferenceData!$BC$17),"",ReferenceData!$BC$17),"")</f>
        <v/>
      </c>
      <c r="BD17" t="str">
        <f ca="1">IFERROR(IF(0=LEN(ReferenceData!$BD$17),"",ReferenceData!$BD$17),"")</f>
        <v/>
      </c>
      <c r="BE17" t="str">
        <f ca="1">IFERROR(IF(0=LEN(ReferenceData!$BE$17),"",ReferenceData!$BE$17),"")</f>
        <v/>
      </c>
      <c r="BF17" t="str">
        <f ca="1">IFERROR(IF(0=LEN(ReferenceData!$BF$17),"",ReferenceData!$BF$17),"")</f>
        <v/>
      </c>
      <c r="BG17" t="str">
        <f ca="1">IFERROR(IF(0=LEN(ReferenceData!$BG$17),"",ReferenceData!$BG$17),"")</f>
        <v/>
      </c>
      <c r="BH17" t="str">
        <f ca="1">IFERROR(IF(0=LEN(ReferenceData!$BH$17),"",ReferenceData!$BH$17),"")</f>
        <v/>
      </c>
      <c r="BI17" t="str">
        <f ca="1">IFERROR(IF(0=LEN(ReferenceData!$BI$17),"",ReferenceData!$BI$17),"")</f>
        <v/>
      </c>
      <c r="BJ17" t="str">
        <f ca="1">IFERROR(IF(0=LEN(ReferenceData!$BJ$17),"",ReferenceData!$BJ$17),"")</f>
        <v/>
      </c>
      <c r="BK17" t="str">
        <f ca="1">IFERROR(IF(0=LEN(ReferenceData!$BK$17),"",ReferenceData!$BK$17),"")</f>
        <v/>
      </c>
      <c r="BL17" t="str">
        <f ca="1">IFERROR(IF(0=LEN(ReferenceData!$BL$17),"",ReferenceData!$BL$17),"")</f>
        <v/>
      </c>
      <c r="BM17" t="str">
        <f ca="1">IFERROR(IF(0=LEN(ReferenceData!$BM$17),"",ReferenceData!$BM$17),"")</f>
        <v/>
      </c>
    </row>
    <row r="18" spans="1:65">
      <c r="A18" t="str">
        <f>IFERROR(IF(0=LEN(ReferenceData!$A$18),"",ReferenceData!$A$18),"")</f>
        <v xml:space="preserve">    Washington Prime Group Inc</v>
      </c>
      <c r="B18" t="str">
        <f>IFERROR(IF(0=LEN(ReferenceData!$B$18),"",ReferenceData!$B$18),"")</f>
        <v>WPG US Equity</v>
      </c>
      <c r="C18" t="str">
        <f>IFERROR(IF(0=LEN(ReferenceData!$C$18),"",ReferenceData!$C$18),"")</f>
        <v>IS030</v>
      </c>
      <c r="D18" t="str">
        <f>IFERROR(IF(0=LEN(ReferenceData!$D$18),"",ReferenceData!$D$18),"")</f>
        <v>IS_RENT_INC</v>
      </c>
      <c r="E18" t="str">
        <f>IFERROR(IF(0=LEN(ReferenceData!$E$18),"",ReferenceData!$E$18),"")</f>
        <v>动态</v>
      </c>
      <c r="F18" t="str">
        <f ca="1">IFERROR(IF(0=LEN(ReferenceData!$F$18),"",ReferenceData!$F$18),"")</f>
        <v/>
      </c>
      <c r="G18">
        <f ca="1">IFERROR(IF(0=LEN(ReferenceData!$G$18),"",ReferenceData!$G$18),"")</f>
        <v>187.23699999999999</v>
      </c>
      <c r="H18">
        <f ca="1">IFERROR(IF(0=LEN(ReferenceData!$H$18),"",ReferenceData!$H$18),"")</f>
        <v>179.32</v>
      </c>
      <c r="I18">
        <f ca="1">IFERROR(IF(0=LEN(ReferenceData!$I$18),"",ReferenceData!$I$18),"")</f>
        <v>189.17099999999999</v>
      </c>
      <c r="J18">
        <f ca="1">IFERROR(IF(0=LEN(ReferenceData!$J$18),"",ReferenceData!$J$18),"")</f>
        <v>202.39400000000001</v>
      </c>
      <c r="K18">
        <f ca="1">IFERROR(IF(0=LEN(ReferenceData!$K$18),"",ReferenceData!$K$18),"")</f>
        <v>217.785</v>
      </c>
      <c r="L18">
        <f ca="1">IFERROR(IF(0=LEN(ReferenceData!$L$18),"",ReferenceData!$L$18),"")</f>
        <v>209.922</v>
      </c>
      <c r="M18">
        <f ca="1">IFERROR(IF(0=LEN(ReferenceData!$M$18),"",ReferenceData!$M$18),"")</f>
        <v>205.738</v>
      </c>
      <c r="N18">
        <f ca="1">IFERROR(IF(0=LEN(ReferenceData!$N$18),"",ReferenceData!$N$18),"")</f>
        <v>210.03100000000001</v>
      </c>
      <c r="O18">
        <f ca="1">IFERROR(IF(0=LEN(ReferenceData!$O$18),"",ReferenceData!$O$18),"")</f>
        <v>229.37700000000001</v>
      </c>
      <c r="P18">
        <f ca="1">IFERROR(IF(0=LEN(ReferenceData!$P$18),"",ReferenceData!$P$18),"")</f>
        <v>216.739</v>
      </c>
      <c r="Q18">
        <f ca="1">IFERROR(IF(0=LEN(ReferenceData!$Q$18),"",ReferenceData!$Q$18),"")</f>
        <v>237.52799999999999</v>
      </c>
      <c r="R18">
        <f ca="1">IFERROR(IF(0=LEN(ReferenceData!$R$18),"",ReferenceData!$R$18),"")</f>
        <v>237.71799999999999</v>
      </c>
      <c r="S18">
        <f ca="1">IFERROR(IF(0=LEN(ReferenceData!$S$18),"",ReferenceData!$S$18),"")</f>
        <v>177.298</v>
      </c>
      <c r="T18">
        <f ca="1">IFERROR(IF(0=LEN(ReferenceData!$T$18),"",ReferenceData!$T$18),"")</f>
        <v>167.684</v>
      </c>
      <c r="U18">
        <f ca="1">IFERROR(IF(0=LEN(ReferenceData!$U$18),"",ReferenceData!$U$18),"")</f>
        <v>158.17500000000001</v>
      </c>
      <c r="V18">
        <f ca="1">IFERROR(IF(0=LEN(ReferenceData!$V$18),"",ReferenceData!$V$18),"")</f>
        <v>157.96899999999999</v>
      </c>
      <c r="W18" t="str">
        <f ca="1">IFERROR(IF(0=LEN(ReferenceData!$W$18),"",ReferenceData!$W$18),"")</f>
        <v/>
      </c>
      <c r="X18" t="str">
        <f ca="1">IFERROR(IF(0=LEN(ReferenceData!$X$18),"",ReferenceData!$X$18),"")</f>
        <v/>
      </c>
      <c r="Y18" t="str">
        <f ca="1">IFERROR(IF(0=LEN(ReferenceData!$Y$18),"",ReferenceData!$Y$18),"")</f>
        <v/>
      </c>
      <c r="Z18" t="str">
        <f ca="1">IFERROR(IF(0=LEN(ReferenceData!$Z$18),"",ReferenceData!$Z$18),"")</f>
        <v/>
      </c>
      <c r="AA18" t="str">
        <f ca="1">IFERROR(IF(0=LEN(ReferenceData!$AA$18),"",ReferenceData!$AA$18),"")</f>
        <v/>
      </c>
      <c r="AB18" t="str">
        <f ca="1">IFERROR(IF(0=LEN(ReferenceData!$AB$18),"",ReferenceData!$AB$18),"")</f>
        <v/>
      </c>
      <c r="AC18" t="str">
        <f ca="1">IFERROR(IF(0=LEN(ReferenceData!$AC$18),"",ReferenceData!$AC$18),"")</f>
        <v/>
      </c>
      <c r="AD18" t="str">
        <f ca="1">IFERROR(IF(0=LEN(ReferenceData!$AD$18),"",ReferenceData!$AD$18),"")</f>
        <v/>
      </c>
      <c r="AE18" t="str">
        <f ca="1">IFERROR(IF(0=LEN(ReferenceData!$AE$18),"",ReferenceData!$AE$18),"")</f>
        <v/>
      </c>
      <c r="AF18" t="str">
        <f ca="1">IFERROR(IF(0=LEN(ReferenceData!$AF$18),"",ReferenceData!$AF$18),"")</f>
        <v/>
      </c>
      <c r="AG18" t="str">
        <f ca="1">IFERROR(IF(0=LEN(ReferenceData!$AG$18),"",ReferenceData!$AG$18),"")</f>
        <v/>
      </c>
      <c r="AH18" t="str">
        <f ca="1">IFERROR(IF(0=LEN(ReferenceData!$AH$18),"",ReferenceData!$AH$18),"")</f>
        <v/>
      </c>
      <c r="AI18" t="str">
        <f ca="1">IFERROR(IF(0=LEN(ReferenceData!$AI$18),"",ReferenceData!$AI$18),"")</f>
        <v/>
      </c>
      <c r="AJ18" t="str">
        <f ca="1">IFERROR(IF(0=LEN(ReferenceData!$AJ$18),"",ReferenceData!$AJ$18),"")</f>
        <v/>
      </c>
      <c r="AK18" t="str">
        <f ca="1">IFERROR(IF(0=LEN(ReferenceData!$AK$18),"",ReferenceData!$AK$18),"")</f>
        <v/>
      </c>
      <c r="AL18" t="str">
        <f ca="1">IFERROR(IF(0=LEN(ReferenceData!$AL$18),"",ReferenceData!$AL$18),"")</f>
        <v/>
      </c>
      <c r="AM18" t="str">
        <f ca="1">IFERROR(IF(0=LEN(ReferenceData!$AM$18),"",ReferenceData!$AM$18),"")</f>
        <v/>
      </c>
      <c r="AN18" t="str">
        <f ca="1">IFERROR(IF(0=LEN(ReferenceData!$AN$18),"",ReferenceData!$AN$18),"")</f>
        <v/>
      </c>
      <c r="AO18" t="str">
        <f ca="1">IFERROR(IF(0=LEN(ReferenceData!$AO$18),"",ReferenceData!$AO$18),"")</f>
        <v/>
      </c>
      <c r="AP18" t="str">
        <f ca="1">IFERROR(IF(0=LEN(ReferenceData!$AP$18),"",ReferenceData!$AP$18),"")</f>
        <v/>
      </c>
      <c r="AQ18" t="str">
        <f ca="1">IFERROR(IF(0=LEN(ReferenceData!$AQ$18),"",ReferenceData!$AQ$18),"")</f>
        <v/>
      </c>
      <c r="AR18" t="str">
        <f ca="1">IFERROR(IF(0=LEN(ReferenceData!$AR$18),"",ReferenceData!$AR$18),"")</f>
        <v/>
      </c>
      <c r="AS18" t="str">
        <f ca="1">IFERROR(IF(0=LEN(ReferenceData!$AS$18),"",ReferenceData!$AS$18),"")</f>
        <v/>
      </c>
      <c r="AT18" t="str">
        <f ca="1">IFERROR(IF(0=LEN(ReferenceData!$AT$18),"",ReferenceData!$AT$18),"")</f>
        <v/>
      </c>
      <c r="AU18" t="str">
        <f ca="1">IFERROR(IF(0=LEN(ReferenceData!$AU$18),"",ReferenceData!$AU$18),"")</f>
        <v/>
      </c>
      <c r="AV18" t="str">
        <f ca="1">IFERROR(IF(0=LEN(ReferenceData!$AV$18),"",ReferenceData!$AV$18),"")</f>
        <v/>
      </c>
      <c r="AW18" t="str">
        <f ca="1">IFERROR(IF(0=LEN(ReferenceData!$AW$18),"",ReferenceData!$AW$18),"")</f>
        <v/>
      </c>
      <c r="AX18" t="str">
        <f ca="1">IFERROR(IF(0=LEN(ReferenceData!$AX$18),"",ReferenceData!$AX$18),"")</f>
        <v/>
      </c>
      <c r="AY18" t="str">
        <f ca="1">IFERROR(IF(0=LEN(ReferenceData!$AY$18),"",ReferenceData!$AY$18),"")</f>
        <v/>
      </c>
      <c r="AZ18" t="str">
        <f ca="1">IFERROR(IF(0=LEN(ReferenceData!$AZ$18),"",ReferenceData!$AZ$18),"")</f>
        <v/>
      </c>
      <c r="BA18" t="str">
        <f ca="1">IFERROR(IF(0=LEN(ReferenceData!$BA$18),"",ReferenceData!$BA$18),"")</f>
        <v/>
      </c>
      <c r="BB18" t="str">
        <f ca="1">IFERROR(IF(0=LEN(ReferenceData!$BB$18),"",ReferenceData!$BB$18),"")</f>
        <v/>
      </c>
      <c r="BC18" t="str">
        <f ca="1">IFERROR(IF(0=LEN(ReferenceData!$BC$18),"",ReferenceData!$BC$18),"")</f>
        <v/>
      </c>
      <c r="BD18" t="str">
        <f ca="1">IFERROR(IF(0=LEN(ReferenceData!$BD$18),"",ReferenceData!$BD$18),"")</f>
        <v/>
      </c>
      <c r="BE18" t="str">
        <f ca="1">IFERROR(IF(0=LEN(ReferenceData!$BE$18),"",ReferenceData!$BE$18),"")</f>
        <v/>
      </c>
      <c r="BF18" t="str">
        <f ca="1">IFERROR(IF(0=LEN(ReferenceData!$BF$18),"",ReferenceData!$BF$18),"")</f>
        <v/>
      </c>
      <c r="BG18" t="str">
        <f ca="1">IFERROR(IF(0=LEN(ReferenceData!$BG$18),"",ReferenceData!$BG$18),"")</f>
        <v/>
      </c>
      <c r="BH18" t="str">
        <f ca="1">IFERROR(IF(0=LEN(ReferenceData!$BH$18),"",ReferenceData!$BH$18),"")</f>
        <v/>
      </c>
      <c r="BI18" t="str">
        <f ca="1">IFERROR(IF(0=LEN(ReferenceData!$BI$18),"",ReferenceData!$BI$18),"")</f>
        <v/>
      </c>
      <c r="BJ18" t="str">
        <f ca="1">IFERROR(IF(0=LEN(ReferenceData!$BJ$18),"",ReferenceData!$BJ$18),"")</f>
        <v/>
      </c>
      <c r="BK18" t="str">
        <f ca="1">IFERROR(IF(0=LEN(ReferenceData!$BK$18),"",ReferenceData!$BK$18),"")</f>
        <v/>
      </c>
      <c r="BL18" t="str">
        <f ca="1">IFERROR(IF(0=LEN(ReferenceData!$BL$18),"",ReferenceData!$BL$18),"")</f>
        <v/>
      </c>
      <c r="BM18" t="str">
        <f ca="1">IFERROR(IF(0=LEN(ReferenceData!$BM$18),"",ReferenceData!$BM$18),"")</f>
        <v/>
      </c>
    </row>
    <row r="19" spans="1:65">
      <c r="A19" t="str">
        <f>IFERROR(IF(0=LEN(ReferenceData!$A$19),"",ReferenceData!$A$19),"")</f>
        <v xml:space="preserve">    Weingarten Realty Investors</v>
      </c>
      <c r="B19" t="str">
        <f>IFERROR(IF(0=LEN(ReferenceData!$B$19),"",ReferenceData!$B$19),"")</f>
        <v>WRI US Equity</v>
      </c>
      <c r="C19" t="str">
        <f>IFERROR(IF(0=LEN(ReferenceData!$C$19),"",ReferenceData!$C$19),"")</f>
        <v>IS030</v>
      </c>
      <c r="D19" t="str">
        <f>IFERROR(IF(0=LEN(ReferenceData!$D$19),"",ReferenceData!$D$19),"")</f>
        <v>IS_RENT_INC</v>
      </c>
      <c r="E19" t="str">
        <f>IFERROR(IF(0=LEN(ReferenceData!$E$19),"",ReferenceData!$E$19),"")</f>
        <v>动态</v>
      </c>
      <c r="F19" t="str">
        <f ca="1">IFERROR(IF(0=LEN(ReferenceData!$F$19),"",ReferenceData!$F$19),"")</f>
        <v/>
      </c>
      <c r="G19">
        <f ca="1">IFERROR(IF(0=LEN(ReferenceData!$G$19),"",ReferenceData!$G$19),"")</f>
        <v>135.798</v>
      </c>
      <c r="H19">
        <f ca="1">IFERROR(IF(0=LEN(ReferenceData!$H$19),"",ReferenceData!$H$19),"")</f>
        <v>141.06399999999999</v>
      </c>
      <c r="I19">
        <f ca="1">IFERROR(IF(0=LEN(ReferenceData!$I$19),"",ReferenceData!$I$19),"")</f>
        <v>142.96299999999999</v>
      </c>
      <c r="J19">
        <f ca="1">IFERROR(IF(0=LEN(ReferenceData!$J$19),"",ReferenceData!$J$19),"")</f>
        <v>140.81800000000001</v>
      </c>
      <c r="K19">
        <f ca="1">IFERROR(IF(0=LEN(ReferenceData!$K$19),"",ReferenceData!$K$19),"")</f>
        <v>139.50700000000001</v>
      </c>
      <c r="L19">
        <f ca="1">IFERROR(IF(0=LEN(ReferenceData!$L$19),"",ReferenceData!$L$19),"")</f>
        <v>136.435</v>
      </c>
      <c r="M19">
        <f ca="1">IFERROR(IF(0=LEN(ReferenceData!$M$19),"",ReferenceData!$M$19),"")</f>
        <v>132.81399999999999</v>
      </c>
      <c r="N19">
        <f ca="1">IFERROR(IF(0=LEN(ReferenceData!$N$19),"",ReferenceData!$N$19),"")</f>
        <v>128.50899999999999</v>
      </c>
      <c r="O19">
        <f ca="1">IFERROR(IF(0=LEN(ReferenceData!$O$19),"",ReferenceData!$O$19),"")</f>
        <v>127.242</v>
      </c>
      <c r="P19">
        <f ca="1">IFERROR(IF(0=LEN(ReferenceData!$P$19),"",ReferenceData!$P$19),"")</f>
        <v>128.25399999999999</v>
      </c>
      <c r="Q19">
        <f ca="1">IFERROR(IF(0=LEN(ReferenceData!$Q$19),"",ReferenceData!$Q$19),"")</f>
        <v>124.31</v>
      </c>
      <c r="R19">
        <f ca="1">IFERROR(IF(0=LEN(ReferenceData!$R$19),"",ReferenceData!$R$19),"")</f>
        <v>122.658</v>
      </c>
      <c r="S19">
        <f ca="1">IFERROR(IF(0=LEN(ReferenceData!$S$19),"",ReferenceData!$S$19),"")</f>
        <v>122.73</v>
      </c>
      <c r="T19">
        <f ca="1">IFERROR(IF(0=LEN(ReferenceData!$T$19),"",ReferenceData!$T$19),"")</f>
        <v>127.974</v>
      </c>
      <c r="U19">
        <f ca="1">IFERROR(IF(0=LEN(ReferenceData!$U$19),"",ReferenceData!$U$19),"")</f>
        <v>127.791</v>
      </c>
      <c r="V19">
        <f ca="1">IFERROR(IF(0=LEN(ReferenceData!$V$19),"",ReferenceData!$V$19),"")</f>
        <v>124.633</v>
      </c>
      <c r="W19">
        <f ca="1">IFERROR(IF(0=LEN(ReferenceData!$W$19),"",ReferenceData!$W$19),"")</f>
        <v>123.46</v>
      </c>
      <c r="X19">
        <f ca="1">IFERROR(IF(0=LEN(ReferenceData!$X$19),"",ReferenceData!$X$19),"")</f>
        <v>120.361</v>
      </c>
      <c r="Y19">
        <f ca="1">IFERROR(IF(0=LEN(ReferenceData!$Y$19),"",ReferenceData!$Y$19),"")</f>
        <v>118.292</v>
      </c>
      <c r="Z19">
        <f ca="1">IFERROR(IF(0=LEN(ReferenceData!$Z$19),"",ReferenceData!$Z$19),"")</f>
        <v>115.227</v>
      </c>
      <c r="AA19">
        <f ca="1">IFERROR(IF(0=LEN(ReferenceData!$AA$19),"",ReferenceData!$AA$19),"")</f>
        <v>116.578</v>
      </c>
      <c r="AB19">
        <f ca="1">IFERROR(IF(0=LEN(ReferenceData!$AB$19),"",ReferenceData!$AB$19),"")</f>
        <v>119.211</v>
      </c>
      <c r="AC19">
        <f ca="1">IFERROR(IF(0=LEN(ReferenceData!$AC$19),"",ReferenceData!$AC$19),"")</f>
        <v>116.01300000000001</v>
      </c>
      <c r="AD19">
        <f ca="1">IFERROR(IF(0=LEN(ReferenceData!$AD$19),"",ReferenceData!$AD$19),"")</f>
        <v>116.10299999999999</v>
      </c>
      <c r="AE19">
        <f ca="1">IFERROR(IF(0=LEN(ReferenceData!$AE$19),"",ReferenceData!$AE$19),"")</f>
        <v>116.752</v>
      </c>
      <c r="AF19">
        <f ca="1">IFERROR(IF(0=LEN(ReferenceData!$AF$19),"",ReferenceData!$AF$19),"")</f>
        <v>119.746</v>
      </c>
      <c r="AG19">
        <f ca="1">IFERROR(IF(0=LEN(ReferenceData!$AG$19),"",ReferenceData!$AG$19),"")</f>
        <v>117.843</v>
      </c>
      <c r="AH19">
        <f ca="1">IFERROR(IF(0=LEN(ReferenceData!$AH$19),"",ReferenceData!$AH$19),"")</f>
        <v>115.56100000000001</v>
      </c>
      <c r="AI19">
        <f ca="1">IFERROR(IF(0=LEN(ReferenceData!$AI$19),"",ReferenceData!$AI$19),"")</f>
        <v>131.846</v>
      </c>
      <c r="AJ19">
        <f ca="1">IFERROR(IF(0=LEN(ReferenceData!$AJ$19),"",ReferenceData!$AJ$19),"")</f>
        <v>129.80000000000001</v>
      </c>
      <c r="AK19">
        <f ca="1">IFERROR(IF(0=LEN(ReferenceData!$AK$19),"",ReferenceData!$AK$19),"")</f>
        <v>134.32</v>
      </c>
      <c r="AL19">
        <f ca="1">IFERROR(IF(0=LEN(ReferenceData!$AL$19),"",ReferenceData!$AL$19),"")</f>
        <v>134.08799999999999</v>
      </c>
      <c r="AM19">
        <f ca="1">IFERROR(IF(0=LEN(ReferenceData!$AM$19),"",ReferenceData!$AM$19),"")</f>
        <v>136.45400000000001</v>
      </c>
      <c r="AN19">
        <f ca="1">IFERROR(IF(0=LEN(ReferenceData!$AN$19),"",ReferenceData!$AN$19),"")</f>
        <v>138.17500000000001</v>
      </c>
      <c r="AO19">
        <f ca="1">IFERROR(IF(0=LEN(ReferenceData!$AO$19),"",ReferenceData!$AO$19),"")</f>
        <v>139.066</v>
      </c>
      <c r="AP19">
        <f ca="1">IFERROR(IF(0=LEN(ReferenceData!$AP$19),"",ReferenceData!$AP$19),"")</f>
        <v>140.34</v>
      </c>
      <c r="AQ19">
        <f ca="1">IFERROR(IF(0=LEN(ReferenceData!$AQ$19),"",ReferenceData!$AQ$19),"")</f>
        <v>142.13499999999999</v>
      </c>
      <c r="AR19">
        <f ca="1">IFERROR(IF(0=LEN(ReferenceData!$AR$19),"",ReferenceData!$AR$19),"")</f>
        <v>149.72499999999999</v>
      </c>
      <c r="AS19">
        <f ca="1">IFERROR(IF(0=LEN(ReferenceData!$AS$19),"",ReferenceData!$AS$19),"")</f>
        <v>148.89099999999999</v>
      </c>
      <c r="AT19">
        <f ca="1">IFERROR(IF(0=LEN(ReferenceData!$AT$19),"",ReferenceData!$AT$19),"")</f>
        <v>148.785</v>
      </c>
      <c r="AU19">
        <f ca="1">IFERROR(IF(0=LEN(ReferenceData!$AU$19),"",ReferenceData!$AU$19),"")</f>
        <v>146.91300000000001</v>
      </c>
      <c r="AV19">
        <f ca="1">IFERROR(IF(0=LEN(ReferenceData!$AV$19),"",ReferenceData!$AV$19),"")</f>
        <v>148.387</v>
      </c>
      <c r="AW19">
        <f ca="1">IFERROR(IF(0=LEN(ReferenceData!$AW$19),"",ReferenceData!$AW$19),"")</f>
        <v>139.053</v>
      </c>
      <c r="AX19">
        <f ca="1">IFERROR(IF(0=LEN(ReferenceData!$AX$19),"",ReferenceData!$AX$19),"")</f>
        <v>140.66800000000001</v>
      </c>
      <c r="AY19">
        <f ca="1">IFERROR(IF(0=LEN(ReferenceData!$AY$19),"",ReferenceData!$AY$19),"")</f>
        <v>138.51499999999999</v>
      </c>
      <c r="AZ19">
        <f ca="1">IFERROR(IF(0=LEN(ReferenceData!$AZ$19),"",ReferenceData!$AZ$19),"")</f>
        <v>137.749</v>
      </c>
      <c r="BA19">
        <f ca="1">IFERROR(IF(0=LEN(ReferenceData!$BA$19),"",ReferenceData!$BA$19),"")</f>
        <v>130.708</v>
      </c>
      <c r="BB19">
        <f ca="1">IFERROR(IF(0=LEN(ReferenceData!$BB$19),"",ReferenceData!$BB$19),"")</f>
        <v>129.08500000000001</v>
      </c>
      <c r="BC19">
        <f ca="1">IFERROR(IF(0=LEN(ReferenceData!$BC$19),"",ReferenceData!$BC$19),"")</f>
        <v>118.18</v>
      </c>
      <c r="BD19">
        <f ca="1">IFERROR(IF(0=LEN(ReferenceData!$BD$19),"",ReferenceData!$BD$19),"")</f>
        <v>129.273</v>
      </c>
      <c r="BE19">
        <f ca="1">IFERROR(IF(0=LEN(ReferenceData!$BE$19),"",ReferenceData!$BE$19),"")</f>
        <v>127.855</v>
      </c>
      <c r="BF19">
        <f ca="1">IFERROR(IF(0=LEN(ReferenceData!$BF$19),"",ReferenceData!$BF$19),"")</f>
        <v>128.726</v>
      </c>
      <c r="BG19">
        <f ca="1">IFERROR(IF(0=LEN(ReferenceData!$BG$19),"",ReferenceData!$BG$19),"")</f>
        <v>125.80800000000001</v>
      </c>
      <c r="BH19">
        <f ca="1">IFERROR(IF(0=LEN(ReferenceData!$BH$19),"",ReferenceData!$BH$19),"")</f>
        <v>125.654</v>
      </c>
      <c r="BI19">
        <f ca="1">IFERROR(IF(0=LEN(ReferenceData!$BI$19),"",ReferenceData!$BI$19),"")</f>
        <v>119.6220016</v>
      </c>
      <c r="BJ19">
        <f ca="1">IFERROR(IF(0=LEN(ReferenceData!$BJ$19),"",ReferenceData!$BJ$19),"")</f>
        <v>114.174004</v>
      </c>
      <c r="BK19">
        <f ca="1">IFERROR(IF(0=LEN(ReferenceData!$BK$19),"",ReferenceData!$BK$19),"")</f>
        <v>108.32199900000001</v>
      </c>
      <c r="BL19">
        <f ca="1">IFERROR(IF(0=LEN(ReferenceData!$BL$19),"",ReferenceData!$BL$19),"")</f>
        <v>102.780998</v>
      </c>
      <c r="BM19">
        <f ca="1">IFERROR(IF(0=LEN(ReferenceData!$BM$19),"",ReferenceData!$BM$19),"")</f>
        <v>99.825996000000004</v>
      </c>
    </row>
    <row r="20" spans="1:65">
      <c r="A20" t="str">
        <f>IFERROR(IF(0=LEN(ReferenceData!$A$20),"",ReferenceData!$A$20),"")</f>
        <v>其他租赁收入</v>
      </c>
      <c r="B20" t="str">
        <f>IFERROR(IF(0=LEN(ReferenceData!$B$20),"",ReferenceData!$B$20),"")</f>
        <v/>
      </c>
      <c r="C20" t="str">
        <f>IFERROR(IF(0=LEN(ReferenceData!$C$20),"",ReferenceData!$C$20),"")</f>
        <v/>
      </c>
      <c r="D20" t="str">
        <f>IFERROR(IF(0=LEN(ReferenceData!$D$20),"",ReferenceData!$D$20),"")</f>
        <v/>
      </c>
      <c r="E20" t="str">
        <f>IFERROR(IF(0=LEN(ReferenceData!$E$20),"",ReferenceData!$E$20),"")</f>
        <v>Median</v>
      </c>
      <c r="F20" t="str">
        <f ca="1">IFERROR(IF(0=LEN(ReferenceData!$F$20),"",ReferenceData!$F$20),"")</f>
        <v/>
      </c>
      <c r="G20">
        <f ca="1">IFERROR(IF(0=LEN(ReferenceData!$G$20),"",ReferenceData!$G$20),"")</f>
        <v>11.202</v>
      </c>
      <c r="H20">
        <f ca="1">IFERROR(IF(0=LEN(ReferenceData!$H$20),"",ReferenceData!$H$20),"")</f>
        <v>6.1390000000000002</v>
      </c>
      <c r="I20">
        <f ca="1">IFERROR(IF(0=LEN(ReferenceData!$I$20),"",ReferenceData!$I$20),"")</f>
        <v>7.617</v>
      </c>
      <c r="J20">
        <f ca="1">IFERROR(IF(0=LEN(ReferenceData!$J$20),"",ReferenceData!$J$20),"")</f>
        <v>8.4879999999999995</v>
      </c>
      <c r="K20">
        <f ca="1">IFERROR(IF(0=LEN(ReferenceData!$K$20),"",ReferenceData!$K$20),"")</f>
        <v>13.038</v>
      </c>
      <c r="L20">
        <f ca="1">IFERROR(IF(0=LEN(ReferenceData!$L$20),"",ReferenceData!$L$20),"")</f>
        <v>7.1050000000000004</v>
      </c>
      <c r="M20">
        <f ca="1">IFERROR(IF(0=LEN(ReferenceData!$M$20),"",ReferenceData!$M$20),"")</f>
        <v>5.0709999999999997</v>
      </c>
      <c r="N20">
        <f ca="1">IFERROR(IF(0=LEN(ReferenceData!$N$20),"",ReferenceData!$N$20),"")</f>
        <v>8.9700000000000006</v>
      </c>
      <c r="O20">
        <f ca="1">IFERROR(IF(0=LEN(ReferenceData!$O$20),"",ReferenceData!$O$20),"")</f>
        <v>12.432</v>
      </c>
      <c r="P20">
        <f ca="1">IFERROR(IF(0=LEN(ReferenceData!$P$20),"",ReferenceData!$P$20),"")</f>
        <v>10.231</v>
      </c>
      <c r="Q20">
        <f ca="1">IFERROR(IF(0=LEN(ReferenceData!$Q$20),"",ReferenceData!$Q$20),"")</f>
        <v>8.3960000000000008</v>
      </c>
      <c r="R20">
        <f ca="1">IFERROR(IF(0=LEN(ReferenceData!$R$20),"",ReferenceData!$R$20),"")</f>
        <v>7.5670000000000002</v>
      </c>
      <c r="S20">
        <f ca="1">IFERROR(IF(0=LEN(ReferenceData!$S$20),"",ReferenceData!$S$20),"")</f>
        <v>8.6059999999999999</v>
      </c>
      <c r="T20">
        <f ca="1">IFERROR(IF(0=LEN(ReferenceData!$T$20),"",ReferenceData!$T$20),"")</f>
        <v>3.8130000000000002</v>
      </c>
      <c r="U20">
        <f ca="1">IFERROR(IF(0=LEN(ReferenceData!$U$20),"",ReferenceData!$U$20),"")</f>
        <v>4.6130000000000004</v>
      </c>
      <c r="V20">
        <f ca="1">IFERROR(IF(0=LEN(ReferenceData!$V$20),"",ReferenceData!$V$20),"")</f>
        <v>5.282</v>
      </c>
      <c r="W20">
        <f ca="1">IFERROR(IF(0=LEN(ReferenceData!$W$20),"",ReferenceData!$W$20),"")</f>
        <v>22.147500000000001</v>
      </c>
      <c r="X20">
        <f ca="1">IFERROR(IF(0=LEN(ReferenceData!$X$20),"",ReferenceData!$X$20),"")</f>
        <v>18.554500000000001</v>
      </c>
      <c r="Y20">
        <f ca="1">IFERROR(IF(0=LEN(ReferenceData!$Y$20),"",ReferenceData!$Y$20),"")</f>
        <v>17.955500000000001</v>
      </c>
      <c r="Z20">
        <f ca="1">IFERROR(IF(0=LEN(ReferenceData!$Z$20),"",ReferenceData!$Z$20),"")</f>
        <v>19.214500000000001</v>
      </c>
      <c r="AA20">
        <f ca="1">IFERROR(IF(0=LEN(ReferenceData!$AA$20),"",ReferenceData!$AA$20),"")</f>
        <v>20.721499999999999</v>
      </c>
      <c r="AB20">
        <f ca="1">IFERROR(IF(0=LEN(ReferenceData!$AB$20),"",ReferenceData!$AB$20),"")</f>
        <v>3.653</v>
      </c>
      <c r="AC20">
        <f ca="1">IFERROR(IF(0=LEN(ReferenceData!$AC$20),"",ReferenceData!$AC$20),"")</f>
        <v>4.6639999999999997</v>
      </c>
      <c r="AD20">
        <f ca="1">IFERROR(IF(0=LEN(ReferenceData!$AD$20),"",ReferenceData!$AD$20),"")</f>
        <v>5.2859999999999996</v>
      </c>
      <c r="AE20">
        <f ca="1">IFERROR(IF(0=LEN(ReferenceData!$AE$20),"",ReferenceData!$AE$20),"")</f>
        <v>4.9205000000000005</v>
      </c>
      <c r="AF20">
        <f ca="1">IFERROR(IF(0=LEN(ReferenceData!$AF$20),"",ReferenceData!$AF$20),"")</f>
        <v>2.5714999999999999</v>
      </c>
      <c r="AG20">
        <f ca="1">IFERROR(IF(0=LEN(ReferenceData!$AG$20),"",ReferenceData!$AG$20),"")</f>
        <v>2.7484999999999999</v>
      </c>
      <c r="AH20">
        <f ca="1">IFERROR(IF(0=LEN(ReferenceData!$AH$20),"",ReferenceData!$AH$20),"")</f>
        <v>3.621</v>
      </c>
      <c r="AI20">
        <f ca="1">IFERROR(IF(0=LEN(ReferenceData!$AI$20),"",ReferenceData!$AI$20),"")</f>
        <v>5.3379999999999992</v>
      </c>
      <c r="AJ20">
        <f ca="1">IFERROR(IF(0=LEN(ReferenceData!$AJ$20),"",ReferenceData!$AJ$20),"")</f>
        <v>3.0415000000000001</v>
      </c>
      <c r="AK20">
        <f ca="1">IFERROR(IF(0=LEN(ReferenceData!$AK$20),"",ReferenceData!$AK$20),"")</f>
        <v>2.2349999999999999</v>
      </c>
      <c r="AL20">
        <f ca="1">IFERROR(IF(0=LEN(ReferenceData!$AL$20),"",ReferenceData!$AL$20),"")</f>
        <v>3.0459999999999998</v>
      </c>
      <c r="AM20">
        <f ca="1">IFERROR(IF(0=LEN(ReferenceData!$AM$20),"",ReferenceData!$AM$20),"")</f>
        <v>8.9410000000000007</v>
      </c>
      <c r="AN20">
        <f ca="1">IFERROR(IF(0=LEN(ReferenceData!$AN$20),"",ReferenceData!$AN$20),"")</f>
        <v>11.5915</v>
      </c>
      <c r="AO20">
        <f ca="1">IFERROR(IF(0=LEN(ReferenceData!$AO$20),"",ReferenceData!$AO$20),"")</f>
        <v>4.1420000000000003</v>
      </c>
      <c r="AP20">
        <f ca="1">IFERROR(IF(0=LEN(ReferenceData!$AP$20),"",ReferenceData!$AP$20),"")</f>
        <v>4.28</v>
      </c>
      <c r="AQ20" t="str">
        <f ca="1">IFERROR(IF(0=LEN(ReferenceData!$AQ$20),"",ReferenceData!$AQ$20),"")</f>
        <v/>
      </c>
      <c r="AR20" t="str">
        <f ca="1">IFERROR(IF(0=LEN(ReferenceData!$AR$20),"",ReferenceData!$AR$20),"")</f>
        <v/>
      </c>
      <c r="AS20" t="str">
        <f ca="1">IFERROR(IF(0=LEN(ReferenceData!$AS$20),"",ReferenceData!$AS$20),"")</f>
        <v/>
      </c>
      <c r="AT20" t="str">
        <f ca="1">IFERROR(IF(0=LEN(ReferenceData!$AT$20),"",ReferenceData!$AT$20),"")</f>
        <v/>
      </c>
      <c r="AU20" t="str">
        <f ca="1">IFERROR(IF(0=LEN(ReferenceData!$AU$20),"",ReferenceData!$AU$20),"")</f>
        <v/>
      </c>
      <c r="AV20" t="str">
        <f ca="1">IFERROR(IF(0=LEN(ReferenceData!$AV$20),"",ReferenceData!$AV$20),"")</f>
        <v/>
      </c>
      <c r="AW20" t="str">
        <f ca="1">IFERROR(IF(0=LEN(ReferenceData!$AW$20),"",ReferenceData!$AW$20),"")</f>
        <v/>
      </c>
      <c r="AX20" t="str">
        <f ca="1">IFERROR(IF(0=LEN(ReferenceData!$AX$20),"",ReferenceData!$AX$20),"")</f>
        <v/>
      </c>
      <c r="AY20" t="str">
        <f ca="1">IFERROR(IF(0=LEN(ReferenceData!$AY$20),"",ReferenceData!$AY$20),"")</f>
        <v/>
      </c>
      <c r="AZ20" t="str">
        <f ca="1">IFERROR(IF(0=LEN(ReferenceData!$AZ$20),"",ReferenceData!$AZ$20),"")</f>
        <v/>
      </c>
      <c r="BA20" t="str">
        <f ca="1">IFERROR(IF(0=LEN(ReferenceData!$BA$20),"",ReferenceData!$BA$20),"")</f>
        <v/>
      </c>
      <c r="BB20" t="str">
        <f ca="1">IFERROR(IF(0=LEN(ReferenceData!$BB$20),"",ReferenceData!$BB$20),"")</f>
        <v/>
      </c>
      <c r="BC20" t="str">
        <f ca="1">IFERROR(IF(0=LEN(ReferenceData!$BC$20),"",ReferenceData!$BC$20),"")</f>
        <v/>
      </c>
      <c r="BD20" t="str">
        <f ca="1">IFERROR(IF(0=LEN(ReferenceData!$BD$20),"",ReferenceData!$BD$20),"")</f>
        <v/>
      </c>
      <c r="BE20" t="str">
        <f ca="1">IFERROR(IF(0=LEN(ReferenceData!$BE$20),"",ReferenceData!$BE$20),"")</f>
        <v/>
      </c>
      <c r="BF20" t="str">
        <f ca="1">IFERROR(IF(0=LEN(ReferenceData!$BF$20),"",ReferenceData!$BF$20),"")</f>
        <v/>
      </c>
      <c r="BG20" t="str">
        <f ca="1">IFERROR(IF(0=LEN(ReferenceData!$BG$20),"",ReferenceData!$BG$20),"")</f>
        <v/>
      </c>
      <c r="BH20" t="str">
        <f ca="1">IFERROR(IF(0=LEN(ReferenceData!$BH$20),"",ReferenceData!$BH$20),"")</f>
        <v/>
      </c>
      <c r="BI20" t="str">
        <f ca="1">IFERROR(IF(0=LEN(ReferenceData!$BI$20),"",ReferenceData!$BI$20),"")</f>
        <v/>
      </c>
      <c r="BJ20" t="str">
        <f ca="1">IFERROR(IF(0=LEN(ReferenceData!$BJ$20),"",ReferenceData!$BJ$20),"")</f>
        <v/>
      </c>
      <c r="BK20" t="str">
        <f ca="1">IFERROR(IF(0=LEN(ReferenceData!$BK$20),"",ReferenceData!$BK$20),"")</f>
        <v/>
      </c>
      <c r="BL20" t="str">
        <f ca="1">IFERROR(IF(0=LEN(ReferenceData!$BL$20),"",ReferenceData!$BL$20),"")</f>
        <v/>
      </c>
      <c r="BM20" t="str">
        <f ca="1">IFERROR(IF(0=LEN(ReferenceData!$BM$20),"",ReferenceData!$BM$20),"")</f>
        <v/>
      </c>
    </row>
    <row r="21" spans="1:65">
      <c r="A21" t="str">
        <f>IFERROR(IF(0=LEN(ReferenceData!$A$21),"",ReferenceData!$A$21),"")</f>
        <v xml:space="preserve">    Brixmor Property Group Inc</v>
      </c>
      <c r="B21" t="str">
        <f>IFERROR(IF(0=LEN(ReferenceData!$B$21),"",ReferenceData!$B$21),"")</f>
        <v>BRX US Equity</v>
      </c>
      <c r="C21" t="str">
        <f>IFERROR(IF(0=LEN(ReferenceData!$C$21),"",ReferenceData!$C$21),"")</f>
        <v>IM275</v>
      </c>
      <c r="D21" t="str">
        <f>IFERROR(IF(0=LEN(ReferenceData!$D$21),"",ReferenceData!$D$21),"")</f>
        <v>IS_OTHER_RENTAL_INCOME</v>
      </c>
      <c r="E21" t="str">
        <f>IFERROR(IF(0=LEN(ReferenceData!$E$21),"",ReferenceData!$E$21),"")</f>
        <v>动态</v>
      </c>
      <c r="F21" t="str">
        <f ca="1">IFERROR(IF(0=LEN(ReferenceData!$F$21),"",ReferenceData!$F$21),"")</f>
        <v/>
      </c>
      <c r="G21">
        <f ca="1">IFERROR(IF(0=LEN(ReferenceData!$G$21),"",ReferenceData!$G$21),"")</f>
        <v>247.113</v>
      </c>
      <c r="H21">
        <f ca="1">IFERROR(IF(0=LEN(ReferenceData!$H$21),"",ReferenceData!$H$21),"")</f>
        <v>246.578</v>
      </c>
      <c r="I21">
        <f ca="1">IFERROR(IF(0=LEN(ReferenceData!$I$21),"",ReferenceData!$I$21),"")</f>
        <v>253.77699999999999</v>
      </c>
      <c r="J21">
        <f ca="1">IFERROR(IF(0=LEN(ReferenceData!$J$21),"",ReferenceData!$J$21),"")</f>
        <v>249.62100000000001</v>
      </c>
      <c r="K21">
        <f ca="1">IFERROR(IF(0=LEN(ReferenceData!$K$21),"",ReferenceData!$K$21),"")</f>
        <v>253.53800000000001</v>
      </c>
      <c r="L21">
        <f ca="1">IFERROR(IF(0=LEN(ReferenceData!$L$21),"",ReferenceData!$L$21),"")</f>
        <v>247.85900000000001</v>
      </c>
      <c r="M21">
        <f ca="1">IFERROR(IF(0=LEN(ReferenceData!$M$21),"",ReferenceData!$M$21),"")</f>
        <v>245.57499999999999</v>
      </c>
      <c r="N21">
        <f ca="1">IFERROR(IF(0=LEN(ReferenceData!$N$21),"",ReferenceData!$N$21),"")</f>
        <v>251.14599999999999</v>
      </c>
      <c r="O21">
        <f ca="1">IFERROR(IF(0=LEN(ReferenceData!$O$21),"",ReferenceData!$O$21),"")</f>
        <v>251.119</v>
      </c>
      <c r="P21">
        <f ca="1">IFERROR(IF(0=LEN(ReferenceData!$P$21),"",ReferenceData!$P$21),"")</f>
        <v>245.82900000000001</v>
      </c>
      <c r="Q21">
        <f ca="1">IFERROR(IF(0=LEN(ReferenceData!$Q$21),"",ReferenceData!$Q$21),"")</f>
        <v>244.03</v>
      </c>
      <c r="R21">
        <f ca="1">IFERROR(IF(0=LEN(ReferenceData!$R$21),"",ReferenceData!$R$21),"")</f>
        <v>243.57</v>
      </c>
      <c r="S21">
        <f ca="1">IFERROR(IF(0=LEN(ReferenceData!$S$21),"",ReferenceData!$S$21),"")</f>
        <v>242.74</v>
      </c>
      <c r="T21">
        <f ca="1">IFERROR(IF(0=LEN(ReferenceData!$T$21),"",ReferenceData!$T$21),"")</f>
        <v>240.82</v>
      </c>
      <c r="U21">
        <f ca="1">IFERROR(IF(0=LEN(ReferenceData!$U$21),"",ReferenceData!$U$21),"")</f>
        <v>239.98699999999999</v>
      </c>
      <c r="V21">
        <f ca="1">IFERROR(IF(0=LEN(ReferenceData!$V$21),"",ReferenceData!$V$21),"")</f>
        <v>237.16800000000001</v>
      </c>
      <c r="W21">
        <f ca="1">IFERROR(IF(0=LEN(ReferenceData!$W$21),"",ReferenceData!$W$21),"")</f>
        <v>233.643</v>
      </c>
      <c r="X21">
        <f ca="1">IFERROR(IF(0=LEN(ReferenceData!$X$21),"",ReferenceData!$X$21),"")</f>
        <v>223.22499999999999</v>
      </c>
      <c r="Y21">
        <f ca="1">IFERROR(IF(0=LEN(ReferenceData!$Y$21),"",ReferenceData!$Y$21),"")</f>
        <v>216.29599999999999</v>
      </c>
      <c r="Z21">
        <f ca="1">IFERROR(IF(0=LEN(ReferenceData!$Z$21),"",ReferenceData!$Z$21),"")</f>
        <v>214.55799999999999</v>
      </c>
      <c r="AA21">
        <f ca="1">IFERROR(IF(0=LEN(ReferenceData!$AA$21),"",ReferenceData!$AA$21),"")</f>
        <v>222.01900000000001</v>
      </c>
      <c r="AB21">
        <f ca="1">IFERROR(IF(0=LEN(ReferenceData!$AB$21),"",ReferenceData!$AB$21),"")</f>
        <v>220.24299999999999</v>
      </c>
      <c r="AC21">
        <f ca="1">IFERROR(IF(0=LEN(ReferenceData!$AC$21),"",ReferenceData!$AC$21),"")</f>
        <v>217.066</v>
      </c>
      <c r="AD21">
        <f ca="1">IFERROR(IF(0=LEN(ReferenceData!$AD$21),"",ReferenceData!$AD$21),"")</f>
        <v>218.27</v>
      </c>
      <c r="AE21" t="str">
        <f ca="1">IFERROR(IF(0=LEN(ReferenceData!$AE$21),"",ReferenceData!$AE$21),"")</f>
        <v/>
      </c>
      <c r="AF21" t="str">
        <f ca="1">IFERROR(IF(0=LEN(ReferenceData!$AF$21),"",ReferenceData!$AF$21),"")</f>
        <v/>
      </c>
      <c r="AG21" t="str">
        <f ca="1">IFERROR(IF(0=LEN(ReferenceData!$AG$21),"",ReferenceData!$AG$21),"")</f>
        <v/>
      </c>
      <c r="AH21" t="str">
        <f ca="1">IFERROR(IF(0=LEN(ReferenceData!$AH$21),"",ReferenceData!$AH$21),"")</f>
        <v/>
      </c>
      <c r="AI21" t="str">
        <f ca="1">IFERROR(IF(0=LEN(ReferenceData!$AI$21),"",ReferenceData!$AI$21),"")</f>
        <v/>
      </c>
      <c r="AJ21" t="str">
        <f ca="1">IFERROR(IF(0=LEN(ReferenceData!$AJ$21),"",ReferenceData!$AJ$21),"")</f>
        <v/>
      </c>
      <c r="AK21" t="str">
        <f ca="1">IFERROR(IF(0=LEN(ReferenceData!$AK$21),"",ReferenceData!$AK$21),"")</f>
        <v/>
      </c>
      <c r="AL21" t="str">
        <f ca="1">IFERROR(IF(0=LEN(ReferenceData!$AL$21),"",ReferenceData!$AL$21),"")</f>
        <v/>
      </c>
      <c r="AM21" t="str">
        <f ca="1">IFERROR(IF(0=LEN(ReferenceData!$AM$21),"",ReferenceData!$AM$21),"")</f>
        <v/>
      </c>
      <c r="AN21" t="str">
        <f ca="1">IFERROR(IF(0=LEN(ReferenceData!$AN$21),"",ReferenceData!$AN$21),"")</f>
        <v/>
      </c>
      <c r="AO21" t="str">
        <f ca="1">IFERROR(IF(0=LEN(ReferenceData!$AO$21),"",ReferenceData!$AO$21),"")</f>
        <v/>
      </c>
      <c r="AP21" t="str">
        <f ca="1">IFERROR(IF(0=LEN(ReferenceData!$AP$21),"",ReferenceData!$AP$21),"")</f>
        <v/>
      </c>
      <c r="AQ21" t="str">
        <f ca="1">IFERROR(IF(0=LEN(ReferenceData!$AQ$21),"",ReferenceData!$AQ$21),"")</f>
        <v/>
      </c>
      <c r="AR21" t="str">
        <f ca="1">IFERROR(IF(0=LEN(ReferenceData!$AR$21),"",ReferenceData!$AR$21),"")</f>
        <v/>
      </c>
      <c r="AS21" t="str">
        <f ca="1">IFERROR(IF(0=LEN(ReferenceData!$AS$21),"",ReferenceData!$AS$21),"")</f>
        <v/>
      </c>
      <c r="AT21" t="str">
        <f ca="1">IFERROR(IF(0=LEN(ReferenceData!$AT$21),"",ReferenceData!$AT$21),"")</f>
        <v/>
      </c>
      <c r="AU21" t="str">
        <f ca="1">IFERROR(IF(0=LEN(ReferenceData!$AU$21),"",ReferenceData!$AU$21),"")</f>
        <v/>
      </c>
      <c r="AV21" t="str">
        <f ca="1">IFERROR(IF(0=LEN(ReferenceData!$AV$21),"",ReferenceData!$AV$21),"")</f>
        <v/>
      </c>
      <c r="AW21" t="str">
        <f ca="1">IFERROR(IF(0=LEN(ReferenceData!$AW$21),"",ReferenceData!$AW$21),"")</f>
        <v/>
      </c>
      <c r="AX21" t="str">
        <f ca="1">IFERROR(IF(0=LEN(ReferenceData!$AX$21),"",ReferenceData!$AX$21),"")</f>
        <v/>
      </c>
      <c r="AY21" t="str">
        <f ca="1">IFERROR(IF(0=LEN(ReferenceData!$AY$21),"",ReferenceData!$AY$21),"")</f>
        <v/>
      </c>
      <c r="AZ21" t="str">
        <f ca="1">IFERROR(IF(0=LEN(ReferenceData!$AZ$21),"",ReferenceData!$AZ$21),"")</f>
        <v/>
      </c>
      <c r="BA21" t="str">
        <f ca="1">IFERROR(IF(0=LEN(ReferenceData!$BA$21),"",ReferenceData!$BA$21),"")</f>
        <v/>
      </c>
      <c r="BB21" t="str">
        <f ca="1">IFERROR(IF(0=LEN(ReferenceData!$BB$21),"",ReferenceData!$BB$21),"")</f>
        <v/>
      </c>
      <c r="BC21" t="str">
        <f ca="1">IFERROR(IF(0=LEN(ReferenceData!$BC$21),"",ReferenceData!$BC$21),"")</f>
        <v/>
      </c>
      <c r="BD21" t="str">
        <f ca="1">IFERROR(IF(0=LEN(ReferenceData!$BD$21),"",ReferenceData!$BD$21),"")</f>
        <v/>
      </c>
      <c r="BE21" t="str">
        <f ca="1">IFERROR(IF(0=LEN(ReferenceData!$BE$21),"",ReferenceData!$BE$21),"")</f>
        <v/>
      </c>
      <c r="BF21" t="str">
        <f ca="1">IFERROR(IF(0=LEN(ReferenceData!$BF$21),"",ReferenceData!$BF$21),"")</f>
        <v/>
      </c>
      <c r="BG21" t="str">
        <f ca="1">IFERROR(IF(0=LEN(ReferenceData!$BG$21),"",ReferenceData!$BG$21),"")</f>
        <v/>
      </c>
      <c r="BH21" t="str">
        <f ca="1">IFERROR(IF(0=LEN(ReferenceData!$BH$21),"",ReferenceData!$BH$21),"")</f>
        <v/>
      </c>
      <c r="BI21" t="str">
        <f ca="1">IFERROR(IF(0=LEN(ReferenceData!$BI$21),"",ReferenceData!$BI$21),"")</f>
        <v/>
      </c>
      <c r="BJ21" t="str">
        <f ca="1">IFERROR(IF(0=LEN(ReferenceData!$BJ$21),"",ReferenceData!$BJ$21),"")</f>
        <v/>
      </c>
      <c r="BK21" t="str">
        <f ca="1">IFERROR(IF(0=LEN(ReferenceData!$BK$21),"",ReferenceData!$BK$21),"")</f>
        <v/>
      </c>
      <c r="BL21" t="str">
        <f ca="1">IFERROR(IF(0=LEN(ReferenceData!$BL$21),"",ReferenceData!$BL$21),"")</f>
        <v/>
      </c>
      <c r="BM21" t="str">
        <f ca="1">IFERROR(IF(0=LEN(ReferenceData!$BM$21),"",ReferenceData!$BM$21),"")</f>
        <v/>
      </c>
    </row>
    <row r="22" spans="1:65">
      <c r="A22" t="str">
        <f>IFERROR(IF(0=LEN(ReferenceData!$A$22),"",ReferenceData!$A$22),"")</f>
        <v xml:space="preserve">    CBL &amp; Associates Properties In</v>
      </c>
      <c r="B22" t="str">
        <f>IFERROR(IF(0=LEN(ReferenceData!$B$22),"",ReferenceData!$B$22),"")</f>
        <v>CBL US Equity</v>
      </c>
      <c r="C22" t="str">
        <f>IFERROR(IF(0=LEN(ReferenceData!$C$22),"",ReferenceData!$C$22),"")</f>
        <v>IM275</v>
      </c>
      <c r="D22" t="str">
        <f>IFERROR(IF(0=LEN(ReferenceData!$D$22),"",ReferenceData!$D$22),"")</f>
        <v>IS_OTHER_RENTAL_INCOME</v>
      </c>
      <c r="E22" t="str">
        <f>IFERROR(IF(0=LEN(ReferenceData!$E$22),"",ReferenceData!$E$22),"")</f>
        <v>动态</v>
      </c>
      <c r="F22" t="str">
        <f ca="1">IFERROR(IF(0=LEN(ReferenceData!$F$22),"",ReferenceData!$F$22),"")</f>
        <v/>
      </c>
      <c r="G22">
        <f ca="1">IFERROR(IF(0=LEN(ReferenceData!$G$22),"",ReferenceData!$G$22),"")</f>
        <v>7.8369999999999997</v>
      </c>
      <c r="H22">
        <f ca="1">IFERROR(IF(0=LEN(ReferenceData!$H$22),"",ReferenceData!$H$22),"")</f>
        <v>3.79</v>
      </c>
      <c r="I22">
        <f ca="1">IFERROR(IF(0=LEN(ReferenceData!$I$22),"",ReferenceData!$I$22),"")</f>
        <v>3.7290000000000001</v>
      </c>
      <c r="J22">
        <f ca="1">IFERROR(IF(0=LEN(ReferenceData!$J$22),"",ReferenceData!$J$22),"")</f>
        <v>3.6520000000000001</v>
      </c>
      <c r="K22">
        <f ca="1">IFERROR(IF(0=LEN(ReferenceData!$K$22),"",ReferenceData!$K$22),"")</f>
        <v>9.3629999999999995</v>
      </c>
      <c r="L22">
        <f ca="1">IFERROR(IF(0=LEN(ReferenceData!$L$22),"",ReferenceData!$L$22),"")</f>
        <v>3.8660000000000001</v>
      </c>
      <c r="M22">
        <f ca="1">IFERROR(IF(0=LEN(ReferenceData!$M$22),"",ReferenceData!$M$22),"")</f>
        <v>4.819</v>
      </c>
      <c r="N22">
        <f ca="1">IFERROR(IF(0=LEN(ReferenceData!$N$22),"",ReferenceData!$N$22),"")</f>
        <v>5.0620000000000003</v>
      </c>
      <c r="O22">
        <f ca="1">IFERROR(IF(0=LEN(ReferenceData!$O$22),"",ReferenceData!$O$22),"")</f>
        <v>8.1859999999999999</v>
      </c>
      <c r="P22">
        <f ca="1">IFERROR(IF(0=LEN(ReferenceData!$P$22),"",ReferenceData!$P$22),"")</f>
        <v>4.1559999999999997</v>
      </c>
      <c r="Q22">
        <f ca="1">IFERROR(IF(0=LEN(ReferenceData!$Q$22),"",ReferenceData!$Q$22),"")</f>
        <v>4.4210000000000003</v>
      </c>
      <c r="R22">
        <f ca="1">IFERROR(IF(0=LEN(ReferenceData!$R$22),"",ReferenceData!$R$22),"")</f>
        <v>5.1710000000000003</v>
      </c>
      <c r="S22">
        <f ca="1">IFERROR(IF(0=LEN(ReferenceData!$S$22),"",ReferenceData!$S$22),"")</f>
        <v>8.6059999999999999</v>
      </c>
      <c r="T22">
        <f ca="1">IFERROR(IF(0=LEN(ReferenceData!$T$22),"",ReferenceData!$T$22),"")</f>
        <v>3.8130000000000002</v>
      </c>
      <c r="U22">
        <f ca="1">IFERROR(IF(0=LEN(ReferenceData!$U$22),"",ReferenceData!$U$22),"")</f>
        <v>4.6130000000000004</v>
      </c>
      <c r="V22">
        <f ca="1">IFERROR(IF(0=LEN(ReferenceData!$V$22),"",ReferenceData!$V$22),"")</f>
        <v>5.282</v>
      </c>
      <c r="W22">
        <f ca="1">IFERROR(IF(0=LEN(ReferenceData!$W$22),"",ReferenceData!$W$22),"")</f>
        <v>8.4719999999999995</v>
      </c>
      <c r="X22">
        <f ca="1">IFERROR(IF(0=LEN(ReferenceData!$X$22),"",ReferenceData!$X$22),"")</f>
        <v>3.8370000000000002</v>
      </c>
      <c r="Y22">
        <f ca="1">IFERROR(IF(0=LEN(ReferenceData!$Y$22),"",ReferenceData!$Y$22),"")</f>
        <v>4.5209999999999999</v>
      </c>
      <c r="Z22">
        <f ca="1">IFERROR(IF(0=LEN(ReferenceData!$Z$22),"",ReferenceData!$Z$22),"")</f>
        <v>5.1440000000000001</v>
      </c>
      <c r="AA22">
        <f ca="1">IFERROR(IF(0=LEN(ReferenceData!$AA$22),"",ReferenceData!$AA$22),"")</f>
        <v>8.673</v>
      </c>
      <c r="AB22">
        <f ca="1">IFERROR(IF(0=LEN(ReferenceData!$AB$22),"",ReferenceData!$AB$22),"")</f>
        <v>3.653</v>
      </c>
      <c r="AC22">
        <f ca="1">IFERROR(IF(0=LEN(ReferenceData!$AC$22),"",ReferenceData!$AC$22),"")</f>
        <v>4.6639999999999997</v>
      </c>
      <c r="AD22">
        <f ca="1">IFERROR(IF(0=LEN(ReferenceData!$AD$22),"",ReferenceData!$AD$22),"")</f>
        <v>5.2859999999999996</v>
      </c>
      <c r="AE22">
        <f ca="1">IFERROR(IF(0=LEN(ReferenceData!$AE$22),"",ReferenceData!$AE$22),"")</f>
        <v>8.7430000000000003</v>
      </c>
      <c r="AF22">
        <f ca="1">IFERROR(IF(0=LEN(ReferenceData!$AF$22),"",ReferenceData!$AF$22),"")</f>
        <v>4.1749999999999998</v>
      </c>
      <c r="AG22">
        <f ca="1">IFERROR(IF(0=LEN(ReferenceData!$AG$22),"",ReferenceData!$AG$22),"")</f>
        <v>4.5819999999999999</v>
      </c>
      <c r="AH22">
        <f ca="1">IFERROR(IF(0=LEN(ReferenceData!$AH$22),"",ReferenceData!$AH$22),"")</f>
        <v>5.008</v>
      </c>
      <c r="AI22">
        <f ca="1">IFERROR(IF(0=LEN(ReferenceData!$AI$22),"",ReferenceData!$AI$22),"")</f>
        <v>9.35</v>
      </c>
      <c r="AJ22">
        <f ca="1">IFERROR(IF(0=LEN(ReferenceData!$AJ$22),"",ReferenceData!$AJ$22),"")</f>
        <v>4.2359999999999998</v>
      </c>
      <c r="AK22">
        <f ca="1">IFERROR(IF(0=LEN(ReferenceData!$AK$22),"",ReferenceData!$AK$22),"")</f>
        <v>4.5460000000000003</v>
      </c>
      <c r="AL22">
        <f ca="1">IFERROR(IF(0=LEN(ReferenceData!$AL$22),"",ReferenceData!$AL$22),"")</f>
        <v>4.5389999999999997</v>
      </c>
      <c r="AM22">
        <f ca="1">IFERROR(IF(0=LEN(ReferenceData!$AM$22),"",ReferenceData!$AM$22),"")</f>
        <v>8.9410000000000007</v>
      </c>
      <c r="AN22">
        <f ca="1">IFERROR(IF(0=LEN(ReferenceData!$AN$22),"",ReferenceData!$AN$22),"")</f>
        <v>3.3769999999999998</v>
      </c>
      <c r="AO22">
        <f ca="1">IFERROR(IF(0=LEN(ReferenceData!$AO$22),"",ReferenceData!$AO$22),"")</f>
        <v>4.1420000000000003</v>
      </c>
      <c r="AP22">
        <f ca="1">IFERROR(IF(0=LEN(ReferenceData!$AP$22),"",ReferenceData!$AP$22),"")</f>
        <v>4.28</v>
      </c>
      <c r="AQ22" t="str">
        <f ca="1">IFERROR(IF(0=LEN(ReferenceData!$AQ$22),"",ReferenceData!$AQ$22),"")</f>
        <v/>
      </c>
      <c r="AR22" t="str">
        <f ca="1">IFERROR(IF(0=LEN(ReferenceData!$AR$22),"",ReferenceData!$AR$22),"")</f>
        <v/>
      </c>
      <c r="AS22" t="str">
        <f ca="1">IFERROR(IF(0=LEN(ReferenceData!$AS$22),"",ReferenceData!$AS$22),"")</f>
        <v/>
      </c>
      <c r="AT22" t="str">
        <f ca="1">IFERROR(IF(0=LEN(ReferenceData!$AT$22),"",ReferenceData!$AT$22),"")</f>
        <v/>
      </c>
      <c r="AU22" t="str">
        <f ca="1">IFERROR(IF(0=LEN(ReferenceData!$AU$22),"",ReferenceData!$AU$22),"")</f>
        <v/>
      </c>
      <c r="AV22" t="str">
        <f ca="1">IFERROR(IF(0=LEN(ReferenceData!$AV$22),"",ReferenceData!$AV$22),"")</f>
        <v/>
      </c>
      <c r="AW22" t="str">
        <f ca="1">IFERROR(IF(0=LEN(ReferenceData!$AW$22),"",ReferenceData!$AW$22),"")</f>
        <v/>
      </c>
      <c r="AX22" t="str">
        <f ca="1">IFERROR(IF(0=LEN(ReferenceData!$AX$22),"",ReferenceData!$AX$22),"")</f>
        <v/>
      </c>
      <c r="AY22" t="str">
        <f ca="1">IFERROR(IF(0=LEN(ReferenceData!$AY$22),"",ReferenceData!$AY$22),"")</f>
        <v/>
      </c>
      <c r="AZ22" t="str">
        <f ca="1">IFERROR(IF(0=LEN(ReferenceData!$AZ$22),"",ReferenceData!$AZ$22),"")</f>
        <v/>
      </c>
      <c r="BA22" t="str">
        <f ca="1">IFERROR(IF(0=LEN(ReferenceData!$BA$22),"",ReferenceData!$BA$22),"")</f>
        <v/>
      </c>
      <c r="BB22" t="str">
        <f ca="1">IFERROR(IF(0=LEN(ReferenceData!$BB$22),"",ReferenceData!$BB$22),"")</f>
        <v/>
      </c>
      <c r="BC22" t="str">
        <f ca="1">IFERROR(IF(0=LEN(ReferenceData!$BC$22),"",ReferenceData!$BC$22),"")</f>
        <v/>
      </c>
      <c r="BD22" t="str">
        <f ca="1">IFERROR(IF(0=LEN(ReferenceData!$BD$22),"",ReferenceData!$BD$22),"")</f>
        <v/>
      </c>
      <c r="BE22" t="str">
        <f ca="1">IFERROR(IF(0=LEN(ReferenceData!$BE$22),"",ReferenceData!$BE$22),"")</f>
        <v/>
      </c>
      <c r="BF22" t="str">
        <f ca="1">IFERROR(IF(0=LEN(ReferenceData!$BF$22),"",ReferenceData!$BF$22),"")</f>
        <v/>
      </c>
      <c r="BG22" t="str">
        <f ca="1">IFERROR(IF(0=LEN(ReferenceData!$BG$22),"",ReferenceData!$BG$22),"")</f>
        <v/>
      </c>
      <c r="BH22" t="str">
        <f ca="1">IFERROR(IF(0=LEN(ReferenceData!$BH$22),"",ReferenceData!$BH$22),"")</f>
        <v/>
      </c>
      <c r="BI22" t="str">
        <f ca="1">IFERROR(IF(0=LEN(ReferenceData!$BI$22),"",ReferenceData!$BI$22),"")</f>
        <v/>
      </c>
      <c r="BJ22" t="str">
        <f ca="1">IFERROR(IF(0=LEN(ReferenceData!$BJ$22),"",ReferenceData!$BJ$22),"")</f>
        <v/>
      </c>
      <c r="BK22" t="str">
        <f ca="1">IFERROR(IF(0=LEN(ReferenceData!$BK$22),"",ReferenceData!$BK$22),"")</f>
        <v/>
      </c>
      <c r="BL22" t="str">
        <f ca="1">IFERROR(IF(0=LEN(ReferenceData!$BL$22),"",ReferenceData!$BL$22),"")</f>
        <v/>
      </c>
      <c r="BM22" t="str">
        <f ca="1">IFERROR(IF(0=LEN(ReferenceData!$BM$22),"",ReferenceData!$BM$22),"")</f>
        <v/>
      </c>
    </row>
    <row r="23" spans="1:65">
      <c r="A23" t="str">
        <f>IFERROR(IF(0=LEN(ReferenceData!$A$23),"",ReferenceData!$A$23),"")</f>
        <v xml:space="preserve">    DDR Corp</v>
      </c>
      <c r="B23" t="str">
        <f>IFERROR(IF(0=LEN(ReferenceData!$B$23),"",ReferenceData!$B$23),"")</f>
        <v>DDR US Equity</v>
      </c>
      <c r="C23" t="str">
        <f>IFERROR(IF(0=LEN(ReferenceData!$C$23),"",ReferenceData!$C$23),"")</f>
        <v>IM275</v>
      </c>
      <c r="D23" t="str">
        <f>IFERROR(IF(0=LEN(ReferenceData!$D$23),"",ReferenceData!$D$23),"")</f>
        <v>IS_OTHER_RENTAL_INCOME</v>
      </c>
      <c r="E23" t="str">
        <f>IFERROR(IF(0=LEN(ReferenceData!$E$23),"",ReferenceData!$E$23),"")</f>
        <v>动态</v>
      </c>
      <c r="F23" t="str">
        <f ca="1">IFERROR(IF(0=LEN(ReferenceData!$F$23),"",ReferenceData!$F$23),"")</f>
        <v/>
      </c>
      <c r="G23">
        <f ca="1">IFERROR(IF(0=LEN(ReferenceData!$G$23),"",ReferenceData!$G$23),"")</f>
        <v>0</v>
      </c>
      <c r="H23">
        <f ca="1">IFERROR(IF(0=LEN(ReferenceData!$H$23),"",ReferenceData!$H$23),"")</f>
        <v>0</v>
      </c>
      <c r="I23">
        <f ca="1">IFERROR(IF(0=LEN(ReferenceData!$I$23),"",ReferenceData!$I$23),"")</f>
        <v>0</v>
      </c>
      <c r="J23">
        <f ca="1">IFERROR(IF(0=LEN(ReferenceData!$J$23),"",ReferenceData!$J$23),"")</f>
        <v>0</v>
      </c>
      <c r="K23">
        <f ca="1">IFERROR(IF(0=LEN(ReferenceData!$K$23),"",ReferenceData!$K$23),"")</f>
        <v>0</v>
      </c>
      <c r="L23">
        <f ca="1">IFERROR(IF(0=LEN(ReferenceData!$L$23),"",ReferenceData!$L$23),"")</f>
        <v>0</v>
      </c>
      <c r="M23">
        <f ca="1">IFERROR(IF(0=LEN(ReferenceData!$M$23),"",ReferenceData!$M$23),"")</f>
        <v>0</v>
      </c>
      <c r="N23">
        <f ca="1">IFERROR(IF(0=LEN(ReferenceData!$N$23),"",ReferenceData!$N$23),"")</f>
        <v>0</v>
      </c>
      <c r="O23">
        <f ca="1">IFERROR(IF(0=LEN(ReferenceData!$O$23),"",ReferenceData!$O$23),"")</f>
        <v>0</v>
      </c>
      <c r="P23">
        <f ca="1">IFERROR(IF(0=LEN(ReferenceData!$P$23),"",ReferenceData!$P$23),"")</f>
        <v>0</v>
      </c>
      <c r="Q23">
        <f ca="1">IFERROR(IF(0=LEN(ReferenceData!$Q$23),"",ReferenceData!$Q$23),"")</f>
        <v>0</v>
      </c>
      <c r="R23">
        <f ca="1">IFERROR(IF(0=LEN(ReferenceData!$R$23),"",ReferenceData!$R$23),"")</f>
        <v>0</v>
      </c>
      <c r="S23">
        <f ca="1">IFERROR(IF(0=LEN(ReferenceData!$S$23),"",ReferenceData!$S$23),"")</f>
        <v>0</v>
      </c>
      <c r="T23">
        <f ca="1">IFERROR(IF(0=LEN(ReferenceData!$T$23),"",ReferenceData!$T$23),"")</f>
        <v>0</v>
      </c>
      <c r="U23">
        <f ca="1">IFERROR(IF(0=LEN(ReferenceData!$U$23),"",ReferenceData!$U$23),"")</f>
        <v>0</v>
      </c>
      <c r="V23">
        <f ca="1">IFERROR(IF(0=LEN(ReferenceData!$V$23),"",ReferenceData!$V$23),"")</f>
        <v>0</v>
      </c>
      <c r="W23">
        <f ca="1">IFERROR(IF(0=LEN(ReferenceData!$W$23),"",ReferenceData!$W$23),"")</f>
        <v>0</v>
      </c>
      <c r="X23">
        <f ca="1">IFERROR(IF(0=LEN(ReferenceData!$X$23),"",ReferenceData!$X$23),"")</f>
        <v>0</v>
      </c>
      <c r="Y23">
        <f ca="1">IFERROR(IF(0=LEN(ReferenceData!$Y$23),"",ReferenceData!$Y$23),"")</f>
        <v>0</v>
      </c>
      <c r="Z23">
        <f ca="1">IFERROR(IF(0=LEN(ReferenceData!$Z$23),"",ReferenceData!$Z$23),"")</f>
        <v>0</v>
      </c>
      <c r="AA23">
        <f ca="1">IFERROR(IF(0=LEN(ReferenceData!$AA$23),"",ReferenceData!$AA$23),"")</f>
        <v>0</v>
      </c>
      <c r="AB23">
        <f ca="1">IFERROR(IF(0=LEN(ReferenceData!$AB$23),"",ReferenceData!$AB$23),"")</f>
        <v>0</v>
      </c>
      <c r="AC23">
        <f ca="1">IFERROR(IF(0=LEN(ReferenceData!$AC$23),"",ReferenceData!$AC$23),"")</f>
        <v>0</v>
      </c>
      <c r="AD23">
        <f ca="1">IFERROR(IF(0=LEN(ReferenceData!$AD$23),"",ReferenceData!$AD$23),"")</f>
        <v>0</v>
      </c>
      <c r="AE23">
        <f ca="1">IFERROR(IF(0=LEN(ReferenceData!$AE$23),"",ReferenceData!$AE$23),"")</f>
        <v>0</v>
      </c>
      <c r="AF23">
        <f ca="1">IFERROR(IF(0=LEN(ReferenceData!$AF$23),"",ReferenceData!$AF$23),"")</f>
        <v>0</v>
      </c>
      <c r="AG23">
        <f ca="1">IFERROR(IF(0=LEN(ReferenceData!$AG$23),"",ReferenceData!$AG$23),"")</f>
        <v>0</v>
      </c>
      <c r="AH23">
        <f ca="1">IFERROR(IF(0=LEN(ReferenceData!$AH$23),"",ReferenceData!$AH$23),"")</f>
        <v>0</v>
      </c>
      <c r="AI23">
        <f ca="1">IFERROR(IF(0=LEN(ReferenceData!$AI$23),"",ReferenceData!$AI$23),"")</f>
        <v>0</v>
      </c>
      <c r="AJ23">
        <f ca="1">IFERROR(IF(0=LEN(ReferenceData!$AJ$23),"",ReferenceData!$AJ$23),"")</f>
        <v>0</v>
      </c>
      <c r="AK23">
        <f ca="1">IFERROR(IF(0=LEN(ReferenceData!$AK$23),"",ReferenceData!$AK$23),"")</f>
        <v>0</v>
      </c>
      <c r="AL23">
        <f ca="1">IFERROR(IF(0=LEN(ReferenceData!$AL$23),"",ReferenceData!$AL$23),"")</f>
        <v>0</v>
      </c>
      <c r="AM23">
        <f ca="1">IFERROR(IF(0=LEN(ReferenceData!$AM$23),"",ReferenceData!$AM$23),"")</f>
        <v>0</v>
      </c>
      <c r="AN23">
        <f ca="1">IFERROR(IF(0=LEN(ReferenceData!$AN$23),"",ReferenceData!$AN$23),"")</f>
        <v>0</v>
      </c>
      <c r="AO23">
        <f ca="1">IFERROR(IF(0=LEN(ReferenceData!$AO$23),"",ReferenceData!$AO$23),"")</f>
        <v>0</v>
      </c>
      <c r="AP23">
        <f ca="1">IFERROR(IF(0=LEN(ReferenceData!$AP$23),"",ReferenceData!$AP$23),"")</f>
        <v>0</v>
      </c>
      <c r="AQ23" t="str">
        <f ca="1">IFERROR(IF(0=LEN(ReferenceData!$AQ$23),"",ReferenceData!$AQ$23),"")</f>
        <v/>
      </c>
      <c r="AR23" t="str">
        <f ca="1">IFERROR(IF(0=LEN(ReferenceData!$AR$23),"",ReferenceData!$AR$23),"")</f>
        <v/>
      </c>
      <c r="AS23" t="str">
        <f ca="1">IFERROR(IF(0=LEN(ReferenceData!$AS$23),"",ReferenceData!$AS$23),"")</f>
        <v/>
      </c>
      <c r="AT23" t="str">
        <f ca="1">IFERROR(IF(0=LEN(ReferenceData!$AT$23),"",ReferenceData!$AT$23),"")</f>
        <v/>
      </c>
      <c r="AU23" t="str">
        <f ca="1">IFERROR(IF(0=LEN(ReferenceData!$AU$23),"",ReferenceData!$AU$23),"")</f>
        <v/>
      </c>
      <c r="AV23" t="str">
        <f ca="1">IFERROR(IF(0=LEN(ReferenceData!$AV$23),"",ReferenceData!$AV$23),"")</f>
        <v/>
      </c>
      <c r="AW23" t="str">
        <f ca="1">IFERROR(IF(0=LEN(ReferenceData!$AW$23),"",ReferenceData!$AW$23),"")</f>
        <v/>
      </c>
      <c r="AX23" t="str">
        <f ca="1">IFERROR(IF(0=LEN(ReferenceData!$AX$23),"",ReferenceData!$AX$23),"")</f>
        <v/>
      </c>
      <c r="AY23" t="str">
        <f ca="1">IFERROR(IF(0=LEN(ReferenceData!$AY$23),"",ReferenceData!$AY$23),"")</f>
        <v/>
      </c>
      <c r="AZ23" t="str">
        <f ca="1">IFERROR(IF(0=LEN(ReferenceData!$AZ$23),"",ReferenceData!$AZ$23),"")</f>
        <v/>
      </c>
      <c r="BA23" t="str">
        <f ca="1">IFERROR(IF(0=LEN(ReferenceData!$BA$23),"",ReferenceData!$BA$23),"")</f>
        <v/>
      </c>
      <c r="BB23" t="str">
        <f ca="1">IFERROR(IF(0=LEN(ReferenceData!$BB$23),"",ReferenceData!$BB$23),"")</f>
        <v/>
      </c>
      <c r="BC23" t="str">
        <f ca="1">IFERROR(IF(0=LEN(ReferenceData!$BC$23),"",ReferenceData!$BC$23),"")</f>
        <v/>
      </c>
      <c r="BD23" t="str">
        <f ca="1">IFERROR(IF(0=LEN(ReferenceData!$BD$23),"",ReferenceData!$BD$23),"")</f>
        <v/>
      </c>
      <c r="BE23" t="str">
        <f ca="1">IFERROR(IF(0=LEN(ReferenceData!$BE$23),"",ReferenceData!$BE$23),"")</f>
        <v/>
      </c>
      <c r="BF23" t="str">
        <f ca="1">IFERROR(IF(0=LEN(ReferenceData!$BF$23),"",ReferenceData!$BF$23),"")</f>
        <v/>
      </c>
      <c r="BG23" t="str">
        <f ca="1">IFERROR(IF(0=LEN(ReferenceData!$BG$23),"",ReferenceData!$BG$23),"")</f>
        <v/>
      </c>
      <c r="BH23" t="str">
        <f ca="1">IFERROR(IF(0=LEN(ReferenceData!$BH$23),"",ReferenceData!$BH$23),"")</f>
        <v/>
      </c>
      <c r="BI23" t="str">
        <f ca="1">IFERROR(IF(0=LEN(ReferenceData!$BI$23),"",ReferenceData!$BI$23),"")</f>
        <v/>
      </c>
      <c r="BJ23" t="str">
        <f ca="1">IFERROR(IF(0=LEN(ReferenceData!$BJ$23),"",ReferenceData!$BJ$23),"")</f>
        <v/>
      </c>
      <c r="BK23" t="str">
        <f ca="1">IFERROR(IF(0=LEN(ReferenceData!$BK$23),"",ReferenceData!$BK$23),"")</f>
        <v/>
      </c>
      <c r="BL23" t="str">
        <f ca="1">IFERROR(IF(0=LEN(ReferenceData!$BL$23),"",ReferenceData!$BL$23),"")</f>
        <v/>
      </c>
      <c r="BM23" t="str">
        <f ca="1">IFERROR(IF(0=LEN(ReferenceData!$BM$23),"",ReferenceData!$BM$23),"")</f>
        <v/>
      </c>
    </row>
    <row r="24" spans="1:65">
      <c r="A24" t="str">
        <f>IFERROR(IF(0=LEN(ReferenceData!$A$24),"",ReferenceData!$A$24),"")</f>
        <v xml:space="preserve">    Federal Realty Investment Trus</v>
      </c>
      <c r="B24" t="str">
        <f>IFERROR(IF(0=LEN(ReferenceData!$B$24),"",ReferenceData!$B$24),"")</f>
        <v>FRT US Equity</v>
      </c>
      <c r="C24" t="str">
        <f>IFERROR(IF(0=LEN(ReferenceData!$C$24),"",ReferenceData!$C$24),"")</f>
        <v>IM275</v>
      </c>
      <c r="D24" t="str">
        <f>IFERROR(IF(0=LEN(ReferenceData!$D$24),"",ReferenceData!$D$24),"")</f>
        <v>IS_OTHER_RENTAL_INCOME</v>
      </c>
      <c r="E24" t="str">
        <f>IFERROR(IF(0=LEN(ReferenceData!$E$24),"",ReferenceData!$E$24),"")</f>
        <v>动态</v>
      </c>
      <c r="F24" t="str">
        <f ca="1">IFERROR(IF(0=LEN(ReferenceData!$F$24),"",ReferenceData!$F$24),"")</f>
        <v/>
      </c>
      <c r="G24">
        <f ca="1">IFERROR(IF(0=LEN(ReferenceData!$G$24),"",ReferenceData!$G$24),"")</f>
        <v>51.673000000000002</v>
      </c>
      <c r="H24">
        <f ca="1">IFERROR(IF(0=LEN(ReferenceData!$H$24),"",ReferenceData!$H$24),"")</f>
        <v>47.936</v>
      </c>
      <c r="I24">
        <f ca="1">IFERROR(IF(0=LEN(ReferenceData!$I$24),"",ReferenceData!$I$24),"")</f>
        <v>44.131999999999998</v>
      </c>
      <c r="J24">
        <f ca="1">IFERROR(IF(0=LEN(ReferenceData!$J$24),"",ReferenceData!$J$24),"")</f>
        <v>45.978000000000002</v>
      </c>
      <c r="K24">
        <f ca="1">IFERROR(IF(0=LEN(ReferenceData!$K$24),"",ReferenceData!$K$24),"")</f>
        <v>44.246000000000002</v>
      </c>
      <c r="L24">
        <f ca="1">IFERROR(IF(0=LEN(ReferenceData!$L$24),"",ReferenceData!$L$24),"")</f>
        <v>45.259</v>
      </c>
      <c r="M24">
        <f ca="1">IFERROR(IF(0=LEN(ReferenceData!$M$24),"",ReferenceData!$M$24),"")</f>
        <v>40.880000000000003</v>
      </c>
      <c r="N24">
        <f ca="1">IFERROR(IF(0=LEN(ReferenceData!$N$24),"",ReferenceData!$N$24),"")</f>
        <v>46.204000000000001</v>
      </c>
      <c r="O24">
        <f ca="1">IFERROR(IF(0=LEN(ReferenceData!$O$24),"",ReferenceData!$O$24),"")</f>
        <v>42.566000000000003</v>
      </c>
      <c r="P24">
        <f ca="1">IFERROR(IF(0=LEN(ReferenceData!$P$24),"",ReferenceData!$P$24),"")</f>
        <v>39.872</v>
      </c>
      <c r="Q24">
        <f ca="1">IFERROR(IF(0=LEN(ReferenceData!$Q$24),"",ReferenceData!$Q$24),"")</f>
        <v>37.139000000000003</v>
      </c>
      <c r="R24">
        <f ca="1">IFERROR(IF(0=LEN(ReferenceData!$R$24),"",ReferenceData!$R$24),"")</f>
        <v>43.701999999999998</v>
      </c>
      <c r="S24">
        <f ca="1">IFERROR(IF(0=LEN(ReferenceData!$S$24),"",ReferenceData!$S$24),"")</f>
        <v>36.606000000000002</v>
      </c>
      <c r="T24">
        <f ca="1">IFERROR(IF(0=LEN(ReferenceData!$T$24),"",ReferenceData!$T$24),"")</f>
        <v>35.697000000000003</v>
      </c>
      <c r="U24">
        <f ca="1">IFERROR(IF(0=LEN(ReferenceData!$U$24),"",ReferenceData!$U$24),"")</f>
        <v>34.966000000000001</v>
      </c>
      <c r="V24">
        <f ca="1">IFERROR(IF(0=LEN(ReferenceData!$V$24),"",ReferenceData!$V$24),"")</f>
        <v>40.183</v>
      </c>
      <c r="W24">
        <f ca="1">IFERROR(IF(0=LEN(ReferenceData!$W$24),"",ReferenceData!$W$24),"")</f>
        <v>35.823</v>
      </c>
      <c r="X24">
        <f ca="1">IFERROR(IF(0=LEN(ReferenceData!$X$24),"",ReferenceData!$X$24),"")</f>
        <v>33.271999999999998</v>
      </c>
      <c r="Y24">
        <f ca="1">IFERROR(IF(0=LEN(ReferenceData!$Y$24),"",ReferenceData!$Y$24),"")</f>
        <v>31.39</v>
      </c>
      <c r="Z24">
        <f ca="1">IFERROR(IF(0=LEN(ReferenceData!$Z$24),"",ReferenceData!$Z$24),"")</f>
        <v>33.284999999999997</v>
      </c>
      <c r="AA24">
        <f ca="1">IFERROR(IF(0=LEN(ReferenceData!$AA$24),"",ReferenceData!$AA$24),"")</f>
        <v>32.770000000000003</v>
      </c>
      <c r="AB24">
        <f ca="1">IFERROR(IF(0=LEN(ReferenceData!$AB$24),"",ReferenceData!$AB$24),"")</f>
        <v>32.387999999999998</v>
      </c>
      <c r="AC24">
        <f ca="1">IFERROR(IF(0=LEN(ReferenceData!$AC$24),"",ReferenceData!$AC$24),"")</f>
        <v>28.856999999999999</v>
      </c>
      <c r="AD24">
        <f ca="1">IFERROR(IF(0=LEN(ReferenceData!$AD$24),"",ReferenceData!$AD$24),"")</f>
        <v>29.158999999999999</v>
      </c>
      <c r="AE24">
        <f ca="1">IFERROR(IF(0=LEN(ReferenceData!$AE$24),"",ReferenceData!$AE$24),"")</f>
        <v>29.093</v>
      </c>
      <c r="AF24">
        <f ca="1">IFERROR(IF(0=LEN(ReferenceData!$AF$24),"",ReferenceData!$AF$24),"")</f>
        <v>27.940999999999999</v>
      </c>
      <c r="AG24">
        <f ca="1">IFERROR(IF(0=LEN(ReferenceData!$AG$24),"",ReferenceData!$AG$24),"")</f>
        <v>27.550999999999998</v>
      </c>
      <c r="AH24">
        <f ca="1">IFERROR(IF(0=LEN(ReferenceData!$AH$24),"",ReferenceData!$AH$24),"")</f>
        <v>30.782</v>
      </c>
      <c r="AI24">
        <f ca="1">IFERROR(IF(0=LEN(ReferenceData!$AI$24),"",ReferenceData!$AI$24),"")</f>
        <v>28.6</v>
      </c>
      <c r="AJ24">
        <f ca="1">IFERROR(IF(0=LEN(ReferenceData!$AJ$24),"",ReferenceData!$AJ$24),"")</f>
        <v>28.189</v>
      </c>
      <c r="AK24">
        <f ca="1">IFERROR(IF(0=LEN(ReferenceData!$AK$24),"",ReferenceData!$AK$24),"")</f>
        <v>28.507999999999999</v>
      </c>
      <c r="AL24">
        <f ca="1">IFERROR(IF(0=LEN(ReferenceData!$AL$24),"",ReferenceData!$AL$24),"")</f>
        <v>30.751000000000001</v>
      </c>
      <c r="AM24">
        <f ca="1">IFERROR(IF(0=LEN(ReferenceData!$AM$24),"",ReferenceData!$AM$24),"")</f>
        <v>31.995000000000001</v>
      </c>
      <c r="AN24">
        <f ca="1">IFERROR(IF(0=LEN(ReferenceData!$AN$24),"",ReferenceData!$AN$24),"")</f>
        <v>26.391999999999999</v>
      </c>
      <c r="AO24">
        <f ca="1">IFERROR(IF(0=LEN(ReferenceData!$AO$24),"",ReferenceData!$AO$24),"")</f>
        <v>26.343</v>
      </c>
      <c r="AP24">
        <f ca="1">IFERROR(IF(0=LEN(ReferenceData!$AP$24),"",ReferenceData!$AP$24),"")</f>
        <v>26.916</v>
      </c>
      <c r="AQ24" t="str">
        <f ca="1">IFERROR(IF(0=LEN(ReferenceData!$AQ$24),"",ReferenceData!$AQ$24),"")</f>
        <v/>
      </c>
      <c r="AR24" t="str">
        <f ca="1">IFERROR(IF(0=LEN(ReferenceData!$AR$24),"",ReferenceData!$AR$24),"")</f>
        <v/>
      </c>
      <c r="AS24" t="str">
        <f ca="1">IFERROR(IF(0=LEN(ReferenceData!$AS$24),"",ReferenceData!$AS$24),"")</f>
        <v/>
      </c>
      <c r="AT24" t="str">
        <f ca="1">IFERROR(IF(0=LEN(ReferenceData!$AT$24),"",ReferenceData!$AT$24),"")</f>
        <v/>
      </c>
      <c r="AU24" t="str">
        <f ca="1">IFERROR(IF(0=LEN(ReferenceData!$AU$24),"",ReferenceData!$AU$24),"")</f>
        <v/>
      </c>
      <c r="AV24" t="str">
        <f ca="1">IFERROR(IF(0=LEN(ReferenceData!$AV$24),"",ReferenceData!$AV$24),"")</f>
        <v/>
      </c>
      <c r="AW24" t="str">
        <f ca="1">IFERROR(IF(0=LEN(ReferenceData!$AW$24),"",ReferenceData!$AW$24),"")</f>
        <v/>
      </c>
      <c r="AX24" t="str">
        <f ca="1">IFERROR(IF(0=LEN(ReferenceData!$AX$24),"",ReferenceData!$AX$24),"")</f>
        <v/>
      </c>
      <c r="AY24" t="str">
        <f ca="1">IFERROR(IF(0=LEN(ReferenceData!$AY$24),"",ReferenceData!$AY$24),"")</f>
        <v/>
      </c>
      <c r="AZ24" t="str">
        <f ca="1">IFERROR(IF(0=LEN(ReferenceData!$AZ$24),"",ReferenceData!$AZ$24),"")</f>
        <v/>
      </c>
      <c r="BA24" t="str">
        <f ca="1">IFERROR(IF(0=LEN(ReferenceData!$BA$24),"",ReferenceData!$BA$24),"")</f>
        <v/>
      </c>
      <c r="BB24" t="str">
        <f ca="1">IFERROR(IF(0=LEN(ReferenceData!$BB$24),"",ReferenceData!$BB$24),"")</f>
        <v/>
      </c>
      <c r="BC24" t="str">
        <f ca="1">IFERROR(IF(0=LEN(ReferenceData!$BC$24),"",ReferenceData!$BC$24),"")</f>
        <v/>
      </c>
      <c r="BD24" t="str">
        <f ca="1">IFERROR(IF(0=LEN(ReferenceData!$BD$24),"",ReferenceData!$BD$24),"")</f>
        <v/>
      </c>
      <c r="BE24" t="str">
        <f ca="1">IFERROR(IF(0=LEN(ReferenceData!$BE$24),"",ReferenceData!$BE$24),"")</f>
        <v/>
      </c>
      <c r="BF24" t="str">
        <f ca="1">IFERROR(IF(0=LEN(ReferenceData!$BF$24),"",ReferenceData!$BF$24),"")</f>
        <v/>
      </c>
      <c r="BG24" t="str">
        <f ca="1">IFERROR(IF(0=LEN(ReferenceData!$BG$24),"",ReferenceData!$BG$24),"")</f>
        <v/>
      </c>
      <c r="BH24" t="str">
        <f ca="1">IFERROR(IF(0=LEN(ReferenceData!$BH$24),"",ReferenceData!$BH$24),"")</f>
        <v/>
      </c>
      <c r="BI24" t="str">
        <f ca="1">IFERROR(IF(0=LEN(ReferenceData!$BI$24),"",ReferenceData!$BI$24),"")</f>
        <v/>
      </c>
      <c r="BJ24" t="str">
        <f ca="1">IFERROR(IF(0=LEN(ReferenceData!$BJ$24),"",ReferenceData!$BJ$24),"")</f>
        <v/>
      </c>
      <c r="BK24" t="str">
        <f ca="1">IFERROR(IF(0=LEN(ReferenceData!$BK$24),"",ReferenceData!$BK$24),"")</f>
        <v/>
      </c>
      <c r="BL24" t="str">
        <f ca="1">IFERROR(IF(0=LEN(ReferenceData!$BL$24),"",ReferenceData!$BL$24),"")</f>
        <v/>
      </c>
      <c r="BM24" t="str">
        <f ca="1">IFERROR(IF(0=LEN(ReferenceData!$BM$24),"",ReferenceData!$BM$24),"")</f>
        <v/>
      </c>
    </row>
    <row r="25" spans="1:65">
      <c r="A25" t="str">
        <f>IFERROR(IF(0=LEN(ReferenceData!$A$25),"",ReferenceData!$A$25),"")</f>
        <v xml:space="preserve">    Kimco Realty Corp</v>
      </c>
      <c r="B25" t="str">
        <f>IFERROR(IF(0=LEN(ReferenceData!$B$25),"",ReferenceData!$B$25),"")</f>
        <v>KIM US Equity</v>
      </c>
      <c r="C25" t="str">
        <f>IFERROR(IF(0=LEN(ReferenceData!$C$25),"",ReferenceData!$C$25),"")</f>
        <v>IM275</v>
      </c>
      <c r="D25" t="str">
        <f>IFERROR(IF(0=LEN(ReferenceData!$D$25),"",ReferenceData!$D$25),"")</f>
        <v>IS_OTHER_RENTAL_INCOME</v>
      </c>
      <c r="E25" t="str">
        <f>IFERROR(IF(0=LEN(ReferenceData!$E$25),"",ReferenceData!$E$25),"")</f>
        <v>动态</v>
      </c>
      <c r="F25" t="str">
        <f ca="1">IFERROR(IF(0=LEN(ReferenceData!$F$25),"",ReferenceData!$F$25),"")</f>
        <v/>
      </c>
      <c r="G25" t="str">
        <f ca="1">IFERROR(IF(0=LEN(ReferenceData!$G$25),"",ReferenceData!$G$25),"")</f>
        <v/>
      </c>
      <c r="H25" t="str">
        <f ca="1">IFERROR(IF(0=LEN(ReferenceData!$H$25),"",ReferenceData!$H$25),"")</f>
        <v/>
      </c>
      <c r="I25" t="str">
        <f ca="1">IFERROR(IF(0=LEN(ReferenceData!$I$25),"",ReferenceData!$I$25),"")</f>
        <v/>
      </c>
      <c r="J25" t="str">
        <f ca="1">IFERROR(IF(0=LEN(ReferenceData!$J$25),"",ReferenceData!$J$25),"")</f>
        <v/>
      </c>
      <c r="K25" t="str">
        <f ca="1">IFERROR(IF(0=LEN(ReferenceData!$K$25),"",ReferenceData!$K$25),"")</f>
        <v/>
      </c>
      <c r="L25" t="str">
        <f ca="1">IFERROR(IF(0=LEN(ReferenceData!$L$25),"",ReferenceData!$L$25),"")</f>
        <v/>
      </c>
      <c r="M25" t="str">
        <f ca="1">IFERROR(IF(0=LEN(ReferenceData!$M$25),"",ReferenceData!$M$25),"")</f>
        <v/>
      </c>
      <c r="N25" t="str">
        <f ca="1">IFERROR(IF(0=LEN(ReferenceData!$N$25),"",ReferenceData!$N$25),"")</f>
        <v/>
      </c>
      <c r="O25" t="str">
        <f ca="1">IFERROR(IF(0=LEN(ReferenceData!$O$25),"",ReferenceData!$O$25),"")</f>
        <v/>
      </c>
      <c r="P25" t="str">
        <f ca="1">IFERROR(IF(0=LEN(ReferenceData!$P$25),"",ReferenceData!$P$25),"")</f>
        <v/>
      </c>
      <c r="Q25" t="str">
        <f ca="1">IFERROR(IF(0=LEN(ReferenceData!$Q$25),"",ReferenceData!$Q$25),"")</f>
        <v/>
      </c>
      <c r="R25" t="str">
        <f ca="1">IFERROR(IF(0=LEN(ReferenceData!$R$25),"",ReferenceData!$R$25),"")</f>
        <v/>
      </c>
      <c r="S25" t="str">
        <f ca="1">IFERROR(IF(0=LEN(ReferenceData!$S$25),"",ReferenceData!$S$25),"")</f>
        <v/>
      </c>
      <c r="T25" t="str">
        <f ca="1">IFERROR(IF(0=LEN(ReferenceData!$T$25),"",ReferenceData!$T$25),"")</f>
        <v/>
      </c>
      <c r="U25" t="str">
        <f ca="1">IFERROR(IF(0=LEN(ReferenceData!$U$25),"",ReferenceData!$U$25),"")</f>
        <v/>
      </c>
      <c r="V25" t="str">
        <f ca="1">IFERROR(IF(0=LEN(ReferenceData!$V$25),"",ReferenceData!$V$25),"")</f>
        <v/>
      </c>
      <c r="W25" t="str">
        <f ca="1">IFERROR(IF(0=LEN(ReferenceData!$W$25),"",ReferenceData!$W$25),"")</f>
        <v/>
      </c>
      <c r="X25" t="str">
        <f ca="1">IFERROR(IF(0=LEN(ReferenceData!$X$25),"",ReferenceData!$X$25),"")</f>
        <v/>
      </c>
      <c r="Y25" t="str">
        <f ca="1">IFERROR(IF(0=LEN(ReferenceData!$Y$25),"",ReferenceData!$Y$25),"")</f>
        <v/>
      </c>
      <c r="Z25" t="str">
        <f ca="1">IFERROR(IF(0=LEN(ReferenceData!$Z$25),"",ReferenceData!$Z$25),"")</f>
        <v/>
      </c>
      <c r="AA25" t="str">
        <f ca="1">IFERROR(IF(0=LEN(ReferenceData!$AA$25),"",ReferenceData!$AA$25),"")</f>
        <v/>
      </c>
      <c r="AB25" t="str">
        <f ca="1">IFERROR(IF(0=LEN(ReferenceData!$AB$25),"",ReferenceData!$AB$25),"")</f>
        <v/>
      </c>
      <c r="AC25" t="str">
        <f ca="1">IFERROR(IF(0=LEN(ReferenceData!$AC$25),"",ReferenceData!$AC$25),"")</f>
        <v/>
      </c>
      <c r="AD25" t="str">
        <f ca="1">IFERROR(IF(0=LEN(ReferenceData!$AD$25),"",ReferenceData!$AD$25),"")</f>
        <v/>
      </c>
      <c r="AE25" t="str">
        <f ca="1">IFERROR(IF(0=LEN(ReferenceData!$AE$25),"",ReferenceData!$AE$25),"")</f>
        <v/>
      </c>
      <c r="AF25" t="str">
        <f ca="1">IFERROR(IF(0=LEN(ReferenceData!$AF$25),"",ReferenceData!$AF$25),"")</f>
        <v/>
      </c>
      <c r="AG25" t="str">
        <f ca="1">IFERROR(IF(0=LEN(ReferenceData!$AG$25),"",ReferenceData!$AG$25),"")</f>
        <v/>
      </c>
      <c r="AH25" t="str">
        <f ca="1">IFERROR(IF(0=LEN(ReferenceData!$AH$25),"",ReferenceData!$AH$25),"")</f>
        <v/>
      </c>
      <c r="AI25" t="str">
        <f ca="1">IFERROR(IF(0=LEN(ReferenceData!$AI$25),"",ReferenceData!$AI$25),"")</f>
        <v/>
      </c>
      <c r="AJ25" t="str">
        <f ca="1">IFERROR(IF(0=LEN(ReferenceData!$AJ$25),"",ReferenceData!$AJ$25),"")</f>
        <v/>
      </c>
      <c r="AK25" t="str">
        <f ca="1">IFERROR(IF(0=LEN(ReferenceData!$AK$25),"",ReferenceData!$AK$25),"")</f>
        <v/>
      </c>
      <c r="AL25" t="str">
        <f ca="1">IFERROR(IF(0=LEN(ReferenceData!$AL$25),"",ReferenceData!$AL$25),"")</f>
        <v/>
      </c>
      <c r="AM25" t="str">
        <f ca="1">IFERROR(IF(0=LEN(ReferenceData!$AM$25),"",ReferenceData!$AM$25),"")</f>
        <v/>
      </c>
      <c r="AN25" t="str">
        <f ca="1">IFERROR(IF(0=LEN(ReferenceData!$AN$25),"",ReferenceData!$AN$25),"")</f>
        <v/>
      </c>
      <c r="AO25" t="str">
        <f ca="1">IFERROR(IF(0=LEN(ReferenceData!$AO$25),"",ReferenceData!$AO$25),"")</f>
        <v/>
      </c>
      <c r="AP25" t="str">
        <f ca="1">IFERROR(IF(0=LEN(ReferenceData!$AP$25),"",ReferenceData!$AP$25),"")</f>
        <v/>
      </c>
      <c r="AQ25" t="str">
        <f ca="1">IFERROR(IF(0=LEN(ReferenceData!$AQ$25),"",ReferenceData!$AQ$25),"")</f>
        <v/>
      </c>
      <c r="AR25" t="str">
        <f ca="1">IFERROR(IF(0=LEN(ReferenceData!$AR$25),"",ReferenceData!$AR$25),"")</f>
        <v/>
      </c>
      <c r="AS25" t="str">
        <f ca="1">IFERROR(IF(0=LEN(ReferenceData!$AS$25),"",ReferenceData!$AS$25),"")</f>
        <v/>
      </c>
      <c r="AT25" t="str">
        <f ca="1">IFERROR(IF(0=LEN(ReferenceData!$AT$25),"",ReferenceData!$AT$25),"")</f>
        <v/>
      </c>
      <c r="AU25" t="str">
        <f ca="1">IFERROR(IF(0=LEN(ReferenceData!$AU$25),"",ReferenceData!$AU$25),"")</f>
        <v/>
      </c>
      <c r="AV25" t="str">
        <f ca="1">IFERROR(IF(0=LEN(ReferenceData!$AV$25),"",ReferenceData!$AV$25),"")</f>
        <v/>
      </c>
      <c r="AW25" t="str">
        <f ca="1">IFERROR(IF(0=LEN(ReferenceData!$AW$25),"",ReferenceData!$AW$25),"")</f>
        <v/>
      </c>
      <c r="AX25" t="str">
        <f ca="1">IFERROR(IF(0=LEN(ReferenceData!$AX$25),"",ReferenceData!$AX$25),"")</f>
        <v/>
      </c>
      <c r="AY25" t="str">
        <f ca="1">IFERROR(IF(0=LEN(ReferenceData!$AY$25),"",ReferenceData!$AY$25),"")</f>
        <v/>
      </c>
      <c r="AZ25" t="str">
        <f ca="1">IFERROR(IF(0=LEN(ReferenceData!$AZ$25),"",ReferenceData!$AZ$25),"")</f>
        <v/>
      </c>
      <c r="BA25" t="str">
        <f ca="1">IFERROR(IF(0=LEN(ReferenceData!$BA$25),"",ReferenceData!$BA$25),"")</f>
        <v/>
      </c>
      <c r="BB25" t="str">
        <f ca="1">IFERROR(IF(0=LEN(ReferenceData!$BB$25),"",ReferenceData!$BB$25),"")</f>
        <v/>
      </c>
      <c r="BC25" t="str">
        <f ca="1">IFERROR(IF(0=LEN(ReferenceData!$BC$25),"",ReferenceData!$BC$25),"")</f>
        <v/>
      </c>
      <c r="BD25" t="str">
        <f ca="1">IFERROR(IF(0=LEN(ReferenceData!$BD$25),"",ReferenceData!$BD$25),"")</f>
        <v/>
      </c>
      <c r="BE25" t="str">
        <f ca="1">IFERROR(IF(0=LEN(ReferenceData!$BE$25),"",ReferenceData!$BE$25),"")</f>
        <v/>
      </c>
      <c r="BF25" t="str">
        <f ca="1">IFERROR(IF(0=LEN(ReferenceData!$BF$25),"",ReferenceData!$BF$25),"")</f>
        <v/>
      </c>
      <c r="BG25" t="str">
        <f ca="1">IFERROR(IF(0=LEN(ReferenceData!$BG$25),"",ReferenceData!$BG$25),"")</f>
        <v/>
      </c>
      <c r="BH25" t="str">
        <f ca="1">IFERROR(IF(0=LEN(ReferenceData!$BH$25),"",ReferenceData!$BH$25),"")</f>
        <v/>
      </c>
      <c r="BI25" t="str">
        <f ca="1">IFERROR(IF(0=LEN(ReferenceData!$BI$25),"",ReferenceData!$BI$25),"")</f>
        <v/>
      </c>
      <c r="BJ25" t="str">
        <f ca="1">IFERROR(IF(0=LEN(ReferenceData!$BJ$25),"",ReferenceData!$BJ$25),"")</f>
        <v/>
      </c>
      <c r="BK25" t="str">
        <f ca="1">IFERROR(IF(0=LEN(ReferenceData!$BK$25),"",ReferenceData!$BK$25),"")</f>
        <v/>
      </c>
      <c r="BL25" t="str">
        <f ca="1">IFERROR(IF(0=LEN(ReferenceData!$BL$25),"",ReferenceData!$BL$25),"")</f>
        <v/>
      </c>
      <c r="BM25" t="str">
        <f ca="1">IFERROR(IF(0=LEN(ReferenceData!$BM$25),"",ReferenceData!$BM$25),"")</f>
        <v/>
      </c>
    </row>
    <row r="26" spans="1:65">
      <c r="A26" t="str">
        <f>IFERROR(IF(0=LEN(ReferenceData!$A$26),"",ReferenceData!$A$26),"")</f>
        <v xml:space="preserve">    National Retail Properties Inc</v>
      </c>
      <c r="B26" t="str">
        <f>IFERROR(IF(0=LEN(ReferenceData!$B$26),"",ReferenceData!$B$26),"")</f>
        <v>NNN US Equity</v>
      </c>
      <c r="C26" t="str">
        <f>IFERROR(IF(0=LEN(ReferenceData!$C$26),"",ReferenceData!$C$26),"")</f>
        <v>IM275</v>
      </c>
      <c r="D26" t="str">
        <f>IFERROR(IF(0=LEN(ReferenceData!$D$26),"",ReferenceData!$D$26),"")</f>
        <v>IS_OTHER_RENTAL_INCOME</v>
      </c>
      <c r="E26" t="str">
        <f>IFERROR(IF(0=LEN(ReferenceData!$E$26),"",ReferenceData!$E$26),"")</f>
        <v>动态</v>
      </c>
      <c r="F26" t="str">
        <f ca="1">IFERROR(IF(0=LEN(ReferenceData!$F$26),"",ReferenceData!$F$26),"")</f>
        <v/>
      </c>
      <c r="G26">
        <f ca="1">IFERROR(IF(0=LEN(ReferenceData!$G$26),"",ReferenceData!$G$26),"")</f>
        <v>145.18700000000001</v>
      </c>
      <c r="H26">
        <f ca="1">IFERROR(IF(0=LEN(ReferenceData!$H$26),"",ReferenceData!$H$26),"")</f>
        <v>143.376</v>
      </c>
      <c r="I26">
        <f ca="1">IFERROR(IF(0=LEN(ReferenceData!$I$26),"",ReferenceData!$I$26),"")</f>
        <v>141.298</v>
      </c>
      <c r="J26">
        <f ca="1">IFERROR(IF(0=LEN(ReferenceData!$J$26),"",ReferenceData!$J$26),"")</f>
        <v>136.49299999999999</v>
      </c>
      <c r="K26">
        <f ca="1">IFERROR(IF(0=LEN(ReferenceData!$K$26),"",ReferenceData!$K$26),"")</f>
        <v>135.947</v>
      </c>
      <c r="L26">
        <f ca="1">IFERROR(IF(0=LEN(ReferenceData!$L$26),"",ReferenceData!$L$26),"")</f>
        <v>129.94399999999999</v>
      </c>
      <c r="M26">
        <f ca="1">IFERROR(IF(0=LEN(ReferenceData!$M$26),"",ReferenceData!$M$26),"")</f>
        <v>126.41800000000001</v>
      </c>
      <c r="N26">
        <f ca="1">IFERROR(IF(0=LEN(ReferenceData!$N$26),"",ReferenceData!$N$26),"")</f>
        <v>121.645</v>
      </c>
      <c r="O26">
        <f ca="1">IFERROR(IF(0=LEN(ReferenceData!$O$26),"",ReferenceData!$O$26),"")</f>
        <v>121.10599999999999</v>
      </c>
      <c r="P26">
        <f ca="1">IFERROR(IF(0=LEN(ReferenceData!$P$26),"",ReferenceData!$P$26),"")</f>
        <v>118.218</v>
      </c>
      <c r="Q26">
        <f ca="1">IFERROR(IF(0=LEN(ReferenceData!$Q$26),"",ReferenceData!$Q$26),"")</f>
        <v>112.715</v>
      </c>
      <c r="R26">
        <f ca="1">IFERROR(IF(0=LEN(ReferenceData!$R$26),"",ReferenceData!$R$26),"")</f>
        <v>111.474</v>
      </c>
      <c r="S26">
        <f ca="1">IFERROR(IF(0=LEN(ReferenceData!$S$26),"",ReferenceData!$S$26),"")</f>
        <v>110.248</v>
      </c>
      <c r="T26">
        <f ca="1">IFERROR(IF(0=LEN(ReferenceData!$T$26),"",ReferenceData!$T$26),"")</f>
        <v>105.01300000000001</v>
      </c>
      <c r="U26">
        <f ca="1">IFERROR(IF(0=LEN(ReferenceData!$U$26),"",ReferenceData!$U$26),"")</f>
        <v>100.73</v>
      </c>
      <c r="V26">
        <f ca="1">IFERROR(IF(0=LEN(ReferenceData!$V$26),"",ReferenceData!$V$26),"")</f>
        <v>99.055000000000007</v>
      </c>
      <c r="W26">
        <f ca="1">IFERROR(IF(0=LEN(ReferenceData!$W$26),"",ReferenceData!$W$26),"")</f>
        <v>99.12</v>
      </c>
      <c r="X26">
        <f ca="1">IFERROR(IF(0=LEN(ReferenceData!$X$26),"",ReferenceData!$X$26),"")</f>
        <v>95.772000000000006</v>
      </c>
      <c r="Y26">
        <f ca="1">IFERROR(IF(0=LEN(ReferenceData!$Y$26),"",ReferenceData!$Y$26),"")</f>
        <v>91.491</v>
      </c>
      <c r="Z26">
        <f ca="1">IFERROR(IF(0=LEN(ReferenceData!$Z$26),"",ReferenceData!$Z$26),"")</f>
        <v>87.596999999999994</v>
      </c>
      <c r="AA26">
        <f ca="1">IFERROR(IF(0=LEN(ReferenceData!$AA$26),"",ReferenceData!$AA$26),"")</f>
        <v>84.457999999999998</v>
      </c>
      <c r="AB26">
        <f ca="1">IFERROR(IF(0=LEN(ReferenceData!$AB$26),"",ReferenceData!$AB$26),"")</f>
        <v>79.814999999999998</v>
      </c>
      <c r="AC26">
        <f ca="1">IFERROR(IF(0=LEN(ReferenceData!$AC$26),"",ReferenceData!$AC$26),"")</f>
        <v>76.525000000000006</v>
      </c>
      <c r="AD26">
        <f ca="1">IFERROR(IF(0=LEN(ReferenceData!$AD$26),"",ReferenceData!$AD$26),"")</f>
        <v>72.334999999999994</v>
      </c>
      <c r="AE26">
        <f ca="1">IFERROR(IF(0=LEN(ReferenceData!$AE$26),"",ReferenceData!$AE$26),"")</f>
        <v>68.542000000000002</v>
      </c>
      <c r="AF26">
        <f ca="1">IFERROR(IF(0=LEN(ReferenceData!$AF$26),"",ReferenceData!$AF$26),"")</f>
        <v>62.158000000000001</v>
      </c>
      <c r="AG26">
        <f ca="1">IFERROR(IF(0=LEN(ReferenceData!$AG$26),"",ReferenceData!$AG$26),"")</f>
        <v>57.578000000000003</v>
      </c>
      <c r="AH26">
        <f ca="1">IFERROR(IF(0=LEN(ReferenceData!$AH$26),"",ReferenceData!$AH$26),"")</f>
        <v>57.006999999999998</v>
      </c>
      <c r="AI26">
        <f ca="1">IFERROR(IF(0=LEN(ReferenceData!$AI$26),"",ReferenceData!$AI$26),"")</f>
        <v>55.93</v>
      </c>
      <c r="AJ26">
        <f ca="1">IFERROR(IF(0=LEN(ReferenceData!$AJ$26),"",ReferenceData!$AJ$26),"")</f>
        <v>52.341999999999999</v>
      </c>
      <c r="AK26">
        <f ca="1">IFERROR(IF(0=LEN(ReferenceData!$AK$26),"",ReferenceData!$AK$26),"")</f>
        <v>52.106000000000002</v>
      </c>
      <c r="AL26">
        <f ca="1">IFERROR(IF(0=LEN(ReferenceData!$AL$26),"",ReferenceData!$AL$26),"")</f>
        <v>51.918999999999997</v>
      </c>
      <c r="AM26">
        <f ca="1">IFERROR(IF(0=LEN(ReferenceData!$AM$26),"",ReferenceData!$AM$26),"")</f>
        <v>53.283000000000001</v>
      </c>
      <c r="AN26">
        <f ca="1">IFERROR(IF(0=LEN(ReferenceData!$AN$26),"",ReferenceData!$AN$26),"")</f>
        <v>51.978000000000002</v>
      </c>
      <c r="AO26">
        <f ca="1">IFERROR(IF(0=LEN(ReferenceData!$AO$26),"",ReferenceData!$AO$26),"")</f>
        <v>52.933999999999997</v>
      </c>
      <c r="AP26">
        <f ca="1">IFERROR(IF(0=LEN(ReferenceData!$AP$26),"",ReferenceData!$AP$26),"")</f>
        <v>52.761000000000003</v>
      </c>
      <c r="AQ26" t="str">
        <f ca="1">IFERROR(IF(0=LEN(ReferenceData!$AQ$26),"",ReferenceData!$AQ$26),"")</f>
        <v/>
      </c>
      <c r="AR26" t="str">
        <f ca="1">IFERROR(IF(0=LEN(ReferenceData!$AR$26),"",ReferenceData!$AR$26),"")</f>
        <v/>
      </c>
      <c r="AS26" t="str">
        <f ca="1">IFERROR(IF(0=LEN(ReferenceData!$AS$26),"",ReferenceData!$AS$26),"")</f>
        <v/>
      </c>
      <c r="AT26" t="str">
        <f ca="1">IFERROR(IF(0=LEN(ReferenceData!$AT$26),"",ReferenceData!$AT$26),"")</f>
        <v/>
      </c>
      <c r="AU26" t="str">
        <f ca="1">IFERROR(IF(0=LEN(ReferenceData!$AU$26),"",ReferenceData!$AU$26),"")</f>
        <v/>
      </c>
      <c r="AV26" t="str">
        <f ca="1">IFERROR(IF(0=LEN(ReferenceData!$AV$26),"",ReferenceData!$AV$26),"")</f>
        <v/>
      </c>
      <c r="AW26" t="str">
        <f ca="1">IFERROR(IF(0=LEN(ReferenceData!$AW$26),"",ReferenceData!$AW$26),"")</f>
        <v/>
      </c>
      <c r="AX26" t="str">
        <f ca="1">IFERROR(IF(0=LEN(ReferenceData!$AX$26),"",ReferenceData!$AX$26),"")</f>
        <v/>
      </c>
      <c r="AY26" t="str">
        <f ca="1">IFERROR(IF(0=LEN(ReferenceData!$AY$26),"",ReferenceData!$AY$26),"")</f>
        <v/>
      </c>
      <c r="AZ26" t="str">
        <f ca="1">IFERROR(IF(0=LEN(ReferenceData!$AZ$26),"",ReferenceData!$AZ$26),"")</f>
        <v/>
      </c>
      <c r="BA26" t="str">
        <f ca="1">IFERROR(IF(0=LEN(ReferenceData!$BA$26),"",ReferenceData!$BA$26),"")</f>
        <v/>
      </c>
      <c r="BB26" t="str">
        <f ca="1">IFERROR(IF(0=LEN(ReferenceData!$BB$26),"",ReferenceData!$BB$26),"")</f>
        <v/>
      </c>
      <c r="BC26" t="str">
        <f ca="1">IFERROR(IF(0=LEN(ReferenceData!$BC$26),"",ReferenceData!$BC$26),"")</f>
        <v/>
      </c>
      <c r="BD26" t="str">
        <f ca="1">IFERROR(IF(0=LEN(ReferenceData!$BD$26),"",ReferenceData!$BD$26),"")</f>
        <v/>
      </c>
      <c r="BE26" t="str">
        <f ca="1">IFERROR(IF(0=LEN(ReferenceData!$BE$26),"",ReferenceData!$BE$26),"")</f>
        <v/>
      </c>
      <c r="BF26" t="str">
        <f ca="1">IFERROR(IF(0=LEN(ReferenceData!$BF$26),"",ReferenceData!$BF$26),"")</f>
        <v/>
      </c>
      <c r="BG26" t="str">
        <f ca="1">IFERROR(IF(0=LEN(ReferenceData!$BG$26),"",ReferenceData!$BG$26),"")</f>
        <v/>
      </c>
      <c r="BH26" t="str">
        <f ca="1">IFERROR(IF(0=LEN(ReferenceData!$BH$26),"",ReferenceData!$BH$26),"")</f>
        <v/>
      </c>
      <c r="BI26" t="str">
        <f ca="1">IFERROR(IF(0=LEN(ReferenceData!$BI$26),"",ReferenceData!$BI$26),"")</f>
        <v/>
      </c>
      <c r="BJ26" t="str">
        <f ca="1">IFERROR(IF(0=LEN(ReferenceData!$BJ$26),"",ReferenceData!$BJ$26),"")</f>
        <v/>
      </c>
      <c r="BK26" t="str">
        <f ca="1">IFERROR(IF(0=LEN(ReferenceData!$BK$26),"",ReferenceData!$BK$26),"")</f>
        <v/>
      </c>
      <c r="BL26" t="str">
        <f ca="1">IFERROR(IF(0=LEN(ReferenceData!$BL$26),"",ReferenceData!$BL$26),"")</f>
        <v/>
      </c>
      <c r="BM26" t="str">
        <f ca="1">IFERROR(IF(0=LEN(ReferenceData!$BM$26),"",ReferenceData!$BM$26),"")</f>
        <v/>
      </c>
    </row>
    <row r="27" spans="1:65">
      <c r="A27" t="str">
        <f>IFERROR(IF(0=LEN(ReferenceData!$A$27),"",ReferenceData!$A$27),"")</f>
        <v xml:space="preserve">    Realty Income Corp</v>
      </c>
      <c r="B27" t="str">
        <f>IFERROR(IF(0=LEN(ReferenceData!$B$27),"",ReferenceData!$B$27),"")</f>
        <v>O US Equity</v>
      </c>
      <c r="C27" t="str">
        <f>IFERROR(IF(0=LEN(ReferenceData!$C$27),"",ReferenceData!$C$27),"")</f>
        <v>IM275</v>
      </c>
      <c r="D27" t="str">
        <f>IFERROR(IF(0=LEN(ReferenceData!$D$27),"",ReferenceData!$D$27),"")</f>
        <v>IS_OTHER_RENTAL_INCOME</v>
      </c>
      <c r="E27" t="str">
        <f>IFERROR(IF(0=LEN(ReferenceData!$E$27),"",ReferenceData!$E$27),"")</f>
        <v>动态</v>
      </c>
      <c r="F27" t="str">
        <f ca="1">IFERROR(IF(0=LEN(ReferenceData!$F$27),"",ReferenceData!$F$27),"")</f>
        <v/>
      </c>
      <c r="G27">
        <f ca="1">IFERROR(IF(0=LEN(ReferenceData!$G$27),"",ReferenceData!$G$27),"")</f>
        <v>298.899</v>
      </c>
      <c r="H27">
        <f ca="1">IFERROR(IF(0=LEN(ReferenceData!$H$27),"",ReferenceData!$H$27),"")</f>
        <v>293.45499999999998</v>
      </c>
      <c r="I27">
        <f ca="1">IFERROR(IF(0=LEN(ReferenceData!$I$27),"",ReferenceData!$I$27),"")</f>
        <v>288.04899999999998</v>
      </c>
      <c r="J27">
        <f ca="1">IFERROR(IF(0=LEN(ReferenceData!$J$27),"",ReferenceData!$J$27),"")</f>
        <v>285.82100000000003</v>
      </c>
      <c r="K27">
        <f ca="1">IFERROR(IF(0=LEN(ReferenceData!$K$27),"",ReferenceData!$K$27),"")</f>
        <v>275.22399999999999</v>
      </c>
      <c r="L27">
        <f ca="1">IFERROR(IF(0=LEN(ReferenceData!$L$27),"",ReferenceData!$L$27),"")</f>
        <v>265.33199999999999</v>
      </c>
      <c r="M27">
        <f ca="1">IFERROR(IF(0=LEN(ReferenceData!$M$27),"",ReferenceData!$M$27),"")</f>
        <v>260.05599999999998</v>
      </c>
      <c r="N27">
        <f ca="1">IFERROR(IF(0=LEN(ReferenceData!$N$27),"",ReferenceData!$N$27),"")</f>
        <v>256.80099999999999</v>
      </c>
      <c r="O27">
        <f ca="1">IFERROR(IF(0=LEN(ReferenceData!$O$27),"",ReferenceData!$O$27),"")</f>
        <v>252.733</v>
      </c>
      <c r="P27">
        <f ca="1">IFERROR(IF(0=LEN(ReferenceData!$P$27),"",ReferenceData!$P$27),"")</f>
        <v>247.578</v>
      </c>
      <c r="Q27">
        <f ca="1">IFERROR(IF(0=LEN(ReferenceData!$Q$27),"",ReferenceData!$Q$27),"")</f>
        <v>241.43100000000001</v>
      </c>
      <c r="R27">
        <f ca="1">IFERROR(IF(0=LEN(ReferenceData!$R$27),"",ReferenceData!$R$27),"")</f>
        <v>235.12200000000001</v>
      </c>
      <c r="S27">
        <f ca="1">IFERROR(IF(0=LEN(ReferenceData!$S$27),"",ReferenceData!$S$27),"")</f>
        <v>230.63499999999999</v>
      </c>
      <c r="T27">
        <f ca="1">IFERROR(IF(0=LEN(ReferenceData!$T$27),"",ReferenceData!$T$27),"")</f>
        <v>226.83199999999999</v>
      </c>
      <c r="U27">
        <f ca="1">IFERROR(IF(0=LEN(ReferenceData!$U$27),"",ReferenceData!$U$27),"")</f>
        <v>221.86799999999999</v>
      </c>
      <c r="V27">
        <f ca="1">IFERROR(IF(0=LEN(ReferenceData!$V$27),"",ReferenceData!$V$27),"")</f>
        <v>214.12200000000001</v>
      </c>
      <c r="W27">
        <f ca="1">IFERROR(IF(0=LEN(ReferenceData!$W$27),"",ReferenceData!$W$27),"")</f>
        <v>204.999</v>
      </c>
      <c r="X27">
        <f ca="1">IFERROR(IF(0=LEN(ReferenceData!$X$27),"",ReferenceData!$X$27),"")</f>
        <v>195.33199999999999</v>
      </c>
      <c r="Y27">
        <f ca="1">IFERROR(IF(0=LEN(ReferenceData!$Y$27),"",ReferenceData!$Y$27),"")</f>
        <v>180.089</v>
      </c>
      <c r="Z27">
        <f ca="1">IFERROR(IF(0=LEN(ReferenceData!$Z$27),"",ReferenceData!$Z$27),"")</f>
        <v>167.798</v>
      </c>
      <c r="AA27">
        <f ca="1">IFERROR(IF(0=LEN(ReferenceData!$AA$27),"",ReferenceData!$AA$27),"")</f>
        <v>127.777</v>
      </c>
      <c r="AB27" t="str">
        <f ca="1">IFERROR(IF(0=LEN(ReferenceData!$AB$27),"",ReferenceData!$AB$27),"")</f>
        <v/>
      </c>
      <c r="AC27" t="str">
        <f ca="1">IFERROR(IF(0=LEN(ReferenceData!$AC$27),"",ReferenceData!$AC$27),"")</f>
        <v/>
      </c>
      <c r="AD27" t="str">
        <f ca="1">IFERROR(IF(0=LEN(ReferenceData!$AD$27),"",ReferenceData!$AD$27),"")</f>
        <v/>
      </c>
      <c r="AE27" t="str">
        <f ca="1">IFERROR(IF(0=LEN(ReferenceData!$AE$27),"",ReferenceData!$AE$27),"")</f>
        <v/>
      </c>
      <c r="AF27" t="str">
        <f ca="1">IFERROR(IF(0=LEN(ReferenceData!$AF$27),"",ReferenceData!$AF$27),"")</f>
        <v/>
      </c>
      <c r="AG27" t="str">
        <f ca="1">IFERROR(IF(0=LEN(ReferenceData!$AG$27),"",ReferenceData!$AG$27),"")</f>
        <v/>
      </c>
      <c r="AH27" t="str">
        <f ca="1">IFERROR(IF(0=LEN(ReferenceData!$AH$27),"",ReferenceData!$AH$27),"")</f>
        <v/>
      </c>
      <c r="AI27" t="str">
        <f ca="1">IFERROR(IF(0=LEN(ReferenceData!$AI$27),"",ReferenceData!$AI$27),"")</f>
        <v/>
      </c>
      <c r="AJ27" t="str">
        <f ca="1">IFERROR(IF(0=LEN(ReferenceData!$AJ$27),"",ReferenceData!$AJ$27),"")</f>
        <v/>
      </c>
      <c r="AK27" t="str">
        <f ca="1">IFERROR(IF(0=LEN(ReferenceData!$AK$27),"",ReferenceData!$AK$27),"")</f>
        <v/>
      </c>
      <c r="AL27" t="str">
        <f ca="1">IFERROR(IF(0=LEN(ReferenceData!$AL$27),"",ReferenceData!$AL$27),"")</f>
        <v/>
      </c>
      <c r="AM27" t="str">
        <f ca="1">IFERROR(IF(0=LEN(ReferenceData!$AM$27),"",ReferenceData!$AM$27),"")</f>
        <v/>
      </c>
      <c r="AN27" t="str">
        <f ca="1">IFERROR(IF(0=LEN(ReferenceData!$AN$27),"",ReferenceData!$AN$27),"")</f>
        <v/>
      </c>
      <c r="AO27" t="str">
        <f ca="1">IFERROR(IF(0=LEN(ReferenceData!$AO$27),"",ReferenceData!$AO$27),"")</f>
        <v/>
      </c>
      <c r="AP27" t="str">
        <f ca="1">IFERROR(IF(0=LEN(ReferenceData!$AP$27),"",ReferenceData!$AP$27),"")</f>
        <v/>
      </c>
      <c r="AQ27" t="str">
        <f ca="1">IFERROR(IF(0=LEN(ReferenceData!$AQ$27),"",ReferenceData!$AQ$27),"")</f>
        <v/>
      </c>
      <c r="AR27" t="str">
        <f ca="1">IFERROR(IF(0=LEN(ReferenceData!$AR$27),"",ReferenceData!$AR$27),"")</f>
        <v/>
      </c>
      <c r="AS27" t="str">
        <f ca="1">IFERROR(IF(0=LEN(ReferenceData!$AS$27),"",ReferenceData!$AS$27),"")</f>
        <v/>
      </c>
      <c r="AT27" t="str">
        <f ca="1">IFERROR(IF(0=LEN(ReferenceData!$AT$27),"",ReferenceData!$AT$27),"")</f>
        <v/>
      </c>
      <c r="AU27" t="str">
        <f ca="1">IFERROR(IF(0=LEN(ReferenceData!$AU$27),"",ReferenceData!$AU$27),"")</f>
        <v/>
      </c>
      <c r="AV27" t="str">
        <f ca="1">IFERROR(IF(0=LEN(ReferenceData!$AV$27),"",ReferenceData!$AV$27),"")</f>
        <v/>
      </c>
      <c r="AW27" t="str">
        <f ca="1">IFERROR(IF(0=LEN(ReferenceData!$AW$27),"",ReferenceData!$AW$27),"")</f>
        <v/>
      </c>
      <c r="AX27" t="str">
        <f ca="1">IFERROR(IF(0=LEN(ReferenceData!$AX$27),"",ReferenceData!$AX$27),"")</f>
        <v/>
      </c>
      <c r="AY27" t="str">
        <f ca="1">IFERROR(IF(0=LEN(ReferenceData!$AY$27),"",ReferenceData!$AY$27),"")</f>
        <v/>
      </c>
      <c r="AZ27" t="str">
        <f ca="1">IFERROR(IF(0=LEN(ReferenceData!$AZ$27),"",ReferenceData!$AZ$27),"")</f>
        <v/>
      </c>
      <c r="BA27" t="str">
        <f ca="1">IFERROR(IF(0=LEN(ReferenceData!$BA$27),"",ReferenceData!$BA$27),"")</f>
        <v/>
      </c>
      <c r="BB27" t="str">
        <f ca="1">IFERROR(IF(0=LEN(ReferenceData!$BB$27),"",ReferenceData!$BB$27),"")</f>
        <v/>
      </c>
      <c r="BC27" t="str">
        <f ca="1">IFERROR(IF(0=LEN(ReferenceData!$BC$27),"",ReferenceData!$BC$27),"")</f>
        <v/>
      </c>
      <c r="BD27" t="str">
        <f ca="1">IFERROR(IF(0=LEN(ReferenceData!$BD$27),"",ReferenceData!$BD$27),"")</f>
        <v/>
      </c>
      <c r="BE27" t="str">
        <f ca="1">IFERROR(IF(0=LEN(ReferenceData!$BE$27),"",ReferenceData!$BE$27),"")</f>
        <v/>
      </c>
      <c r="BF27" t="str">
        <f ca="1">IFERROR(IF(0=LEN(ReferenceData!$BF$27),"",ReferenceData!$BF$27),"")</f>
        <v/>
      </c>
      <c r="BG27" t="str">
        <f ca="1">IFERROR(IF(0=LEN(ReferenceData!$BG$27),"",ReferenceData!$BG$27),"")</f>
        <v/>
      </c>
      <c r="BH27" t="str">
        <f ca="1">IFERROR(IF(0=LEN(ReferenceData!$BH$27),"",ReferenceData!$BH$27),"")</f>
        <v/>
      </c>
      <c r="BI27" t="str">
        <f ca="1">IFERROR(IF(0=LEN(ReferenceData!$BI$27),"",ReferenceData!$BI$27),"")</f>
        <v/>
      </c>
      <c r="BJ27" t="str">
        <f ca="1">IFERROR(IF(0=LEN(ReferenceData!$BJ$27),"",ReferenceData!$BJ$27),"")</f>
        <v/>
      </c>
      <c r="BK27" t="str">
        <f ca="1">IFERROR(IF(0=LEN(ReferenceData!$BK$27),"",ReferenceData!$BK$27),"")</f>
        <v/>
      </c>
      <c r="BL27" t="str">
        <f ca="1">IFERROR(IF(0=LEN(ReferenceData!$BL$27),"",ReferenceData!$BL$27),"")</f>
        <v/>
      </c>
      <c r="BM27" t="str">
        <f ca="1">IFERROR(IF(0=LEN(ReferenceData!$BM$27),"",ReferenceData!$BM$27),"")</f>
        <v/>
      </c>
    </row>
    <row r="28" spans="1:65">
      <c r="A28" t="str">
        <f>IFERROR(IF(0=LEN(ReferenceData!$A$28),"",ReferenceData!$A$28),"")</f>
        <v xml:space="preserve">    Regency Centers Corp</v>
      </c>
      <c r="B28" t="str">
        <f>IFERROR(IF(0=LEN(ReferenceData!$B$28),"",ReferenceData!$B$28),"")</f>
        <v>REG US Equity</v>
      </c>
      <c r="C28" t="str">
        <f>IFERROR(IF(0=LEN(ReferenceData!$C$28),"",ReferenceData!$C$28),"")</f>
        <v>IM275</v>
      </c>
      <c r="D28" t="str">
        <f>IFERROR(IF(0=LEN(ReferenceData!$D$28),"",ReferenceData!$D$28),"")</f>
        <v>IS_OTHER_RENTAL_INCOME</v>
      </c>
      <c r="E28" t="str">
        <f>IFERROR(IF(0=LEN(ReferenceData!$E$28),"",ReferenceData!$E$28),"")</f>
        <v>动态</v>
      </c>
      <c r="F28" t="str">
        <f ca="1">IFERROR(IF(0=LEN(ReferenceData!$F$28),"",ReferenceData!$F$28),"")</f>
        <v/>
      </c>
      <c r="G28">
        <f ca="1">IFERROR(IF(0=LEN(ReferenceData!$G$28),"",ReferenceData!$G$28),"")</f>
        <v>0</v>
      </c>
      <c r="H28">
        <f ca="1">IFERROR(IF(0=LEN(ReferenceData!$H$28),"",ReferenceData!$H$28),"")</f>
        <v>0</v>
      </c>
      <c r="I28">
        <f ca="1">IFERROR(IF(0=LEN(ReferenceData!$I$28),"",ReferenceData!$I$28),"")</f>
        <v>0</v>
      </c>
      <c r="J28">
        <f ca="1">IFERROR(IF(0=LEN(ReferenceData!$J$28),"",ReferenceData!$J$28),"")</f>
        <v>0</v>
      </c>
      <c r="K28">
        <f ca="1">IFERROR(IF(0=LEN(ReferenceData!$K$28),"",ReferenceData!$K$28),"")</f>
        <v>0</v>
      </c>
      <c r="L28">
        <f ca="1">IFERROR(IF(0=LEN(ReferenceData!$L$28),"",ReferenceData!$L$28),"")</f>
        <v>0</v>
      </c>
      <c r="M28">
        <f ca="1">IFERROR(IF(0=LEN(ReferenceData!$M$28),"",ReferenceData!$M$28),"")</f>
        <v>0</v>
      </c>
      <c r="N28">
        <f ca="1">IFERROR(IF(0=LEN(ReferenceData!$N$28),"",ReferenceData!$N$28),"")</f>
        <v>0</v>
      </c>
      <c r="O28">
        <f ca="1">IFERROR(IF(0=LEN(ReferenceData!$O$28),"",ReferenceData!$O$28),"")</f>
        <v>0</v>
      </c>
      <c r="P28">
        <f ca="1">IFERROR(IF(0=LEN(ReferenceData!$P$28),"",ReferenceData!$P$28),"")</f>
        <v>0</v>
      </c>
      <c r="Q28">
        <f ca="1">IFERROR(IF(0=LEN(ReferenceData!$Q$28),"",ReferenceData!$Q$28),"")</f>
        <v>0</v>
      </c>
      <c r="R28">
        <f ca="1">IFERROR(IF(0=LEN(ReferenceData!$R$28),"",ReferenceData!$R$28),"")</f>
        <v>0</v>
      </c>
      <c r="S28">
        <f ca="1">IFERROR(IF(0=LEN(ReferenceData!$S$28),"",ReferenceData!$S$28),"")</f>
        <v>0</v>
      </c>
      <c r="T28">
        <f ca="1">IFERROR(IF(0=LEN(ReferenceData!$T$28),"",ReferenceData!$T$28),"")</f>
        <v>0</v>
      </c>
      <c r="U28">
        <f ca="1">IFERROR(IF(0=LEN(ReferenceData!$U$28),"",ReferenceData!$U$28),"")</f>
        <v>0</v>
      </c>
      <c r="V28">
        <f ca="1">IFERROR(IF(0=LEN(ReferenceData!$V$28),"",ReferenceData!$V$28),"")</f>
        <v>0</v>
      </c>
      <c r="W28">
        <f ca="1">IFERROR(IF(0=LEN(ReferenceData!$W$28),"",ReferenceData!$W$28),"")</f>
        <v>0</v>
      </c>
      <c r="X28">
        <f ca="1">IFERROR(IF(0=LEN(ReferenceData!$X$28),"",ReferenceData!$X$28),"")</f>
        <v>0</v>
      </c>
      <c r="Y28">
        <f ca="1">IFERROR(IF(0=LEN(ReferenceData!$Y$28),"",ReferenceData!$Y$28),"")</f>
        <v>0</v>
      </c>
      <c r="Z28">
        <f ca="1">IFERROR(IF(0=LEN(ReferenceData!$Z$28),"",ReferenceData!$Z$28),"")</f>
        <v>0</v>
      </c>
      <c r="AA28">
        <f ca="1">IFERROR(IF(0=LEN(ReferenceData!$AA$28),"",ReferenceData!$AA$28),"")</f>
        <v>0</v>
      </c>
      <c r="AB28">
        <f ca="1">IFERROR(IF(0=LEN(ReferenceData!$AB$28),"",ReferenceData!$AB$28),"")</f>
        <v>0</v>
      </c>
      <c r="AC28">
        <f ca="1">IFERROR(IF(0=LEN(ReferenceData!$AC$28),"",ReferenceData!$AC$28),"")</f>
        <v>0</v>
      </c>
      <c r="AD28">
        <f ca="1">IFERROR(IF(0=LEN(ReferenceData!$AD$28),"",ReferenceData!$AD$28),"")</f>
        <v>0</v>
      </c>
      <c r="AE28">
        <f ca="1">IFERROR(IF(0=LEN(ReferenceData!$AE$28),"",ReferenceData!$AE$28),"")</f>
        <v>0</v>
      </c>
      <c r="AF28">
        <f ca="1">IFERROR(IF(0=LEN(ReferenceData!$AF$28),"",ReferenceData!$AF$28),"")</f>
        <v>0</v>
      </c>
      <c r="AG28">
        <f ca="1">IFERROR(IF(0=LEN(ReferenceData!$AG$28),"",ReferenceData!$AG$28),"")</f>
        <v>0</v>
      </c>
      <c r="AH28">
        <f ca="1">IFERROR(IF(0=LEN(ReferenceData!$AH$28),"",ReferenceData!$AH$28),"")</f>
        <v>0</v>
      </c>
      <c r="AI28">
        <f ca="1">IFERROR(IF(0=LEN(ReferenceData!$AI$28),"",ReferenceData!$AI$28),"")</f>
        <v>0</v>
      </c>
      <c r="AJ28">
        <f ca="1">IFERROR(IF(0=LEN(ReferenceData!$AJ$28),"",ReferenceData!$AJ$28),"")</f>
        <v>0</v>
      </c>
      <c r="AK28">
        <f ca="1">IFERROR(IF(0=LEN(ReferenceData!$AK$28),"",ReferenceData!$AK$28),"")</f>
        <v>0</v>
      </c>
      <c r="AL28">
        <f ca="1">IFERROR(IF(0=LEN(ReferenceData!$AL$28),"",ReferenceData!$AL$28),"")</f>
        <v>0</v>
      </c>
      <c r="AM28">
        <f ca="1">IFERROR(IF(0=LEN(ReferenceData!$AM$28),"",ReferenceData!$AM$28),"")</f>
        <v>0</v>
      </c>
      <c r="AN28">
        <f ca="1">IFERROR(IF(0=LEN(ReferenceData!$AN$28),"",ReferenceData!$AN$28),"")</f>
        <v>0</v>
      </c>
      <c r="AO28">
        <f ca="1">IFERROR(IF(0=LEN(ReferenceData!$AO$28),"",ReferenceData!$AO$28),"")</f>
        <v>0</v>
      </c>
      <c r="AP28">
        <f ca="1">IFERROR(IF(0=LEN(ReferenceData!$AP$28),"",ReferenceData!$AP$28),"")</f>
        <v>0</v>
      </c>
      <c r="AQ28" t="str">
        <f ca="1">IFERROR(IF(0=LEN(ReferenceData!$AQ$28),"",ReferenceData!$AQ$28),"")</f>
        <v/>
      </c>
      <c r="AR28" t="str">
        <f ca="1">IFERROR(IF(0=LEN(ReferenceData!$AR$28),"",ReferenceData!$AR$28),"")</f>
        <v/>
      </c>
      <c r="AS28" t="str">
        <f ca="1">IFERROR(IF(0=LEN(ReferenceData!$AS$28),"",ReferenceData!$AS$28),"")</f>
        <v/>
      </c>
      <c r="AT28" t="str">
        <f ca="1">IFERROR(IF(0=LEN(ReferenceData!$AT$28),"",ReferenceData!$AT$28),"")</f>
        <v/>
      </c>
      <c r="AU28" t="str">
        <f ca="1">IFERROR(IF(0=LEN(ReferenceData!$AU$28),"",ReferenceData!$AU$28),"")</f>
        <v/>
      </c>
      <c r="AV28" t="str">
        <f ca="1">IFERROR(IF(0=LEN(ReferenceData!$AV$28),"",ReferenceData!$AV$28),"")</f>
        <v/>
      </c>
      <c r="AW28" t="str">
        <f ca="1">IFERROR(IF(0=LEN(ReferenceData!$AW$28),"",ReferenceData!$AW$28),"")</f>
        <v/>
      </c>
      <c r="AX28" t="str">
        <f ca="1">IFERROR(IF(0=LEN(ReferenceData!$AX$28),"",ReferenceData!$AX$28),"")</f>
        <v/>
      </c>
      <c r="AY28" t="str">
        <f ca="1">IFERROR(IF(0=LEN(ReferenceData!$AY$28),"",ReferenceData!$AY$28),"")</f>
        <v/>
      </c>
      <c r="AZ28" t="str">
        <f ca="1">IFERROR(IF(0=LEN(ReferenceData!$AZ$28),"",ReferenceData!$AZ$28),"")</f>
        <v/>
      </c>
      <c r="BA28" t="str">
        <f ca="1">IFERROR(IF(0=LEN(ReferenceData!$BA$28),"",ReferenceData!$BA$28),"")</f>
        <v/>
      </c>
      <c r="BB28" t="str">
        <f ca="1">IFERROR(IF(0=LEN(ReferenceData!$BB$28),"",ReferenceData!$BB$28),"")</f>
        <v/>
      </c>
      <c r="BC28" t="str">
        <f ca="1">IFERROR(IF(0=LEN(ReferenceData!$BC$28),"",ReferenceData!$BC$28),"")</f>
        <v/>
      </c>
      <c r="BD28" t="str">
        <f ca="1">IFERROR(IF(0=LEN(ReferenceData!$BD$28),"",ReferenceData!$BD$28),"")</f>
        <v/>
      </c>
      <c r="BE28" t="str">
        <f ca="1">IFERROR(IF(0=LEN(ReferenceData!$BE$28),"",ReferenceData!$BE$28),"")</f>
        <v/>
      </c>
      <c r="BF28" t="str">
        <f ca="1">IFERROR(IF(0=LEN(ReferenceData!$BF$28),"",ReferenceData!$BF$28),"")</f>
        <v/>
      </c>
      <c r="BG28" t="str">
        <f ca="1">IFERROR(IF(0=LEN(ReferenceData!$BG$28),"",ReferenceData!$BG$28),"")</f>
        <v/>
      </c>
      <c r="BH28" t="str">
        <f ca="1">IFERROR(IF(0=LEN(ReferenceData!$BH$28),"",ReferenceData!$BH$28),"")</f>
        <v/>
      </c>
      <c r="BI28" t="str">
        <f ca="1">IFERROR(IF(0=LEN(ReferenceData!$BI$28),"",ReferenceData!$BI$28),"")</f>
        <v/>
      </c>
      <c r="BJ28" t="str">
        <f ca="1">IFERROR(IF(0=LEN(ReferenceData!$BJ$28),"",ReferenceData!$BJ$28),"")</f>
        <v/>
      </c>
      <c r="BK28" t="str">
        <f ca="1">IFERROR(IF(0=LEN(ReferenceData!$BK$28),"",ReferenceData!$BK$28),"")</f>
        <v/>
      </c>
      <c r="BL28" t="str">
        <f ca="1">IFERROR(IF(0=LEN(ReferenceData!$BL$28),"",ReferenceData!$BL$28),"")</f>
        <v/>
      </c>
      <c r="BM28" t="str">
        <f ca="1">IFERROR(IF(0=LEN(ReferenceData!$BM$28),"",ReferenceData!$BM$28),"")</f>
        <v/>
      </c>
    </row>
    <row r="29" spans="1:65">
      <c r="A29" t="str">
        <f>IFERROR(IF(0=LEN(ReferenceData!$A$29),"",ReferenceData!$A$29),"")</f>
        <v xml:space="preserve">    Retail Opportunity Investments</v>
      </c>
      <c r="B29" t="str">
        <f>IFERROR(IF(0=LEN(ReferenceData!$B$29),"",ReferenceData!$B$29),"")</f>
        <v>ROIC US Equity</v>
      </c>
      <c r="C29" t="str">
        <f>IFERROR(IF(0=LEN(ReferenceData!$C$29),"",ReferenceData!$C$29),"")</f>
        <v>IM275</v>
      </c>
      <c r="D29" t="str">
        <f>IFERROR(IF(0=LEN(ReferenceData!$D$29),"",ReferenceData!$D$29),"")</f>
        <v>IS_OTHER_RENTAL_INCOME</v>
      </c>
      <c r="E29" t="str">
        <f>IFERROR(IF(0=LEN(ReferenceData!$E$29),"",ReferenceData!$E$29),"")</f>
        <v>动态</v>
      </c>
      <c r="F29" t="str">
        <f ca="1">IFERROR(IF(0=LEN(ReferenceData!$F$29),"",ReferenceData!$F$29),"")</f>
        <v/>
      </c>
      <c r="G29">
        <f ca="1">IFERROR(IF(0=LEN(ReferenceData!$G$29),"",ReferenceData!$G$29),"")</f>
        <v>0</v>
      </c>
      <c r="H29">
        <f ca="1">IFERROR(IF(0=LEN(ReferenceData!$H$29),"",ReferenceData!$H$29),"")</f>
        <v>0</v>
      </c>
      <c r="I29">
        <f ca="1">IFERROR(IF(0=LEN(ReferenceData!$I$29),"",ReferenceData!$I$29),"")</f>
        <v>0</v>
      </c>
      <c r="J29">
        <f ca="1">IFERROR(IF(0=LEN(ReferenceData!$J$29),"",ReferenceData!$J$29),"")</f>
        <v>0</v>
      </c>
      <c r="K29">
        <f ca="1">IFERROR(IF(0=LEN(ReferenceData!$K$29),"",ReferenceData!$K$29),"")</f>
        <v>0</v>
      </c>
      <c r="L29">
        <f ca="1">IFERROR(IF(0=LEN(ReferenceData!$L$29),"",ReferenceData!$L$29),"")</f>
        <v>0</v>
      </c>
      <c r="M29">
        <f ca="1">IFERROR(IF(0=LEN(ReferenceData!$M$29),"",ReferenceData!$M$29),"")</f>
        <v>0</v>
      </c>
      <c r="N29">
        <f ca="1">IFERROR(IF(0=LEN(ReferenceData!$N$29),"",ReferenceData!$N$29),"")</f>
        <v>0</v>
      </c>
      <c r="O29">
        <f ca="1">IFERROR(IF(0=LEN(ReferenceData!$O$29),"",ReferenceData!$O$29),"")</f>
        <v>0</v>
      </c>
      <c r="P29">
        <f ca="1">IFERROR(IF(0=LEN(ReferenceData!$P$29),"",ReferenceData!$P$29),"")</f>
        <v>0</v>
      </c>
      <c r="Q29">
        <f ca="1">IFERROR(IF(0=LEN(ReferenceData!$Q$29),"",ReferenceData!$Q$29),"")</f>
        <v>0</v>
      </c>
      <c r="R29">
        <f ca="1">IFERROR(IF(0=LEN(ReferenceData!$R$29),"",ReferenceData!$R$29),"")</f>
        <v>0</v>
      </c>
      <c r="S29">
        <f ca="1">IFERROR(IF(0=LEN(ReferenceData!$S$29),"",ReferenceData!$S$29),"")</f>
        <v>0</v>
      </c>
      <c r="T29">
        <f ca="1">IFERROR(IF(0=LEN(ReferenceData!$T$29),"",ReferenceData!$T$29),"")</f>
        <v>0</v>
      </c>
      <c r="U29">
        <f ca="1">IFERROR(IF(0=LEN(ReferenceData!$U$29),"",ReferenceData!$U$29),"")</f>
        <v>0</v>
      </c>
      <c r="V29">
        <f ca="1">IFERROR(IF(0=LEN(ReferenceData!$V$29),"",ReferenceData!$V$29),"")</f>
        <v>0</v>
      </c>
      <c r="W29">
        <f ca="1">IFERROR(IF(0=LEN(ReferenceData!$W$29),"",ReferenceData!$W$29),"")</f>
        <v>0</v>
      </c>
      <c r="X29">
        <f ca="1">IFERROR(IF(0=LEN(ReferenceData!$X$29),"",ReferenceData!$X$29),"")</f>
        <v>0</v>
      </c>
      <c r="Y29">
        <f ca="1">IFERROR(IF(0=LEN(ReferenceData!$Y$29),"",ReferenceData!$Y$29),"")</f>
        <v>0</v>
      </c>
      <c r="Z29">
        <f ca="1">IFERROR(IF(0=LEN(ReferenceData!$Z$29),"",ReferenceData!$Z$29),"")</f>
        <v>0</v>
      </c>
      <c r="AA29">
        <f ca="1">IFERROR(IF(0=LEN(ReferenceData!$AA$29),"",ReferenceData!$AA$29),"")</f>
        <v>0</v>
      </c>
      <c r="AB29">
        <f ca="1">IFERROR(IF(0=LEN(ReferenceData!$AB$29),"",ReferenceData!$AB$29),"")</f>
        <v>0</v>
      </c>
      <c r="AC29">
        <f ca="1">IFERROR(IF(0=LEN(ReferenceData!$AC$29),"",ReferenceData!$AC$29),"")</f>
        <v>0</v>
      </c>
      <c r="AD29">
        <f ca="1">IFERROR(IF(0=LEN(ReferenceData!$AD$29),"",ReferenceData!$AD$29),"")</f>
        <v>0</v>
      </c>
      <c r="AE29">
        <f ca="1">IFERROR(IF(0=LEN(ReferenceData!$AE$29),"",ReferenceData!$AE$29),"")</f>
        <v>0</v>
      </c>
      <c r="AF29">
        <f ca="1">IFERROR(IF(0=LEN(ReferenceData!$AF$29),"",ReferenceData!$AF$29),"")</f>
        <v>0</v>
      </c>
      <c r="AG29">
        <f ca="1">IFERROR(IF(0=LEN(ReferenceData!$AG$29),"",ReferenceData!$AG$29),"")</f>
        <v>0</v>
      </c>
      <c r="AH29">
        <f ca="1">IFERROR(IF(0=LEN(ReferenceData!$AH$29),"",ReferenceData!$AH$29),"")</f>
        <v>0</v>
      </c>
      <c r="AI29">
        <f ca="1">IFERROR(IF(0=LEN(ReferenceData!$AI$29),"",ReferenceData!$AI$29),"")</f>
        <v>0</v>
      </c>
      <c r="AJ29">
        <f ca="1">IFERROR(IF(0=LEN(ReferenceData!$AJ$29),"",ReferenceData!$AJ$29),"")</f>
        <v>0</v>
      </c>
      <c r="AK29">
        <f ca="1">IFERROR(IF(0=LEN(ReferenceData!$AK$29),"",ReferenceData!$AK$29),"")</f>
        <v>0</v>
      </c>
      <c r="AL29">
        <f ca="1">IFERROR(IF(0=LEN(ReferenceData!$AL$29),"",ReferenceData!$AL$29),"")</f>
        <v>0</v>
      </c>
      <c r="AM29" t="str">
        <f ca="1">IFERROR(IF(0=LEN(ReferenceData!$AM$29),"",ReferenceData!$AM$29),"")</f>
        <v/>
      </c>
      <c r="AN29" t="str">
        <f ca="1">IFERROR(IF(0=LEN(ReferenceData!$AN$29),"",ReferenceData!$AN$29),"")</f>
        <v/>
      </c>
      <c r="AO29" t="str">
        <f ca="1">IFERROR(IF(0=LEN(ReferenceData!$AO$29),"",ReferenceData!$AO$29),"")</f>
        <v/>
      </c>
      <c r="AP29" t="str">
        <f ca="1">IFERROR(IF(0=LEN(ReferenceData!$AP$29),"",ReferenceData!$AP$29),"")</f>
        <v/>
      </c>
      <c r="AQ29" t="str">
        <f ca="1">IFERROR(IF(0=LEN(ReferenceData!$AQ$29),"",ReferenceData!$AQ$29),"")</f>
        <v/>
      </c>
      <c r="AR29" t="str">
        <f ca="1">IFERROR(IF(0=LEN(ReferenceData!$AR$29),"",ReferenceData!$AR$29),"")</f>
        <v/>
      </c>
      <c r="AS29" t="str">
        <f ca="1">IFERROR(IF(0=LEN(ReferenceData!$AS$29),"",ReferenceData!$AS$29),"")</f>
        <v/>
      </c>
      <c r="AT29" t="str">
        <f ca="1">IFERROR(IF(0=LEN(ReferenceData!$AT$29),"",ReferenceData!$AT$29),"")</f>
        <v/>
      </c>
      <c r="AU29" t="str">
        <f ca="1">IFERROR(IF(0=LEN(ReferenceData!$AU$29),"",ReferenceData!$AU$29),"")</f>
        <v/>
      </c>
      <c r="AV29" t="str">
        <f ca="1">IFERROR(IF(0=LEN(ReferenceData!$AV$29),"",ReferenceData!$AV$29),"")</f>
        <v/>
      </c>
      <c r="AW29" t="str">
        <f ca="1">IFERROR(IF(0=LEN(ReferenceData!$AW$29),"",ReferenceData!$AW$29),"")</f>
        <v/>
      </c>
      <c r="AX29" t="str">
        <f ca="1">IFERROR(IF(0=LEN(ReferenceData!$AX$29),"",ReferenceData!$AX$29),"")</f>
        <v/>
      </c>
      <c r="AY29" t="str">
        <f ca="1">IFERROR(IF(0=LEN(ReferenceData!$AY$29),"",ReferenceData!$AY$29),"")</f>
        <v/>
      </c>
      <c r="AZ29" t="str">
        <f ca="1">IFERROR(IF(0=LEN(ReferenceData!$AZ$29),"",ReferenceData!$AZ$29),"")</f>
        <v/>
      </c>
      <c r="BA29" t="str">
        <f ca="1">IFERROR(IF(0=LEN(ReferenceData!$BA$29),"",ReferenceData!$BA$29),"")</f>
        <v/>
      </c>
      <c r="BB29" t="str">
        <f ca="1">IFERROR(IF(0=LEN(ReferenceData!$BB$29),"",ReferenceData!$BB$29),"")</f>
        <v/>
      </c>
      <c r="BC29" t="str">
        <f ca="1">IFERROR(IF(0=LEN(ReferenceData!$BC$29),"",ReferenceData!$BC$29),"")</f>
        <v/>
      </c>
      <c r="BD29" t="str">
        <f ca="1">IFERROR(IF(0=LEN(ReferenceData!$BD$29),"",ReferenceData!$BD$29),"")</f>
        <v/>
      </c>
      <c r="BE29" t="str">
        <f ca="1">IFERROR(IF(0=LEN(ReferenceData!$BE$29),"",ReferenceData!$BE$29),"")</f>
        <v/>
      </c>
      <c r="BF29" t="str">
        <f ca="1">IFERROR(IF(0=LEN(ReferenceData!$BF$29),"",ReferenceData!$BF$29),"")</f>
        <v/>
      </c>
      <c r="BG29" t="str">
        <f ca="1">IFERROR(IF(0=LEN(ReferenceData!$BG$29),"",ReferenceData!$BG$29),"")</f>
        <v/>
      </c>
      <c r="BH29" t="str">
        <f ca="1">IFERROR(IF(0=LEN(ReferenceData!$BH$29),"",ReferenceData!$BH$29),"")</f>
        <v/>
      </c>
      <c r="BI29" t="str">
        <f ca="1">IFERROR(IF(0=LEN(ReferenceData!$BI$29),"",ReferenceData!$BI$29),"")</f>
        <v/>
      </c>
      <c r="BJ29" t="str">
        <f ca="1">IFERROR(IF(0=LEN(ReferenceData!$BJ$29),"",ReferenceData!$BJ$29),"")</f>
        <v/>
      </c>
      <c r="BK29" t="str">
        <f ca="1">IFERROR(IF(0=LEN(ReferenceData!$BK$29),"",ReferenceData!$BK$29),"")</f>
        <v/>
      </c>
      <c r="BL29" t="str">
        <f ca="1">IFERROR(IF(0=LEN(ReferenceData!$BL$29),"",ReferenceData!$BL$29),"")</f>
        <v/>
      </c>
      <c r="BM29" t="str">
        <f ca="1">IFERROR(IF(0=LEN(ReferenceData!$BM$29),"",ReferenceData!$BM$29),"")</f>
        <v/>
      </c>
    </row>
    <row r="30" spans="1:65">
      <c r="A30" t="str">
        <f>IFERROR(IF(0=LEN(ReferenceData!$A$30),"",ReferenceData!$A$30),"")</f>
        <v xml:space="preserve">    Retail Properties of America I</v>
      </c>
      <c r="B30" t="str">
        <f>IFERROR(IF(0=LEN(ReferenceData!$B$30),"",ReferenceData!$B$30),"")</f>
        <v>RPAI US Equity</v>
      </c>
      <c r="C30" t="str">
        <f>IFERROR(IF(0=LEN(ReferenceData!$C$30),"",ReferenceData!$C$30),"")</f>
        <v>IM275</v>
      </c>
      <c r="D30" t="str">
        <f>IFERROR(IF(0=LEN(ReferenceData!$D$30),"",ReferenceData!$D$30),"")</f>
        <v>IS_OTHER_RENTAL_INCOME</v>
      </c>
      <c r="E30" t="str">
        <f>IFERROR(IF(0=LEN(ReferenceData!$E$30),"",ReferenceData!$E$30),"")</f>
        <v>动态</v>
      </c>
      <c r="F30" t="str">
        <f ca="1">IFERROR(IF(0=LEN(ReferenceData!$F$30),"",ReferenceData!$F$30),"")</f>
        <v/>
      </c>
      <c r="G30">
        <f ca="1">IFERROR(IF(0=LEN(ReferenceData!$G$30),"",ReferenceData!$G$30),"")</f>
        <v>97.835999999999999</v>
      </c>
      <c r="H30">
        <f ca="1">IFERROR(IF(0=LEN(ReferenceData!$H$30),"",ReferenceData!$H$30),"")</f>
        <v>100.977</v>
      </c>
      <c r="I30">
        <f ca="1">IFERROR(IF(0=LEN(ReferenceData!$I$30),"",ReferenceData!$I$30),"")</f>
        <v>106.017</v>
      </c>
      <c r="J30">
        <f ca="1">IFERROR(IF(0=LEN(ReferenceData!$J$30),"",ReferenceData!$J$30),"")</f>
        <v>109.974</v>
      </c>
      <c r="K30">
        <f ca="1">IFERROR(IF(0=LEN(ReferenceData!$K$30),"",ReferenceData!$K$30),"")</f>
        <v>111.577</v>
      </c>
      <c r="L30">
        <f ca="1">IFERROR(IF(0=LEN(ReferenceData!$L$30),"",ReferenceData!$L$30),"")</f>
        <v>113.627</v>
      </c>
      <c r="M30">
        <f ca="1">IFERROR(IF(0=LEN(ReferenceData!$M$30),"",ReferenceData!$M$30),"")</f>
        <v>115.194</v>
      </c>
      <c r="N30">
        <f ca="1">IFERROR(IF(0=LEN(ReferenceData!$N$30),"",ReferenceData!$N$30),"")</f>
        <v>115.26</v>
      </c>
      <c r="O30">
        <f ca="1">IFERROR(IF(0=LEN(ReferenceData!$O$30),"",ReferenceData!$O$30),"")</f>
        <v>116.819</v>
      </c>
      <c r="P30">
        <f ca="1">IFERROR(IF(0=LEN(ReferenceData!$P$30),"",ReferenceData!$P$30),"")</f>
        <v>116.715</v>
      </c>
      <c r="Q30">
        <f ca="1">IFERROR(IF(0=LEN(ReferenceData!$Q$30),"",ReferenceData!$Q$30),"")</f>
        <v>119.02200000000001</v>
      </c>
      <c r="R30">
        <f ca="1">IFERROR(IF(0=LEN(ReferenceData!$R$30),"",ReferenceData!$R$30),"")</f>
        <v>119.788</v>
      </c>
      <c r="S30">
        <f ca="1">IFERROR(IF(0=LEN(ReferenceData!$S$30),"",ReferenceData!$S$30),"")</f>
        <v>119.592</v>
      </c>
      <c r="T30">
        <f ca="1">IFERROR(IF(0=LEN(ReferenceData!$T$30),"",ReferenceData!$T$30),"")</f>
        <v>120.143</v>
      </c>
      <c r="U30">
        <f ca="1">IFERROR(IF(0=LEN(ReferenceData!$U$30),"",ReferenceData!$U$30),"")</f>
        <v>117.419</v>
      </c>
      <c r="V30">
        <f ca="1">IFERROR(IF(0=LEN(ReferenceData!$V$30),"",ReferenceData!$V$30),"")</f>
        <v>117.53100000000001</v>
      </c>
      <c r="W30">
        <f ca="1">IFERROR(IF(0=LEN(ReferenceData!$W$30),"",ReferenceData!$W$30),"")</f>
        <v>113.4</v>
      </c>
      <c r="X30">
        <f ca="1">IFERROR(IF(0=LEN(ReferenceData!$X$30),"",ReferenceData!$X$30),"")</f>
        <v>107.48699999999999</v>
      </c>
      <c r="Y30">
        <f ca="1">IFERROR(IF(0=LEN(ReferenceData!$Y$30),"",ReferenceData!$Y$30),"")</f>
        <v>106.096</v>
      </c>
      <c r="Z30">
        <f ca="1">IFERROR(IF(0=LEN(ReferenceData!$Z$30),"",ReferenceData!$Z$30),"")</f>
        <v>106.295</v>
      </c>
      <c r="AA30">
        <f ca="1">IFERROR(IF(0=LEN(ReferenceData!$AA$30),"",ReferenceData!$AA$30),"")</f>
        <v>106.548</v>
      </c>
      <c r="AB30">
        <f ca="1">IFERROR(IF(0=LEN(ReferenceData!$AB$30),"",ReferenceData!$AB$30),"")</f>
        <v>110.848</v>
      </c>
      <c r="AC30">
        <f ca="1">IFERROR(IF(0=LEN(ReferenceData!$AC$30),"",ReferenceData!$AC$30),"")</f>
        <v>111.55800000000001</v>
      </c>
      <c r="AD30">
        <f ca="1">IFERROR(IF(0=LEN(ReferenceData!$AD$30),"",ReferenceData!$AD$30),"")</f>
        <v>112.322</v>
      </c>
      <c r="AE30">
        <f ca="1">IFERROR(IF(0=LEN(ReferenceData!$AE$30),"",ReferenceData!$AE$30),"")</f>
        <v>112.631</v>
      </c>
      <c r="AF30">
        <f ca="1">IFERROR(IF(0=LEN(ReferenceData!$AF$30),"",ReferenceData!$AF$30),"")</f>
        <v>116.062</v>
      </c>
      <c r="AG30">
        <f ca="1">IFERROR(IF(0=LEN(ReferenceData!$AG$30),"",ReferenceData!$AG$30),"")</f>
        <v>119.85299999999999</v>
      </c>
      <c r="AH30">
        <f ca="1">IFERROR(IF(0=LEN(ReferenceData!$AH$30),"",ReferenceData!$AH$30),"")</f>
        <v>121.57</v>
      </c>
      <c r="AI30">
        <f ca="1">IFERROR(IF(0=LEN(ReferenceData!$AI$30),"",ReferenceData!$AI$30),"")</f>
        <v>113.43</v>
      </c>
      <c r="AJ30">
        <f ca="1">IFERROR(IF(0=LEN(ReferenceData!$AJ$30),"",ReferenceData!$AJ$30),"")</f>
        <v>129.82599999999999</v>
      </c>
      <c r="AK30" t="str">
        <f ca="1">IFERROR(IF(0=LEN(ReferenceData!$AK$30),"",ReferenceData!$AK$30),"")</f>
        <v/>
      </c>
      <c r="AL30" t="str">
        <f ca="1">IFERROR(IF(0=LEN(ReferenceData!$AL$30),"",ReferenceData!$AL$30),"")</f>
        <v/>
      </c>
      <c r="AM30" t="str">
        <f ca="1">IFERROR(IF(0=LEN(ReferenceData!$AM$30),"",ReferenceData!$AM$30),"")</f>
        <v/>
      </c>
      <c r="AN30">
        <f ca="1">IFERROR(IF(0=LEN(ReferenceData!$AN$30),"",ReferenceData!$AN$30),"")</f>
        <v>128.67400000000001</v>
      </c>
      <c r="AO30" t="str">
        <f ca="1">IFERROR(IF(0=LEN(ReferenceData!$AO$30),"",ReferenceData!$AO$30),"")</f>
        <v/>
      </c>
      <c r="AP30" t="str">
        <f ca="1">IFERROR(IF(0=LEN(ReferenceData!$AP$30),"",ReferenceData!$AP$30),"")</f>
        <v/>
      </c>
      <c r="AQ30" t="str">
        <f ca="1">IFERROR(IF(0=LEN(ReferenceData!$AQ$30),"",ReferenceData!$AQ$30),"")</f>
        <v/>
      </c>
      <c r="AR30" t="str">
        <f ca="1">IFERROR(IF(0=LEN(ReferenceData!$AR$30),"",ReferenceData!$AR$30),"")</f>
        <v/>
      </c>
      <c r="AS30" t="str">
        <f ca="1">IFERROR(IF(0=LEN(ReferenceData!$AS$30),"",ReferenceData!$AS$30),"")</f>
        <v/>
      </c>
      <c r="AT30" t="str">
        <f ca="1">IFERROR(IF(0=LEN(ReferenceData!$AT$30),"",ReferenceData!$AT$30),"")</f>
        <v/>
      </c>
      <c r="AU30" t="str">
        <f ca="1">IFERROR(IF(0=LEN(ReferenceData!$AU$30),"",ReferenceData!$AU$30),"")</f>
        <v/>
      </c>
      <c r="AV30" t="str">
        <f ca="1">IFERROR(IF(0=LEN(ReferenceData!$AV$30),"",ReferenceData!$AV$30),"")</f>
        <v/>
      </c>
      <c r="AW30" t="str">
        <f ca="1">IFERROR(IF(0=LEN(ReferenceData!$AW$30),"",ReferenceData!$AW$30),"")</f>
        <v/>
      </c>
      <c r="AX30" t="str">
        <f ca="1">IFERROR(IF(0=LEN(ReferenceData!$AX$30),"",ReferenceData!$AX$30),"")</f>
        <v/>
      </c>
      <c r="AY30" t="str">
        <f ca="1">IFERROR(IF(0=LEN(ReferenceData!$AY$30),"",ReferenceData!$AY$30),"")</f>
        <v/>
      </c>
      <c r="AZ30" t="str">
        <f ca="1">IFERROR(IF(0=LEN(ReferenceData!$AZ$30),"",ReferenceData!$AZ$30),"")</f>
        <v/>
      </c>
      <c r="BA30" t="str">
        <f ca="1">IFERROR(IF(0=LEN(ReferenceData!$BA$30),"",ReferenceData!$BA$30),"")</f>
        <v/>
      </c>
      <c r="BB30" t="str">
        <f ca="1">IFERROR(IF(0=LEN(ReferenceData!$BB$30),"",ReferenceData!$BB$30),"")</f>
        <v/>
      </c>
      <c r="BC30" t="str">
        <f ca="1">IFERROR(IF(0=LEN(ReferenceData!$BC$30),"",ReferenceData!$BC$30),"")</f>
        <v/>
      </c>
      <c r="BD30" t="str">
        <f ca="1">IFERROR(IF(0=LEN(ReferenceData!$BD$30),"",ReferenceData!$BD$30),"")</f>
        <v/>
      </c>
      <c r="BE30" t="str">
        <f ca="1">IFERROR(IF(0=LEN(ReferenceData!$BE$30),"",ReferenceData!$BE$30),"")</f>
        <v/>
      </c>
      <c r="BF30" t="str">
        <f ca="1">IFERROR(IF(0=LEN(ReferenceData!$BF$30),"",ReferenceData!$BF$30),"")</f>
        <v/>
      </c>
      <c r="BG30" t="str">
        <f ca="1">IFERROR(IF(0=LEN(ReferenceData!$BG$30),"",ReferenceData!$BG$30),"")</f>
        <v/>
      </c>
      <c r="BH30" t="str">
        <f ca="1">IFERROR(IF(0=LEN(ReferenceData!$BH$30),"",ReferenceData!$BH$30),"")</f>
        <v/>
      </c>
      <c r="BI30" t="str">
        <f ca="1">IFERROR(IF(0=LEN(ReferenceData!$BI$30),"",ReferenceData!$BI$30),"")</f>
        <v/>
      </c>
      <c r="BJ30" t="str">
        <f ca="1">IFERROR(IF(0=LEN(ReferenceData!$BJ$30),"",ReferenceData!$BJ$30),"")</f>
        <v/>
      </c>
      <c r="BK30" t="str">
        <f ca="1">IFERROR(IF(0=LEN(ReferenceData!$BK$30),"",ReferenceData!$BK$30),"")</f>
        <v/>
      </c>
      <c r="BL30" t="str">
        <f ca="1">IFERROR(IF(0=LEN(ReferenceData!$BL$30),"",ReferenceData!$BL$30),"")</f>
        <v/>
      </c>
      <c r="BM30" t="str">
        <f ca="1">IFERROR(IF(0=LEN(ReferenceData!$BM$30),"",ReferenceData!$BM$30),"")</f>
        <v/>
      </c>
    </row>
    <row r="31" spans="1:65">
      <c r="A31" t="str">
        <f>IFERROR(IF(0=LEN(ReferenceData!$A$31),"",ReferenceData!$A$31),"")</f>
        <v xml:space="preserve">    Simon Property Group Inc</v>
      </c>
      <c r="B31" t="str">
        <f>IFERROR(IF(0=LEN(ReferenceData!$B$31),"",ReferenceData!$B$31),"")</f>
        <v>SPG US Equity</v>
      </c>
      <c r="C31" t="str">
        <f>IFERROR(IF(0=LEN(ReferenceData!$C$31),"",ReferenceData!$C$31),"")</f>
        <v>IM275</v>
      </c>
      <c r="D31" t="str">
        <f>IFERROR(IF(0=LEN(ReferenceData!$D$31),"",ReferenceData!$D$31),"")</f>
        <v>IS_OTHER_RENTAL_INCOME</v>
      </c>
      <c r="E31" t="str">
        <f>IFERROR(IF(0=LEN(ReferenceData!$E$31),"",ReferenceData!$E$31),"")</f>
        <v>动态</v>
      </c>
      <c r="F31" t="str">
        <f ca="1">IFERROR(IF(0=LEN(ReferenceData!$F$31),"",ReferenceData!$F$31),"")</f>
        <v/>
      </c>
      <c r="G31">
        <f ca="1">IFERROR(IF(0=LEN(ReferenceData!$G$31),"",ReferenceData!$G$31),"")</f>
        <v>52.87</v>
      </c>
      <c r="H31">
        <f ca="1">IFERROR(IF(0=LEN(ReferenceData!$H$31),"",ReferenceData!$H$31),"")</f>
        <v>36.634</v>
      </c>
      <c r="I31">
        <f ca="1">IFERROR(IF(0=LEN(ReferenceData!$I$31),"",ReferenceData!$I$31),"")</f>
        <v>29.763999999999999</v>
      </c>
      <c r="J31">
        <f ca="1">IFERROR(IF(0=LEN(ReferenceData!$J$31),"",ReferenceData!$J$31),"")</f>
        <v>28.204000000000001</v>
      </c>
      <c r="K31">
        <f ca="1">IFERROR(IF(0=LEN(ReferenceData!$K$31),"",ReferenceData!$K$31),"")</f>
        <v>61.253</v>
      </c>
      <c r="L31">
        <f ca="1">IFERROR(IF(0=LEN(ReferenceData!$L$31),"",ReferenceData!$L$31),"")</f>
        <v>40.088999999999999</v>
      </c>
      <c r="M31">
        <f ca="1">IFERROR(IF(0=LEN(ReferenceData!$M$31),"",ReferenceData!$M$31),"")</f>
        <v>31.25</v>
      </c>
      <c r="N31">
        <f ca="1">IFERROR(IF(0=LEN(ReferenceData!$N$31),"",ReferenceData!$N$31),"")</f>
        <v>28.916</v>
      </c>
      <c r="O31">
        <f ca="1">IFERROR(IF(0=LEN(ReferenceData!$O$31),"",ReferenceData!$O$31),"")</f>
        <v>70.650999999999996</v>
      </c>
      <c r="P31">
        <f ca="1">IFERROR(IF(0=LEN(ReferenceData!$P$31),"",ReferenceData!$P$31),"")</f>
        <v>47.433</v>
      </c>
      <c r="Q31">
        <f ca="1">IFERROR(IF(0=LEN(ReferenceData!$Q$31),"",ReferenceData!$Q$31),"")</f>
        <v>37.029000000000003</v>
      </c>
      <c r="R31">
        <f ca="1">IFERROR(IF(0=LEN(ReferenceData!$R$31),"",ReferenceData!$R$31),"")</f>
        <v>38.957000000000001</v>
      </c>
      <c r="S31">
        <f ca="1">IFERROR(IF(0=LEN(ReferenceData!$S$31),"",ReferenceData!$S$31),"")</f>
        <v>83.769000000000005</v>
      </c>
      <c r="T31">
        <f ca="1">IFERROR(IF(0=LEN(ReferenceData!$T$31),"",ReferenceData!$T$31),"")</f>
        <v>52.502000000000002</v>
      </c>
      <c r="U31">
        <f ca="1">IFERROR(IF(0=LEN(ReferenceData!$U$31),"",ReferenceData!$U$31),"")</f>
        <v>39.159999999999997</v>
      </c>
      <c r="V31">
        <f ca="1">IFERROR(IF(0=LEN(ReferenceData!$V$31),"",ReferenceData!$V$31),"")</f>
        <v>31.673999999999999</v>
      </c>
      <c r="W31">
        <f ca="1">IFERROR(IF(0=LEN(ReferenceData!$W$31),"",ReferenceData!$W$31),"")</f>
        <v>85.3</v>
      </c>
      <c r="X31">
        <f ca="1">IFERROR(IF(0=LEN(ReferenceData!$X$31),"",ReferenceData!$X$31),"")</f>
        <v>55.115000000000002</v>
      </c>
      <c r="Y31">
        <f ca="1">IFERROR(IF(0=LEN(ReferenceData!$Y$31),"",ReferenceData!$Y$31),"")</f>
        <v>39.076999999999998</v>
      </c>
      <c r="Z31">
        <f ca="1">IFERROR(IF(0=LEN(ReferenceData!$Z$31),"",ReferenceData!$Z$31),"")</f>
        <v>37.698999999999998</v>
      </c>
      <c r="AA31">
        <f ca="1">IFERROR(IF(0=LEN(ReferenceData!$AA$31),"",ReferenceData!$AA$31),"")</f>
        <v>85.448999999999998</v>
      </c>
      <c r="AB31">
        <f ca="1">IFERROR(IF(0=LEN(ReferenceData!$AB$31),"",ReferenceData!$AB$31),"")</f>
        <v>51.17</v>
      </c>
      <c r="AC31">
        <f ca="1">IFERROR(IF(0=LEN(ReferenceData!$AC$31),"",ReferenceData!$AC$31),"")</f>
        <v>31.427</v>
      </c>
      <c r="AD31">
        <f ca="1">IFERROR(IF(0=LEN(ReferenceData!$AD$31),"",ReferenceData!$AD$31),"")</f>
        <v>27.68</v>
      </c>
      <c r="AE31">
        <f ca="1">IFERROR(IF(0=LEN(ReferenceData!$AE$31),"",ReferenceData!$AE$31),"")</f>
        <v>65.067999999999998</v>
      </c>
      <c r="AF31">
        <f ca="1">IFERROR(IF(0=LEN(ReferenceData!$AF$31),"",ReferenceData!$AF$31),"")</f>
        <v>36.652999999999999</v>
      </c>
      <c r="AG31">
        <f ca="1">IFERROR(IF(0=LEN(ReferenceData!$AG$31),"",ReferenceData!$AG$31),"")</f>
        <v>21.98</v>
      </c>
      <c r="AH31">
        <f ca="1">IFERROR(IF(0=LEN(ReferenceData!$AH$31),"",ReferenceData!$AH$31),"")</f>
        <v>17.141999999999999</v>
      </c>
      <c r="AI31">
        <f ca="1">IFERROR(IF(0=LEN(ReferenceData!$AI$31),"",ReferenceData!$AI$31),"")</f>
        <v>56.667999999999999</v>
      </c>
      <c r="AJ31">
        <f ca="1">IFERROR(IF(0=LEN(ReferenceData!$AJ$31),"",ReferenceData!$AJ$31),"")</f>
        <v>26.265000000000001</v>
      </c>
      <c r="AK31">
        <f ca="1">IFERROR(IF(0=LEN(ReferenceData!$AK$31),"",ReferenceData!$AK$31),"")</f>
        <v>14.477</v>
      </c>
      <c r="AL31">
        <f ca="1">IFERROR(IF(0=LEN(ReferenceData!$AL$31),"",ReferenceData!$AL$31),"")</f>
        <v>13.211</v>
      </c>
      <c r="AM31">
        <f ca="1">IFERROR(IF(0=LEN(ReferenceData!$AM$31),"",ReferenceData!$AM$31),"")</f>
        <v>39.122999999999998</v>
      </c>
      <c r="AN31">
        <f ca="1">IFERROR(IF(0=LEN(ReferenceData!$AN$31),"",ReferenceData!$AN$31),"")</f>
        <v>19.806000000000001</v>
      </c>
      <c r="AO31">
        <f ca="1">IFERROR(IF(0=LEN(ReferenceData!$AO$31),"",ReferenceData!$AO$31),"")</f>
        <v>13.493</v>
      </c>
      <c r="AP31">
        <f ca="1">IFERROR(IF(0=LEN(ReferenceData!$AP$31),"",ReferenceData!$AP$31),"")</f>
        <v>12.5</v>
      </c>
      <c r="AQ31" t="str">
        <f ca="1">IFERROR(IF(0=LEN(ReferenceData!$AQ$31),"",ReferenceData!$AQ$31),"")</f>
        <v/>
      </c>
      <c r="AR31" t="str">
        <f ca="1">IFERROR(IF(0=LEN(ReferenceData!$AR$31),"",ReferenceData!$AR$31),"")</f>
        <v/>
      </c>
      <c r="AS31" t="str">
        <f ca="1">IFERROR(IF(0=LEN(ReferenceData!$AS$31),"",ReferenceData!$AS$31),"")</f>
        <v/>
      </c>
      <c r="AT31" t="str">
        <f ca="1">IFERROR(IF(0=LEN(ReferenceData!$AT$31),"",ReferenceData!$AT$31),"")</f>
        <v/>
      </c>
      <c r="AU31" t="str">
        <f ca="1">IFERROR(IF(0=LEN(ReferenceData!$AU$31),"",ReferenceData!$AU$31),"")</f>
        <v/>
      </c>
      <c r="AV31" t="str">
        <f ca="1">IFERROR(IF(0=LEN(ReferenceData!$AV$31),"",ReferenceData!$AV$31),"")</f>
        <v/>
      </c>
      <c r="AW31" t="str">
        <f ca="1">IFERROR(IF(0=LEN(ReferenceData!$AW$31),"",ReferenceData!$AW$31),"")</f>
        <v/>
      </c>
      <c r="AX31" t="str">
        <f ca="1">IFERROR(IF(0=LEN(ReferenceData!$AX$31),"",ReferenceData!$AX$31),"")</f>
        <v/>
      </c>
      <c r="AY31" t="str">
        <f ca="1">IFERROR(IF(0=LEN(ReferenceData!$AY$31),"",ReferenceData!$AY$31),"")</f>
        <v/>
      </c>
      <c r="AZ31" t="str">
        <f ca="1">IFERROR(IF(0=LEN(ReferenceData!$AZ$31),"",ReferenceData!$AZ$31),"")</f>
        <v/>
      </c>
      <c r="BA31" t="str">
        <f ca="1">IFERROR(IF(0=LEN(ReferenceData!$BA$31),"",ReferenceData!$BA$31),"")</f>
        <v/>
      </c>
      <c r="BB31" t="str">
        <f ca="1">IFERROR(IF(0=LEN(ReferenceData!$BB$31),"",ReferenceData!$BB$31),"")</f>
        <v/>
      </c>
      <c r="BC31" t="str">
        <f ca="1">IFERROR(IF(0=LEN(ReferenceData!$BC$31),"",ReferenceData!$BC$31),"")</f>
        <v/>
      </c>
      <c r="BD31" t="str">
        <f ca="1">IFERROR(IF(0=LEN(ReferenceData!$BD$31),"",ReferenceData!$BD$31),"")</f>
        <v/>
      </c>
      <c r="BE31" t="str">
        <f ca="1">IFERROR(IF(0=LEN(ReferenceData!$BE$31),"",ReferenceData!$BE$31),"")</f>
        <v/>
      </c>
      <c r="BF31" t="str">
        <f ca="1">IFERROR(IF(0=LEN(ReferenceData!$BF$31),"",ReferenceData!$BF$31),"")</f>
        <v/>
      </c>
      <c r="BG31" t="str">
        <f ca="1">IFERROR(IF(0=LEN(ReferenceData!$BG$31),"",ReferenceData!$BG$31),"")</f>
        <v/>
      </c>
      <c r="BH31" t="str">
        <f ca="1">IFERROR(IF(0=LEN(ReferenceData!$BH$31),"",ReferenceData!$BH$31),"")</f>
        <v/>
      </c>
      <c r="BI31" t="str">
        <f ca="1">IFERROR(IF(0=LEN(ReferenceData!$BI$31),"",ReferenceData!$BI$31),"")</f>
        <v/>
      </c>
      <c r="BJ31" t="str">
        <f ca="1">IFERROR(IF(0=LEN(ReferenceData!$BJ$31),"",ReferenceData!$BJ$31),"")</f>
        <v/>
      </c>
      <c r="BK31" t="str">
        <f ca="1">IFERROR(IF(0=LEN(ReferenceData!$BK$31),"",ReferenceData!$BK$31),"")</f>
        <v/>
      </c>
      <c r="BL31" t="str">
        <f ca="1">IFERROR(IF(0=LEN(ReferenceData!$BL$31),"",ReferenceData!$BL$31),"")</f>
        <v/>
      </c>
      <c r="BM31" t="str">
        <f ca="1">IFERROR(IF(0=LEN(ReferenceData!$BM$31),"",ReferenceData!$BM$31),"")</f>
        <v/>
      </c>
    </row>
    <row r="32" spans="1:65">
      <c r="A32" t="str">
        <f>IFERROR(IF(0=LEN(ReferenceData!$A$32),"",ReferenceData!$A$32),"")</f>
        <v xml:space="preserve">    Tanger Factory Outlet Centers</v>
      </c>
      <c r="B32" t="str">
        <f>IFERROR(IF(0=LEN(ReferenceData!$B$32),"",ReferenceData!$B$32),"")</f>
        <v>SKT US Equity</v>
      </c>
      <c r="C32" t="str">
        <f>IFERROR(IF(0=LEN(ReferenceData!$C$32),"",ReferenceData!$C$32),"")</f>
        <v>IM275</v>
      </c>
      <c r="D32" t="str">
        <f>IFERROR(IF(0=LEN(ReferenceData!$D$32),"",ReferenceData!$D$32),"")</f>
        <v>IS_OTHER_RENTAL_INCOME</v>
      </c>
      <c r="E32" t="str">
        <f>IFERROR(IF(0=LEN(ReferenceData!$E$32),"",ReferenceData!$E$32),"")</f>
        <v>动态</v>
      </c>
      <c r="F32" t="str">
        <f ca="1">IFERROR(IF(0=LEN(ReferenceData!$F$32),"",ReferenceData!$F$32),"")</f>
        <v/>
      </c>
      <c r="G32">
        <f ca="1">IFERROR(IF(0=LEN(ReferenceData!$G$32),"",ReferenceData!$G$32),"")</f>
        <v>0</v>
      </c>
      <c r="H32">
        <f ca="1">IFERROR(IF(0=LEN(ReferenceData!$H$32),"",ReferenceData!$H$32),"")</f>
        <v>0</v>
      </c>
      <c r="I32">
        <f ca="1">IFERROR(IF(0=LEN(ReferenceData!$I$32),"",ReferenceData!$I$32),"")</f>
        <v>0</v>
      </c>
      <c r="J32">
        <f ca="1">IFERROR(IF(0=LEN(ReferenceData!$J$32),"",ReferenceData!$J$32),"")</f>
        <v>0</v>
      </c>
      <c r="K32">
        <f ca="1">IFERROR(IF(0=LEN(ReferenceData!$K$32),"",ReferenceData!$K$32),"")</f>
        <v>0</v>
      </c>
      <c r="L32">
        <f ca="1">IFERROR(IF(0=LEN(ReferenceData!$L$32),"",ReferenceData!$L$32),"")</f>
        <v>0</v>
      </c>
      <c r="M32">
        <f ca="1">IFERROR(IF(0=LEN(ReferenceData!$M$32),"",ReferenceData!$M$32),"")</f>
        <v>0</v>
      </c>
      <c r="N32">
        <f ca="1">IFERROR(IF(0=LEN(ReferenceData!$N$32),"",ReferenceData!$N$32),"")</f>
        <v>0</v>
      </c>
      <c r="O32">
        <f ca="1">IFERROR(IF(0=LEN(ReferenceData!$O$32),"",ReferenceData!$O$32),"")</f>
        <v>0</v>
      </c>
      <c r="P32">
        <f ca="1">IFERROR(IF(0=LEN(ReferenceData!$P$32),"",ReferenceData!$P$32),"")</f>
        <v>0</v>
      </c>
      <c r="Q32">
        <f ca="1">IFERROR(IF(0=LEN(ReferenceData!$Q$32),"",ReferenceData!$Q$32),"")</f>
        <v>0</v>
      </c>
      <c r="R32">
        <f ca="1">IFERROR(IF(0=LEN(ReferenceData!$R$32),"",ReferenceData!$R$32),"")</f>
        <v>0</v>
      </c>
      <c r="S32">
        <f ca="1">IFERROR(IF(0=LEN(ReferenceData!$S$32),"",ReferenceData!$S$32),"")</f>
        <v>0</v>
      </c>
      <c r="T32">
        <f ca="1">IFERROR(IF(0=LEN(ReferenceData!$T$32),"",ReferenceData!$T$32),"")</f>
        <v>0</v>
      </c>
      <c r="U32">
        <f ca="1">IFERROR(IF(0=LEN(ReferenceData!$U$32),"",ReferenceData!$U$32),"")</f>
        <v>0</v>
      </c>
      <c r="V32">
        <f ca="1">IFERROR(IF(0=LEN(ReferenceData!$V$32),"",ReferenceData!$V$32),"")</f>
        <v>0</v>
      </c>
      <c r="W32">
        <f ca="1">IFERROR(IF(0=LEN(ReferenceData!$W$32),"",ReferenceData!$W$32),"")</f>
        <v>0</v>
      </c>
      <c r="X32">
        <f ca="1">IFERROR(IF(0=LEN(ReferenceData!$X$32),"",ReferenceData!$X$32),"")</f>
        <v>0</v>
      </c>
      <c r="Y32">
        <f ca="1">IFERROR(IF(0=LEN(ReferenceData!$Y$32),"",ReferenceData!$Y$32),"")</f>
        <v>0</v>
      </c>
      <c r="Z32">
        <f ca="1">IFERROR(IF(0=LEN(ReferenceData!$Z$32),"",ReferenceData!$Z$32),"")</f>
        <v>0</v>
      </c>
      <c r="AA32">
        <f ca="1">IFERROR(IF(0=LEN(ReferenceData!$AA$32),"",ReferenceData!$AA$32),"")</f>
        <v>0</v>
      </c>
      <c r="AB32">
        <f ca="1">IFERROR(IF(0=LEN(ReferenceData!$AB$32),"",ReferenceData!$AB$32),"")</f>
        <v>0</v>
      </c>
      <c r="AC32">
        <f ca="1">IFERROR(IF(0=LEN(ReferenceData!$AC$32),"",ReferenceData!$AC$32),"")</f>
        <v>0</v>
      </c>
      <c r="AD32">
        <f ca="1">IFERROR(IF(0=LEN(ReferenceData!$AD$32),"",ReferenceData!$AD$32),"")</f>
        <v>0</v>
      </c>
      <c r="AE32">
        <f ca="1">IFERROR(IF(0=LEN(ReferenceData!$AE$32),"",ReferenceData!$AE$32),"")</f>
        <v>0</v>
      </c>
      <c r="AF32">
        <f ca="1">IFERROR(IF(0=LEN(ReferenceData!$AF$32),"",ReferenceData!$AF$32),"")</f>
        <v>0</v>
      </c>
      <c r="AG32">
        <f ca="1">IFERROR(IF(0=LEN(ReferenceData!$AG$32),"",ReferenceData!$AG$32),"")</f>
        <v>0</v>
      </c>
      <c r="AH32">
        <f ca="1">IFERROR(IF(0=LEN(ReferenceData!$AH$32),"",ReferenceData!$AH$32),"")</f>
        <v>0</v>
      </c>
      <c r="AI32">
        <f ca="1">IFERROR(IF(0=LEN(ReferenceData!$AI$32),"",ReferenceData!$AI$32),"")</f>
        <v>0</v>
      </c>
      <c r="AJ32">
        <f ca="1">IFERROR(IF(0=LEN(ReferenceData!$AJ$32),"",ReferenceData!$AJ$32),"")</f>
        <v>0</v>
      </c>
      <c r="AK32">
        <f ca="1">IFERROR(IF(0=LEN(ReferenceData!$AK$32),"",ReferenceData!$AK$32),"")</f>
        <v>0</v>
      </c>
      <c r="AL32">
        <f ca="1">IFERROR(IF(0=LEN(ReferenceData!$AL$32),"",ReferenceData!$AL$32),"")</f>
        <v>0</v>
      </c>
      <c r="AM32">
        <f ca="1">IFERROR(IF(0=LEN(ReferenceData!$AM$32),"",ReferenceData!$AM$32),"")</f>
        <v>0</v>
      </c>
      <c r="AN32">
        <f ca="1">IFERROR(IF(0=LEN(ReferenceData!$AN$32),"",ReferenceData!$AN$32),"")</f>
        <v>0</v>
      </c>
      <c r="AO32">
        <f ca="1">IFERROR(IF(0=LEN(ReferenceData!$AO$32),"",ReferenceData!$AO$32),"")</f>
        <v>0</v>
      </c>
      <c r="AP32">
        <f ca="1">IFERROR(IF(0=LEN(ReferenceData!$AP$32),"",ReferenceData!$AP$32),"")</f>
        <v>0</v>
      </c>
      <c r="AQ32" t="str">
        <f ca="1">IFERROR(IF(0=LEN(ReferenceData!$AQ$32),"",ReferenceData!$AQ$32),"")</f>
        <v/>
      </c>
      <c r="AR32" t="str">
        <f ca="1">IFERROR(IF(0=LEN(ReferenceData!$AR$32),"",ReferenceData!$AR$32),"")</f>
        <v/>
      </c>
      <c r="AS32" t="str">
        <f ca="1">IFERROR(IF(0=LEN(ReferenceData!$AS$32),"",ReferenceData!$AS$32),"")</f>
        <v/>
      </c>
      <c r="AT32" t="str">
        <f ca="1">IFERROR(IF(0=LEN(ReferenceData!$AT$32),"",ReferenceData!$AT$32),"")</f>
        <v/>
      </c>
      <c r="AU32" t="str">
        <f ca="1">IFERROR(IF(0=LEN(ReferenceData!$AU$32),"",ReferenceData!$AU$32),"")</f>
        <v/>
      </c>
      <c r="AV32" t="str">
        <f ca="1">IFERROR(IF(0=LEN(ReferenceData!$AV$32),"",ReferenceData!$AV$32),"")</f>
        <v/>
      </c>
      <c r="AW32" t="str">
        <f ca="1">IFERROR(IF(0=LEN(ReferenceData!$AW$32),"",ReferenceData!$AW$32),"")</f>
        <v/>
      </c>
      <c r="AX32" t="str">
        <f ca="1">IFERROR(IF(0=LEN(ReferenceData!$AX$32),"",ReferenceData!$AX$32),"")</f>
        <v/>
      </c>
      <c r="AY32" t="str">
        <f ca="1">IFERROR(IF(0=LEN(ReferenceData!$AY$32),"",ReferenceData!$AY$32),"")</f>
        <v/>
      </c>
      <c r="AZ32" t="str">
        <f ca="1">IFERROR(IF(0=LEN(ReferenceData!$AZ$32),"",ReferenceData!$AZ$32),"")</f>
        <v/>
      </c>
      <c r="BA32" t="str">
        <f ca="1">IFERROR(IF(0=LEN(ReferenceData!$BA$32),"",ReferenceData!$BA$32),"")</f>
        <v/>
      </c>
      <c r="BB32" t="str">
        <f ca="1">IFERROR(IF(0=LEN(ReferenceData!$BB$32),"",ReferenceData!$BB$32),"")</f>
        <v/>
      </c>
      <c r="BC32" t="str">
        <f ca="1">IFERROR(IF(0=LEN(ReferenceData!$BC$32),"",ReferenceData!$BC$32),"")</f>
        <v/>
      </c>
      <c r="BD32" t="str">
        <f ca="1">IFERROR(IF(0=LEN(ReferenceData!$BD$32),"",ReferenceData!$BD$32),"")</f>
        <v/>
      </c>
      <c r="BE32" t="str">
        <f ca="1">IFERROR(IF(0=LEN(ReferenceData!$BE$32),"",ReferenceData!$BE$32),"")</f>
        <v/>
      </c>
      <c r="BF32" t="str">
        <f ca="1">IFERROR(IF(0=LEN(ReferenceData!$BF$32),"",ReferenceData!$BF$32),"")</f>
        <v/>
      </c>
      <c r="BG32" t="str">
        <f ca="1">IFERROR(IF(0=LEN(ReferenceData!$BG$32),"",ReferenceData!$BG$32),"")</f>
        <v/>
      </c>
      <c r="BH32" t="str">
        <f ca="1">IFERROR(IF(0=LEN(ReferenceData!$BH$32),"",ReferenceData!$BH$32),"")</f>
        <v/>
      </c>
      <c r="BI32" t="str">
        <f ca="1">IFERROR(IF(0=LEN(ReferenceData!$BI$32),"",ReferenceData!$BI$32),"")</f>
        <v/>
      </c>
      <c r="BJ32" t="str">
        <f ca="1">IFERROR(IF(0=LEN(ReferenceData!$BJ$32),"",ReferenceData!$BJ$32),"")</f>
        <v/>
      </c>
      <c r="BK32" t="str">
        <f ca="1">IFERROR(IF(0=LEN(ReferenceData!$BK$32),"",ReferenceData!$BK$32),"")</f>
        <v/>
      </c>
      <c r="BL32" t="str">
        <f ca="1">IFERROR(IF(0=LEN(ReferenceData!$BL$32),"",ReferenceData!$BL$32),"")</f>
        <v/>
      </c>
      <c r="BM32" t="str">
        <f ca="1">IFERROR(IF(0=LEN(ReferenceData!$BM$32),"",ReferenceData!$BM$32),"")</f>
        <v/>
      </c>
    </row>
    <row r="33" spans="1:65">
      <c r="A33" t="str">
        <f>IFERROR(IF(0=LEN(ReferenceData!$A$33),"",ReferenceData!$A$33),"")</f>
        <v xml:space="preserve">    VEREIT Inc</v>
      </c>
      <c r="B33" t="str">
        <f>IFERROR(IF(0=LEN(ReferenceData!$B$33),"",ReferenceData!$B$33),"")</f>
        <v>VER US Equity</v>
      </c>
      <c r="C33" t="str">
        <f>IFERROR(IF(0=LEN(ReferenceData!$C$33),"",ReferenceData!$C$33),"")</f>
        <v>IM275</v>
      </c>
      <c r="D33" t="str">
        <f>IFERROR(IF(0=LEN(ReferenceData!$D$33),"",ReferenceData!$D$33),"")</f>
        <v>IS_OTHER_RENTAL_INCOME</v>
      </c>
      <c r="E33" t="str">
        <f>IFERROR(IF(0=LEN(ReferenceData!$E$33),"",ReferenceData!$E$33),"")</f>
        <v>动态</v>
      </c>
      <c r="F33" t="str">
        <f ca="1">IFERROR(IF(0=LEN(ReferenceData!$F$33),"",ReferenceData!$F$33),"")</f>
        <v/>
      </c>
      <c r="G33" t="str">
        <f ca="1">IFERROR(IF(0=LEN(ReferenceData!$G$33),"",ReferenceData!$G$33),"")</f>
        <v/>
      </c>
      <c r="H33" t="str">
        <f ca="1">IFERROR(IF(0=LEN(ReferenceData!$H$33),"",ReferenceData!$H$33),"")</f>
        <v/>
      </c>
      <c r="I33" t="str">
        <f ca="1">IFERROR(IF(0=LEN(ReferenceData!$I$33),"",ReferenceData!$I$33),"")</f>
        <v/>
      </c>
      <c r="J33" t="str">
        <f ca="1">IFERROR(IF(0=LEN(ReferenceData!$J$33),"",ReferenceData!$J$33),"")</f>
        <v/>
      </c>
      <c r="K33" t="str">
        <f ca="1">IFERROR(IF(0=LEN(ReferenceData!$K$33),"",ReferenceData!$K$33),"")</f>
        <v/>
      </c>
      <c r="L33" t="str">
        <f ca="1">IFERROR(IF(0=LEN(ReferenceData!$L$33),"",ReferenceData!$L$33),"")</f>
        <v/>
      </c>
      <c r="M33" t="str">
        <f ca="1">IFERROR(IF(0=LEN(ReferenceData!$M$33),"",ReferenceData!$M$33),"")</f>
        <v/>
      </c>
      <c r="N33" t="str">
        <f ca="1">IFERROR(IF(0=LEN(ReferenceData!$N$33),"",ReferenceData!$N$33),"")</f>
        <v/>
      </c>
      <c r="O33" t="str">
        <f ca="1">IFERROR(IF(0=LEN(ReferenceData!$O$33),"",ReferenceData!$O$33),"")</f>
        <v/>
      </c>
      <c r="P33" t="str">
        <f ca="1">IFERROR(IF(0=LEN(ReferenceData!$P$33),"",ReferenceData!$P$33),"")</f>
        <v/>
      </c>
      <c r="Q33" t="str">
        <f ca="1">IFERROR(IF(0=LEN(ReferenceData!$Q$33),"",ReferenceData!$Q$33),"")</f>
        <v/>
      </c>
      <c r="R33" t="str">
        <f ca="1">IFERROR(IF(0=LEN(ReferenceData!$R$33),"",ReferenceData!$R$33),"")</f>
        <v/>
      </c>
      <c r="S33" t="str">
        <f ca="1">IFERROR(IF(0=LEN(ReferenceData!$S$33),"",ReferenceData!$S$33),"")</f>
        <v/>
      </c>
      <c r="T33" t="str">
        <f ca="1">IFERROR(IF(0=LEN(ReferenceData!$T$33),"",ReferenceData!$T$33),"")</f>
        <v/>
      </c>
      <c r="U33" t="str">
        <f ca="1">IFERROR(IF(0=LEN(ReferenceData!$U$33),"",ReferenceData!$U$33),"")</f>
        <v/>
      </c>
      <c r="V33" t="str">
        <f ca="1">IFERROR(IF(0=LEN(ReferenceData!$V$33),"",ReferenceData!$V$33),"")</f>
        <v/>
      </c>
      <c r="W33" t="str">
        <f ca="1">IFERROR(IF(0=LEN(ReferenceData!$W$33),"",ReferenceData!$W$33),"")</f>
        <v/>
      </c>
      <c r="X33" t="str">
        <f ca="1">IFERROR(IF(0=LEN(ReferenceData!$X$33),"",ReferenceData!$X$33),"")</f>
        <v/>
      </c>
      <c r="Y33" t="str">
        <f ca="1">IFERROR(IF(0=LEN(ReferenceData!$Y$33),"",ReferenceData!$Y$33),"")</f>
        <v/>
      </c>
      <c r="Z33" t="str">
        <f ca="1">IFERROR(IF(0=LEN(ReferenceData!$Z$33),"",ReferenceData!$Z$33),"")</f>
        <v/>
      </c>
      <c r="AA33" t="str">
        <f ca="1">IFERROR(IF(0=LEN(ReferenceData!$AA$33),"",ReferenceData!$AA$33),"")</f>
        <v/>
      </c>
      <c r="AB33" t="str">
        <f ca="1">IFERROR(IF(0=LEN(ReferenceData!$AB$33),"",ReferenceData!$AB$33),"")</f>
        <v/>
      </c>
      <c r="AC33" t="str">
        <f ca="1">IFERROR(IF(0=LEN(ReferenceData!$AC$33),"",ReferenceData!$AC$33),"")</f>
        <v/>
      </c>
      <c r="AD33" t="str">
        <f ca="1">IFERROR(IF(0=LEN(ReferenceData!$AD$33),"",ReferenceData!$AD$33),"")</f>
        <v/>
      </c>
      <c r="AE33" t="str">
        <f ca="1">IFERROR(IF(0=LEN(ReferenceData!$AE$33),"",ReferenceData!$AE$33),"")</f>
        <v/>
      </c>
      <c r="AF33" t="str">
        <f ca="1">IFERROR(IF(0=LEN(ReferenceData!$AF$33),"",ReferenceData!$AF$33),"")</f>
        <v/>
      </c>
      <c r="AG33" t="str">
        <f ca="1">IFERROR(IF(0=LEN(ReferenceData!$AG$33),"",ReferenceData!$AG$33),"")</f>
        <v/>
      </c>
      <c r="AH33" t="str">
        <f ca="1">IFERROR(IF(0=LEN(ReferenceData!$AH$33),"",ReferenceData!$AH$33),"")</f>
        <v/>
      </c>
      <c r="AI33" t="str">
        <f ca="1">IFERROR(IF(0=LEN(ReferenceData!$AI$33),"",ReferenceData!$AI$33),"")</f>
        <v/>
      </c>
      <c r="AJ33" t="str">
        <f ca="1">IFERROR(IF(0=LEN(ReferenceData!$AJ$33),"",ReferenceData!$AJ$33),"")</f>
        <v/>
      </c>
      <c r="AK33" t="str">
        <f ca="1">IFERROR(IF(0=LEN(ReferenceData!$AK$33),"",ReferenceData!$AK$33),"")</f>
        <v/>
      </c>
      <c r="AL33" t="str">
        <f ca="1">IFERROR(IF(0=LEN(ReferenceData!$AL$33),"",ReferenceData!$AL$33),"")</f>
        <v/>
      </c>
      <c r="AM33" t="str">
        <f ca="1">IFERROR(IF(0=LEN(ReferenceData!$AM$33),"",ReferenceData!$AM$33),"")</f>
        <v/>
      </c>
      <c r="AN33" t="str">
        <f ca="1">IFERROR(IF(0=LEN(ReferenceData!$AN$33),"",ReferenceData!$AN$33),"")</f>
        <v/>
      </c>
      <c r="AO33" t="str">
        <f ca="1">IFERROR(IF(0=LEN(ReferenceData!$AO$33),"",ReferenceData!$AO$33),"")</f>
        <v/>
      </c>
      <c r="AP33" t="str">
        <f ca="1">IFERROR(IF(0=LEN(ReferenceData!$AP$33),"",ReferenceData!$AP$33),"")</f>
        <v/>
      </c>
      <c r="AQ33" t="str">
        <f ca="1">IFERROR(IF(0=LEN(ReferenceData!$AQ$33),"",ReferenceData!$AQ$33),"")</f>
        <v/>
      </c>
      <c r="AR33" t="str">
        <f ca="1">IFERROR(IF(0=LEN(ReferenceData!$AR$33),"",ReferenceData!$AR$33),"")</f>
        <v/>
      </c>
      <c r="AS33" t="str">
        <f ca="1">IFERROR(IF(0=LEN(ReferenceData!$AS$33),"",ReferenceData!$AS$33),"")</f>
        <v/>
      </c>
      <c r="AT33" t="str">
        <f ca="1">IFERROR(IF(0=LEN(ReferenceData!$AT$33),"",ReferenceData!$AT$33),"")</f>
        <v/>
      </c>
      <c r="AU33" t="str">
        <f ca="1">IFERROR(IF(0=LEN(ReferenceData!$AU$33),"",ReferenceData!$AU$33),"")</f>
        <v/>
      </c>
      <c r="AV33" t="str">
        <f ca="1">IFERROR(IF(0=LEN(ReferenceData!$AV$33),"",ReferenceData!$AV$33),"")</f>
        <v/>
      </c>
      <c r="AW33" t="str">
        <f ca="1">IFERROR(IF(0=LEN(ReferenceData!$AW$33),"",ReferenceData!$AW$33),"")</f>
        <v/>
      </c>
      <c r="AX33" t="str">
        <f ca="1">IFERROR(IF(0=LEN(ReferenceData!$AX$33),"",ReferenceData!$AX$33),"")</f>
        <v/>
      </c>
      <c r="AY33" t="str">
        <f ca="1">IFERROR(IF(0=LEN(ReferenceData!$AY$33),"",ReferenceData!$AY$33),"")</f>
        <v/>
      </c>
      <c r="AZ33" t="str">
        <f ca="1">IFERROR(IF(0=LEN(ReferenceData!$AZ$33),"",ReferenceData!$AZ$33),"")</f>
        <v/>
      </c>
      <c r="BA33" t="str">
        <f ca="1">IFERROR(IF(0=LEN(ReferenceData!$BA$33),"",ReferenceData!$BA$33),"")</f>
        <v/>
      </c>
      <c r="BB33" t="str">
        <f ca="1">IFERROR(IF(0=LEN(ReferenceData!$BB$33),"",ReferenceData!$BB$33),"")</f>
        <v/>
      </c>
      <c r="BC33" t="str">
        <f ca="1">IFERROR(IF(0=LEN(ReferenceData!$BC$33),"",ReferenceData!$BC$33),"")</f>
        <v/>
      </c>
      <c r="BD33" t="str">
        <f ca="1">IFERROR(IF(0=LEN(ReferenceData!$BD$33),"",ReferenceData!$BD$33),"")</f>
        <v/>
      </c>
      <c r="BE33" t="str">
        <f ca="1">IFERROR(IF(0=LEN(ReferenceData!$BE$33),"",ReferenceData!$BE$33),"")</f>
        <v/>
      </c>
      <c r="BF33" t="str">
        <f ca="1">IFERROR(IF(0=LEN(ReferenceData!$BF$33),"",ReferenceData!$BF$33),"")</f>
        <v/>
      </c>
      <c r="BG33" t="str">
        <f ca="1">IFERROR(IF(0=LEN(ReferenceData!$BG$33),"",ReferenceData!$BG$33),"")</f>
        <v/>
      </c>
      <c r="BH33" t="str">
        <f ca="1">IFERROR(IF(0=LEN(ReferenceData!$BH$33),"",ReferenceData!$BH$33),"")</f>
        <v/>
      </c>
      <c r="BI33" t="str">
        <f ca="1">IFERROR(IF(0=LEN(ReferenceData!$BI$33),"",ReferenceData!$BI$33),"")</f>
        <v/>
      </c>
      <c r="BJ33" t="str">
        <f ca="1">IFERROR(IF(0=LEN(ReferenceData!$BJ$33),"",ReferenceData!$BJ$33),"")</f>
        <v/>
      </c>
      <c r="BK33" t="str">
        <f ca="1">IFERROR(IF(0=LEN(ReferenceData!$BK$33),"",ReferenceData!$BK$33),"")</f>
        <v/>
      </c>
      <c r="BL33" t="str">
        <f ca="1">IFERROR(IF(0=LEN(ReferenceData!$BL$33),"",ReferenceData!$BL$33),"")</f>
        <v/>
      </c>
      <c r="BM33" t="str">
        <f ca="1">IFERROR(IF(0=LEN(ReferenceData!$BM$33),"",ReferenceData!$BM$33),"")</f>
        <v/>
      </c>
    </row>
    <row r="34" spans="1:65">
      <c r="A34" t="str">
        <f>IFERROR(IF(0=LEN(ReferenceData!$A$34),"",ReferenceData!$A$34),"")</f>
        <v xml:space="preserve">    Washington Prime Group Inc</v>
      </c>
      <c r="B34" t="str">
        <f>IFERROR(IF(0=LEN(ReferenceData!$B$34),"",ReferenceData!$B$34),"")</f>
        <v>WPG US Equity</v>
      </c>
      <c r="C34" t="str">
        <f>IFERROR(IF(0=LEN(ReferenceData!$C$34),"",ReferenceData!$C$34),"")</f>
        <v>IM275</v>
      </c>
      <c r="D34" t="str">
        <f>IFERROR(IF(0=LEN(ReferenceData!$D$34),"",ReferenceData!$D$34),"")</f>
        <v>IS_OTHER_RENTAL_INCOME</v>
      </c>
      <c r="E34" t="str">
        <f>IFERROR(IF(0=LEN(ReferenceData!$E$34),"",ReferenceData!$E$34),"")</f>
        <v>动态</v>
      </c>
      <c r="F34" t="str">
        <f ca="1">IFERROR(IF(0=LEN(ReferenceData!$F$34),"",ReferenceData!$F$34),"")</f>
        <v/>
      </c>
      <c r="G34">
        <f ca="1">IFERROR(IF(0=LEN(ReferenceData!$G$34),"",ReferenceData!$G$34),"")</f>
        <v>11.202</v>
      </c>
      <c r="H34">
        <f ca="1">IFERROR(IF(0=LEN(ReferenceData!$H$34),"",ReferenceData!$H$34),"")</f>
        <v>6.1390000000000002</v>
      </c>
      <c r="I34">
        <f ca="1">IFERROR(IF(0=LEN(ReferenceData!$I$34),"",ReferenceData!$I$34),"")</f>
        <v>7.617</v>
      </c>
      <c r="J34">
        <f ca="1">IFERROR(IF(0=LEN(ReferenceData!$J$34),"",ReferenceData!$J$34),"")</f>
        <v>8.4879999999999995</v>
      </c>
      <c r="K34">
        <f ca="1">IFERROR(IF(0=LEN(ReferenceData!$K$34),"",ReferenceData!$K$34),"")</f>
        <v>13.038</v>
      </c>
      <c r="L34">
        <f ca="1">IFERROR(IF(0=LEN(ReferenceData!$L$34),"",ReferenceData!$L$34),"")</f>
        <v>7.1050000000000004</v>
      </c>
      <c r="M34">
        <f ca="1">IFERROR(IF(0=LEN(ReferenceData!$M$34),"",ReferenceData!$M$34),"")</f>
        <v>5.0709999999999997</v>
      </c>
      <c r="N34">
        <f ca="1">IFERROR(IF(0=LEN(ReferenceData!$N$34),"",ReferenceData!$N$34),"")</f>
        <v>8.9700000000000006</v>
      </c>
      <c r="O34">
        <f ca="1">IFERROR(IF(0=LEN(ReferenceData!$O$34),"",ReferenceData!$O$34),"")</f>
        <v>12.432</v>
      </c>
      <c r="P34">
        <f ca="1">IFERROR(IF(0=LEN(ReferenceData!$P$34),"",ReferenceData!$P$34),"")</f>
        <v>10.231</v>
      </c>
      <c r="Q34">
        <f ca="1">IFERROR(IF(0=LEN(ReferenceData!$Q$34),"",ReferenceData!$Q$34),"")</f>
        <v>8.3960000000000008</v>
      </c>
      <c r="R34">
        <f ca="1">IFERROR(IF(0=LEN(ReferenceData!$R$34),"",ReferenceData!$R$34),"")</f>
        <v>7.5670000000000002</v>
      </c>
      <c r="S34">
        <f ca="1">IFERROR(IF(0=LEN(ReferenceData!$S$34),"",ReferenceData!$S$34),"")</f>
        <v>7.431</v>
      </c>
      <c r="T34">
        <f ca="1">IFERROR(IF(0=LEN(ReferenceData!$T$34),"",ReferenceData!$T$34),"")</f>
        <v>2.9830000000000001</v>
      </c>
      <c r="U34">
        <f ca="1">IFERROR(IF(0=LEN(ReferenceData!$U$34),"",ReferenceData!$U$34),"")</f>
        <v>2.6219999999999999</v>
      </c>
      <c r="V34">
        <f ca="1">IFERROR(IF(0=LEN(ReferenceData!$V$34),"",ReferenceData!$V$34),"")</f>
        <v>4.1639999999999997</v>
      </c>
      <c r="W34" t="str">
        <f ca="1">IFERROR(IF(0=LEN(ReferenceData!$W$34),"",ReferenceData!$W$34),"")</f>
        <v/>
      </c>
      <c r="X34" t="str">
        <f ca="1">IFERROR(IF(0=LEN(ReferenceData!$X$34),"",ReferenceData!$X$34),"")</f>
        <v/>
      </c>
      <c r="Y34" t="str">
        <f ca="1">IFERROR(IF(0=LEN(ReferenceData!$Y$34),"",ReferenceData!$Y$34),"")</f>
        <v/>
      </c>
      <c r="Z34" t="str">
        <f ca="1">IFERROR(IF(0=LEN(ReferenceData!$Z$34),"",ReferenceData!$Z$34),"")</f>
        <v/>
      </c>
      <c r="AA34" t="str">
        <f ca="1">IFERROR(IF(0=LEN(ReferenceData!$AA$34),"",ReferenceData!$AA$34),"")</f>
        <v/>
      </c>
      <c r="AB34" t="str">
        <f ca="1">IFERROR(IF(0=LEN(ReferenceData!$AB$34),"",ReferenceData!$AB$34),"")</f>
        <v/>
      </c>
      <c r="AC34" t="str">
        <f ca="1">IFERROR(IF(0=LEN(ReferenceData!$AC$34),"",ReferenceData!$AC$34),"")</f>
        <v/>
      </c>
      <c r="AD34" t="str">
        <f ca="1">IFERROR(IF(0=LEN(ReferenceData!$AD$34),"",ReferenceData!$AD$34),"")</f>
        <v/>
      </c>
      <c r="AE34" t="str">
        <f ca="1">IFERROR(IF(0=LEN(ReferenceData!$AE$34),"",ReferenceData!$AE$34),"")</f>
        <v/>
      </c>
      <c r="AF34" t="str">
        <f ca="1">IFERROR(IF(0=LEN(ReferenceData!$AF$34),"",ReferenceData!$AF$34),"")</f>
        <v/>
      </c>
      <c r="AG34" t="str">
        <f ca="1">IFERROR(IF(0=LEN(ReferenceData!$AG$34),"",ReferenceData!$AG$34),"")</f>
        <v/>
      </c>
      <c r="AH34" t="str">
        <f ca="1">IFERROR(IF(0=LEN(ReferenceData!$AH$34),"",ReferenceData!$AH$34),"")</f>
        <v/>
      </c>
      <c r="AI34" t="str">
        <f ca="1">IFERROR(IF(0=LEN(ReferenceData!$AI$34),"",ReferenceData!$AI$34),"")</f>
        <v/>
      </c>
      <c r="AJ34" t="str">
        <f ca="1">IFERROR(IF(0=LEN(ReferenceData!$AJ$34),"",ReferenceData!$AJ$34),"")</f>
        <v/>
      </c>
      <c r="AK34" t="str">
        <f ca="1">IFERROR(IF(0=LEN(ReferenceData!$AK$34),"",ReferenceData!$AK$34),"")</f>
        <v/>
      </c>
      <c r="AL34" t="str">
        <f ca="1">IFERROR(IF(0=LEN(ReferenceData!$AL$34),"",ReferenceData!$AL$34),"")</f>
        <v/>
      </c>
      <c r="AM34" t="str">
        <f ca="1">IFERROR(IF(0=LEN(ReferenceData!$AM$34),"",ReferenceData!$AM$34),"")</f>
        <v/>
      </c>
      <c r="AN34" t="str">
        <f ca="1">IFERROR(IF(0=LEN(ReferenceData!$AN$34),"",ReferenceData!$AN$34),"")</f>
        <v/>
      </c>
      <c r="AO34" t="str">
        <f ca="1">IFERROR(IF(0=LEN(ReferenceData!$AO$34),"",ReferenceData!$AO$34),"")</f>
        <v/>
      </c>
      <c r="AP34" t="str">
        <f ca="1">IFERROR(IF(0=LEN(ReferenceData!$AP$34),"",ReferenceData!$AP$34),"")</f>
        <v/>
      </c>
      <c r="AQ34" t="str">
        <f ca="1">IFERROR(IF(0=LEN(ReferenceData!$AQ$34),"",ReferenceData!$AQ$34),"")</f>
        <v/>
      </c>
      <c r="AR34" t="str">
        <f ca="1">IFERROR(IF(0=LEN(ReferenceData!$AR$34),"",ReferenceData!$AR$34),"")</f>
        <v/>
      </c>
      <c r="AS34" t="str">
        <f ca="1">IFERROR(IF(0=LEN(ReferenceData!$AS$34),"",ReferenceData!$AS$34),"")</f>
        <v/>
      </c>
      <c r="AT34" t="str">
        <f ca="1">IFERROR(IF(0=LEN(ReferenceData!$AT$34),"",ReferenceData!$AT$34),"")</f>
        <v/>
      </c>
      <c r="AU34" t="str">
        <f ca="1">IFERROR(IF(0=LEN(ReferenceData!$AU$34),"",ReferenceData!$AU$34),"")</f>
        <v/>
      </c>
      <c r="AV34" t="str">
        <f ca="1">IFERROR(IF(0=LEN(ReferenceData!$AV$34),"",ReferenceData!$AV$34),"")</f>
        <v/>
      </c>
      <c r="AW34" t="str">
        <f ca="1">IFERROR(IF(0=LEN(ReferenceData!$AW$34),"",ReferenceData!$AW$34),"")</f>
        <v/>
      </c>
      <c r="AX34" t="str">
        <f ca="1">IFERROR(IF(0=LEN(ReferenceData!$AX$34),"",ReferenceData!$AX$34),"")</f>
        <v/>
      </c>
      <c r="AY34" t="str">
        <f ca="1">IFERROR(IF(0=LEN(ReferenceData!$AY$34),"",ReferenceData!$AY$34),"")</f>
        <v/>
      </c>
      <c r="AZ34" t="str">
        <f ca="1">IFERROR(IF(0=LEN(ReferenceData!$AZ$34),"",ReferenceData!$AZ$34),"")</f>
        <v/>
      </c>
      <c r="BA34" t="str">
        <f ca="1">IFERROR(IF(0=LEN(ReferenceData!$BA$34),"",ReferenceData!$BA$34),"")</f>
        <v/>
      </c>
      <c r="BB34" t="str">
        <f ca="1">IFERROR(IF(0=LEN(ReferenceData!$BB$34),"",ReferenceData!$BB$34),"")</f>
        <v/>
      </c>
      <c r="BC34" t="str">
        <f ca="1">IFERROR(IF(0=LEN(ReferenceData!$BC$34),"",ReferenceData!$BC$34),"")</f>
        <v/>
      </c>
      <c r="BD34" t="str">
        <f ca="1">IFERROR(IF(0=LEN(ReferenceData!$BD$34),"",ReferenceData!$BD$34),"")</f>
        <v/>
      </c>
      <c r="BE34" t="str">
        <f ca="1">IFERROR(IF(0=LEN(ReferenceData!$BE$34),"",ReferenceData!$BE$34),"")</f>
        <v/>
      </c>
      <c r="BF34" t="str">
        <f ca="1">IFERROR(IF(0=LEN(ReferenceData!$BF$34),"",ReferenceData!$BF$34),"")</f>
        <v/>
      </c>
      <c r="BG34" t="str">
        <f ca="1">IFERROR(IF(0=LEN(ReferenceData!$BG$34),"",ReferenceData!$BG$34),"")</f>
        <v/>
      </c>
      <c r="BH34" t="str">
        <f ca="1">IFERROR(IF(0=LEN(ReferenceData!$BH$34),"",ReferenceData!$BH$34),"")</f>
        <v/>
      </c>
      <c r="BI34" t="str">
        <f ca="1">IFERROR(IF(0=LEN(ReferenceData!$BI$34),"",ReferenceData!$BI$34),"")</f>
        <v/>
      </c>
      <c r="BJ34" t="str">
        <f ca="1">IFERROR(IF(0=LEN(ReferenceData!$BJ$34),"",ReferenceData!$BJ$34),"")</f>
        <v/>
      </c>
      <c r="BK34" t="str">
        <f ca="1">IFERROR(IF(0=LEN(ReferenceData!$BK$34),"",ReferenceData!$BK$34),"")</f>
        <v/>
      </c>
      <c r="BL34" t="str">
        <f ca="1">IFERROR(IF(0=LEN(ReferenceData!$BL$34),"",ReferenceData!$BL$34),"")</f>
        <v/>
      </c>
      <c r="BM34" t="str">
        <f ca="1">IFERROR(IF(0=LEN(ReferenceData!$BM$34),"",ReferenceData!$BM$34),"")</f>
        <v/>
      </c>
    </row>
    <row r="35" spans="1:65">
      <c r="A35" t="str">
        <f>IFERROR(IF(0=LEN(ReferenceData!$A$35),"",ReferenceData!$A$35),"")</f>
        <v xml:space="preserve">    Weingarten Realty Investors</v>
      </c>
      <c r="B35" t="str">
        <f>IFERROR(IF(0=LEN(ReferenceData!$B$35),"",ReferenceData!$B$35),"")</f>
        <v>WRI US Equity</v>
      </c>
      <c r="C35" t="str">
        <f>IFERROR(IF(0=LEN(ReferenceData!$C$35),"",ReferenceData!$C$35),"")</f>
        <v>IM275</v>
      </c>
      <c r="D35" t="str">
        <f>IFERROR(IF(0=LEN(ReferenceData!$D$35),"",ReferenceData!$D$35),"")</f>
        <v>IS_OTHER_RENTAL_INCOME</v>
      </c>
      <c r="E35" t="str">
        <f>IFERROR(IF(0=LEN(ReferenceData!$E$35),"",ReferenceData!$E$35),"")</f>
        <v>动态</v>
      </c>
      <c r="F35" t="str">
        <f ca="1">IFERROR(IF(0=LEN(ReferenceData!$F$35),"",ReferenceData!$F$35),"")</f>
        <v/>
      </c>
      <c r="G35">
        <f ca="1">IFERROR(IF(0=LEN(ReferenceData!$G$35),"",ReferenceData!$G$35),"")</f>
        <v>2.3559999999999999</v>
      </c>
      <c r="H35">
        <f ca="1">IFERROR(IF(0=LEN(ReferenceData!$H$35),"",ReferenceData!$H$35),"")</f>
        <v>2.4990000000000001</v>
      </c>
      <c r="I35">
        <f ca="1">IFERROR(IF(0=LEN(ReferenceData!$I$35),"",ReferenceData!$I$35),"")</f>
        <v>2.0939999999999999</v>
      </c>
      <c r="J35">
        <f ca="1">IFERROR(IF(0=LEN(ReferenceData!$J$35),"",ReferenceData!$J$35),"")</f>
        <v>2.5059999999999998</v>
      </c>
      <c r="K35">
        <f ca="1">IFERROR(IF(0=LEN(ReferenceData!$K$35),"",ReferenceData!$K$35),"")</f>
        <v>2.863</v>
      </c>
      <c r="L35">
        <f ca="1">IFERROR(IF(0=LEN(ReferenceData!$L$35),"",ReferenceData!$L$35),"")</f>
        <v>2.6659999999999999</v>
      </c>
      <c r="M35">
        <f ca="1">IFERROR(IF(0=LEN(ReferenceData!$M$35),"",ReferenceData!$M$35),"")</f>
        <v>1.8260000000000001</v>
      </c>
      <c r="N35">
        <f ca="1">IFERROR(IF(0=LEN(ReferenceData!$N$35),"",ReferenceData!$N$35),"")</f>
        <v>1.325</v>
      </c>
      <c r="O35">
        <f ca="1">IFERROR(IF(0=LEN(ReferenceData!$O$35),"",ReferenceData!$O$35),"")</f>
        <v>1.34</v>
      </c>
      <c r="P35">
        <f ca="1">IFERROR(IF(0=LEN(ReferenceData!$P$35),"",ReferenceData!$P$35),"")</f>
        <v>1.2210000000000001</v>
      </c>
      <c r="Q35">
        <f ca="1">IFERROR(IF(0=LEN(ReferenceData!$Q$35),"",ReferenceData!$Q$35),"")</f>
        <v>1.482</v>
      </c>
      <c r="R35">
        <f ca="1">IFERROR(IF(0=LEN(ReferenceData!$R$35),"",ReferenceData!$R$35),"")</f>
        <v>1.577</v>
      </c>
      <c r="S35">
        <f ca="1">IFERROR(IF(0=LEN(ReferenceData!$S$35),"",ReferenceData!$S$35),"")</f>
        <v>0.95699999999999996</v>
      </c>
      <c r="T35">
        <f ca="1">IFERROR(IF(0=LEN(ReferenceData!$T$35),"",ReferenceData!$T$35),"")</f>
        <v>0.248</v>
      </c>
      <c r="U35">
        <f ca="1">IFERROR(IF(0=LEN(ReferenceData!$U$35),"",ReferenceData!$U$35),"")</f>
        <v>0.253</v>
      </c>
      <c r="V35">
        <f ca="1">IFERROR(IF(0=LEN(ReferenceData!$V$35),"",ReferenceData!$V$35),"")</f>
        <v>-3.1E-2</v>
      </c>
      <c r="W35">
        <f ca="1">IFERROR(IF(0=LEN(ReferenceData!$W$35),"",ReferenceData!$W$35),"")</f>
        <v>0.751</v>
      </c>
      <c r="X35">
        <f ca="1">IFERROR(IF(0=LEN(ReferenceData!$X$35),"",ReferenceData!$X$35),"")</f>
        <v>1.02</v>
      </c>
      <c r="Y35">
        <f ca="1">IFERROR(IF(0=LEN(ReferenceData!$Y$35),"",ReferenceData!$Y$35),"")</f>
        <v>0.61</v>
      </c>
      <c r="Z35">
        <f ca="1">IFERROR(IF(0=LEN(ReferenceData!$Z$35),"",ReferenceData!$Z$35),"")</f>
        <v>0.64300000000000002</v>
      </c>
      <c r="AA35">
        <f ca="1">IFERROR(IF(0=LEN(ReferenceData!$AA$35),"",ReferenceData!$AA$35),"")</f>
        <v>0.57599999999999996</v>
      </c>
      <c r="AB35">
        <f ca="1">IFERROR(IF(0=LEN(ReferenceData!$AB$35),"",ReferenceData!$AB$35),"")</f>
        <v>1.2270000000000001</v>
      </c>
      <c r="AC35">
        <f ca="1">IFERROR(IF(0=LEN(ReferenceData!$AC$35),"",ReferenceData!$AC$35),"")</f>
        <v>0.995</v>
      </c>
      <c r="AD35">
        <f ca="1">IFERROR(IF(0=LEN(ReferenceData!$AD$35),"",ReferenceData!$AD$35),"")</f>
        <v>0.81599999999999995</v>
      </c>
      <c r="AE35">
        <f ca="1">IFERROR(IF(0=LEN(ReferenceData!$AE$35),"",ReferenceData!$AE$35),"")</f>
        <v>1.0980000000000001</v>
      </c>
      <c r="AF35">
        <f ca="1">IFERROR(IF(0=LEN(ReferenceData!$AF$35),"",ReferenceData!$AF$35),"")</f>
        <v>0.96799999999999997</v>
      </c>
      <c r="AG35">
        <f ca="1">IFERROR(IF(0=LEN(ReferenceData!$AG$35),"",ReferenceData!$AG$35),"")</f>
        <v>0.91500000000000004</v>
      </c>
      <c r="AH35">
        <f ca="1">IFERROR(IF(0=LEN(ReferenceData!$AH$35),"",ReferenceData!$AH$35),"")</f>
        <v>2.234</v>
      </c>
      <c r="AI35">
        <f ca="1">IFERROR(IF(0=LEN(ReferenceData!$AI$35),"",ReferenceData!$AI$35),"")</f>
        <v>1.3260000000000001</v>
      </c>
      <c r="AJ35">
        <f ca="1">IFERROR(IF(0=LEN(ReferenceData!$AJ$35),"",ReferenceData!$AJ$35),"")</f>
        <v>1.847</v>
      </c>
      <c r="AK35">
        <f ca="1">IFERROR(IF(0=LEN(ReferenceData!$AK$35),"",ReferenceData!$AK$35),"")</f>
        <v>2.2349999999999999</v>
      </c>
      <c r="AL35">
        <f ca="1">IFERROR(IF(0=LEN(ReferenceData!$AL$35),"",ReferenceData!$AL$35),"")</f>
        <v>3.0459999999999998</v>
      </c>
      <c r="AM35" t="str">
        <f ca="1">IFERROR(IF(0=LEN(ReferenceData!$AM$35),"",ReferenceData!$AM$35),"")</f>
        <v/>
      </c>
      <c r="AN35" t="str">
        <f ca="1">IFERROR(IF(0=LEN(ReferenceData!$AN$35),"",ReferenceData!$AN$35),"")</f>
        <v/>
      </c>
      <c r="AO35" t="str">
        <f ca="1">IFERROR(IF(0=LEN(ReferenceData!$AO$35),"",ReferenceData!$AO$35),"")</f>
        <v/>
      </c>
      <c r="AP35" t="str">
        <f ca="1">IFERROR(IF(0=LEN(ReferenceData!$AP$35),"",ReferenceData!$AP$35),"")</f>
        <v/>
      </c>
      <c r="AQ35" t="str">
        <f ca="1">IFERROR(IF(0=LEN(ReferenceData!$AQ$35),"",ReferenceData!$AQ$35),"")</f>
        <v/>
      </c>
      <c r="AR35" t="str">
        <f ca="1">IFERROR(IF(0=LEN(ReferenceData!$AR$35),"",ReferenceData!$AR$35),"")</f>
        <v/>
      </c>
      <c r="AS35" t="str">
        <f ca="1">IFERROR(IF(0=LEN(ReferenceData!$AS$35),"",ReferenceData!$AS$35),"")</f>
        <v/>
      </c>
      <c r="AT35" t="str">
        <f ca="1">IFERROR(IF(0=LEN(ReferenceData!$AT$35),"",ReferenceData!$AT$35),"")</f>
        <v/>
      </c>
      <c r="AU35" t="str">
        <f ca="1">IFERROR(IF(0=LEN(ReferenceData!$AU$35),"",ReferenceData!$AU$35),"")</f>
        <v/>
      </c>
      <c r="AV35" t="str">
        <f ca="1">IFERROR(IF(0=LEN(ReferenceData!$AV$35),"",ReferenceData!$AV$35),"")</f>
        <v/>
      </c>
      <c r="AW35" t="str">
        <f ca="1">IFERROR(IF(0=LEN(ReferenceData!$AW$35),"",ReferenceData!$AW$35),"")</f>
        <v/>
      </c>
      <c r="AX35" t="str">
        <f ca="1">IFERROR(IF(0=LEN(ReferenceData!$AX$35),"",ReferenceData!$AX$35),"")</f>
        <v/>
      </c>
      <c r="AY35" t="str">
        <f ca="1">IFERROR(IF(0=LEN(ReferenceData!$AY$35),"",ReferenceData!$AY$35),"")</f>
        <v/>
      </c>
      <c r="AZ35" t="str">
        <f ca="1">IFERROR(IF(0=LEN(ReferenceData!$AZ$35),"",ReferenceData!$AZ$35),"")</f>
        <v/>
      </c>
      <c r="BA35" t="str">
        <f ca="1">IFERROR(IF(0=LEN(ReferenceData!$BA$35),"",ReferenceData!$BA$35),"")</f>
        <v/>
      </c>
      <c r="BB35" t="str">
        <f ca="1">IFERROR(IF(0=LEN(ReferenceData!$BB$35),"",ReferenceData!$BB$35),"")</f>
        <v/>
      </c>
      <c r="BC35" t="str">
        <f ca="1">IFERROR(IF(0=LEN(ReferenceData!$BC$35),"",ReferenceData!$BC$35),"")</f>
        <v/>
      </c>
      <c r="BD35" t="str">
        <f ca="1">IFERROR(IF(0=LEN(ReferenceData!$BD$35),"",ReferenceData!$BD$35),"")</f>
        <v/>
      </c>
      <c r="BE35" t="str">
        <f ca="1">IFERROR(IF(0=LEN(ReferenceData!$BE$35),"",ReferenceData!$BE$35),"")</f>
        <v/>
      </c>
      <c r="BF35" t="str">
        <f ca="1">IFERROR(IF(0=LEN(ReferenceData!$BF$35),"",ReferenceData!$BF$35),"")</f>
        <v/>
      </c>
      <c r="BG35" t="str">
        <f ca="1">IFERROR(IF(0=LEN(ReferenceData!$BG$35),"",ReferenceData!$BG$35),"")</f>
        <v/>
      </c>
      <c r="BH35" t="str">
        <f ca="1">IFERROR(IF(0=LEN(ReferenceData!$BH$35),"",ReferenceData!$BH$35),"")</f>
        <v/>
      </c>
      <c r="BI35" t="str">
        <f ca="1">IFERROR(IF(0=LEN(ReferenceData!$BI$35),"",ReferenceData!$BI$35),"")</f>
        <v/>
      </c>
      <c r="BJ35" t="str">
        <f ca="1">IFERROR(IF(0=LEN(ReferenceData!$BJ$35),"",ReferenceData!$BJ$35),"")</f>
        <v/>
      </c>
      <c r="BK35" t="str">
        <f ca="1">IFERROR(IF(0=LEN(ReferenceData!$BK$35),"",ReferenceData!$BK$35),"")</f>
        <v/>
      </c>
      <c r="BL35" t="str">
        <f ca="1">IFERROR(IF(0=LEN(ReferenceData!$BL$35),"",ReferenceData!$BL$35),"")</f>
        <v/>
      </c>
      <c r="BM35" t="str">
        <f ca="1">IFERROR(IF(0=LEN(ReferenceData!$BM$35),"",ReferenceData!$BM$35),"")</f>
        <v/>
      </c>
    </row>
    <row r="36" spans="1:65">
      <c r="A36" t="str">
        <f>IFERROR(IF(0=LEN(ReferenceData!$A$36),"",ReferenceData!$A$36),"")</f>
        <v>其他营业收入</v>
      </c>
      <c r="B36" t="str">
        <f>IFERROR(IF(0=LEN(ReferenceData!$B$36),"",ReferenceData!$B$36),"")</f>
        <v/>
      </c>
      <c r="C36" t="str">
        <f>IFERROR(IF(0=LEN(ReferenceData!$C$36),"",ReferenceData!$C$36),"")</f>
        <v/>
      </c>
      <c r="D36" t="str">
        <f>IFERROR(IF(0=LEN(ReferenceData!$D$36),"",ReferenceData!$D$36),"")</f>
        <v/>
      </c>
      <c r="E36" t="str">
        <f>IFERROR(IF(0=LEN(ReferenceData!$E$36),"",ReferenceData!$E$36),"")</f>
        <v>Median</v>
      </c>
      <c r="F36" t="str">
        <f ca="1">IFERROR(IF(0=LEN(ReferenceData!$F$36),"",ReferenceData!$F$36),"")</f>
        <v/>
      </c>
      <c r="G36">
        <f ca="1">IFERROR(IF(0=LEN(ReferenceData!$G$36),"",ReferenceData!$G$36),"")</f>
        <v>1.35</v>
      </c>
      <c r="H36">
        <f ca="1">IFERROR(IF(0=LEN(ReferenceData!$H$36),"",ReferenceData!$H$36),"")</f>
        <v>1.518</v>
      </c>
      <c r="I36">
        <f ca="1">IFERROR(IF(0=LEN(ReferenceData!$I$36),"",ReferenceData!$I$36),"")</f>
        <v>1.798</v>
      </c>
      <c r="J36">
        <f ca="1">IFERROR(IF(0=LEN(ReferenceData!$J$36),"",ReferenceData!$J$36),"")</f>
        <v>2.0059999999999998</v>
      </c>
      <c r="K36">
        <f ca="1">IFERROR(IF(0=LEN(ReferenceData!$K$36),"",ReferenceData!$K$36),"")</f>
        <v>1.746</v>
      </c>
      <c r="L36">
        <f ca="1">IFERROR(IF(0=LEN(ReferenceData!$L$36),"",ReferenceData!$L$36),"")</f>
        <v>1.7689999999999999</v>
      </c>
      <c r="M36">
        <f ca="1">IFERROR(IF(0=LEN(ReferenceData!$M$36),"",ReferenceData!$M$36),"")</f>
        <v>2.3780000000000001</v>
      </c>
      <c r="N36">
        <f ca="1">IFERROR(IF(0=LEN(ReferenceData!$N$36),"",ReferenceData!$N$36),"")</f>
        <v>2.246</v>
      </c>
      <c r="O36">
        <f ca="1">IFERROR(IF(0=LEN(ReferenceData!$O$36),"",ReferenceData!$O$36),"")</f>
        <v>1.835</v>
      </c>
      <c r="P36">
        <f ca="1">IFERROR(IF(0=LEN(ReferenceData!$P$36),"",ReferenceData!$P$36),"")</f>
        <v>2.4790000000000001</v>
      </c>
      <c r="Q36">
        <f ca="1">IFERROR(IF(0=LEN(ReferenceData!$Q$36),"",ReferenceData!$Q$36),"")</f>
        <v>2.0895000000000001</v>
      </c>
      <c r="R36">
        <f ca="1">IFERROR(IF(0=LEN(ReferenceData!$R$36),"",ReferenceData!$R$36),"")</f>
        <v>1.8755000000000002</v>
      </c>
      <c r="S36">
        <f ca="1">IFERROR(IF(0=LEN(ReferenceData!$S$36),"",ReferenceData!$S$36),"")</f>
        <v>1.849</v>
      </c>
      <c r="T36">
        <f ca="1">IFERROR(IF(0=LEN(ReferenceData!$T$36),"",ReferenceData!$T$36),"")</f>
        <v>2.17</v>
      </c>
      <c r="U36">
        <f ca="1">IFERROR(IF(0=LEN(ReferenceData!$U$36),"",ReferenceData!$U$36),"")</f>
        <v>1.927</v>
      </c>
      <c r="V36">
        <f ca="1">IFERROR(IF(0=LEN(ReferenceData!$V$36),"",ReferenceData!$V$36),"")</f>
        <v>1.8129999999999999</v>
      </c>
      <c r="W36">
        <f ca="1">IFERROR(IF(0=LEN(ReferenceData!$W$36),"",ReferenceData!$W$36),"")</f>
        <v>2.5594999999999999</v>
      </c>
      <c r="X36">
        <f ca="1">IFERROR(IF(0=LEN(ReferenceData!$X$36),"",ReferenceData!$X$36),"")</f>
        <v>2.5934999999999997</v>
      </c>
      <c r="Y36">
        <f ca="1">IFERROR(IF(0=LEN(ReferenceData!$Y$36),"",ReferenceData!$Y$36),"")</f>
        <v>2.3289999999999997</v>
      </c>
      <c r="Z36">
        <f ca="1">IFERROR(IF(0=LEN(ReferenceData!$Z$36),"",ReferenceData!$Z$36),"")</f>
        <v>2.2829999999999999</v>
      </c>
      <c r="AA36">
        <f ca="1">IFERROR(IF(0=LEN(ReferenceData!$AA$36),"",ReferenceData!$AA$36),"")</f>
        <v>2.2275</v>
      </c>
      <c r="AB36">
        <f ca="1">IFERROR(IF(0=LEN(ReferenceData!$AB$36),"",ReferenceData!$AB$36),"")</f>
        <v>2.2270000000000003</v>
      </c>
      <c r="AC36">
        <f ca="1">IFERROR(IF(0=LEN(ReferenceData!$AC$36),"",ReferenceData!$AC$36),"")</f>
        <v>2.5925000000000002</v>
      </c>
      <c r="AD36">
        <f ca="1">IFERROR(IF(0=LEN(ReferenceData!$AD$36),"",ReferenceData!$AD$36),"")</f>
        <v>2.7184999999999997</v>
      </c>
      <c r="AE36">
        <f ca="1">IFERROR(IF(0=LEN(ReferenceData!$AE$36),"",ReferenceData!$AE$36),"")</f>
        <v>2.4350000000000001</v>
      </c>
      <c r="AF36">
        <f ca="1">IFERROR(IF(0=LEN(ReferenceData!$AF$36),"",ReferenceData!$AF$36),"")</f>
        <v>2.3410000000000002</v>
      </c>
      <c r="AG36">
        <f ca="1">IFERROR(IF(0=LEN(ReferenceData!$AG$36),"",ReferenceData!$AG$36),"")</f>
        <v>2.1459999999999999</v>
      </c>
      <c r="AH36">
        <f ca="1">IFERROR(IF(0=LEN(ReferenceData!$AH$36),"",ReferenceData!$AH$36),"")</f>
        <v>2.09</v>
      </c>
      <c r="AI36">
        <f ca="1">IFERROR(IF(0=LEN(ReferenceData!$AI$36),"",ReferenceData!$AI$36),"")</f>
        <v>3.1420000000000003</v>
      </c>
      <c r="AJ36">
        <f ca="1">IFERROR(IF(0=LEN(ReferenceData!$AJ$36),"",ReferenceData!$AJ$36),"")</f>
        <v>3.5709999999999997</v>
      </c>
      <c r="AK36">
        <f ca="1">IFERROR(IF(0=LEN(ReferenceData!$AK$36),"",ReferenceData!$AK$36),"")</f>
        <v>2.1795</v>
      </c>
      <c r="AL36">
        <f ca="1">IFERROR(IF(0=LEN(ReferenceData!$AL$36),"",ReferenceData!$AL$36),"")</f>
        <v>2.3689999999999998</v>
      </c>
      <c r="AM36">
        <f ca="1">IFERROR(IF(0=LEN(ReferenceData!$AM$36),"",ReferenceData!$AM$36),"")</f>
        <v>6.5415000000000001</v>
      </c>
      <c r="AN36">
        <f ca="1">IFERROR(IF(0=LEN(ReferenceData!$AN$36),"",ReferenceData!$AN$36),"")</f>
        <v>5.6379999999999999</v>
      </c>
      <c r="AO36">
        <f ca="1">IFERROR(IF(0=LEN(ReferenceData!$AO$36),"",ReferenceData!$AO$36),"")</f>
        <v>3.145</v>
      </c>
      <c r="AP36">
        <f ca="1">IFERROR(IF(0=LEN(ReferenceData!$AP$36),"",ReferenceData!$AP$36),"")</f>
        <v>3.3224999999999998</v>
      </c>
      <c r="AQ36" t="str">
        <f ca="1">IFERROR(IF(0=LEN(ReferenceData!$AQ$36),"",ReferenceData!$AQ$36),"")</f>
        <v/>
      </c>
      <c r="AR36" t="str">
        <f ca="1">IFERROR(IF(0=LEN(ReferenceData!$AR$36),"",ReferenceData!$AR$36),"")</f>
        <v/>
      </c>
      <c r="AS36" t="str">
        <f ca="1">IFERROR(IF(0=LEN(ReferenceData!$AS$36),"",ReferenceData!$AS$36),"")</f>
        <v/>
      </c>
      <c r="AT36" t="str">
        <f ca="1">IFERROR(IF(0=LEN(ReferenceData!$AT$36),"",ReferenceData!$AT$36),"")</f>
        <v/>
      </c>
      <c r="AU36" t="str">
        <f ca="1">IFERROR(IF(0=LEN(ReferenceData!$AU$36),"",ReferenceData!$AU$36),"")</f>
        <v/>
      </c>
      <c r="AV36" t="str">
        <f ca="1">IFERROR(IF(0=LEN(ReferenceData!$AV$36),"",ReferenceData!$AV$36),"")</f>
        <v/>
      </c>
      <c r="AW36" t="str">
        <f ca="1">IFERROR(IF(0=LEN(ReferenceData!$AW$36),"",ReferenceData!$AW$36),"")</f>
        <v/>
      </c>
      <c r="AX36" t="str">
        <f ca="1">IFERROR(IF(0=LEN(ReferenceData!$AX$36),"",ReferenceData!$AX$36),"")</f>
        <v/>
      </c>
      <c r="AY36" t="str">
        <f ca="1">IFERROR(IF(0=LEN(ReferenceData!$AY$36),"",ReferenceData!$AY$36),"")</f>
        <v/>
      </c>
      <c r="AZ36" t="str">
        <f ca="1">IFERROR(IF(0=LEN(ReferenceData!$AZ$36),"",ReferenceData!$AZ$36),"")</f>
        <v/>
      </c>
      <c r="BA36" t="str">
        <f ca="1">IFERROR(IF(0=LEN(ReferenceData!$BA$36),"",ReferenceData!$BA$36),"")</f>
        <v/>
      </c>
      <c r="BB36" t="str">
        <f ca="1">IFERROR(IF(0=LEN(ReferenceData!$BB$36),"",ReferenceData!$BB$36),"")</f>
        <v/>
      </c>
      <c r="BC36" t="str">
        <f ca="1">IFERROR(IF(0=LEN(ReferenceData!$BC$36),"",ReferenceData!$BC$36),"")</f>
        <v/>
      </c>
      <c r="BD36" t="str">
        <f ca="1">IFERROR(IF(0=LEN(ReferenceData!$BD$36),"",ReferenceData!$BD$36),"")</f>
        <v/>
      </c>
      <c r="BE36" t="str">
        <f ca="1">IFERROR(IF(0=LEN(ReferenceData!$BE$36),"",ReferenceData!$BE$36),"")</f>
        <v/>
      </c>
      <c r="BF36" t="str">
        <f ca="1">IFERROR(IF(0=LEN(ReferenceData!$BF$36),"",ReferenceData!$BF$36),"")</f>
        <v/>
      </c>
      <c r="BG36" t="str">
        <f ca="1">IFERROR(IF(0=LEN(ReferenceData!$BG$36),"",ReferenceData!$BG$36),"")</f>
        <v/>
      </c>
      <c r="BH36" t="str">
        <f ca="1">IFERROR(IF(0=LEN(ReferenceData!$BH$36),"",ReferenceData!$BH$36),"")</f>
        <v/>
      </c>
      <c r="BI36" t="str">
        <f ca="1">IFERROR(IF(0=LEN(ReferenceData!$BI$36),"",ReferenceData!$BI$36),"")</f>
        <v/>
      </c>
      <c r="BJ36" t="str">
        <f ca="1">IFERROR(IF(0=LEN(ReferenceData!$BJ$36),"",ReferenceData!$BJ$36),"")</f>
        <v/>
      </c>
      <c r="BK36" t="str">
        <f ca="1">IFERROR(IF(0=LEN(ReferenceData!$BK$36),"",ReferenceData!$BK$36),"")</f>
        <v/>
      </c>
      <c r="BL36" t="str">
        <f ca="1">IFERROR(IF(0=LEN(ReferenceData!$BL$36),"",ReferenceData!$BL$36),"")</f>
        <v/>
      </c>
      <c r="BM36" t="str">
        <f ca="1">IFERROR(IF(0=LEN(ReferenceData!$BM$36),"",ReferenceData!$BM$36),"")</f>
        <v/>
      </c>
    </row>
    <row r="37" spans="1:65">
      <c r="A37" t="str">
        <f>IFERROR(IF(0=LEN(ReferenceData!$A$37),"",ReferenceData!$A$37),"")</f>
        <v xml:space="preserve">    Brixmor Property Group Inc</v>
      </c>
      <c r="B37" t="str">
        <f>IFERROR(IF(0=LEN(ReferenceData!$B$37),"",ReferenceData!$B$37),"")</f>
        <v>BRX US Equity</v>
      </c>
      <c r="C37" t="str">
        <f>IFERROR(IF(0=LEN(ReferenceData!$C$37),"",ReferenceData!$C$37),"")</f>
        <v>IM281</v>
      </c>
      <c r="D37" t="str">
        <f>IFERROR(IF(0=LEN(ReferenceData!$D$37),"",ReferenceData!$D$37),"")</f>
        <v>IS_NON_REAL_ESTATE_INCOME</v>
      </c>
      <c r="E37" t="str">
        <f>IFERROR(IF(0=LEN(ReferenceData!$E$37),"",ReferenceData!$E$37),"")</f>
        <v>动态</v>
      </c>
      <c r="F37" t="str">
        <f ca="1">IFERROR(IF(0=LEN(ReferenceData!$F$37),"",ReferenceData!$F$37),"")</f>
        <v/>
      </c>
      <c r="G37">
        <f ca="1">IFERROR(IF(0=LEN(ReferenceData!$G$37),"",ReferenceData!$G$37),"")</f>
        <v>1.0289999999999999</v>
      </c>
      <c r="H37">
        <f ca="1">IFERROR(IF(0=LEN(ReferenceData!$H$37),"",ReferenceData!$H$37),"")</f>
        <v>1.429</v>
      </c>
      <c r="I37">
        <f ca="1">IFERROR(IF(0=LEN(ReferenceData!$I$37),"",ReferenceData!$I$37),"")</f>
        <v>2.0019999999999998</v>
      </c>
      <c r="J37">
        <f ca="1">IFERROR(IF(0=LEN(ReferenceData!$J$37),"",ReferenceData!$J$37),"")</f>
        <v>2.9950000000000001</v>
      </c>
      <c r="K37">
        <f ca="1">IFERROR(IF(0=LEN(ReferenceData!$K$37),"",ReferenceData!$K$37),"")</f>
        <v>0.89200000000000002</v>
      </c>
      <c r="L37">
        <f ca="1">IFERROR(IF(0=LEN(ReferenceData!$L$37),"",ReferenceData!$L$37),"")</f>
        <v>1.2490000000000001</v>
      </c>
      <c r="M37">
        <f ca="1">IFERROR(IF(0=LEN(ReferenceData!$M$37),"",ReferenceData!$M$37),"")</f>
        <v>2.7189999999999999</v>
      </c>
      <c r="N37">
        <f ca="1">IFERROR(IF(0=LEN(ReferenceData!$N$37),"",ReferenceData!$N$37),"")</f>
        <v>2.246</v>
      </c>
      <c r="O37">
        <f ca="1">IFERROR(IF(0=LEN(ReferenceData!$O$37),"",ReferenceData!$O$37),"")</f>
        <v>-1.03</v>
      </c>
      <c r="P37">
        <f ca="1">IFERROR(IF(0=LEN(ReferenceData!$P$37),"",ReferenceData!$P$37),"")</f>
        <v>1.8919999999999999</v>
      </c>
      <c r="Q37">
        <f ca="1">IFERROR(IF(0=LEN(ReferenceData!$Q$37),"",ReferenceData!$Q$37),"")</f>
        <v>2.569</v>
      </c>
      <c r="R37">
        <f ca="1">IFERROR(IF(0=LEN(ReferenceData!$R$37),"",ReferenceData!$R$37),"")</f>
        <v>1.9690000000000001</v>
      </c>
      <c r="S37">
        <f ca="1">IFERROR(IF(0=LEN(ReferenceData!$S$37),"",ReferenceData!$S$37),"")</f>
        <v>1.5589999999999999</v>
      </c>
      <c r="T37">
        <f ca="1">IFERROR(IF(0=LEN(ReferenceData!$T$37),"",ReferenceData!$T$37),"")</f>
        <v>2.17</v>
      </c>
      <c r="U37">
        <f ca="1">IFERROR(IF(0=LEN(ReferenceData!$U$37),"",ReferenceData!$U$37),"")</f>
        <v>2.3069999999999999</v>
      </c>
      <c r="V37">
        <f ca="1">IFERROR(IF(0=LEN(ReferenceData!$V$37),"",ReferenceData!$V$37),"")</f>
        <v>1.8129999999999999</v>
      </c>
      <c r="W37">
        <f ca="1">IFERROR(IF(0=LEN(ReferenceData!$W$37),"",ReferenceData!$W$37),"")</f>
        <v>8.1289999999999996</v>
      </c>
      <c r="X37">
        <f ca="1">IFERROR(IF(0=LEN(ReferenceData!$X$37),"",ReferenceData!$X$37),"")</f>
        <v>2.246</v>
      </c>
      <c r="Y37">
        <f ca="1">IFERROR(IF(0=LEN(ReferenceData!$Y$37),"",ReferenceData!$Y$37),"")</f>
        <v>2.613</v>
      </c>
      <c r="Z37">
        <f ca="1">IFERROR(IF(0=LEN(ReferenceData!$Z$37),"",ReferenceData!$Z$37),"")</f>
        <v>3.157</v>
      </c>
      <c r="AA37">
        <f ca="1">IFERROR(IF(0=LEN(ReferenceData!$AA$37),"",ReferenceData!$AA$37),"")</f>
        <v>2.7370000000000001</v>
      </c>
      <c r="AB37">
        <f ca="1">IFERROR(IF(0=LEN(ReferenceData!$AB$37),"",ReferenceData!$AB$37),"")</f>
        <v>2.4950000000000001</v>
      </c>
      <c r="AC37">
        <f ca="1">IFERROR(IF(0=LEN(ReferenceData!$AC$37),"",ReferenceData!$AC$37),"")</f>
        <v>2.601</v>
      </c>
      <c r="AD37">
        <f ca="1">IFERROR(IF(0=LEN(ReferenceData!$AD$37),"",ReferenceData!$AD$37),"")</f>
        <v>3.5590000000000002</v>
      </c>
      <c r="AE37" t="str">
        <f ca="1">IFERROR(IF(0=LEN(ReferenceData!$AE$37),"",ReferenceData!$AE$37),"")</f>
        <v/>
      </c>
      <c r="AF37" t="str">
        <f ca="1">IFERROR(IF(0=LEN(ReferenceData!$AF$37),"",ReferenceData!$AF$37),"")</f>
        <v/>
      </c>
      <c r="AG37" t="str">
        <f ca="1">IFERROR(IF(0=LEN(ReferenceData!$AG$37),"",ReferenceData!$AG$37),"")</f>
        <v/>
      </c>
      <c r="AH37" t="str">
        <f ca="1">IFERROR(IF(0=LEN(ReferenceData!$AH$37),"",ReferenceData!$AH$37),"")</f>
        <v/>
      </c>
      <c r="AI37" t="str">
        <f ca="1">IFERROR(IF(0=LEN(ReferenceData!$AI$37),"",ReferenceData!$AI$37),"")</f>
        <v/>
      </c>
      <c r="AJ37" t="str">
        <f ca="1">IFERROR(IF(0=LEN(ReferenceData!$AJ$37),"",ReferenceData!$AJ$37),"")</f>
        <v/>
      </c>
      <c r="AK37" t="str">
        <f ca="1">IFERROR(IF(0=LEN(ReferenceData!$AK$37),"",ReferenceData!$AK$37),"")</f>
        <v/>
      </c>
      <c r="AL37" t="str">
        <f ca="1">IFERROR(IF(0=LEN(ReferenceData!$AL$37),"",ReferenceData!$AL$37),"")</f>
        <v/>
      </c>
      <c r="AM37" t="str">
        <f ca="1">IFERROR(IF(0=LEN(ReferenceData!$AM$37),"",ReferenceData!$AM$37),"")</f>
        <v/>
      </c>
      <c r="AN37" t="str">
        <f ca="1">IFERROR(IF(0=LEN(ReferenceData!$AN$37),"",ReferenceData!$AN$37),"")</f>
        <v/>
      </c>
      <c r="AO37" t="str">
        <f ca="1">IFERROR(IF(0=LEN(ReferenceData!$AO$37),"",ReferenceData!$AO$37),"")</f>
        <v/>
      </c>
      <c r="AP37" t="str">
        <f ca="1">IFERROR(IF(0=LEN(ReferenceData!$AP$37),"",ReferenceData!$AP$37),"")</f>
        <v/>
      </c>
      <c r="AQ37" t="str">
        <f ca="1">IFERROR(IF(0=LEN(ReferenceData!$AQ$37),"",ReferenceData!$AQ$37),"")</f>
        <v/>
      </c>
      <c r="AR37" t="str">
        <f ca="1">IFERROR(IF(0=LEN(ReferenceData!$AR$37),"",ReferenceData!$AR$37),"")</f>
        <v/>
      </c>
      <c r="AS37" t="str">
        <f ca="1">IFERROR(IF(0=LEN(ReferenceData!$AS$37),"",ReferenceData!$AS$37),"")</f>
        <v/>
      </c>
      <c r="AT37" t="str">
        <f ca="1">IFERROR(IF(0=LEN(ReferenceData!$AT$37),"",ReferenceData!$AT$37),"")</f>
        <v/>
      </c>
      <c r="AU37" t="str">
        <f ca="1">IFERROR(IF(0=LEN(ReferenceData!$AU$37),"",ReferenceData!$AU$37),"")</f>
        <v/>
      </c>
      <c r="AV37" t="str">
        <f ca="1">IFERROR(IF(0=LEN(ReferenceData!$AV$37),"",ReferenceData!$AV$37),"")</f>
        <v/>
      </c>
      <c r="AW37" t="str">
        <f ca="1">IFERROR(IF(0=LEN(ReferenceData!$AW$37),"",ReferenceData!$AW$37),"")</f>
        <v/>
      </c>
      <c r="AX37" t="str">
        <f ca="1">IFERROR(IF(0=LEN(ReferenceData!$AX$37),"",ReferenceData!$AX$37),"")</f>
        <v/>
      </c>
      <c r="AY37" t="str">
        <f ca="1">IFERROR(IF(0=LEN(ReferenceData!$AY$37),"",ReferenceData!$AY$37),"")</f>
        <v/>
      </c>
      <c r="AZ37" t="str">
        <f ca="1">IFERROR(IF(0=LEN(ReferenceData!$AZ$37),"",ReferenceData!$AZ$37),"")</f>
        <v/>
      </c>
      <c r="BA37" t="str">
        <f ca="1">IFERROR(IF(0=LEN(ReferenceData!$BA$37),"",ReferenceData!$BA$37),"")</f>
        <v/>
      </c>
      <c r="BB37" t="str">
        <f ca="1">IFERROR(IF(0=LEN(ReferenceData!$BB$37),"",ReferenceData!$BB$37),"")</f>
        <v/>
      </c>
      <c r="BC37" t="str">
        <f ca="1">IFERROR(IF(0=LEN(ReferenceData!$BC$37),"",ReferenceData!$BC$37),"")</f>
        <v/>
      </c>
      <c r="BD37" t="str">
        <f ca="1">IFERROR(IF(0=LEN(ReferenceData!$BD$37),"",ReferenceData!$BD$37),"")</f>
        <v/>
      </c>
      <c r="BE37" t="str">
        <f ca="1">IFERROR(IF(0=LEN(ReferenceData!$BE$37),"",ReferenceData!$BE$37),"")</f>
        <v/>
      </c>
      <c r="BF37" t="str">
        <f ca="1">IFERROR(IF(0=LEN(ReferenceData!$BF$37),"",ReferenceData!$BF$37),"")</f>
        <v/>
      </c>
      <c r="BG37" t="str">
        <f ca="1">IFERROR(IF(0=LEN(ReferenceData!$BG$37),"",ReferenceData!$BG$37),"")</f>
        <v/>
      </c>
      <c r="BH37" t="str">
        <f ca="1">IFERROR(IF(0=LEN(ReferenceData!$BH$37),"",ReferenceData!$BH$37),"")</f>
        <v/>
      </c>
      <c r="BI37" t="str">
        <f ca="1">IFERROR(IF(0=LEN(ReferenceData!$BI$37),"",ReferenceData!$BI$37),"")</f>
        <v/>
      </c>
      <c r="BJ37" t="str">
        <f ca="1">IFERROR(IF(0=LEN(ReferenceData!$BJ$37),"",ReferenceData!$BJ$37),"")</f>
        <v/>
      </c>
      <c r="BK37" t="str">
        <f ca="1">IFERROR(IF(0=LEN(ReferenceData!$BK$37),"",ReferenceData!$BK$37),"")</f>
        <v/>
      </c>
      <c r="BL37" t="str">
        <f ca="1">IFERROR(IF(0=LEN(ReferenceData!$BL$37),"",ReferenceData!$BL$37),"")</f>
        <v/>
      </c>
      <c r="BM37" t="str">
        <f ca="1">IFERROR(IF(0=LEN(ReferenceData!$BM$37),"",ReferenceData!$BM$37),"")</f>
        <v/>
      </c>
    </row>
    <row r="38" spans="1:65">
      <c r="A38" t="str">
        <f>IFERROR(IF(0=LEN(ReferenceData!$A$38),"",ReferenceData!$A$38),"")</f>
        <v xml:space="preserve">    CBL &amp; Associates Properties In</v>
      </c>
      <c r="B38" t="str">
        <f>IFERROR(IF(0=LEN(ReferenceData!$B$38),"",ReferenceData!$B$38),"")</f>
        <v>CBL US Equity</v>
      </c>
      <c r="C38" t="str">
        <f>IFERROR(IF(0=LEN(ReferenceData!$C$38),"",ReferenceData!$C$38),"")</f>
        <v>IM281</v>
      </c>
      <c r="D38" t="str">
        <f>IFERROR(IF(0=LEN(ReferenceData!$D$38),"",ReferenceData!$D$38),"")</f>
        <v>IS_NON_REAL_ESTATE_INCOME</v>
      </c>
      <c r="E38" t="str">
        <f>IFERROR(IF(0=LEN(ReferenceData!$E$38),"",ReferenceData!$E$38),"")</f>
        <v>动态</v>
      </c>
      <c r="F38" t="str">
        <f ca="1">IFERROR(IF(0=LEN(ReferenceData!$F$38),"",ReferenceData!$F$38),"")</f>
        <v/>
      </c>
      <c r="G38">
        <f ca="1">IFERROR(IF(0=LEN(ReferenceData!$G$38),"",ReferenceData!$G$38),"")</f>
        <v>1.5960000000000001</v>
      </c>
      <c r="H38">
        <f ca="1">IFERROR(IF(0=LEN(ReferenceData!$H$38),"",ReferenceData!$H$38),"")</f>
        <v>1.2509999999999999</v>
      </c>
      <c r="I38">
        <f ca="1">IFERROR(IF(0=LEN(ReferenceData!$I$38),"",ReferenceData!$I$38),"")</f>
        <v>1.349</v>
      </c>
      <c r="J38">
        <f ca="1">IFERROR(IF(0=LEN(ReferenceData!$J$38),"",ReferenceData!$J$38),"")</f>
        <v>1.4790000000000001</v>
      </c>
      <c r="K38">
        <f ca="1">IFERROR(IF(0=LEN(ReferenceData!$K$38),"",ReferenceData!$K$38),"")</f>
        <v>2.0539999999999998</v>
      </c>
      <c r="L38">
        <f ca="1">IFERROR(IF(0=LEN(ReferenceData!$L$38),"",ReferenceData!$L$38),"")</f>
        <v>6.52</v>
      </c>
      <c r="M38">
        <f ca="1">IFERROR(IF(0=LEN(ReferenceData!$M$38),"",ReferenceData!$M$38),"")</f>
        <v>6.0750000000000002</v>
      </c>
      <c r="N38">
        <f ca="1">IFERROR(IF(0=LEN(ReferenceData!$N$38),"",ReferenceData!$N$38),"")</f>
        <v>6.7670000000000003</v>
      </c>
      <c r="O38">
        <f ca="1">IFERROR(IF(0=LEN(ReferenceData!$O$38),"",ReferenceData!$O$38),"")</f>
        <v>7.202</v>
      </c>
      <c r="P38">
        <f ca="1">IFERROR(IF(0=LEN(ReferenceData!$P$38),"",ReferenceData!$P$38),"")</f>
        <v>8.9740000000000002</v>
      </c>
      <c r="Q38">
        <f ca="1">IFERROR(IF(0=LEN(ReferenceData!$Q$38),"",ReferenceData!$Q$38),"")</f>
        <v>7.6950000000000003</v>
      </c>
      <c r="R38">
        <f ca="1">IFERROR(IF(0=LEN(ReferenceData!$R$38),"",ReferenceData!$R$38),"")</f>
        <v>7.609</v>
      </c>
      <c r="S38">
        <f ca="1">IFERROR(IF(0=LEN(ReferenceData!$S$38),"",ReferenceData!$S$38),"")</f>
        <v>10.228999999999999</v>
      </c>
      <c r="T38">
        <f ca="1">IFERROR(IF(0=LEN(ReferenceData!$T$38),"",ReferenceData!$T$38),"")</f>
        <v>8.1859999999999999</v>
      </c>
      <c r="U38">
        <f ca="1">IFERROR(IF(0=LEN(ReferenceData!$U$38),"",ReferenceData!$U$38),"")</f>
        <v>9.2780000000000005</v>
      </c>
      <c r="V38">
        <f ca="1">IFERROR(IF(0=LEN(ReferenceData!$V$38),"",ReferenceData!$V$38),"")</f>
        <v>7.7249999999999996</v>
      </c>
      <c r="W38">
        <f ca="1">IFERROR(IF(0=LEN(ReferenceData!$W$38),"",ReferenceData!$W$38),"")</f>
        <v>7.6070000000000002</v>
      </c>
      <c r="X38">
        <f ca="1">IFERROR(IF(0=LEN(ReferenceData!$X$38),"",ReferenceData!$X$38),"")</f>
        <v>9.5180000000000007</v>
      </c>
      <c r="Y38">
        <f ca="1">IFERROR(IF(0=LEN(ReferenceData!$Y$38),"",ReferenceData!$Y$38),"")</f>
        <v>9.7010000000000005</v>
      </c>
      <c r="Z38">
        <f ca="1">IFERROR(IF(0=LEN(ReferenceData!$Z$38),"",ReferenceData!$Z$38),"")</f>
        <v>7.8470000000000004</v>
      </c>
      <c r="AA38">
        <f ca="1">IFERROR(IF(0=LEN(ReferenceData!$AA$38),"",ReferenceData!$AA$38),"")</f>
        <v>7.556</v>
      </c>
      <c r="AB38">
        <f ca="1">IFERROR(IF(0=LEN(ReferenceData!$AB$38),"",ReferenceData!$AB$38),"")</f>
        <v>7.8949999999999996</v>
      </c>
      <c r="AC38">
        <f ca="1">IFERROR(IF(0=LEN(ReferenceData!$AC$38),"",ReferenceData!$AC$38),"")</f>
        <v>7.85</v>
      </c>
      <c r="AD38">
        <f ca="1">IFERROR(IF(0=LEN(ReferenceData!$AD$38),"",ReferenceData!$AD$38),"")</f>
        <v>8.06</v>
      </c>
      <c r="AE38">
        <f ca="1">IFERROR(IF(0=LEN(ReferenceData!$AE$38),"",ReferenceData!$AE$38),"")</f>
        <v>8.49</v>
      </c>
      <c r="AF38">
        <f ca="1">IFERROR(IF(0=LEN(ReferenceData!$AF$38),"",ReferenceData!$AF$38),"")</f>
        <v>8.4090000000000007</v>
      </c>
      <c r="AG38">
        <f ca="1">IFERROR(IF(0=LEN(ReferenceData!$AG$38),"",ReferenceData!$AG$38),"")</f>
        <v>8.5969999999999995</v>
      </c>
      <c r="AH38">
        <f ca="1">IFERROR(IF(0=LEN(ReferenceData!$AH$38),"",ReferenceData!$AH$38),"")</f>
        <v>9.36</v>
      </c>
      <c r="AI38">
        <f ca="1">IFERROR(IF(0=LEN(ReferenceData!$AI$38),"",ReferenceData!$AI$38),"")</f>
        <v>7.4359999999999999</v>
      </c>
      <c r="AJ38">
        <f ca="1">IFERROR(IF(0=LEN(ReferenceData!$AJ$38),"",ReferenceData!$AJ$38),"")</f>
        <v>7.351</v>
      </c>
      <c r="AK38">
        <f ca="1">IFERROR(IF(0=LEN(ReferenceData!$AK$38),"",ReferenceData!$AK$38),"")</f>
        <v>7.234</v>
      </c>
      <c r="AL38">
        <f ca="1">IFERROR(IF(0=LEN(ReferenceData!$AL$38),"",ReferenceData!$AL$38),"")</f>
        <v>7.2370000000000001</v>
      </c>
      <c r="AM38">
        <f ca="1">IFERROR(IF(0=LEN(ReferenceData!$AM$38),"",ReferenceData!$AM$38),"")</f>
        <v>7.3710000000000004</v>
      </c>
      <c r="AN38">
        <f ca="1">IFERROR(IF(0=LEN(ReferenceData!$AN$38),"",ReferenceData!$AN$38),"")</f>
        <v>7.8810000000000002</v>
      </c>
      <c r="AO38">
        <f ca="1">IFERROR(IF(0=LEN(ReferenceData!$AO$38),"",ReferenceData!$AO$38),"")</f>
        <v>6.9770000000000003</v>
      </c>
      <c r="AP38">
        <f ca="1">IFERROR(IF(0=LEN(ReferenceData!$AP$38),"",ReferenceData!$AP$38),"")</f>
        <v>6.09</v>
      </c>
      <c r="AQ38" t="str">
        <f ca="1">IFERROR(IF(0=LEN(ReferenceData!$AQ$38),"",ReferenceData!$AQ$38),"")</f>
        <v/>
      </c>
      <c r="AR38" t="str">
        <f ca="1">IFERROR(IF(0=LEN(ReferenceData!$AR$38),"",ReferenceData!$AR$38),"")</f>
        <v/>
      </c>
      <c r="AS38" t="str">
        <f ca="1">IFERROR(IF(0=LEN(ReferenceData!$AS$38),"",ReferenceData!$AS$38),"")</f>
        <v/>
      </c>
      <c r="AT38" t="str">
        <f ca="1">IFERROR(IF(0=LEN(ReferenceData!$AT$38),"",ReferenceData!$AT$38),"")</f>
        <v/>
      </c>
      <c r="AU38" t="str">
        <f ca="1">IFERROR(IF(0=LEN(ReferenceData!$AU$38),"",ReferenceData!$AU$38),"")</f>
        <v/>
      </c>
      <c r="AV38" t="str">
        <f ca="1">IFERROR(IF(0=LEN(ReferenceData!$AV$38),"",ReferenceData!$AV$38),"")</f>
        <v/>
      </c>
      <c r="AW38" t="str">
        <f ca="1">IFERROR(IF(0=LEN(ReferenceData!$AW$38),"",ReferenceData!$AW$38),"")</f>
        <v/>
      </c>
      <c r="AX38" t="str">
        <f ca="1">IFERROR(IF(0=LEN(ReferenceData!$AX$38),"",ReferenceData!$AX$38),"")</f>
        <v/>
      </c>
      <c r="AY38" t="str">
        <f ca="1">IFERROR(IF(0=LEN(ReferenceData!$AY$38),"",ReferenceData!$AY$38),"")</f>
        <v/>
      </c>
      <c r="AZ38" t="str">
        <f ca="1">IFERROR(IF(0=LEN(ReferenceData!$AZ$38),"",ReferenceData!$AZ$38),"")</f>
        <v/>
      </c>
      <c r="BA38" t="str">
        <f ca="1">IFERROR(IF(0=LEN(ReferenceData!$BA$38),"",ReferenceData!$BA$38),"")</f>
        <v/>
      </c>
      <c r="BB38" t="str">
        <f ca="1">IFERROR(IF(0=LEN(ReferenceData!$BB$38),"",ReferenceData!$BB$38),"")</f>
        <v/>
      </c>
      <c r="BC38" t="str">
        <f ca="1">IFERROR(IF(0=LEN(ReferenceData!$BC$38),"",ReferenceData!$BC$38),"")</f>
        <v/>
      </c>
      <c r="BD38" t="str">
        <f ca="1">IFERROR(IF(0=LEN(ReferenceData!$BD$38),"",ReferenceData!$BD$38),"")</f>
        <v/>
      </c>
      <c r="BE38" t="str">
        <f ca="1">IFERROR(IF(0=LEN(ReferenceData!$BE$38),"",ReferenceData!$BE$38),"")</f>
        <v/>
      </c>
      <c r="BF38" t="str">
        <f ca="1">IFERROR(IF(0=LEN(ReferenceData!$BF$38),"",ReferenceData!$BF$38),"")</f>
        <v/>
      </c>
      <c r="BG38" t="str">
        <f ca="1">IFERROR(IF(0=LEN(ReferenceData!$BG$38),"",ReferenceData!$BG$38),"")</f>
        <v/>
      </c>
      <c r="BH38" t="str">
        <f ca="1">IFERROR(IF(0=LEN(ReferenceData!$BH$38),"",ReferenceData!$BH$38),"")</f>
        <v/>
      </c>
      <c r="BI38" t="str">
        <f ca="1">IFERROR(IF(0=LEN(ReferenceData!$BI$38),"",ReferenceData!$BI$38),"")</f>
        <v/>
      </c>
      <c r="BJ38" t="str">
        <f ca="1">IFERROR(IF(0=LEN(ReferenceData!$BJ$38),"",ReferenceData!$BJ$38),"")</f>
        <v/>
      </c>
      <c r="BK38" t="str">
        <f ca="1">IFERROR(IF(0=LEN(ReferenceData!$BK$38),"",ReferenceData!$BK$38),"")</f>
        <v/>
      </c>
      <c r="BL38" t="str">
        <f ca="1">IFERROR(IF(0=LEN(ReferenceData!$BL$38),"",ReferenceData!$BL$38),"")</f>
        <v/>
      </c>
      <c r="BM38" t="str">
        <f ca="1">IFERROR(IF(0=LEN(ReferenceData!$BM$38),"",ReferenceData!$BM$38),"")</f>
        <v/>
      </c>
    </row>
    <row r="39" spans="1:65">
      <c r="A39" t="str">
        <f>IFERROR(IF(0=LEN(ReferenceData!$A$39),"",ReferenceData!$A$39),"")</f>
        <v xml:space="preserve">    DDR Corp</v>
      </c>
      <c r="B39" t="str">
        <f>IFERROR(IF(0=LEN(ReferenceData!$B$39),"",ReferenceData!$B$39),"")</f>
        <v>DDR US Equity</v>
      </c>
      <c r="C39" t="str">
        <f>IFERROR(IF(0=LEN(ReferenceData!$C$39),"",ReferenceData!$C$39),"")</f>
        <v>IM281</v>
      </c>
      <c r="D39" t="str">
        <f>IFERROR(IF(0=LEN(ReferenceData!$D$39),"",ReferenceData!$D$39),"")</f>
        <v>IS_NON_REAL_ESTATE_INCOME</v>
      </c>
      <c r="E39" t="str">
        <f>IFERROR(IF(0=LEN(ReferenceData!$E$39),"",ReferenceData!$E$39),"")</f>
        <v>动态</v>
      </c>
      <c r="F39" t="str">
        <f ca="1">IFERROR(IF(0=LEN(ReferenceData!$F$39),"",ReferenceData!$F$39),"")</f>
        <v/>
      </c>
      <c r="G39">
        <f ca="1">IFERROR(IF(0=LEN(ReferenceData!$G$39),"",ReferenceData!$G$39),"")</f>
        <v>12.271000000000001</v>
      </c>
      <c r="H39">
        <f ca="1">IFERROR(IF(0=LEN(ReferenceData!$H$39),"",ReferenceData!$H$39),"")</f>
        <v>13.824</v>
      </c>
      <c r="I39">
        <f ca="1">IFERROR(IF(0=LEN(ReferenceData!$I$39),"",ReferenceData!$I$39),"")</f>
        <v>5.3209999999999997</v>
      </c>
      <c r="J39">
        <f ca="1">IFERROR(IF(0=LEN(ReferenceData!$J$39),"",ReferenceData!$J$39),"")</f>
        <v>4.617</v>
      </c>
      <c r="K39">
        <f ca="1">IFERROR(IF(0=LEN(ReferenceData!$K$39),"",ReferenceData!$K$39),"")</f>
        <v>5.7069999999999999</v>
      </c>
      <c r="L39">
        <f ca="1">IFERROR(IF(0=LEN(ReferenceData!$L$39),"",ReferenceData!$L$39),"")</f>
        <v>6.4580000000000002</v>
      </c>
      <c r="M39">
        <f ca="1">IFERROR(IF(0=LEN(ReferenceData!$M$39),"",ReferenceData!$M$39),"")</f>
        <v>4.7619999999999996</v>
      </c>
      <c r="N39">
        <f ca="1">IFERROR(IF(0=LEN(ReferenceData!$N$39),"",ReferenceData!$N$39),"")</f>
        <v>5.3209999999999997</v>
      </c>
      <c r="O39">
        <f ca="1">IFERROR(IF(0=LEN(ReferenceData!$O$39),"",ReferenceData!$O$39),"")</f>
        <v>5.9980000000000002</v>
      </c>
      <c r="P39">
        <f ca="1">IFERROR(IF(0=LEN(ReferenceData!$P$39),"",ReferenceData!$P$39),"")</f>
        <v>5.6619999999999999</v>
      </c>
      <c r="Q39" t="str">
        <f ca="1">IFERROR(IF(0=LEN(ReferenceData!$Q$39),"",ReferenceData!$Q$39),"")</f>
        <v/>
      </c>
      <c r="R39" t="str">
        <f ca="1">IFERROR(IF(0=LEN(ReferenceData!$R$39),"",ReferenceData!$R$39),"")</f>
        <v/>
      </c>
      <c r="S39">
        <f ca="1">IFERROR(IF(0=LEN(ReferenceData!$S$39),"",ReferenceData!$S$39),"")</f>
        <v>5.9770000000000003</v>
      </c>
      <c r="T39">
        <f ca="1">IFERROR(IF(0=LEN(ReferenceData!$T$39),"",ReferenceData!$T$39),"")</f>
        <v>7.2389999999999999</v>
      </c>
      <c r="U39">
        <f ca="1">IFERROR(IF(0=LEN(ReferenceData!$U$39),"",ReferenceData!$U$39),"")</f>
        <v>8.09</v>
      </c>
      <c r="V39">
        <f ca="1">IFERROR(IF(0=LEN(ReferenceData!$V$39),"",ReferenceData!$V$39),"")</f>
        <v>7.6840000000000002</v>
      </c>
      <c r="W39">
        <f ca="1">IFERROR(IF(0=LEN(ReferenceData!$W$39),"",ReferenceData!$W$39),"")</f>
        <v>7.8449999999999998</v>
      </c>
      <c r="X39">
        <f ca="1">IFERROR(IF(0=LEN(ReferenceData!$X$39),"",ReferenceData!$X$39),"")</f>
        <v>8.8940000000000001</v>
      </c>
      <c r="Y39">
        <f ca="1">IFERROR(IF(0=LEN(ReferenceData!$Y$39),"",ReferenceData!$Y$39),"")</f>
        <v>12.3</v>
      </c>
      <c r="Z39">
        <f ca="1">IFERROR(IF(0=LEN(ReferenceData!$Z$39),"",ReferenceData!$Z$39),"")</f>
        <v>6.26</v>
      </c>
      <c r="AA39">
        <f ca="1">IFERROR(IF(0=LEN(ReferenceData!$AA$39),"",ReferenceData!$AA$39),"")</f>
        <v>8.2609999999999992</v>
      </c>
      <c r="AB39">
        <f ca="1">IFERROR(IF(0=LEN(ReferenceData!$AB$39),"",ReferenceData!$AB$39),"")</f>
        <v>10.896000000000001</v>
      </c>
      <c r="AC39">
        <f ca="1">IFERROR(IF(0=LEN(ReferenceData!$AC$39),"",ReferenceData!$AC$39),"")</f>
        <v>6.7939999999999996</v>
      </c>
      <c r="AD39">
        <f ca="1">IFERROR(IF(0=LEN(ReferenceData!$AD$39),"",ReferenceData!$AD$39),"")</f>
        <v>6.6950000000000003</v>
      </c>
      <c r="AE39">
        <f ca="1">IFERROR(IF(0=LEN(ReferenceData!$AE$39),"",ReferenceData!$AE$39),"")</f>
        <v>9.9659999999999993</v>
      </c>
      <c r="AF39">
        <f ca="1">IFERROR(IF(0=LEN(ReferenceData!$AF$39),"",ReferenceData!$AF$39),"")</f>
        <v>9.7919999999999998</v>
      </c>
      <c r="AG39">
        <f ca="1">IFERROR(IF(0=LEN(ReferenceData!$AG$39),"",ReferenceData!$AG$39),"")</f>
        <v>7.7320000000000002</v>
      </c>
      <c r="AH39">
        <f ca="1">IFERROR(IF(0=LEN(ReferenceData!$AH$39),"",ReferenceData!$AH$39),"")</f>
        <v>7.569</v>
      </c>
      <c r="AI39">
        <f ca="1">IFERROR(IF(0=LEN(ReferenceData!$AI$39),"",ReferenceData!$AI$39),"")</f>
        <v>10.491</v>
      </c>
      <c r="AJ39">
        <f ca="1">IFERROR(IF(0=LEN(ReferenceData!$AJ$39),"",ReferenceData!$AJ$39),"")</f>
        <v>6.4459999999999997</v>
      </c>
      <c r="AK39" t="str">
        <f ca="1">IFERROR(IF(0=LEN(ReferenceData!$AK$39),"",ReferenceData!$AK$39),"")</f>
        <v/>
      </c>
      <c r="AL39">
        <f ca="1">IFERROR(IF(0=LEN(ReferenceData!$AL$39),"",ReferenceData!$AL$39),"")</f>
        <v>6.3739999999999997</v>
      </c>
      <c r="AM39">
        <f ca="1">IFERROR(IF(0=LEN(ReferenceData!$AM$39),"",ReferenceData!$AM$39),"")</f>
        <v>8.0589999999999993</v>
      </c>
      <c r="AN39">
        <f ca="1">IFERROR(IF(0=LEN(ReferenceData!$AN$39),"",ReferenceData!$AN$39),"")</f>
        <v>6.4139999999999997</v>
      </c>
      <c r="AO39">
        <f ca="1">IFERROR(IF(0=LEN(ReferenceData!$AO$39),"",ReferenceData!$AO$39),"")</f>
        <v>6.6180000000000003</v>
      </c>
      <c r="AP39">
        <f ca="1">IFERROR(IF(0=LEN(ReferenceData!$AP$39),"",ReferenceData!$AP$39),"")</f>
        <v>8.17</v>
      </c>
      <c r="AQ39" t="str">
        <f ca="1">IFERROR(IF(0=LEN(ReferenceData!$AQ$39),"",ReferenceData!$AQ$39),"")</f>
        <v/>
      </c>
      <c r="AR39" t="str">
        <f ca="1">IFERROR(IF(0=LEN(ReferenceData!$AR$39),"",ReferenceData!$AR$39),"")</f>
        <v/>
      </c>
      <c r="AS39" t="str">
        <f ca="1">IFERROR(IF(0=LEN(ReferenceData!$AS$39),"",ReferenceData!$AS$39),"")</f>
        <v/>
      </c>
      <c r="AT39" t="str">
        <f ca="1">IFERROR(IF(0=LEN(ReferenceData!$AT$39),"",ReferenceData!$AT$39),"")</f>
        <v/>
      </c>
      <c r="AU39" t="str">
        <f ca="1">IFERROR(IF(0=LEN(ReferenceData!$AU$39),"",ReferenceData!$AU$39),"")</f>
        <v/>
      </c>
      <c r="AV39" t="str">
        <f ca="1">IFERROR(IF(0=LEN(ReferenceData!$AV$39),"",ReferenceData!$AV$39),"")</f>
        <v/>
      </c>
      <c r="AW39" t="str">
        <f ca="1">IFERROR(IF(0=LEN(ReferenceData!$AW$39),"",ReferenceData!$AW$39),"")</f>
        <v/>
      </c>
      <c r="AX39" t="str">
        <f ca="1">IFERROR(IF(0=LEN(ReferenceData!$AX$39),"",ReferenceData!$AX$39),"")</f>
        <v/>
      </c>
      <c r="AY39" t="str">
        <f ca="1">IFERROR(IF(0=LEN(ReferenceData!$AY$39),"",ReferenceData!$AY$39),"")</f>
        <v/>
      </c>
      <c r="AZ39" t="str">
        <f ca="1">IFERROR(IF(0=LEN(ReferenceData!$AZ$39),"",ReferenceData!$AZ$39),"")</f>
        <v/>
      </c>
      <c r="BA39" t="str">
        <f ca="1">IFERROR(IF(0=LEN(ReferenceData!$BA$39),"",ReferenceData!$BA$39),"")</f>
        <v/>
      </c>
      <c r="BB39" t="str">
        <f ca="1">IFERROR(IF(0=LEN(ReferenceData!$BB$39),"",ReferenceData!$BB$39),"")</f>
        <v/>
      </c>
      <c r="BC39" t="str">
        <f ca="1">IFERROR(IF(0=LEN(ReferenceData!$BC$39),"",ReferenceData!$BC$39),"")</f>
        <v/>
      </c>
      <c r="BD39" t="str">
        <f ca="1">IFERROR(IF(0=LEN(ReferenceData!$BD$39),"",ReferenceData!$BD$39),"")</f>
        <v/>
      </c>
      <c r="BE39" t="str">
        <f ca="1">IFERROR(IF(0=LEN(ReferenceData!$BE$39),"",ReferenceData!$BE$39),"")</f>
        <v/>
      </c>
      <c r="BF39" t="str">
        <f ca="1">IFERROR(IF(0=LEN(ReferenceData!$BF$39),"",ReferenceData!$BF$39),"")</f>
        <v/>
      </c>
      <c r="BG39" t="str">
        <f ca="1">IFERROR(IF(0=LEN(ReferenceData!$BG$39),"",ReferenceData!$BG$39),"")</f>
        <v/>
      </c>
      <c r="BH39" t="str">
        <f ca="1">IFERROR(IF(0=LEN(ReferenceData!$BH$39),"",ReferenceData!$BH$39),"")</f>
        <v/>
      </c>
      <c r="BI39" t="str">
        <f ca="1">IFERROR(IF(0=LEN(ReferenceData!$BI$39),"",ReferenceData!$BI$39),"")</f>
        <v/>
      </c>
      <c r="BJ39" t="str">
        <f ca="1">IFERROR(IF(0=LEN(ReferenceData!$BJ$39),"",ReferenceData!$BJ$39),"")</f>
        <v/>
      </c>
      <c r="BK39" t="str">
        <f ca="1">IFERROR(IF(0=LEN(ReferenceData!$BK$39),"",ReferenceData!$BK$39),"")</f>
        <v/>
      </c>
      <c r="BL39" t="str">
        <f ca="1">IFERROR(IF(0=LEN(ReferenceData!$BL$39),"",ReferenceData!$BL$39),"")</f>
        <v/>
      </c>
      <c r="BM39" t="str">
        <f ca="1">IFERROR(IF(0=LEN(ReferenceData!$BM$39),"",ReferenceData!$BM$39),"")</f>
        <v/>
      </c>
    </row>
    <row r="40" spans="1:65">
      <c r="A40" t="str">
        <f>IFERROR(IF(0=LEN(ReferenceData!$A$40),"",ReferenceData!$A$40),"")</f>
        <v xml:space="preserve">    Federal Realty Investment Trus</v>
      </c>
      <c r="B40" t="str">
        <f>IFERROR(IF(0=LEN(ReferenceData!$B$40),"",ReferenceData!$B$40),"")</f>
        <v>FRT US Equity</v>
      </c>
      <c r="C40" t="str">
        <f>IFERROR(IF(0=LEN(ReferenceData!$C$40),"",ReferenceData!$C$40),"")</f>
        <v>IM281</v>
      </c>
      <c r="D40" t="str">
        <f>IFERROR(IF(0=LEN(ReferenceData!$D$40),"",ReferenceData!$D$40),"")</f>
        <v>IS_NON_REAL_ESTATE_INCOME</v>
      </c>
      <c r="E40" t="str">
        <f>IFERROR(IF(0=LEN(ReferenceData!$E$40),"",ReferenceData!$E$40),"")</f>
        <v>动态</v>
      </c>
      <c r="F40" t="str">
        <f ca="1">IFERROR(IF(0=LEN(ReferenceData!$F$40),"",ReferenceData!$F$40),"")</f>
        <v/>
      </c>
      <c r="G40">
        <f ca="1">IFERROR(IF(0=LEN(ReferenceData!$G$40),"",ReferenceData!$G$40),"")</f>
        <v>2.3959999999999999</v>
      </c>
      <c r="H40">
        <f ca="1">IFERROR(IF(0=LEN(ReferenceData!$H$40),"",ReferenceData!$H$40),"")</f>
        <v>5.1710000000000003</v>
      </c>
      <c r="I40">
        <f ca="1">IFERROR(IF(0=LEN(ReferenceData!$I$40),"",ReferenceData!$I$40),"")</f>
        <v>3.0680000000000001</v>
      </c>
      <c r="J40">
        <f ca="1">IFERROR(IF(0=LEN(ReferenceData!$J$40),"",ReferenceData!$J$40),"")</f>
        <v>2.19</v>
      </c>
      <c r="K40">
        <f ca="1">IFERROR(IF(0=LEN(ReferenceData!$K$40),"",ReferenceData!$K$40),"")</f>
        <v>2.456</v>
      </c>
      <c r="L40">
        <f ca="1">IFERROR(IF(0=LEN(ReferenceData!$L$40),"",ReferenceData!$L$40),"")</f>
        <v>2.7589999999999999</v>
      </c>
      <c r="M40">
        <f ca="1">IFERROR(IF(0=LEN(ReferenceData!$M$40),"",ReferenceData!$M$40),"")</f>
        <v>3.488</v>
      </c>
      <c r="N40">
        <f ca="1">IFERROR(IF(0=LEN(ReferenceData!$N$40),"",ReferenceData!$N$40),"")</f>
        <v>2.3119999999999998</v>
      </c>
      <c r="O40">
        <f ca="1">IFERROR(IF(0=LEN(ReferenceData!$O$40),"",ReferenceData!$O$40),"")</f>
        <v>2.4460000000000002</v>
      </c>
      <c r="P40">
        <f ca="1">IFERROR(IF(0=LEN(ReferenceData!$P$40),"",ReferenceData!$P$40),"")</f>
        <v>2.4790000000000001</v>
      </c>
      <c r="Q40">
        <f ca="1">IFERROR(IF(0=LEN(ReferenceData!$Q$40),"",ReferenceData!$Q$40),"")</f>
        <v>4.42</v>
      </c>
      <c r="R40">
        <f ca="1">IFERROR(IF(0=LEN(ReferenceData!$R$40),"",ReferenceData!$R$40),"")</f>
        <v>2.4649999999999999</v>
      </c>
      <c r="S40">
        <f ca="1">IFERROR(IF(0=LEN(ReferenceData!$S$40),"",ReferenceData!$S$40),"")</f>
        <v>3.411</v>
      </c>
      <c r="T40">
        <f ca="1">IFERROR(IF(0=LEN(ReferenceData!$T$40),"",ReferenceData!$T$40),"")</f>
        <v>3.6219999999999999</v>
      </c>
      <c r="U40">
        <f ca="1">IFERROR(IF(0=LEN(ReferenceData!$U$40),"",ReferenceData!$U$40),"")</f>
        <v>4.3250000000000002</v>
      </c>
      <c r="V40">
        <f ca="1">IFERROR(IF(0=LEN(ReferenceData!$V$40),"",ReferenceData!$V$40),"")</f>
        <v>3.4</v>
      </c>
      <c r="W40">
        <f ca="1">IFERROR(IF(0=LEN(ReferenceData!$W$40),"",ReferenceData!$W$40),"")</f>
        <v>2.508</v>
      </c>
      <c r="X40">
        <f ca="1">IFERROR(IF(0=LEN(ReferenceData!$X$40),"",ReferenceData!$X$40),"")</f>
        <v>3.48</v>
      </c>
      <c r="Y40">
        <f ca="1">IFERROR(IF(0=LEN(ReferenceData!$Y$40),"",ReferenceData!$Y$40),"")</f>
        <v>2.9129999999999998</v>
      </c>
      <c r="Z40">
        <f ca="1">IFERROR(IF(0=LEN(ReferenceData!$Z$40),"",ReferenceData!$Z$40),"")</f>
        <v>3.2679999999999998</v>
      </c>
      <c r="AA40">
        <f ca="1">IFERROR(IF(0=LEN(ReferenceData!$AA$40),"",ReferenceData!$AA$40),"")</f>
        <v>2.3690000000000002</v>
      </c>
      <c r="AB40">
        <f ca="1">IFERROR(IF(0=LEN(ReferenceData!$AB$40),"",ReferenceData!$AB$40),"")</f>
        <v>9.0079999999999991</v>
      </c>
      <c r="AC40">
        <f ca="1">IFERROR(IF(0=LEN(ReferenceData!$AC$40),"",ReferenceData!$AC$40),"")</f>
        <v>4.4779999999999998</v>
      </c>
      <c r="AD40">
        <f ca="1">IFERROR(IF(0=LEN(ReferenceData!$AD$40),"",ReferenceData!$AD$40),"")</f>
        <v>4.3620000000000001</v>
      </c>
      <c r="AE40">
        <f ca="1">IFERROR(IF(0=LEN(ReferenceData!$AE$40),"",ReferenceData!$AE$40),"")</f>
        <v>2.6829999999999998</v>
      </c>
      <c r="AF40">
        <f ca="1">IFERROR(IF(0=LEN(ReferenceData!$AF$40),"",ReferenceData!$AF$40),"")</f>
        <v>2.3410000000000002</v>
      </c>
      <c r="AG40">
        <f ca="1">IFERROR(IF(0=LEN(ReferenceData!$AG$40),"",ReferenceData!$AG$40),"")</f>
        <v>2.1459999999999999</v>
      </c>
      <c r="AH40">
        <f ca="1">IFERROR(IF(0=LEN(ReferenceData!$AH$40),"",ReferenceData!$AH$40),"")</f>
        <v>2.09</v>
      </c>
      <c r="AI40">
        <f ca="1">IFERROR(IF(0=LEN(ReferenceData!$AI$40),"",ReferenceData!$AI$40),"")</f>
        <v>3.302</v>
      </c>
      <c r="AJ40">
        <f ca="1">IFERROR(IF(0=LEN(ReferenceData!$AJ$40),"",ReferenceData!$AJ$40),"")</f>
        <v>2.8239999999999998</v>
      </c>
      <c r="AK40">
        <f ca="1">IFERROR(IF(0=LEN(ReferenceData!$AK$40),"",ReferenceData!$AK$40),"")</f>
        <v>2.5089999999999999</v>
      </c>
      <c r="AL40">
        <f ca="1">IFERROR(IF(0=LEN(ReferenceData!$AL$40),"",ReferenceData!$AL$40),"")</f>
        <v>5.91</v>
      </c>
      <c r="AM40">
        <f ca="1">IFERROR(IF(0=LEN(ReferenceData!$AM$40),"",ReferenceData!$AM$40),"")</f>
        <v>3.5880000000000001</v>
      </c>
      <c r="AN40">
        <f ca="1">IFERROR(IF(0=LEN(ReferenceData!$AN$40),"",ReferenceData!$AN$40),"")</f>
        <v>3.714</v>
      </c>
      <c r="AO40">
        <f ca="1">IFERROR(IF(0=LEN(ReferenceData!$AO$40),"",ReferenceData!$AO$40),"")</f>
        <v>2.9409999999999998</v>
      </c>
      <c r="AP40">
        <f ca="1">IFERROR(IF(0=LEN(ReferenceData!$AP$40),"",ReferenceData!$AP$40),"")</f>
        <v>2.6030000000000002</v>
      </c>
      <c r="AQ40" t="str">
        <f ca="1">IFERROR(IF(0=LEN(ReferenceData!$AQ$40),"",ReferenceData!$AQ$40),"")</f>
        <v/>
      </c>
      <c r="AR40" t="str">
        <f ca="1">IFERROR(IF(0=LEN(ReferenceData!$AR$40),"",ReferenceData!$AR$40),"")</f>
        <v/>
      </c>
      <c r="AS40" t="str">
        <f ca="1">IFERROR(IF(0=LEN(ReferenceData!$AS$40),"",ReferenceData!$AS$40),"")</f>
        <v/>
      </c>
      <c r="AT40" t="str">
        <f ca="1">IFERROR(IF(0=LEN(ReferenceData!$AT$40),"",ReferenceData!$AT$40),"")</f>
        <v/>
      </c>
      <c r="AU40" t="str">
        <f ca="1">IFERROR(IF(0=LEN(ReferenceData!$AU$40),"",ReferenceData!$AU$40),"")</f>
        <v/>
      </c>
      <c r="AV40" t="str">
        <f ca="1">IFERROR(IF(0=LEN(ReferenceData!$AV$40),"",ReferenceData!$AV$40),"")</f>
        <v/>
      </c>
      <c r="AW40" t="str">
        <f ca="1">IFERROR(IF(0=LEN(ReferenceData!$AW$40),"",ReferenceData!$AW$40),"")</f>
        <v/>
      </c>
      <c r="AX40" t="str">
        <f ca="1">IFERROR(IF(0=LEN(ReferenceData!$AX$40),"",ReferenceData!$AX$40),"")</f>
        <v/>
      </c>
      <c r="AY40" t="str">
        <f ca="1">IFERROR(IF(0=LEN(ReferenceData!$AY$40),"",ReferenceData!$AY$40),"")</f>
        <v/>
      </c>
      <c r="AZ40" t="str">
        <f ca="1">IFERROR(IF(0=LEN(ReferenceData!$AZ$40),"",ReferenceData!$AZ$40),"")</f>
        <v/>
      </c>
      <c r="BA40" t="str">
        <f ca="1">IFERROR(IF(0=LEN(ReferenceData!$BA$40),"",ReferenceData!$BA$40),"")</f>
        <v/>
      </c>
      <c r="BB40" t="str">
        <f ca="1">IFERROR(IF(0=LEN(ReferenceData!$BB$40),"",ReferenceData!$BB$40),"")</f>
        <v/>
      </c>
      <c r="BC40" t="str">
        <f ca="1">IFERROR(IF(0=LEN(ReferenceData!$BC$40),"",ReferenceData!$BC$40),"")</f>
        <v/>
      </c>
      <c r="BD40" t="str">
        <f ca="1">IFERROR(IF(0=LEN(ReferenceData!$BD$40),"",ReferenceData!$BD$40),"")</f>
        <v/>
      </c>
      <c r="BE40" t="str">
        <f ca="1">IFERROR(IF(0=LEN(ReferenceData!$BE$40),"",ReferenceData!$BE$40),"")</f>
        <v/>
      </c>
      <c r="BF40" t="str">
        <f ca="1">IFERROR(IF(0=LEN(ReferenceData!$BF$40),"",ReferenceData!$BF$40),"")</f>
        <v/>
      </c>
      <c r="BG40" t="str">
        <f ca="1">IFERROR(IF(0=LEN(ReferenceData!$BG$40),"",ReferenceData!$BG$40),"")</f>
        <v/>
      </c>
      <c r="BH40" t="str">
        <f ca="1">IFERROR(IF(0=LEN(ReferenceData!$BH$40),"",ReferenceData!$BH$40),"")</f>
        <v/>
      </c>
      <c r="BI40" t="str">
        <f ca="1">IFERROR(IF(0=LEN(ReferenceData!$BI$40),"",ReferenceData!$BI$40),"")</f>
        <v/>
      </c>
      <c r="BJ40" t="str">
        <f ca="1">IFERROR(IF(0=LEN(ReferenceData!$BJ$40),"",ReferenceData!$BJ$40),"")</f>
        <v/>
      </c>
      <c r="BK40" t="str">
        <f ca="1">IFERROR(IF(0=LEN(ReferenceData!$BK$40),"",ReferenceData!$BK$40),"")</f>
        <v/>
      </c>
      <c r="BL40" t="str">
        <f ca="1">IFERROR(IF(0=LEN(ReferenceData!$BL$40),"",ReferenceData!$BL$40),"")</f>
        <v/>
      </c>
      <c r="BM40" t="str">
        <f ca="1">IFERROR(IF(0=LEN(ReferenceData!$BM$40),"",ReferenceData!$BM$40),"")</f>
        <v/>
      </c>
    </row>
    <row r="41" spans="1:65">
      <c r="A41" t="str">
        <f>IFERROR(IF(0=LEN(ReferenceData!$A$41),"",ReferenceData!$A$41),"")</f>
        <v xml:space="preserve">    Kimco Realty Corp</v>
      </c>
      <c r="B41" t="str">
        <f>IFERROR(IF(0=LEN(ReferenceData!$B$41),"",ReferenceData!$B$41),"")</f>
        <v>KIM US Equity</v>
      </c>
      <c r="C41" t="str">
        <f>IFERROR(IF(0=LEN(ReferenceData!$C$41),"",ReferenceData!$C$41),"")</f>
        <v>IM281</v>
      </c>
      <c r="D41" t="str">
        <f>IFERROR(IF(0=LEN(ReferenceData!$D$41),"",ReferenceData!$D$41),"")</f>
        <v>IS_NON_REAL_ESTATE_INCOME</v>
      </c>
      <c r="E41" t="str">
        <f>IFERROR(IF(0=LEN(ReferenceData!$E$41),"",ReferenceData!$E$41),"")</f>
        <v>动态</v>
      </c>
      <c r="F41" t="str">
        <f ca="1">IFERROR(IF(0=LEN(ReferenceData!$F$41),"",ReferenceData!$F$41),"")</f>
        <v/>
      </c>
      <c r="G41">
        <f ca="1">IFERROR(IF(0=LEN(ReferenceData!$G$41),"",ReferenceData!$G$41),"")</f>
        <v>0</v>
      </c>
      <c r="H41">
        <f ca="1">IFERROR(IF(0=LEN(ReferenceData!$H$41),"",ReferenceData!$H$41),"")</f>
        <v>0</v>
      </c>
      <c r="I41">
        <f ca="1">IFERROR(IF(0=LEN(ReferenceData!$I$41),"",ReferenceData!$I$41),"")</f>
        <v>0</v>
      </c>
      <c r="J41">
        <f ca="1">IFERROR(IF(0=LEN(ReferenceData!$J$41),"",ReferenceData!$J$41),"")</f>
        <v>0</v>
      </c>
      <c r="K41">
        <f ca="1">IFERROR(IF(0=LEN(ReferenceData!$K$41),"",ReferenceData!$K$41),"")</f>
        <v>0</v>
      </c>
      <c r="L41">
        <f ca="1">IFERROR(IF(0=LEN(ReferenceData!$L$41),"",ReferenceData!$L$41),"")</f>
        <v>0</v>
      </c>
      <c r="M41">
        <f ca="1">IFERROR(IF(0=LEN(ReferenceData!$M$41),"",ReferenceData!$M$41),"")</f>
        <v>0</v>
      </c>
      <c r="N41">
        <f ca="1">IFERROR(IF(0=LEN(ReferenceData!$N$41),"",ReferenceData!$N$41),"")</f>
        <v>0</v>
      </c>
      <c r="O41">
        <f ca="1">IFERROR(IF(0=LEN(ReferenceData!$O$41),"",ReferenceData!$O$41),"")</f>
        <v>0</v>
      </c>
      <c r="P41">
        <f ca="1">IFERROR(IF(0=LEN(ReferenceData!$P$41),"",ReferenceData!$P$41),"")</f>
        <v>0</v>
      </c>
      <c r="Q41">
        <f ca="1">IFERROR(IF(0=LEN(ReferenceData!$Q$41),"",ReferenceData!$Q$41),"")</f>
        <v>0</v>
      </c>
      <c r="R41">
        <f ca="1">IFERROR(IF(0=LEN(ReferenceData!$R$41),"",ReferenceData!$R$41),"")</f>
        <v>0</v>
      </c>
      <c r="S41">
        <f ca="1">IFERROR(IF(0=LEN(ReferenceData!$S$41),"",ReferenceData!$S$41),"")</f>
        <v>0</v>
      </c>
      <c r="T41">
        <f ca="1">IFERROR(IF(0=LEN(ReferenceData!$T$41),"",ReferenceData!$T$41),"")</f>
        <v>0</v>
      </c>
      <c r="U41">
        <f ca="1">IFERROR(IF(0=LEN(ReferenceData!$U$41),"",ReferenceData!$U$41),"")</f>
        <v>0</v>
      </c>
      <c r="V41">
        <f ca="1">IFERROR(IF(0=LEN(ReferenceData!$V$41),"",ReferenceData!$V$41),"")</f>
        <v>0</v>
      </c>
      <c r="W41">
        <f ca="1">IFERROR(IF(0=LEN(ReferenceData!$W$41),"",ReferenceData!$W$41),"")</f>
        <v>0</v>
      </c>
      <c r="X41">
        <f ca="1">IFERROR(IF(0=LEN(ReferenceData!$X$41),"",ReferenceData!$X$41),"")</f>
        <v>0</v>
      </c>
      <c r="Y41">
        <f ca="1">IFERROR(IF(0=LEN(ReferenceData!$Y$41),"",ReferenceData!$Y$41),"")</f>
        <v>0</v>
      </c>
      <c r="Z41">
        <f ca="1">IFERROR(IF(0=LEN(ReferenceData!$Z$41),"",ReferenceData!$Z$41),"")</f>
        <v>0</v>
      </c>
      <c r="AA41">
        <f ca="1">IFERROR(IF(0=LEN(ReferenceData!$AA$41),"",ReferenceData!$AA$41),"")</f>
        <v>0</v>
      </c>
      <c r="AB41">
        <f ca="1">IFERROR(IF(0=LEN(ReferenceData!$AB$41),"",ReferenceData!$AB$41),"")</f>
        <v>0</v>
      </c>
      <c r="AC41">
        <f ca="1">IFERROR(IF(0=LEN(ReferenceData!$AC$41),"",ReferenceData!$AC$41),"")</f>
        <v>0</v>
      </c>
      <c r="AD41">
        <f ca="1">IFERROR(IF(0=LEN(ReferenceData!$AD$41),"",ReferenceData!$AD$41),"")</f>
        <v>0</v>
      </c>
      <c r="AE41">
        <f ca="1">IFERROR(IF(0=LEN(ReferenceData!$AE$41),"",ReferenceData!$AE$41),"")</f>
        <v>0</v>
      </c>
      <c r="AF41">
        <f ca="1">IFERROR(IF(0=LEN(ReferenceData!$AF$41),"",ReferenceData!$AF$41),"")</f>
        <v>0</v>
      </c>
      <c r="AG41">
        <f ca="1">IFERROR(IF(0=LEN(ReferenceData!$AG$41),"",ReferenceData!$AG$41),"")</f>
        <v>0</v>
      </c>
      <c r="AH41">
        <f ca="1">IFERROR(IF(0=LEN(ReferenceData!$AH$41),"",ReferenceData!$AH$41),"")</f>
        <v>0</v>
      </c>
      <c r="AI41">
        <f ca="1">IFERROR(IF(0=LEN(ReferenceData!$AI$41),"",ReferenceData!$AI$41),"")</f>
        <v>0.93899999999999995</v>
      </c>
      <c r="AJ41">
        <f ca="1">IFERROR(IF(0=LEN(ReferenceData!$AJ$41),"",ReferenceData!$AJ$41),"")</f>
        <v>1.2310000000000001</v>
      </c>
      <c r="AK41">
        <f ca="1">IFERROR(IF(0=LEN(ReferenceData!$AK$41),"",ReferenceData!$AK$41),"")</f>
        <v>0.42399999999999999</v>
      </c>
      <c r="AL41">
        <f ca="1">IFERROR(IF(0=LEN(ReferenceData!$AL$41),"",ReferenceData!$AL$41),"")</f>
        <v>1.044</v>
      </c>
      <c r="AM41">
        <f ca="1">IFERROR(IF(0=LEN(ReferenceData!$AM$41),"",ReferenceData!$AM$41),"")</f>
        <v>9.2750000000000004</v>
      </c>
      <c r="AN41">
        <f ca="1">IFERROR(IF(0=LEN(ReferenceData!$AN$41),"",ReferenceData!$AN$41),"")</f>
        <v>9.2880000000000003</v>
      </c>
      <c r="AO41">
        <f ca="1">IFERROR(IF(0=LEN(ReferenceData!$AO$41),"",ReferenceData!$AO$41),"")</f>
        <v>9.3379999999999992</v>
      </c>
      <c r="AP41">
        <f ca="1">IFERROR(IF(0=LEN(ReferenceData!$AP$41),"",ReferenceData!$AP$41),"")</f>
        <v>8.3859999999999992</v>
      </c>
      <c r="AQ41" t="str">
        <f ca="1">IFERROR(IF(0=LEN(ReferenceData!$AQ$41),"",ReferenceData!$AQ$41),"")</f>
        <v/>
      </c>
      <c r="AR41" t="str">
        <f ca="1">IFERROR(IF(0=LEN(ReferenceData!$AR$41),"",ReferenceData!$AR$41),"")</f>
        <v/>
      </c>
      <c r="AS41" t="str">
        <f ca="1">IFERROR(IF(0=LEN(ReferenceData!$AS$41),"",ReferenceData!$AS$41),"")</f>
        <v/>
      </c>
      <c r="AT41" t="str">
        <f ca="1">IFERROR(IF(0=LEN(ReferenceData!$AT$41),"",ReferenceData!$AT$41),"")</f>
        <v/>
      </c>
      <c r="AU41" t="str">
        <f ca="1">IFERROR(IF(0=LEN(ReferenceData!$AU$41),"",ReferenceData!$AU$41),"")</f>
        <v/>
      </c>
      <c r="AV41" t="str">
        <f ca="1">IFERROR(IF(0=LEN(ReferenceData!$AV$41),"",ReferenceData!$AV$41),"")</f>
        <v/>
      </c>
      <c r="AW41" t="str">
        <f ca="1">IFERROR(IF(0=LEN(ReferenceData!$AW$41),"",ReferenceData!$AW$41),"")</f>
        <v/>
      </c>
      <c r="AX41" t="str">
        <f ca="1">IFERROR(IF(0=LEN(ReferenceData!$AX$41),"",ReferenceData!$AX$41),"")</f>
        <v/>
      </c>
      <c r="AY41" t="str">
        <f ca="1">IFERROR(IF(0=LEN(ReferenceData!$AY$41),"",ReferenceData!$AY$41),"")</f>
        <v/>
      </c>
      <c r="AZ41" t="str">
        <f ca="1">IFERROR(IF(0=LEN(ReferenceData!$AZ$41),"",ReferenceData!$AZ$41),"")</f>
        <v/>
      </c>
      <c r="BA41" t="str">
        <f ca="1">IFERROR(IF(0=LEN(ReferenceData!$BA$41),"",ReferenceData!$BA$41),"")</f>
        <v/>
      </c>
      <c r="BB41" t="str">
        <f ca="1">IFERROR(IF(0=LEN(ReferenceData!$BB$41),"",ReferenceData!$BB$41),"")</f>
        <v/>
      </c>
      <c r="BC41" t="str">
        <f ca="1">IFERROR(IF(0=LEN(ReferenceData!$BC$41),"",ReferenceData!$BC$41),"")</f>
        <v/>
      </c>
      <c r="BD41" t="str">
        <f ca="1">IFERROR(IF(0=LEN(ReferenceData!$BD$41),"",ReferenceData!$BD$41),"")</f>
        <v/>
      </c>
      <c r="BE41" t="str">
        <f ca="1">IFERROR(IF(0=LEN(ReferenceData!$BE$41),"",ReferenceData!$BE$41),"")</f>
        <v/>
      </c>
      <c r="BF41" t="str">
        <f ca="1">IFERROR(IF(0=LEN(ReferenceData!$BF$41),"",ReferenceData!$BF$41),"")</f>
        <v/>
      </c>
      <c r="BG41" t="str">
        <f ca="1">IFERROR(IF(0=LEN(ReferenceData!$BG$41),"",ReferenceData!$BG$41),"")</f>
        <v/>
      </c>
      <c r="BH41" t="str">
        <f ca="1">IFERROR(IF(0=LEN(ReferenceData!$BH$41),"",ReferenceData!$BH$41),"")</f>
        <v/>
      </c>
      <c r="BI41" t="str">
        <f ca="1">IFERROR(IF(0=LEN(ReferenceData!$BI$41),"",ReferenceData!$BI$41),"")</f>
        <v/>
      </c>
      <c r="BJ41" t="str">
        <f ca="1">IFERROR(IF(0=LEN(ReferenceData!$BJ$41),"",ReferenceData!$BJ$41),"")</f>
        <v/>
      </c>
      <c r="BK41" t="str">
        <f ca="1">IFERROR(IF(0=LEN(ReferenceData!$BK$41),"",ReferenceData!$BK$41),"")</f>
        <v/>
      </c>
      <c r="BL41" t="str">
        <f ca="1">IFERROR(IF(0=LEN(ReferenceData!$BL$41),"",ReferenceData!$BL$41),"")</f>
        <v/>
      </c>
      <c r="BM41" t="str">
        <f ca="1">IFERROR(IF(0=LEN(ReferenceData!$BM$41),"",ReferenceData!$BM$41),"")</f>
        <v/>
      </c>
    </row>
    <row r="42" spans="1:65">
      <c r="A42" t="str">
        <f>IFERROR(IF(0=LEN(ReferenceData!$A$42),"",ReferenceData!$A$42),"")</f>
        <v xml:space="preserve">    National Retail Properties Inc</v>
      </c>
      <c r="B42" t="str">
        <f>IFERROR(IF(0=LEN(ReferenceData!$B$42),"",ReferenceData!$B$42),"")</f>
        <v>NNN US Equity</v>
      </c>
      <c r="C42" t="str">
        <f>IFERROR(IF(0=LEN(ReferenceData!$C$42),"",ReferenceData!$C$42),"")</f>
        <v>IM281</v>
      </c>
      <c r="D42" t="str">
        <f>IFERROR(IF(0=LEN(ReferenceData!$D$42),"",ReferenceData!$D$42),"")</f>
        <v>IS_NON_REAL_ESTATE_INCOME</v>
      </c>
      <c r="E42" t="str">
        <f>IFERROR(IF(0=LEN(ReferenceData!$E$42),"",ReferenceData!$E$42),"")</f>
        <v>动态</v>
      </c>
      <c r="F42" t="str">
        <f ca="1">IFERROR(IF(0=LEN(ReferenceData!$F$42),"",ReferenceData!$F$42),"")</f>
        <v/>
      </c>
      <c r="G42">
        <f ca="1">IFERROR(IF(0=LEN(ReferenceData!$G$42),"",ReferenceData!$G$42),"")</f>
        <v>0.36599999999999999</v>
      </c>
      <c r="H42">
        <f ca="1">IFERROR(IF(0=LEN(ReferenceData!$H$42),"",ReferenceData!$H$42),"")</f>
        <v>0.32500000000000001</v>
      </c>
      <c r="I42">
        <f ca="1">IFERROR(IF(0=LEN(ReferenceData!$I$42),"",ReferenceData!$I$42),"")</f>
        <v>0.32600000000000001</v>
      </c>
      <c r="J42">
        <f ca="1">IFERROR(IF(0=LEN(ReferenceData!$J$42),"",ReferenceData!$J$42),"")</f>
        <v>0.34200000000000003</v>
      </c>
      <c r="K42">
        <f ca="1">IFERROR(IF(0=LEN(ReferenceData!$K$42),"",ReferenceData!$K$42),"")</f>
        <v>0.39200000000000002</v>
      </c>
      <c r="L42">
        <f ca="1">IFERROR(IF(0=LEN(ReferenceData!$L$42),"",ReferenceData!$L$42),"")</f>
        <v>0.72199999999999998</v>
      </c>
      <c r="M42">
        <f ca="1">IFERROR(IF(0=LEN(ReferenceData!$M$42),"",ReferenceData!$M$42),"")</f>
        <v>0.79500000000000004</v>
      </c>
      <c r="N42">
        <f ca="1">IFERROR(IF(0=LEN(ReferenceData!$N$42),"",ReferenceData!$N$42),"")</f>
        <v>0.80800000000000005</v>
      </c>
      <c r="O42">
        <f ca="1">IFERROR(IF(0=LEN(ReferenceData!$O$42),"",ReferenceData!$O$42),"")</f>
        <v>0.44600000000000001</v>
      </c>
      <c r="P42">
        <f ca="1">IFERROR(IF(0=LEN(ReferenceData!$P$42),"",ReferenceData!$P$42),"")</f>
        <v>0.78</v>
      </c>
      <c r="Q42">
        <f ca="1">IFERROR(IF(0=LEN(ReferenceData!$Q$42),"",ReferenceData!$Q$42),"")</f>
        <v>0.84399999999999997</v>
      </c>
      <c r="R42">
        <f ca="1">IFERROR(IF(0=LEN(ReferenceData!$R$42),"",ReferenceData!$R$42),"")</f>
        <v>0.85</v>
      </c>
      <c r="S42">
        <f ca="1">IFERROR(IF(0=LEN(ReferenceData!$S$42),"",ReferenceData!$S$42),"")</f>
        <v>0.46400000000000002</v>
      </c>
      <c r="T42">
        <f ca="1">IFERROR(IF(0=LEN(ReferenceData!$T$42),"",ReferenceData!$T$42),"")</f>
        <v>0.89100000000000001</v>
      </c>
      <c r="U42">
        <f ca="1">IFERROR(IF(0=LEN(ReferenceData!$U$42),"",ReferenceData!$U$42),"")</f>
        <v>0.88900000000000001</v>
      </c>
      <c r="V42">
        <f ca="1">IFERROR(IF(0=LEN(ReferenceData!$V$42),"",ReferenceData!$V$42),"")</f>
        <v>0.89500000000000002</v>
      </c>
      <c r="W42">
        <f ca="1">IFERROR(IF(0=LEN(ReferenceData!$W$42),"",ReferenceData!$W$42),"")</f>
        <v>0.501</v>
      </c>
      <c r="X42">
        <f ca="1">IFERROR(IF(0=LEN(ReferenceData!$X$42),"",ReferenceData!$X$42),"")</f>
        <v>1.1279999999999999</v>
      </c>
      <c r="Y42">
        <f ca="1">IFERROR(IF(0=LEN(ReferenceData!$Y$42),"",ReferenceData!$Y$42),"")</f>
        <v>1.087</v>
      </c>
      <c r="Z42">
        <f ca="1">IFERROR(IF(0=LEN(ReferenceData!$Z$42),"",ReferenceData!$Z$42),"")</f>
        <v>1.1140000000000001</v>
      </c>
      <c r="AA42">
        <f ca="1">IFERROR(IF(0=LEN(ReferenceData!$AA$42),"",ReferenceData!$AA$42),"")</f>
        <v>0.42799999999999999</v>
      </c>
      <c r="AB42">
        <f ca="1">IFERROR(IF(0=LEN(ReferenceData!$AB$42),"",ReferenceData!$AB$42),"")</f>
        <v>1.1639999999999999</v>
      </c>
      <c r="AC42">
        <f ca="1">IFERROR(IF(0=LEN(ReferenceData!$AC$42),"",ReferenceData!$AC$42),"")</f>
        <v>9.0939999999999994</v>
      </c>
      <c r="AD42">
        <f ca="1">IFERROR(IF(0=LEN(ReferenceData!$AD$42),"",ReferenceData!$AD$42),"")</f>
        <v>12.606999999999999</v>
      </c>
      <c r="AE42">
        <f ca="1">IFERROR(IF(0=LEN(ReferenceData!$AE$42),"",ReferenceData!$AE$42),"")</f>
        <v>12.798</v>
      </c>
      <c r="AF42">
        <f ca="1">IFERROR(IF(0=LEN(ReferenceData!$AF$42),"",ReferenceData!$AF$42),"")</f>
        <v>13.823</v>
      </c>
      <c r="AG42">
        <f ca="1">IFERROR(IF(0=LEN(ReferenceData!$AG$42),"",ReferenceData!$AG$42),"")</f>
        <v>13.92</v>
      </c>
      <c r="AH42">
        <f ca="1">IFERROR(IF(0=LEN(ReferenceData!$AH$42),"",ReferenceData!$AH$42),"")</f>
        <v>10.356999999999999</v>
      </c>
      <c r="AI42">
        <f ca="1">IFERROR(IF(0=LEN(ReferenceData!$AI$42),"",ReferenceData!$AI$42),"")</f>
        <v>8.9979999999999993</v>
      </c>
      <c r="AJ42">
        <f ca="1">IFERROR(IF(0=LEN(ReferenceData!$AJ$42),"",ReferenceData!$AJ$42),"")</f>
        <v>10.769</v>
      </c>
      <c r="AK42">
        <f ca="1">IFERROR(IF(0=LEN(ReferenceData!$AK$42),"",ReferenceData!$AK$42),"")</f>
        <v>10.308999999999999</v>
      </c>
      <c r="AL42">
        <f ca="1">IFERROR(IF(0=LEN(ReferenceData!$AL$42),"",ReferenceData!$AL$42),"")</f>
        <v>8.3490000000000002</v>
      </c>
      <c r="AM42">
        <f ca="1">IFERROR(IF(0=LEN(ReferenceData!$AM$42),"",ReferenceData!$AM$42),"")</f>
        <v>9.43</v>
      </c>
      <c r="AN42">
        <f ca="1">IFERROR(IF(0=LEN(ReferenceData!$AN$42),"",ReferenceData!$AN$42),"")</f>
        <v>9.2159999999999993</v>
      </c>
      <c r="AO42">
        <f ca="1">IFERROR(IF(0=LEN(ReferenceData!$AO$42),"",ReferenceData!$AO$42),"")</f>
        <v>1.746</v>
      </c>
      <c r="AP42">
        <f ca="1">IFERROR(IF(0=LEN(ReferenceData!$AP$42),"",ReferenceData!$AP$42),"")</f>
        <v>1.8859999999999999</v>
      </c>
      <c r="AQ42" t="str">
        <f ca="1">IFERROR(IF(0=LEN(ReferenceData!$AQ$42),"",ReferenceData!$AQ$42),"")</f>
        <v/>
      </c>
      <c r="AR42" t="str">
        <f ca="1">IFERROR(IF(0=LEN(ReferenceData!$AR$42),"",ReferenceData!$AR$42),"")</f>
        <v/>
      </c>
      <c r="AS42" t="str">
        <f ca="1">IFERROR(IF(0=LEN(ReferenceData!$AS$42),"",ReferenceData!$AS$42),"")</f>
        <v/>
      </c>
      <c r="AT42" t="str">
        <f ca="1">IFERROR(IF(0=LEN(ReferenceData!$AT$42),"",ReferenceData!$AT$42),"")</f>
        <v/>
      </c>
      <c r="AU42" t="str">
        <f ca="1">IFERROR(IF(0=LEN(ReferenceData!$AU$42),"",ReferenceData!$AU$42),"")</f>
        <v/>
      </c>
      <c r="AV42" t="str">
        <f ca="1">IFERROR(IF(0=LEN(ReferenceData!$AV$42),"",ReferenceData!$AV$42),"")</f>
        <v/>
      </c>
      <c r="AW42" t="str">
        <f ca="1">IFERROR(IF(0=LEN(ReferenceData!$AW$42),"",ReferenceData!$AW$42),"")</f>
        <v/>
      </c>
      <c r="AX42" t="str">
        <f ca="1">IFERROR(IF(0=LEN(ReferenceData!$AX$42),"",ReferenceData!$AX$42),"")</f>
        <v/>
      </c>
      <c r="AY42" t="str">
        <f ca="1">IFERROR(IF(0=LEN(ReferenceData!$AY$42),"",ReferenceData!$AY$42),"")</f>
        <v/>
      </c>
      <c r="AZ42" t="str">
        <f ca="1">IFERROR(IF(0=LEN(ReferenceData!$AZ$42),"",ReferenceData!$AZ$42),"")</f>
        <v/>
      </c>
      <c r="BA42" t="str">
        <f ca="1">IFERROR(IF(0=LEN(ReferenceData!$BA$42),"",ReferenceData!$BA$42),"")</f>
        <v/>
      </c>
      <c r="BB42" t="str">
        <f ca="1">IFERROR(IF(0=LEN(ReferenceData!$BB$42),"",ReferenceData!$BB$42),"")</f>
        <v/>
      </c>
      <c r="BC42" t="str">
        <f ca="1">IFERROR(IF(0=LEN(ReferenceData!$BC$42),"",ReferenceData!$BC$42),"")</f>
        <v/>
      </c>
      <c r="BD42" t="str">
        <f ca="1">IFERROR(IF(0=LEN(ReferenceData!$BD$42),"",ReferenceData!$BD$42),"")</f>
        <v/>
      </c>
      <c r="BE42" t="str">
        <f ca="1">IFERROR(IF(0=LEN(ReferenceData!$BE$42),"",ReferenceData!$BE$42),"")</f>
        <v/>
      </c>
      <c r="BF42" t="str">
        <f ca="1">IFERROR(IF(0=LEN(ReferenceData!$BF$42),"",ReferenceData!$BF$42),"")</f>
        <v/>
      </c>
      <c r="BG42" t="str">
        <f ca="1">IFERROR(IF(0=LEN(ReferenceData!$BG$42),"",ReferenceData!$BG$42),"")</f>
        <v/>
      </c>
      <c r="BH42" t="str">
        <f ca="1">IFERROR(IF(0=LEN(ReferenceData!$BH$42),"",ReferenceData!$BH$42),"")</f>
        <v/>
      </c>
      <c r="BI42" t="str">
        <f ca="1">IFERROR(IF(0=LEN(ReferenceData!$BI$42),"",ReferenceData!$BI$42),"")</f>
        <v/>
      </c>
      <c r="BJ42" t="str">
        <f ca="1">IFERROR(IF(0=LEN(ReferenceData!$BJ$42),"",ReferenceData!$BJ$42),"")</f>
        <v/>
      </c>
      <c r="BK42" t="str">
        <f ca="1">IFERROR(IF(0=LEN(ReferenceData!$BK$42),"",ReferenceData!$BK$42),"")</f>
        <v/>
      </c>
      <c r="BL42" t="str">
        <f ca="1">IFERROR(IF(0=LEN(ReferenceData!$BL$42),"",ReferenceData!$BL$42),"")</f>
        <v/>
      </c>
      <c r="BM42" t="str">
        <f ca="1">IFERROR(IF(0=LEN(ReferenceData!$BM$42),"",ReferenceData!$BM$42),"")</f>
        <v/>
      </c>
    </row>
    <row r="43" spans="1:65">
      <c r="A43" t="str">
        <f>IFERROR(IF(0=LEN(ReferenceData!$A$43),"",ReferenceData!$A$43),"")</f>
        <v xml:space="preserve">    Realty Income Corp</v>
      </c>
      <c r="B43" t="str">
        <f>IFERROR(IF(0=LEN(ReferenceData!$B$43),"",ReferenceData!$B$43),"")</f>
        <v>O US Equity</v>
      </c>
      <c r="C43" t="str">
        <f>IFERROR(IF(0=LEN(ReferenceData!$C$43),"",ReferenceData!$C$43),"")</f>
        <v>IM281</v>
      </c>
      <c r="D43" t="str">
        <f>IFERROR(IF(0=LEN(ReferenceData!$D$43),"",ReferenceData!$D$43),"")</f>
        <v>IS_NON_REAL_ESTATE_INCOME</v>
      </c>
      <c r="E43" t="str">
        <f>IFERROR(IF(0=LEN(ReferenceData!$E$43),"",ReferenceData!$E$43),"")</f>
        <v>动态</v>
      </c>
      <c r="F43" t="str">
        <f ca="1">IFERROR(IF(0=LEN(ReferenceData!$F$43),"",ReferenceData!$F$43),"")</f>
        <v/>
      </c>
      <c r="G43">
        <f ca="1">IFERROR(IF(0=LEN(ReferenceData!$G$43),"",ReferenceData!$G$43),"")</f>
        <v>0.59</v>
      </c>
      <c r="H43">
        <f ca="1">IFERROR(IF(0=LEN(ReferenceData!$H$43),"",ReferenceData!$H$43),"")</f>
        <v>1.532</v>
      </c>
      <c r="I43">
        <f ca="1">IFERROR(IF(0=LEN(ReferenceData!$I$43),"",ReferenceData!$I$43),"")</f>
        <v>0.36499999999999999</v>
      </c>
      <c r="J43">
        <f ca="1">IFERROR(IF(0=LEN(ReferenceData!$J$43),"",ReferenceData!$J$43),"")</f>
        <v>0.97499999999999998</v>
      </c>
      <c r="K43">
        <f ca="1">IFERROR(IF(0=LEN(ReferenceData!$K$43),"",ReferenceData!$K$43),"")</f>
        <v>1.256</v>
      </c>
      <c r="L43">
        <f ca="1">IFERROR(IF(0=LEN(ReferenceData!$L$43),"",ReferenceData!$L$43),"")</f>
        <v>0.318</v>
      </c>
      <c r="M43">
        <f ca="1">IFERROR(IF(0=LEN(ReferenceData!$M$43),"",ReferenceData!$M$43),"")</f>
        <v>-0.129</v>
      </c>
      <c r="N43">
        <f ca="1">IFERROR(IF(0=LEN(ReferenceData!$N$43),"",ReferenceData!$N$43),"")</f>
        <v>1.21</v>
      </c>
      <c r="O43">
        <f ca="1">IFERROR(IF(0=LEN(ReferenceData!$O$43),"",ReferenceData!$O$43),"")</f>
        <v>0.67600000000000005</v>
      </c>
      <c r="P43">
        <f ca="1">IFERROR(IF(0=LEN(ReferenceData!$P$43),"",ReferenceData!$P$43),"")</f>
        <v>1.1240000000000001</v>
      </c>
      <c r="Q43">
        <f ca="1">IFERROR(IF(0=LEN(ReferenceData!$Q$43),"",ReferenceData!$Q$43),"")</f>
        <v>0.82199999999999995</v>
      </c>
      <c r="R43">
        <f ca="1">IFERROR(IF(0=LEN(ReferenceData!$R$43),"",ReferenceData!$R$43),"")</f>
        <v>1.782</v>
      </c>
      <c r="S43">
        <f ca="1">IFERROR(IF(0=LEN(ReferenceData!$S$43),"",ReferenceData!$S$43),"")</f>
        <v>0.69199999999999995</v>
      </c>
      <c r="T43">
        <f ca="1">IFERROR(IF(0=LEN(ReferenceData!$T$43),"",ReferenceData!$T$43),"")</f>
        <v>0.60599999999999998</v>
      </c>
      <c r="U43">
        <f ca="1">IFERROR(IF(0=LEN(ReferenceData!$U$43),"",ReferenceData!$U$43),"")</f>
        <v>0.60899999999999999</v>
      </c>
      <c r="V43">
        <f ca="1">IFERROR(IF(0=LEN(ReferenceData!$V$43),"",ReferenceData!$V$43),"")</f>
        <v>1.0229999999999999</v>
      </c>
      <c r="W43">
        <f ca="1">IFERROR(IF(0=LEN(ReferenceData!$W$43),"",ReferenceData!$W$43),"")</f>
        <v>1.84</v>
      </c>
      <c r="X43">
        <f ca="1">IFERROR(IF(0=LEN(ReferenceData!$X$43),"",ReferenceData!$X$43),"")</f>
        <v>1.6419999999999999</v>
      </c>
      <c r="Y43">
        <f ca="1">IFERROR(IF(0=LEN(ReferenceData!$Y$43),"",ReferenceData!$Y$43),"")</f>
        <v>1.869</v>
      </c>
      <c r="Z43">
        <f ca="1">IFERROR(IF(0=LEN(ReferenceData!$Z$43),"",ReferenceData!$Z$43),"")</f>
        <v>1.6970000000000001</v>
      </c>
      <c r="AA43">
        <f ca="1">IFERROR(IF(0=LEN(ReferenceData!$AA$43),"",ReferenceData!$AA$43),"")</f>
        <v>0.51900000000000002</v>
      </c>
      <c r="AB43">
        <f ca="1">IFERROR(IF(0=LEN(ReferenceData!$AB$43),"",ReferenceData!$AB$43),"")</f>
        <v>0.35399999999999998</v>
      </c>
      <c r="AC43">
        <f ca="1">IFERROR(IF(0=LEN(ReferenceData!$AC$43),"",ReferenceData!$AC$43),"")</f>
        <v>0.60499999999999998</v>
      </c>
      <c r="AD43">
        <f ca="1">IFERROR(IF(0=LEN(ReferenceData!$AD$43),"",ReferenceData!$AD$43),"")</f>
        <v>0.252</v>
      </c>
      <c r="AE43">
        <f ca="1">IFERROR(IF(0=LEN(ReferenceData!$AE$43),"",ReferenceData!$AE$43),"")</f>
        <v>0.77700000000000002</v>
      </c>
      <c r="AF43">
        <f ca="1">IFERROR(IF(0=LEN(ReferenceData!$AF$43),"",ReferenceData!$AF$43),"")</f>
        <v>0.48799999999999999</v>
      </c>
      <c r="AG43">
        <f ca="1">IFERROR(IF(0=LEN(ReferenceData!$AG$43),"",ReferenceData!$AG$43),"")</f>
        <v>0.25900000000000001</v>
      </c>
      <c r="AH43">
        <f ca="1">IFERROR(IF(0=LEN(ReferenceData!$AH$43),"",ReferenceData!$AH$43),"")</f>
        <v>0.13900000000000001</v>
      </c>
      <c r="AI43">
        <f ca="1">IFERROR(IF(0=LEN(ReferenceData!$AI$43),"",ReferenceData!$AI$43),"")</f>
        <v>0.27100000000000002</v>
      </c>
      <c r="AJ43">
        <f ca="1">IFERROR(IF(0=LEN(ReferenceData!$AJ$43),"",ReferenceData!$AJ$43),"")</f>
        <v>8.4000000000000005E-2</v>
      </c>
      <c r="AK43">
        <f ca="1">IFERROR(IF(0=LEN(ReferenceData!$AK$43),"",ReferenceData!$AK$43),"")</f>
        <v>0.19500000000000001</v>
      </c>
      <c r="AL43">
        <f ca="1">IFERROR(IF(0=LEN(ReferenceData!$AL$43),"",ReferenceData!$AL$43),"")</f>
        <v>0.106</v>
      </c>
      <c r="AM43">
        <f ca="1">IFERROR(IF(0=LEN(ReferenceData!$AM$43),"",ReferenceData!$AM$43),"")</f>
        <v>0.17</v>
      </c>
      <c r="AN43">
        <f ca="1">IFERROR(IF(0=LEN(ReferenceData!$AN$43),"",ReferenceData!$AN$43),"")</f>
        <v>0.42699999999999999</v>
      </c>
      <c r="AO43">
        <f ca="1">IFERROR(IF(0=LEN(ReferenceData!$AO$43),"",ReferenceData!$AO$43),"")</f>
        <v>8.5000000000000006E-2</v>
      </c>
      <c r="AP43">
        <f ca="1">IFERROR(IF(0=LEN(ReferenceData!$AP$43),"",ReferenceData!$AP$43),"")</f>
        <v>0.754</v>
      </c>
      <c r="AQ43" t="str">
        <f ca="1">IFERROR(IF(0=LEN(ReferenceData!$AQ$43),"",ReferenceData!$AQ$43),"")</f>
        <v/>
      </c>
      <c r="AR43" t="str">
        <f ca="1">IFERROR(IF(0=LEN(ReferenceData!$AR$43),"",ReferenceData!$AR$43),"")</f>
        <v/>
      </c>
      <c r="AS43" t="str">
        <f ca="1">IFERROR(IF(0=LEN(ReferenceData!$AS$43),"",ReferenceData!$AS$43),"")</f>
        <v/>
      </c>
      <c r="AT43" t="str">
        <f ca="1">IFERROR(IF(0=LEN(ReferenceData!$AT$43),"",ReferenceData!$AT$43),"")</f>
        <v/>
      </c>
      <c r="AU43" t="str">
        <f ca="1">IFERROR(IF(0=LEN(ReferenceData!$AU$43),"",ReferenceData!$AU$43),"")</f>
        <v/>
      </c>
      <c r="AV43" t="str">
        <f ca="1">IFERROR(IF(0=LEN(ReferenceData!$AV$43),"",ReferenceData!$AV$43),"")</f>
        <v/>
      </c>
      <c r="AW43" t="str">
        <f ca="1">IFERROR(IF(0=LEN(ReferenceData!$AW$43),"",ReferenceData!$AW$43),"")</f>
        <v/>
      </c>
      <c r="AX43" t="str">
        <f ca="1">IFERROR(IF(0=LEN(ReferenceData!$AX$43),"",ReferenceData!$AX$43),"")</f>
        <v/>
      </c>
      <c r="AY43" t="str">
        <f ca="1">IFERROR(IF(0=LEN(ReferenceData!$AY$43),"",ReferenceData!$AY$43),"")</f>
        <v/>
      </c>
      <c r="AZ43" t="str">
        <f ca="1">IFERROR(IF(0=LEN(ReferenceData!$AZ$43),"",ReferenceData!$AZ$43),"")</f>
        <v/>
      </c>
      <c r="BA43" t="str">
        <f ca="1">IFERROR(IF(0=LEN(ReferenceData!$BA$43),"",ReferenceData!$BA$43),"")</f>
        <v/>
      </c>
      <c r="BB43" t="str">
        <f ca="1">IFERROR(IF(0=LEN(ReferenceData!$BB$43),"",ReferenceData!$BB$43),"")</f>
        <v/>
      </c>
      <c r="BC43" t="str">
        <f ca="1">IFERROR(IF(0=LEN(ReferenceData!$BC$43),"",ReferenceData!$BC$43),"")</f>
        <v/>
      </c>
      <c r="BD43" t="str">
        <f ca="1">IFERROR(IF(0=LEN(ReferenceData!$BD$43),"",ReferenceData!$BD$43),"")</f>
        <v/>
      </c>
      <c r="BE43" t="str">
        <f ca="1">IFERROR(IF(0=LEN(ReferenceData!$BE$43),"",ReferenceData!$BE$43),"")</f>
        <v/>
      </c>
      <c r="BF43" t="str">
        <f ca="1">IFERROR(IF(0=LEN(ReferenceData!$BF$43),"",ReferenceData!$BF$43),"")</f>
        <v/>
      </c>
      <c r="BG43" t="str">
        <f ca="1">IFERROR(IF(0=LEN(ReferenceData!$BG$43),"",ReferenceData!$BG$43),"")</f>
        <v/>
      </c>
      <c r="BH43" t="str">
        <f ca="1">IFERROR(IF(0=LEN(ReferenceData!$BH$43),"",ReferenceData!$BH$43),"")</f>
        <v/>
      </c>
      <c r="BI43" t="str">
        <f ca="1">IFERROR(IF(0=LEN(ReferenceData!$BI$43),"",ReferenceData!$BI$43),"")</f>
        <v/>
      </c>
      <c r="BJ43" t="str">
        <f ca="1">IFERROR(IF(0=LEN(ReferenceData!$BJ$43),"",ReferenceData!$BJ$43),"")</f>
        <v/>
      </c>
      <c r="BK43" t="str">
        <f ca="1">IFERROR(IF(0=LEN(ReferenceData!$BK$43),"",ReferenceData!$BK$43),"")</f>
        <v/>
      </c>
      <c r="BL43" t="str">
        <f ca="1">IFERROR(IF(0=LEN(ReferenceData!$BL$43),"",ReferenceData!$BL$43),"")</f>
        <v/>
      </c>
      <c r="BM43" t="str">
        <f ca="1">IFERROR(IF(0=LEN(ReferenceData!$BM$43),"",ReferenceData!$BM$43),"")</f>
        <v/>
      </c>
    </row>
    <row r="44" spans="1:65">
      <c r="A44" t="str">
        <f>IFERROR(IF(0=LEN(ReferenceData!$A$44),"",ReferenceData!$A$44),"")</f>
        <v xml:space="preserve">    Regency Centers Corp</v>
      </c>
      <c r="B44" t="str">
        <f>IFERROR(IF(0=LEN(ReferenceData!$B$44),"",ReferenceData!$B$44),"")</f>
        <v>REG US Equity</v>
      </c>
      <c r="C44" t="str">
        <f>IFERROR(IF(0=LEN(ReferenceData!$C$44),"",ReferenceData!$C$44),"")</f>
        <v>IM281</v>
      </c>
      <c r="D44" t="str">
        <f>IFERROR(IF(0=LEN(ReferenceData!$D$44),"",ReferenceData!$D$44),"")</f>
        <v>IS_NON_REAL_ESTATE_INCOME</v>
      </c>
      <c r="E44" t="str">
        <f>IFERROR(IF(0=LEN(ReferenceData!$E$44),"",ReferenceData!$E$44),"")</f>
        <v>动态</v>
      </c>
      <c r="F44" t="str">
        <f ca="1">IFERROR(IF(0=LEN(ReferenceData!$F$44),"",ReferenceData!$F$44),"")</f>
        <v/>
      </c>
      <c r="G44">
        <f ca="1">IFERROR(IF(0=LEN(ReferenceData!$G$44),"",ReferenceData!$G$44),"")</f>
        <v>0</v>
      </c>
      <c r="H44">
        <f ca="1">IFERROR(IF(0=LEN(ReferenceData!$H$44),"",ReferenceData!$H$44),"")</f>
        <v>0</v>
      </c>
      <c r="I44">
        <f ca="1">IFERROR(IF(0=LEN(ReferenceData!$I$44),"",ReferenceData!$I$44),"")</f>
        <v>0</v>
      </c>
      <c r="J44">
        <f ca="1">IFERROR(IF(0=LEN(ReferenceData!$J$44),"",ReferenceData!$J$44),"")</f>
        <v>0</v>
      </c>
      <c r="K44">
        <f ca="1">IFERROR(IF(0=LEN(ReferenceData!$K$44),"",ReferenceData!$K$44),"")</f>
        <v>0</v>
      </c>
      <c r="L44">
        <f ca="1">IFERROR(IF(0=LEN(ReferenceData!$L$44),"",ReferenceData!$L$44),"")</f>
        <v>0</v>
      </c>
      <c r="M44">
        <f ca="1">IFERROR(IF(0=LEN(ReferenceData!$M$44),"",ReferenceData!$M$44),"")</f>
        <v>0</v>
      </c>
      <c r="N44">
        <f ca="1">IFERROR(IF(0=LEN(ReferenceData!$N$44),"",ReferenceData!$N$44),"")</f>
        <v>0</v>
      </c>
      <c r="O44">
        <f ca="1">IFERROR(IF(0=LEN(ReferenceData!$O$44),"",ReferenceData!$O$44),"")</f>
        <v>0</v>
      </c>
      <c r="P44">
        <f ca="1">IFERROR(IF(0=LEN(ReferenceData!$P$44),"",ReferenceData!$P$44),"")</f>
        <v>0</v>
      </c>
      <c r="Q44">
        <f ca="1">IFERROR(IF(0=LEN(ReferenceData!$Q$44),"",ReferenceData!$Q$44),"")</f>
        <v>0</v>
      </c>
      <c r="R44">
        <f ca="1">IFERROR(IF(0=LEN(ReferenceData!$R$44),"",ReferenceData!$R$44),"")</f>
        <v>0</v>
      </c>
      <c r="S44">
        <f ca="1">IFERROR(IF(0=LEN(ReferenceData!$S$44),"",ReferenceData!$S$44),"")</f>
        <v>0</v>
      </c>
      <c r="T44">
        <f ca="1">IFERROR(IF(0=LEN(ReferenceData!$T$44),"",ReferenceData!$T$44),"")</f>
        <v>0</v>
      </c>
      <c r="U44">
        <f ca="1">IFERROR(IF(0=LEN(ReferenceData!$U$44),"",ReferenceData!$U$44),"")</f>
        <v>0</v>
      </c>
      <c r="V44">
        <f ca="1">IFERROR(IF(0=LEN(ReferenceData!$V$44),"",ReferenceData!$V$44),"")</f>
        <v>0</v>
      </c>
      <c r="W44">
        <f ca="1">IFERROR(IF(0=LEN(ReferenceData!$W$44),"",ReferenceData!$W$44),"")</f>
        <v>0</v>
      </c>
      <c r="X44">
        <f ca="1">IFERROR(IF(0=LEN(ReferenceData!$X$44),"",ReferenceData!$X$44),"")</f>
        <v>0</v>
      </c>
      <c r="Y44">
        <f ca="1">IFERROR(IF(0=LEN(ReferenceData!$Y$44),"",ReferenceData!$Y$44),"")</f>
        <v>0</v>
      </c>
      <c r="Z44">
        <f ca="1">IFERROR(IF(0=LEN(ReferenceData!$Z$44),"",ReferenceData!$Z$44),"")</f>
        <v>0</v>
      </c>
      <c r="AA44">
        <f ca="1">IFERROR(IF(0=LEN(ReferenceData!$AA$44),"",ReferenceData!$AA$44),"")</f>
        <v>0</v>
      </c>
      <c r="AB44">
        <f ca="1">IFERROR(IF(0=LEN(ReferenceData!$AB$44),"",ReferenceData!$AB$44),"")</f>
        <v>0</v>
      </c>
      <c r="AC44">
        <f ca="1">IFERROR(IF(0=LEN(ReferenceData!$AC$44),"",ReferenceData!$AC$44),"")</f>
        <v>0</v>
      </c>
      <c r="AD44">
        <f ca="1">IFERROR(IF(0=LEN(ReferenceData!$AD$44),"",ReferenceData!$AD$44),"")</f>
        <v>0</v>
      </c>
      <c r="AE44">
        <f ca="1">IFERROR(IF(0=LEN(ReferenceData!$AE$44),"",ReferenceData!$AE$44),"")</f>
        <v>0</v>
      </c>
      <c r="AF44">
        <f ca="1">IFERROR(IF(0=LEN(ReferenceData!$AF$44),"",ReferenceData!$AF$44),"")</f>
        <v>0</v>
      </c>
      <c r="AG44">
        <f ca="1">IFERROR(IF(0=LEN(ReferenceData!$AG$44),"",ReferenceData!$AG$44),"")</f>
        <v>0</v>
      </c>
      <c r="AH44">
        <f ca="1">IFERROR(IF(0=LEN(ReferenceData!$AH$44),"",ReferenceData!$AH$44),"")</f>
        <v>0</v>
      </c>
      <c r="AI44">
        <f ca="1">IFERROR(IF(0=LEN(ReferenceData!$AI$44),"",ReferenceData!$AI$44),"")</f>
        <v>0</v>
      </c>
      <c r="AJ44">
        <f ca="1">IFERROR(IF(0=LEN(ReferenceData!$AJ$44),"",ReferenceData!$AJ$44),"")</f>
        <v>0</v>
      </c>
      <c r="AK44">
        <f ca="1">IFERROR(IF(0=LEN(ReferenceData!$AK$44),"",ReferenceData!$AK$44),"")</f>
        <v>0</v>
      </c>
      <c r="AL44">
        <f ca="1">IFERROR(IF(0=LEN(ReferenceData!$AL$44),"",ReferenceData!$AL$44),"")</f>
        <v>0</v>
      </c>
      <c r="AM44">
        <f ca="1">IFERROR(IF(0=LEN(ReferenceData!$AM$44),"",ReferenceData!$AM$44),"")</f>
        <v>0</v>
      </c>
      <c r="AN44">
        <f ca="1">IFERROR(IF(0=LEN(ReferenceData!$AN$44),"",ReferenceData!$AN$44),"")</f>
        <v>0</v>
      </c>
      <c r="AO44">
        <f ca="1">IFERROR(IF(0=LEN(ReferenceData!$AO$44),"",ReferenceData!$AO$44),"")</f>
        <v>0</v>
      </c>
      <c r="AP44">
        <f ca="1">IFERROR(IF(0=LEN(ReferenceData!$AP$44),"",ReferenceData!$AP$44),"")</f>
        <v>0</v>
      </c>
      <c r="AQ44" t="str">
        <f ca="1">IFERROR(IF(0=LEN(ReferenceData!$AQ$44),"",ReferenceData!$AQ$44),"")</f>
        <v/>
      </c>
      <c r="AR44" t="str">
        <f ca="1">IFERROR(IF(0=LEN(ReferenceData!$AR$44),"",ReferenceData!$AR$44),"")</f>
        <v/>
      </c>
      <c r="AS44" t="str">
        <f ca="1">IFERROR(IF(0=LEN(ReferenceData!$AS$44),"",ReferenceData!$AS$44),"")</f>
        <v/>
      </c>
      <c r="AT44" t="str">
        <f ca="1">IFERROR(IF(0=LEN(ReferenceData!$AT$44),"",ReferenceData!$AT$44),"")</f>
        <v/>
      </c>
      <c r="AU44" t="str">
        <f ca="1">IFERROR(IF(0=LEN(ReferenceData!$AU$44),"",ReferenceData!$AU$44),"")</f>
        <v/>
      </c>
      <c r="AV44" t="str">
        <f ca="1">IFERROR(IF(0=LEN(ReferenceData!$AV$44),"",ReferenceData!$AV$44),"")</f>
        <v/>
      </c>
      <c r="AW44" t="str">
        <f ca="1">IFERROR(IF(0=LEN(ReferenceData!$AW$44),"",ReferenceData!$AW$44),"")</f>
        <v/>
      </c>
      <c r="AX44" t="str">
        <f ca="1">IFERROR(IF(0=LEN(ReferenceData!$AX$44),"",ReferenceData!$AX$44),"")</f>
        <v/>
      </c>
      <c r="AY44" t="str">
        <f ca="1">IFERROR(IF(0=LEN(ReferenceData!$AY$44),"",ReferenceData!$AY$44),"")</f>
        <v/>
      </c>
      <c r="AZ44" t="str">
        <f ca="1">IFERROR(IF(0=LEN(ReferenceData!$AZ$44),"",ReferenceData!$AZ$44),"")</f>
        <v/>
      </c>
      <c r="BA44" t="str">
        <f ca="1">IFERROR(IF(0=LEN(ReferenceData!$BA$44),"",ReferenceData!$BA$44),"")</f>
        <v/>
      </c>
      <c r="BB44" t="str">
        <f ca="1">IFERROR(IF(0=LEN(ReferenceData!$BB$44),"",ReferenceData!$BB$44),"")</f>
        <v/>
      </c>
      <c r="BC44" t="str">
        <f ca="1">IFERROR(IF(0=LEN(ReferenceData!$BC$44),"",ReferenceData!$BC$44),"")</f>
        <v/>
      </c>
      <c r="BD44" t="str">
        <f ca="1">IFERROR(IF(0=LEN(ReferenceData!$BD$44),"",ReferenceData!$BD$44),"")</f>
        <v/>
      </c>
      <c r="BE44" t="str">
        <f ca="1">IFERROR(IF(0=LEN(ReferenceData!$BE$44),"",ReferenceData!$BE$44),"")</f>
        <v/>
      </c>
      <c r="BF44" t="str">
        <f ca="1">IFERROR(IF(0=LEN(ReferenceData!$BF$44),"",ReferenceData!$BF$44),"")</f>
        <v/>
      </c>
      <c r="BG44" t="str">
        <f ca="1">IFERROR(IF(0=LEN(ReferenceData!$BG$44),"",ReferenceData!$BG$44),"")</f>
        <v/>
      </c>
      <c r="BH44" t="str">
        <f ca="1">IFERROR(IF(0=LEN(ReferenceData!$BH$44),"",ReferenceData!$BH$44),"")</f>
        <v/>
      </c>
      <c r="BI44" t="str">
        <f ca="1">IFERROR(IF(0=LEN(ReferenceData!$BI$44),"",ReferenceData!$BI$44),"")</f>
        <v/>
      </c>
      <c r="BJ44" t="str">
        <f ca="1">IFERROR(IF(0=LEN(ReferenceData!$BJ$44),"",ReferenceData!$BJ$44),"")</f>
        <v/>
      </c>
      <c r="BK44" t="str">
        <f ca="1">IFERROR(IF(0=LEN(ReferenceData!$BK$44),"",ReferenceData!$BK$44),"")</f>
        <v/>
      </c>
      <c r="BL44" t="str">
        <f ca="1">IFERROR(IF(0=LEN(ReferenceData!$BL$44),"",ReferenceData!$BL$44),"")</f>
        <v/>
      </c>
      <c r="BM44" t="str">
        <f ca="1">IFERROR(IF(0=LEN(ReferenceData!$BM$44),"",ReferenceData!$BM$44),"")</f>
        <v/>
      </c>
    </row>
    <row r="45" spans="1:65">
      <c r="A45" t="str">
        <f>IFERROR(IF(0=LEN(ReferenceData!$A$45),"",ReferenceData!$A$45),"")</f>
        <v xml:space="preserve">    Retail Opportunity Investments</v>
      </c>
      <c r="B45" t="str">
        <f>IFERROR(IF(0=LEN(ReferenceData!$B$45),"",ReferenceData!$B$45),"")</f>
        <v>ROIC US Equity</v>
      </c>
      <c r="C45" t="str">
        <f>IFERROR(IF(0=LEN(ReferenceData!$C$45),"",ReferenceData!$C$45),"")</f>
        <v>IM281</v>
      </c>
      <c r="D45" t="str">
        <f>IFERROR(IF(0=LEN(ReferenceData!$D$45),"",ReferenceData!$D$45),"")</f>
        <v>IS_NON_REAL_ESTATE_INCOME</v>
      </c>
      <c r="E45" t="str">
        <f>IFERROR(IF(0=LEN(ReferenceData!$E$45),"",ReferenceData!$E$45),"")</f>
        <v>动态</v>
      </c>
      <c r="F45" t="str">
        <f ca="1">IFERROR(IF(0=LEN(ReferenceData!$F$45),"",ReferenceData!$F$45),"")</f>
        <v/>
      </c>
      <c r="G45">
        <f ca="1">IFERROR(IF(0=LEN(ReferenceData!$G$45),"",ReferenceData!$G$45),"")</f>
        <v>1.35</v>
      </c>
      <c r="H45">
        <f ca="1">IFERROR(IF(0=LEN(ReferenceData!$H$45),"",ReferenceData!$H$45),"")</f>
        <v>0.88500000000000001</v>
      </c>
      <c r="I45">
        <f ca="1">IFERROR(IF(0=LEN(ReferenceData!$I$45),"",ReferenceData!$I$45),"")</f>
        <v>0.89</v>
      </c>
      <c r="J45">
        <f ca="1">IFERROR(IF(0=LEN(ReferenceData!$J$45),"",ReferenceData!$J$45),"")</f>
        <v>0.753</v>
      </c>
      <c r="K45">
        <f ca="1">IFERROR(IF(0=LEN(ReferenceData!$K$45),"",ReferenceData!$K$45),"")</f>
        <v>0.85699999999999998</v>
      </c>
      <c r="L45">
        <f ca="1">IFERROR(IF(0=LEN(ReferenceData!$L$45),"",ReferenceData!$L$45),"")</f>
        <v>0.65400000000000003</v>
      </c>
      <c r="M45">
        <f ca="1">IFERROR(IF(0=LEN(ReferenceData!$M$45),"",ReferenceData!$M$45),"")</f>
        <v>0.50800000000000001</v>
      </c>
      <c r="N45">
        <f ca="1">IFERROR(IF(0=LEN(ReferenceData!$N$45),"",ReferenceData!$N$45),"")</f>
        <v>0.38600000000000001</v>
      </c>
      <c r="O45">
        <f ca="1">IFERROR(IF(0=LEN(ReferenceData!$O$45),"",ReferenceData!$O$45),"")</f>
        <v>0.79400000000000004</v>
      </c>
      <c r="P45">
        <f ca="1">IFERROR(IF(0=LEN(ReferenceData!$P$45),"",ReferenceData!$P$45),"")</f>
        <v>2.1440000000000001</v>
      </c>
      <c r="Q45">
        <f ca="1">IFERROR(IF(0=LEN(ReferenceData!$Q$45),"",ReferenceData!$Q$45),"")</f>
        <v>0.34599999999999997</v>
      </c>
      <c r="R45">
        <f ca="1">IFERROR(IF(0=LEN(ReferenceData!$R$45),"",ReferenceData!$R$45),"")</f>
        <v>0.23100000000000001</v>
      </c>
      <c r="S45">
        <f ca="1">IFERROR(IF(0=LEN(ReferenceData!$S$45),"",ReferenceData!$S$45),"")</f>
        <v>0.32297300000000001</v>
      </c>
      <c r="T45">
        <f ca="1">IFERROR(IF(0=LEN(ReferenceData!$T$45),"",ReferenceData!$T$45),"")</f>
        <v>1.1541429999999999</v>
      </c>
      <c r="U45">
        <f ca="1">IFERROR(IF(0=LEN(ReferenceData!$U$45),"",ReferenceData!$U$45),"")</f>
        <v>0.40006000000000003</v>
      </c>
      <c r="V45">
        <f ca="1">IFERROR(IF(0=LEN(ReferenceData!$V$45),"",ReferenceData!$V$45),"")</f>
        <v>1.1990000000000001</v>
      </c>
      <c r="W45">
        <f ca="1">IFERROR(IF(0=LEN(ReferenceData!$W$45),"",ReferenceData!$W$45),"")</f>
        <v>0</v>
      </c>
      <c r="X45">
        <f ca="1">IFERROR(IF(0=LEN(ReferenceData!$X$45),"",ReferenceData!$X$45),"")</f>
        <v>0.91906699999999997</v>
      </c>
      <c r="Y45">
        <f ca="1">IFERROR(IF(0=LEN(ReferenceData!$Y$45),"",ReferenceData!$Y$45),"")</f>
        <v>0.21983900000000001</v>
      </c>
      <c r="Z45">
        <f ca="1">IFERROR(IF(0=LEN(ReferenceData!$Z$45),"",ReferenceData!$Z$45),"")</f>
        <v>0</v>
      </c>
      <c r="AA45">
        <f ca="1">IFERROR(IF(0=LEN(ReferenceData!$AA$45),"",ReferenceData!$AA$45),"")</f>
        <v>0</v>
      </c>
      <c r="AB45">
        <f ca="1">IFERROR(IF(0=LEN(ReferenceData!$AB$45),"",ReferenceData!$AB$45),"")</f>
        <v>0</v>
      </c>
      <c r="AC45">
        <f ca="1">IFERROR(IF(0=LEN(ReferenceData!$AC$45),"",ReferenceData!$AC$45),"")</f>
        <v>0</v>
      </c>
      <c r="AD45">
        <f ca="1">IFERROR(IF(0=LEN(ReferenceData!$AD$45),"",ReferenceData!$AD$45),"")</f>
        <v>0</v>
      </c>
      <c r="AE45">
        <f ca="1">IFERROR(IF(0=LEN(ReferenceData!$AE$45),"",ReferenceData!$AE$45),"")</f>
        <v>0</v>
      </c>
      <c r="AF45">
        <f ca="1">IFERROR(IF(0=LEN(ReferenceData!$AF$45),"",ReferenceData!$AF$45),"")</f>
        <v>0</v>
      </c>
      <c r="AG45">
        <f ca="1">IFERROR(IF(0=LEN(ReferenceData!$AG$45),"",ReferenceData!$AG$45),"")</f>
        <v>0</v>
      </c>
      <c r="AH45">
        <f ca="1">IFERROR(IF(0=LEN(ReferenceData!$AH$45),"",ReferenceData!$AH$45),"")</f>
        <v>0</v>
      </c>
      <c r="AI45">
        <f ca="1">IFERROR(IF(0=LEN(ReferenceData!$AI$45),"",ReferenceData!$AI$45),"")</f>
        <v>0</v>
      </c>
      <c r="AJ45">
        <f ca="1">IFERROR(IF(0=LEN(ReferenceData!$AJ$45),"",ReferenceData!$AJ$45),"")</f>
        <v>0</v>
      </c>
      <c r="AK45">
        <f ca="1">IFERROR(IF(0=LEN(ReferenceData!$AK$45),"",ReferenceData!$AK$45),"")</f>
        <v>0</v>
      </c>
      <c r="AL45">
        <f ca="1">IFERROR(IF(0=LEN(ReferenceData!$AL$45),"",ReferenceData!$AL$45),"")</f>
        <v>0</v>
      </c>
      <c r="AM45" t="str">
        <f ca="1">IFERROR(IF(0=LEN(ReferenceData!$AM$45),"",ReferenceData!$AM$45),"")</f>
        <v/>
      </c>
      <c r="AN45" t="str">
        <f ca="1">IFERROR(IF(0=LEN(ReferenceData!$AN$45),"",ReferenceData!$AN$45),"")</f>
        <v/>
      </c>
      <c r="AO45" t="str">
        <f ca="1">IFERROR(IF(0=LEN(ReferenceData!$AO$45),"",ReferenceData!$AO$45),"")</f>
        <v/>
      </c>
      <c r="AP45" t="str">
        <f ca="1">IFERROR(IF(0=LEN(ReferenceData!$AP$45),"",ReferenceData!$AP$45),"")</f>
        <v/>
      </c>
      <c r="AQ45" t="str">
        <f ca="1">IFERROR(IF(0=LEN(ReferenceData!$AQ$45),"",ReferenceData!$AQ$45),"")</f>
        <v/>
      </c>
      <c r="AR45" t="str">
        <f ca="1">IFERROR(IF(0=LEN(ReferenceData!$AR$45),"",ReferenceData!$AR$45),"")</f>
        <v/>
      </c>
      <c r="AS45" t="str">
        <f ca="1">IFERROR(IF(0=LEN(ReferenceData!$AS$45),"",ReferenceData!$AS$45),"")</f>
        <v/>
      </c>
      <c r="AT45" t="str">
        <f ca="1">IFERROR(IF(0=LEN(ReferenceData!$AT$45),"",ReferenceData!$AT$45),"")</f>
        <v/>
      </c>
      <c r="AU45" t="str">
        <f ca="1">IFERROR(IF(0=LEN(ReferenceData!$AU$45),"",ReferenceData!$AU$45),"")</f>
        <v/>
      </c>
      <c r="AV45" t="str">
        <f ca="1">IFERROR(IF(0=LEN(ReferenceData!$AV$45),"",ReferenceData!$AV$45),"")</f>
        <v/>
      </c>
      <c r="AW45" t="str">
        <f ca="1">IFERROR(IF(0=LEN(ReferenceData!$AW$45),"",ReferenceData!$AW$45),"")</f>
        <v/>
      </c>
      <c r="AX45" t="str">
        <f ca="1">IFERROR(IF(0=LEN(ReferenceData!$AX$45),"",ReferenceData!$AX$45),"")</f>
        <v/>
      </c>
      <c r="AY45" t="str">
        <f ca="1">IFERROR(IF(0=LEN(ReferenceData!$AY$45),"",ReferenceData!$AY$45),"")</f>
        <v/>
      </c>
      <c r="AZ45" t="str">
        <f ca="1">IFERROR(IF(0=LEN(ReferenceData!$AZ$45),"",ReferenceData!$AZ$45),"")</f>
        <v/>
      </c>
      <c r="BA45" t="str">
        <f ca="1">IFERROR(IF(0=LEN(ReferenceData!$BA$45),"",ReferenceData!$BA$45),"")</f>
        <v/>
      </c>
      <c r="BB45" t="str">
        <f ca="1">IFERROR(IF(0=LEN(ReferenceData!$BB$45),"",ReferenceData!$BB$45),"")</f>
        <v/>
      </c>
      <c r="BC45" t="str">
        <f ca="1">IFERROR(IF(0=LEN(ReferenceData!$BC$45),"",ReferenceData!$BC$45),"")</f>
        <v/>
      </c>
      <c r="BD45" t="str">
        <f ca="1">IFERROR(IF(0=LEN(ReferenceData!$BD$45),"",ReferenceData!$BD$45),"")</f>
        <v/>
      </c>
      <c r="BE45" t="str">
        <f ca="1">IFERROR(IF(0=LEN(ReferenceData!$BE$45),"",ReferenceData!$BE$45),"")</f>
        <v/>
      </c>
      <c r="BF45" t="str">
        <f ca="1">IFERROR(IF(0=LEN(ReferenceData!$BF$45),"",ReferenceData!$BF$45),"")</f>
        <v/>
      </c>
      <c r="BG45" t="str">
        <f ca="1">IFERROR(IF(0=LEN(ReferenceData!$BG$45),"",ReferenceData!$BG$45),"")</f>
        <v/>
      </c>
      <c r="BH45" t="str">
        <f ca="1">IFERROR(IF(0=LEN(ReferenceData!$BH$45),"",ReferenceData!$BH$45),"")</f>
        <v/>
      </c>
      <c r="BI45" t="str">
        <f ca="1">IFERROR(IF(0=LEN(ReferenceData!$BI$45),"",ReferenceData!$BI$45),"")</f>
        <v/>
      </c>
      <c r="BJ45" t="str">
        <f ca="1">IFERROR(IF(0=LEN(ReferenceData!$BJ$45),"",ReferenceData!$BJ$45),"")</f>
        <v/>
      </c>
      <c r="BK45" t="str">
        <f ca="1">IFERROR(IF(0=LEN(ReferenceData!$BK$45),"",ReferenceData!$BK$45),"")</f>
        <v/>
      </c>
      <c r="BL45" t="str">
        <f ca="1">IFERROR(IF(0=LEN(ReferenceData!$BL$45),"",ReferenceData!$BL$45),"")</f>
        <v/>
      </c>
      <c r="BM45" t="str">
        <f ca="1">IFERROR(IF(0=LEN(ReferenceData!$BM$45),"",ReferenceData!$BM$45),"")</f>
        <v/>
      </c>
    </row>
    <row r="46" spans="1:65">
      <c r="A46" t="str">
        <f>IFERROR(IF(0=LEN(ReferenceData!$A$46),"",ReferenceData!$A$46),"")</f>
        <v xml:space="preserve">    Retail Properties of America I</v>
      </c>
      <c r="B46" t="str">
        <f>IFERROR(IF(0=LEN(ReferenceData!$B$46),"",ReferenceData!$B$46),"")</f>
        <v>RPAI US Equity</v>
      </c>
      <c r="C46" t="str">
        <f>IFERROR(IF(0=LEN(ReferenceData!$C$46),"",ReferenceData!$C$46),"")</f>
        <v>IM281</v>
      </c>
      <c r="D46" t="str">
        <f>IFERROR(IF(0=LEN(ReferenceData!$D$46),"",ReferenceData!$D$46),"")</f>
        <v>IS_NON_REAL_ESTATE_INCOME</v>
      </c>
      <c r="E46" t="str">
        <f>IFERROR(IF(0=LEN(ReferenceData!$E$46),"",ReferenceData!$E$46),"")</f>
        <v>动态</v>
      </c>
      <c r="F46" t="str">
        <f ca="1">IFERROR(IF(0=LEN(ReferenceData!$F$46),"",ReferenceData!$F$46),"")</f>
        <v/>
      </c>
      <c r="G46">
        <f ca="1">IFERROR(IF(0=LEN(ReferenceData!$G$46),"",ReferenceData!$G$46),"")</f>
        <v>1.1419999999999999</v>
      </c>
      <c r="H46">
        <f ca="1">IFERROR(IF(0=LEN(ReferenceData!$H$46),"",ReferenceData!$H$46),"")</f>
        <v>1.518</v>
      </c>
      <c r="I46">
        <f ca="1">IFERROR(IF(0=LEN(ReferenceData!$I$46),"",ReferenceData!$I$46),"")</f>
        <v>1.798</v>
      </c>
      <c r="J46">
        <f ca="1">IFERROR(IF(0=LEN(ReferenceData!$J$46),"",ReferenceData!$J$46),"")</f>
        <v>2.9329999999999998</v>
      </c>
      <c r="K46">
        <f ca="1">IFERROR(IF(0=LEN(ReferenceData!$K$46),"",ReferenceData!$K$46),"")</f>
        <v>1.746</v>
      </c>
      <c r="L46">
        <f ca="1">IFERROR(IF(0=LEN(ReferenceData!$L$46),"",ReferenceData!$L$46),"")</f>
        <v>1.7689999999999999</v>
      </c>
      <c r="M46">
        <f ca="1">IFERROR(IF(0=LEN(ReferenceData!$M$46),"",ReferenceData!$M$46),"")</f>
        <v>2.3780000000000001</v>
      </c>
      <c r="N46">
        <f ca="1">IFERROR(IF(0=LEN(ReferenceData!$N$46),"",ReferenceData!$N$46),"")</f>
        <v>3.0230000000000001</v>
      </c>
      <c r="O46">
        <f ca="1">IFERROR(IF(0=LEN(ReferenceData!$O$46),"",ReferenceData!$O$46),"")</f>
        <v>2.1819999999999999</v>
      </c>
      <c r="P46">
        <f ca="1">IFERROR(IF(0=LEN(ReferenceData!$P$46),"",ReferenceData!$P$46),"")</f>
        <v>5.3390000000000004</v>
      </c>
      <c r="Q46">
        <f ca="1">IFERROR(IF(0=LEN(ReferenceData!$Q$46),"",ReferenceData!$Q$46),"")</f>
        <v>2.4500000000000002</v>
      </c>
      <c r="R46">
        <f ca="1">IFERROR(IF(0=LEN(ReferenceData!$R$46),"",ReferenceData!$R$46),"")</f>
        <v>2.109</v>
      </c>
      <c r="S46">
        <f ca="1">IFERROR(IF(0=LEN(ReferenceData!$S$46),"",ReferenceData!$S$46),"")</f>
        <v>4.306</v>
      </c>
      <c r="T46">
        <f ca="1">IFERROR(IF(0=LEN(ReferenceData!$T$46),"",ReferenceData!$T$46),"")</f>
        <v>2.0739999999999998</v>
      </c>
      <c r="U46">
        <f ca="1">IFERROR(IF(0=LEN(ReferenceData!$U$46),"",ReferenceData!$U$46),"")</f>
        <v>1.919</v>
      </c>
      <c r="V46">
        <f ca="1">IFERROR(IF(0=LEN(ReferenceData!$V$46),"",ReferenceData!$V$46),"")</f>
        <v>1.9119999999999999</v>
      </c>
      <c r="W46">
        <f ca="1">IFERROR(IF(0=LEN(ReferenceData!$W$46),"",ReferenceData!$W$46),"")</f>
        <v>9.141</v>
      </c>
      <c r="X46">
        <f ca="1">IFERROR(IF(0=LEN(ReferenceData!$X$46),"",ReferenceData!$X$46),"")</f>
        <v>2.0019999999999998</v>
      </c>
      <c r="Y46">
        <f ca="1">IFERROR(IF(0=LEN(ReferenceData!$Y$46),"",ReferenceData!$Y$46),"")</f>
        <v>2.3679999999999999</v>
      </c>
      <c r="Z46">
        <f ca="1">IFERROR(IF(0=LEN(ReferenceData!$Z$46),"",ReferenceData!$Z$46),"")</f>
        <v>2.444</v>
      </c>
      <c r="AA46">
        <f ca="1">IFERROR(IF(0=LEN(ReferenceData!$AA$46),"",ReferenceData!$AA$46),"")</f>
        <v>2.0859999999999999</v>
      </c>
      <c r="AB46">
        <f ca="1">IFERROR(IF(0=LEN(ReferenceData!$AB$46),"",ReferenceData!$AB$46),"")</f>
        <v>1.9590000000000001</v>
      </c>
      <c r="AC46">
        <f ca="1">IFERROR(IF(0=LEN(ReferenceData!$AC$46),"",ReferenceData!$AC$46),"")</f>
        <v>2.8069999999999999</v>
      </c>
      <c r="AD46">
        <f ca="1">IFERROR(IF(0=LEN(ReferenceData!$AD$46),"",ReferenceData!$AD$46),"")</f>
        <v>2.738</v>
      </c>
      <c r="AE46">
        <f ca="1">IFERROR(IF(0=LEN(ReferenceData!$AE$46),"",ReferenceData!$AE$46),"")</f>
        <v>2.2610000000000001</v>
      </c>
      <c r="AF46">
        <f ca="1">IFERROR(IF(0=LEN(ReferenceData!$AF$46),"",ReferenceData!$AF$46),"")</f>
        <v>2.2799999999999998</v>
      </c>
      <c r="AG46">
        <f ca="1">IFERROR(IF(0=LEN(ReferenceData!$AG$46),"",ReferenceData!$AG$46),"")</f>
        <v>2.7810000000000001</v>
      </c>
      <c r="AH46">
        <f ca="1">IFERROR(IF(0=LEN(ReferenceData!$AH$46),"",ReferenceData!$AH$46),"")</f>
        <v>2.8159999999999998</v>
      </c>
      <c r="AI46">
        <f ca="1">IFERROR(IF(0=LEN(ReferenceData!$AI$46),"",ReferenceData!$AI$46),"")</f>
        <v>4.9400000000000004</v>
      </c>
      <c r="AJ46">
        <f ca="1">IFERROR(IF(0=LEN(ReferenceData!$AJ$46),"",ReferenceData!$AJ$46),"")</f>
        <v>4.5309999999999997</v>
      </c>
      <c r="AK46" t="str">
        <f ca="1">IFERROR(IF(0=LEN(ReferenceData!$AK$46),"",ReferenceData!$AK$46),"")</f>
        <v/>
      </c>
      <c r="AL46" t="str">
        <f ca="1">IFERROR(IF(0=LEN(ReferenceData!$AL$46),"",ReferenceData!$AL$46),"")</f>
        <v/>
      </c>
      <c r="AM46" t="str">
        <f ca="1">IFERROR(IF(0=LEN(ReferenceData!$AM$46),"",ReferenceData!$AM$46),"")</f>
        <v/>
      </c>
      <c r="AN46">
        <f ca="1">IFERROR(IF(0=LEN(ReferenceData!$AN$46),"",ReferenceData!$AN$46),"")</f>
        <v>3.895</v>
      </c>
      <c r="AO46" t="str">
        <f ca="1">IFERROR(IF(0=LEN(ReferenceData!$AO$46),"",ReferenceData!$AO$46),"")</f>
        <v/>
      </c>
      <c r="AP46" t="str">
        <f ca="1">IFERROR(IF(0=LEN(ReferenceData!$AP$46),"",ReferenceData!$AP$46),"")</f>
        <v/>
      </c>
      <c r="AQ46" t="str">
        <f ca="1">IFERROR(IF(0=LEN(ReferenceData!$AQ$46),"",ReferenceData!$AQ$46),"")</f>
        <v/>
      </c>
      <c r="AR46" t="str">
        <f ca="1">IFERROR(IF(0=LEN(ReferenceData!$AR$46),"",ReferenceData!$AR$46),"")</f>
        <v/>
      </c>
      <c r="AS46" t="str">
        <f ca="1">IFERROR(IF(0=LEN(ReferenceData!$AS$46),"",ReferenceData!$AS$46),"")</f>
        <v/>
      </c>
      <c r="AT46" t="str">
        <f ca="1">IFERROR(IF(0=LEN(ReferenceData!$AT$46),"",ReferenceData!$AT$46),"")</f>
        <v/>
      </c>
      <c r="AU46" t="str">
        <f ca="1">IFERROR(IF(0=LEN(ReferenceData!$AU$46),"",ReferenceData!$AU$46),"")</f>
        <v/>
      </c>
      <c r="AV46" t="str">
        <f ca="1">IFERROR(IF(0=LEN(ReferenceData!$AV$46),"",ReferenceData!$AV$46),"")</f>
        <v/>
      </c>
      <c r="AW46" t="str">
        <f ca="1">IFERROR(IF(0=LEN(ReferenceData!$AW$46),"",ReferenceData!$AW$46),"")</f>
        <v/>
      </c>
      <c r="AX46" t="str">
        <f ca="1">IFERROR(IF(0=LEN(ReferenceData!$AX$46),"",ReferenceData!$AX$46),"")</f>
        <v/>
      </c>
      <c r="AY46" t="str">
        <f ca="1">IFERROR(IF(0=LEN(ReferenceData!$AY$46),"",ReferenceData!$AY$46),"")</f>
        <v/>
      </c>
      <c r="AZ46" t="str">
        <f ca="1">IFERROR(IF(0=LEN(ReferenceData!$AZ$46),"",ReferenceData!$AZ$46),"")</f>
        <v/>
      </c>
      <c r="BA46" t="str">
        <f ca="1">IFERROR(IF(0=LEN(ReferenceData!$BA$46),"",ReferenceData!$BA$46),"")</f>
        <v/>
      </c>
      <c r="BB46" t="str">
        <f ca="1">IFERROR(IF(0=LEN(ReferenceData!$BB$46),"",ReferenceData!$BB$46),"")</f>
        <v/>
      </c>
      <c r="BC46" t="str">
        <f ca="1">IFERROR(IF(0=LEN(ReferenceData!$BC$46),"",ReferenceData!$BC$46),"")</f>
        <v/>
      </c>
      <c r="BD46" t="str">
        <f ca="1">IFERROR(IF(0=LEN(ReferenceData!$BD$46),"",ReferenceData!$BD$46),"")</f>
        <v/>
      </c>
      <c r="BE46" t="str">
        <f ca="1">IFERROR(IF(0=LEN(ReferenceData!$BE$46),"",ReferenceData!$BE$46),"")</f>
        <v/>
      </c>
      <c r="BF46" t="str">
        <f ca="1">IFERROR(IF(0=LEN(ReferenceData!$BF$46),"",ReferenceData!$BF$46),"")</f>
        <v/>
      </c>
      <c r="BG46" t="str">
        <f ca="1">IFERROR(IF(0=LEN(ReferenceData!$BG$46),"",ReferenceData!$BG$46),"")</f>
        <v/>
      </c>
      <c r="BH46" t="str">
        <f ca="1">IFERROR(IF(0=LEN(ReferenceData!$BH$46),"",ReferenceData!$BH$46),"")</f>
        <v/>
      </c>
      <c r="BI46" t="str">
        <f ca="1">IFERROR(IF(0=LEN(ReferenceData!$BI$46),"",ReferenceData!$BI$46),"")</f>
        <v/>
      </c>
      <c r="BJ46" t="str">
        <f ca="1">IFERROR(IF(0=LEN(ReferenceData!$BJ$46),"",ReferenceData!$BJ$46),"")</f>
        <v/>
      </c>
      <c r="BK46" t="str">
        <f ca="1">IFERROR(IF(0=LEN(ReferenceData!$BK$46),"",ReferenceData!$BK$46),"")</f>
        <v/>
      </c>
      <c r="BL46" t="str">
        <f ca="1">IFERROR(IF(0=LEN(ReferenceData!$BL$46),"",ReferenceData!$BL$46),"")</f>
        <v/>
      </c>
      <c r="BM46" t="str">
        <f ca="1">IFERROR(IF(0=LEN(ReferenceData!$BM$46),"",ReferenceData!$BM$46),"")</f>
        <v/>
      </c>
    </row>
    <row r="47" spans="1:65">
      <c r="A47" t="str">
        <f>IFERROR(IF(0=LEN(ReferenceData!$A$47),"",ReferenceData!$A$47),"")</f>
        <v xml:space="preserve">    Simon Property Group Inc</v>
      </c>
      <c r="B47" t="str">
        <f>IFERROR(IF(0=LEN(ReferenceData!$B$47),"",ReferenceData!$B$47),"")</f>
        <v>SPG US Equity</v>
      </c>
      <c r="C47" t="str">
        <f>IFERROR(IF(0=LEN(ReferenceData!$C$47),"",ReferenceData!$C$47),"")</f>
        <v>IM281</v>
      </c>
      <c r="D47" t="str">
        <f>IFERROR(IF(0=LEN(ReferenceData!$D$47),"",ReferenceData!$D$47),"")</f>
        <v>IS_NON_REAL_ESTATE_INCOME</v>
      </c>
      <c r="E47" t="str">
        <f>IFERROR(IF(0=LEN(ReferenceData!$E$47),"",ReferenceData!$E$47),"")</f>
        <v>动态</v>
      </c>
      <c r="F47" t="str">
        <f ca="1">IFERROR(IF(0=LEN(ReferenceData!$F$47),"",ReferenceData!$F$47),"")</f>
        <v/>
      </c>
      <c r="G47">
        <f ca="1">IFERROR(IF(0=LEN(ReferenceData!$G$47),"",ReferenceData!$G$47),"")</f>
        <v>77.180000000000007</v>
      </c>
      <c r="H47">
        <f ca="1">IFERROR(IF(0=LEN(ReferenceData!$H$47),"",ReferenceData!$H$47),"")</f>
        <v>90.161000000000001</v>
      </c>
      <c r="I47">
        <f ca="1">IFERROR(IF(0=LEN(ReferenceData!$I$47),"",ReferenceData!$I$47),"")</f>
        <v>68.337999999999994</v>
      </c>
      <c r="J47">
        <f ca="1">IFERROR(IF(0=LEN(ReferenceData!$J$47),"",ReferenceData!$J$47),"")</f>
        <v>61.298999999999999</v>
      </c>
      <c r="K47">
        <f ca="1">IFERROR(IF(0=LEN(ReferenceData!$K$47),"",ReferenceData!$K$47),"")</f>
        <v>77.558000000000007</v>
      </c>
      <c r="L47">
        <f ca="1">IFERROR(IF(0=LEN(ReferenceData!$L$47),"",ReferenceData!$L$47),"")</f>
        <v>54.37</v>
      </c>
      <c r="M47">
        <f ca="1">IFERROR(IF(0=LEN(ReferenceData!$M$47),"",ReferenceData!$M$47),"")</f>
        <v>60.366</v>
      </c>
      <c r="N47">
        <f ca="1">IFERROR(IF(0=LEN(ReferenceData!$N$47),"",ReferenceData!$N$47),"")</f>
        <v>84.25</v>
      </c>
      <c r="O47">
        <f ca="1">IFERROR(IF(0=LEN(ReferenceData!$O$47),"",ReferenceData!$O$47),"")</f>
        <v>64.861000000000004</v>
      </c>
      <c r="P47">
        <f ca="1">IFERROR(IF(0=LEN(ReferenceData!$P$47),"",ReferenceData!$P$47),"")</f>
        <v>72.545000000000002</v>
      </c>
      <c r="Q47">
        <f ca="1">IFERROR(IF(0=LEN(ReferenceData!$Q$47),"",ReferenceData!$Q$47),"")</f>
        <v>139.607</v>
      </c>
      <c r="R47">
        <f ca="1">IFERROR(IF(0=LEN(ReferenceData!$R$47),"",ReferenceData!$R$47),"")</f>
        <v>48.585000000000001</v>
      </c>
      <c r="S47">
        <f ca="1">IFERROR(IF(0=LEN(ReferenceData!$S$47),"",ReferenceData!$S$47),"")</f>
        <v>60.862000000000002</v>
      </c>
      <c r="T47">
        <f ca="1">IFERROR(IF(0=LEN(ReferenceData!$T$47),"",ReferenceData!$T$47),"")</f>
        <v>54.987000000000002</v>
      </c>
      <c r="U47">
        <f ca="1">IFERROR(IF(0=LEN(ReferenceData!$U$47),"",ReferenceData!$U$47),"")</f>
        <v>37.944000000000003</v>
      </c>
      <c r="V47">
        <f ca="1">IFERROR(IF(0=LEN(ReferenceData!$V$47),"",ReferenceData!$V$47),"")</f>
        <v>46.987000000000002</v>
      </c>
      <c r="W47">
        <f ca="1">IFERROR(IF(0=LEN(ReferenceData!$W$47),"",ReferenceData!$W$47),"")</f>
        <v>59.578000000000003</v>
      </c>
      <c r="X47">
        <f ca="1">IFERROR(IF(0=LEN(ReferenceData!$X$47),"",ReferenceData!$X$47),"")</f>
        <v>47.066000000000003</v>
      </c>
      <c r="Y47">
        <f ca="1">IFERROR(IF(0=LEN(ReferenceData!$Y$47),"",ReferenceData!$Y$47),"")</f>
        <v>32.088999999999999</v>
      </c>
      <c r="Z47">
        <f ca="1">IFERROR(IF(0=LEN(ReferenceData!$Z$47),"",ReferenceData!$Z$47),"")</f>
        <v>30.754000000000001</v>
      </c>
      <c r="AA47">
        <f ca="1">IFERROR(IF(0=LEN(ReferenceData!$AA$47),"",ReferenceData!$AA$47),"")</f>
        <v>54.005000000000003</v>
      </c>
      <c r="AB47">
        <f ca="1">IFERROR(IF(0=LEN(ReferenceData!$AB$47),"",ReferenceData!$AB$47),"")</f>
        <v>43.670999999999999</v>
      </c>
      <c r="AC47">
        <f ca="1">IFERROR(IF(0=LEN(ReferenceData!$AC$47),"",ReferenceData!$AC$47),"")</f>
        <v>51.624000000000002</v>
      </c>
      <c r="AD47">
        <f ca="1">IFERROR(IF(0=LEN(ReferenceData!$AD$47),"",ReferenceData!$AD$47),"")</f>
        <v>50.515999999999998</v>
      </c>
      <c r="AE47">
        <f ca="1">IFERROR(IF(0=LEN(ReferenceData!$AE$47),"",ReferenceData!$AE$47),"")</f>
        <v>49.244999999999997</v>
      </c>
      <c r="AF47">
        <f ca="1">IFERROR(IF(0=LEN(ReferenceData!$AF$47),"",ReferenceData!$AF$47),"")</f>
        <v>47.429000000000002</v>
      </c>
      <c r="AG47">
        <f ca="1">IFERROR(IF(0=LEN(ReferenceData!$AG$47),"",ReferenceData!$AG$47),"")</f>
        <v>52.429000000000002</v>
      </c>
      <c r="AH47">
        <f ca="1">IFERROR(IF(0=LEN(ReferenceData!$AH$47),"",ReferenceData!$AH$47),"")</f>
        <v>46.482999999999997</v>
      </c>
      <c r="AI47">
        <f ca="1">IFERROR(IF(0=LEN(ReferenceData!$AI$47),"",ReferenceData!$AI$47),"")</f>
        <v>57.988</v>
      </c>
      <c r="AJ47">
        <f ca="1">IFERROR(IF(0=LEN(ReferenceData!$AJ$47),"",ReferenceData!$AJ$47),"")</f>
        <v>43.871000000000002</v>
      </c>
      <c r="AK47">
        <f ca="1">IFERROR(IF(0=LEN(ReferenceData!$AK$47),"",ReferenceData!$AK$47),"")</f>
        <v>54.89</v>
      </c>
      <c r="AL47">
        <f ca="1">IFERROR(IF(0=LEN(ReferenceData!$AL$47),"",ReferenceData!$AL$47),"")</f>
        <v>55.753999999999998</v>
      </c>
      <c r="AM47">
        <f ca="1">IFERROR(IF(0=LEN(ReferenceData!$AM$47),"",ReferenceData!$AM$47),"")</f>
        <v>70.679000000000002</v>
      </c>
      <c r="AN47">
        <f ca="1">IFERROR(IF(0=LEN(ReferenceData!$AN$47),"",ReferenceData!$AN$47),"")</f>
        <v>36.427</v>
      </c>
      <c r="AO47">
        <f ca="1">IFERROR(IF(0=LEN(ReferenceData!$AO$47),"",ReferenceData!$AO$47),"")</f>
        <v>34.899000000000001</v>
      </c>
      <c r="AP47">
        <f ca="1">IFERROR(IF(0=LEN(ReferenceData!$AP$47),"",ReferenceData!$AP$47),"")</f>
        <v>45.164999999999999</v>
      </c>
      <c r="AQ47" t="str">
        <f ca="1">IFERROR(IF(0=LEN(ReferenceData!$AQ$47),"",ReferenceData!$AQ$47),"")</f>
        <v/>
      </c>
      <c r="AR47" t="str">
        <f ca="1">IFERROR(IF(0=LEN(ReferenceData!$AR$47),"",ReferenceData!$AR$47),"")</f>
        <v/>
      </c>
      <c r="AS47" t="str">
        <f ca="1">IFERROR(IF(0=LEN(ReferenceData!$AS$47),"",ReferenceData!$AS$47),"")</f>
        <v/>
      </c>
      <c r="AT47" t="str">
        <f ca="1">IFERROR(IF(0=LEN(ReferenceData!$AT$47),"",ReferenceData!$AT$47),"")</f>
        <v/>
      </c>
      <c r="AU47" t="str">
        <f ca="1">IFERROR(IF(0=LEN(ReferenceData!$AU$47),"",ReferenceData!$AU$47),"")</f>
        <v/>
      </c>
      <c r="AV47" t="str">
        <f ca="1">IFERROR(IF(0=LEN(ReferenceData!$AV$47),"",ReferenceData!$AV$47),"")</f>
        <v/>
      </c>
      <c r="AW47" t="str">
        <f ca="1">IFERROR(IF(0=LEN(ReferenceData!$AW$47),"",ReferenceData!$AW$47),"")</f>
        <v/>
      </c>
      <c r="AX47" t="str">
        <f ca="1">IFERROR(IF(0=LEN(ReferenceData!$AX$47),"",ReferenceData!$AX$47),"")</f>
        <v/>
      </c>
      <c r="AY47" t="str">
        <f ca="1">IFERROR(IF(0=LEN(ReferenceData!$AY$47),"",ReferenceData!$AY$47),"")</f>
        <v/>
      </c>
      <c r="AZ47" t="str">
        <f ca="1">IFERROR(IF(0=LEN(ReferenceData!$AZ$47),"",ReferenceData!$AZ$47),"")</f>
        <v/>
      </c>
      <c r="BA47" t="str">
        <f ca="1">IFERROR(IF(0=LEN(ReferenceData!$BA$47),"",ReferenceData!$BA$47),"")</f>
        <v/>
      </c>
      <c r="BB47" t="str">
        <f ca="1">IFERROR(IF(0=LEN(ReferenceData!$BB$47),"",ReferenceData!$BB$47),"")</f>
        <v/>
      </c>
      <c r="BC47" t="str">
        <f ca="1">IFERROR(IF(0=LEN(ReferenceData!$BC$47),"",ReferenceData!$BC$47),"")</f>
        <v/>
      </c>
      <c r="BD47" t="str">
        <f ca="1">IFERROR(IF(0=LEN(ReferenceData!$BD$47),"",ReferenceData!$BD$47),"")</f>
        <v/>
      </c>
      <c r="BE47" t="str">
        <f ca="1">IFERROR(IF(0=LEN(ReferenceData!$BE$47),"",ReferenceData!$BE$47),"")</f>
        <v/>
      </c>
      <c r="BF47" t="str">
        <f ca="1">IFERROR(IF(0=LEN(ReferenceData!$BF$47),"",ReferenceData!$BF$47),"")</f>
        <v/>
      </c>
      <c r="BG47" t="str">
        <f ca="1">IFERROR(IF(0=LEN(ReferenceData!$BG$47),"",ReferenceData!$BG$47),"")</f>
        <v/>
      </c>
      <c r="BH47" t="str">
        <f ca="1">IFERROR(IF(0=LEN(ReferenceData!$BH$47),"",ReferenceData!$BH$47),"")</f>
        <v/>
      </c>
      <c r="BI47" t="str">
        <f ca="1">IFERROR(IF(0=LEN(ReferenceData!$BI$47),"",ReferenceData!$BI$47),"")</f>
        <v/>
      </c>
      <c r="BJ47" t="str">
        <f ca="1">IFERROR(IF(0=LEN(ReferenceData!$BJ$47),"",ReferenceData!$BJ$47),"")</f>
        <v/>
      </c>
      <c r="BK47" t="str">
        <f ca="1">IFERROR(IF(0=LEN(ReferenceData!$BK$47),"",ReferenceData!$BK$47),"")</f>
        <v/>
      </c>
      <c r="BL47" t="str">
        <f ca="1">IFERROR(IF(0=LEN(ReferenceData!$BL$47),"",ReferenceData!$BL$47),"")</f>
        <v/>
      </c>
      <c r="BM47" t="str">
        <f ca="1">IFERROR(IF(0=LEN(ReferenceData!$BM$47),"",ReferenceData!$BM$47),"")</f>
        <v/>
      </c>
    </row>
    <row r="48" spans="1:65">
      <c r="A48" t="str">
        <f>IFERROR(IF(0=LEN(ReferenceData!$A$48),"",ReferenceData!$A$48),"")</f>
        <v xml:space="preserve">    Tanger Factory Outlet Centers</v>
      </c>
      <c r="B48" t="str">
        <f>IFERROR(IF(0=LEN(ReferenceData!$B$48),"",ReferenceData!$B$48),"")</f>
        <v>SKT US Equity</v>
      </c>
      <c r="C48" t="str">
        <f>IFERROR(IF(0=LEN(ReferenceData!$C$48),"",ReferenceData!$C$48),"")</f>
        <v>IM281</v>
      </c>
      <c r="D48" t="str">
        <f>IFERROR(IF(0=LEN(ReferenceData!$D$48),"",ReferenceData!$D$48),"")</f>
        <v>IS_NON_REAL_ESTATE_INCOME</v>
      </c>
      <c r="E48" t="str">
        <f>IFERROR(IF(0=LEN(ReferenceData!$E$48),"",ReferenceData!$E$48),"")</f>
        <v>动态</v>
      </c>
      <c r="F48" t="str">
        <f ca="1">IFERROR(IF(0=LEN(ReferenceData!$F$48),"",ReferenceData!$F$48),"")</f>
        <v/>
      </c>
      <c r="G48">
        <f ca="1">IFERROR(IF(0=LEN(ReferenceData!$G$48),"",ReferenceData!$G$48),"")</f>
        <v>2.222</v>
      </c>
      <c r="H48">
        <f ca="1">IFERROR(IF(0=LEN(ReferenceData!$H$48),"",ReferenceData!$H$48),"")</f>
        <v>2.5099999999999998</v>
      </c>
      <c r="I48">
        <f ca="1">IFERROR(IF(0=LEN(ReferenceData!$I$48),"",ReferenceData!$I$48),"")</f>
        <v>2.3889999999999998</v>
      </c>
      <c r="J48">
        <f ca="1">IFERROR(IF(0=LEN(ReferenceData!$J$48),"",ReferenceData!$J$48),"")</f>
        <v>2.0059999999999998</v>
      </c>
      <c r="K48">
        <f ca="1">IFERROR(IF(0=LEN(ReferenceData!$K$48),"",ReferenceData!$K$48),"")</f>
        <v>2.3660000000000001</v>
      </c>
      <c r="L48">
        <f ca="1">IFERROR(IF(0=LEN(ReferenceData!$L$48),"",ReferenceData!$L$48),"")</f>
        <v>2.6419999999999999</v>
      </c>
      <c r="M48">
        <f ca="1">IFERROR(IF(0=LEN(ReferenceData!$M$48),"",ReferenceData!$M$48),"")</f>
        <v>1.9179999999999999</v>
      </c>
      <c r="N48">
        <f ca="1">IFERROR(IF(0=LEN(ReferenceData!$N$48),"",ReferenceData!$N$48),"")</f>
        <v>1.669</v>
      </c>
      <c r="O48">
        <f ca="1">IFERROR(IF(0=LEN(ReferenceData!$O$48),"",ReferenceData!$O$48),"")</f>
        <v>1.835</v>
      </c>
      <c r="P48">
        <f ca="1">IFERROR(IF(0=LEN(ReferenceData!$P$48),"",ReferenceData!$P$48),"")</f>
        <v>2.645</v>
      </c>
      <c r="Q48">
        <f ca="1">IFERROR(IF(0=LEN(ReferenceData!$Q$48),"",ReferenceData!$Q$48),"")</f>
        <v>1.7290000000000001</v>
      </c>
      <c r="R48">
        <f ca="1">IFERROR(IF(0=LEN(ReferenceData!$R$48),"",ReferenceData!$R$48),"")</f>
        <v>1.421</v>
      </c>
      <c r="S48">
        <f ca="1">IFERROR(IF(0=LEN(ReferenceData!$S$48),"",ReferenceData!$S$48),"")</f>
        <v>1.849</v>
      </c>
      <c r="T48">
        <f ca="1">IFERROR(IF(0=LEN(ReferenceData!$T$48),"",ReferenceData!$T$48),"")</f>
        <v>2.2549999999999999</v>
      </c>
      <c r="U48">
        <f ca="1">IFERROR(IF(0=LEN(ReferenceData!$U$48),"",ReferenceData!$U$48),"")</f>
        <v>1.927</v>
      </c>
      <c r="V48">
        <f ca="1">IFERROR(IF(0=LEN(ReferenceData!$V$48),"",ReferenceData!$V$48),"")</f>
        <v>1.615</v>
      </c>
      <c r="W48">
        <f ca="1">IFERROR(IF(0=LEN(ReferenceData!$W$48),"",ReferenceData!$W$48),"")</f>
        <v>1.865</v>
      </c>
      <c r="X48">
        <f ca="1">IFERROR(IF(0=LEN(ReferenceData!$X$48),"",ReferenceData!$X$48),"")</f>
        <v>3.1040000000000001</v>
      </c>
      <c r="Y48">
        <f ca="1">IFERROR(IF(0=LEN(ReferenceData!$Y$48),"",ReferenceData!$Y$48),"")</f>
        <v>2.29</v>
      </c>
      <c r="Z48">
        <f ca="1">IFERROR(IF(0=LEN(ReferenceData!$Z$48),"",ReferenceData!$Z$48),"")</f>
        <v>2.1219999999999999</v>
      </c>
      <c r="AA48">
        <f ca="1">IFERROR(IF(0=LEN(ReferenceData!$AA$48),"",ReferenceData!$AA$48),"")</f>
        <v>3.2040000000000002</v>
      </c>
      <c r="AB48">
        <f ca="1">IFERROR(IF(0=LEN(ReferenceData!$AB$48),"",ReferenceData!$AB$48),"")</f>
        <v>2.9950000000000001</v>
      </c>
      <c r="AC48">
        <f ca="1">IFERROR(IF(0=LEN(ReferenceData!$AC$48),"",ReferenceData!$AC$48),"")</f>
        <v>2.145</v>
      </c>
      <c r="AD48">
        <f ca="1">IFERROR(IF(0=LEN(ReferenceData!$AD$48),"",ReferenceData!$AD$48),"")</f>
        <v>1.804</v>
      </c>
      <c r="AE48">
        <f ca="1">IFERROR(IF(0=LEN(ReferenceData!$AE$48),"",ReferenceData!$AE$48),"")</f>
        <v>2.4350000000000001</v>
      </c>
      <c r="AF48">
        <f ca="1">IFERROR(IF(0=LEN(ReferenceData!$AF$48),"",ReferenceData!$AF$48),"")</f>
        <v>2.5680000000000001</v>
      </c>
      <c r="AG48">
        <f ca="1">IFERROR(IF(0=LEN(ReferenceData!$AG$48),"",ReferenceData!$AG$48),"")</f>
        <v>1.9550000000000001</v>
      </c>
      <c r="AH48">
        <f ca="1">IFERROR(IF(0=LEN(ReferenceData!$AH$48),"",ReferenceData!$AH$48),"")</f>
        <v>1.9239999999999999</v>
      </c>
      <c r="AI48">
        <f ca="1">IFERROR(IF(0=LEN(ReferenceData!$AI$48),"",ReferenceData!$AI$48),"")</f>
        <v>2.6480000000000001</v>
      </c>
      <c r="AJ48">
        <f ca="1">IFERROR(IF(0=LEN(ReferenceData!$AJ$48),"",ReferenceData!$AJ$48),"")</f>
        <v>2.5670000000000002</v>
      </c>
      <c r="AK48">
        <f ca="1">IFERROR(IF(0=LEN(ReferenceData!$AK$48),"",ReferenceData!$AK$48),"")</f>
        <v>1.85</v>
      </c>
      <c r="AL48">
        <f ca="1">IFERROR(IF(0=LEN(ReferenceData!$AL$48),"",ReferenceData!$AL$48),"")</f>
        <v>1.7210000000000001</v>
      </c>
      <c r="AM48">
        <f ca="1">IFERROR(IF(0=LEN(ReferenceData!$AM$48),"",ReferenceData!$AM$48),"")</f>
        <v>1.992</v>
      </c>
      <c r="AN48">
        <f ca="1">IFERROR(IF(0=LEN(ReferenceData!$AN$48),"",ReferenceData!$AN$48),"")</f>
        <v>5.6379999999999999</v>
      </c>
      <c r="AO48">
        <f ca="1">IFERROR(IF(0=LEN(ReferenceData!$AO$48),"",ReferenceData!$AO$48),"")</f>
        <v>1.921</v>
      </c>
      <c r="AP48">
        <f ca="1">IFERROR(IF(0=LEN(ReferenceData!$AP$48),"",ReferenceData!$AP$48),"")</f>
        <v>1.704</v>
      </c>
      <c r="AQ48" t="str">
        <f ca="1">IFERROR(IF(0=LEN(ReferenceData!$AQ$48),"",ReferenceData!$AQ$48),"")</f>
        <v/>
      </c>
      <c r="AR48" t="str">
        <f ca="1">IFERROR(IF(0=LEN(ReferenceData!$AR$48),"",ReferenceData!$AR$48),"")</f>
        <v/>
      </c>
      <c r="AS48" t="str">
        <f ca="1">IFERROR(IF(0=LEN(ReferenceData!$AS$48),"",ReferenceData!$AS$48),"")</f>
        <v/>
      </c>
      <c r="AT48" t="str">
        <f ca="1">IFERROR(IF(0=LEN(ReferenceData!$AT$48),"",ReferenceData!$AT$48),"")</f>
        <v/>
      </c>
      <c r="AU48" t="str">
        <f ca="1">IFERROR(IF(0=LEN(ReferenceData!$AU$48),"",ReferenceData!$AU$48),"")</f>
        <v/>
      </c>
      <c r="AV48" t="str">
        <f ca="1">IFERROR(IF(0=LEN(ReferenceData!$AV$48),"",ReferenceData!$AV$48),"")</f>
        <v/>
      </c>
      <c r="AW48" t="str">
        <f ca="1">IFERROR(IF(0=LEN(ReferenceData!$AW$48),"",ReferenceData!$AW$48),"")</f>
        <v/>
      </c>
      <c r="AX48" t="str">
        <f ca="1">IFERROR(IF(0=LEN(ReferenceData!$AX$48),"",ReferenceData!$AX$48),"")</f>
        <v/>
      </c>
      <c r="AY48" t="str">
        <f ca="1">IFERROR(IF(0=LEN(ReferenceData!$AY$48),"",ReferenceData!$AY$48),"")</f>
        <v/>
      </c>
      <c r="AZ48" t="str">
        <f ca="1">IFERROR(IF(0=LEN(ReferenceData!$AZ$48),"",ReferenceData!$AZ$48),"")</f>
        <v/>
      </c>
      <c r="BA48" t="str">
        <f ca="1">IFERROR(IF(0=LEN(ReferenceData!$BA$48),"",ReferenceData!$BA$48),"")</f>
        <v/>
      </c>
      <c r="BB48" t="str">
        <f ca="1">IFERROR(IF(0=LEN(ReferenceData!$BB$48),"",ReferenceData!$BB$48),"")</f>
        <v/>
      </c>
      <c r="BC48" t="str">
        <f ca="1">IFERROR(IF(0=LEN(ReferenceData!$BC$48),"",ReferenceData!$BC$48),"")</f>
        <v/>
      </c>
      <c r="BD48" t="str">
        <f ca="1">IFERROR(IF(0=LEN(ReferenceData!$BD$48),"",ReferenceData!$BD$48),"")</f>
        <v/>
      </c>
      <c r="BE48" t="str">
        <f ca="1">IFERROR(IF(0=LEN(ReferenceData!$BE$48),"",ReferenceData!$BE$48),"")</f>
        <v/>
      </c>
      <c r="BF48" t="str">
        <f ca="1">IFERROR(IF(0=LEN(ReferenceData!$BF$48),"",ReferenceData!$BF$48),"")</f>
        <v/>
      </c>
      <c r="BG48" t="str">
        <f ca="1">IFERROR(IF(0=LEN(ReferenceData!$BG$48),"",ReferenceData!$BG$48),"")</f>
        <v/>
      </c>
      <c r="BH48" t="str">
        <f ca="1">IFERROR(IF(0=LEN(ReferenceData!$BH$48),"",ReferenceData!$BH$48),"")</f>
        <v/>
      </c>
      <c r="BI48" t="str">
        <f ca="1">IFERROR(IF(0=LEN(ReferenceData!$BI$48),"",ReferenceData!$BI$48),"")</f>
        <v/>
      </c>
      <c r="BJ48" t="str">
        <f ca="1">IFERROR(IF(0=LEN(ReferenceData!$BJ$48),"",ReferenceData!$BJ$48),"")</f>
        <v/>
      </c>
      <c r="BK48" t="str">
        <f ca="1">IFERROR(IF(0=LEN(ReferenceData!$BK$48),"",ReferenceData!$BK$48),"")</f>
        <v/>
      </c>
      <c r="BL48" t="str">
        <f ca="1">IFERROR(IF(0=LEN(ReferenceData!$BL$48),"",ReferenceData!$BL$48),"")</f>
        <v/>
      </c>
      <c r="BM48" t="str">
        <f ca="1">IFERROR(IF(0=LEN(ReferenceData!$BM$48),"",ReferenceData!$BM$48),"")</f>
        <v/>
      </c>
    </row>
    <row r="49" spans="1:65">
      <c r="A49" t="str">
        <f>IFERROR(IF(0=LEN(ReferenceData!$A$49),"",ReferenceData!$A$49),"")</f>
        <v xml:space="preserve">    VEREIT Inc</v>
      </c>
      <c r="B49" t="str">
        <f>IFERROR(IF(0=LEN(ReferenceData!$B$49),"",ReferenceData!$B$49),"")</f>
        <v>VER US Equity</v>
      </c>
      <c r="C49" t="str">
        <f>IFERROR(IF(0=LEN(ReferenceData!$C$49),"",ReferenceData!$C$49),"")</f>
        <v>IM281</v>
      </c>
      <c r="D49" t="str">
        <f>IFERROR(IF(0=LEN(ReferenceData!$D$49),"",ReferenceData!$D$49),"")</f>
        <v>IS_NON_REAL_ESTATE_INCOME</v>
      </c>
      <c r="E49" t="str">
        <f>IFERROR(IF(0=LEN(ReferenceData!$E$49),"",ReferenceData!$E$49),"")</f>
        <v>动态</v>
      </c>
      <c r="F49" t="str">
        <f ca="1">IFERROR(IF(0=LEN(ReferenceData!$F$49),"",ReferenceData!$F$49),"")</f>
        <v/>
      </c>
      <c r="G49">
        <f ca="1">IFERROR(IF(0=LEN(ReferenceData!$G$49),"",ReferenceData!$G$49),"")</f>
        <v>26.035</v>
      </c>
      <c r="H49">
        <f ca="1">IFERROR(IF(0=LEN(ReferenceData!$H$49),"",ReferenceData!$H$49),"")</f>
        <v>51.387</v>
      </c>
      <c r="I49">
        <f ca="1">IFERROR(IF(0=LEN(ReferenceData!$I$49),"",ReferenceData!$I$49),"")</f>
        <v>50.639000000000003</v>
      </c>
      <c r="J49">
        <f ca="1">IFERROR(IF(0=LEN(ReferenceData!$J$49),"",ReferenceData!$J$49),"")</f>
        <v>54.29</v>
      </c>
      <c r="K49">
        <f ca="1">IFERROR(IF(0=LEN(ReferenceData!$K$49),"",ReferenceData!$K$49),"")</f>
        <v>52.637999999999998</v>
      </c>
      <c r="L49">
        <f ca="1">IFERROR(IF(0=LEN(ReferenceData!$L$49),"",ReferenceData!$L$49),"")</f>
        <v>59.531999999999996</v>
      </c>
      <c r="M49">
        <f ca="1">IFERROR(IF(0=LEN(ReferenceData!$M$49),"",ReferenceData!$M$49),"")</f>
        <v>59.667000000000002</v>
      </c>
      <c r="N49">
        <f ca="1">IFERROR(IF(0=LEN(ReferenceData!$N$49),"",ReferenceData!$N$49),"")</f>
        <v>55.048999999999999</v>
      </c>
      <c r="O49">
        <f ca="1">IFERROR(IF(0=LEN(ReferenceData!$O$49),"",ReferenceData!$O$49),"")</f>
        <v>61.295000000000002</v>
      </c>
      <c r="P49">
        <f ca="1">IFERROR(IF(0=LEN(ReferenceData!$P$49),"",ReferenceData!$P$49),"")</f>
        <v>51.188000000000002</v>
      </c>
      <c r="Q49">
        <f ca="1">IFERROR(IF(0=LEN(ReferenceData!$Q$49),"",ReferenceData!$Q$49),"")</f>
        <v>52.537999999999997</v>
      </c>
      <c r="R49">
        <f ca="1">IFERROR(IF(0=LEN(ReferenceData!$R$49),"",ReferenceData!$R$49),"")</f>
        <v>51.209000000000003</v>
      </c>
      <c r="S49">
        <f ca="1">IFERROR(IF(0=LEN(ReferenceData!$S$49),"",ReferenceData!$S$49),"")</f>
        <v>71.879000000000005</v>
      </c>
      <c r="T49">
        <f ca="1">IFERROR(IF(0=LEN(ReferenceData!$T$49),"",ReferenceData!$T$49),"")</f>
        <v>91.406000000000006</v>
      </c>
      <c r="U49">
        <f ca="1">IFERROR(IF(0=LEN(ReferenceData!$U$49),"",ReferenceData!$U$49),"")</f>
        <v>67.659000000000006</v>
      </c>
      <c r="V49">
        <f ca="1">IFERROR(IF(0=LEN(ReferenceData!$V$49),"",ReferenceData!$V$49),"")</f>
        <v>76.739000000000004</v>
      </c>
      <c r="W49">
        <f ca="1">IFERROR(IF(0=LEN(ReferenceData!$W$49),"",ReferenceData!$W$49),"")</f>
        <v>8.859</v>
      </c>
      <c r="X49">
        <f ca="1">IFERROR(IF(0=LEN(ReferenceData!$X$49),"",ReferenceData!$X$49),"")</f>
        <v>5.5259999999999998</v>
      </c>
      <c r="Y49">
        <f ca="1">IFERROR(IF(0=LEN(ReferenceData!$Y$49),"",ReferenceData!$Y$49),"")</f>
        <v>2.2810000000000001</v>
      </c>
      <c r="Z49">
        <f ca="1">IFERROR(IF(0=LEN(ReferenceData!$Z$49),"",ReferenceData!$Z$49),"")</f>
        <v>1.91</v>
      </c>
      <c r="AA49">
        <f ca="1">IFERROR(IF(0=LEN(ReferenceData!$AA$49),"",ReferenceData!$AA$49),"")</f>
        <v>1.228</v>
      </c>
      <c r="AB49">
        <f ca="1">IFERROR(IF(0=LEN(ReferenceData!$AB$49),"",ReferenceData!$AB$49),"")</f>
        <v>0.51500000000000001</v>
      </c>
      <c r="AC49">
        <f ca="1">IFERROR(IF(0=LEN(ReferenceData!$AC$49),"",ReferenceData!$AC$49),"")</f>
        <v>0.10100000000000001</v>
      </c>
      <c r="AD49">
        <f ca="1">IFERROR(IF(0=LEN(ReferenceData!$AD$49),"",ReferenceData!$AD$49),"")</f>
        <v>0.157</v>
      </c>
      <c r="AE49">
        <f ca="1">IFERROR(IF(0=LEN(ReferenceData!$AE$49),"",ReferenceData!$AE$49),"")</f>
        <v>0.153</v>
      </c>
      <c r="AF49">
        <f ca="1">IFERROR(IF(0=LEN(ReferenceData!$AF$49),"",ReferenceData!$AF$49),"")</f>
        <v>0</v>
      </c>
      <c r="AG49">
        <f ca="1">IFERROR(IF(0=LEN(ReferenceData!$AG$49),"",ReferenceData!$AG$49),"")</f>
        <v>0</v>
      </c>
      <c r="AH49">
        <f ca="1">IFERROR(IF(0=LEN(ReferenceData!$AH$49),"",ReferenceData!$AH$49),"")</f>
        <v>0</v>
      </c>
      <c r="AI49" t="str">
        <f ca="1">IFERROR(IF(0=LEN(ReferenceData!$AI$49),"",ReferenceData!$AI$49),"")</f>
        <v/>
      </c>
      <c r="AJ49" t="str">
        <f ca="1">IFERROR(IF(0=LEN(ReferenceData!$AJ$49),"",ReferenceData!$AJ$49),"")</f>
        <v/>
      </c>
      <c r="AK49" t="str">
        <f ca="1">IFERROR(IF(0=LEN(ReferenceData!$AK$49),"",ReferenceData!$AK$49),"")</f>
        <v/>
      </c>
      <c r="AL49">
        <f ca="1">IFERROR(IF(0=LEN(ReferenceData!$AL$49),"",ReferenceData!$AL$49),"")</f>
        <v>0</v>
      </c>
      <c r="AM49" t="str">
        <f ca="1">IFERROR(IF(0=LEN(ReferenceData!$AM$49),"",ReferenceData!$AM$49),"")</f>
        <v/>
      </c>
      <c r="AN49" t="str">
        <f ca="1">IFERROR(IF(0=LEN(ReferenceData!$AN$49),"",ReferenceData!$AN$49),"")</f>
        <v/>
      </c>
      <c r="AO49" t="str">
        <f ca="1">IFERROR(IF(0=LEN(ReferenceData!$AO$49),"",ReferenceData!$AO$49),"")</f>
        <v/>
      </c>
      <c r="AP49" t="str">
        <f ca="1">IFERROR(IF(0=LEN(ReferenceData!$AP$49),"",ReferenceData!$AP$49),"")</f>
        <v/>
      </c>
      <c r="AQ49" t="str">
        <f ca="1">IFERROR(IF(0=LEN(ReferenceData!$AQ$49),"",ReferenceData!$AQ$49),"")</f>
        <v/>
      </c>
      <c r="AR49" t="str">
        <f ca="1">IFERROR(IF(0=LEN(ReferenceData!$AR$49),"",ReferenceData!$AR$49),"")</f>
        <v/>
      </c>
      <c r="AS49" t="str">
        <f ca="1">IFERROR(IF(0=LEN(ReferenceData!$AS$49),"",ReferenceData!$AS$49),"")</f>
        <v/>
      </c>
      <c r="AT49" t="str">
        <f ca="1">IFERROR(IF(0=LEN(ReferenceData!$AT$49),"",ReferenceData!$AT$49),"")</f>
        <v/>
      </c>
      <c r="AU49" t="str">
        <f ca="1">IFERROR(IF(0=LEN(ReferenceData!$AU$49),"",ReferenceData!$AU$49),"")</f>
        <v/>
      </c>
      <c r="AV49" t="str">
        <f ca="1">IFERROR(IF(0=LEN(ReferenceData!$AV$49),"",ReferenceData!$AV$49),"")</f>
        <v/>
      </c>
      <c r="AW49" t="str">
        <f ca="1">IFERROR(IF(0=LEN(ReferenceData!$AW$49),"",ReferenceData!$AW$49),"")</f>
        <v/>
      </c>
      <c r="AX49" t="str">
        <f ca="1">IFERROR(IF(0=LEN(ReferenceData!$AX$49),"",ReferenceData!$AX$49),"")</f>
        <v/>
      </c>
      <c r="AY49" t="str">
        <f ca="1">IFERROR(IF(0=LEN(ReferenceData!$AY$49),"",ReferenceData!$AY$49),"")</f>
        <v/>
      </c>
      <c r="AZ49" t="str">
        <f ca="1">IFERROR(IF(0=LEN(ReferenceData!$AZ$49),"",ReferenceData!$AZ$49),"")</f>
        <v/>
      </c>
      <c r="BA49" t="str">
        <f ca="1">IFERROR(IF(0=LEN(ReferenceData!$BA$49),"",ReferenceData!$BA$49),"")</f>
        <v/>
      </c>
      <c r="BB49" t="str">
        <f ca="1">IFERROR(IF(0=LEN(ReferenceData!$BB$49),"",ReferenceData!$BB$49),"")</f>
        <v/>
      </c>
      <c r="BC49" t="str">
        <f ca="1">IFERROR(IF(0=LEN(ReferenceData!$BC$49),"",ReferenceData!$BC$49),"")</f>
        <v/>
      </c>
      <c r="BD49" t="str">
        <f ca="1">IFERROR(IF(0=LEN(ReferenceData!$BD$49),"",ReferenceData!$BD$49),"")</f>
        <v/>
      </c>
      <c r="BE49" t="str">
        <f ca="1">IFERROR(IF(0=LEN(ReferenceData!$BE$49),"",ReferenceData!$BE$49),"")</f>
        <v/>
      </c>
      <c r="BF49" t="str">
        <f ca="1">IFERROR(IF(0=LEN(ReferenceData!$BF$49),"",ReferenceData!$BF$49),"")</f>
        <v/>
      </c>
      <c r="BG49" t="str">
        <f ca="1">IFERROR(IF(0=LEN(ReferenceData!$BG$49),"",ReferenceData!$BG$49),"")</f>
        <v/>
      </c>
      <c r="BH49" t="str">
        <f ca="1">IFERROR(IF(0=LEN(ReferenceData!$BH$49),"",ReferenceData!$BH$49),"")</f>
        <v/>
      </c>
      <c r="BI49" t="str">
        <f ca="1">IFERROR(IF(0=LEN(ReferenceData!$BI$49),"",ReferenceData!$BI$49),"")</f>
        <v/>
      </c>
      <c r="BJ49" t="str">
        <f ca="1">IFERROR(IF(0=LEN(ReferenceData!$BJ$49),"",ReferenceData!$BJ$49),"")</f>
        <v/>
      </c>
      <c r="BK49" t="str">
        <f ca="1">IFERROR(IF(0=LEN(ReferenceData!$BK$49),"",ReferenceData!$BK$49),"")</f>
        <v/>
      </c>
      <c r="BL49" t="str">
        <f ca="1">IFERROR(IF(0=LEN(ReferenceData!$BL$49),"",ReferenceData!$BL$49),"")</f>
        <v/>
      </c>
      <c r="BM49" t="str">
        <f ca="1">IFERROR(IF(0=LEN(ReferenceData!$BM$49),"",ReferenceData!$BM$49),"")</f>
        <v/>
      </c>
    </row>
    <row r="50" spans="1:65">
      <c r="A50" t="str">
        <f>IFERROR(IF(0=LEN(ReferenceData!$A$50),"",ReferenceData!$A$50),"")</f>
        <v xml:space="preserve">    Washington Prime Group Inc</v>
      </c>
      <c r="B50" t="str">
        <f>IFERROR(IF(0=LEN(ReferenceData!$B$50),"",ReferenceData!$B$50),"")</f>
        <v>WPG US Equity</v>
      </c>
      <c r="C50" t="str">
        <f>IFERROR(IF(0=LEN(ReferenceData!$C$50),"",ReferenceData!$C$50),"")</f>
        <v>IM281</v>
      </c>
      <c r="D50" t="str">
        <f>IFERROR(IF(0=LEN(ReferenceData!$D$50),"",ReferenceData!$D$50),"")</f>
        <v>IS_NON_REAL_ESTATE_INCOME</v>
      </c>
      <c r="E50" t="str">
        <f>IFERROR(IF(0=LEN(ReferenceData!$E$50),"",ReferenceData!$E$50),"")</f>
        <v>动态</v>
      </c>
      <c r="F50" t="str">
        <f ca="1">IFERROR(IF(0=LEN(ReferenceData!$F$50),"",ReferenceData!$F$50),"")</f>
        <v/>
      </c>
      <c r="G50">
        <f ca="1">IFERROR(IF(0=LEN(ReferenceData!$G$50),"",ReferenceData!$G$50),"")</f>
        <v>0</v>
      </c>
      <c r="H50">
        <f ca="1">IFERROR(IF(0=LEN(ReferenceData!$H$50),"",ReferenceData!$H$50),"")</f>
        <v>0</v>
      </c>
      <c r="I50">
        <f ca="1">IFERROR(IF(0=LEN(ReferenceData!$I$50),"",ReferenceData!$I$50),"")</f>
        <v>0</v>
      </c>
      <c r="J50">
        <f ca="1">IFERROR(IF(0=LEN(ReferenceData!$J$50),"",ReferenceData!$J$50),"")</f>
        <v>0</v>
      </c>
      <c r="K50">
        <f ca="1">IFERROR(IF(0=LEN(ReferenceData!$K$50),"",ReferenceData!$K$50),"")</f>
        <v>0</v>
      </c>
      <c r="L50">
        <f ca="1">IFERROR(IF(0=LEN(ReferenceData!$L$50),"",ReferenceData!$L$50),"")</f>
        <v>0</v>
      </c>
      <c r="M50">
        <f ca="1">IFERROR(IF(0=LEN(ReferenceData!$M$50),"",ReferenceData!$M$50),"")</f>
        <v>0</v>
      </c>
      <c r="N50">
        <f ca="1">IFERROR(IF(0=LEN(ReferenceData!$N$50),"",ReferenceData!$N$50),"")</f>
        <v>0</v>
      </c>
      <c r="O50">
        <f ca="1">IFERROR(IF(0=LEN(ReferenceData!$O$50),"",ReferenceData!$O$50),"")</f>
        <v>0</v>
      </c>
      <c r="P50">
        <f ca="1">IFERROR(IF(0=LEN(ReferenceData!$P$50),"",ReferenceData!$P$50),"")</f>
        <v>0</v>
      </c>
      <c r="Q50">
        <f ca="1">IFERROR(IF(0=LEN(ReferenceData!$Q$50),"",ReferenceData!$Q$50),"")</f>
        <v>0</v>
      </c>
      <c r="R50">
        <f ca="1">IFERROR(IF(0=LEN(ReferenceData!$R$50),"",ReferenceData!$R$50),"")</f>
        <v>0</v>
      </c>
      <c r="S50">
        <f ca="1">IFERROR(IF(0=LEN(ReferenceData!$S$50),"",ReferenceData!$S$50),"")</f>
        <v>0</v>
      </c>
      <c r="T50">
        <f ca="1">IFERROR(IF(0=LEN(ReferenceData!$T$50),"",ReferenceData!$T$50),"")</f>
        <v>0</v>
      </c>
      <c r="U50">
        <f ca="1">IFERROR(IF(0=LEN(ReferenceData!$U$50),"",ReferenceData!$U$50),"")</f>
        <v>0</v>
      </c>
      <c r="V50">
        <f ca="1">IFERROR(IF(0=LEN(ReferenceData!$V$50),"",ReferenceData!$V$50),"")</f>
        <v>0</v>
      </c>
      <c r="W50" t="str">
        <f ca="1">IFERROR(IF(0=LEN(ReferenceData!$W$50),"",ReferenceData!$W$50),"")</f>
        <v/>
      </c>
      <c r="X50" t="str">
        <f ca="1">IFERROR(IF(0=LEN(ReferenceData!$X$50),"",ReferenceData!$X$50),"")</f>
        <v/>
      </c>
      <c r="Y50" t="str">
        <f ca="1">IFERROR(IF(0=LEN(ReferenceData!$Y$50),"",ReferenceData!$Y$50),"")</f>
        <v/>
      </c>
      <c r="Z50" t="str">
        <f ca="1">IFERROR(IF(0=LEN(ReferenceData!$Z$50),"",ReferenceData!$Z$50),"")</f>
        <v/>
      </c>
      <c r="AA50" t="str">
        <f ca="1">IFERROR(IF(0=LEN(ReferenceData!$AA$50),"",ReferenceData!$AA$50),"")</f>
        <v/>
      </c>
      <c r="AB50" t="str">
        <f ca="1">IFERROR(IF(0=LEN(ReferenceData!$AB$50),"",ReferenceData!$AB$50),"")</f>
        <v/>
      </c>
      <c r="AC50" t="str">
        <f ca="1">IFERROR(IF(0=LEN(ReferenceData!$AC$50),"",ReferenceData!$AC$50),"")</f>
        <v/>
      </c>
      <c r="AD50" t="str">
        <f ca="1">IFERROR(IF(0=LEN(ReferenceData!$AD$50),"",ReferenceData!$AD$50),"")</f>
        <v/>
      </c>
      <c r="AE50" t="str">
        <f ca="1">IFERROR(IF(0=LEN(ReferenceData!$AE$50),"",ReferenceData!$AE$50),"")</f>
        <v/>
      </c>
      <c r="AF50" t="str">
        <f ca="1">IFERROR(IF(0=LEN(ReferenceData!$AF$50),"",ReferenceData!$AF$50),"")</f>
        <v/>
      </c>
      <c r="AG50" t="str">
        <f ca="1">IFERROR(IF(0=LEN(ReferenceData!$AG$50),"",ReferenceData!$AG$50),"")</f>
        <v/>
      </c>
      <c r="AH50" t="str">
        <f ca="1">IFERROR(IF(0=LEN(ReferenceData!$AH$50),"",ReferenceData!$AH$50),"")</f>
        <v/>
      </c>
      <c r="AI50" t="str">
        <f ca="1">IFERROR(IF(0=LEN(ReferenceData!$AI$50),"",ReferenceData!$AI$50),"")</f>
        <v/>
      </c>
      <c r="AJ50" t="str">
        <f ca="1">IFERROR(IF(0=LEN(ReferenceData!$AJ$50),"",ReferenceData!$AJ$50),"")</f>
        <v/>
      </c>
      <c r="AK50" t="str">
        <f ca="1">IFERROR(IF(0=LEN(ReferenceData!$AK$50),"",ReferenceData!$AK$50),"")</f>
        <v/>
      </c>
      <c r="AL50" t="str">
        <f ca="1">IFERROR(IF(0=LEN(ReferenceData!$AL$50),"",ReferenceData!$AL$50),"")</f>
        <v/>
      </c>
      <c r="AM50" t="str">
        <f ca="1">IFERROR(IF(0=LEN(ReferenceData!$AM$50),"",ReferenceData!$AM$50),"")</f>
        <v/>
      </c>
      <c r="AN50" t="str">
        <f ca="1">IFERROR(IF(0=LEN(ReferenceData!$AN$50),"",ReferenceData!$AN$50),"")</f>
        <v/>
      </c>
      <c r="AO50" t="str">
        <f ca="1">IFERROR(IF(0=LEN(ReferenceData!$AO$50),"",ReferenceData!$AO$50),"")</f>
        <v/>
      </c>
      <c r="AP50" t="str">
        <f ca="1">IFERROR(IF(0=LEN(ReferenceData!$AP$50),"",ReferenceData!$AP$50),"")</f>
        <v/>
      </c>
      <c r="AQ50" t="str">
        <f ca="1">IFERROR(IF(0=LEN(ReferenceData!$AQ$50),"",ReferenceData!$AQ$50),"")</f>
        <v/>
      </c>
      <c r="AR50" t="str">
        <f ca="1">IFERROR(IF(0=LEN(ReferenceData!$AR$50),"",ReferenceData!$AR$50),"")</f>
        <v/>
      </c>
      <c r="AS50" t="str">
        <f ca="1">IFERROR(IF(0=LEN(ReferenceData!$AS$50),"",ReferenceData!$AS$50),"")</f>
        <v/>
      </c>
      <c r="AT50" t="str">
        <f ca="1">IFERROR(IF(0=LEN(ReferenceData!$AT$50),"",ReferenceData!$AT$50),"")</f>
        <v/>
      </c>
      <c r="AU50" t="str">
        <f ca="1">IFERROR(IF(0=LEN(ReferenceData!$AU$50),"",ReferenceData!$AU$50),"")</f>
        <v/>
      </c>
      <c r="AV50" t="str">
        <f ca="1">IFERROR(IF(0=LEN(ReferenceData!$AV$50),"",ReferenceData!$AV$50),"")</f>
        <v/>
      </c>
      <c r="AW50" t="str">
        <f ca="1">IFERROR(IF(0=LEN(ReferenceData!$AW$50),"",ReferenceData!$AW$50),"")</f>
        <v/>
      </c>
      <c r="AX50" t="str">
        <f ca="1">IFERROR(IF(0=LEN(ReferenceData!$AX$50),"",ReferenceData!$AX$50),"")</f>
        <v/>
      </c>
      <c r="AY50" t="str">
        <f ca="1">IFERROR(IF(0=LEN(ReferenceData!$AY$50),"",ReferenceData!$AY$50),"")</f>
        <v/>
      </c>
      <c r="AZ50" t="str">
        <f ca="1">IFERROR(IF(0=LEN(ReferenceData!$AZ$50),"",ReferenceData!$AZ$50),"")</f>
        <v/>
      </c>
      <c r="BA50" t="str">
        <f ca="1">IFERROR(IF(0=LEN(ReferenceData!$BA$50),"",ReferenceData!$BA$50),"")</f>
        <v/>
      </c>
      <c r="BB50" t="str">
        <f ca="1">IFERROR(IF(0=LEN(ReferenceData!$BB$50),"",ReferenceData!$BB$50),"")</f>
        <v/>
      </c>
      <c r="BC50" t="str">
        <f ca="1">IFERROR(IF(0=LEN(ReferenceData!$BC$50),"",ReferenceData!$BC$50),"")</f>
        <v/>
      </c>
      <c r="BD50" t="str">
        <f ca="1">IFERROR(IF(0=LEN(ReferenceData!$BD$50),"",ReferenceData!$BD$50),"")</f>
        <v/>
      </c>
      <c r="BE50" t="str">
        <f ca="1">IFERROR(IF(0=LEN(ReferenceData!$BE$50),"",ReferenceData!$BE$50),"")</f>
        <v/>
      </c>
      <c r="BF50" t="str">
        <f ca="1">IFERROR(IF(0=LEN(ReferenceData!$BF$50),"",ReferenceData!$BF$50),"")</f>
        <v/>
      </c>
      <c r="BG50" t="str">
        <f ca="1">IFERROR(IF(0=LEN(ReferenceData!$BG$50),"",ReferenceData!$BG$50),"")</f>
        <v/>
      </c>
      <c r="BH50" t="str">
        <f ca="1">IFERROR(IF(0=LEN(ReferenceData!$BH$50),"",ReferenceData!$BH$50),"")</f>
        <v/>
      </c>
      <c r="BI50" t="str">
        <f ca="1">IFERROR(IF(0=LEN(ReferenceData!$BI$50),"",ReferenceData!$BI$50),"")</f>
        <v/>
      </c>
      <c r="BJ50" t="str">
        <f ca="1">IFERROR(IF(0=LEN(ReferenceData!$BJ$50),"",ReferenceData!$BJ$50),"")</f>
        <v/>
      </c>
      <c r="BK50" t="str">
        <f ca="1">IFERROR(IF(0=LEN(ReferenceData!$BK$50),"",ReferenceData!$BK$50),"")</f>
        <v/>
      </c>
      <c r="BL50" t="str">
        <f ca="1">IFERROR(IF(0=LEN(ReferenceData!$BL$50),"",ReferenceData!$BL$50),"")</f>
        <v/>
      </c>
      <c r="BM50" t="str">
        <f ca="1">IFERROR(IF(0=LEN(ReferenceData!$BM$50),"",ReferenceData!$BM$50),"")</f>
        <v/>
      </c>
    </row>
    <row r="51" spans="1:65">
      <c r="A51" t="str">
        <f>IFERROR(IF(0=LEN(ReferenceData!$A$51),"",ReferenceData!$A$51),"")</f>
        <v xml:space="preserve">    Weingarten Realty Investors</v>
      </c>
      <c r="B51" t="str">
        <f>IFERROR(IF(0=LEN(ReferenceData!$B$51),"",ReferenceData!$B$51),"")</f>
        <v>WRI US Equity</v>
      </c>
      <c r="C51" t="str">
        <f>IFERROR(IF(0=LEN(ReferenceData!$C$51),"",ReferenceData!$C$51),"")</f>
        <v>IM281</v>
      </c>
      <c r="D51" t="str">
        <f>IFERROR(IF(0=LEN(ReferenceData!$D$51),"",ReferenceData!$D$51),"")</f>
        <v>IS_NON_REAL_ESTATE_INCOME</v>
      </c>
      <c r="E51" t="str">
        <f>IFERROR(IF(0=LEN(ReferenceData!$E$51),"",ReferenceData!$E$51),"")</f>
        <v>动态</v>
      </c>
      <c r="F51" t="str">
        <f ca="1">IFERROR(IF(0=LEN(ReferenceData!$F$51),"",ReferenceData!$F$51),"")</f>
        <v/>
      </c>
      <c r="G51">
        <f ca="1">IFERROR(IF(0=LEN(ReferenceData!$G$51),"",ReferenceData!$G$51),"")</f>
        <v>3.569</v>
      </c>
      <c r="H51">
        <f ca="1">IFERROR(IF(0=LEN(ReferenceData!$H$51),"",ReferenceData!$H$51),"")</f>
        <v>3.0459999999999998</v>
      </c>
      <c r="I51">
        <f ca="1">IFERROR(IF(0=LEN(ReferenceData!$I$51),"",ReferenceData!$I$51),"")</f>
        <v>3.06</v>
      </c>
      <c r="J51">
        <f ca="1">IFERROR(IF(0=LEN(ReferenceData!$J$51),"",ReferenceData!$J$51),"")</f>
        <v>2.8450000000000002</v>
      </c>
      <c r="K51">
        <f ca="1">IFERROR(IF(0=LEN(ReferenceData!$K$51),"",ReferenceData!$K$51),"")</f>
        <v>3.3559999999999999</v>
      </c>
      <c r="L51">
        <f ca="1">IFERROR(IF(0=LEN(ReferenceData!$L$51),"",ReferenceData!$L$51),"")</f>
        <v>2.1640000000000001</v>
      </c>
      <c r="M51">
        <f ca="1">IFERROR(IF(0=LEN(ReferenceData!$M$51),"",ReferenceData!$M$51),"")</f>
        <v>2.8620000000000001</v>
      </c>
      <c r="N51">
        <f ca="1">IFERROR(IF(0=LEN(ReferenceData!$N$51),"",ReferenceData!$N$51),"")</f>
        <v>3.9079999999999999</v>
      </c>
      <c r="O51">
        <f ca="1">IFERROR(IF(0=LEN(ReferenceData!$O$51),"",ReferenceData!$O$51),"")</f>
        <v>2.4119999999999999</v>
      </c>
      <c r="P51">
        <f ca="1">IFERROR(IF(0=LEN(ReferenceData!$P$51),"",ReferenceData!$P$51),"")</f>
        <v>2.5329999999999999</v>
      </c>
      <c r="Q51">
        <f ca="1">IFERROR(IF(0=LEN(ReferenceData!$Q$51),"",ReferenceData!$Q$51),"")</f>
        <v>2.4940000000000002</v>
      </c>
      <c r="R51">
        <f ca="1">IFERROR(IF(0=LEN(ReferenceData!$R$51),"",ReferenceData!$R$51),"")</f>
        <v>2.9409999999999998</v>
      </c>
      <c r="S51">
        <f ca="1">IFERROR(IF(0=LEN(ReferenceData!$S$51),"",ReferenceData!$S$51),"")</f>
        <v>3.3719999999999999</v>
      </c>
      <c r="T51">
        <f ca="1">IFERROR(IF(0=LEN(ReferenceData!$T$51),"",ReferenceData!$T$51),"")</f>
        <v>2.5470000000000002</v>
      </c>
      <c r="U51">
        <f ca="1">IFERROR(IF(0=LEN(ReferenceData!$U$51),"",ReferenceData!$U$51),"")</f>
        <v>2.4</v>
      </c>
      <c r="V51">
        <f ca="1">IFERROR(IF(0=LEN(ReferenceData!$V$51),"",ReferenceData!$V$51),"")</f>
        <v>2.9590000000000001</v>
      </c>
      <c r="W51">
        <f ca="1">IFERROR(IF(0=LEN(ReferenceData!$W$51),"",ReferenceData!$W$51),"")</f>
        <v>2.6110000000000002</v>
      </c>
      <c r="X51">
        <f ca="1">IFERROR(IF(0=LEN(ReferenceData!$X$51),"",ReferenceData!$X$51),"")</f>
        <v>2.9409999999999998</v>
      </c>
      <c r="Y51">
        <f ca="1">IFERROR(IF(0=LEN(ReferenceData!$Y$51),"",ReferenceData!$Y$51),"")</f>
        <v>3.7029999999999998</v>
      </c>
      <c r="Z51">
        <f ca="1">IFERROR(IF(0=LEN(ReferenceData!$Z$51),"",ReferenceData!$Z$51),"")</f>
        <v>2.6</v>
      </c>
      <c r="AA51">
        <f ca="1">IFERROR(IF(0=LEN(ReferenceData!$AA$51),"",ReferenceData!$AA$51),"")</f>
        <v>2.9689999999999999</v>
      </c>
      <c r="AB51">
        <f ca="1">IFERROR(IF(0=LEN(ReferenceData!$AB$51),"",ReferenceData!$AB$51),"")</f>
        <v>3.1080000000000001</v>
      </c>
      <c r="AC51">
        <f ca="1">IFERROR(IF(0=LEN(ReferenceData!$AC$51),"",ReferenceData!$AC$51),"")</f>
        <v>2.5840000000000001</v>
      </c>
      <c r="AD51">
        <f ca="1">IFERROR(IF(0=LEN(ReferenceData!$AD$51),"",ReferenceData!$AD$51),"")</f>
        <v>2.6989999999999998</v>
      </c>
      <c r="AE51">
        <f ca="1">IFERROR(IF(0=LEN(ReferenceData!$AE$51),"",ReferenceData!$AE$51),"")</f>
        <v>2.9769999999999999</v>
      </c>
      <c r="AF51">
        <f ca="1">IFERROR(IF(0=LEN(ReferenceData!$AF$51),"",ReferenceData!$AF$51),"")</f>
        <v>3.1230000000000002</v>
      </c>
      <c r="AG51">
        <f ca="1">IFERROR(IF(0=LEN(ReferenceData!$AG$51),"",ReferenceData!$AG$51),"")</f>
        <v>5.4820000000000002</v>
      </c>
      <c r="AH51">
        <f ca="1">IFERROR(IF(0=LEN(ReferenceData!$AH$51),"",ReferenceData!$AH$51),"")</f>
        <v>2.5459999999999998</v>
      </c>
      <c r="AI51">
        <f ca="1">IFERROR(IF(0=LEN(ReferenceData!$AI$51),"",ReferenceData!$AI$51),"")</f>
        <v>2.9820000000000002</v>
      </c>
      <c r="AJ51">
        <f ca="1">IFERROR(IF(0=LEN(ReferenceData!$AJ$51),"",ReferenceData!$AJ$51),"")</f>
        <v>4.3179999999999996</v>
      </c>
      <c r="AK51">
        <f ca="1">IFERROR(IF(0=LEN(ReferenceData!$AK$51),"",ReferenceData!$AK$51),"")</f>
        <v>3.4710000000000001</v>
      </c>
      <c r="AL51">
        <f ca="1">IFERROR(IF(0=LEN(ReferenceData!$AL$51),"",ReferenceData!$AL$51),"")</f>
        <v>3.0169999999999999</v>
      </c>
      <c r="AM51">
        <f ca="1">IFERROR(IF(0=LEN(ReferenceData!$AM$51),"",ReferenceData!$AM$51),"")</f>
        <v>5.7119999999999997</v>
      </c>
      <c r="AN51">
        <f ca="1">IFERROR(IF(0=LEN(ReferenceData!$AN$51),"",ReferenceData!$AN$51),"")</f>
        <v>4.8979999999999997</v>
      </c>
      <c r="AO51">
        <f ca="1">IFERROR(IF(0=LEN(ReferenceData!$AO$51),"",ReferenceData!$AO$51),"")</f>
        <v>3.3490000000000002</v>
      </c>
      <c r="AP51">
        <f ca="1">IFERROR(IF(0=LEN(ReferenceData!$AP$51),"",ReferenceData!$AP$51),"")</f>
        <v>4.0419999999999998</v>
      </c>
      <c r="AQ51" t="str">
        <f ca="1">IFERROR(IF(0=LEN(ReferenceData!$AQ$51),"",ReferenceData!$AQ$51),"")</f>
        <v/>
      </c>
      <c r="AR51" t="str">
        <f ca="1">IFERROR(IF(0=LEN(ReferenceData!$AR$51),"",ReferenceData!$AR$51),"")</f>
        <v/>
      </c>
      <c r="AS51" t="str">
        <f ca="1">IFERROR(IF(0=LEN(ReferenceData!$AS$51),"",ReferenceData!$AS$51),"")</f>
        <v/>
      </c>
      <c r="AT51" t="str">
        <f ca="1">IFERROR(IF(0=LEN(ReferenceData!$AT$51),"",ReferenceData!$AT$51),"")</f>
        <v/>
      </c>
      <c r="AU51" t="str">
        <f ca="1">IFERROR(IF(0=LEN(ReferenceData!$AU$51),"",ReferenceData!$AU$51),"")</f>
        <v/>
      </c>
      <c r="AV51" t="str">
        <f ca="1">IFERROR(IF(0=LEN(ReferenceData!$AV$51),"",ReferenceData!$AV$51),"")</f>
        <v/>
      </c>
      <c r="AW51" t="str">
        <f ca="1">IFERROR(IF(0=LEN(ReferenceData!$AW$51),"",ReferenceData!$AW$51),"")</f>
        <v/>
      </c>
      <c r="AX51" t="str">
        <f ca="1">IFERROR(IF(0=LEN(ReferenceData!$AX$51),"",ReferenceData!$AX$51),"")</f>
        <v/>
      </c>
      <c r="AY51" t="str">
        <f ca="1">IFERROR(IF(0=LEN(ReferenceData!$AY$51),"",ReferenceData!$AY$51),"")</f>
        <v/>
      </c>
      <c r="AZ51" t="str">
        <f ca="1">IFERROR(IF(0=LEN(ReferenceData!$AZ$51),"",ReferenceData!$AZ$51),"")</f>
        <v/>
      </c>
      <c r="BA51" t="str">
        <f ca="1">IFERROR(IF(0=LEN(ReferenceData!$BA$51),"",ReferenceData!$BA$51),"")</f>
        <v/>
      </c>
      <c r="BB51" t="str">
        <f ca="1">IFERROR(IF(0=LEN(ReferenceData!$BB$51),"",ReferenceData!$BB$51),"")</f>
        <v/>
      </c>
      <c r="BC51" t="str">
        <f ca="1">IFERROR(IF(0=LEN(ReferenceData!$BC$51),"",ReferenceData!$BC$51),"")</f>
        <v/>
      </c>
      <c r="BD51" t="str">
        <f ca="1">IFERROR(IF(0=LEN(ReferenceData!$BD$51),"",ReferenceData!$BD$51),"")</f>
        <v/>
      </c>
      <c r="BE51" t="str">
        <f ca="1">IFERROR(IF(0=LEN(ReferenceData!$BE$51),"",ReferenceData!$BE$51),"")</f>
        <v/>
      </c>
      <c r="BF51" t="str">
        <f ca="1">IFERROR(IF(0=LEN(ReferenceData!$BF$51),"",ReferenceData!$BF$51),"")</f>
        <v/>
      </c>
      <c r="BG51" t="str">
        <f ca="1">IFERROR(IF(0=LEN(ReferenceData!$BG$51),"",ReferenceData!$BG$51),"")</f>
        <v/>
      </c>
      <c r="BH51" t="str">
        <f ca="1">IFERROR(IF(0=LEN(ReferenceData!$BH$51),"",ReferenceData!$BH$51),"")</f>
        <v/>
      </c>
      <c r="BI51" t="str">
        <f ca="1">IFERROR(IF(0=LEN(ReferenceData!$BI$51),"",ReferenceData!$BI$51),"")</f>
        <v/>
      </c>
      <c r="BJ51" t="str">
        <f ca="1">IFERROR(IF(0=LEN(ReferenceData!$BJ$51),"",ReferenceData!$BJ$51),"")</f>
        <v/>
      </c>
      <c r="BK51" t="str">
        <f ca="1">IFERROR(IF(0=LEN(ReferenceData!$BK$51),"",ReferenceData!$BK$51),"")</f>
        <v/>
      </c>
      <c r="BL51" t="str">
        <f ca="1">IFERROR(IF(0=LEN(ReferenceData!$BL$51),"",ReferenceData!$BL$51),"")</f>
        <v/>
      </c>
      <c r="BM51" t="str">
        <f ca="1">IFERROR(IF(0=LEN(ReferenceData!$BM$51),"",ReferenceData!$BM$51),"")</f>
        <v/>
      </c>
    </row>
    <row r="52" spans="1:65">
      <c r="A52" t="str">
        <f>IFERROR(IF(0=LEN(ReferenceData!$A$52),"",ReferenceData!$A$52),"")</f>
        <v>总收入</v>
      </c>
      <c r="B52" t="str">
        <f>IFERROR(IF(0=LEN(ReferenceData!$B$52),"",ReferenceData!$B$52),"")</f>
        <v/>
      </c>
      <c r="C52" t="str">
        <f>IFERROR(IF(0=LEN(ReferenceData!$C$52),"",ReferenceData!$C$52),"")</f>
        <v/>
      </c>
      <c r="D52" t="str">
        <f>IFERROR(IF(0=LEN(ReferenceData!$D$52),"",ReferenceData!$D$52),"")</f>
        <v/>
      </c>
      <c r="E52" t="str">
        <f>IFERROR(IF(0=LEN(ReferenceData!$E$52),"",ReferenceData!$E$52),"")</f>
        <v>Median</v>
      </c>
      <c r="F52" t="str">
        <f ca="1">IFERROR(IF(0=LEN(ReferenceData!$F$52),"",ReferenceData!$F$52),"")</f>
        <v/>
      </c>
      <c r="G52">
        <f ca="1">IFERROR(IF(0=LEN(ReferenceData!$G$52),"",ReferenceData!$G$52),"")</f>
        <v>223.95699999999999</v>
      </c>
      <c r="H52">
        <f ca="1">IFERROR(IF(0=LEN(ReferenceData!$H$52),"",ReferenceData!$H$52),"")</f>
        <v>224.65</v>
      </c>
      <c r="I52">
        <f ca="1">IFERROR(IF(0=LEN(ReferenceData!$I$52),"",ReferenceData!$I$52),"")</f>
        <v>229.233</v>
      </c>
      <c r="J52">
        <f ca="1">IFERROR(IF(0=LEN(ReferenceData!$J$52),"",ReferenceData!$J$52),"")</f>
        <v>207.38900000000001</v>
      </c>
      <c r="K52">
        <f ca="1">IFERROR(IF(0=LEN(ReferenceData!$K$52),"",ReferenceData!$K$52),"")</f>
        <v>217.785</v>
      </c>
      <c r="L52">
        <f ca="1">IFERROR(IF(0=LEN(ReferenceData!$L$52),"",ReferenceData!$L$52),"")</f>
        <v>209.922</v>
      </c>
      <c r="M52">
        <f ca="1">IFERROR(IF(0=LEN(ReferenceData!$M$52),"",ReferenceData!$M$52),"")</f>
        <v>205.738</v>
      </c>
      <c r="N52">
        <f ca="1">IFERROR(IF(0=LEN(ReferenceData!$N$52),"",ReferenceData!$N$52),"")</f>
        <v>210.03100000000001</v>
      </c>
      <c r="O52">
        <f ca="1">IFERROR(IF(0=LEN(ReferenceData!$O$52),"",ReferenceData!$O$52),"")</f>
        <v>229.37700000000001</v>
      </c>
      <c r="P52">
        <f ca="1">IFERROR(IF(0=LEN(ReferenceData!$P$52),"",ReferenceData!$P$52),"")</f>
        <v>216.739</v>
      </c>
      <c r="Q52">
        <f ca="1">IFERROR(IF(0=LEN(ReferenceData!$Q$52),"",ReferenceData!$Q$52),"")</f>
        <v>237.52799999999999</v>
      </c>
      <c r="R52">
        <f ca="1">IFERROR(IF(0=LEN(ReferenceData!$R$52),"",ReferenceData!$R$52),"")</f>
        <v>237.71799999999999</v>
      </c>
      <c r="S52">
        <f ca="1">IFERROR(IF(0=LEN(ReferenceData!$S$52),"",ReferenceData!$S$52),"")</f>
        <v>177.298</v>
      </c>
      <c r="T52">
        <f ca="1">IFERROR(IF(0=LEN(ReferenceData!$T$52),"",ReferenceData!$T$52),"")</f>
        <v>170.93799999999999</v>
      </c>
      <c r="U52">
        <f ca="1">IFERROR(IF(0=LEN(ReferenceData!$U$52),"",ReferenceData!$U$52),"")</f>
        <v>167.947</v>
      </c>
      <c r="V52">
        <f ca="1">IFERROR(IF(0=LEN(ReferenceData!$V$52),"",ReferenceData!$V$52),"")</f>
        <v>170.828</v>
      </c>
      <c r="W52">
        <f ca="1">IFERROR(IF(0=LEN(ReferenceData!$W$52),"",ReferenceData!$W$52),"")</f>
        <v>157.26749999999998</v>
      </c>
      <c r="X52">
        <f ca="1">IFERROR(IF(0=LEN(ReferenceData!$X$52),"",ReferenceData!$X$52),"")</f>
        <v>147.57749999999999</v>
      </c>
      <c r="Y52">
        <f ca="1">IFERROR(IF(0=LEN(ReferenceData!$Y$52),"",ReferenceData!$Y$52),"")</f>
        <v>144.85399999999998</v>
      </c>
      <c r="Z52">
        <f ca="1">IFERROR(IF(0=LEN(ReferenceData!$Z$52),"",ReferenceData!$Z$52),"")</f>
        <v>144.60500000000002</v>
      </c>
      <c r="AA52">
        <f ca="1">IFERROR(IF(0=LEN(ReferenceData!$AA$52),"",ReferenceData!$AA$52),"")</f>
        <v>133.881</v>
      </c>
      <c r="AB52">
        <f ca="1">IFERROR(IF(0=LEN(ReferenceData!$AB$52),"",ReferenceData!$AB$52),"")</f>
        <v>130.58449999999999</v>
      </c>
      <c r="AC52">
        <f ca="1">IFERROR(IF(0=LEN(ReferenceData!$AC$52),"",ReferenceData!$AC$52),"")</f>
        <v>132.876</v>
      </c>
      <c r="AD52">
        <f ca="1">IFERROR(IF(0=LEN(ReferenceData!$AD$52),"",ReferenceData!$AD$52),"")</f>
        <v>134.56450000000001</v>
      </c>
      <c r="AE52">
        <f ca="1">IFERROR(IF(0=LEN(ReferenceData!$AE$52),"",ReferenceData!$AE$52),"")</f>
        <v>123.59699999999999</v>
      </c>
      <c r="AF52">
        <f ca="1">IFERROR(IF(0=LEN(ReferenceData!$AF$52),"",ReferenceData!$AF$52),"")</f>
        <v>123.02</v>
      </c>
      <c r="AG52">
        <f ca="1">IFERROR(IF(0=LEN(ReferenceData!$AG$52),"",ReferenceData!$AG$52),"")</f>
        <v>124.643</v>
      </c>
      <c r="AH52">
        <f ca="1">IFERROR(IF(0=LEN(ReferenceData!$AH$52),"",ReferenceData!$AH$52),"")</f>
        <v>124.328</v>
      </c>
      <c r="AI52">
        <f ca="1">IFERROR(IF(0=LEN(ReferenceData!$AI$52),"",ReferenceData!$AI$52),"")</f>
        <v>136.08100000000002</v>
      </c>
      <c r="AJ52">
        <f ca="1">IFERROR(IF(0=LEN(ReferenceData!$AJ$52),"",ReferenceData!$AJ$52),"")</f>
        <v>133.78199999999998</v>
      </c>
      <c r="AK52">
        <f ca="1">IFERROR(IF(0=LEN(ReferenceData!$AK$52),"",ReferenceData!$AK$52),"")</f>
        <v>135.5035</v>
      </c>
      <c r="AL52">
        <f ca="1">IFERROR(IF(0=LEN(ReferenceData!$AL$52),"",ReferenceData!$AL$52),"")</f>
        <v>137.10499999999999</v>
      </c>
      <c r="AM52">
        <f ca="1">IFERROR(IF(0=LEN(ReferenceData!$AM$52),"",ReferenceData!$AM$52),"")</f>
        <v>140.29349999999999</v>
      </c>
      <c r="AN52">
        <f ca="1">IFERROR(IF(0=LEN(ReferenceData!$AN$52),"",ReferenceData!$AN$52),"")</f>
        <v>143.07300000000001</v>
      </c>
      <c r="AO52">
        <f ca="1">IFERROR(IF(0=LEN(ReferenceData!$AO$52),"",ReferenceData!$AO$52),"")</f>
        <v>136.37649999999999</v>
      </c>
      <c r="AP52">
        <f ca="1">IFERROR(IF(0=LEN(ReferenceData!$AP$52),"",ReferenceData!$AP$52),"")</f>
        <v>137.72899999999998</v>
      </c>
      <c r="AQ52">
        <f ca="1">IFERROR(IF(0=LEN(ReferenceData!$AQ$52),"",ReferenceData!$AQ$52),"")</f>
        <v>143.1559895</v>
      </c>
      <c r="AR52">
        <f ca="1">IFERROR(IF(0=LEN(ReferenceData!$AR$52),"",ReferenceData!$AR$52),"")</f>
        <v>142.83699999999999</v>
      </c>
      <c r="AS52">
        <f ca="1">IFERROR(IF(0=LEN(ReferenceData!$AS$52),"",ReferenceData!$AS$52),"")</f>
        <v>140.49799999999999</v>
      </c>
      <c r="AT52">
        <f ca="1">IFERROR(IF(0=LEN(ReferenceData!$AT$52),"",ReferenceData!$AT$52),"")</f>
        <v>138.93549999999999</v>
      </c>
      <c r="AU52">
        <f ca="1">IFERROR(IF(0=LEN(ReferenceData!$AU$52),"",ReferenceData!$AU$52),"")</f>
        <v>138.53450000000001</v>
      </c>
      <c r="AV52">
        <f ca="1">IFERROR(IF(0=LEN(ReferenceData!$AV$52),"",ReferenceData!$AV$52),"")</f>
        <v>138.2465</v>
      </c>
      <c r="AW52">
        <f ca="1">IFERROR(IF(0=LEN(ReferenceData!$AW$52),"",ReferenceData!$AW$52),"")</f>
        <v>130.6885</v>
      </c>
      <c r="AX52">
        <f ca="1">IFERROR(IF(0=LEN(ReferenceData!$AX$52),"",ReferenceData!$AX$52),"")</f>
        <v>129.94400000000002</v>
      </c>
      <c r="AY52">
        <f ca="1">IFERROR(IF(0=LEN(ReferenceData!$AY$52),"",ReferenceData!$AY$52),"")</f>
        <v>127.04150000000001</v>
      </c>
      <c r="AZ52">
        <f ca="1">IFERROR(IF(0=LEN(ReferenceData!$AZ$52),"",ReferenceData!$AZ$52),"")</f>
        <v>125.654</v>
      </c>
      <c r="BA52">
        <f ca="1">IFERROR(IF(0=LEN(ReferenceData!$BA$52),"",ReferenceData!$BA$52),"")</f>
        <v>120.70350000000001</v>
      </c>
      <c r="BB52">
        <f ca="1">IFERROR(IF(0=LEN(ReferenceData!$BB$52),"",ReferenceData!$BB$52),"")</f>
        <v>120.694</v>
      </c>
      <c r="BC52">
        <f ca="1">IFERROR(IF(0=LEN(ReferenceData!$BC$52),"",ReferenceData!$BC$52),"")</f>
        <v>113.8895</v>
      </c>
      <c r="BD52">
        <f ca="1">IFERROR(IF(0=LEN(ReferenceData!$BD$52),"",ReferenceData!$BD$52),"")</f>
        <v>116.47</v>
      </c>
      <c r="BE52">
        <f ca="1">IFERROR(IF(0=LEN(ReferenceData!$BE$52),"",ReferenceData!$BE$52),"")</f>
        <v>118.8925</v>
      </c>
      <c r="BF52">
        <f ca="1">IFERROR(IF(0=LEN(ReferenceData!$BF$52),"",ReferenceData!$BF$52),"")</f>
        <v>115.89099999999999</v>
      </c>
      <c r="BG52">
        <f ca="1">IFERROR(IF(0=LEN(ReferenceData!$BG$52),"",ReferenceData!$BG$52),"")</f>
        <v>117.4845</v>
      </c>
      <c r="BH52">
        <f ca="1">IFERROR(IF(0=LEN(ReferenceData!$BH$52),"",ReferenceData!$BH$52),"")</f>
        <v>113.1865</v>
      </c>
      <c r="BI52">
        <f ca="1">IFERROR(IF(0=LEN(ReferenceData!$BI$52),"",ReferenceData!$BI$52),"")</f>
        <v>110.68700029999999</v>
      </c>
      <c r="BJ52">
        <f ca="1">IFERROR(IF(0=LEN(ReferenceData!$BJ$52),"",ReferenceData!$BJ$52),"")</f>
        <v>106.08949849999999</v>
      </c>
      <c r="BK52">
        <f ca="1">IFERROR(IF(0=LEN(ReferenceData!$BK$52),"",ReferenceData!$BK$52),"")</f>
        <v>104.4385</v>
      </c>
      <c r="BL52">
        <f ca="1">IFERROR(IF(0=LEN(ReferenceData!$BL$52),"",ReferenceData!$BL$52),"")</f>
        <v>97.554500499999989</v>
      </c>
      <c r="BM52">
        <f ca="1">IFERROR(IF(0=LEN(ReferenceData!$BM$52),"",ReferenceData!$BM$52),"")</f>
        <v>95.604000000000013</v>
      </c>
    </row>
    <row r="53" spans="1:65">
      <c r="A53" t="str">
        <f>IFERROR(IF(0=LEN(ReferenceData!$A$53),"",ReferenceData!$A$53),"")</f>
        <v xml:space="preserve">    Brixmor Property Group Inc</v>
      </c>
      <c r="B53" t="str">
        <f>IFERROR(IF(0=LEN(ReferenceData!$B$53),"",ReferenceData!$B$53),"")</f>
        <v>BRX US Equity</v>
      </c>
      <c r="C53" t="str">
        <f>IFERROR(IF(0=LEN(ReferenceData!$C$53),"",ReferenceData!$C$53),"")</f>
        <v>IS010</v>
      </c>
      <c r="D53" t="str">
        <f>IFERROR(IF(0=LEN(ReferenceData!$D$53),"",ReferenceData!$D$53),"")</f>
        <v>SALES_REV_TURN</v>
      </c>
      <c r="E53" t="str">
        <f>IFERROR(IF(0=LEN(ReferenceData!$E$53),"",ReferenceData!$E$53),"")</f>
        <v>动态</v>
      </c>
      <c r="F53" t="str">
        <f ca="1">IFERROR(IF(0=LEN(ReferenceData!$F$53),"",ReferenceData!$F$53),"")</f>
        <v/>
      </c>
      <c r="G53">
        <f ca="1">IFERROR(IF(0=LEN(ReferenceData!$G$53),"",ReferenceData!$G$53),"")</f>
        <v>320.06</v>
      </c>
      <c r="H53">
        <f ca="1">IFERROR(IF(0=LEN(ReferenceData!$H$53),"",ReferenceData!$H$53),"")</f>
        <v>314.49599999999998</v>
      </c>
      <c r="I53">
        <f ca="1">IFERROR(IF(0=LEN(ReferenceData!$I$53),"",ReferenceData!$I$53),"")</f>
        <v>322.81799999999998</v>
      </c>
      <c r="J53">
        <f ca="1">IFERROR(IF(0=LEN(ReferenceData!$J$53),"",ReferenceData!$J$53),"")</f>
        <v>325.80599999999998</v>
      </c>
      <c r="K53">
        <f ca="1">IFERROR(IF(0=LEN(ReferenceData!$K$53),"",ReferenceData!$K$53),"")</f>
        <v>324.03399999999999</v>
      </c>
      <c r="L53">
        <f ca="1">IFERROR(IF(0=LEN(ReferenceData!$L$53),"",ReferenceData!$L$53),"")</f>
        <v>318.577</v>
      </c>
      <c r="M53">
        <f ca="1">IFERROR(IF(0=LEN(ReferenceData!$M$53),"",ReferenceData!$M$53),"")</f>
        <v>310.05700000000002</v>
      </c>
      <c r="N53">
        <f ca="1">IFERROR(IF(0=LEN(ReferenceData!$N$53),"",ReferenceData!$N$53),"")</f>
        <v>323.10399999999998</v>
      </c>
      <c r="O53">
        <f ca="1">IFERROR(IF(0=LEN(ReferenceData!$O$53),"",ReferenceData!$O$53),"")</f>
        <v>325.55099999999999</v>
      </c>
      <c r="P53">
        <f ca="1">IFERROR(IF(0=LEN(ReferenceData!$P$53),"",ReferenceData!$P$53),"")</f>
        <v>313.02499999999998</v>
      </c>
      <c r="Q53">
        <f ca="1">IFERROR(IF(0=LEN(ReferenceData!$Q$53),"",ReferenceData!$Q$53),"")</f>
        <v>312.11099999999999</v>
      </c>
      <c r="R53">
        <f ca="1">IFERROR(IF(0=LEN(ReferenceData!$R$53),"",ReferenceData!$R$53),"")</f>
        <v>315.29300000000001</v>
      </c>
      <c r="S53">
        <f ca="1">IFERROR(IF(0=LEN(ReferenceData!$S$53),"",ReferenceData!$S$53),"")</f>
        <v>314.60500000000002</v>
      </c>
      <c r="T53">
        <f ca="1">IFERROR(IF(0=LEN(ReferenceData!$T$53),"",ReferenceData!$T$53),"")</f>
        <v>306.46899999999999</v>
      </c>
      <c r="U53">
        <f ca="1">IFERROR(IF(0=LEN(ReferenceData!$U$53),"",ReferenceData!$U$53),"")</f>
        <v>307.94900000000001</v>
      </c>
      <c r="V53">
        <f ca="1">IFERROR(IF(0=LEN(ReferenceData!$V$53),"",ReferenceData!$V$53),"")</f>
        <v>307.57499999999999</v>
      </c>
      <c r="W53">
        <f ca="1">IFERROR(IF(0=LEN(ReferenceData!$W$53),"",ReferenceData!$W$53),"")</f>
        <v>305.14299999999997</v>
      </c>
      <c r="X53">
        <f ca="1">IFERROR(IF(0=LEN(ReferenceData!$X$53),"",ReferenceData!$X$53),"")</f>
        <v>286.08999999999997</v>
      </c>
      <c r="Y53">
        <f ca="1">IFERROR(IF(0=LEN(ReferenceData!$Y$53),"",ReferenceData!$Y$53),"")</f>
        <v>278.22000000000003</v>
      </c>
      <c r="Z53">
        <f ca="1">IFERROR(IF(0=LEN(ReferenceData!$Z$53),"",ReferenceData!$Z$53),"")</f>
        <v>277.31799999999998</v>
      </c>
      <c r="AA53">
        <f ca="1">IFERROR(IF(0=LEN(ReferenceData!$AA$53),"",ReferenceData!$AA$53),"")</f>
        <v>285.34899999999999</v>
      </c>
      <c r="AB53">
        <f ca="1">IFERROR(IF(0=LEN(ReferenceData!$AB$53),"",ReferenceData!$AB$53),"")</f>
        <v>280.49200000000002</v>
      </c>
      <c r="AC53">
        <f ca="1">IFERROR(IF(0=LEN(ReferenceData!$AC$53),"",ReferenceData!$AC$53),"")</f>
        <v>276.75200000000001</v>
      </c>
      <c r="AD53">
        <f ca="1">IFERROR(IF(0=LEN(ReferenceData!$AD$53),"",ReferenceData!$AD$53),"")</f>
        <v>280.60700000000003</v>
      </c>
      <c r="AE53" t="str">
        <f ca="1">IFERROR(IF(0=LEN(ReferenceData!$AE$53),"",ReferenceData!$AE$53),"")</f>
        <v/>
      </c>
      <c r="AF53" t="str">
        <f ca="1">IFERROR(IF(0=LEN(ReferenceData!$AF$53),"",ReferenceData!$AF$53),"")</f>
        <v/>
      </c>
      <c r="AG53" t="str">
        <f ca="1">IFERROR(IF(0=LEN(ReferenceData!$AG$53),"",ReferenceData!$AG$53),"")</f>
        <v/>
      </c>
      <c r="AH53" t="str">
        <f ca="1">IFERROR(IF(0=LEN(ReferenceData!$AH$53),"",ReferenceData!$AH$53),"")</f>
        <v/>
      </c>
      <c r="AI53" t="str">
        <f ca="1">IFERROR(IF(0=LEN(ReferenceData!$AI$53),"",ReferenceData!$AI$53),"")</f>
        <v/>
      </c>
      <c r="AJ53" t="str">
        <f ca="1">IFERROR(IF(0=LEN(ReferenceData!$AJ$53),"",ReferenceData!$AJ$53),"")</f>
        <v/>
      </c>
      <c r="AK53" t="str">
        <f ca="1">IFERROR(IF(0=LEN(ReferenceData!$AK$53),"",ReferenceData!$AK$53),"")</f>
        <v/>
      </c>
      <c r="AL53" t="str">
        <f ca="1">IFERROR(IF(0=LEN(ReferenceData!$AL$53),"",ReferenceData!$AL$53),"")</f>
        <v/>
      </c>
      <c r="AM53" t="str">
        <f ca="1">IFERROR(IF(0=LEN(ReferenceData!$AM$53),"",ReferenceData!$AM$53),"")</f>
        <v/>
      </c>
      <c r="AN53" t="str">
        <f ca="1">IFERROR(IF(0=LEN(ReferenceData!$AN$53),"",ReferenceData!$AN$53),"")</f>
        <v/>
      </c>
      <c r="AO53" t="str">
        <f ca="1">IFERROR(IF(0=LEN(ReferenceData!$AO$53),"",ReferenceData!$AO$53),"")</f>
        <v/>
      </c>
      <c r="AP53" t="str">
        <f ca="1">IFERROR(IF(0=LEN(ReferenceData!$AP$53),"",ReferenceData!$AP$53),"")</f>
        <v/>
      </c>
      <c r="AQ53" t="str">
        <f ca="1">IFERROR(IF(0=LEN(ReferenceData!$AQ$53),"",ReferenceData!$AQ$53),"")</f>
        <v/>
      </c>
      <c r="AR53" t="str">
        <f ca="1">IFERROR(IF(0=LEN(ReferenceData!$AR$53),"",ReferenceData!$AR$53),"")</f>
        <v/>
      </c>
      <c r="AS53" t="str">
        <f ca="1">IFERROR(IF(0=LEN(ReferenceData!$AS$53),"",ReferenceData!$AS$53),"")</f>
        <v/>
      </c>
      <c r="AT53" t="str">
        <f ca="1">IFERROR(IF(0=LEN(ReferenceData!$AT$53),"",ReferenceData!$AT$53),"")</f>
        <v/>
      </c>
      <c r="AU53" t="str">
        <f ca="1">IFERROR(IF(0=LEN(ReferenceData!$AU$53),"",ReferenceData!$AU$53),"")</f>
        <v/>
      </c>
      <c r="AV53" t="str">
        <f ca="1">IFERROR(IF(0=LEN(ReferenceData!$AV$53),"",ReferenceData!$AV$53),"")</f>
        <v/>
      </c>
      <c r="AW53" t="str">
        <f ca="1">IFERROR(IF(0=LEN(ReferenceData!$AW$53),"",ReferenceData!$AW$53),"")</f>
        <v/>
      </c>
      <c r="AX53" t="str">
        <f ca="1">IFERROR(IF(0=LEN(ReferenceData!$AX$53),"",ReferenceData!$AX$53),"")</f>
        <v/>
      </c>
      <c r="AY53" t="str">
        <f ca="1">IFERROR(IF(0=LEN(ReferenceData!$AY$53),"",ReferenceData!$AY$53),"")</f>
        <v/>
      </c>
      <c r="AZ53" t="str">
        <f ca="1">IFERROR(IF(0=LEN(ReferenceData!$AZ$53),"",ReferenceData!$AZ$53),"")</f>
        <v/>
      </c>
      <c r="BA53" t="str">
        <f ca="1">IFERROR(IF(0=LEN(ReferenceData!$BA$53),"",ReferenceData!$BA$53),"")</f>
        <v/>
      </c>
      <c r="BB53" t="str">
        <f ca="1">IFERROR(IF(0=LEN(ReferenceData!$BB$53),"",ReferenceData!$BB$53),"")</f>
        <v/>
      </c>
      <c r="BC53" t="str">
        <f ca="1">IFERROR(IF(0=LEN(ReferenceData!$BC$53),"",ReferenceData!$BC$53),"")</f>
        <v/>
      </c>
      <c r="BD53" t="str">
        <f ca="1">IFERROR(IF(0=LEN(ReferenceData!$BD$53),"",ReferenceData!$BD$53),"")</f>
        <v/>
      </c>
      <c r="BE53" t="str">
        <f ca="1">IFERROR(IF(0=LEN(ReferenceData!$BE$53),"",ReferenceData!$BE$53),"")</f>
        <v/>
      </c>
      <c r="BF53" t="str">
        <f ca="1">IFERROR(IF(0=LEN(ReferenceData!$BF$53),"",ReferenceData!$BF$53),"")</f>
        <v/>
      </c>
      <c r="BG53" t="str">
        <f ca="1">IFERROR(IF(0=LEN(ReferenceData!$BG$53),"",ReferenceData!$BG$53),"")</f>
        <v/>
      </c>
      <c r="BH53" t="str">
        <f ca="1">IFERROR(IF(0=LEN(ReferenceData!$BH$53),"",ReferenceData!$BH$53),"")</f>
        <v/>
      </c>
      <c r="BI53" t="str">
        <f ca="1">IFERROR(IF(0=LEN(ReferenceData!$BI$53),"",ReferenceData!$BI$53),"")</f>
        <v/>
      </c>
      <c r="BJ53" t="str">
        <f ca="1">IFERROR(IF(0=LEN(ReferenceData!$BJ$53),"",ReferenceData!$BJ$53),"")</f>
        <v/>
      </c>
      <c r="BK53" t="str">
        <f ca="1">IFERROR(IF(0=LEN(ReferenceData!$BK$53),"",ReferenceData!$BK$53),"")</f>
        <v/>
      </c>
      <c r="BL53" t="str">
        <f ca="1">IFERROR(IF(0=LEN(ReferenceData!$BL$53),"",ReferenceData!$BL$53),"")</f>
        <v/>
      </c>
      <c r="BM53" t="str">
        <f ca="1">IFERROR(IF(0=LEN(ReferenceData!$BM$53),"",ReferenceData!$BM$53),"")</f>
        <v/>
      </c>
    </row>
    <row r="54" spans="1:65">
      <c r="A54" t="str">
        <f>IFERROR(IF(0=LEN(ReferenceData!$A$54),"",ReferenceData!$A$54),"")</f>
        <v xml:space="preserve">    CBL &amp; Associates Properties In</v>
      </c>
      <c r="B54" t="str">
        <f>IFERROR(IF(0=LEN(ReferenceData!$B$54),"",ReferenceData!$B$54),"")</f>
        <v>CBL US Equity</v>
      </c>
      <c r="C54" t="str">
        <f>IFERROR(IF(0=LEN(ReferenceData!$C$54),"",ReferenceData!$C$54),"")</f>
        <v>IS010</v>
      </c>
      <c r="D54" t="str">
        <f>IFERROR(IF(0=LEN(ReferenceData!$D$54),"",ReferenceData!$D$54),"")</f>
        <v>SALES_REV_TURN</v>
      </c>
      <c r="E54" t="str">
        <f>IFERROR(IF(0=LEN(ReferenceData!$E$54),"",ReferenceData!$E$54),"")</f>
        <v>动态</v>
      </c>
      <c r="F54" t="str">
        <f ca="1">IFERROR(IF(0=LEN(ReferenceData!$F$54),"",ReferenceData!$F$54),"")</f>
        <v/>
      </c>
      <c r="G54">
        <f ca="1">IFERROR(IF(0=LEN(ReferenceData!$G$54),"",ReferenceData!$G$54),"")</f>
        <v>235.35599999999999</v>
      </c>
      <c r="H54">
        <f ca="1">IFERROR(IF(0=LEN(ReferenceData!$H$54),"",ReferenceData!$H$54),"")</f>
        <v>224.65</v>
      </c>
      <c r="I54">
        <f ca="1">IFERROR(IF(0=LEN(ReferenceData!$I$54),"",ReferenceData!$I$54),"")</f>
        <v>229.233</v>
      </c>
      <c r="J54">
        <f ca="1">IFERROR(IF(0=LEN(ReferenceData!$J$54),"",ReferenceData!$J$54),"")</f>
        <v>238.01300000000001</v>
      </c>
      <c r="K54">
        <f ca="1">IFERROR(IF(0=LEN(ReferenceData!$K$54),"",ReferenceData!$K$54),"")</f>
        <v>258.49299999999999</v>
      </c>
      <c r="L54">
        <f ca="1">IFERROR(IF(0=LEN(ReferenceData!$L$54),"",ReferenceData!$L$54),"")</f>
        <v>251.721</v>
      </c>
      <c r="M54">
        <f ca="1">IFERROR(IF(0=LEN(ReferenceData!$M$54),"",ReferenceData!$M$54),"")</f>
        <v>254.965</v>
      </c>
      <c r="N54">
        <f ca="1">IFERROR(IF(0=LEN(ReferenceData!$N$54),"",ReferenceData!$N$54),"")</f>
        <v>263.07799999999997</v>
      </c>
      <c r="O54">
        <f ca="1">IFERROR(IF(0=LEN(ReferenceData!$O$54),"",ReferenceData!$O$54),"")</f>
        <v>277.63</v>
      </c>
      <c r="P54">
        <f ca="1">IFERROR(IF(0=LEN(ReferenceData!$P$54),"",ReferenceData!$P$54),"")</f>
        <v>262.63600000000002</v>
      </c>
      <c r="Q54">
        <f ca="1">IFERROR(IF(0=LEN(ReferenceData!$Q$54),"",ReferenceData!$Q$54),"")</f>
        <v>253.84299999999999</v>
      </c>
      <c r="R54">
        <f ca="1">IFERROR(IF(0=LEN(ReferenceData!$R$54),"",ReferenceData!$R$54),"")</f>
        <v>260.90899999999999</v>
      </c>
      <c r="S54">
        <f ca="1">IFERROR(IF(0=LEN(ReferenceData!$S$54),"",ReferenceData!$S$54),"")</f>
        <v>283.84899999999999</v>
      </c>
      <c r="T54">
        <f ca="1">IFERROR(IF(0=LEN(ReferenceData!$T$54),"",ReferenceData!$T$54),"")</f>
        <v>258.714</v>
      </c>
      <c r="U54">
        <f ca="1">IFERROR(IF(0=LEN(ReferenceData!$U$54),"",ReferenceData!$U$54),"")</f>
        <v>256.93299999999999</v>
      </c>
      <c r="V54">
        <f ca="1">IFERROR(IF(0=LEN(ReferenceData!$V$54),"",ReferenceData!$V$54),"")</f>
        <v>261.24299999999999</v>
      </c>
      <c r="W54">
        <f ca="1">IFERROR(IF(0=LEN(ReferenceData!$W$54),"",ReferenceData!$W$54),"")</f>
        <v>282.00900000000001</v>
      </c>
      <c r="X54">
        <f ca="1">IFERROR(IF(0=LEN(ReferenceData!$X$54),"",ReferenceData!$X$54),"")</f>
        <v>257.54899999999998</v>
      </c>
      <c r="Y54">
        <f ca="1">IFERROR(IF(0=LEN(ReferenceData!$Y$54),"",ReferenceData!$Y$54),"")</f>
        <v>255.58500000000001</v>
      </c>
      <c r="Z54">
        <f ca="1">IFERROR(IF(0=LEN(ReferenceData!$Z$54),"",ReferenceData!$Z$54),"")</f>
        <v>258.48200000000003</v>
      </c>
      <c r="AA54">
        <f ca="1">IFERROR(IF(0=LEN(ReferenceData!$AA$54),"",ReferenceData!$AA$54),"")</f>
        <v>270.24799999999999</v>
      </c>
      <c r="AB54">
        <f ca="1">IFERROR(IF(0=LEN(ReferenceData!$AB$54),"",ReferenceData!$AB$54),"")</f>
        <v>249.18600000000001</v>
      </c>
      <c r="AC54">
        <f ca="1">IFERROR(IF(0=LEN(ReferenceData!$AC$54),"",ReferenceData!$AC$54),"")</f>
        <v>251.84399999999999</v>
      </c>
      <c r="AD54">
        <f ca="1">IFERROR(IF(0=LEN(ReferenceData!$AD$54),"",ReferenceData!$AD$54),"")</f>
        <v>246.46899999999999</v>
      </c>
      <c r="AE54">
        <f ca="1">IFERROR(IF(0=LEN(ReferenceData!$AE$54),"",ReferenceData!$AE$54),"")</f>
        <v>264.84300000000002</v>
      </c>
      <c r="AF54">
        <f ca="1">IFERROR(IF(0=LEN(ReferenceData!$AF$54),"",ReferenceData!$AF$54),"")</f>
        <v>267.26299999999998</v>
      </c>
      <c r="AG54">
        <f ca="1">IFERROR(IF(0=LEN(ReferenceData!$AG$54),"",ReferenceData!$AG$54),"")</f>
        <v>262.11900000000003</v>
      </c>
      <c r="AH54">
        <f ca="1">IFERROR(IF(0=LEN(ReferenceData!$AH$54),"",ReferenceData!$AH$54),"")</f>
        <v>267.16899999999998</v>
      </c>
      <c r="AI54">
        <f ca="1">IFERROR(IF(0=LEN(ReferenceData!$AI$54),"",ReferenceData!$AI$54),"")</f>
        <v>286.21100000000001</v>
      </c>
      <c r="AJ54">
        <f ca="1">IFERROR(IF(0=LEN(ReferenceData!$AJ$54),"",ReferenceData!$AJ$54),"")</f>
        <v>260.67</v>
      </c>
      <c r="AK54">
        <f ca="1">IFERROR(IF(0=LEN(ReferenceData!$AK$54),"",ReferenceData!$AK$54),"")</f>
        <v>257.65300000000002</v>
      </c>
      <c r="AL54">
        <f ca="1">IFERROR(IF(0=LEN(ReferenceData!$AL$54),"",ReferenceData!$AL$54),"")</f>
        <v>261.73</v>
      </c>
      <c r="AM54">
        <f ca="1">IFERROR(IF(0=LEN(ReferenceData!$AM$54),"",ReferenceData!$AM$54),"")</f>
        <v>286.779</v>
      </c>
      <c r="AN54">
        <f ca="1">IFERROR(IF(0=LEN(ReferenceData!$AN$54),"",ReferenceData!$AN$54),"")</f>
        <v>262.459</v>
      </c>
      <c r="AO54">
        <f ca="1">IFERROR(IF(0=LEN(ReferenceData!$AO$54),"",ReferenceData!$AO$54),"")</f>
        <v>266.524</v>
      </c>
      <c r="AP54">
        <f ca="1">IFERROR(IF(0=LEN(ReferenceData!$AP$54),"",ReferenceData!$AP$54),"")</f>
        <v>271.06</v>
      </c>
      <c r="AQ54">
        <f ca="1">IFERROR(IF(0=LEN(ReferenceData!$AQ$54),"",ReferenceData!$AQ$54),"")</f>
        <v>299.39800000000002</v>
      </c>
      <c r="AR54">
        <f ca="1">IFERROR(IF(0=LEN(ReferenceData!$AR$54),"",ReferenceData!$AR$54),"")</f>
        <v>285.40499999999997</v>
      </c>
      <c r="AS54">
        <f ca="1">IFERROR(IF(0=LEN(ReferenceData!$AS$54),"",ReferenceData!$AS$54),"")</f>
        <v>272.483</v>
      </c>
      <c r="AT54">
        <f ca="1">IFERROR(IF(0=LEN(ReferenceData!$AT$54),"",ReferenceData!$AT$54),"")</f>
        <v>280.93099999999998</v>
      </c>
      <c r="AU54">
        <f ca="1">IFERROR(IF(0=LEN(ReferenceData!$AU$54),"",ReferenceData!$AU$54),"")</f>
        <v>290.89299999999997</v>
      </c>
      <c r="AV54">
        <f ca="1">IFERROR(IF(0=LEN(ReferenceData!$AV$54),"",ReferenceData!$AV$54),"")</f>
        <v>250.999</v>
      </c>
      <c r="AW54">
        <f ca="1">IFERROR(IF(0=LEN(ReferenceData!$AW$54),"",ReferenceData!$AW$54),"")</f>
        <v>246.28899999999999</v>
      </c>
      <c r="AX54">
        <f ca="1">IFERROR(IF(0=LEN(ReferenceData!$AX$54),"",ReferenceData!$AX$54),"")</f>
        <v>251.76300000000001</v>
      </c>
      <c r="AY54">
        <f ca="1">IFERROR(IF(0=LEN(ReferenceData!$AY$54),"",ReferenceData!$AY$54),"")</f>
        <v>273.20999999999998</v>
      </c>
      <c r="AZ54">
        <f ca="1">IFERROR(IF(0=LEN(ReferenceData!$AZ$54),"",ReferenceData!$AZ$54),"")</f>
        <v>247.053</v>
      </c>
      <c r="BA54">
        <f ca="1">IFERROR(IF(0=LEN(ReferenceData!$BA$54),"",ReferenceData!$BA$54),"")</f>
        <v>237.27199999999999</v>
      </c>
      <c r="BB54">
        <f ca="1">IFERROR(IF(0=LEN(ReferenceData!$BB$54),"",ReferenceData!$BB$54),"")</f>
        <v>247.05099999999999</v>
      </c>
      <c r="BC54">
        <f ca="1">IFERROR(IF(0=LEN(ReferenceData!$BC$54),"",ReferenceData!$BC$54),"")</f>
        <v>262.553</v>
      </c>
      <c r="BD54">
        <f ca="1">IFERROR(IF(0=LEN(ReferenceData!$BD$54),"",ReferenceData!$BD$54),"")</f>
        <v>229.71700000000001</v>
      </c>
      <c r="BE54">
        <f ca="1">IFERROR(IF(0=LEN(ReferenceData!$BE$54),"",ReferenceData!$BE$54),"")</f>
        <v>205.62700000000001</v>
      </c>
      <c r="BF54">
        <f ca="1">IFERROR(IF(0=LEN(ReferenceData!$BF$54),"",ReferenceData!$BF$54),"")</f>
        <v>216.39400000000001</v>
      </c>
      <c r="BG54">
        <f ca="1">IFERROR(IF(0=LEN(ReferenceData!$BG$54),"",ReferenceData!$BG$54),"")</f>
        <v>225.63300000000001</v>
      </c>
      <c r="BH54">
        <f ca="1">IFERROR(IF(0=LEN(ReferenceData!$BH$54),"",ReferenceData!$BH$54),"")</f>
        <v>194.47200000000001</v>
      </c>
      <c r="BI54">
        <f ca="1">IFERROR(IF(0=LEN(ReferenceData!$BI$54),"",ReferenceData!$BI$54),"")</f>
        <v>176.209</v>
      </c>
      <c r="BJ54">
        <f ca="1">IFERROR(IF(0=LEN(ReferenceData!$BJ$54),"",ReferenceData!$BJ$54),"")</f>
        <v>173.85299699999999</v>
      </c>
      <c r="BK54">
        <f ca="1">IFERROR(IF(0=LEN(ReferenceData!$BK$54),"",ReferenceData!$BK$54),"")</f>
        <v>178.45399499999999</v>
      </c>
      <c r="BL54">
        <f ca="1">IFERROR(IF(0=LEN(ReferenceData!$BL$54),"",ReferenceData!$BL$54),"")</f>
        <v>163.49800099999999</v>
      </c>
      <c r="BM54">
        <f ca="1">IFERROR(IF(0=LEN(ReferenceData!$BM$54),"",ReferenceData!$BM$54),"")</f>
        <v>162.98899800000001</v>
      </c>
    </row>
    <row r="55" spans="1:65">
      <c r="A55" t="str">
        <f>IFERROR(IF(0=LEN(ReferenceData!$A$55),"",ReferenceData!$A$55),"")</f>
        <v xml:space="preserve">    DDR Corp</v>
      </c>
      <c r="B55" t="str">
        <f>IFERROR(IF(0=LEN(ReferenceData!$B$55),"",ReferenceData!$B$55),"")</f>
        <v>DDR US Equity</v>
      </c>
      <c r="C55" t="str">
        <f>IFERROR(IF(0=LEN(ReferenceData!$C$55),"",ReferenceData!$C$55),"")</f>
        <v>IS010</v>
      </c>
      <c r="D55" t="str">
        <f>IFERROR(IF(0=LEN(ReferenceData!$D$55),"",ReferenceData!$D$55),"")</f>
        <v>SALES_REV_TURN</v>
      </c>
      <c r="E55" t="str">
        <f>IFERROR(IF(0=LEN(ReferenceData!$E$55),"",ReferenceData!$E$55),"")</f>
        <v>动态</v>
      </c>
      <c r="F55" t="str">
        <f ca="1">IFERROR(IF(0=LEN(ReferenceData!$F$55),"",ReferenceData!$F$55),"")</f>
        <v/>
      </c>
      <c r="G55">
        <f ca="1">IFERROR(IF(0=LEN(ReferenceData!$G$55),"",ReferenceData!$G$55),"")</f>
        <v>209.43199999999999</v>
      </c>
      <c r="H55">
        <f ca="1">IFERROR(IF(0=LEN(ReferenceData!$H$55),"",ReferenceData!$H$55),"")</f>
        <v>227.42400000000001</v>
      </c>
      <c r="I55">
        <f ca="1">IFERROR(IF(0=LEN(ReferenceData!$I$55),"",ReferenceData!$I$55),"")</f>
        <v>236.18700000000001</v>
      </c>
      <c r="J55">
        <f ca="1">IFERROR(IF(0=LEN(ReferenceData!$J$55),"",ReferenceData!$J$55),"")</f>
        <v>240.42099999999999</v>
      </c>
      <c r="K55">
        <f ca="1">IFERROR(IF(0=LEN(ReferenceData!$K$55),"",ReferenceData!$K$55),"")</f>
        <v>232.16800000000001</v>
      </c>
      <c r="L55">
        <f ca="1">IFERROR(IF(0=LEN(ReferenceData!$L$55),"",ReferenceData!$L$55),"")</f>
        <v>253.8</v>
      </c>
      <c r="M55">
        <f ca="1">IFERROR(IF(0=LEN(ReferenceData!$M$55),"",ReferenceData!$M$55),"")</f>
        <v>257.32100000000003</v>
      </c>
      <c r="N55">
        <f ca="1">IFERROR(IF(0=LEN(ReferenceData!$N$55),"",ReferenceData!$N$55),"")</f>
        <v>254.423</v>
      </c>
      <c r="O55">
        <f ca="1">IFERROR(IF(0=LEN(ReferenceData!$O$55),"",ReferenceData!$O$55),"")</f>
        <v>246.53</v>
      </c>
      <c r="P55">
        <f ca="1">IFERROR(IF(0=LEN(ReferenceData!$P$55),"",ReferenceData!$P$55),"")</f>
        <v>257.13499999999999</v>
      </c>
      <c r="Q55">
        <f ca="1">IFERROR(IF(0=LEN(ReferenceData!$Q$55),"",ReferenceData!$Q$55),"")</f>
        <v>257.32299999999998</v>
      </c>
      <c r="R55">
        <f ca="1">IFERROR(IF(0=LEN(ReferenceData!$R$55),"",ReferenceData!$R$55),"")</f>
        <v>258.82499999999999</v>
      </c>
      <c r="S55">
        <f ca="1">IFERROR(IF(0=LEN(ReferenceData!$S$55),"",ReferenceData!$S$55),"")</f>
        <v>248.55699999999999</v>
      </c>
      <c r="T55">
        <f ca="1">IFERROR(IF(0=LEN(ReferenceData!$T$55),"",ReferenceData!$T$55),"")</f>
        <v>245.35499999999999</v>
      </c>
      <c r="U55">
        <f ca="1">IFERROR(IF(0=LEN(ReferenceData!$U$55),"",ReferenceData!$U$55),"")</f>
        <v>242.04</v>
      </c>
      <c r="V55">
        <f ca="1">IFERROR(IF(0=LEN(ReferenceData!$V$55),"",ReferenceData!$V$55),"")</f>
        <v>241.512</v>
      </c>
      <c r="W55">
        <f ca="1">IFERROR(IF(0=LEN(ReferenceData!$W$55),"",ReferenceData!$W$55),"")</f>
        <v>232.69900000000001</v>
      </c>
      <c r="X55">
        <f ca="1">IFERROR(IF(0=LEN(ReferenceData!$X$55),"",ReferenceData!$X$55),"")</f>
        <v>206.4</v>
      </c>
      <c r="Y55">
        <f ca="1">IFERROR(IF(0=LEN(ReferenceData!$Y$55),"",ReferenceData!$Y$55),"")</f>
        <v>207.7</v>
      </c>
      <c r="Z55">
        <f ca="1">IFERROR(IF(0=LEN(ReferenceData!$Z$55),"",ReferenceData!$Z$55),"")</f>
        <v>200.30699999999999</v>
      </c>
      <c r="AA55">
        <f ca="1">IFERROR(IF(0=LEN(ReferenceData!$AA$55),"",ReferenceData!$AA$55),"")</f>
        <v>202.75</v>
      </c>
      <c r="AB55">
        <f ca="1">IFERROR(IF(0=LEN(ReferenceData!$AB$55),"",ReferenceData!$AB$55),"")</f>
        <v>197.27699999999999</v>
      </c>
      <c r="AC55">
        <f ca="1">IFERROR(IF(0=LEN(ReferenceData!$AC$55),"",ReferenceData!$AC$55),"")</f>
        <v>190.69399999999999</v>
      </c>
      <c r="AD55">
        <f ca="1">IFERROR(IF(0=LEN(ReferenceData!$AD$55),"",ReferenceData!$AD$55),"")</f>
        <v>190.584</v>
      </c>
      <c r="AE55">
        <f ca="1">IFERROR(IF(0=LEN(ReferenceData!$AE$55),"",ReferenceData!$AE$55),"")</f>
        <v>189.357</v>
      </c>
      <c r="AF55">
        <f ca="1">IFERROR(IF(0=LEN(ReferenceData!$AF$55),"",ReferenceData!$AF$55),"")</f>
        <v>187.09100000000001</v>
      </c>
      <c r="AG55">
        <f ca="1">IFERROR(IF(0=LEN(ReferenceData!$AG$55),"",ReferenceData!$AG$55),"")</f>
        <v>186.92599999999999</v>
      </c>
      <c r="AH55">
        <f ca="1">IFERROR(IF(0=LEN(ReferenceData!$AH$55),"",ReferenceData!$AH$55),"")</f>
        <v>192.27099999999999</v>
      </c>
      <c r="AI55">
        <f ca="1">IFERROR(IF(0=LEN(ReferenceData!$AI$55),"",ReferenceData!$AI$55),"")</f>
        <v>193.458</v>
      </c>
      <c r="AJ55">
        <f ca="1">IFERROR(IF(0=LEN(ReferenceData!$AJ$55),"",ReferenceData!$AJ$55),"")</f>
        <v>192.99199999999999</v>
      </c>
      <c r="AK55">
        <f ca="1">IFERROR(IF(0=LEN(ReferenceData!$AK$55),"",ReferenceData!$AK$55),"")</f>
        <v>196.6</v>
      </c>
      <c r="AL55">
        <f ca="1">IFERROR(IF(0=LEN(ReferenceData!$AL$55),"",ReferenceData!$AL$55),"")</f>
        <v>202.131</v>
      </c>
      <c r="AM55">
        <f ca="1">IFERROR(IF(0=LEN(ReferenceData!$AM$55),"",ReferenceData!$AM$55),"")</f>
        <v>203.61500000000001</v>
      </c>
      <c r="AN55">
        <f ca="1">IFERROR(IF(0=LEN(ReferenceData!$AN$55),"",ReferenceData!$AN$55),"")</f>
        <v>202.26400000000001</v>
      </c>
      <c r="AO55">
        <f ca="1">IFERROR(IF(0=LEN(ReferenceData!$AO$55),"",ReferenceData!$AO$55),"")</f>
        <v>197.476</v>
      </c>
      <c r="AP55">
        <f ca="1">IFERROR(IF(0=LEN(ReferenceData!$AP$55),"",ReferenceData!$AP$55),"")</f>
        <v>207.666</v>
      </c>
      <c r="AQ55">
        <f ca="1">IFERROR(IF(0=LEN(ReferenceData!$AQ$55),"",ReferenceData!$AQ$55),"")</f>
        <v>218.523</v>
      </c>
      <c r="AR55">
        <f ca="1">IFERROR(IF(0=LEN(ReferenceData!$AR$55),"",ReferenceData!$AR$55),"")</f>
        <v>222.86</v>
      </c>
      <c r="AS55">
        <f ca="1">IFERROR(IF(0=LEN(ReferenceData!$AS$55),"",ReferenceData!$AS$55),"")</f>
        <v>222.63399999999999</v>
      </c>
      <c r="AT55">
        <f ca="1">IFERROR(IF(0=LEN(ReferenceData!$AT$55),"",ReferenceData!$AT$55),"")</f>
        <v>236.096</v>
      </c>
      <c r="AU55">
        <f ca="1">IFERROR(IF(0=LEN(ReferenceData!$AU$55),"",ReferenceData!$AU$55),"")</f>
        <v>235.54499999999999</v>
      </c>
      <c r="AV55">
        <f ca="1">IFERROR(IF(0=LEN(ReferenceData!$AV$55),"",ReferenceData!$AV$55),"")</f>
        <v>231.547</v>
      </c>
      <c r="AW55">
        <f ca="1">IFERROR(IF(0=LEN(ReferenceData!$AW$55),"",ReferenceData!$AW$55),"")</f>
        <v>252.10300000000001</v>
      </c>
      <c r="AX55">
        <f ca="1">IFERROR(IF(0=LEN(ReferenceData!$AX$55),"",ReferenceData!$AX$55),"")</f>
        <v>219.04499999999999</v>
      </c>
      <c r="AY55">
        <f ca="1">IFERROR(IF(0=LEN(ReferenceData!$AY$55),"",ReferenceData!$AY$55),"")</f>
        <v>194.26400000000001</v>
      </c>
      <c r="AZ55">
        <f ca="1">IFERROR(IF(0=LEN(ReferenceData!$AZ$55),"",ReferenceData!$AZ$55),"")</f>
        <v>194.2</v>
      </c>
      <c r="BA55">
        <f ca="1">IFERROR(IF(0=LEN(ReferenceData!$BA$55),"",ReferenceData!$BA$55),"")</f>
        <v>189.02699999999999</v>
      </c>
      <c r="BB55">
        <f ca="1">IFERROR(IF(0=LEN(ReferenceData!$BB$55),"",ReferenceData!$BB$55),"")</f>
        <v>199.32900000000001</v>
      </c>
      <c r="BC55">
        <f ca="1">IFERROR(IF(0=LEN(ReferenceData!$BC$55),"",ReferenceData!$BC$55),"")</f>
        <v>195.571</v>
      </c>
      <c r="BD55">
        <f ca="1">IFERROR(IF(0=LEN(ReferenceData!$BD$55),"",ReferenceData!$BD$55),"")</f>
        <v>179.49</v>
      </c>
      <c r="BE55">
        <f ca="1">IFERROR(IF(0=LEN(ReferenceData!$BE$55),"",ReferenceData!$BE$55),"")</f>
        <v>176.27500000000001</v>
      </c>
      <c r="BF55">
        <f ca="1">IFERROR(IF(0=LEN(ReferenceData!$BF$55),"",ReferenceData!$BF$55),"")</f>
        <v>171.91200000000001</v>
      </c>
      <c r="BG55">
        <f ca="1">IFERROR(IF(0=LEN(ReferenceData!$BG$55),"",ReferenceData!$BG$55),"")</f>
        <v>158.42699999999999</v>
      </c>
      <c r="BH55">
        <f ca="1">IFERROR(IF(0=LEN(ReferenceData!$BH$55),"",ReferenceData!$BH$55),"")</f>
        <v>157.13200000000001</v>
      </c>
      <c r="BI55">
        <f ca="1">IFERROR(IF(0=LEN(ReferenceData!$BI$55),"",ReferenceData!$BI$55),"")</f>
        <v>148.72499999999999</v>
      </c>
      <c r="BJ55">
        <f ca="1">IFERROR(IF(0=LEN(ReferenceData!$BJ$55),"",ReferenceData!$BJ$55),"")</f>
        <v>126.32899999999999</v>
      </c>
      <c r="BK55">
        <f ca="1">IFERROR(IF(0=LEN(ReferenceData!$BK$55),"",ReferenceData!$BK$55),"")</f>
        <v>125.4469986</v>
      </c>
      <c r="BL55">
        <f ca="1">IFERROR(IF(0=LEN(ReferenceData!$BL$55),"",ReferenceData!$BL$55),"")</f>
        <v>122.19499999999999</v>
      </c>
      <c r="BM55">
        <f ca="1">IFERROR(IF(0=LEN(ReferenceData!$BM$55),"",ReferenceData!$BM$55),"")</f>
        <v>122.027</v>
      </c>
    </row>
    <row r="56" spans="1:65">
      <c r="A56" t="str">
        <f>IFERROR(IF(0=LEN(ReferenceData!$A$56),"",ReferenceData!$A$56),"")</f>
        <v xml:space="preserve">    Federal Realty Investment Trus</v>
      </c>
      <c r="B56" t="str">
        <f>IFERROR(IF(0=LEN(ReferenceData!$B$56),"",ReferenceData!$B$56),"")</f>
        <v>FRT US Equity</v>
      </c>
      <c r="C56" t="str">
        <f>IFERROR(IF(0=LEN(ReferenceData!$C$56),"",ReferenceData!$C$56),"")</f>
        <v>IS010</v>
      </c>
      <c r="D56" t="str">
        <f>IFERROR(IF(0=LEN(ReferenceData!$D$56),"",ReferenceData!$D$56),"")</f>
        <v>SALES_REV_TURN</v>
      </c>
      <c r="E56" t="str">
        <f>IFERROR(IF(0=LEN(ReferenceData!$E$56),"",ReferenceData!$E$56),"")</f>
        <v>动态</v>
      </c>
      <c r="F56" t="str">
        <f ca="1">IFERROR(IF(0=LEN(ReferenceData!$F$56),"",ReferenceData!$F$56),"")</f>
        <v/>
      </c>
      <c r="G56">
        <f ca="1">IFERROR(IF(0=LEN(ReferenceData!$G$56),"",ReferenceData!$G$56),"")</f>
        <v>223.95699999999999</v>
      </c>
      <c r="H56">
        <f ca="1">IFERROR(IF(0=LEN(ReferenceData!$H$56),"",ReferenceData!$H$56),"")</f>
        <v>217.953</v>
      </c>
      <c r="I56">
        <f ca="1">IFERROR(IF(0=LEN(ReferenceData!$I$56),"",ReferenceData!$I$56),"")</f>
        <v>208.04900000000001</v>
      </c>
      <c r="J56">
        <f ca="1">IFERROR(IF(0=LEN(ReferenceData!$J$56),"",ReferenceData!$J$56),"")</f>
        <v>207.38900000000001</v>
      </c>
      <c r="K56">
        <f ca="1">IFERROR(IF(0=LEN(ReferenceData!$K$56),"",ReferenceData!$K$56),"")</f>
        <v>204.10900000000001</v>
      </c>
      <c r="L56">
        <f ca="1">IFERROR(IF(0=LEN(ReferenceData!$L$56),"",ReferenceData!$L$56),"")</f>
        <v>201.15700000000001</v>
      </c>
      <c r="M56">
        <f ca="1">IFERROR(IF(0=LEN(ReferenceData!$M$56),"",ReferenceData!$M$56),"")</f>
        <v>197.98099999999999</v>
      </c>
      <c r="N56">
        <f ca="1">IFERROR(IF(0=LEN(ReferenceData!$N$56),"",ReferenceData!$N$56),"")</f>
        <v>198.34399999999999</v>
      </c>
      <c r="O56">
        <f ca="1">IFERROR(IF(0=LEN(ReferenceData!$O$56),"",ReferenceData!$O$56),"")</f>
        <v>192.50700000000001</v>
      </c>
      <c r="P56">
        <f ca="1">IFERROR(IF(0=LEN(ReferenceData!$P$56),"",ReferenceData!$P$56),"")</f>
        <v>185.25200000000001</v>
      </c>
      <c r="Q56">
        <f ca="1">IFERROR(IF(0=LEN(ReferenceData!$Q$56),"",ReferenceData!$Q$56),"")</f>
        <v>181.46100000000001</v>
      </c>
      <c r="R56">
        <f ca="1">IFERROR(IF(0=LEN(ReferenceData!$R$56),"",ReferenceData!$R$56),"")</f>
        <v>184.792</v>
      </c>
      <c r="S56">
        <f ca="1">IFERROR(IF(0=LEN(ReferenceData!$S$56),"",ReferenceData!$S$56),"")</f>
        <v>176.37700000000001</v>
      </c>
      <c r="T56">
        <f ca="1">IFERROR(IF(0=LEN(ReferenceData!$T$56),"",ReferenceData!$T$56),"")</f>
        <v>170.93799999999999</v>
      </c>
      <c r="U56">
        <f ca="1">IFERROR(IF(0=LEN(ReferenceData!$U$56),"",ReferenceData!$U$56),"")</f>
        <v>167.947</v>
      </c>
      <c r="V56">
        <f ca="1">IFERROR(IF(0=LEN(ReferenceData!$V$56),"",ReferenceData!$V$56),"")</f>
        <v>170.828</v>
      </c>
      <c r="W56">
        <f ca="1">IFERROR(IF(0=LEN(ReferenceData!$W$56),"",ReferenceData!$W$56),"")</f>
        <v>163.846</v>
      </c>
      <c r="X56">
        <f ca="1">IFERROR(IF(0=LEN(ReferenceData!$X$56),"",ReferenceData!$X$56),"")</f>
        <v>159.03</v>
      </c>
      <c r="Y56">
        <f ca="1">IFERROR(IF(0=LEN(ReferenceData!$Y$56),"",ReferenceData!$Y$56),"")</f>
        <v>157.38800000000001</v>
      </c>
      <c r="Z56">
        <f ca="1">IFERROR(IF(0=LEN(ReferenceData!$Z$56),"",ReferenceData!$Z$56),"")</f>
        <v>157.149</v>
      </c>
      <c r="AA56">
        <f ca="1">IFERROR(IF(0=LEN(ReferenceData!$AA$56),"",ReferenceData!$AA$56),"")</f>
        <v>155.785</v>
      </c>
      <c r="AB56">
        <f ca="1">IFERROR(IF(0=LEN(ReferenceData!$AB$56),"",ReferenceData!$AB$56),"")</f>
        <v>157.80500000000001</v>
      </c>
      <c r="AC56">
        <f ca="1">IFERROR(IF(0=LEN(ReferenceData!$AC$56),"",ReferenceData!$AC$56),"")</f>
        <v>147.56</v>
      </c>
      <c r="AD56">
        <f ca="1">IFERROR(IF(0=LEN(ReferenceData!$AD$56),"",ReferenceData!$AD$56),"")</f>
        <v>146.28899999999999</v>
      </c>
      <c r="AE56">
        <f ca="1">IFERROR(IF(0=LEN(ReferenceData!$AE$56),"",ReferenceData!$AE$56),"")</f>
        <v>141.46600000000001</v>
      </c>
      <c r="AF56">
        <f ca="1">IFERROR(IF(0=LEN(ReferenceData!$AF$56),"",ReferenceData!$AF$56),"")</f>
        <v>137.66399999999999</v>
      </c>
      <c r="AG56">
        <f ca="1">IFERROR(IF(0=LEN(ReferenceData!$AG$56),"",ReferenceData!$AG$56),"")</f>
        <v>136.28</v>
      </c>
      <c r="AH56">
        <f ca="1">IFERROR(IF(0=LEN(ReferenceData!$AH$56),"",ReferenceData!$AH$56),"")</f>
        <v>137.649</v>
      </c>
      <c r="AI56">
        <f ca="1">IFERROR(IF(0=LEN(ReferenceData!$AI$56),"",ReferenceData!$AI$56),"")</f>
        <v>137.334</v>
      </c>
      <c r="AJ56">
        <f ca="1">IFERROR(IF(0=LEN(ReferenceData!$AJ$56),"",ReferenceData!$AJ$56),"")</f>
        <v>133.446</v>
      </c>
      <c r="AK56">
        <f ca="1">IFERROR(IF(0=LEN(ReferenceData!$AK$56),"",ReferenceData!$AK$56),"")</f>
        <v>133.21600000000001</v>
      </c>
      <c r="AL56">
        <f ca="1">IFERROR(IF(0=LEN(ReferenceData!$AL$56),"",ReferenceData!$AL$56),"")</f>
        <v>138.32400000000001</v>
      </c>
      <c r="AM56">
        <f ca="1">IFERROR(IF(0=LEN(ReferenceData!$AM$56),"",ReferenceData!$AM$56),"")</f>
        <v>138.42099999999999</v>
      </c>
      <c r="AN56">
        <f ca="1">IFERROR(IF(0=LEN(ReferenceData!$AN$56),"",ReferenceData!$AN$56),"")</f>
        <v>130.99199999999999</v>
      </c>
      <c r="AO56">
        <f ca="1">IFERROR(IF(0=LEN(ReferenceData!$AO$56),"",ReferenceData!$AO$56),"")</f>
        <v>130.33799999999999</v>
      </c>
      <c r="AP56">
        <f ca="1">IFERROR(IF(0=LEN(ReferenceData!$AP$56),"",ReferenceData!$AP$56),"")</f>
        <v>131.07599999999999</v>
      </c>
      <c r="AQ56">
        <f ca="1">IFERROR(IF(0=LEN(ReferenceData!$AQ$56),"",ReferenceData!$AQ$56),"")</f>
        <v>133.52699999999999</v>
      </c>
      <c r="AR56">
        <f ca="1">IFERROR(IF(0=LEN(ReferenceData!$AR$56),"",ReferenceData!$AR$56),"")</f>
        <v>131.70699999999999</v>
      </c>
      <c r="AS56">
        <f ca="1">IFERROR(IF(0=LEN(ReferenceData!$AS$56),"",ReferenceData!$AS$56),"")</f>
        <v>128.71199999999999</v>
      </c>
      <c r="AT56">
        <f ca="1">IFERROR(IF(0=LEN(ReferenceData!$AT$56),"",ReferenceData!$AT$56),"")</f>
        <v>126.369</v>
      </c>
      <c r="AU56">
        <f ca="1">IFERROR(IF(0=LEN(ReferenceData!$AU$56),"",ReferenceData!$AU$56),"")</f>
        <v>126.586</v>
      </c>
      <c r="AV56">
        <f ca="1">IFERROR(IF(0=LEN(ReferenceData!$AV$56),"",ReferenceData!$AV$56),"")</f>
        <v>123.56399999999999</v>
      </c>
      <c r="AW56">
        <f ca="1">IFERROR(IF(0=LEN(ReferenceData!$AW$56),"",ReferenceData!$AW$56),"")</f>
        <v>119.161</v>
      </c>
      <c r="AX56">
        <f ca="1">IFERROR(IF(0=LEN(ReferenceData!$AX$56),"",ReferenceData!$AX$56),"")</f>
        <v>115.488</v>
      </c>
      <c r="AY56">
        <f ca="1">IFERROR(IF(0=LEN(ReferenceData!$AY$56),"",ReferenceData!$AY$56),"")</f>
        <v>99.793999999999997</v>
      </c>
      <c r="AZ56">
        <f ca="1">IFERROR(IF(0=LEN(ReferenceData!$AZ$56),"",ReferenceData!$AZ$56),"")</f>
        <v>112.265</v>
      </c>
      <c r="BA56">
        <f ca="1">IFERROR(IF(0=LEN(ReferenceData!$BA$56),"",ReferenceData!$BA$56),"")</f>
        <v>108.875</v>
      </c>
      <c r="BB56">
        <f ca="1">IFERROR(IF(0=LEN(ReferenceData!$BB$56),"",ReferenceData!$BB$56),"")</f>
        <v>108.643</v>
      </c>
      <c r="BC56">
        <f ca="1">IFERROR(IF(0=LEN(ReferenceData!$BC$56),"",ReferenceData!$BC$56),"")</f>
        <v>107.44799999999999</v>
      </c>
      <c r="BD56">
        <f ca="1">IFERROR(IF(0=LEN(ReferenceData!$BD$56),"",ReferenceData!$BD$56),"")</f>
        <v>100.773</v>
      </c>
      <c r="BE56">
        <f ca="1">IFERROR(IF(0=LEN(ReferenceData!$BE$56),"",ReferenceData!$BE$56),"")</f>
        <v>100.554</v>
      </c>
      <c r="BF56">
        <f ca="1">IFERROR(IF(0=LEN(ReferenceData!$BF$56),"",ReferenceData!$BF$56),"")</f>
        <v>101.90900000000001</v>
      </c>
      <c r="BG56">
        <f ca="1">IFERROR(IF(0=LEN(ReferenceData!$BG$56),"",ReferenceData!$BG$56),"")</f>
        <v>101.11499790000001</v>
      </c>
      <c r="BH56">
        <f ca="1">IFERROR(IF(0=LEN(ReferenceData!$BH$56),"",ReferenceData!$BH$56),"")</f>
        <v>99.293000000000006</v>
      </c>
      <c r="BI56">
        <f ca="1">IFERROR(IF(0=LEN(ReferenceData!$BI$56),"",ReferenceData!$BI$56),"")</f>
        <v>100.2689972</v>
      </c>
      <c r="BJ56">
        <f ca="1">IFERROR(IF(0=LEN(ReferenceData!$BJ$56),"",ReferenceData!$BJ$56),"")</f>
        <v>96.173000000000002</v>
      </c>
      <c r="BK56">
        <f ca="1">IFERROR(IF(0=LEN(ReferenceData!$BK$56),"",ReferenceData!$BK$56),"")</f>
        <v>98.932000000000002</v>
      </c>
      <c r="BL56">
        <f ca="1">IFERROR(IF(0=LEN(ReferenceData!$BL$56),"",ReferenceData!$BL$56),"")</f>
        <v>87.228999999999999</v>
      </c>
      <c r="BM56">
        <f ca="1">IFERROR(IF(0=LEN(ReferenceData!$BM$56),"",ReferenceData!$BM$56),"")</f>
        <v>86.409000000000006</v>
      </c>
    </row>
    <row r="57" spans="1:65">
      <c r="A57" t="str">
        <f>IFERROR(IF(0=LEN(ReferenceData!$A$57),"",ReferenceData!$A$57),"")</f>
        <v xml:space="preserve">    Kimco Realty Corp</v>
      </c>
      <c r="B57" t="str">
        <f>IFERROR(IF(0=LEN(ReferenceData!$B$57),"",ReferenceData!$B$57),"")</f>
        <v>KIM US Equity</v>
      </c>
      <c r="C57" t="str">
        <f>IFERROR(IF(0=LEN(ReferenceData!$C$57),"",ReferenceData!$C$57),"")</f>
        <v>IS010</v>
      </c>
      <c r="D57" t="str">
        <f>IFERROR(IF(0=LEN(ReferenceData!$D$57),"",ReferenceData!$D$57),"")</f>
        <v>SALES_REV_TURN</v>
      </c>
      <c r="E57" t="str">
        <f>IFERROR(IF(0=LEN(ReferenceData!$E$57),"",ReferenceData!$E$57),"")</f>
        <v>动态</v>
      </c>
      <c r="F57" t="str">
        <f ca="1">IFERROR(IF(0=LEN(ReferenceData!$F$57),"",ReferenceData!$F$57),"")</f>
        <v/>
      </c>
      <c r="G57">
        <f ca="1">IFERROR(IF(0=LEN(ReferenceData!$G$57),"",ReferenceData!$G$57),"")</f>
        <v>315.22500000000002</v>
      </c>
      <c r="H57">
        <f ca="1">IFERROR(IF(0=LEN(ReferenceData!$H$57),"",ReferenceData!$H$57),"")</f>
        <v>294.84500000000003</v>
      </c>
      <c r="I57">
        <f ca="1">IFERROR(IF(0=LEN(ReferenceData!$I$57),"",ReferenceData!$I$57),"")</f>
        <v>297.17599999999999</v>
      </c>
      <c r="J57">
        <f ca="1">IFERROR(IF(0=LEN(ReferenceData!$J$57),"",ReferenceData!$J$57),"")</f>
        <v>293.58800000000002</v>
      </c>
      <c r="K57">
        <f ca="1">IFERROR(IF(0=LEN(ReferenceData!$K$57),"",ReferenceData!$K$57),"")</f>
        <v>297.02600000000001</v>
      </c>
      <c r="L57">
        <f ca="1">IFERROR(IF(0=LEN(ReferenceData!$L$57),"",ReferenceData!$L$57),"")</f>
        <v>285.07600000000002</v>
      </c>
      <c r="M57">
        <f ca="1">IFERROR(IF(0=LEN(ReferenceData!$M$57),"",ReferenceData!$M$57),"")</f>
        <v>291.488</v>
      </c>
      <c r="N57">
        <f ca="1">IFERROR(IF(0=LEN(ReferenceData!$N$57),"",ReferenceData!$N$57),"")</f>
        <v>297.202</v>
      </c>
      <c r="O57">
        <f ca="1">IFERROR(IF(0=LEN(ReferenceData!$O$57),"",ReferenceData!$O$57),"")</f>
        <v>300.87</v>
      </c>
      <c r="P57">
        <f ca="1">IFERROR(IF(0=LEN(ReferenceData!$P$57),"",ReferenceData!$P$57),"")</f>
        <v>288.38200000000001</v>
      </c>
      <c r="Q57">
        <f ca="1">IFERROR(IF(0=LEN(ReferenceData!$Q$57),"",ReferenceData!$Q$57),"")</f>
        <v>294.06099999999998</v>
      </c>
      <c r="R57">
        <f ca="1">IFERROR(IF(0=LEN(ReferenceData!$R$57),"",ReferenceData!$R$57),"")</f>
        <v>283.45600000000002</v>
      </c>
      <c r="S57">
        <f ca="1">IFERROR(IF(0=LEN(ReferenceData!$S$57),"",ReferenceData!$S$57),"")</f>
        <v>264.512</v>
      </c>
      <c r="T57">
        <f ca="1">IFERROR(IF(0=LEN(ReferenceData!$T$57),"",ReferenceData!$T$57),"")</f>
        <v>255.23400000000001</v>
      </c>
      <c r="U57">
        <f ca="1">IFERROR(IF(0=LEN(ReferenceData!$U$57),"",ReferenceData!$U$57),"")</f>
        <v>245.958</v>
      </c>
      <c r="V57">
        <f ca="1">IFERROR(IF(0=LEN(ReferenceData!$V$57),"",ReferenceData!$V$57),"")</f>
        <v>228.19300000000001</v>
      </c>
      <c r="W57">
        <f ca="1">IFERROR(IF(0=LEN(ReferenceData!$W$57),"",ReferenceData!$W$57),"")</f>
        <v>226.92699999999999</v>
      </c>
      <c r="X57">
        <f ca="1">IFERROR(IF(0=LEN(ReferenceData!$X$57),"",ReferenceData!$X$57),"")</f>
        <v>221.46299999999999</v>
      </c>
      <c r="Y57">
        <f ca="1">IFERROR(IF(0=LEN(ReferenceData!$Y$57),"",ReferenceData!$Y$57),"")</f>
        <v>246.12799999999999</v>
      </c>
      <c r="Z57">
        <f ca="1">IFERROR(IF(0=LEN(ReferenceData!$Z$57),"",ReferenceData!$Z$57),"")</f>
        <v>227.01499999999999</v>
      </c>
      <c r="AA57">
        <f ca="1">IFERROR(IF(0=LEN(ReferenceData!$AA$57),"",ReferenceData!$AA$57),"")</f>
        <v>227.36500000000001</v>
      </c>
      <c r="AB57">
        <f ca="1">IFERROR(IF(0=LEN(ReferenceData!$AB$57),"",ReferenceData!$AB$57),"")</f>
        <v>222.863</v>
      </c>
      <c r="AC57">
        <f ca="1">IFERROR(IF(0=LEN(ReferenceData!$AC$57),"",ReferenceData!$AC$57),"")</f>
        <v>226.51900000000001</v>
      </c>
      <c r="AD57">
        <f ca="1">IFERROR(IF(0=LEN(ReferenceData!$AD$57),"",ReferenceData!$AD$57),"")</f>
        <v>223.989</v>
      </c>
      <c r="AE57">
        <f ca="1">IFERROR(IF(0=LEN(ReferenceData!$AE$57),"",ReferenceData!$AE$57),"")</f>
        <v>220.95699999999999</v>
      </c>
      <c r="AF57">
        <f ca="1">IFERROR(IF(0=LEN(ReferenceData!$AF$57),"",ReferenceData!$AF$57),"")</f>
        <v>213.02500000000001</v>
      </c>
      <c r="AG57">
        <f ca="1">IFERROR(IF(0=LEN(ReferenceData!$AG$57),"",ReferenceData!$AG$57),"")</f>
        <v>220.07400000000001</v>
      </c>
      <c r="AH57">
        <f ca="1">IFERROR(IF(0=LEN(ReferenceData!$AH$57),"",ReferenceData!$AH$57),"")</f>
        <v>225.136</v>
      </c>
      <c r="AI57">
        <f ca="1">IFERROR(IF(0=LEN(ReferenceData!$AI$57),"",ReferenceData!$AI$57),"")</f>
        <v>222.98</v>
      </c>
      <c r="AJ57">
        <f ca="1">IFERROR(IF(0=LEN(ReferenceData!$AJ$57),"",ReferenceData!$AJ$57),"")</f>
        <v>220.03</v>
      </c>
      <c r="AK57">
        <f ca="1">IFERROR(IF(0=LEN(ReferenceData!$AK$57),"",ReferenceData!$AK$57),"")</f>
        <v>222.53399999999999</v>
      </c>
      <c r="AL57">
        <f ca="1">IFERROR(IF(0=LEN(ReferenceData!$AL$57),"",ReferenceData!$AL$57),"")</f>
        <v>226.90700000000001</v>
      </c>
      <c r="AM57">
        <f ca="1">IFERROR(IF(0=LEN(ReferenceData!$AM$57),"",ReferenceData!$AM$57),"")</f>
        <v>228.167</v>
      </c>
      <c r="AN57">
        <f ca="1">IFERROR(IF(0=LEN(ReferenceData!$AN$57),"",ReferenceData!$AN$57),"")</f>
        <v>213.29300000000001</v>
      </c>
      <c r="AO57">
        <f ca="1">IFERROR(IF(0=LEN(ReferenceData!$AO$57),"",ReferenceData!$AO$57),"")</f>
        <v>211.47900000000001</v>
      </c>
      <c r="AP57">
        <f ca="1">IFERROR(IF(0=LEN(ReferenceData!$AP$57),"",ReferenceData!$AP$57),"")</f>
        <v>216.06200000000001</v>
      </c>
      <c r="AQ57">
        <f ca="1">IFERROR(IF(0=LEN(ReferenceData!$AQ$57),"",ReferenceData!$AQ$57),"")</f>
        <v>222.76900000000001</v>
      </c>
      <c r="AR57">
        <f ca="1">IFERROR(IF(0=LEN(ReferenceData!$AR$57),"",ReferenceData!$AR$57),"")</f>
        <v>232.07900000000001</v>
      </c>
      <c r="AS57">
        <f ca="1">IFERROR(IF(0=LEN(ReferenceData!$AS$57),"",ReferenceData!$AS$57),"")</f>
        <v>231.125</v>
      </c>
      <c r="AT57">
        <f ca="1">IFERROR(IF(0=LEN(ReferenceData!$AT$57),"",ReferenceData!$AT$57),"")</f>
        <v>225.374</v>
      </c>
      <c r="AU57">
        <f ca="1">IFERROR(IF(0=LEN(ReferenceData!$AU$57),"",ReferenceData!$AU$57),"")</f>
        <v>193.977</v>
      </c>
      <c r="AV57">
        <f ca="1">IFERROR(IF(0=LEN(ReferenceData!$AV$57),"",ReferenceData!$AV$57),"")</f>
        <v>208.86699999999999</v>
      </c>
      <c r="AW57">
        <f ca="1">IFERROR(IF(0=LEN(ReferenceData!$AW$57),"",ReferenceData!$AW$57),"")</f>
        <v>220.03200000000001</v>
      </c>
      <c r="AX57">
        <f ca="1">IFERROR(IF(0=LEN(ReferenceData!$AX$57),"",ReferenceData!$AX$57),"")</f>
        <v>192.98</v>
      </c>
      <c r="AY57">
        <f ca="1">IFERROR(IF(0=LEN(ReferenceData!$AY$57),"",ReferenceData!$AY$57),"")</f>
        <v>201.107</v>
      </c>
      <c r="AZ57">
        <f ca="1">IFERROR(IF(0=LEN(ReferenceData!$AZ$57),"",ReferenceData!$AZ$57),"")</f>
        <v>149.124</v>
      </c>
      <c r="BA57">
        <f ca="1">IFERROR(IF(0=LEN(ReferenceData!$BA$57),"",ReferenceData!$BA$57),"")</f>
        <v>194.52600000000001</v>
      </c>
      <c r="BB57">
        <f ca="1">IFERROR(IF(0=LEN(ReferenceData!$BB$57),"",ReferenceData!$BB$57),"")</f>
        <v>167.06200000000001</v>
      </c>
      <c r="BC57">
        <f ca="1">IFERROR(IF(0=LEN(ReferenceData!$BC$57),"",ReferenceData!$BC$57),"")</f>
        <v>154.19</v>
      </c>
      <c r="BD57">
        <f ca="1">IFERROR(IF(0=LEN(ReferenceData!$BD$57),"",ReferenceData!$BD$57),"")</f>
        <v>145.88399999999999</v>
      </c>
      <c r="BE57">
        <f ca="1">IFERROR(IF(0=LEN(ReferenceData!$BE$57),"",ReferenceData!$BE$57),"")</f>
        <v>160.54300000000001</v>
      </c>
      <c r="BF57">
        <f ca="1">IFERROR(IF(0=LEN(ReferenceData!$BF$57),"",ReferenceData!$BF$57),"")</f>
        <v>156.68</v>
      </c>
      <c r="BG57">
        <f ca="1">IFERROR(IF(0=LEN(ReferenceData!$BG$57),"",ReferenceData!$BG$57),"")</f>
        <v>148.68</v>
      </c>
      <c r="BH57">
        <f ca="1">IFERROR(IF(0=LEN(ReferenceData!$BH$57),"",ReferenceData!$BH$57),"")</f>
        <v>142.90199999999999</v>
      </c>
      <c r="BI57">
        <f ca="1">IFERROR(IF(0=LEN(ReferenceData!$BI$57),"",ReferenceData!$BI$57),"")</f>
        <v>140.99199999999999</v>
      </c>
      <c r="BJ57">
        <f ca="1">IFERROR(IF(0=LEN(ReferenceData!$BJ$57),"",ReferenceData!$BJ$57),"")</f>
        <v>149.24799999999999</v>
      </c>
      <c r="BK57">
        <f ca="1">IFERROR(IF(0=LEN(ReferenceData!$BK$57),"",ReferenceData!$BK$57),"")</f>
        <v>139.38800000000001</v>
      </c>
      <c r="BL57">
        <f ca="1">IFERROR(IF(0=LEN(ReferenceData!$BL$57),"",ReferenceData!$BL$57),"")</f>
        <v>137.2749939</v>
      </c>
      <c r="BM57">
        <f ca="1">IFERROR(IF(0=LEN(ReferenceData!$BM$57),"",ReferenceData!$BM$57),"")</f>
        <v>124.982</v>
      </c>
    </row>
    <row r="58" spans="1:65">
      <c r="A58" t="str">
        <f>IFERROR(IF(0=LEN(ReferenceData!$A$58),"",ReferenceData!$A$58),"")</f>
        <v xml:space="preserve">    National Retail Properties Inc</v>
      </c>
      <c r="B58" t="str">
        <f>IFERROR(IF(0=LEN(ReferenceData!$B$58),"",ReferenceData!$B$58),"")</f>
        <v>NNN US Equity</v>
      </c>
      <c r="C58" t="str">
        <f>IFERROR(IF(0=LEN(ReferenceData!$C$58),"",ReferenceData!$C$58),"")</f>
        <v>IS010</v>
      </c>
      <c r="D58" t="str">
        <f>IFERROR(IF(0=LEN(ReferenceData!$D$58),"",ReferenceData!$D$58),"")</f>
        <v>SALES_REV_TURN</v>
      </c>
      <c r="E58" t="str">
        <f>IFERROR(IF(0=LEN(ReferenceData!$E$58),"",ReferenceData!$E$58),"")</f>
        <v>动态</v>
      </c>
      <c r="F58" t="str">
        <f ca="1">IFERROR(IF(0=LEN(ReferenceData!$F$58),"",ReferenceData!$F$58),"")</f>
        <v/>
      </c>
      <c r="G58">
        <f ca="1">IFERROR(IF(0=LEN(ReferenceData!$G$58),"",ReferenceData!$G$58),"")</f>
        <v>150.24700000000001</v>
      </c>
      <c r="H58">
        <f ca="1">IFERROR(IF(0=LEN(ReferenceData!$H$58),"",ReferenceData!$H$58),"")</f>
        <v>147.70500000000001</v>
      </c>
      <c r="I58">
        <f ca="1">IFERROR(IF(0=LEN(ReferenceData!$I$58),"",ReferenceData!$I$58),"")</f>
        <v>145.55000000000001</v>
      </c>
      <c r="J58">
        <f ca="1">IFERROR(IF(0=LEN(ReferenceData!$J$58),"",ReferenceData!$J$58),"")</f>
        <v>141.43199999999999</v>
      </c>
      <c r="K58">
        <f ca="1">IFERROR(IF(0=LEN(ReferenceData!$K$58),"",ReferenceData!$K$58),"")</f>
        <v>141.19900000000001</v>
      </c>
      <c r="L58">
        <f ca="1">IFERROR(IF(0=LEN(ReferenceData!$L$58),"",ReferenceData!$L$58),"")</f>
        <v>134.541</v>
      </c>
      <c r="M58">
        <f ca="1">IFERROR(IF(0=LEN(ReferenceData!$M$58),"",ReferenceData!$M$58),"")</f>
        <v>130.92599999999999</v>
      </c>
      <c r="N58">
        <f ca="1">IFERROR(IF(0=LEN(ReferenceData!$N$58),"",ReferenceData!$N$58),"")</f>
        <v>126.98</v>
      </c>
      <c r="O58">
        <f ca="1">IFERROR(IF(0=LEN(ReferenceData!$O$58),"",ReferenceData!$O$58),"")</f>
        <v>126.377</v>
      </c>
      <c r="P58">
        <f ca="1">IFERROR(IF(0=LEN(ReferenceData!$P$58),"",ReferenceData!$P$58),"")</f>
        <v>123.143</v>
      </c>
      <c r="Q58">
        <f ca="1">IFERROR(IF(0=LEN(ReferenceData!$Q$58),"",ReferenceData!$Q$58),"")</f>
        <v>117.208</v>
      </c>
      <c r="R58">
        <f ca="1">IFERROR(IF(0=LEN(ReferenceData!$R$58),"",ReferenceData!$R$58),"")</f>
        <v>116.187</v>
      </c>
      <c r="S58">
        <f ca="1">IFERROR(IF(0=LEN(ReferenceData!$S$58),"",ReferenceData!$S$58),"")</f>
        <v>115.315</v>
      </c>
      <c r="T58">
        <f ca="1">IFERROR(IF(0=LEN(ReferenceData!$T$58),"",ReferenceData!$T$58),"")</f>
        <v>109.85599999999999</v>
      </c>
      <c r="U58">
        <f ca="1">IFERROR(IF(0=LEN(ReferenceData!$U$58),"",ReferenceData!$U$58),"")</f>
        <v>105.613</v>
      </c>
      <c r="V58">
        <f ca="1">IFERROR(IF(0=LEN(ReferenceData!$V$58),"",ReferenceData!$V$58),"")</f>
        <v>104.06399999999999</v>
      </c>
      <c r="W58">
        <f ca="1">IFERROR(IF(0=LEN(ReferenceData!$W$58),"",ReferenceData!$W$58),"")</f>
        <v>103.992</v>
      </c>
      <c r="X58">
        <f ca="1">IFERROR(IF(0=LEN(ReferenceData!$X$58),"",ReferenceData!$X$58),"")</f>
        <v>100.621</v>
      </c>
      <c r="Y58">
        <f ca="1">IFERROR(IF(0=LEN(ReferenceData!$Y$58),"",ReferenceData!$Y$58),"")</f>
        <v>96.295000000000002</v>
      </c>
      <c r="Z58">
        <f ca="1">IFERROR(IF(0=LEN(ReferenceData!$Z$58),"",ReferenceData!$Z$58),"")</f>
        <v>92.463999999999999</v>
      </c>
      <c r="AA58">
        <f ca="1">IFERROR(IF(0=LEN(ReferenceData!$AA$58),"",ReferenceData!$AA$58),"")</f>
        <v>89.058999999999997</v>
      </c>
      <c r="AB58">
        <f ca="1">IFERROR(IF(0=LEN(ReferenceData!$AB$58),"",ReferenceData!$AB$58),"")</f>
        <v>84.391000000000005</v>
      </c>
      <c r="AC58">
        <f ca="1">IFERROR(IF(0=LEN(ReferenceData!$AC$58),"",ReferenceData!$AC$58),"")</f>
        <v>88.99</v>
      </c>
      <c r="AD58">
        <f ca="1">IFERROR(IF(0=LEN(ReferenceData!$AD$58),"",ReferenceData!$AD$58),"")</f>
        <v>88.608999999999995</v>
      </c>
      <c r="AE58">
        <f ca="1">IFERROR(IF(0=LEN(ReferenceData!$AE$58),"",ReferenceData!$AE$58),"")</f>
        <v>84.394999999999996</v>
      </c>
      <c r="AF58">
        <f ca="1">IFERROR(IF(0=LEN(ReferenceData!$AF$58),"",ReferenceData!$AF$58),"")</f>
        <v>79.028000000000006</v>
      </c>
      <c r="AG58">
        <f ca="1">IFERROR(IF(0=LEN(ReferenceData!$AG$58),"",ReferenceData!$AG$58),"")</f>
        <v>74.314999999999998</v>
      </c>
      <c r="AH58">
        <f ca="1">IFERROR(IF(0=LEN(ReferenceData!$AH$58),"",ReferenceData!$AH$58),"")</f>
        <v>70.379000000000005</v>
      </c>
      <c r="AI58">
        <f ca="1">IFERROR(IF(0=LEN(ReferenceData!$AI$58),"",ReferenceData!$AI$58),"")</f>
        <v>68.016000000000005</v>
      </c>
      <c r="AJ58">
        <f ca="1">IFERROR(IF(0=LEN(ReferenceData!$AJ$58),"",ReferenceData!$AJ$58),"")</f>
        <v>65.528000000000006</v>
      </c>
      <c r="AK58">
        <f ca="1">IFERROR(IF(0=LEN(ReferenceData!$AK$58),"",ReferenceData!$AK$58),"")</f>
        <v>65.108000000000004</v>
      </c>
      <c r="AL58">
        <f ca="1">IFERROR(IF(0=LEN(ReferenceData!$AL$58),"",ReferenceData!$AL$58),"")</f>
        <v>63.03</v>
      </c>
      <c r="AM58">
        <f ca="1">IFERROR(IF(0=LEN(ReferenceData!$AM$58),"",ReferenceData!$AM$58),"")</f>
        <v>65.784999999999997</v>
      </c>
      <c r="AN58">
        <f ca="1">IFERROR(IF(0=LEN(ReferenceData!$AN$58),"",ReferenceData!$AN$58),"")</f>
        <v>64.438000000000002</v>
      </c>
      <c r="AO58">
        <f ca="1">IFERROR(IF(0=LEN(ReferenceData!$AO$58),"",ReferenceData!$AO$58),"")</f>
        <v>58.185000000000002</v>
      </c>
      <c r="AP58">
        <f ca="1">IFERROR(IF(0=LEN(ReferenceData!$AP$58),"",ReferenceData!$AP$58),"")</f>
        <v>58.19</v>
      </c>
      <c r="AQ58">
        <f ca="1">IFERROR(IF(0=LEN(ReferenceData!$AQ$58),"",ReferenceData!$AQ$58),"")</f>
        <v>57.454000000000001</v>
      </c>
      <c r="AR58">
        <f ca="1">IFERROR(IF(0=LEN(ReferenceData!$AR$58),"",ReferenceData!$AR$58),"")</f>
        <v>58.496000000000002</v>
      </c>
      <c r="AS58">
        <f ca="1">IFERROR(IF(0=LEN(ReferenceData!$AS$58),"",ReferenceData!$AS$58),"")</f>
        <v>56.369</v>
      </c>
      <c r="AT58">
        <f ca="1">IFERROR(IF(0=LEN(ReferenceData!$AT$58),"",ReferenceData!$AT$58),"")</f>
        <v>54.009</v>
      </c>
      <c r="AU58">
        <f ca="1">IFERROR(IF(0=LEN(ReferenceData!$AU$58),"",ReferenceData!$AU$58),"")</f>
        <v>46.851999999999997</v>
      </c>
      <c r="AV58">
        <f ca="1">IFERROR(IF(0=LEN(ReferenceData!$AV$58),"",ReferenceData!$AV$58),"")</f>
        <v>46.564</v>
      </c>
      <c r="AW58">
        <f ca="1">IFERROR(IF(0=LEN(ReferenceData!$AW$58),"",ReferenceData!$AW$58),"")</f>
        <v>46.021999360000002</v>
      </c>
      <c r="AX58">
        <f ca="1">IFERROR(IF(0=LEN(ReferenceData!$AX$58),"",ReferenceData!$AX$58),"")</f>
        <v>41.436999999999998</v>
      </c>
      <c r="AY58">
        <f ca="1">IFERROR(IF(0=LEN(ReferenceData!$AY$58),"",ReferenceData!$AY$58),"")</f>
        <v>37.16999817</v>
      </c>
      <c r="AZ58">
        <f ca="1">IFERROR(IF(0=LEN(ReferenceData!$AZ$58),"",ReferenceData!$AZ$58),"")</f>
        <v>35.92</v>
      </c>
      <c r="BA58">
        <f ca="1">IFERROR(IF(0=LEN(ReferenceData!$BA$58),"",ReferenceData!$BA$58),"")</f>
        <v>35.562000269999999</v>
      </c>
      <c r="BB58">
        <f ca="1">IFERROR(IF(0=LEN(ReferenceData!$BB$58),"",ReferenceData!$BB$58),"")</f>
        <v>36.32</v>
      </c>
      <c r="BC58">
        <f ca="1">IFERROR(IF(0=LEN(ReferenceData!$BC$58),"",ReferenceData!$BC$58),"")</f>
        <v>29.624000550000002</v>
      </c>
      <c r="BD58">
        <f ca="1">IFERROR(IF(0=LEN(ReferenceData!$BD$58),"",ReferenceData!$BD$58),"")</f>
        <v>32.189998629999998</v>
      </c>
      <c r="BE58">
        <f ca="1">IFERROR(IF(0=LEN(ReferenceData!$BE$58),"",ReferenceData!$BE$58),"")</f>
        <v>31.165000920000001</v>
      </c>
      <c r="BF58">
        <f ca="1">IFERROR(IF(0=LEN(ReferenceData!$BF$58),"",ReferenceData!$BF$58),"")</f>
        <v>27.481999999999999</v>
      </c>
      <c r="BG58">
        <f ca="1">IFERROR(IF(0=LEN(ReferenceData!$BG$58),"",ReferenceData!$BG$58),"")</f>
        <v>32.549999999999997</v>
      </c>
      <c r="BH58">
        <f ca="1">IFERROR(IF(0=LEN(ReferenceData!$BH$58),"",ReferenceData!$BH$58),"")</f>
        <v>31.556999999999999</v>
      </c>
      <c r="BI58">
        <f ca="1">IFERROR(IF(0=LEN(ReferenceData!$BI$58),"",ReferenceData!$BI$58),"")</f>
        <v>32.305</v>
      </c>
      <c r="BJ58">
        <f ca="1">IFERROR(IF(0=LEN(ReferenceData!$BJ$58),"",ReferenceData!$BJ$58),"")</f>
        <v>32.511000000000003</v>
      </c>
      <c r="BK58">
        <f ca="1">IFERROR(IF(0=LEN(ReferenceData!$BK$58),"",ReferenceData!$BK$58),"")</f>
        <v>27.969000000000001</v>
      </c>
      <c r="BL58">
        <f ca="1">IFERROR(IF(0=LEN(ReferenceData!$BL$58),"",ReferenceData!$BL$58),"")</f>
        <v>28.353000640000001</v>
      </c>
      <c r="BM58">
        <f ca="1">IFERROR(IF(0=LEN(ReferenceData!$BM$58),"",ReferenceData!$BM$58),"")</f>
        <v>22.998000000000001</v>
      </c>
    </row>
    <row r="59" spans="1:65">
      <c r="A59" t="str">
        <f>IFERROR(IF(0=LEN(ReferenceData!$A$59),"",ReferenceData!$A$59),"")</f>
        <v xml:space="preserve">    Realty Income Corp</v>
      </c>
      <c r="B59" t="str">
        <f>IFERROR(IF(0=LEN(ReferenceData!$B$59),"",ReferenceData!$B$59),"")</f>
        <v>O US Equity</v>
      </c>
      <c r="C59" t="str">
        <f>IFERROR(IF(0=LEN(ReferenceData!$C$59),"",ReferenceData!$C$59),"")</f>
        <v>IS010</v>
      </c>
      <c r="D59" t="str">
        <f>IFERROR(IF(0=LEN(ReferenceData!$D$59),"",ReferenceData!$D$59),"")</f>
        <v>SALES_REV_TURN</v>
      </c>
      <c r="E59" t="str">
        <f>IFERROR(IF(0=LEN(ReferenceData!$E$59),"",ReferenceData!$E$59),"")</f>
        <v>动态</v>
      </c>
      <c r="F59" t="str">
        <f ca="1">IFERROR(IF(0=LEN(ReferenceData!$F$59),"",ReferenceData!$F$59),"")</f>
        <v/>
      </c>
      <c r="G59">
        <f ca="1">IFERROR(IF(0=LEN(ReferenceData!$G$59),"",ReferenceData!$G$59),"")</f>
        <v>310.654</v>
      </c>
      <c r="H59">
        <f ca="1">IFERROR(IF(0=LEN(ReferenceData!$H$59),"",ReferenceData!$H$59),"")</f>
        <v>306.92</v>
      </c>
      <c r="I59">
        <f ca="1">IFERROR(IF(0=LEN(ReferenceData!$I$59),"",ReferenceData!$I$59),"")</f>
        <v>300.17</v>
      </c>
      <c r="J59">
        <f ca="1">IFERROR(IF(0=LEN(ReferenceData!$J$59),"",ReferenceData!$J$59),"")</f>
        <v>298.02499999999998</v>
      </c>
      <c r="K59">
        <f ca="1">IFERROR(IF(0=LEN(ReferenceData!$K$59),"",ReferenceData!$K$59),"")</f>
        <v>287.84300000000002</v>
      </c>
      <c r="L59">
        <f ca="1">IFERROR(IF(0=LEN(ReferenceData!$L$59),"",ReferenceData!$L$59),"")</f>
        <v>277.17399999999998</v>
      </c>
      <c r="M59">
        <f ca="1">IFERROR(IF(0=LEN(ReferenceData!$M$59),"",ReferenceData!$M$59),"")</f>
        <v>271.03899999999999</v>
      </c>
      <c r="N59">
        <f ca="1">IFERROR(IF(0=LEN(ReferenceData!$N$59),"",ReferenceData!$N$59),"")</f>
        <v>267.11599999999999</v>
      </c>
      <c r="O59">
        <f ca="1">IFERROR(IF(0=LEN(ReferenceData!$O$59),"",ReferenceData!$O$59),"")</f>
        <v>263.66800000000001</v>
      </c>
      <c r="P59">
        <f ca="1">IFERROR(IF(0=LEN(ReferenceData!$P$59),"",ReferenceData!$P$59),"")</f>
        <v>258.88900000000001</v>
      </c>
      <c r="Q59">
        <f ca="1">IFERROR(IF(0=LEN(ReferenceData!$Q$59),"",ReferenceData!$Q$59),"")</f>
        <v>253.86</v>
      </c>
      <c r="R59">
        <f ca="1">IFERROR(IF(0=LEN(ReferenceData!$R$59),"",ReferenceData!$R$59),"")</f>
        <v>246.86699999999999</v>
      </c>
      <c r="S59">
        <f ca="1">IFERROR(IF(0=LEN(ReferenceData!$S$59),"",ReferenceData!$S$59),"")</f>
        <v>247.57300000000001</v>
      </c>
      <c r="T59">
        <f ca="1">IFERROR(IF(0=LEN(ReferenceData!$T$59),"",ReferenceData!$T$59),"")</f>
        <v>235.71299999999999</v>
      </c>
      <c r="U59">
        <f ca="1">IFERROR(IF(0=LEN(ReferenceData!$U$59),"",ReferenceData!$U$59),"")</f>
        <v>228.64599999999999</v>
      </c>
      <c r="V59">
        <f ca="1">IFERROR(IF(0=LEN(ReferenceData!$V$59),"",ReferenceData!$V$59),"")</f>
        <v>221.572</v>
      </c>
      <c r="W59">
        <f ca="1">IFERROR(IF(0=LEN(ReferenceData!$W$59),"",ReferenceData!$W$59),"")</f>
        <v>216.16300000000001</v>
      </c>
      <c r="X59">
        <f ca="1">IFERROR(IF(0=LEN(ReferenceData!$X$59),"",ReferenceData!$X$59),"")</f>
        <v>202.08099999999999</v>
      </c>
      <c r="Y59">
        <f ca="1">IFERROR(IF(0=LEN(ReferenceData!$Y$59),"",ReferenceData!$Y$59),"")</f>
        <v>186.44300000000001</v>
      </c>
      <c r="Z59">
        <f ca="1">IFERROR(IF(0=LEN(ReferenceData!$Z$59),"",ReferenceData!$Z$59),"")</f>
        <v>175.52199999999999</v>
      </c>
      <c r="AA59">
        <f ca="1">IFERROR(IF(0=LEN(ReferenceData!$AA$59),"",ReferenceData!$AA$59),"")</f>
        <v>132.803</v>
      </c>
      <c r="AB59">
        <f ca="1">IFERROR(IF(0=LEN(ReferenceData!$AB$59),"",ReferenceData!$AB$59),"")</f>
        <v>117.149</v>
      </c>
      <c r="AC59">
        <f ca="1">IFERROR(IF(0=LEN(ReferenceData!$AC$59),"",ReferenceData!$AC$59),"")</f>
        <v>113.133</v>
      </c>
      <c r="AD59">
        <f ca="1">IFERROR(IF(0=LEN(ReferenceData!$AD$59),"",ReferenceData!$AD$59),"")</f>
        <v>112.30500000000001</v>
      </c>
      <c r="AE59">
        <f ca="1">IFERROR(IF(0=LEN(ReferenceData!$AE$59),"",ReferenceData!$AE$59),"")</f>
        <v>111.755</v>
      </c>
      <c r="AF59">
        <f ca="1">IFERROR(IF(0=LEN(ReferenceData!$AF$59),"",ReferenceData!$AF$59),"")</f>
        <v>106.23</v>
      </c>
      <c r="AG59">
        <f ca="1">IFERROR(IF(0=LEN(ReferenceData!$AG$59),"",ReferenceData!$AG$59),"")</f>
        <v>101.62</v>
      </c>
      <c r="AH59">
        <f ca="1">IFERROR(IF(0=LEN(ReferenceData!$AH$59),"",ReferenceData!$AH$59),"")</f>
        <v>97.284000000000006</v>
      </c>
      <c r="AI59">
        <f ca="1">IFERROR(IF(0=LEN(ReferenceData!$AI$59),"",ReferenceData!$AI$59),"")</f>
        <v>92.245000000000005</v>
      </c>
      <c r="AJ59">
        <f ca="1">IFERROR(IF(0=LEN(ReferenceData!$AJ$59),"",ReferenceData!$AJ$59),"")</f>
        <v>86.832999999999998</v>
      </c>
      <c r="AK59">
        <f ca="1">IFERROR(IF(0=LEN(ReferenceData!$AK$59),"",ReferenceData!$AK$59),"")</f>
        <v>82.397000000000006</v>
      </c>
      <c r="AL59">
        <f ca="1">IFERROR(IF(0=LEN(ReferenceData!$AL$59),"",ReferenceData!$AL$59),"")</f>
        <v>82.617999999999995</v>
      </c>
      <c r="AM59">
        <f ca="1">IFERROR(IF(0=LEN(ReferenceData!$AM$59),"",ReferenceData!$AM$59),"")</f>
        <v>81.286000000000001</v>
      </c>
      <c r="AN59">
        <f ca="1">IFERROR(IF(0=LEN(ReferenceData!$AN$59),"",ReferenceData!$AN$59),"")</f>
        <v>81.462999999999994</v>
      </c>
      <c r="AO59">
        <f ca="1">IFERROR(IF(0=LEN(ReferenceData!$AO$59),"",ReferenceData!$AO$59),"")</f>
        <v>81.301000000000002</v>
      </c>
      <c r="AP59">
        <f ca="1">IFERROR(IF(0=LEN(ReferenceData!$AP$59),"",ReferenceData!$AP$59),"")</f>
        <v>82.531999999999996</v>
      </c>
      <c r="AQ59">
        <f ca="1">IFERROR(IF(0=LEN(ReferenceData!$AQ$59),"",ReferenceData!$AQ$59),"")</f>
        <v>82.203000000000003</v>
      </c>
      <c r="AR59">
        <f ca="1">IFERROR(IF(0=LEN(ReferenceData!$AR$59),"",ReferenceData!$AR$59),"")</f>
        <v>82.222999999999999</v>
      </c>
      <c r="AS59">
        <f ca="1">IFERROR(IF(0=LEN(ReferenceData!$AS$59),"",ReferenceData!$AS$59),"")</f>
        <v>82.061999999999998</v>
      </c>
      <c r="AT59">
        <f ca="1">IFERROR(IF(0=LEN(ReferenceData!$AT$59),"",ReferenceData!$AT$59),"")</f>
        <v>82.688999999999993</v>
      </c>
      <c r="AU59">
        <f ca="1">IFERROR(IF(0=LEN(ReferenceData!$AU$59),"",ReferenceData!$AU$59),"")</f>
        <v>80.114999999999995</v>
      </c>
      <c r="AV59">
        <f ca="1">IFERROR(IF(0=LEN(ReferenceData!$AV$59),"",ReferenceData!$AV$59),"")</f>
        <v>73.522003170000005</v>
      </c>
      <c r="AW59">
        <f ca="1">IFERROR(IF(0=LEN(ReferenceData!$AW$59),"",ReferenceData!$AW$59),"")</f>
        <v>70.324996949999999</v>
      </c>
      <c r="AX59">
        <f ca="1">IFERROR(IF(0=LEN(ReferenceData!$AX$59),"",ReferenceData!$AX$59),"")</f>
        <v>71.33</v>
      </c>
      <c r="AY59">
        <f ca="1">IFERROR(IF(0=LEN(ReferenceData!$AY$59),"",ReferenceData!$AY$59),"")</f>
        <v>68.778000000000006</v>
      </c>
      <c r="AZ59">
        <f ca="1">IFERROR(IF(0=LEN(ReferenceData!$AZ$59),"",ReferenceData!$AZ$59),"")</f>
        <v>59.164000000000001</v>
      </c>
      <c r="BA59">
        <f ca="1">IFERROR(IF(0=LEN(ReferenceData!$BA$59),"",ReferenceData!$BA$59),"")</f>
        <v>56.469001769999998</v>
      </c>
      <c r="BB59">
        <f ca="1">IFERROR(IF(0=LEN(ReferenceData!$BB$59),"",ReferenceData!$BB$59),"")</f>
        <v>55.118000000000002</v>
      </c>
      <c r="BC59">
        <f ca="1">IFERROR(IF(0=LEN(ReferenceData!$BC$59),"",ReferenceData!$BC$59),"")</f>
        <v>53.365000000000002</v>
      </c>
      <c r="BD59">
        <f ca="1">IFERROR(IF(0=LEN(ReferenceData!$BD$59),"",ReferenceData!$BD$59),"")</f>
        <v>48.887001040000001</v>
      </c>
      <c r="BE59">
        <f ca="1">IFERROR(IF(0=LEN(ReferenceData!$BE$59),"",ReferenceData!$BE$59),"")</f>
        <v>47.215000150000002</v>
      </c>
      <c r="BF59">
        <f ca="1">IFERROR(IF(0=LEN(ReferenceData!$BF$59),"",ReferenceData!$BF$59),"")</f>
        <v>46.553001399999999</v>
      </c>
      <c r="BG59">
        <f ca="1">IFERROR(IF(0=LEN(ReferenceData!$BG$59),"",ReferenceData!$BG$59),"")</f>
        <v>43.155999999999999</v>
      </c>
      <c r="BH59">
        <f ca="1">IFERROR(IF(0=LEN(ReferenceData!$BH$59),"",ReferenceData!$BH$59),"")</f>
        <v>43.655000000000001</v>
      </c>
      <c r="BI59">
        <f ca="1">IFERROR(IF(0=LEN(ReferenceData!$BI$59),"",ReferenceData!$BI$59),"")</f>
        <v>43.832999999999998</v>
      </c>
      <c r="BJ59">
        <f ca="1">IFERROR(IF(0=LEN(ReferenceData!$BJ$59),"",ReferenceData!$BJ$59),"")</f>
        <v>42.39599991</v>
      </c>
      <c r="BK59">
        <f ca="1">IFERROR(IF(0=LEN(ReferenceData!$BK$59),"",ReferenceData!$BK$59),"")</f>
        <v>39.986000060000002</v>
      </c>
      <c r="BL59">
        <f ca="1">IFERROR(IF(0=LEN(ReferenceData!$BL$59),"",ReferenceData!$BL$59),"")</f>
        <v>36.27099991</v>
      </c>
      <c r="BM59">
        <f ca="1">IFERROR(IF(0=LEN(ReferenceData!$BM$59),"",ReferenceData!$BM$59),"")</f>
        <v>35.409999849999998</v>
      </c>
    </row>
    <row r="60" spans="1:65">
      <c r="A60" t="str">
        <f>IFERROR(IF(0=LEN(ReferenceData!$A$60),"",ReferenceData!$A$60),"")</f>
        <v xml:space="preserve">    Regency Centers Corp</v>
      </c>
      <c r="B60" t="str">
        <f>IFERROR(IF(0=LEN(ReferenceData!$B$60),"",ReferenceData!$B$60),"")</f>
        <v>REG US Equity</v>
      </c>
      <c r="C60" t="str">
        <f>IFERROR(IF(0=LEN(ReferenceData!$C$60),"",ReferenceData!$C$60),"")</f>
        <v>IS010</v>
      </c>
      <c r="D60" t="str">
        <f>IFERROR(IF(0=LEN(ReferenceData!$D$60),"",ReferenceData!$D$60),"")</f>
        <v>SALES_REV_TURN</v>
      </c>
      <c r="E60" t="str">
        <f>IFERROR(IF(0=LEN(ReferenceData!$E$60),"",ReferenceData!$E$60),"")</f>
        <v>动态</v>
      </c>
      <c r="F60" t="str">
        <f ca="1">IFERROR(IF(0=LEN(ReferenceData!$F$60),"",ReferenceData!$F$60),"")</f>
        <v/>
      </c>
      <c r="G60">
        <f ca="1">IFERROR(IF(0=LEN(ReferenceData!$G$60),"",ReferenceData!$G$60),"")</f>
        <v>264.75099999999998</v>
      </c>
      <c r="H60">
        <f ca="1">IFERROR(IF(0=LEN(ReferenceData!$H$60),"",ReferenceData!$H$60),"")</f>
        <v>262.14100000000002</v>
      </c>
      <c r="I60">
        <f ca="1">IFERROR(IF(0=LEN(ReferenceData!$I$60),"",ReferenceData!$I$60),"")</f>
        <v>261.30500000000001</v>
      </c>
      <c r="J60">
        <f ca="1">IFERROR(IF(0=LEN(ReferenceData!$J$60),"",ReferenceData!$J$60),"")</f>
        <v>196.131</v>
      </c>
      <c r="K60">
        <f ca="1">IFERROR(IF(0=LEN(ReferenceData!$K$60),"",ReferenceData!$K$60),"")</f>
        <v>159.56100000000001</v>
      </c>
      <c r="L60">
        <f ca="1">IFERROR(IF(0=LEN(ReferenceData!$L$60),"",ReferenceData!$L$60),"")</f>
        <v>152.768</v>
      </c>
      <c r="M60">
        <f ca="1">IFERROR(IF(0=LEN(ReferenceData!$M$60),"",ReferenceData!$M$60),"")</f>
        <v>152.41200000000001</v>
      </c>
      <c r="N60">
        <f ca="1">IFERROR(IF(0=LEN(ReferenceData!$N$60),"",ReferenceData!$N$60),"")</f>
        <v>149.62799999999999</v>
      </c>
      <c r="O60">
        <f ca="1">IFERROR(IF(0=LEN(ReferenceData!$O$60),"",ReferenceData!$O$60),"")</f>
        <v>146.16800000000001</v>
      </c>
      <c r="P60">
        <f ca="1">IFERROR(IF(0=LEN(ReferenceData!$P$60),"",ReferenceData!$P$60),"")</f>
        <v>142.06800000000001</v>
      </c>
      <c r="Q60">
        <f ca="1">IFERROR(IF(0=LEN(ReferenceData!$Q$60),"",ReferenceData!$Q$60),"")</f>
        <v>141.12899999999999</v>
      </c>
      <c r="R60">
        <f ca="1">IFERROR(IF(0=LEN(ReferenceData!$R$60),"",ReferenceData!$R$60),"")</f>
        <v>140.399</v>
      </c>
      <c r="S60">
        <f ca="1">IFERROR(IF(0=LEN(ReferenceData!$S$60),"",ReferenceData!$S$60),"")</f>
        <v>136.16499999999999</v>
      </c>
      <c r="T60">
        <f ca="1">IFERROR(IF(0=LEN(ReferenceData!$T$60),"",ReferenceData!$T$60),"")</f>
        <v>133.559</v>
      </c>
      <c r="U60">
        <f ca="1">IFERROR(IF(0=LEN(ReferenceData!$U$60),"",ReferenceData!$U$60),"")</f>
        <v>134.892</v>
      </c>
      <c r="V60">
        <f ca="1">IFERROR(IF(0=LEN(ReferenceData!$V$60),"",ReferenceData!$V$60),"")</f>
        <v>133.28</v>
      </c>
      <c r="W60">
        <f ca="1">IFERROR(IF(0=LEN(ReferenceData!$W$60),"",ReferenceData!$W$60),"")</f>
        <v>126.005</v>
      </c>
      <c r="X60">
        <f ca="1">IFERROR(IF(0=LEN(ReferenceData!$X$60),"",ReferenceData!$X$60),"")</f>
        <v>120.318</v>
      </c>
      <c r="Y60">
        <f ca="1">IFERROR(IF(0=LEN(ReferenceData!$Y$60),"",ReferenceData!$Y$60),"")</f>
        <v>122.307</v>
      </c>
      <c r="Z60">
        <f ca="1">IFERROR(IF(0=LEN(ReferenceData!$Z$60),"",ReferenceData!$Z$60),"")</f>
        <v>120.378</v>
      </c>
      <c r="AA60">
        <f ca="1">IFERROR(IF(0=LEN(ReferenceData!$AA$60),"",ReferenceData!$AA$60),"")</f>
        <v>116.23</v>
      </c>
      <c r="AB60">
        <f ca="1">IFERROR(IF(0=LEN(ReferenceData!$AB$60),"",ReferenceData!$AB$60),"")</f>
        <v>115.589</v>
      </c>
      <c r="AC60">
        <f ca="1">IFERROR(IF(0=LEN(ReferenceData!$AC$60),"",ReferenceData!$AC$60),"")</f>
        <v>126.765</v>
      </c>
      <c r="AD60">
        <f ca="1">IFERROR(IF(0=LEN(ReferenceData!$AD$60),"",ReferenceData!$AD$60),"")</f>
        <v>126.24299999999999</v>
      </c>
      <c r="AE60">
        <f ca="1">IFERROR(IF(0=LEN(ReferenceData!$AE$60),"",ReferenceData!$AE$60),"")</f>
        <v>123.59699999999999</v>
      </c>
      <c r="AF60">
        <f ca="1">IFERROR(IF(0=LEN(ReferenceData!$AF$60),"",ReferenceData!$AF$60),"")</f>
        <v>123.02</v>
      </c>
      <c r="AG60">
        <f ca="1">IFERROR(IF(0=LEN(ReferenceData!$AG$60),"",ReferenceData!$AG$60),"")</f>
        <v>124.643</v>
      </c>
      <c r="AH60">
        <f ca="1">IFERROR(IF(0=LEN(ReferenceData!$AH$60),"",ReferenceData!$AH$60),"")</f>
        <v>124.328</v>
      </c>
      <c r="AI60">
        <f ca="1">IFERROR(IF(0=LEN(ReferenceData!$AI$60),"",ReferenceData!$AI$60),"")</f>
        <v>117.58475900000001</v>
      </c>
      <c r="AJ60">
        <f ca="1">IFERROR(IF(0=LEN(ReferenceData!$AJ$60),"",ReferenceData!$AJ$60),"")</f>
        <v>120.79300000000001</v>
      </c>
      <c r="AK60">
        <f ca="1">IFERROR(IF(0=LEN(ReferenceData!$AK$60),"",ReferenceData!$AK$60),"")</f>
        <v>121.251</v>
      </c>
      <c r="AL60">
        <f ca="1">IFERROR(IF(0=LEN(ReferenceData!$AL$60),"",ReferenceData!$AL$60),"")</f>
        <v>124.078</v>
      </c>
      <c r="AM60">
        <f ca="1">IFERROR(IF(0=LEN(ReferenceData!$AM$60),"",ReferenceData!$AM$60),"")</f>
        <v>121.34206500000001</v>
      </c>
      <c r="AN60">
        <f ca="1">IFERROR(IF(0=LEN(ReferenceData!$AN$60),"",ReferenceData!$AN$60),"")</f>
        <v>132.321</v>
      </c>
      <c r="AO60">
        <f ca="1">IFERROR(IF(0=LEN(ReferenceData!$AO$60),"",ReferenceData!$AO$60),"")</f>
        <v>115.294</v>
      </c>
      <c r="AP60">
        <f ca="1">IFERROR(IF(0=LEN(ReferenceData!$AP$60),"",ReferenceData!$AP$60),"")</f>
        <v>119.714</v>
      </c>
      <c r="AQ60">
        <f ca="1">IFERROR(IF(0=LEN(ReferenceData!$AQ$60),"",ReferenceData!$AQ$60),"")</f>
        <v>140.649979</v>
      </c>
      <c r="AR60">
        <f ca="1">IFERROR(IF(0=LEN(ReferenceData!$AR$60),"",ReferenceData!$AR$60),"")</f>
        <v>121.291</v>
      </c>
      <c r="AS60">
        <f ca="1">IFERROR(IF(0=LEN(ReferenceData!$AS$60),"",ReferenceData!$AS$60),"")</f>
        <v>120.92</v>
      </c>
      <c r="AT60">
        <f ca="1">IFERROR(IF(0=LEN(ReferenceData!$AT$60),"",ReferenceData!$AT$60),"")</f>
        <v>115.505</v>
      </c>
      <c r="AU60">
        <f ca="1">IFERROR(IF(0=LEN(ReferenceData!$AU$60),"",ReferenceData!$AU$60),"")</f>
        <v>107.63</v>
      </c>
      <c r="AV60">
        <f ca="1">IFERROR(IF(0=LEN(ReferenceData!$AV$60),"",ReferenceData!$AV$60),"")</f>
        <v>114.7</v>
      </c>
      <c r="AW60">
        <f ca="1">IFERROR(IF(0=LEN(ReferenceData!$AW$60),"",ReferenceData!$AW$60),"")</f>
        <v>107.839</v>
      </c>
      <c r="AX60">
        <f ca="1">IFERROR(IF(0=LEN(ReferenceData!$AX$60),"",ReferenceData!$AX$60),"")</f>
        <v>106.413</v>
      </c>
      <c r="AY60">
        <f ca="1">IFERROR(IF(0=LEN(ReferenceData!$AY$60),"",ReferenceData!$AY$60),"")</f>
        <v>109.14100000000001</v>
      </c>
      <c r="AZ60">
        <f ca="1">IFERROR(IF(0=LEN(ReferenceData!$AZ$60),"",ReferenceData!$AZ$60),"")</f>
        <v>102.617</v>
      </c>
      <c r="BA60">
        <f ca="1">IFERROR(IF(0=LEN(ReferenceData!$BA$60),"",ReferenceData!$BA$60),"")</f>
        <v>105.4</v>
      </c>
      <c r="BB60">
        <f ca="1">IFERROR(IF(0=LEN(ReferenceData!$BB$60),"",ReferenceData!$BB$60),"")</f>
        <v>99.81</v>
      </c>
      <c r="BC60">
        <f ca="1">IFERROR(IF(0=LEN(ReferenceData!$BC$60),"",ReferenceData!$BC$60),"")</f>
        <v>88.843999999999994</v>
      </c>
      <c r="BD60">
        <f ca="1">IFERROR(IF(0=LEN(ReferenceData!$BD$60),"",ReferenceData!$BD$60),"")</f>
        <v>90.31</v>
      </c>
      <c r="BE60">
        <f ca="1">IFERROR(IF(0=LEN(ReferenceData!$BE$60),"",ReferenceData!$BE$60),"")</f>
        <v>106.88800000000001</v>
      </c>
      <c r="BF60">
        <f ca="1">IFERROR(IF(0=LEN(ReferenceData!$BF$60),"",ReferenceData!$BF$60),"")</f>
        <v>95.94</v>
      </c>
      <c r="BG60">
        <f ca="1">IFERROR(IF(0=LEN(ReferenceData!$BG$60),"",ReferenceData!$BG$60),"")</f>
        <v>103.71899999999999</v>
      </c>
      <c r="BH60">
        <f ca="1">IFERROR(IF(0=LEN(ReferenceData!$BH$60),"",ReferenceData!$BH$60),"")</f>
        <v>92.498000000000005</v>
      </c>
      <c r="BI60">
        <f ca="1">IFERROR(IF(0=LEN(ReferenceData!$BI$60),"",ReferenceData!$BI$60),"")</f>
        <v>93.990996999999993</v>
      </c>
      <c r="BJ60">
        <f ca="1">IFERROR(IF(0=LEN(ReferenceData!$BJ$60),"",ReferenceData!$BJ$60),"")</f>
        <v>90.544998000000007</v>
      </c>
      <c r="BK60">
        <f ca="1">IFERROR(IF(0=LEN(ReferenceData!$BK$60),"",ReferenceData!$BK$60),"")</f>
        <v>90.25800323</v>
      </c>
      <c r="BL60">
        <f ca="1">IFERROR(IF(0=LEN(ReferenceData!$BL$60),"",ReferenceData!$BL$60),"")</f>
        <v>88.730002999999996</v>
      </c>
      <c r="BM60">
        <f ca="1">IFERROR(IF(0=LEN(ReferenceData!$BM$60),"",ReferenceData!$BM$60),"")</f>
        <v>89.213997000000006</v>
      </c>
    </row>
    <row r="61" spans="1:65">
      <c r="A61" t="str">
        <f>IFERROR(IF(0=LEN(ReferenceData!$A$61),"",ReferenceData!$A$61),"")</f>
        <v xml:space="preserve">    Retail Opportunity Investments</v>
      </c>
      <c r="B61" t="str">
        <f>IFERROR(IF(0=LEN(ReferenceData!$B$61),"",ReferenceData!$B$61),"")</f>
        <v>ROIC US Equity</v>
      </c>
      <c r="C61" t="str">
        <f>IFERROR(IF(0=LEN(ReferenceData!$C$61),"",ReferenceData!$C$61),"")</f>
        <v>IS010</v>
      </c>
      <c r="D61" t="str">
        <f>IFERROR(IF(0=LEN(ReferenceData!$D$61),"",ReferenceData!$D$61),"")</f>
        <v>SALES_REV_TURN</v>
      </c>
      <c r="E61" t="str">
        <f>IFERROR(IF(0=LEN(ReferenceData!$E$61),"",ReferenceData!$E$61),"")</f>
        <v>动态</v>
      </c>
      <c r="F61" t="str">
        <f ca="1">IFERROR(IF(0=LEN(ReferenceData!$F$61),"",ReferenceData!$F$61),"")</f>
        <v/>
      </c>
      <c r="G61">
        <f ca="1">IFERROR(IF(0=LEN(ReferenceData!$G$61),"",ReferenceData!$G$61),"")</f>
        <v>72.754000000000005</v>
      </c>
      <c r="H61">
        <f ca="1">IFERROR(IF(0=LEN(ReferenceData!$H$61),"",ReferenceData!$H$61),"")</f>
        <v>67.965999999999994</v>
      </c>
      <c r="I61">
        <f ca="1">IFERROR(IF(0=LEN(ReferenceData!$I$61),"",ReferenceData!$I$61),"")</f>
        <v>66.64</v>
      </c>
      <c r="J61">
        <f ca="1">IFERROR(IF(0=LEN(ReferenceData!$J$61),"",ReferenceData!$J$61),"")</f>
        <v>65.900000000000006</v>
      </c>
      <c r="K61">
        <f ca="1">IFERROR(IF(0=LEN(ReferenceData!$K$61),"",ReferenceData!$K$61),"")</f>
        <v>63.07</v>
      </c>
      <c r="L61">
        <f ca="1">IFERROR(IF(0=LEN(ReferenceData!$L$61),"",ReferenceData!$L$61),"")</f>
        <v>59.353999999999999</v>
      </c>
      <c r="M61">
        <f ca="1">IFERROR(IF(0=LEN(ReferenceData!$M$61),"",ReferenceData!$M$61),"")</f>
        <v>58.670999999999999</v>
      </c>
      <c r="N61">
        <f ca="1">IFERROR(IF(0=LEN(ReferenceData!$N$61),"",ReferenceData!$N$61),"")</f>
        <v>56.094000000000001</v>
      </c>
      <c r="O61">
        <f ca="1">IFERROR(IF(0=LEN(ReferenceData!$O$61),"",ReferenceData!$O$61),"")</f>
        <v>51.284999999999997</v>
      </c>
      <c r="P61">
        <f ca="1">IFERROR(IF(0=LEN(ReferenceData!$P$61),"",ReferenceData!$P$61),"")</f>
        <v>50.076999999999998</v>
      </c>
      <c r="Q61">
        <f ca="1">IFERROR(IF(0=LEN(ReferenceData!$Q$61),"",ReferenceData!$Q$61),"")</f>
        <v>46.215000000000003</v>
      </c>
      <c r="R61">
        <f ca="1">IFERROR(IF(0=LEN(ReferenceData!$R$61),"",ReferenceData!$R$61),"")</f>
        <v>45.122</v>
      </c>
      <c r="S61">
        <f ca="1">IFERROR(IF(0=LEN(ReferenceData!$S$61),"",ReferenceData!$S$61),"")</f>
        <v>41.742669999999997</v>
      </c>
      <c r="T61">
        <f ca="1">IFERROR(IF(0=LEN(ReferenceData!$T$61),"",ReferenceData!$T$61),"")</f>
        <v>40.855871</v>
      </c>
      <c r="U61">
        <f ca="1">IFERROR(IF(0=LEN(ReferenceData!$U$61),"",ReferenceData!$U$61),"")</f>
        <v>36.914833999999999</v>
      </c>
      <c r="V61">
        <f ca="1">IFERROR(IF(0=LEN(ReferenceData!$V$61),"",ReferenceData!$V$61),"")</f>
        <v>36.35</v>
      </c>
      <c r="W61">
        <f ca="1">IFERROR(IF(0=LEN(ReferenceData!$W$61),"",ReferenceData!$W$61),"")</f>
        <v>33.636485</v>
      </c>
      <c r="X61">
        <f ca="1">IFERROR(IF(0=LEN(ReferenceData!$X$61),"",ReferenceData!$X$61),"")</f>
        <v>27.147631000000001</v>
      </c>
      <c r="Y61">
        <f ca="1">IFERROR(IF(0=LEN(ReferenceData!$Y$61),"",ReferenceData!$Y$61),"")</f>
        <v>26.063465999999998</v>
      </c>
      <c r="Z61">
        <f ca="1">IFERROR(IF(0=LEN(ReferenceData!$Z$61),"",ReferenceData!$Z$61),"")</f>
        <v>24.384449</v>
      </c>
      <c r="AA61">
        <f ca="1">IFERROR(IF(0=LEN(ReferenceData!$AA$61),"",ReferenceData!$AA$61),"")</f>
        <v>21.440356999999999</v>
      </c>
      <c r="AB61">
        <f ca="1">IFERROR(IF(0=LEN(ReferenceData!$AB$61),"",ReferenceData!$AB$61),"")</f>
        <v>18.889274</v>
      </c>
      <c r="AC61">
        <f ca="1">IFERROR(IF(0=LEN(ReferenceData!$AC$61),"",ReferenceData!$AC$61),"")</f>
        <v>18.118372000000001</v>
      </c>
      <c r="AD61">
        <f ca="1">IFERROR(IF(0=LEN(ReferenceData!$AD$61),"",ReferenceData!$AD$61),"")</f>
        <v>16.647684000000002</v>
      </c>
      <c r="AE61">
        <f ca="1">IFERROR(IF(0=LEN(ReferenceData!$AE$61),"",ReferenceData!$AE$61),"")</f>
        <v>16.647310999999998</v>
      </c>
      <c r="AF61">
        <f ca="1">IFERROR(IF(0=LEN(ReferenceData!$AF$61),"",ReferenceData!$AF$61),"")</f>
        <v>13.555364000000001</v>
      </c>
      <c r="AG61">
        <f ca="1">IFERROR(IF(0=LEN(ReferenceData!$AG$61),"",ReferenceData!$AG$61),"")</f>
        <v>11.493916</v>
      </c>
      <c r="AH61">
        <f ca="1">IFERROR(IF(0=LEN(ReferenceData!$AH$61),"",ReferenceData!$AH$61),"")</f>
        <v>10.040921000000001</v>
      </c>
      <c r="AI61">
        <f ca="1">IFERROR(IF(0=LEN(ReferenceData!$AI$61),"",ReferenceData!$AI$61),"")</f>
        <v>6.9709089999999998</v>
      </c>
      <c r="AJ61">
        <f ca="1">IFERROR(IF(0=LEN(ReferenceData!$AJ$61),"",ReferenceData!$AJ$61),"")</f>
        <v>4.8423069999999999</v>
      </c>
      <c r="AK61">
        <f ca="1">IFERROR(IF(0=LEN(ReferenceData!$AK$61),"",ReferenceData!$AK$61),"")</f>
        <v>2.8942209999999999</v>
      </c>
      <c r="AL61">
        <f ca="1">IFERROR(IF(0=LEN(ReferenceData!$AL$61),"",ReferenceData!$AL$61),"")</f>
        <v>1.369332</v>
      </c>
      <c r="AM61">
        <f ca="1">IFERROR(IF(0=LEN(ReferenceData!$AM$61),"",ReferenceData!$AM$61),"")</f>
        <v>4.5999999999999999E-2</v>
      </c>
      <c r="AN61" t="str">
        <f ca="1">IFERROR(IF(0=LEN(ReferenceData!$AN$61),"",ReferenceData!$AN$61),"")</f>
        <v/>
      </c>
      <c r="AO61" t="str">
        <f ca="1">IFERROR(IF(0=LEN(ReferenceData!$AO$61),"",ReferenceData!$AO$61),"")</f>
        <v/>
      </c>
      <c r="AP61" t="str">
        <f ca="1">IFERROR(IF(0=LEN(ReferenceData!$AP$61),"",ReferenceData!$AP$61),"")</f>
        <v/>
      </c>
      <c r="AQ61" t="str">
        <f ca="1">IFERROR(IF(0=LEN(ReferenceData!$AQ$61),"",ReferenceData!$AQ$61),"")</f>
        <v/>
      </c>
      <c r="AR61" t="str">
        <f ca="1">IFERROR(IF(0=LEN(ReferenceData!$AR$61),"",ReferenceData!$AR$61),"")</f>
        <v/>
      </c>
      <c r="AS61" t="str">
        <f ca="1">IFERROR(IF(0=LEN(ReferenceData!$AS$61),"",ReferenceData!$AS$61),"")</f>
        <v/>
      </c>
      <c r="AT61" t="str">
        <f ca="1">IFERROR(IF(0=LEN(ReferenceData!$AT$61),"",ReferenceData!$AT$61),"")</f>
        <v/>
      </c>
      <c r="AU61" t="str">
        <f ca="1">IFERROR(IF(0=LEN(ReferenceData!$AU$61),"",ReferenceData!$AU$61),"")</f>
        <v/>
      </c>
      <c r="AV61" t="str">
        <f ca="1">IFERROR(IF(0=LEN(ReferenceData!$AV$61),"",ReferenceData!$AV$61),"")</f>
        <v/>
      </c>
      <c r="AW61" t="str">
        <f ca="1">IFERROR(IF(0=LEN(ReferenceData!$AW$61),"",ReferenceData!$AW$61),"")</f>
        <v/>
      </c>
      <c r="AX61" t="str">
        <f ca="1">IFERROR(IF(0=LEN(ReferenceData!$AX$61),"",ReferenceData!$AX$61),"")</f>
        <v/>
      </c>
      <c r="AY61" t="str">
        <f ca="1">IFERROR(IF(0=LEN(ReferenceData!$AY$61),"",ReferenceData!$AY$61),"")</f>
        <v/>
      </c>
      <c r="AZ61" t="str">
        <f ca="1">IFERROR(IF(0=LEN(ReferenceData!$AZ$61),"",ReferenceData!$AZ$61),"")</f>
        <v/>
      </c>
      <c r="BA61" t="str">
        <f ca="1">IFERROR(IF(0=LEN(ReferenceData!$BA$61),"",ReferenceData!$BA$61),"")</f>
        <v/>
      </c>
      <c r="BB61" t="str">
        <f ca="1">IFERROR(IF(0=LEN(ReferenceData!$BB$61),"",ReferenceData!$BB$61),"")</f>
        <v/>
      </c>
      <c r="BC61" t="str">
        <f ca="1">IFERROR(IF(0=LEN(ReferenceData!$BC$61),"",ReferenceData!$BC$61),"")</f>
        <v/>
      </c>
      <c r="BD61" t="str">
        <f ca="1">IFERROR(IF(0=LEN(ReferenceData!$BD$61),"",ReferenceData!$BD$61),"")</f>
        <v/>
      </c>
      <c r="BE61" t="str">
        <f ca="1">IFERROR(IF(0=LEN(ReferenceData!$BE$61),"",ReferenceData!$BE$61),"")</f>
        <v/>
      </c>
      <c r="BF61" t="str">
        <f ca="1">IFERROR(IF(0=LEN(ReferenceData!$BF$61),"",ReferenceData!$BF$61),"")</f>
        <v/>
      </c>
      <c r="BG61" t="str">
        <f ca="1">IFERROR(IF(0=LEN(ReferenceData!$BG$61),"",ReferenceData!$BG$61),"")</f>
        <v/>
      </c>
      <c r="BH61" t="str">
        <f ca="1">IFERROR(IF(0=LEN(ReferenceData!$BH$61),"",ReferenceData!$BH$61),"")</f>
        <v/>
      </c>
      <c r="BI61" t="str">
        <f ca="1">IFERROR(IF(0=LEN(ReferenceData!$BI$61),"",ReferenceData!$BI$61),"")</f>
        <v/>
      </c>
      <c r="BJ61" t="str">
        <f ca="1">IFERROR(IF(0=LEN(ReferenceData!$BJ$61),"",ReferenceData!$BJ$61),"")</f>
        <v/>
      </c>
      <c r="BK61" t="str">
        <f ca="1">IFERROR(IF(0=LEN(ReferenceData!$BK$61),"",ReferenceData!$BK$61),"")</f>
        <v/>
      </c>
      <c r="BL61" t="str">
        <f ca="1">IFERROR(IF(0=LEN(ReferenceData!$BL$61),"",ReferenceData!$BL$61),"")</f>
        <v/>
      </c>
      <c r="BM61" t="str">
        <f ca="1">IFERROR(IF(0=LEN(ReferenceData!$BM$61),"",ReferenceData!$BM$61),"")</f>
        <v/>
      </c>
    </row>
    <row r="62" spans="1:65">
      <c r="A62" t="str">
        <f>IFERROR(IF(0=LEN(ReferenceData!$A$62),"",ReferenceData!$A$62),"")</f>
        <v xml:space="preserve">    Retail Properties of America I</v>
      </c>
      <c r="B62" t="str">
        <f>IFERROR(IF(0=LEN(ReferenceData!$B$62),"",ReferenceData!$B$62),"")</f>
        <v>RPAI US Equity</v>
      </c>
      <c r="C62" t="str">
        <f>IFERROR(IF(0=LEN(ReferenceData!$C$62),"",ReferenceData!$C$62),"")</f>
        <v>IS010</v>
      </c>
      <c r="D62" t="str">
        <f>IFERROR(IF(0=LEN(ReferenceData!$D$62),"",ReferenceData!$D$62),"")</f>
        <v>SALES_REV_TURN</v>
      </c>
      <c r="E62" t="str">
        <f>IFERROR(IF(0=LEN(ReferenceData!$E$62),"",ReferenceData!$E$62),"")</f>
        <v>动态</v>
      </c>
      <c r="F62" t="str">
        <f ca="1">IFERROR(IF(0=LEN(ReferenceData!$F$62),"",ReferenceData!$F$62),"")</f>
        <v/>
      </c>
      <c r="G62">
        <f ca="1">IFERROR(IF(0=LEN(ReferenceData!$G$62),"",ReferenceData!$G$62),"")</f>
        <v>126.58799999999999</v>
      </c>
      <c r="H62">
        <f ca="1">IFERROR(IF(0=LEN(ReferenceData!$H$62),"",ReferenceData!$H$62),"")</f>
        <v>130.51900000000001</v>
      </c>
      <c r="I62">
        <f ca="1">IFERROR(IF(0=LEN(ReferenceData!$I$62),"",ReferenceData!$I$62),"")</f>
        <v>137.339</v>
      </c>
      <c r="J62">
        <f ca="1">IFERROR(IF(0=LEN(ReferenceData!$J$62),"",ReferenceData!$J$62),"")</f>
        <v>143.69300000000001</v>
      </c>
      <c r="K62">
        <f ca="1">IFERROR(IF(0=LEN(ReferenceData!$K$62),"",ReferenceData!$K$62),"")</f>
        <v>142.75200000000001</v>
      </c>
      <c r="L62">
        <f ca="1">IFERROR(IF(0=LEN(ReferenceData!$L$62),"",ReferenceData!$L$62),"")</f>
        <v>144.52600000000001</v>
      </c>
      <c r="M62">
        <f ca="1">IFERROR(IF(0=LEN(ReferenceData!$M$62),"",ReferenceData!$M$62),"")</f>
        <v>147.226</v>
      </c>
      <c r="N62">
        <f ca="1">IFERROR(IF(0=LEN(ReferenceData!$N$62),"",ReferenceData!$N$62),"")</f>
        <v>148.63900000000001</v>
      </c>
      <c r="O62">
        <f ca="1">IFERROR(IF(0=LEN(ReferenceData!$O$62),"",ReferenceData!$O$62),"")</f>
        <v>148.91999999999999</v>
      </c>
      <c r="P62">
        <f ca="1">IFERROR(IF(0=LEN(ReferenceData!$P$62),"",ReferenceData!$P$62),"")</f>
        <v>150.95500000000001</v>
      </c>
      <c r="Q62">
        <f ca="1">IFERROR(IF(0=LEN(ReferenceData!$Q$62),"",ReferenceData!$Q$62),"")</f>
        <v>150.88800000000001</v>
      </c>
      <c r="R62">
        <f ca="1">IFERROR(IF(0=LEN(ReferenceData!$R$62),"",ReferenceData!$R$62),"")</f>
        <v>153.197</v>
      </c>
      <c r="S62">
        <f ca="1">IFERROR(IF(0=LEN(ReferenceData!$S$62),"",ReferenceData!$S$62),"")</f>
        <v>153.53100000000001</v>
      </c>
      <c r="T62">
        <f ca="1">IFERROR(IF(0=LEN(ReferenceData!$T$62),"",ReferenceData!$T$62),"")</f>
        <v>151.447</v>
      </c>
      <c r="U62">
        <f ca="1">IFERROR(IF(0=LEN(ReferenceData!$U$62),"",ReferenceData!$U$62),"")</f>
        <v>146.446</v>
      </c>
      <c r="V62">
        <f ca="1">IFERROR(IF(0=LEN(ReferenceData!$V$62),"",ReferenceData!$V$62),"")</f>
        <v>149.191</v>
      </c>
      <c r="W62">
        <f ca="1">IFERROR(IF(0=LEN(ReferenceData!$W$62),"",ReferenceData!$W$62),"")</f>
        <v>150.68899999999999</v>
      </c>
      <c r="X62">
        <f ca="1">IFERROR(IF(0=LEN(ReferenceData!$X$62),"",ReferenceData!$X$62),"")</f>
        <v>136.125</v>
      </c>
      <c r="Y62">
        <f ca="1">IFERROR(IF(0=LEN(ReferenceData!$Y$62),"",ReferenceData!$Y$62),"")</f>
        <v>132.32</v>
      </c>
      <c r="Z62">
        <f ca="1">IFERROR(IF(0=LEN(ReferenceData!$Z$62),"",ReferenceData!$Z$62),"")</f>
        <v>132.06100000000001</v>
      </c>
      <c r="AA62">
        <f ca="1">IFERROR(IF(0=LEN(ReferenceData!$AA$62),"",ReferenceData!$AA$62),"")</f>
        <v>134.959</v>
      </c>
      <c r="AB62">
        <f ca="1">IFERROR(IF(0=LEN(ReferenceData!$AB$62),"",ReferenceData!$AB$62),"")</f>
        <v>138.85</v>
      </c>
      <c r="AC62">
        <f ca="1">IFERROR(IF(0=LEN(ReferenceData!$AC$62),"",ReferenceData!$AC$62),"")</f>
        <v>138.98699999999999</v>
      </c>
      <c r="AD62">
        <f ca="1">IFERROR(IF(0=LEN(ReferenceData!$AD$62),"",ReferenceData!$AD$62),"")</f>
        <v>142.886</v>
      </c>
      <c r="AE62">
        <f ca="1">IFERROR(IF(0=LEN(ReferenceData!$AE$62),"",ReferenceData!$AE$62),"")</f>
        <v>142.88499999999999</v>
      </c>
      <c r="AF62">
        <f ca="1">IFERROR(IF(0=LEN(ReferenceData!$AF$62),"",ReferenceData!$AF$62),"")</f>
        <v>146.04499999999999</v>
      </c>
      <c r="AG62">
        <f ca="1">IFERROR(IF(0=LEN(ReferenceData!$AG$62),"",ReferenceData!$AG$62),"")</f>
        <v>147.36099999999999</v>
      </c>
      <c r="AH62">
        <f ca="1">IFERROR(IF(0=LEN(ReferenceData!$AH$62),"",ReferenceData!$AH$62),"")</f>
        <v>152.32300000000001</v>
      </c>
      <c r="AI62">
        <f ca="1">IFERROR(IF(0=LEN(ReferenceData!$AI$62),"",ReferenceData!$AI$62),"")</f>
        <v>140.64099999999999</v>
      </c>
      <c r="AJ62">
        <f ca="1">IFERROR(IF(0=LEN(ReferenceData!$AJ$62),"",ReferenceData!$AJ$62),"")</f>
        <v>164.59700000000001</v>
      </c>
      <c r="AK62">
        <f ca="1">IFERROR(IF(0=LEN(ReferenceData!$AK$62),"",ReferenceData!$AK$62),"")</f>
        <v>162</v>
      </c>
      <c r="AL62">
        <f ca="1">IFERROR(IF(0=LEN(ReferenceData!$AL$62),"",ReferenceData!$AL$62),"")</f>
        <v>165.61</v>
      </c>
      <c r="AM62">
        <f ca="1">IFERROR(IF(0=LEN(ReferenceData!$AM$62),"",ReferenceData!$AM$62),"")</f>
        <v>164.08199999999999</v>
      </c>
      <c r="AN62">
        <f ca="1">IFERROR(IF(0=LEN(ReferenceData!$AN$62),"",ReferenceData!$AN$62),"")</f>
        <v>164.446</v>
      </c>
      <c r="AO62" t="str">
        <f ca="1">IFERROR(IF(0=LEN(ReferenceData!$AO$62),"",ReferenceData!$AO$62),"")</f>
        <v/>
      </c>
      <c r="AP62" t="str">
        <f ca="1">IFERROR(IF(0=LEN(ReferenceData!$AP$62),"",ReferenceData!$AP$62),"")</f>
        <v/>
      </c>
      <c r="AQ62" t="str">
        <f ca="1">IFERROR(IF(0=LEN(ReferenceData!$AQ$62),"",ReferenceData!$AQ$62),"")</f>
        <v/>
      </c>
      <c r="AR62" t="str">
        <f ca="1">IFERROR(IF(0=LEN(ReferenceData!$AR$62),"",ReferenceData!$AR$62),"")</f>
        <v/>
      </c>
      <c r="AS62" t="str">
        <f ca="1">IFERROR(IF(0=LEN(ReferenceData!$AS$62),"",ReferenceData!$AS$62),"")</f>
        <v/>
      </c>
      <c r="AT62" t="str">
        <f ca="1">IFERROR(IF(0=LEN(ReferenceData!$AT$62),"",ReferenceData!$AT$62),"")</f>
        <v/>
      </c>
      <c r="AU62" t="str">
        <f ca="1">IFERROR(IF(0=LEN(ReferenceData!$AU$62),"",ReferenceData!$AU$62),"")</f>
        <v/>
      </c>
      <c r="AV62" t="str">
        <f ca="1">IFERROR(IF(0=LEN(ReferenceData!$AV$62),"",ReferenceData!$AV$62),"")</f>
        <v/>
      </c>
      <c r="AW62" t="str">
        <f ca="1">IFERROR(IF(0=LEN(ReferenceData!$AW$62),"",ReferenceData!$AW$62),"")</f>
        <v/>
      </c>
      <c r="AX62" t="str">
        <f ca="1">IFERROR(IF(0=LEN(ReferenceData!$AX$62),"",ReferenceData!$AX$62),"")</f>
        <v/>
      </c>
      <c r="AY62" t="str">
        <f ca="1">IFERROR(IF(0=LEN(ReferenceData!$AY$62),"",ReferenceData!$AY$62),"")</f>
        <v/>
      </c>
      <c r="AZ62" t="str">
        <f ca="1">IFERROR(IF(0=LEN(ReferenceData!$AZ$62),"",ReferenceData!$AZ$62),"")</f>
        <v/>
      </c>
      <c r="BA62" t="str">
        <f ca="1">IFERROR(IF(0=LEN(ReferenceData!$BA$62),"",ReferenceData!$BA$62),"")</f>
        <v/>
      </c>
      <c r="BB62" t="str">
        <f ca="1">IFERROR(IF(0=LEN(ReferenceData!$BB$62),"",ReferenceData!$BB$62),"")</f>
        <v/>
      </c>
      <c r="BC62" t="str">
        <f ca="1">IFERROR(IF(0=LEN(ReferenceData!$BC$62),"",ReferenceData!$BC$62),"")</f>
        <v/>
      </c>
      <c r="BD62" t="str">
        <f ca="1">IFERROR(IF(0=LEN(ReferenceData!$BD$62),"",ReferenceData!$BD$62),"")</f>
        <v/>
      </c>
      <c r="BE62" t="str">
        <f ca="1">IFERROR(IF(0=LEN(ReferenceData!$BE$62),"",ReferenceData!$BE$62),"")</f>
        <v/>
      </c>
      <c r="BF62" t="str">
        <f ca="1">IFERROR(IF(0=LEN(ReferenceData!$BF$62),"",ReferenceData!$BF$62),"")</f>
        <v/>
      </c>
      <c r="BG62" t="str">
        <f ca="1">IFERROR(IF(0=LEN(ReferenceData!$BG$62),"",ReferenceData!$BG$62),"")</f>
        <v/>
      </c>
      <c r="BH62" t="str">
        <f ca="1">IFERROR(IF(0=LEN(ReferenceData!$BH$62),"",ReferenceData!$BH$62),"")</f>
        <v/>
      </c>
      <c r="BI62" t="str">
        <f ca="1">IFERROR(IF(0=LEN(ReferenceData!$BI$62),"",ReferenceData!$BI$62),"")</f>
        <v/>
      </c>
      <c r="BJ62" t="str">
        <f ca="1">IFERROR(IF(0=LEN(ReferenceData!$BJ$62),"",ReferenceData!$BJ$62),"")</f>
        <v/>
      </c>
      <c r="BK62" t="str">
        <f ca="1">IFERROR(IF(0=LEN(ReferenceData!$BK$62),"",ReferenceData!$BK$62),"")</f>
        <v/>
      </c>
      <c r="BL62" t="str">
        <f ca="1">IFERROR(IF(0=LEN(ReferenceData!$BL$62),"",ReferenceData!$BL$62),"")</f>
        <v/>
      </c>
      <c r="BM62" t="str">
        <f ca="1">IFERROR(IF(0=LEN(ReferenceData!$BM$62),"",ReferenceData!$BM$62),"")</f>
        <v/>
      </c>
    </row>
    <row r="63" spans="1:65">
      <c r="A63" t="str">
        <f>IFERROR(IF(0=LEN(ReferenceData!$A$63),"",ReferenceData!$A$63),"")</f>
        <v xml:space="preserve">    Simon Property Group Inc</v>
      </c>
      <c r="B63" t="str">
        <f>IFERROR(IF(0=LEN(ReferenceData!$B$63),"",ReferenceData!$B$63),"")</f>
        <v>SPG US Equity</v>
      </c>
      <c r="C63" t="str">
        <f>IFERROR(IF(0=LEN(ReferenceData!$C$63),"",ReferenceData!$C$63),"")</f>
        <v>IS010</v>
      </c>
      <c r="D63" t="str">
        <f>IFERROR(IF(0=LEN(ReferenceData!$D$63),"",ReferenceData!$D$63),"")</f>
        <v>SALES_REV_TURN</v>
      </c>
      <c r="E63" t="str">
        <f>IFERROR(IF(0=LEN(ReferenceData!$E$63),"",ReferenceData!$E$63),"")</f>
        <v>动态</v>
      </c>
      <c r="F63" t="str">
        <f ca="1">IFERROR(IF(0=LEN(ReferenceData!$F$63),"",ReferenceData!$F$63),"")</f>
        <v/>
      </c>
      <c r="G63">
        <f ca="1">IFERROR(IF(0=LEN(ReferenceData!$G$63),"",ReferenceData!$G$63),"")</f>
        <v>1427.692</v>
      </c>
      <c r="H63">
        <f ca="1">IFERROR(IF(0=LEN(ReferenceData!$H$63),"",ReferenceData!$H$63),"")</f>
        <v>1403.6379999999999</v>
      </c>
      <c r="I63">
        <f ca="1">IFERROR(IF(0=LEN(ReferenceData!$I$63),"",ReferenceData!$I$63),"")</f>
        <v>1361.548</v>
      </c>
      <c r="J63">
        <f ca="1">IFERROR(IF(0=LEN(ReferenceData!$J$63),"",ReferenceData!$J$63),"")</f>
        <v>1345.7629999999999</v>
      </c>
      <c r="K63">
        <f ca="1">IFERROR(IF(0=LEN(ReferenceData!$K$63),"",ReferenceData!$K$63),"")</f>
        <v>1425.9659999999999</v>
      </c>
      <c r="L63">
        <f ca="1">IFERROR(IF(0=LEN(ReferenceData!$L$63),"",ReferenceData!$L$63),"")</f>
        <v>1357.1679999999999</v>
      </c>
      <c r="M63">
        <f ca="1">IFERROR(IF(0=LEN(ReferenceData!$M$63),"",ReferenceData!$M$63),"")</f>
        <v>1315.38</v>
      </c>
      <c r="N63">
        <f ca="1">IFERROR(IF(0=LEN(ReferenceData!$N$63),"",ReferenceData!$N$63),"")</f>
        <v>1336.7149999999999</v>
      </c>
      <c r="O63">
        <f ca="1">IFERROR(IF(0=LEN(ReferenceData!$O$63),"",ReferenceData!$O$63),"")</f>
        <v>1380.6210000000001</v>
      </c>
      <c r="P63">
        <f ca="1">IFERROR(IF(0=LEN(ReferenceData!$P$63),"",ReferenceData!$P$63),"")</f>
        <v>1320.1369999999999</v>
      </c>
      <c r="Q63">
        <f ca="1">IFERROR(IF(0=LEN(ReferenceData!$Q$63),"",ReferenceData!$Q$63),"")</f>
        <v>1349.11</v>
      </c>
      <c r="R63">
        <f ca="1">IFERROR(IF(0=LEN(ReferenceData!$R$63),"",ReferenceData!$R$63),"")</f>
        <v>1216.2349999999999</v>
      </c>
      <c r="S63">
        <f ca="1">IFERROR(IF(0=LEN(ReferenceData!$S$63),"",ReferenceData!$S$63),"")</f>
        <v>1297.1199999999999</v>
      </c>
      <c r="T63">
        <f ca="1">IFERROR(IF(0=LEN(ReferenceData!$T$63),"",ReferenceData!$T$63),"")</f>
        <v>1234.694</v>
      </c>
      <c r="U63">
        <f ca="1">IFERROR(IF(0=LEN(ReferenceData!$U$63),"",ReferenceData!$U$63),"")</f>
        <v>1181.982</v>
      </c>
      <c r="V63">
        <f ca="1">IFERROR(IF(0=LEN(ReferenceData!$V$63),"",ReferenceData!$V$63),"")</f>
        <v>1157.0219999999999</v>
      </c>
      <c r="W63">
        <f ca="1">IFERROR(IF(0=LEN(ReferenceData!$W$63),"",ReferenceData!$W$63),"")</f>
        <v>1251.155</v>
      </c>
      <c r="X63">
        <f ca="1">IFERROR(IF(0=LEN(ReferenceData!$X$63),"",ReferenceData!$X$63),"")</f>
        <v>1146.877</v>
      </c>
      <c r="Y63">
        <f ca="1">IFERROR(IF(0=LEN(ReferenceData!$Y$63),"",ReferenceData!$Y$63),"")</f>
        <v>1084.9929999999999</v>
      </c>
      <c r="Z63">
        <f ca="1">IFERROR(IF(0=LEN(ReferenceData!$Z$63),"",ReferenceData!$Z$63),"")</f>
        <v>1215.058</v>
      </c>
      <c r="AA63">
        <f ca="1">IFERROR(IF(0=LEN(ReferenceData!$AA$63),"",ReferenceData!$AA$63),"")</f>
        <v>1344.431</v>
      </c>
      <c r="AB63">
        <f ca="1">IFERROR(IF(0=LEN(ReferenceData!$AB$63),"",ReferenceData!$AB$63),"")</f>
        <v>1228.617</v>
      </c>
      <c r="AC63">
        <f ca="1">IFERROR(IF(0=LEN(ReferenceData!$AC$63),"",ReferenceData!$AC$63),"")</f>
        <v>1188.066</v>
      </c>
      <c r="AD63">
        <f ca="1">IFERROR(IF(0=LEN(ReferenceData!$AD$63),"",ReferenceData!$AD$63),"")</f>
        <v>1118.9690000000001</v>
      </c>
      <c r="AE63">
        <f ca="1">IFERROR(IF(0=LEN(ReferenceData!$AE$63),"",ReferenceData!$AE$63),"")</f>
        <v>1171.337</v>
      </c>
      <c r="AF63">
        <f ca="1">IFERROR(IF(0=LEN(ReferenceData!$AF$63),"",ReferenceData!$AF$63),"")</f>
        <v>1074.3599999999999</v>
      </c>
      <c r="AG63">
        <f ca="1">IFERROR(IF(0=LEN(ReferenceData!$AG$63),"",ReferenceData!$AG$63),"")</f>
        <v>1040.8610000000001</v>
      </c>
      <c r="AH63">
        <f ca="1">IFERROR(IF(0=LEN(ReferenceData!$AH$63),"",ReferenceData!$AH$63),"")</f>
        <v>1019.874</v>
      </c>
      <c r="AI63">
        <f ca="1">IFERROR(IF(0=LEN(ReferenceData!$AI$63),"",ReferenceData!$AI$63),"")</f>
        <v>1119.7180000000001</v>
      </c>
      <c r="AJ63">
        <f ca="1">IFERROR(IF(0=LEN(ReferenceData!$AJ$63),"",ReferenceData!$AJ$63),"")</f>
        <v>979.27499999999998</v>
      </c>
      <c r="AK63">
        <f ca="1">IFERROR(IF(0=LEN(ReferenceData!$AK$63),"",ReferenceData!$AK$63),"")</f>
        <v>933.56600000000003</v>
      </c>
      <c r="AL63">
        <f ca="1">IFERROR(IF(0=LEN(ReferenceData!$AL$63),"",ReferenceData!$AL$63),"")</f>
        <v>925.07100000000003</v>
      </c>
      <c r="AM63">
        <f ca="1">IFERROR(IF(0=LEN(ReferenceData!$AM$63),"",ReferenceData!$AM$63),"")</f>
        <v>1028.18</v>
      </c>
      <c r="AN63">
        <f ca="1">IFERROR(IF(0=LEN(ReferenceData!$AN$63),"",ReferenceData!$AN$63),"")</f>
        <v>924.93200000000002</v>
      </c>
      <c r="AO63">
        <f ca="1">IFERROR(IF(0=LEN(ReferenceData!$AO$63),"",ReferenceData!$AO$63),"")</f>
        <v>903.61199999999997</v>
      </c>
      <c r="AP63">
        <f ca="1">IFERROR(IF(0=LEN(ReferenceData!$AP$63),"",ReferenceData!$AP$63),"")</f>
        <v>918.49199999999996</v>
      </c>
      <c r="AQ63">
        <f ca="1">IFERROR(IF(0=LEN(ReferenceData!$AQ$63),"",ReferenceData!$AQ$63),"")</f>
        <v>1029.316</v>
      </c>
      <c r="AR63">
        <f ca="1">IFERROR(IF(0=LEN(ReferenceData!$AR$63),"",ReferenceData!$AR$63),"")</f>
        <v>935.59400000000005</v>
      </c>
      <c r="AS63">
        <f ca="1">IFERROR(IF(0=LEN(ReferenceData!$AS$63),"",ReferenceData!$AS$63),"")</f>
        <v>922.947</v>
      </c>
      <c r="AT63">
        <f ca="1">IFERROR(IF(0=LEN(ReferenceData!$AT$63),"",ReferenceData!$AT$63),"")</f>
        <v>895.298</v>
      </c>
      <c r="AU63">
        <f ca="1">IFERROR(IF(0=LEN(ReferenceData!$AU$63),"",ReferenceData!$AU$63),"")</f>
        <v>1035.5809999999999</v>
      </c>
      <c r="AV63">
        <f ca="1">IFERROR(IF(0=LEN(ReferenceData!$AV$63),"",ReferenceData!$AV$63),"")</f>
        <v>907.14499999999998</v>
      </c>
      <c r="AW63">
        <f ca="1">IFERROR(IF(0=LEN(ReferenceData!$AW$63),"",ReferenceData!$AW$63),"")</f>
        <v>855.93200000000002</v>
      </c>
      <c r="AX63">
        <f ca="1">IFERROR(IF(0=LEN(ReferenceData!$AX$63),"",ReferenceData!$AX$63),"")</f>
        <v>852.14099999999996</v>
      </c>
      <c r="AY63">
        <f ca="1">IFERROR(IF(0=LEN(ReferenceData!$AY$63),"",ReferenceData!$AY$63),"")</f>
        <v>927.03099999999995</v>
      </c>
      <c r="AZ63">
        <f ca="1">IFERROR(IF(0=LEN(ReferenceData!$AZ$63),"",ReferenceData!$AZ$63),"")</f>
        <v>818.73599999999999</v>
      </c>
      <c r="BA63">
        <f ca="1">IFERROR(IF(0=LEN(ReferenceData!$BA$63),"",ReferenceData!$BA$63),"")</f>
        <v>798.73800000000006</v>
      </c>
      <c r="BB63">
        <f ca="1">IFERROR(IF(0=LEN(ReferenceData!$BB$63),"",ReferenceData!$BB$63),"")</f>
        <v>787.649</v>
      </c>
      <c r="BC63">
        <f ca="1">IFERROR(IF(0=LEN(ReferenceData!$BC$63),"",ReferenceData!$BC$63),"")</f>
        <v>889.79</v>
      </c>
      <c r="BD63">
        <f ca="1">IFERROR(IF(0=LEN(ReferenceData!$BD$63),"",ReferenceData!$BD$63),"")</f>
        <v>783.00900000000001</v>
      </c>
      <c r="BE63">
        <f ca="1">IFERROR(IF(0=LEN(ReferenceData!$BE$63),"",ReferenceData!$BE$63),"")</f>
        <v>752.08399999999995</v>
      </c>
      <c r="BF63">
        <f ca="1">IFERROR(IF(0=LEN(ReferenceData!$BF$63),"",ReferenceData!$BF$63),"")</f>
        <v>741.97</v>
      </c>
      <c r="BG63">
        <f ca="1">IFERROR(IF(0=LEN(ReferenceData!$BG$63),"",ReferenceData!$BG$63),"")</f>
        <v>821.37699999999995</v>
      </c>
      <c r="BH63">
        <f ca="1">IFERROR(IF(0=LEN(ReferenceData!$BH$63),"",ReferenceData!$BH$63),"")</f>
        <v>613.32600000000002</v>
      </c>
      <c r="BI63">
        <f ca="1">IFERROR(IF(0=LEN(ReferenceData!$BI$63),"",ReferenceData!$BI$63),"")</f>
        <v>601.58299999999997</v>
      </c>
      <c r="BJ63">
        <f ca="1">IFERROR(IF(0=LEN(ReferenceData!$BJ$63),"",ReferenceData!$BJ$63),"")</f>
        <v>584.31299999999999</v>
      </c>
      <c r="BK63">
        <f ca="1">IFERROR(IF(0=LEN(ReferenceData!$BK$63),"",ReferenceData!$BK$63),"")</f>
        <v>632.96600000000001</v>
      </c>
      <c r="BL63">
        <f ca="1">IFERROR(IF(0=LEN(ReferenceData!$BL$63),"",ReferenceData!$BL$63),"")</f>
        <v>559.55399999999997</v>
      </c>
      <c r="BM63">
        <f ca="1">IFERROR(IF(0=LEN(ReferenceData!$BM$63),"",ReferenceData!$BM$63),"")</f>
        <v>556.22699999999998</v>
      </c>
    </row>
    <row r="64" spans="1:65">
      <c r="A64" t="str">
        <f>IFERROR(IF(0=LEN(ReferenceData!$A$64),"",ReferenceData!$A$64),"")</f>
        <v xml:space="preserve">    Tanger Factory Outlet Centers</v>
      </c>
      <c r="B64" t="str">
        <f>IFERROR(IF(0=LEN(ReferenceData!$B$64),"",ReferenceData!$B$64),"")</f>
        <v>SKT US Equity</v>
      </c>
      <c r="C64" t="str">
        <f>IFERROR(IF(0=LEN(ReferenceData!$C$64),"",ReferenceData!$C$64),"")</f>
        <v>IS010</v>
      </c>
      <c r="D64" t="str">
        <f>IFERROR(IF(0=LEN(ReferenceData!$D$64),"",ReferenceData!$D$64),"")</f>
        <v>SALES_REV_TURN</v>
      </c>
      <c r="E64" t="str">
        <f>IFERROR(IF(0=LEN(ReferenceData!$E$64),"",ReferenceData!$E$64),"")</f>
        <v>动态</v>
      </c>
      <c r="F64" t="str">
        <f ca="1">IFERROR(IF(0=LEN(ReferenceData!$F$64),"",ReferenceData!$F$64),"")</f>
        <v/>
      </c>
      <c r="G64">
        <f ca="1">IFERROR(IF(0=LEN(ReferenceData!$G$64),"",ReferenceData!$G$64),"")</f>
        <v>126.48699999999999</v>
      </c>
      <c r="H64">
        <f ca="1">IFERROR(IF(0=LEN(ReferenceData!$H$64),"",ReferenceData!$H$64),"")</f>
        <v>120.765</v>
      </c>
      <c r="I64">
        <f ca="1">IFERROR(IF(0=LEN(ReferenceData!$I$64),"",ReferenceData!$I$64),"")</f>
        <v>119.614</v>
      </c>
      <c r="J64">
        <f ca="1">IFERROR(IF(0=LEN(ReferenceData!$J$64),"",ReferenceData!$J$64),"")</f>
        <v>121.36799999999999</v>
      </c>
      <c r="K64">
        <f ca="1">IFERROR(IF(0=LEN(ReferenceData!$K$64),"",ReferenceData!$K$64),"")</f>
        <v>124.559</v>
      </c>
      <c r="L64">
        <f ca="1">IFERROR(IF(0=LEN(ReferenceData!$L$64),"",ReferenceData!$L$64),"")</f>
        <v>119.137</v>
      </c>
      <c r="M64">
        <f ca="1">IFERROR(IF(0=LEN(ReferenceData!$M$64),"",ReferenceData!$M$64),"")</f>
        <v>111.333</v>
      </c>
      <c r="N64">
        <f ca="1">IFERROR(IF(0=LEN(ReferenceData!$N$64),"",ReferenceData!$N$64),"")</f>
        <v>110.80500000000001</v>
      </c>
      <c r="O64">
        <f ca="1">IFERROR(IF(0=LEN(ReferenceData!$O$64),"",ReferenceData!$O$64),"")</f>
        <v>112.801</v>
      </c>
      <c r="P64">
        <f ca="1">IFERROR(IF(0=LEN(ReferenceData!$P$64),"",ReferenceData!$P$64),"")</f>
        <v>112.90600000000001</v>
      </c>
      <c r="Q64">
        <f ca="1">IFERROR(IF(0=LEN(ReferenceData!$Q$64),"",ReferenceData!$Q$64),"")</f>
        <v>107.736</v>
      </c>
      <c r="R64">
        <f ca="1">IFERROR(IF(0=LEN(ReferenceData!$R$64),"",ReferenceData!$R$64),"")</f>
        <v>105.926</v>
      </c>
      <c r="S64">
        <f ca="1">IFERROR(IF(0=LEN(ReferenceData!$S$64),"",ReferenceData!$S$64),"")</f>
        <v>108.374</v>
      </c>
      <c r="T64">
        <f ca="1">IFERROR(IF(0=LEN(ReferenceData!$T$64),"",ReferenceData!$T$64),"")</f>
        <v>105.18899999999999</v>
      </c>
      <c r="U64">
        <f ca="1">IFERROR(IF(0=LEN(ReferenceData!$U$64),"",ReferenceData!$U$64),"")</f>
        <v>102.212</v>
      </c>
      <c r="V64">
        <f ca="1">IFERROR(IF(0=LEN(ReferenceData!$V$64),"",ReferenceData!$V$64),"")</f>
        <v>102.782</v>
      </c>
      <c r="W64">
        <f ca="1">IFERROR(IF(0=LEN(ReferenceData!$W$64),"",ReferenceData!$W$64),"")</f>
        <v>107.325</v>
      </c>
      <c r="X64">
        <f ca="1">IFERROR(IF(0=LEN(ReferenceData!$X$64),"",ReferenceData!$X$64),"")</f>
        <v>97.903000000000006</v>
      </c>
      <c r="Y64">
        <f ca="1">IFERROR(IF(0=LEN(ReferenceData!$Y$64),"",ReferenceData!$Y$64),"")</f>
        <v>91.015000000000001</v>
      </c>
      <c r="Z64">
        <f ca="1">IFERROR(IF(0=LEN(ReferenceData!$Z$64),"",ReferenceData!$Z$64),"")</f>
        <v>88.688999999999993</v>
      </c>
      <c r="AA64">
        <f ca="1">IFERROR(IF(0=LEN(ReferenceData!$AA$64),"",ReferenceData!$AA$64),"")</f>
        <v>94.936000000000007</v>
      </c>
      <c r="AB64">
        <f ca="1">IFERROR(IF(0=LEN(ReferenceData!$AB$64),"",ReferenceData!$AB$64),"")</f>
        <v>90.483000000000004</v>
      </c>
      <c r="AC64">
        <f ca="1">IFERROR(IF(0=LEN(ReferenceData!$AC$64),"",ReferenceData!$AC$64),"")</f>
        <v>87.334999999999994</v>
      </c>
      <c r="AD64">
        <f ca="1">IFERROR(IF(0=LEN(ReferenceData!$AD$64),"",ReferenceData!$AD$64),"")</f>
        <v>84.242999999999995</v>
      </c>
      <c r="AE64">
        <f ca="1">IFERROR(IF(0=LEN(ReferenceData!$AE$64),"",ReferenceData!$AE$64),"")</f>
        <v>89.14</v>
      </c>
      <c r="AF64">
        <f ca="1">IFERROR(IF(0=LEN(ReferenceData!$AF$64),"",ReferenceData!$AF$64),"")</f>
        <v>83.242999999999995</v>
      </c>
      <c r="AG64">
        <f ca="1">IFERROR(IF(0=LEN(ReferenceData!$AG$64),"",ReferenceData!$AG$64),"")</f>
        <v>72.100999999999999</v>
      </c>
      <c r="AH64">
        <f ca="1">IFERROR(IF(0=LEN(ReferenceData!$AH$64),"",ReferenceData!$AH$64),"")</f>
        <v>70.739000000000004</v>
      </c>
      <c r="AI64">
        <f ca="1">IFERROR(IF(0=LEN(ReferenceData!$AI$64),"",ReferenceData!$AI$64),"")</f>
        <v>75.492999999999995</v>
      </c>
      <c r="AJ64">
        <f ca="1">IFERROR(IF(0=LEN(ReferenceData!$AJ$64),"",ReferenceData!$AJ$64),"")</f>
        <v>69.472999999999999</v>
      </c>
      <c r="AK64">
        <f ca="1">IFERROR(IF(0=LEN(ReferenceData!$AK$64),"",ReferenceData!$AK$64),"")</f>
        <v>65.295000000000002</v>
      </c>
      <c r="AL64">
        <f ca="1">IFERROR(IF(0=LEN(ReferenceData!$AL$64),"",ReferenceData!$AL$64),"")</f>
        <v>66.042000000000002</v>
      </c>
      <c r="AM64">
        <f ca="1">IFERROR(IF(0=LEN(ReferenceData!$AM$64),"",ReferenceData!$AM$64),"")</f>
        <v>71.296000000000006</v>
      </c>
      <c r="AN64">
        <f ca="1">IFERROR(IF(0=LEN(ReferenceData!$AN$64),"",ReferenceData!$AN$64),"")</f>
        <v>70.048000000000002</v>
      </c>
      <c r="AO64">
        <f ca="1">IFERROR(IF(0=LEN(ReferenceData!$AO$64),"",ReferenceData!$AO$64),"")</f>
        <v>64.400000000000006</v>
      </c>
      <c r="AP64">
        <f ca="1">IFERROR(IF(0=LEN(ReferenceData!$AP$64),"",ReferenceData!$AP$64),"")</f>
        <v>65.158000000000001</v>
      </c>
      <c r="AQ64">
        <f ca="1">IFERROR(IF(0=LEN(ReferenceData!$AQ$64),"",ReferenceData!$AQ$64),"")</f>
        <v>68.337000000000003</v>
      </c>
      <c r="AR64">
        <f ca="1">IFERROR(IF(0=LEN(ReferenceData!$AR$64),"",ReferenceData!$AR$64),"")</f>
        <v>62.773000000000003</v>
      </c>
      <c r="AS64">
        <f ca="1">IFERROR(IF(0=LEN(ReferenceData!$AS$64),"",ReferenceData!$AS$64),"")</f>
        <v>57.005000000000003</v>
      </c>
      <c r="AT64">
        <f ca="1">IFERROR(IF(0=LEN(ReferenceData!$AT$64),"",ReferenceData!$AT$64),"")</f>
        <v>57.276000000000003</v>
      </c>
      <c r="AU64">
        <f ca="1">IFERROR(IF(0=LEN(ReferenceData!$AU$64),"",ReferenceData!$AU$64),"")</f>
        <v>61.978000000000002</v>
      </c>
      <c r="AV64">
        <f ca="1">IFERROR(IF(0=LEN(ReferenceData!$AV$64),"",ReferenceData!$AV$64),"")</f>
        <v>58.386000000000003</v>
      </c>
      <c r="AW64">
        <f ca="1">IFERROR(IF(0=LEN(ReferenceData!$AW$64),"",ReferenceData!$AW$64),"")</f>
        <v>55.334000000000003</v>
      </c>
      <c r="AX64">
        <f ca="1">IFERROR(IF(0=LEN(ReferenceData!$AX$64),"",ReferenceData!$AX$64),"")</f>
        <v>53.067</v>
      </c>
      <c r="AY64">
        <f ca="1">IFERROR(IF(0=LEN(ReferenceData!$AY$64),"",ReferenceData!$AY$64),"")</f>
        <v>58.335000000000001</v>
      </c>
      <c r="AZ64">
        <f ca="1">IFERROR(IF(0=LEN(ReferenceData!$AZ$64),"",ReferenceData!$AZ$64),"")</f>
        <v>54.262</v>
      </c>
      <c r="BA64">
        <f ca="1">IFERROR(IF(0=LEN(ReferenceData!$BA$64),"",ReferenceData!$BA$64),"")</f>
        <v>50.527999999999999</v>
      </c>
      <c r="BB64">
        <f ca="1">IFERROR(IF(0=LEN(ReferenceData!$BB$64),"",ReferenceData!$BB$64),"")</f>
        <v>48.198</v>
      </c>
      <c r="BC64">
        <f ca="1">IFERROR(IF(0=LEN(ReferenceData!$BC$64),"",ReferenceData!$BC$64),"")</f>
        <v>53.625999999999998</v>
      </c>
      <c r="BD64">
        <f ca="1">IFERROR(IF(0=LEN(ReferenceData!$BD$64),"",ReferenceData!$BD$64),"")</f>
        <v>50.593000000000004</v>
      </c>
      <c r="BE64">
        <f ca="1">IFERROR(IF(0=LEN(ReferenceData!$BE$64),"",ReferenceData!$BE$64),"")</f>
        <v>47.576999999999998</v>
      </c>
      <c r="BF64">
        <f ca="1">IFERROR(IF(0=LEN(ReferenceData!$BF$64),"",ReferenceData!$BF$64),"")</f>
        <v>46.965000000000003</v>
      </c>
      <c r="BG64">
        <f ca="1">IFERROR(IF(0=LEN(ReferenceData!$BG$64),"",ReferenceData!$BG$64),"")</f>
        <v>51.807000000000002</v>
      </c>
      <c r="BH64">
        <f ca="1">IFERROR(IF(0=LEN(ReferenceData!$BH$64),"",ReferenceData!$BH$64),"")</f>
        <v>49.043999999999997</v>
      </c>
      <c r="BI64">
        <f ca="1">IFERROR(IF(0=LEN(ReferenceData!$BI$64),"",ReferenceData!$BI$64),"")</f>
        <v>48.965000000000003</v>
      </c>
      <c r="BJ64">
        <f ca="1">IFERROR(IF(0=LEN(ReferenceData!$BJ$64),"",ReferenceData!$BJ$64),"")</f>
        <v>45.779000000000003</v>
      </c>
      <c r="BK64">
        <f ca="1">IFERROR(IF(0=LEN(ReferenceData!$BK$64),"",ReferenceData!$BK$64),"")</f>
        <v>34.166999820000001</v>
      </c>
      <c r="BL64">
        <f ca="1">IFERROR(IF(0=LEN(ReferenceData!$BL$64),"",ReferenceData!$BL$64),"")</f>
        <v>28.966000000000001</v>
      </c>
      <c r="BM64">
        <f ca="1">IFERROR(IF(0=LEN(ReferenceData!$BM$64),"",ReferenceData!$BM$64),"")</f>
        <v>28.872</v>
      </c>
    </row>
    <row r="65" spans="1:65">
      <c r="A65" t="str">
        <f>IFERROR(IF(0=LEN(ReferenceData!$A$65),"",ReferenceData!$A$65),"")</f>
        <v xml:space="preserve">    VEREIT Inc</v>
      </c>
      <c r="B65" t="str">
        <f>IFERROR(IF(0=LEN(ReferenceData!$B$65),"",ReferenceData!$B$65),"")</f>
        <v>VER US Equity</v>
      </c>
      <c r="C65" t="str">
        <f>IFERROR(IF(0=LEN(ReferenceData!$C$65),"",ReferenceData!$C$65),"")</f>
        <v>IS010</v>
      </c>
      <c r="D65" t="str">
        <f>IFERROR(IF(0=LEN(ReferenceData!$D$65),"",ReferenceData!$D$65),"")</f>
        <v>SALES_REV_TURN</v>
      </c>
      <c r="E65" t="str">
        <f>IFERROR(IF(0=LEN(ReferenceData!$E$65),"",ReferenceData!$E$65),"")</f>
        <v>动态</v>
      </c>
      <c r="F65" t="str">
        <f ca="1">IFERROR(IF(0=LEN(ReferenceData!$F$65),"",ReferenceData!$F$65),"")</f>
        <v/>
      </c>
      <c r="G65">
        <f ca="1">IFERROR(IF(0=LEN(ReferenceData!$G$65),"",ReferenceData!$G$65),"")</f>
        <v>316.59899999999999</v>
      </c>
      <c r="H65">
        <f ca="1">IFERROR(IF(0=LEN(ReferenceData!$H$65),"",ReferenceData!$H$65),"")</f>
        <v>333.72800000000001</v>
      </c>
      <c r="I65">
        <f ca="1">IFERROR(IF(0=LEN(ReferenceData!$I$65),"",ReferenceData!$I$65),"")</f>
        <v>336.93</v>
      </c>
      <c r="J65">
        <f ca="1">IFERROR(IF(0=LEN(ReferenceData!$J$65),"",ReferenceData!$J$65),"")</f>
        <v>348.029</v>
      </c>
      <c r="K65">
        <f ca="1">IFERROR(IF(0=LEN(ReferenceData!$K$65),"",ReferenceData!$K$65),"")</f>
        <v>351.86900000000003</v>
      </c>
      <c r="L65">
        <f ca="1">IFERROR(IF(0=LEN(ReferenceData!$L$65),"",ReferenceData!$L$65),"")</f>
        <v>362.91500000000002</v>
      </c>
      <c r="M65">
        <f ca="1">IFERROR(IF(0=LEN(ReferenceData!$M$65),"",ReferenceData!$M$65),"")</f>
        <v>371.01900000000001</v>
      </c>
      <c r="N65">
        <f ca="1">IFERROR(IF(0=LEN(ReferenceData!$N$65),"",ReferenceData!$N$65),"")</f>
        <v>369.02</v>
      </c>
      <c r="O65">
        <f ca="1">IFERROR(IF(0=LEN(ReferenceData!$O$65),"",ReferenceData!$O$65),"")</f>
        <v>383.37400000000002</v>
      </c>
      <c r="P65">
        <f ca="1">IFERROR(IF(0=LEN(ReferenceData!$P$65),"",ReferenceData!$P$65),"")</f>
        <v>384.95400000000001</v>
      </c>
      <c r="Q65">
        <f ca="1">IFERROR(IF(0=LEN(ReferenceData!$Q$65),"",ReferenceData!$Q$65),"")</f>
        <v>393.721</v>
      </c>
      <c r="R65">
        <f ca="1">IFERROR(IF(0=LEN(ReferenceData!$R$65),"",ReferenceData!$R$65),"")</f>
        <v>393.96800000000002</v>
      </c>
      <c r="S65">
        <f ca="1">IFERROR(IF(0=LEN(ReferenceData!$S$65),"",ReferenceData!$S$65),"")</f>
        <v>418.80700000000002</v>
      </c>
      <c r="T65">
        <f ca="1">IFERROR(IF(0=LEN(ReferenceData!$T$65),"",ReferenceData!$T$65),"")</f>
        <v>457.11799999999999</v>
      </c>
      <c r="U65">
        <f ca="1">IFERROR(IF(0=LEN(ReferenceData!$U$65),"",ReferenceData!$U$65),"")</f>
        <v>382.178</v>
      </c>
      <c r="V65">
        <f ca="1">IFERROR(IF(0=LEN(ReferenceData!$V$65),"",ReferenceData!$V$65),"")</f>
        <v>321.154</v>
      </c>
      <c r="W65">
        <f ca="1">IFERROR(IF(0=LEN(ReferenceData!$W$65),"",ReferenceData!$W$65),"")</f>
        <v>94.114999999999995</v>
      </c>
      <c r="X65">
        <f ca="1">IFERROR(IF(0=LEN(ReferenceData!$X$65),"",ReferenceData!$X$65),"")</f>
        <v>95.254999999999995</v>
      </c>
      <c r="Y65">
        <f ca="1">IFERROR(IF(0=LEN(ReferenceData!$Y$65),"",ReferenceData!$Y$65),"")</f>
        <v>54.945</v>
      </c>
      <c r="Z65">
        <f ca="1">IFERROR(IF(0=LEN(ReferenceData!$Z$65),"",ReferenceData!$Z$65),"")</f>
        <v>42.896999999999998</v>
      </c>
      <c r="AA65">
        <f ca="1">IFERROR(IF(0=LEN(ReferenceData!$AA$65),"",ReferenceData!$AA$65),"")</f>
        <v>30.074000000000002</v>
      </c>
      <c r="AB65">
        <f ca="1">IFERROR(IF(0=LEN(ReferenceData!$AB$65),"",ReferenceData!$AB$65),"")</f>
        <v>18.815999999999999</v>
      </c>
      <c r="AC65">
        <f ca="1">IFERROR(IF(0=LEN(ReferenceData!$AC$65),"",ReferenceData!$AC$65),"")</f>
        <v>11.43</v>
      </c>
      <c r="AD65">
        <f ca="1">IFERROR(IF(0=LEN(ReferenceData!$AD$65),"",ReferenceData!$AD$65),"")</f>
        <v>6.24</v>
      </c>
      <c r="AE65">
        <f ca="1">IFERROR(IF(0=LEN(ReferenceData!$AE$65),"",ReferenceData!$AE$65),"")</f>
        <v>0.90383599999999997</v>
      </c>
      <c r="AF65">
        <f ca="1">IFERROR(IF(0=LEN(ReferenceData!$AF$65),"",ReferenceData!$AF$65),"")</f>
        <v>0.57599999999999996</v>
      </c>
      <c r="AG65">
        <f ca="1">IFERROR(IF(0=LEN(ReferenceData!$AG$65),"",ReferenceData!$AG$65),"")</f>
        <v>0</v>
      </c>
      <c r="AH65">
        <f ca="1">IFERROR(IF(0=LEN(ReferenceData!$AH$65),"",ReferenceData!$AH$65),"")</f>
        <v>1.6951639999999999</v>
      </c>
      <c r="AI65" t="str">
        <f ca="1">IFERROR(IF(0=LEN(ReferenceData!$AI$65),"",ReferenceData!$AI$65),"")</f>
        <v/>
      </c>
      <c r="AJ65" t="str">
        <f ca="1">IFERROR(IF(0=LEN(ReferenceData!$AJ$65),"",ReferenceData!$AJ$65),"")</f>
        <v/>
      </c>
      <c r="AK65" t="str">
        <f ca="1">IFERROR(IF(0=LEN(ReferenceData!$AK$65),"",ReferenceData!$AK$65),"")</f>
        <v/>
      </c>
      <c r="AL65">
        <f ca="1">IFERROR(IF(0=LEN(ReferenceData!$AL$65),"",ReferenceData!$AL$65),"")</f>
        <v>1.749868</v>
      </c>
      <c r="AM65" t="str">
        <f ca="1">IFERROR(IF(0=LEN(ReferenceData!$AM$65),"",ReferenceData!$AM$65),"")</f>
        <v/>
      </c>
      <c r="AN65" t="str">
        <f ca="1">IFERROR(IF(0=LEN(ReferenceData!$AN$65),"",ReferenceData!$AN$65),"")</f>
        <v/>
      </c>
      <c r="AO65" t="str">
        <f ca="1">IFERROR(IF(0=LEN(ReferenceData!$AO$65),"",ReferenceData!$AO$65),"")</f>
        <v/>
      </c>
      <c r="AP65" t="str">
        <f ca="1">IFERROR(IF(0=LEN(ReferenceData!$AP$65),"",ReferenceData!$AP$65),"")</f>
        <v/>
      </c>
      <c r="AQ65" t="str">
        <f ca="1">IFERROR(IF(0=LEN(ReferenceData!$AQ$65),"",ReferenceData!$AQ$65),"")</f>
        <v/>
      </c>
      <c r="AR65" t="str">
        <f ca="1">IFERROR(IF(0=LEN(ReferenceData!$AR$65),"",ReferenceData!$AR$65),"")</f>
        <v/>
      </c>
      <c r="AS65" t="str">
        <f ca="1">IFERROR(IF(0=LEN(ReferenceData!$AS$65),"",ReferenceData!$AS$65),"")</f>
        <v/>
      </c>
      <c r="AT65" t="str">
        <f ca="1">IFERROR(IF(0=LEN(ReferenceData!$AT$65),"",ReferenceData!$AT$65),"")</f>
        <v/>
      </c>
      <c r="AU65" t="str">
        <f ca="1">IFERROR(IF(0=LEN(ReferenceData!$AU$65),"",ReferenceData!$AU$65),"")</f>
        <v/>
      </c>
      <c r="AV65" t="str">
        <f ca="1">IFERROR(IF(0=LEN(ReferenceData!$AV$65),"",ReferenceData!$AV$65),"")</f>
        <v/>
      </c>
      <c r="AW65" t="str">
        <f ca="1">IFERROR(IF(0=LEN(ReferenceData!$AW$65),"",ReferenceData!$AW$65),"")</f>
        <v/>
      </c>
      <c r="AX65" t="str">
        <f ca="1">IFERROR(IF(0=LEN(ReferenceData!$AX$65),"",ReferenceData!$AX$65),"")</f>
        <v/>
      </c>
      <c r="AY65" t="str">
        <f ca="1">IFERROR(IF(0=LEN(ReferenceData!$AY$65),"",ReferenceData!$AY$65),"")</f>
        <v/>
      </c>
      <c r="AZ65" t="str">
        <f ca="1">IFERROR(IF(0=LEN(ReferenceData!$AZ$65),"",ReferenceData!$AZ$65),"")</f>
        <v/>
      </c>
      <c r="BA65" t="str">
        <f ca="1">IFERROR(IF(0=LEN(ReferenceData!$BA$65),"",ReferenceData!$BA$65),"")</f>
        <v/>
      </c>
      <c r="BB65" t="str">
        <f ca="1">IFERROR(IF(0=LEN(ReferenceData!$BB$65),"",ReferenceData!$BB$65),"")</f>
        <v/>
      </c>
      <c r="BC65" t="str">
        <f ca="1">IFERROR(IF(0=LEN(ReferenceData!$BC$65),"",ReferenceData!$BC$65),"")</f>
        <v/>
      </c>
      <c r="BD65" t="str">
        <f ca="1">IFERROR(IF(0=LEN(ReferenceData!$BD$65),"",ReferenceData!$BD$65),"")</f>
        <v/>
      </c>
      <c r="BE65" t="str">
        <f ca="1">IFERROR(IF(0=LEN(ReferenceData!$BE$65),"",ReferenceData!$BE$65),"")</f>
        <v/>
      </c>
      <c r="BF65" t="str">
        <f ca="1">IFERROR(IF(0=LEN(ReferenceData!$BF$65),"",ReferenceData!$BF$65),"")</f>
        <v/>
      </c>
      <c r="BG65" t="str">
        <f ca="1">IFERROR(IF(0=LEN(ReferenceData!$BG$65),"",ReferenceData!$BG$65),"")</f>
        <v/>
      </c>
      <c r="BH65" t="str">
        <f ca="1">IFERROR(IF(0=LEN(ReferenceData!$BH$65),"",ReferenceData!$BH$65),"")</f>
        <v/>
      </c>
      <c r="BI65" t="str">
        <f ca="1">IFERROR(IF(0=LEN(ReferenceData!$BI$65),"",ReferenceData!$BI$65),"")</f>
        <v/>
      </c>
      <c r="BJ65" t="str">
        <f ca="1">IFERROR(IF(0=LEN(ReferenceData!$BJ$65),"",ReferenceData!$BJ$65),"")</f>
        <v/>
      </c>
      <c r="BK65" t="str">
        <f ca="1">IFERROR(IF(0=LEN(ReferenceData!$BK$65),"",ReferenceData!$BK$65),"")</f>
        <v/>
      </c>
      <c r="BL65" t="str">
        <f ca="1">IFERROR(IF(0=LEN(ReferenceData!$BL$65),"",ReferenceData!$BL$65),"")</f>
        <v/>
      </c>
      <c r="BM65" t="str">
        <f ca="1">IFERROR(IF(0=LEN(ReferenceData!$BM$65),"",ReferenceData!$BM$65),"")</f>
        <v/>
      </c>
    </row>
    <row r="66" spans="1:65">
      <c r="A66" t="str">
        <f>IFERROR(IF(0=LEN(ReferenceData!$A$66),"",ReferenceData!$A$66),"")</f>
        <v xml:space="preserve">    Washington Prime Group Inc</v>
      </c>
      <c r="B66" t="str">
        <f>IFERROR(IF(0=LEN(ReferenceData!$B$66),"",ReferenceData!$B$66),"")</f>
        <v>WPG US Equity</v>
      </c>
      <c r="C66" t="str">
        <f>IFERROR(IF(0=LEN(ReferenceData!$C$66),"",ReferenceData!$C$66),"")</f>
        <v>IS010</v>
      </c>
      <c r="D66" t="str">
        <f>IFERROR(IF(0=LEN(ReferenceData!$D$66),"",ReferenceData!$D$66),"")</f>
        <v>SALES_REV_TURN</v>
      </c>
      <c r="E66" t="str">
        <f>IFERROR(IF(0=LEN(ReferenceData!$E$66),"",ReferenceData!$E$66),"")</f>
        <v>动态</v>
      </c>
      <c r="F66" t="str">
        <f ca="1">IFERROR(IF(0=LEN(ReferenceData!$F$66),"",ReferenceData!$F$66),"")</f>
        <v/>
      </c>
      <c r="G66">
        <f ca="1">IFERROR(IF(0=LEN(ReferenceData!$G$66),"",ReferenceData!$G$66),"")</f>
        <v>187.23699999999999</v>
      </c>
      <c r="H66">
        <f ca="1">IFERROR(IF(0=LEN(ReferenceData!$H$66),"",ReferenceData!$H$66),"")</f>
        <v>179.32</v>
      </c>
      <c r="I66">
        <f ca="1">IFERROR(IF(0=LEN(ReferenceData!$I$66),"",ReferenceData!$I$66),"")</f>
        <v>189.17099999999999</v>
      </c>
      <c r="J66">
        <f ca="1">IFERROR(IF(0=LEN(ReferenceData!$J$66),"",ReferenceData!$J$66),"")</f>
        <v>202.39400000000001</v>
      </c>
      <c r="K66">
        <f ca="1">IFERROR(IF(0=LEN(ReferenceData!$K$66),"",ReferenceData!$K$66),"")</f>
        <v>217.785</v>
      </c>
      <c r="L66">
        <f ca="1">IFERROR(IF(0=LEN(ReferenceData!$L$66),"",ReferenceData!$L$66),"")</f>
        <v>209.922</v>
      </c>
      <c r="M66">
        <f ca="1">IFERROR(IF(0=LEN(ReferenceData!$M$66),"",ReferenceData!$M$66),"")</f>
        <v>205.738</v>
      </c>
      <c r="N66">
        <f ca="1">IFERROR(IF(0=LEN(ReferenceData!$N$66),"",ReferenceData!$N$66),"")</f>
        <v>210.03100000000001</v>
      </c>
      <c r="O66">
        <f ca="1">IFERROR(IF(0=LEN(ReferenceData!$O$66),"",ReferenceData!$O$66),"")</f>
        <v>229.37700000000001</v>
      </c>
      <c r="P66">
        <f ca="1">IFERROR(IF(0=LEN(ReferenceData!$P$66),"",ReferenceData!$P$66),"")</f>
        <v>216.739</v>
      </c>
      <c r="Q66">
        <f ca="1">IFERROR(IF(0=LEN(ReferenceData!$Q$66),"",ReferenceData!$Q$66),"")</f>
        <v>237.52799999999999</v>
      </c>
      <c r="R66">
        <f ca="1">IFERROR(IF(0=LEN(ReferenceData!$R$66),"",ReferenceData!$R$66),"")</f>
        <v>237.71799999999999</v>
      </c>
      <c r="S66">
        <f ca="1">IFERROR(IF(0=LEN(ReferenceData!$S$66),"",ReferenceData!$S$66),"")</f>
        <v>177.298</v>
      </c>
      <c r="T66">
        <f ca="1">IFERROR(IF(0=LEN(ReferenceData!$T$66),"",ReferenceData!$T$66),"")</f>
        <v>167.684</v>
      </c>
      <c r="U66">
        <f ca="1">IFERROR(IF(0=LEN(ReferenceData!$U$66),"",ReferenceData!$U$66),"")</f>
        <v>158.17500000000001</v>
      </c>
      <c r="V66">
        <f ca="1">IFERROR(IF(0=LEN(ReferenceData!$V$66),"",ReferenceData!$V$66),"")</f>
        <v>157.96899999999999</v>
      </c>
      <c r="W66" t="str">
        <f ca="1">IFERROR(IF(0=LEN(ReferenceData!$W$66),"",ReferenceData!$W$66),"")</f>
        <v/>
      </c>
      <c r="X66" t="str">
        <f ca="1">IFERROR(IF(0=LEN(ReferenceData!$X$66),"",ReferenceData!$X$66),"")</f>
        <v/>
      </c>
      <c r="Y66" t="str">
        <f ca="1">IFERROR(IF(0=LEN(ReferenceData!$Y$66),"",ReferenceData!$Y$66),"")</f>
        <v/>
      </c>
      <c r="Z66" t="str">
        <f ca="1">IFERROR(IF(0=LEN(ReferenceData!$Z$66),"",ReferenceData!$Z$66),"")</f>
        <v/>
      </c>
      <c r="AA66" t="str">
        <f ca="1">IFERROR(IF(0=LEN(ReferenceData!$AA$66),"",ReferenceData!$AA$66),"")</f>
        <v/>
      </c>
      <c r="AB66" t="str">
        <f ca="1">IFERROR(IF(0=LEN(ReferenceData!$AB$66),"",ReferenceData!$AB$66),"")</f>
        <v/>
      </c>
      <c r="AC66" t="str">
        <f ca="1">IFERROR(IF(0=LEN(ReferenceData!$AC$66),"",ReferenceData!$AC$66),"")</f>
        <v/>
      </c>
      <c r="AD66" t="str">
        <f ca="1">IFERROR(IF(0=LEN(ReferenceData!$AD$66),"",ReferenceData!$AD$66),"")</f>
        <v/>
      </c>
      <c r="AE66" t="str">
        <f ca="1">IFERROR(IF(0=LEN(ReferenceData!$AE$66),"",ReferenceData!$AE$66),"")</f>
        <v/>
      </c>
      <c r="AF66" t="str">
        <f ca="1">IFERROR(IF(0=LEN(ReferenceData!$AF$66),"",ReferenceData!$AF$66),"")</f>
        <v/>
      </c>
      <c r="AG66" t="str">
        <f ca="1">IFERROR(IF(0=LEN(ReferenceData!$AG$66),"",ReferenceData!$AG$66),"")</f>
        <v/>
      </c>
      <c r="AH66" t="str">
        <f ca="1">IFERROR(IF(0=LEN(ReferenceData!$AH$66),"",ReferenceData!$AH$66),"")</f>
        <v/>
      </c>
      <c r="AI66" t="str">
        <f ca="1">IFERROR(IF(0=LEN(ReferenceData!$AI$66),"",ReferenceData!$AI$66),"")</f>
        <v/>
      </c>
      <c r="AJ66" t="str">
        <f ca="1">IFERROR(IF(0=LEN(ReferenceData!$AJ$66),"",ReferenceData!$AJ$66),"")</f>
        <v/>
      </c>
      <c r="AK66" t="str">
        <f ca="1">IFERROR(IF(0=LEN(ReferenceData!$AK$66),"",ReferenceData!$AK$66),"")</f>
        <v/>
      </c>
      <c r="AL66" t="str">
        <f ca="1">IFERROR(IF(0=LEN(ReferenceData!$AL$66),"",ReferenceData!$AL$66),"")</f>
        <v/>
      </c>
      <c r="AM66" t="str">
        <f ca="1">IFERROR(IF(0=LEN(ReferenceData!$AM$66),"",ReferenceData!$AM$66),"")</f>
        <v/>
      </c>
      <c r="AN66" t="str">
        <f ca="1">IFERROR(IF(0=LEN(ReferenceData!$AN$66),"",ReferenceData!$AN$66),"")</f>
        <v/>
      </c>
      <c r="AO66" t="str">
        <f ca="1">IFERROR(IF(0=LEN(ReferenceData!$AO$66),"",ReferenceData!$AO$66),"")</f>
        <v/>
      </c>
      <c r="AP66" t="str">
        <f ca="1">IFERROR(IF(0=LEN(ReferenceData!$AP$66),"",ReferenceData!$AP$66),"")</f>
        <v/>
      </c>
      <c r="AQ66" t="str">
        <f ca="1">IFERROR(IF(0=LEN(ReferenceData!$AQ$66),"",ReferenceData!$AQ$66),"")</f>
        <v/>
      </c>
      <c r="AR66" t="str">
        <f ca="1">IFERROR(IF(0=LEN(ReferenceData!$AR$66),"",ReferenceData!$AR$66),"")</f>
        <v/>
      </c>
      <c r="AS66" t="str">
        <f ca="1">IFERROR(IF(0=LEN(ReferenceData!$AS$66),"",ReferenceData!$AS$66),"")</f>
        <v/>
      </c>
      <c r="AT66" t="str">
        <f ca="1">IFERROR(IF(0=LEN(ReferenceData!$AT$66),"",ReferenceData!$AT$66),"")</f>
        <v/>
      </c>
      <c r="AU66" t="str">
        <f ca="1">IFERROR(IF(0=LEN(ReferenceData!$AU$66),"",ReferenceData!$AU$66),"")</f>
        <v/>
      </c>
      <c r="AV66" t="str">
        <f ca="1">IFERROR(IF(0=LEN(ReferenceData!$AV$66),"",ReferenceData!$AV$66),"")</f>
        <v/>
      </c>
      <c r="AW66" t="str">
        <f ca="1">IFERROR(IF(0=LEN(ReferenceData!$AW$66),"",ReferenceData!$AW$66),"")</f>
        <v/>
      </c>
      <c r="AX66" t="str">
        <f ca="1">IFERROR(IF(0=LEN(ReferenceData!$AX$66),"",ReferenceData!$AX$66),"")</f>
        <v/>
      </c>
      <c r="AY66" t="str">
        <f ca="1">IFERROR(IF(0=LEN(ReferenceData!$AY$66),"",ReferenceData!$AY$66),"")</f>
        <v/>
      </c>
      <c r="AZ66" t="str">
        <f ca="1">IFERROR(IF(0=LEN(ReferenceData!$AZ$66),"",ReferenceData!$AZ$66),"")</f>
        <v/>
      </c>
      <c r="BA66" t="str">
        <f ca="1">IFERROR(IF(0=LEN(ReferenceData!$BA$66),"",ReferenceData!$BA$66),"")</f>
        <v/>
      </c>
      <c r="BB66" t="str">
        <f ca="1">IFERROR(IF(0=LEN(ReferenceData!$BB$66),"",ReferenceData!$BB$66),"")</f>
        <v/>
      </c>
      <c r="BC66" t="str">
        <f ca="1">IFERROR(IF(0=LEN(ReferenceData!$BC$66),"",ReferenceData!$BC$66),"")</f>
        <v/>
      </c>
      <c r="BD66" t="str">
        <f ca="1">IFERROR(IF(0=LEN(ReferenceData!$BD$66),"",ReferenceData!$BD$66),"")</f>
        <v/>
      </c>
      <c r="BE66" t="str">
        <f ca="1">IFERROR(IF(0=LEN(ReferenceData!$BE$66),"",ReferenceData!$BE$66),"")</f>
        <v/>
      </c>
      <c r="BF66" t="str">
        <f ca="1">IFERROR(IF(0=LEN(ReferenceData!$BF$66),"",ReferenceData!$BF$66),"")</f>
        <v/>
      </c>
      <c r="BG66" t="str">
        <f ca="1">IFERROR(IF(0=LEN(ReferenceData!$BG$66),"",ReferenceData!$BG$66),"")</f>
        <v/>
      </c>
      <c r="BH66" t="str">
        <f ca="1">IFERROR(IF(0=LEN(ReferenceData!$BH$66),"",ReferenceData!$BH$66),"")</f>
        <v/>
      </c>
      <c r="BI66" t="str">
        <f ca="1">IFERROR(IF(0=LEN(ReferenceData!$BI$66),"",ReferenceData!$BI$66),"")</f>
        <v/>
      </c>
      <c r="BJ66" t="str">
        <f ca="1">IFERROR(IF(0=LEN(ReferenceData!$BJ$66),"",ReferenceData!$BJ$66),"")</f>
        <v/>
      </c>
      <c r="BK66" t="str">
        <f ca="1">IFERROR(IF(0=LEN(ReferenceData!$BK$66),"",ReferenceData!$BK$66),"")</f>
        <v/>
      </c>
      <c r="BL66" t="str">
        <f ca="1">IFERROR(IF(0=LEN(ReferenceData!$BL$66),"",ReferenceData!$BL$66),"")</f>
        <v/>
      </c>
      <c r="BM66" t="str">
        <f ca="1">IFERROR(IF(0=LEN(ReferenceData!$BM$66),"",ReferenceData!$BM$66),"")</f>
        <v/>
      </c>
    </row>
    <row r="67" spans="1:65">
      <c r="A67" t="str">
        <f>IFERROR(IF(0=LEN(ReferenceData!$A$67),"",ReferenceData!$A$67),"")</f>
        <v xml:space="preserve">    Weingarten Realty Investors</v>
      </c>
      <c r="B67" t="str">
        <f>IFERROR(IF(0=LEN(ReferenceData!$B$67),"",ReferenceData!$B$67),"")</f>
        <v>WRI US Equity</v>
      </c>
      <c r="C67" t="str">
        <f>IFERROR(IF(0=LEN(ReferenceData!$C$67),"",ReferenceData!$C$67),"")</f>
        <v>IS010</v>
      </c>
      <c r="D67" t="str">
        <f>IFERROR(IF(0=LEN(ReferenceData!$D$67),"",ReferenceData!$D$67),"")</f>
        <v>SALES_REV_TURN</v>
      </c>
      <c r="E67" t="str">
        <f>IFERROR(IF(0=LEN(ReferenceData!$E$67),"",ReferenceData!$E$67),"")</f>
        <v>动态</v>
      </c>
      <c r="F67" t="str">
        <f ca="1">IFERROR(IF(0=LEN(ReferenceData!$F$67),"",ReferenceData!$F$67),"")</f>
        <v/>
      </c>
      <c r="G67">
        <f ca="1">IFERROR(IF(0=LEN(ReferenceData!$G$67),"",ReferenceData!$G$67),"")</f>
        <v>139.36699999999999</v>
      </c>
      <c r="H67">
        <f ca="1">IFERROR(IF(0=LEN(ReferenceData!$H$67),"",ReferenceData!$H$67),"")</f>
        <v>144.11000000000001</v>
      </c>
      <c r="I67">
        <f ca="1">IFERROR(IF(0=LEN(ReferenceData!$I$67),"",ReferenceData!$I$67),"")</f>
        <v>146.023</v>
      </c>
      <c r="J67">
        <f ca="1">IFERROR(IF(0=LEN(ReferenceData!$J$67),"",ReferenceData!$J$67),"")</f>
        <v>143.66300000000001</v>
      </c>
      <c r="K67">
        <f ca="1">IFERROR(IF(0=LEN(ReferenceData!$K$67),"",ReferenceData!$K$67),"")</f>
        <v>142.863</v>
      </c>
      <c r="L67">
        <f ca="1">IFERROR(IF(0=LEN(ReferenceData!$L$67),"",ReferenceData!$L$67),"")</f>
        <v>138.59899999999999</v>
      </c>
      <c r="M67">
        <f ca="1">IFERROR(IF(0=LEN(ReferenceData!$M$67),"",ReferenceData!$M$67),"")</f>
        <v>135.67599999999999</v>
      </c>
      <c r="N67">
        <f ca="1">IFERROR(IF(0=LEN(ReferenceData!$N$67),"",ReferenceData!$N$67),"")</f>
        <v>132.417</v>
      </c>
      <c r="O67">
        <f ca="1">IFERROR(IF(0=LEN(ReferenceData!$O$67),"",ReferenceData!$O$67),"")</f>
        <v>129.654</v>
      </c>
      <c r="P67">
        <f ca="1">IFERROR(IF(0=LEN(ReferenceData!$P$67),"",ReferenceData!$P$67),"")</f>
        <v>130.78700000000001</v>
      </c>
      <c r="Q67">
        <f ca="1">IFERROR(IF(0=LEN(ReferenceData!$Q$67),"",ReferenceData!$Q$67),"")</f>
        <v>126.804</v>
      </c>
      <c r="R67">
        <f ca="1">IFERROR(IF(0=LEN(ReferenceData!$R$67),"",ReferenceData!$R$67),"")</f>
        <v>125.599</v>
      </c>
      <c r="S67">
        <f ca="1">IFERROR(IF(0=LEN(ReferenceData!$S$67),"",ReferenceData!$S$67),"")</f>
        <v>126.102</v>
      </c>
      <c r="T67">
        <f ca="1">IFERROR(IF(0=LEN(ReferenceData!$T$67),"",ReferenceData!$T$67),"")</f>
        <v>130.52099999999999</v>
      </c>
      <c r="U67">
        <f ca="1">IFERROR(IF(0=LEN(ReferenceData!$U$67),"",ReferenceData!$U$67),"")</f>
        <v>130.191</v>
      </c>
      <c r="V67">
        <f ca="1">IFERROR(IF(0=LEN(ReferenceData!$V$67),"",ReferenceData!$V$67),"")</f>
        <v>127.592</v>
      </c>
      <c r="W67">
        <f ca="1">IFERROR(IF(0=LEN(ReferenceData!$W$67),"",ReferenceData!$W$67),"")</f>
        <v>126.071</v>
      </c>
      <c r="X67">
        <f ca="1">IFERROR(IF(0=LEN(ReferenceData!$X$67),"",ReferenceData!$X$67),"")</f>
        <v>123.30200000000001</v>
      </c>
      <c r="Y67">
        <f ca="1">IFERROR(IF(0=LEN(ReferenceData!$Y$67),"",ReferenceData!$Y$67),"")</f>
        <v>121.995</v>
      </c>
      <c r="Z67">
        <f ca="1">IFERROR(IF(0=LEN(ReferenceData!$Z$67),"",ReferenceData!$Z$67),"")</f>
        <v>117.827</v>
      </c>
      <c r="AA67">
        <f ca="1">IFERROR(IF(0=LEN(ReferenceData!$AA$67),"",ReferenceData!$AA$67),"")</f>
        <v>119.547</v>
      </c>
      <c r="AB67">
        <f ca="1">IFERROR(IF(0=LEN(ReferenceData!$AB$67),"",ReferenceData!$AB$67),"")</f>
        <v>122.319</v>
      </c>
      <c r="AC67">
        <f ca="1">IFERROR(IF(0=LEN(ReferenceData!$AC$67),"",ReferenceData!$AC$67),"")</f>
        <v>118.59699999999999</v>
      </c>
      <c r="AD67">
        <f ca="1">IFERROR(IF(0=LEN(ReferenceData!$AD$67),"",ReferenceData!$AD$67),"")</f>
        <v>118.80200000000001</v>
      </c>
      <c r="AE67">
        <f ca="1">IFERROR(IF(0=LEN(ReferenceData!$AE$67),"",ReferenceData!$AE$67),"")</f>
        <v>119.729</v>
      </c>
      <c r="AF67">
        <f ca="1">IFERROR(IF(0=LEN(ReferenceData!$AF$67),"",ReferenceData!$AF$67),"")</f>
        <v>122.869</v>
      </c>
      <c r="AG67">
        <f ca="1">IFERROR(IF(0=LEN(ReferenceData!$AG$67),"",ReferenceData!$AG$67),"")</f>
        <v>123.325</v>
      </c>
      <c r="AH67">
        <f ca="1">IFERROR(IF(0=LEN(ReferenceData!$AH$67),"",ReferenceData!$AH$67),"")</f>
        <v>118.107</v>
      </c>
      <c r="AI67">
        <f ca="1">IFERROR(IF(0=LEN(ReferenceData!$AI$67),"",ReferenceData!$AI$67),"")</f>
        <v>134.828</v>
      </c>
      <c r="AJ67">
        <f ca="1">IFERROR(IF(0=LEN(ReferenceData!$AJ$67),"",ReferenceData!$AJ$67),"")</f>
        <v>134.11799999999999</v>
      </c>
      <c r="AK67">
        <f ca="1">IFERROR(IF(0=LEN(ReferenceData!$AK$67),"",ReferenceData!$AK$67),"")</f>
        <v>137.791</v>
      </c>
      <c r="AL67">
        <f ca="1">IFERROR(IF(0=LEN(ReferenceData!$AL$67),"",ReferenceData!$AL$67),"")</f>
        <v>137.10499999999999</v>
      </c>
      <c r="AM67">
        <f ca="1">IFERROR(IF(0=LEN(ReferenceData!$AM$67),"",ReferenceData!$AM$67),"")</f>
        <v>142.166</v>
      </c>
      <c r="AN67">
        <f ca="1">IFERROR(IF(0=LEN(ReferenceData!$AN$67),"",ReferenceData!$AN$67),"")</f>
        <v>143.07300000000001</v>
      </c>
      <c r="AO67">
        <f ca="1">IFERROR(IF(0=LEN(ReferenceData!$AO$67),"",ReferenceData!$AO$67),"")</f>
        <v>142.41499999999999</v>
      </c>
      <c r="AP67">
        <f ca="1">IFERROR(IF(0=LEN(ReferenceData!$AP$67),"",ReferenceData!$AP$67),"")</f>
        <v>144.38200000000001</v>
      </c>
      <c r="AQ67">
        <f ca="1">IFERROR(IF(0=LEN(ReferenceData!$AQ$67),"",ReferenceData!$AQ$67),"")</f>
        <v>145.66200000000001</v>
      </c>
      <c r="AR67">
        <f ca="1">IFERROR(IF(0=LEN(ReferenceData!$AR$67),"",ReferenceData!$AR$67),"")</f>
        <v>153.96700000000001</v>
      </c>
      <c r="AS67">
        <f ca="1">IFERROR(IF(0=LEN(ReferenceData!$AS$67),"",ReferenceData!$AS$67),"")</f>
        <v>152.28399999999999</v>
      </c>
      <c r="AT67">
        <f ca="1">IFERROR(IF(0=LEN(ReferenceData!$AT$67),"",ReferenceData!$AT$67),"")</f>
        <v>151.50200000000001</v>
      </c>
      <c r="AU67">
        <f ca="1">IFERROR(IF(0=LEN(ReferenceData!$AU$67),"",ReferenceData!$AU$67),"")</f>
        <v>150.483</v>
      </c>
      <c r="AV67">
        <f ca="1">IFERROR(IF(0=LEN(ReferenceData!$AV$67),"",ReferenceData!$AV$67),"")</f>
        <v>152.929</v>
      </c>
      <c r="AW67">
        <f ca="1">IFERROR(IF(0=LEN(ReferenceData!$AW$67),"",ReferenceData!$AW$67),"")</f>
        <v>142.21600000000001</v>
      </c>
      <c r="AX67">
        <f ca="1">IFERROR(IF(0=LEN(ReferenceData!$AX$67),"",ReferenceData!$AX$67),"")</f>
        <v>144.4</v>
      </c>
      <c r="AY67">
        <f ca="1">IFERROR(IF(0=LEN(ReferenceData!$AY$67),"",ReferenceData!$AY$67),"")</f>
        <v>144.94200000000001</v>
      </c>
      <c r="AZ67">
        <f ca="1">IFERROR(IF(0=LEN(ReferenceData!$AZ$67),"",ReferenceData!$AZ$67),"")</f>
        <v>139.04300000000001</v>
      </c>
      <c r="BA67">
        <f ca="1">IFERROR(IF(0=LEN(ReferenceData!$BA$67),"",ReferenceData!$BA$67),"")</f>
        <v>132.53200000000001</v>
      </c>
      <c r="BB67">
        <f ca="1">IFERROR(IF(0=LEN(ReferenceData!$BB$67),"",ReferenceData!$BB$67),"")</f>
        <v>132.745</v>
      </c>
      <c r="BC67">
        <f ca="1">IFERROR(IF(0=LEN(ReferenceData!$BC$67),"",ReferenceData!$BC$67),"")</f>
        <v>120.331</v>
      </c>
      <c r="BD67">
        <f ca="1">IFERROR(IF(0=LEN(ReferenceData!$BD$67),"",ReferenceData!$BD$67),"")</f>
        <v>132.167</v>
      </c>
      <c r="BE67">
        <f ca="1">IFERROR(IF(0=LEN(ReferenceData!$BE$67),"",ReferenceData!$BE$67),"")</f>
        <v>130.89699999999999</v>
      </c>
      <c r="BF67">
        <f ca="1">IFERROR(IF(0=LEN(ReferenceData!$BF$67),"",ReferenceData!$BF$67),"")</f>
        <v>129.87299999999999</v>
      </c>
      <c r="BG67">
        <f ca="1">IFERROR(IF(0=LEN(ReferenceData!$BG$67),"",ReferenceData!$BG$67),"")</f>
        <v>131.25</v>
      </c>
      <c r="BH67">
        <f ca="1">IFERROR(IF(0=LEN(ReferenceData!$BH$67),"",ReferenceData!$BH$67),"")</f>
        <v>127.08</v>
      </c>
      <c r="BI67">
        <f ca="1">IFERROR(IF(0=LEN(ReferenceData!$BI$67),"",ReferenceData!$BI$67),"")</f>
        <v>121.1050034</v>
      </c>
      <c r="BJ67">
        <f ca="1">IFERROR(IF(0=LEN(ReferenceData!$BJ$67),"",ReferenceData!$BJ$67),"")</f>
        <v>116.00599699999999</v>
      </c>
      <c r="BK67">
        <f ca="1">IFERROR(IF(0=LEN(ReferenceData!$BK$67),"",ReferenceData!$BK$67),"")</f>
        <v>109.94499999999999</v>
      </c>
      <c r="BL67">
        <f ca="1">IFERROR(IF(0=LEN(ReferenceData!$BL$67),"",ReferenceData!$BL$67),"")</f>
        <v>106.378998</v>
      </c>
      <c r="BM67">
        <f ca="1">IFERROR(IF(0=LEN(ReferenceData!$BM$67),"",ReferenceData!$BM$67),"")</f>
        <v>101.99400300000001</v>
      </c>
    </row>
    <row r="68" spans="1:65">
      <c r="A68" t="str">
        <f>IFERROR(IF(0=LEN(ReferenceData!$A$68),"",ReferenceData!$A$68),"")</f>
        <v>营业净利润</v>
      </c>
      <c r="B68" t="str">
        <f>IFERROR(IF(0=LEN(ReferenceData!$B$68),"",ReferenceData!$B$68),"")</f>
        <v/>
      </c>
      <c r="C68" t="str">
        <f>IFERROR(IF(0=LEN(ReferenceData!$C$68),"",ReferenceData!$C$68),"")</f>
        <v/>
      </c>
      <c r="D68" t="str">
        <f>IFERROR(IF(0=LEN(ReferenceData!$D$68),"",ReferenceData!$D$68),"")</f>
        <v/>
      </c>
      <c r="E68" t="str">
        <f>IFERROR(IF(0=LEN(ReferenceData!$E$68),"",ReferenceData!$E$68),"")</f>
        <v>Median</v>
      </c>
      <c r="F68" t="str">
        <f ca="1">IFERROR(IF(0=LEN(ReferenceData!$F$68),"",ReferenceData!$F$68),"")</f>
        <v/>
      </c>
      <c r="G68">
        <f ca="1">IFERROR(IF(0=LEN(ReferenceData!$G$68),"",ReferenceData!$G$68),"")</f>
        <v>146.58199999999999</v>
      </c>
      <c r="H68">
        <f ca="1">IFERROR(IF(0=LEN(ReferenceData!$H$68),"",ReferenceData!$H$68),"")</f>
        <v>154.03200000000001</v>
      </c>
      <c r="I68">
        <f ca="1">IFERROR(IF(0=LEN(ReferenceData!$I$68),"",ReferenceData!$I$68),"")</f>
        <v>164.97200000000001</v>
      </c>
      <c r="J68">
        <f ca="1">IFERROR(IF(0=LEN(ReferenceData!$J$68),"",ReferenceData!$J$68),"")</f>
        <v>144.91800000000001</v>
      </c>
      <c r="K68">
        <f ca="1">IFERROR(IF(0=LEN(ReferenceData!$K$68),"",ReferenceData!$K$68),"")</f>
        <v>146.41</v>
      </c>
      <c r="L68">
        <f ca="1">IFERROR(IF(0=LEN(ReferenceData!$L$68),"",ReferenceData!$L$68),"")</f>
        <v>138.55099999999999</v>
      </c>
      <c r="M68">
        <f ca="1">IFERROR(IF(0=LEN(ReferenceData!$M$68),"",ReferenceData!$M$68),"")</f>
        <v>136.17599999999999</v>
      </c>
      <c r="N68">
        <f ca="1">IFERROR(IF(0=LEN(ReferenceData!$N$68),"",ReferenceData!$N$68),"")</f>
        <v>138.31700000000001</v>
      </c>
      <c r="O68">
        <f ca="1">IFERROR(IF(0=LEN(ReferenceData!$O$68),"",ReferenceData!$O$68),"")</f>
        <v>150.136</v>
      </c>
      <c r="P68">
        <f ca="1">IFERROR(IF(0=LEN(ReferenceData!$P$68),"",ReferenceData!$P$68),"")</f>
        <v>140.67699999999999</v>
      </c>
      <c r="Q68">
        <f ca="1">IFERROR(IF(0=LEN(ReferenceData!$Q$68),"",ReferenceData!$Q$68),"")</f>
        <v>153.934</v>
      </c>
      <c r="R68">
        <f ca="1">IFERROR(IF(0=LEN(ReferenceData!$R$68),"",ReferenceData!$R$68),"")</f>
        <v>151.036</v>
      </c>
      <c r="S68">
        <f ca="1">IFERROR(IF(0=LEN(ReferenceData!$S$68),"",ReferenceData!$S$68),"")</f>
        <v>120.875</v>
      </c>
      <c r="T68">
        <f ca="1">IFERROR(IF(0=LEN(ReferenceData!$T$68),"",ReferenceData!$T$68),"")</f>
        <v>113.83</v>
      </c>
      <c r="U68">
        <f ca="1">IFERROR(IF(0=LEN(ReferenceData!$U$68),"",ReferenceData!$U$68),"")</f>
        <v>111.81399999999999</v>
      </c>
      <c r="V68">
        <f ca="1">IFERROR(IF(0=LEN(ReferenceData!$V$68),"",ReferenceData!$V$68),"")</f>
        <v>110.363</v>
      </c>
      <c r="W68">
        <f ca="1">IFERROR(IF(0=LEN(ReferenceData!$W$68),"",ReferenceData!$W$68),"")</f>
        <v>104.6095</v>
      </c>
      <c r="X68">
        <f ca="1">IFERROR(IF(0=LEN(ReferenceData!$X$68),"",ReferenceData!$X$68),"")</f>
        <v>100.7975</v>
      </c>
      <c r="Y68">
        <f ca="1">IFERROR(IF(0=LEN(ReferenceData!$Y$68),"",ReferenceData!$Y$68),"")</f>
        <v>99.424000000000007</v>
      </c>
      <c r="Z68">
        <f ca="1">IFERROR(IF(0=LEN(ReferenceData!$Z$68),"",ReferenceData!$Z$68),"")</f>
        <v>97.88300000000001</v>
      </c>
      <c r="AA68">
        <f ca="1">IFERROR(IF(0=LEN(ReferenceData!$AA$68),"",ReferenceData!$AA$68),"")</f>
        <v>97.886499999999998</v>
      </c>
      <c r="AB68">
        <f ca="1">IFERROR(IF(0=LEN(ReferenceData!$AB$68),"",ReferenceData!$AB$68),"")</f>
        <v>97.779500000000013</v>
      </c>
      <c r="AC68">
        <f ca="1">IFERROR(IF(0=LEN(ReferenceData!$AC$68),"",ReferenceData!$AC$68),"")</f>
        <v>96.948999999999998</v>
      </c>
      <c r="AD68">
        <f ca="1">IFERROR(IF(0=LEN(ReferenceData!$AD$68),"",ReferenceData!$AD$68),"")</f>
        <v>97.53649999999999</v>
      </c>
      <c r="AE68">
        <f ca="1">IFERROR(IF(0=LEN(ReferenceData!$AE$68),"",ReferenceData!$AE$68),"")</f>
        <v>94.210999999999999</v>
      </c>
      <c r="AF68">
        <f ca="1">IFERROR(IF(0=LEN(ReferenceData!$AF$68),"",ReferenceData!$AF$68),"")</f>
        <v>92.372</v>
      </c>
      <c r="AG68">
        <f ca="1">IFERROR(IF(0=LEN(ReferenceData!$AG$68),"",ReferenceData!$AG$68),"")</f>
        <v>93.698999999999998</v>
      </c>
      <c r="AH68">
        <f ca="1">IFERROR(IF(0=LEN(ReferenceData!$AH$68),"",ReferenceData!$AH$68),"")</f>
        <v>90.986999999999995</v>
      </c>
      <c r="AI68">
        <f ca="1">IFERROR(IF(0=LEN(ReferenceData!$AI$68),"",ReferenceData!$AI$68),"")</f>
        <v>90.53</v>
      </c>
      <c r="AJ68">
        <f ca="1">IFERROR(IF(0=LEN(ReferenceData!$AJ$68),"",ReferenceData!$AJ$68),"")</f>
        <v>90.102000000000004</v>
      </c>
      <c r="AK68">
        <f ca="1">IFERROR(IF(0=LEN(ReferenceData!$AK$68),"",ReferenceData!$AK$68),"")</f>
        <v>89.652000000000001</v>
      </c>
      <c r="AL68">
        <f ca="1">IFERROR(IF(0=LEN(ReferenceData!$AL$68),"",ReferenceData!$AL$68),"")</f>
        <v>88.774000000000001</v>
      </c>
      <c r="AM68">
        <f ca="1">IFERROR(IF(0=LEN(ReferenceData!$AM$68),"",ReferenceData!$AM$68),"")</f>
        <v>92.103593500000002</v>
      </c>
      <c r="AN68">
        <f ca="1">IFERROR(IF(0=LEN(ReferenceData!$AN$68),"",ReferenceData!$AN$68),"")</f>
        <v>101.706</v>
      </c>
      <c r="AO68">
        <f ca="1">IFERROR(IF(0=LEN(ReferenceData!$AO$68),"",ReferenceData!$AO$68),"")</f>
        <v>90.040499999999994</v>
      </c>
      <c r="AP68">
        <f ca="1">IFERROR(IF(0=LEN(ReferenceData!$AP$68),"",ReferenceData!$AP$68),"")</f>
        <v>94.549499999999995</v>
      </c>
      <c r="AQ68">
        <f ca="1">IFERROR(IF(0=LEN(ReferenceData!$AQ$68),"",ReferenceData!$AQ$68),"")</f>
        <v>100.790756</v>
      </c>
      <c r="AR68">
        <f ca="1">IFERROR(IF(0=LEN(ReferenceData!$AR$68),"",ReferenceData!$AR$68),"")</f>
        <v>98.749499999999998</v>
      </c>
      <c r="AS68">
        <f ca="1">IFERROR(IF(0=LEN(ReferenceData!$AS$68),"",ReferenceData!$AS$68),"")</f>
        <v>99.8155</v>
      </c>
      <c r="AT68">
        <f ca="1">IFERROR(IF(0=LEN(ReferenceData!$AT$68),"",ReferenceData!$AT$68),"")</f>
        <v>96.686000000000007</v>
      </c>
      <c r="AU68">
        <f ca="1">IFERROR(IF(0=LEN(ReferenceData!$AU$68),"",ReferenceData!$AU$68),"")</f>
        <v>93.152999999999992</v>
      </c>
      <c r="AV68">
        <f ca="1">IFERROR(IF(0=LEN(ReferenceData!$AV$68),"",ReferenceData!$AV$68),"")</f>
        <v>95.613</v>
      </c>
      <c r="AW68">
        <f ca="1">IFERROR(IF(0=LEN(ReferenceData!$AW$68),"",ReferenceData!$AW$68),"")</f>
        <v>90.693000000000012</v>
      </c>
      <c r="AX68">
        <f ca="1">IFERROR(IF(0=LEN(ReferenceData!$AX$68),"",ReferenceData!$AX$68),"")</f>
        <v>91.755499999999998</v>
      </c>
      <c r="AY68">
        <f ca="1">IFERROR(IF(0=LEN(ReferenceData!$AY$68),"",ReferenceData!$AY$68),"")</f>
        <v>90.607500000000002</v>
      </c>
      <c r="AZ68">
        <f ca="1">IFERROR(IF(0=LEN(ReferenceData!$AZ$68),"",ReferenceData!$AZ$68),"")</f>
        <v>87.851500000000001</v>
      </c>
      <c r="BA68">
        <f ca="1">IFERROR(IF(0=LEN(ReferenceData!$BA$68),"",ReferenceData!$BA$68),"")</f>
        <v>88.489499999999992</v>
      </c>
      <c r="BB68">
        <f ca="1">IFERROR(IF(0=LEN(ReferenceData!$BB$68),"",ReferenceData!$BB$68),"")</f>
        <v>86.617500000000007</v>
      </c>
      <c r="BC68">
        <f ca="1">IFERROR(IF(0=LEN(ReferenceData!$BC$68),"",ReferenceData!$BC$68),"")</f>
        <v>77.186000000000007</v>
      </c>
      <c r="BD68">
        <f ca="1">IFERROR(IF(0=LEN(ReferenceData!$BD$68),"",ReferenceData!$BD$68),"")</f>
        <v>82.739000000000004</v>
      </c>
      <c r="BE68">
        <f ca="1">IFERROR(IF(0=LEN(ReferenceData!$BE$68),"",ReferenceData!$BE$68),"")</f>
        <v>89.4375</v>
      </c>
      <c r="BF68">
        <f ca="1">IFERROR(IF(0=LEN(ReferenceData!$BF$68),"",ReferenceData!$BF$68),"")</f>
        <v>82.619</v>
      </c>
      <c r="BG68">
        <f ca="1">IFERROR(IF(0=LEN(ReferenceData!$BG$68),"",ReferenceData!$BG$68),"")</f>
        <v>82.32050000000001</v>
      </c>
      <c r="BH68">
        <f ca="1">IFERROR(IF(0=LEN(ReferenceData!$BH$68),"",ReferenceData!$BH$68),"")</f>
        <v>80.129000000000005</v>
      </c>
      <c r="BI68">
        <f ca="1">IFERROR(IF(0=LEN(ReferenceData!$BI$68),"",ReferenceData!$BI$68),"")</f>
        <v>78.502500115000004</v>
      </c>
      <c r="BJ68">
        <f ca="1">IFERROR(IF(0=LEN(ReferenceData!$BJ$68),"",ReferenceData!$BJ$68),"")</f>
        <v>74.920001999999997</v>
      </c>
      <c r="BK68">
        <f ca="1">IFERROR(IF(0=LEN(ReferenceData!$BK$68),"",ReferenceData!$BK$68),"")</f>
        <v>73.065500175000011</v>
      </c>
      <c r="BL68">
        <f ca="1">IFERROR(IF(0=LEN(ReferenceData!$BL$68),"",ReferenceData!$BL$68),"")</f>
        <v>69.969498000000002</v>
      </c>
      <c r="BM68">
        <f ca="1">IFERROR(IF(0=LEN(ReferenceData!$BM$68),"",ReferenceData!$BM$68),"")</f>
        <v>69.217998999999992</v>
      </c>
    </row>
    <row r="69" spans="1:65">
      <c r="A69" t="str">
        <f>IFERROR(IF(0=LEN(ReferenceData!$A$69),"",ReferenceData!$A$69),"")</f>
        <v xml:space="preserve">    Brixmor Property Group Inc</v>
      </c>
      <c r="B69" t="str">
        <f>IFERROR(IF(0=LEN(ReferenceData!$B$69),"",ReferenceData!$B$69),"")</f>
        <v>BRX US Equity</v>
      </c>
      <c r="C69" t="str">
        <f>IFERROR(IF(0=LEN(ReferenceData!$C$69),"",ReferenceData!$C$69),"")</f>
        <v>RR502</v>
      </c>
      <c r="D69" t="str">
        <f>IFERROR(IF(0=LEN(ReferenceData!$D$69),"",ReferenceData!$D$69),"")</f>
        <v>NET_OPER_INCOME</v>
      </c>
      <c r="E69" t="str">
        <f>IFERROR(IF(0=LEN(ReferenceData!$E$69),"",ReferenceData!$E$69),"")</f>
        <v>动态</v>
      </c>
      <c r="F69" t="str">
        <f ca="1">IFERROR(IF(0=LEN(ReferenceData!$F$69),"",ReferenceData!$F$69),"")</f>
        <v/>
      </c>
      <c r="G69">
        <f ca="1">IFERROR(IF(0=LEN(ReferenceData!$G$69),"",ReferenceData!$G$69),"")</f>
        <v>275.541</v>
      </c>
      <c r="H69">
        <f ca="1">IFERROR(IF(0=LEN(ReferenceData!$H$69),"",ReferenceData!$H$69),"")</f>
        <v>267.99099999999999</v>
      </c>
      <c r="I69">
        <f ca="1">IFERROR(IF(0=LEN(ReferenceData!$I$69),"",ReferenceData!$I$69),"")</f>
        <v>276.75200000000001</v>
      </c>
      <c r="J69">
        <f ca="1">IFERROR(IF(0=LEN(ReferenceData!$J$69),"",ReferenceData!$J$69),"")</f>
        <v>276.34399999999999</v>
      </c>
      <c r="K69">
        <f ca="1">IFERROR(IF(0=LEN(ReferenceData!$K$69),"",ReferenceData!$K$69),"")</f>
        <v>279.541</v>
      </c>
      <c r="L69">
        <f ca="1">IFERROR(IF(0=LEN(ReferenceData!$L$69),"",ReferenceData!$L$69),"")</f>
        <v>269.51600000000002</v>
      </c>
      <c r="M69">
        <f ca="1">IFERROR(IF(0=LEN(ReferenceData!$M$69),"",ReferenceData!$M$69),"")</f>
        <v>268.65499999999997</v>
      </c>
      <c r="N69">
        <f ca="1">IFERROR(IF(0=LEN(ReferenceData!$N$69),"",ReferenceData!$N$69),"")</f>
        <v>276.46699999999998</v>
      </c>
      <c r="O69">
        <f ca="1">IFERROR(IF(0=LEN(ReferenceData!$O$69),"",ReferenceData!$O$69),"")</f>
        <v>279.30500000000001</v>
      </c>
      <c r="P69">
        <f ca="1">IFERROR(IF(0=LEN(ReferenceData!$P$69),"",ReferenceData!$P$69),"")</f>
        <v>265.661</v>
      </c>
      <c r="Q69">
        <f ca="1">IFERROR(IF(0=LEN(ReferenceData!$Q$69),"",ReferenceData!$Q$69),"")</f>
        <v>265.56799999999998</v>
      </c>
      <c r="R69">
        <f ca="1">IFERROR(IF(0=LEN(ReferenceData!$R$69),"",ReferenceData!$R$69),"")</f>
        <v>269.13499999999999</v>
      </c>
      <c r="S69">
        <f ca="1">IFERROR(IF(0=LEN(ReferenceData!$S$69),"",ReferenceData!$S$69),"")</f>
        <v>266.13499999999999</v>
      </c>
      <c r="T69">
        <f ca="1">IFERROR(IF(0=LEN(ReferenceData!$T$69),"",ReferenceData!$T$69),"")</f>
        <v>259.95299999999997</v>
      </c>
      <c r="U69">
        <f ca="1">IFERROR(IF(0=LEN(ReferenceData!$U$69),"",ReferenceData!$U$69),"")</f>
        <v>261.83</v>
      </c>
      <c r="V69">
        <f ca="1">IFERROR(IF(0=LEN(ReferenceData!$V$69),"",ReferenceData!$V$69),"")</f>
        <v>261.32799999999997</v>
      </c>
      <c r="W69">
        <f ca="1">IFERROR(IF(0=LEN(ReferenceData!$W$69),"",ReferenceData!$W$69),"")</f>
        <v>253.19200000000001</v>
      </c>
      <c r="X69">
        <f ca="1">IFERROR(IF(0=LEN(ReferenceData!$X$69),"",ReferenceData!$X$69),"")</f>
        <v>241.82900000000001</v>
      </c>
      <c r="Y69">
        <f ca="1">IFERROR(IF(0=LEN(ReferenceData!$Y$69),"",ReferenceData!$Y$69),"")</f>
        <v>234.61199999999999</v>
      </c>
      <c r="Z69">
        <f ca="1">IFERROR(IF(0=LEN(ReferenceData!$Z$69),"",ReferenceData!$Z$69),"")</f>
        <v>232.46100000000001</v>
      </c>
      <c r="AA69">
        <f ca="1">IFERROR(IF(0=LEN(ReferenceData!$AA$69),"",ReferenceData!$AA$69),"")</f>
        <v>241.54900000000001</v>
      </c>
      <c r="AB69">
        <f ca="1">IFERROR(IF(0=LEN(ReferenceData!$AB$69),"",ReferenceData!$AB$69),"")</f>
        <v>238.10900000000001</v>
      </c>
      <c r="AC69">
        <f ca="1">IFERROR(IF(0=LEN(ReferenceData!$AC$69),"",ReferenceData!$AC$69),"")</f>
        <v>233.768</v>
      </c>
      <c r="AD69">
        <f ca="1">IFERROR(IF(0=LEN(ReferenceData!$AD$69),"",ReferenceData!$AD$69),"")</f>
        <v>235.91499999999999</v>
      </c>
      <c r="AE69" t="str">
        <f ca="1">IFERROR(IF(0=LEN(ReferenceData!$AE$69),"",ReferenceData!$AE$69),"")</f>
        <v/>
      </c>
      <c r="AF69" t="str">
        <f ca="1">IFERROR(IF(0=LEN(ReferenceData!$AF$69),"",ReferenceData!$AF$69),"")</f>
        <v/>
      </c>
      <c r="AG69" t="str">
        <f ca="1">IFERROR(IF(0=LEN(ReferenceData!$AG$69),"",ReferenceData!$AG$69),"")</f>
        <v/>
      </c>
      <c r="AH69" t="str">
        <f ca="1">IFERROR(IF(0=LEN(ReferenceData!$AH$69),"",ReferenceData!$AH$69),"")</f>
        <v/>
      </c>
      <c r="AI69" t="str">
        <f ca="1">IFERROR(IF(0=LEN(ReferenceData!$AI$69),"",ReferenceData!$AI$69),"")</f>
        <v/>
      </c>
      <c r="AJ69" t="str">
        <f ca="1">IFERROR(IF(0=LEN(ReferenceData!$AJ$69),"",ReferenceData!$AJ$69),"")</f>
        <v/>
      </c>
      <c r="AK69" t="str">
        <f ca="1">IFERROR(IF(0=LEN(ReferenceData!$AK$69),"",ReferenceData!$AK$69),"")</f>
        <v/>
      </c>
      <c r="AL69" t="str">
        <f ca="1">IFERROR(IF(0=LEN(ReferenceData!$AL$69),"",ReferenceData!$AL$69),"")</f>
        <v/>
      </c>
      <c r="AM69" t="str">
        <f ca="1">IFERROR(IF(0=LEN(ReferenceData!$AM$69),"",ReferenceData!$AM$69),"")</f>
        <v/>
      </c>
      <c r="AN69" t="str">
        <f ca="1">IFERROR(IF(0=LEN(ReferenceData!$AN$69),"",ReferenceData!$AN$69),"")</f>
        <v/>
      </c>
      <c r="AO69" t="str">
        <f ca="1">IFERROR(IF(0=LEN(ReferenceData!$AO$69),"",ReferenceData!$AO$69),"")</f>
        <v/>
      </c>
      <c r="AP69" t="str">
        <f ca="1">IFERROR(IF(0=LEN(ReferenceData!$AP$69),"",ReferenceData!$AP$69),"")</f>
        <v/>
      </c>
      <c r="AQ69" t="str">
        <f ca="1">IFERROR(IF(0=LEN(ReferenceData!$AQ$69),"",ReferenceData!$AQ$69),"")</f>
        <v/>
      </c>
      <c r="AR69" t="str">
        <f ca="1">IFERROR(IF(0=LEN(ReferenceData!$AR$69),"",ReferenceData!$AR$69),"")</f>
        <v/>
      </c>
      <c r="AS69" t="str">
        <f ca="1">IFERROR(IF(0=LEN(ReferenceData!$AS$69),"",ReferenceData!$AS$69),"")</f>
        <v/>
      </c>
      <c r="AT69" t="str">
        <f ca="1">IFERROR(IF(0=LEN(ReferenceData!$AT$69),"",ReferenceData!$AT$69),"")</f>
        <v/>
      </c>
      <c r="AU69" t="str">
        <f ca="1">IFERROR(IF(0=LEN(ReferenceData!$AU$69),"",ReferenceData!$AU$69),"")</f>
        <v/>
      </c>
      <c r="AV69" t="str">
        <f ca="1">IFERROR(IF(0=LEN(ReferenceData!$AV$69),"",ReferenceData!$AV$69),"")</f>
        <v/>
      </c>
      <c r="AW69" t="str">
        <f ca="1">IFERROR(IF(0=LEN(ReferenceData!$AW$69),"",ReferenceData!$AW$69),"")</f>
        <v/>
      </c>
      <c r="AX69" t="str">
        <f ca="1">IFERROR(IF(0=LEN(ReferenceData!$AX$69),"",ReferenceData!$AX$69),"")</f>
        <v/>
      </c>
      <c r="AY69" t="str">
        <f ca="1">IFERROR(IF(0=LEN(ReferenceData!$AY$69),"",ReferenceData!$AY$69),"")</f>
        <v/>
      </c>
      <c r="AZ69" t="str">
        <f ca="1">IFERROR(IF(0=LEN(ReferenceData!$AZ$69),"",ReferenceData!$AZ$69),"")</f>
        <v/>
      </c>
      <c r="BA69" t="str">
        <f ca="1">IFERROR(IF(0=LEN(ReferenceData!$BA$69),"",ReferenceData!$BA$69),"")</f>
        <v/>
      </c>
      <c r="BB69" t="str">
        <f ca="1">IFERROR(IF(0=LEN(ReferenceData!$BB$69),"",ReferenceData!$BB$69),"")</f>
        <v/>
      </c>
      <c r="BC69" t="str">
        <f ca="1">IFERROR(IF(0=LEN(ReferenceData!$BC$69),"",ReferenceData!$BC$69),"")</f>
        <v/>
      </c>
      <c r="BD69" t="str">
        <f ca="1">IFERROR(IF(0=LEN(ReferenceData!$BD$69),"",ReferenceData!$BD$69),"")</f>
        <v/>
      </c>
      <c r="BE69" t="str">
        <f ca="1">IFERROR(IF(0=LEN(ReferenceData!$BE$69),"",ReferenceData!$BE$69),"")</f>
        <v/>
      </c>
      <c r="BF69" t="str">
        <f ca="1">IFERROR(IF(0=LEN(ReferenceData!$BF$69),"",ReferenceData!$BF$69),"")</f>
        <v/>
      </c>
      <c r="BG69" t="str">
        <f ca="1">IFERROR(IF(0=LEN(ReferenceData!$BG$69),"",ReferenceData!$BG$69),"")</f>
        <v/>
      </c>
      <c r="BH69" t="str">
        <f ca="1">IFERROR(IF(0=LEN(ReferenceData!$BH$69),"",ReferenceData!$BH$69),"")</f>
        <v/>
      </c>
      <c r="BI69" t="str">
        <f ca="1">IFERROR(IF(0=LEN(ReferenceData!$BI$69),"",ReferenceData!$BI$69),"")</f>
        <v/>
      </c>
      <c r="BJ69" t="str">
        <f ca="1">IFERROR(IF(0=LEN(ReferenceData!$BJ$69),"",ReferenceData!$BJ$69),"")</f>
        <v/>
      </c>
      <c r="BK69" t="str">
        <f ca="1">IFERROR(IF(0=LEN(ReferenceData!$BK$69),"",ReferenceData!$BK$69),"")</f>
        <v/>
      </c>
      <c r="BL69" t="str">
        <f ca="1">IFERROR(IF(0=LEN(ReferenceData!$BL$69),"",ReferenceData!$BL$69),"")</f>
        <v/>
      </c>
      <c r="BM69" t="str">
        <f ca="1">IFERROR(IF(0=LEN(ReferenceData!$BM$69),"",ReferenceData!$BM$69),"")</f>
        <v/>
      </c>
    </row>
    <row r="70" spans="1:65">
      <c r="A70" t="str">
        <f>IFERROR(IF(0=LEN(ReferenceData!$A$70),"",ReferenceData!$A$70),"")</f>
        <v xml:space="preserve">    CBL &amp; Associates Properties In</v>
      </c>
      <c r="B70" t="str">
        <f>IFERROR(IF(0=LEN(ReferenceData!$B$70),"",ReferenceData!$B$70),"")</f>
        <v>CBL US Equity</v>
      </c>
      <c r="C70" t="str">
        <f>IFERROR(IF(0=LEN(ReferenceData!$C$70),"",ReferenceData!$C$70),"")</f>
        <v>RR502</v>
      </c>
      <c r="D70" t="str">
        <f>IFERROR(IF(0=LEN(ReferenceData!$D$70),"",ReferenceData!$D$70),"")</f>
        <v>NET_OPER_INCOME</v>
      </c>
      <c r="E70" t="str">
        <f>IFERROR(IF(0=LEN(ReferenceData!$E$70),"",ReferenceData!$E$70),"")</f>
        <v>动态</v>
      </c>
      <c r="F70" t="str">
        <f ca="1">IFERROR(IF(0=LEN(ReferenceData!$F$70),"",ReferenceData!$F$70),"")</f>
        <v/>
      </c>
      <c r="G70">
        <f ca="1">IFERROR(IF(0=LEN(ReferenceData!$G$70),"",ReferenceData!$G$70),"")</f>
        <v>168.12200000000001</v>
      </c>
      <c r="H70">
        <f ca="1">IFERROR(IF(0=LEN(ReferenceData!$H$70),"",ReferenceData!$H$70),"")</f>
        <v>159.27699999999999</v>
      </c>
      <c r="I70">
        <f ca="1">IFERROR(IF(0=LEN(ReferenceData!$I$70),"",ReferenceData!$I$70),"")</f>
        <v>167.44</v>
      </c>
      <c r="J70">
        <f ca="1">IFERROR(IF(0=LEN(ReferenceData!$J$70),"",ReferenceData!$J$70),"")</f>
        <v>166.185</v>
      </c>
      <c r="K70">
        <f ca="1">IFERROR(IF(0=LEN(ReferenceData!$K$70),"",ReferenceData!$K$70),"")</f>
        <v>187.715</v>
      </c>
      <c r="L70">
        <f ca="1">IFERROR(IF(0=LEN(ReferenceData!$L$70),"",ReferenceData!$L$70),"")</f>
        <v>174.357</v>
      </c>
      <c r="M70">
        <f ca="1">IFERROR(IF(0=LEN(ReferenceData!$M$70),"",ReferenceData!$M$70),"")</f>
        <v>183.20599999999999</v>
      </c>
      <c r="N70">
        <f ca="1">IFERROR(IF(0=LEN(ReferenceData!$N$70),"",ReferenceData!$N$70),"")</f>
        <v>180.107</v>
      </c>
      <c r="O70">
        <f ca="1">IFERROR(IF(0=LEN(ReferenceData!$O$70),"",ReferenceData!$O$70),"")</f>
        <v>202.72800000000001</v>
      </c>
      <c r="P70">
        <f ca="1">IFERROR(IF(0=LEN(ReferenceData!$P$70),"",ReferenceData!$P$70),"")</f>
        <v>181.744</v>
      </c>
      <c r="Q70">
        <f ca="1">IFERROR(IF(0=LEN(ReferenceData!$Q$70),"",ReferenceData!$Q$70),"")</f>
        <v>178.32599999999999</v>
      </c>
      <c r="R70">
        <f ca="1">IFERROR(IF(0=LEN(ReferenceData!$R$70),"",ReferenceData!$R$70),"")</f>
        <v>177.39500000000001</v>
      </c>
      <c r="S70">
        <f ca="1">IFERROR(IF(0=LEN(ReferenceData!$S$70),"",ReferenceData!$S$70),"")</f>
        <v>198.958</v>
      </c>
      <c r="T70">
        <f ca="1">IFERROR(IF(0=LEN(ReferenceData!$T$70),"",ReferenceData!$T$70),"")</f>
        <v>179.05500000000001</v>
      </c>
      <c r="U70">
        <f ca="1">IFERROR(IF(0=LEN(ReferenceData!$U$70),"",ReferenceData!$U$70),"")</f>
        <v>177.416</v>
      </c>
      <c r="V70">
        <f ca="1">IFERROR(IF(0=LEN(ReferenceData!$V$70),"",ReferenceData!$V$70),"")</f>
        <v>175.995</v>
      </c>
      <c r="W70">
        <f ca="1">IFERROR(IF(0=LEN(ReferenceData!$W$70),"",ReferenceData!$W$70),"")</f>
        <v>196.584</v>
      </c>
      <c r="X70">
        <f ca="1">IFERROR(IF(0=LEN(ReferenceData!$X$70),"",ReferenceData!$X$70),"")</f>
        <v>173.66200000000001</v>
      </c>
      <c r="Y70">
        <f ca="1">IFERROR(IF(0=LEN(ReferenceData!$Y$70),"",ReferenceData!$Y$70),"")</f>
        <v>177.60300000000001</v>
      </c>
      <c r="Z70">
        <f ca="1">IFERROR(IF(0=LEN(ReferenceData!$Z$70),"",ReferenceData!$Z$70),"")</f>
        <v>174.89599999999999</v>
      </c>
      <c r="AA70">
        <f ca="1">IFERROR(IF(0=LEN(ReferenceData!$AA$70),"",ReferenceData!$AA$70),"")</f>
        <v>194.95099999999999</v>
      </c>
      <c r="AB70">
        <f ca="1">IFERROR(IF(0=LEN(ReferenceData!$AB$70),"",ReferenceData!$AB$70),"")</f>
        <v>170.46100000000001</v>
      </c>
      <c r="AC70">
        <f ca="1">IFERROR(IF(0=LEN(ReferenceData!$AC$70),"",ReferenceData!$AC$70),"")</f>
        <v>172.25800000000001</v>
      </c>
      <c r="AD70">
        <f ca="1">IFERROR(IF(0=LEN(ReferenceData!$AD$70),"",ReferenceData!$AD$70),"")</f>
        <v>166.458</v>
      </c>
      <c r="AE70">
        <f ca="1">IFERROR(IF(0=LEN(ReferenceData!$AE$70),"",ReferenceData!$AE$70),"")</f>
        <v>186.06</v>
      </c>
      <c r="AF70">
        <f ca="1">IFERROR(IF(0=LEN(ReferenceData!$AF$70),"",ReferenceData!$AF$70),"")</f>
        <v>183.08600000000001</v>
      </c>
      <c r="AG70">
        <f ca="1">IFERROR(IF(0=LEN(ReferenceData!$AG$70),"",ReferenceData!$AG$70),"")</f>
        <v>178.37</v>
      </c>
      <c r="AH70">
        <f ca="1">IFERROR(IF(0=LEN(ReferenceData!$AH$70),"",ReferenceData!$AH$70),"")</f>
        <v>177.316</v>
      </c>
      <c r="AI70">
        <f ca="1">IFERROR(IF(0=LEN(ReferenceData!$AI$70),"",ReferenceData!$AI$70),"")</f>
        <v>202.98400000000001</v>
      </c>
      <c r="AJ70">
        <f ca="1">IFERROR(IF(0=LEN(ReferenceData!$AJ$70),"",ReferenceData!$AJ$70),"")</f>
        <v>178.42400000000001</v>
      </c>
      <c r="AK70">
        <f ca="1">IFERROR(IF(0=LEN(ReferenceData!$AK$70),"",ReferenceData!$AK$70),"")</f>
        <v>176.25399999999999</v>
      </c>
      <c r="AL70">
        <f ca="1">IFERROR(IF(0=LEN(ReferenceData!$AL$70),"",ReferenceData!$AL$70),"")</f>
        <v>176.71299999999999</v>
      </c>
      <c r="AM70">
        <f ca="1">IFERROR(IF(0=LEN(ReferenceData!$AM$70),"",ReferenceData!$AM$70),"")</f>
        <v>204.06399999999999</v>
      </c>
      <c r="AN70">
        <f ca="1">IFERROR(IF(0=LEN(ReferenceData!$AN$70),"",ReferenceData!$AN$70),"")</f>
        <v>175.47399999999999</v>
      </c>
      <c r="AO70">
        <f ca="1">IFERROR(IF(0=LEN(ReferenceData!$AO$70),"",ReferenceData!$AO$70),"")</f>
        <v>182.327</v>
      </c>
      <c r="AP70">
        <f ca="1">IFERROR(IF(0=LEN(ReferenceData!$AP$70),"",ReferenceData!$AP$70),"")</f>
        <v>180.80500000000001</v>
      </c>
      <c r="AQ70">
        <f ca="1">IFERROR(IF(0=LEN(ReferenceData!$AQ$70),"",ReferenceData!$AQ$70),"")</f>
        <v>203.63300000000001</v>
      </c>
      <c r="AR70">
        <f ca="1">IFERROR(IF(0=LEN(ReferenceData!$AR$70),"",ReferenceData!$AR$70),"")</f>
        <v>191.89400000000001</v>
      </c>
      <c r="AS70">
        <f ca="1">IFERROR(IF(0=LEN(ReferenceData!$AS$70),"",ReferenceData!$AS$70),"")</f>
        <v>183.19800000000001</v>
      </c>
      <c r="AT70">
        <f ca="1">IFERROR(IF(0=LEN(ReferenceData!$AT$70),"",ReferenceData!$AT$70),"")</f>
        <v>183.51499999999999</v>
      </c>
      <c r="AU70">
        <f ca="1">IFERROR(IF(0=LEN(ReferenceData!$AU$70),"",ReferenceData!$AU$70),"")</f>
        <v>202.83600000000001</v>
      </c>
      <c r="AV70">
        <f ca="1">IFERROR(IF(0=LEN(ReferenceData!$AV$70),"",ReferenceData!$AV$70),"")</f>
        <v>168.09</v>
      </c>
      <c r="AW70">
        <f ca="1">IFERROR(IF(0=LEN(ReferenceData!$AW$70),"",ReferenceData!$AW$70),"")</f>
        <v>166.97</v>
      </c>
      <c r="AX70">
        <f ca="1">IFERROR(IF(0=LEN(ReferenceData!$AX$70),"",ReferenceData!$AX$70),"")</f>
        <v>165.036</v>
      </c>
      <c r="AY70">
        <f ca="1">IFERROR(IF(0=LEN(ReferenceData!$AY$70),"",ReferenceData!$AY$70),"")</f>
        <v>187.13900000000001</v>
      </c>
      <c r="AZ70">
        <f ca="1">IFERROR(IF(0=LEN(ReferenceData!$AZ$70),"",ReferenceData!$AZ$70),"")</f>
        <v>164.58799999999999</v>
      </c>
      <c r="BA70">
        <f ca="1">IFERROR(IF(0=LEN(ReferenceData!$BA$70),"",ReferenceData!$BA$70),"")</f>
        <v>159.35599999999999</v>
      </c>
      <c r="BB70">
        <f ca="1">IFERROR(IF(0=LEN(ReferenceData!$BB$70),"",ReferenceData!$BB$70),"")</f>
        <v>166.75800000000001</v>
      </c>
      <c r="BC70">
        <f ca="1">IFERROR(IF(0=LEN(ReferenceData!$BC$70),"",ReferenceData!$BC$70),"")</f>
        <v>178.75299999999999</v>
      </c>
      <c r="BD70">
        <f ca="1">IFERROR(IF(0=LEN(ReferenceData!$BD$70),"",ReferenceData!$BD$70),"")</f>
        <v>154.38900000000001</v>
      </c>
      <c r="BE70">
        <f ca="1">IFERROR(IF(0=LEN(ReferenceData!$BE$70),"",ReferenceData!$BE$70),"")</f>
        <v>138.54599999999999</v>
      </c>
      <c r="BF70">
        <f ca="1">IFERROR(IF(0=LEN(ReferenceData!$BF$70),"",ReferenceData!$BF$70),"")</f>
        <v>146.70400000000001</v>
      </c>
      <c r="BG70">
        <f ca="1">IFERROR(IF(0=LEN(ReferenceData!$BG$70),"",ReferenceData!$BG$70),"")</f>
        <v>155.54</v>
      </c>
      <c r="BH70">
        <f ca="1">IFERROR(IF(0=LEN(ReferenceData!$BH$70),"",ReferenceData!$BH$70),"")</f>
        <v>129.80099999999999</v>
      </c>
      <c r="BI70">
        <f ca="1">IFERROR(IF(0=LEN(ReferenceData!$BI$70),"",ReferenceData!$BI$70),"")</f>
        <v>119.035005</v>
      </c>
      <c r="BJ70">
        <f ca="1">IFERROR(IF(0=LEN(ReferenceData!$BJ$70),"",ReferenceData!$BJ$70),"")</f>
        <v>117.302004</v>
      </c>
      <c r="BK70">
        <f ca="1">IFERROR(IF(0=LEN(ReferenceData!$BK$70),"",ReferenceData!$BK$70),"")</f>
        <v>125.640001</v>
      </c>
      <c r="BL70">
        <f ca="1">IFERROR(IF(0=LEN(ReferenceData!$BL$70),"",ReferenceData!$BL$70),"")</f>
        <v>112.213004</v>
      </c>
      <c r="BM70">
        <f ca="1">IFERROR(IF(0=LEN(ReferenceData!$BM$70),"",ReferenceData!$BM$70),"")</f>
        <v>110.436994</v>
      </c>
    </row>
    <row r="71" spans="1:65">
      <c r="A71" t="str">
        <f>IFERROR(IF(0=LEN(ReferenceData!$A$71),"",ReferenceData!$A$71),"")</f>
        <v xml:space="preserve">    DDR Corp</v>
      </c>
      <c r="B71" t="str">
        <f>IFERROR(IF(0=LEN(ReferenceData!$B$71),"",ReferenceData!$B$71),"")</f>
        <v>DDR US Equity</v>
      </c>
      <c r="C71" t="str">
        <f>IFERROR(IF(0=LEN(ReferenceData!$C$71),"",ReferenceData!$C$71),"")</f>
        <v>RR502</v>
      </c>
      <c r="D71" t="str">
        <f>IFERROR(IF(0=LEN(ReferenceData!$D$71),"",ReferenceData!$D$71),"")</f>
        <v>NET_OPER_INCOME</v>
      </c>
      <c r="E71" t="str">
        <f>IFERROR(IF(0=LEN(ReferenceData!$E$71),"",ReferenceData!$E$71),"")</f>
        <v>动态</v>
      </c>
      <c r="F71" t="str">
        <f ca="1">IFERROR(IF(0=LEN(ReferenceData!$F$71),"",ReferenceData!$F$71),"")</f>
        <v/>
      </c>
      <c r="G71">
        <f ca="1">IFERROR(IF(0=LEN(ReferenceData!$G$71),"",ReferenceData!$G$71),"")</f>
        <v>139.02600000000001</v>
      </c>
      <c r="H71">
        <f ca="1">IFERROR(IF(0=LEN(ReferenceData!$H$71),"",ReferenceData!$H$71),"")</f>
        <v>154.03200000000001</v>
      </c>
      <c r="I71">
        <f ca="1">IFERROR(IF(0=LEN(ReferenceData!$I$71),"",ReferenceData!$I$71),"")</f>
        <v>164.97200000000001</v>
      </c>
      <c r="J71">
        <f ca="1">IFERROR(IF(0=LEN(ReferenceData!$J$71),"",ReferenceData!$J$71),"")</f>
        <v>168.48400000000001</v>
      </c>
      <c r="K71">
        <f ca="1">IFERROR(IF(0=LEN(ReferenceData!$K$71),"",ReferenceData!$K$71),"")</f>
        <v>162.452</v>
      </c>
      <c r="L71">
        <f ca="1">IFERROR(IF(0=LEN(ReferenceData!$L$71),"",ReferenceData!$L$71),"")</f>
        <v>179.173</v>
      </c>
      <c r="M71">
        <f ca="1">IFERROR(IF(0=LEN(ReferenceData!$M$71),"",ReferenceData!$M$71),"")</f>
        <v>180.69499999999999</v>
      </c>
      <c r="N71">
        <f ca="1">IFERROR(IF(0=LEN(ReferenceData!$N$71),"",ReferenceData!$N$71),"")</f>
        <v>176.06</v>
      </c>
      <c r="O71">
        <f ca="1">IFERROR(IF(0=LEN(ReferenceData!$O$71),"",ReferenceData!$O$71),"")</f>
        <v>170.36799999999999</v>
      </c>
      <c r="P71">
        <f ca="1">IFERROR(IF(0=LEN(ReferenceData!$P$71),"",ReferenceData!$P$71),"")</f>
        <v>178.125</v>
      </c>
      <c r="Q71">
        <f ca="1">IFERROR(IF(0=LEN(ReferenceData!$Q$71),"",ReferenceData!$Q$71),"")</f>
        <v>183.49700000000001</v>
      </c>
      <c r="R71">
        <f ca="1">IFERROR(IF(0=LEN(ReferenceData!$R$71),"",ReferenceData!$R$71),"")</f>
        <v>182.47</v>
      </c>
      <c r="S71">
        <f ca="1">IFERROR(IF(0=LEN(ReferenceData!$S$71),"",ReferenceData!$S$71),"")</f>
        <v>172.49600000000001</v>
      </c>
      <c r="T71">
        <f ca="1">IFERROR(IF(0=LEN(ReferenceData!$T$71),"",ReferenceData!$T$71),"")</f>
        <v>166.73099999999999</v>
      </c>
      <c r="U71">
        <f ca="1">IFERROR(IF(0=LEN(ReferenceData!$U$71),"",ReferenceData!$U$71),"")</f>
        <v>164.875</v>
      </c>
      <c r="V71">
        <f ca="1">IFERROR(IF(0=LEN(ReferenceData!$V$71),"",ReferenceData!$V$71),"")</f>
        <v>163.26499999999999</v>
      </c>
      <c r="W71">
        <f ca="1">IFERROR(IF(0=LEN(ReferenceData!$W$71),"",ReferenceData!$W$71),"")</f>
        <v>155.59299999999999</v>
      </c>
      <c r="X71">
        <f ca="1">IFERROR(IF(0=LEN(ReferenceData!$X$71),"",ReferenceData!$X$71),"")</f>
        <v>137.70500000000001</v>
      </c>
      <c r="Y71">
        <f ca="1">IFERROR(IF(0=LEN(ReferenceData!$Y$71),"",ReferenceData!$Y$71),"")</f>
        <v>136.27099999999999</v>
      </c>
      <c r="Z71">
        <f ca="1">IFERROR(IF(0=LEN(ReferenceData!$Z$71),"",ReferenceData!$Z$71),"")</f>
        <v>135.98599999999999</v>
      </c>
      <c r="AA71">
        <f ca="1">IFERROR(IF(0=LEN(ReferenceData!$AA$71),"",ReferenceData!$AA$71),"")</f>
        <v>135.851</v>
      </c>
      <c r="AB71">
        <f ca="1">IFERROR(IF(0=LEN(ReferenceData!$AB$71),"",ReferenceData!$AB$71),"")</f>
        <v>130.42599999999999</v>
      </c>
      <c r="AC71">
        <f ca="1">IFERROR(IF(0=LEN(ReferenceData!$AC$71),"",ReferenceData!$AC$71),"")</f>
        <v>128.86600000000001</v>
      </c>
      <c r="AD71">
        <f ca="1">IFERROR(IF(0=LEN(ReferenceData!$AD$71),"",ReferenceData!$AD$71),"")</f>
        <v>126.194</v>
      </c>
      <c r="AE71">
        <f ca="1">IFERROR(IF(0=LEN(ReferenceData!$AE$71),"",ReferenceData!$AE$71),"")</f>
        <v>127.042</v>
      </c>
      <c r="AF71">
        <f ca="1">IFERROR(IF(0=LEN(ReferenceData!$AF$71),"",ReferenceData!$AF$71),"")</f>
        <v>120.209</v>
      </c>
      <c r="AG71">
        <f ca="1">IFERROR(IF(0=LEN(ReferenceData!$AG$71),"",ReferenceData!$AG$71),"")</f>
        <v>120.18899999999999</v>
      </c>
      <c r="AH71">
        <f ca="1">IFERROR(IF(0=LEN(ReferenceData!$AH$71),"",ReferenceData!$AH$71),"")</f>
        <v>124.002</v>
      </c>
      <c r="AI71">
        <f ca="1">IFERROR(IF(0=LEN(ReferenceData!$AI$71),"",ReferenceData!$AI$71),"")</f>
        <v>126.167</v>
      </c>
      <c r="AJ71">
        <f ca="1">IFERROR(IF(0=LEN(ReferenceData!$AJ$71),"",ReferenceData!$AJ$71),"")</f>
        <v>125.32599999999999</v>
      </c>
      <c r="AK71">
        <f ca="1">IFERROR(IF(0=LEN(ReferenceData!$AK$71),"",ReferenceData!$AK$71),"")</f>
        <v>135.95099999999999</v>
      </c>
      <c r="AL71">
        <f ca="1">IFERROR(IF(0=LEN(ReferenceData!$AL$71),"",ReferenceData!$AL$71),"")</f>
        <v>133.97200000000001</v>
      </c>
      <c r="AM71">
        <f ca="1">IFERROR(IF(0=LEN(ReferenceData!$AM$71),"",ReferenceData!$AM$71),"")</f>
        <v>133.74199999999999</v>
      </c>
      <c r="AN71">
        <f ca="1">IFERROR(IF(0=LEN(ReferenceData!$AN$71),"",ReferenceData!$AN$71),"")</f>
        <v>128.745</v>
      </c>
      <c r="AO71">
        <f ca="1">IFERROR(IF(0=LEN(ReferenceData!$AO$71),"",ReferenceData!$AO$71),"")</f>
        <v>131.06399999999999</v>
      </c>
      <c r="AP71">
        <f ca="1">IFERROR(IF(0=LEN(ReferenceData!$AP$71),"",ReferenceData!$AP$71),"")</f>
        <v>137.90100000000001</v>
      </c>
      <c r="AQ71">
        <f ca="1">IFERROR(IF(0=LEN(ReferenceData!$AQ$71),"",ReferenceData!$AQ$71),"")</f>
        <v>146.58600000000001</v>
      </c>
      <c r="AR71">
        <f ca="1">IFERROR(IF(0=LEN(ReferenceData!$AR$71),"",ReferenceData!$AR$71),"")</f>
        <v>153.87100000000001</v>
      </c>
      <c r="AS71">
        <f ca="1">IFERROR(IF(0=LEN(ReferenceData!$AS$71),"",ReferenceData!$AS$71),"")</f>
        <v>154.43</v>
      </c>
      <c r="AT71">
        <f ca="1">IFERROR(IF(0=LEN(ReferenceData!$AT$71),"",ReferenceData!$AT$71),"")</f>
        <v>165.29900000000001</v>
      </c>
      <c r="AU71">
        <f ca="1">IFERROR(IF(0=LEN(ReferenceData!$AU$71),"",ReferenceData!$AU$71),"")</f>
        <v>166.47200000000001</v>
      </c>
      <c r="AV71">
        <f ca="1">IFERROR(IF(0=LEN(ReferenceData!$AV$71),"",ReferenceData!$AV$71),"")</f>
        <v>165.215</v>
      </c>
      <c r="AW71">
        <f ca="1">IFERROR(IF(0=LEN(ReferenceData!$AW$71),"",ReferenceData!$AW$71),"")</f>
        <v>179.245</v>
      </c>
      <c r="AX71">
        <f ca="1">IFERROR(IF(0=LEN(ReferenceData!$AX$71),"",ReferenceData!$AX$71),"")</f>
        <v>153.482</v>
      </c>
      <c r="AY71">
        <f ca="1">IFERROR(IF(0=LEN(ReferenceData!$AY$71),"",ReferenceData!$AY$71),"")</f>
        <v>132.041</v>
      </c>
      <c r="AZ71">
        <f ca="1">IFERROR(IF(0=LEN(ReferenceData!$AZ$71),"",ReferenceData!$AZ$71),"")</f>
        <v>138.34899999999999</v>
      </c>
      <c r="BA71">
        <f ca="1">IFERROR(IF(0=LEN(ReferenceData!$BA$71),"",ReferenceData!$BA$71),"")</f>
        <v>134.36000000000001</v>
      </c>
      <c r="BB71">
        <f ca="1">IFERROR(IF(0=LEN(ReferenceData!$BB$71),"",ReferenceData!$BB$71),"")</f>
        <v>139.05799999999999</v>
      </c>
      <c r="BC71">
        <f ca="1">IFERROR(IF(0=LEN(ReferenceData!$BC$71),"",ReferenceData!$BC$71),"")</f>
        <v>135.096</v>
      </c>
      <c r="BD71">
        <f ca="1">IFERROR(IF(0=LEN(ReferenceData!$BD$71),"",ReferenceData!$BD$71),"")</f>
        <v>127.274</v>
      </c>
      <c r="BE71">
        <f ca="1">IFERROR(IF(0=LEN(ReferenceData!$BE$71),"",ReferenceData!$BE$71),"")</f>
        <v>128.261</v>
      </c>
      <c r="BF71">
        <f ca="1">IFERROR(IF(0=LEN(ReferenceData!$BF$71),"",ReferenceData!$BF$71),"")</f>
        <v>122.852</v>
      </c>
      <c r="BG71">
        <f ca="1">IFERROR(IF(0=LEN(ReferenceData!$BG$71),"",ReferenceData!$BG$71),"")</f>
        <v>113.292</v>
      </c>
      <c r="BH71">
        <f ca="1">IFERROR(IF(0=LEN(ReferenceData!$BH$71),"",ReferenceData!$BH$71),"")</f>
        <v>116.499</v>
      </c>
      <c r="BI71">
        <f ca="1">IFERROR(IF(0=LEN(ReferenceData!$BI$71),"",ReferenceData!$BI$71),"")</f>
        <v>105.652</v>
      </c>
      <c r="BJ71">
        <f ca="1">IFERROR(IF(0=LEN(ReferenceData!$BJ$71),"",ReferenceData!$BJ$71),"")</f>
        <v>88.551000000000002</v>
      </c>
      <c r="BK71">
        <f ca="1">IFERROR(IF(0=LEN(ReferenceData!$BK$71),"",ReferenceData!$BK$71),"")</f>
        <v>84.738000150000005</v>
      </c>
      <c r="BL71">
        <f ca="1">IFERROR(IF(0=LEN(ReferenceData!$BL$71),"",ReferenceData!$BL$71),"")</f>
        <v>87.248999999999995</v>
      </c>
      <c r="BM71">
        <f ca="1">IFERROR(IF(0=LEN(ReferenceData!$BM$71),"",ReferenceData!$BM$71),"")</f>
        <v>89.397000000000006</v>
      </c>
    </row>
    <row r="72" spans="1:65">
      <c r="A72" t="str">
        <f>IFERROR(IF(0=LEN(ReferenceData!$A$72),"",ReferenceData!$A$72),"")</f>
        <v xml:space="preserve">    Federal Realty Investment Trus</v>
      </c>
      <c r="B72" t="str">
        <f>IFERROR(IF(0=LEN(ReferenceData!$B$72),"",ReferenceData!$B$72),"")</f>
        <v>FRT US Equity</v>
      </c>
      <c r="C72" t="str">
        <f>IFERROR(IF(0=LEN(ReferenceData!$C$72),"",ReferenceData!$C$72),"")</f>
        <v>RR502</v>
      </c>
      <c r="D72" t="str">
        <f>IFERROR(IF(0=LEN(ReferenceData!$D$72),"",ReferenceData!$D$72),"")</f>
        <v>NET_OPER_INCOME</v>
      </c>
      <c r="E72" t="str">
        <f>IFERROR(IF(0=LEN(ReferenceData!$E$72),"",ReferenceData!$E$72),"")</f>
        <v>动态</v>
      </c>
      <c r="F72" t="str">
        <f ca="1">IFERROR(IF(0=LEN(ReferenceData!$F$72),"",ReferenceData!$F$72),"")</f>
        <v/>
      </c>
      <c r="G72">
        <f ca="1">IFERROR(IF(0=LEN(ReferenceData!$G$72),"",ReferenceData!$G$72),"")</f>
        <v>146.58199999999999</v>
      </c>
      <c r="H72">
        <f ca="1">IFERROR(IF(0=LEN(ReferenceData!$H$72),"",ReferenceData!$H$72),"")</f>
        <v>143.30600000000001</v>
      </c>
      <c r="I72">
        <f ca="1">IFERROR(IF(0=LEN(ReferenceData!$I$72),"",ReferenceData!$I$72),"")</f>
        <v>140.596</v>
      </c>
      <c r="J72">
        <f ca="1">IFERROR(IF(0=LEN(ReferenceData!$J$72),"",ReferenceData!$J$72),"")</f>
        <v>138.24799999999999</v>
      </c>
      <c r="K72">
        <f ca="1">IFERROR(IF(0=LEN(ReferenceData!$K$72),"",ReferenceData!$K$72),"")</f>
        <v>136.80799999999999</v>
      </c>
      <c r="L72">
        <f ca="1">IFERROR(IF(0=LEN(ReferenceData!$L$72),"",ReferenceData!$L$72),"")</f>
        <v>133.90799999999999</v>
      </c>
      <c r="M72">
        <f ca="1">IFERROR(IF(0=LEN(ReferenceData!$M$72),"",ReferenceData!$M$72),"")</f>
        <v>132.56</v>
      </c>
      <c r="N72">
        <f ca="1">IFERROR(IF(0=LEN(ReferenceData!$N$72),"",ReferenceData!$N$72),"")</f>
        <v>129.69499999999999</v>
      </c>
      <c r="O72">
        <f ca="1">IFERROR(IF(0=LEN(ReferenceData!$O$72),"",ReferenceData!$O$72),"")</f>
        <v>127.149</v>
      </c>
      <c r="P72">
        <f ca="1">IFERROR(IF(0=LEN(ReferenceData!$P$72),"",ReferenceData!$P$72),"")</f>
        <v>125.319</v>
      </c>
      <c r="Q72">
        <f ca="1">IFERROR(IF(0=LEN(ReferenceData!$Q$72),"",ReferenceData!$Q$72),"")</f>
        <v>122.59399999999999</v>
      </c>
      <c r="R72">
        <f ca="1">IFERROR(IF(0=LEN(ReferenceData!$R$72),"",ReferenceData!$R$72),"")</f>
        <v>119.333</v>
      </c>
      <c r="S72">
        <f ca="1">IFERROR(IF(0=LEN(ReferenceData!$S$72),"",ReferenceData!$S$72),"")</f>
        <v>118.392</v>
      </c>
      <c r="T72">
        <f ca="1">IFERROR(IF(0=LEN(ReferenceData!$T$72),"",ReferenceData!$T$72),"")</f>
        <v>113.83</v>
      </c>
      <c r="U72">
        <f ca="1">IFERROR(IF(0=LEN(ReferenceData!$U$72),"",ReferenceData!$U$72),"")</f>
        <v>111.81399999999999</v>
      </c>
      <c r="V72">
        <f ca="1">IFERROR(IF(0=LEN(ReferenceData!$V$72),"",ReferenceData!$V$72),"")</f>
        <v>110.363</v>
      </c>
      <c r="W72">
        <f ca="1">IFERROR(IF(0=LEN(ReferenceData!$W$72),"",ReferenceData!$W$72),"")</f>
        <v>109.858</v>
      </c>
      <c r="X72">
        <f ca="1">IFERROR(IF(0=LEN(ReferenceData!$X$72),"",ReferenceData!$X$72),"")</f>
        <v>106.863</v>
      </c>
      <c r="Y72">
        <f ca="1">IFERROR(IF(0=LEN(ReferenceData!$Y$72),"",ReferenceData!$Y$72),"")</f>
        <v>107.371</v>
      </c>
      <c r="Z72">
        <f ca="1">IFERROR(IF(0=LEN(ReferenceData!$Z$72),"",ReferenceData!$Z$72),"")</f>
        <v>105.54300000000001</v>
      </c>
      <c r="AA72">
        <f ca="1">IFERROR(IF(0=LEN(ReferenceData!$AA$72),"",ReferenceData!$AA$72),"")</f>
        <v>105.003</v>
      </c>
      <c r="AB72">
        <f ca="1">IFERROR(IF(0=LEN(ReferenceData!$AB$72),"",ReferenceData!$AB$72),"")</f>
        <v>100.51600000000001</v>
      </c>
      <c r="AC72">
        <f ca="1">IFERROR(IF(0=LEN(ReferenceData!$AC$72),"",ReferenceData!$AC$72),"")</f>
        <v>98.352999999999994</v>
      </c>
      <c r="AD72">
        <f ca="1">IFERROR(IF(0=LEN(ReferenceData!$AD$72),"",ReferenceData!$AD$72),"")</f>
        <v>98.494</v>
      </c>
      <c r="AE72">
        <f ca="1">IFERROR(IF(0=LEN(ReferenceData!$AE$72),"",ReferenceData!$AE$72),"")</f>
        <v>94.210999999999999</v>
      </c>
      <c r="AF72">
        <f ca="1">IFERROR(IF(0=LEN(ReferenceData!$AF$72),"",ReferenceData!$AF$72),"")</f>
        <v>92.372</v>
      </c>
      <c r="AG72">
        <f ca="1">IFERROR(IF(0=LEN(ReferenceData!$AG$72),"",ReferenceData!$AG$72),"")</f>
        <v>92.32</v>
      </c>
      <c r="AH72">
        <f ca="1">IFERROR(IF(0=LEN(ReferenceData!$AH$72),"",ReferenceData!$AH$72),"")</f>
        <v>89.629000000000005</v>
      </c>
      <c r="AI72">
        <f ca="1">IFERROR(IF(0=LEN(ReferenceData!$AI$72),"",ReferenceData!$AI$72),"")</f>
        <v>90.855000000000004</v>
      </c>
      <c r="AJ72">
        <f ca="1">IFERROR(IF(0=LEN(ReferenceData!$AJ$72),"",ReferenceData!$AJ$72),"")</f>
        <v>87.311999999999998</v>
      </c>
      <c r="AK72">
        <f ca="1">IFERROR(IF(0=LEN(ReferenceData!$AK$72),"",ReferenceData!$AK$72),"")</f>
        <v>89.296999999999997</v>
      </c>
      <c r="AL72">
        <f ca="1">IFERROR(IF(0=LEN(ReferenceData!$AL$72),"",ReferenceData!$AL$72),"")</f>
        <v>86.355999999999995</v>
      </c>
      <c r="AM72">
        <f ca="1">IFERROR(IF(0=LEN(ReferenceData!$AM$72),"",ReferenceData!$AM$72),"")</f>
        <v>87.974000000000004</v>
      </c>
      <c r="AN72">
        <f ca="1">IFERROR(IF(0=LEN(ReferenceData!$AN$72),"",ReferenceData!$AN$72),"")</f>
        <v>87.316999999999993</v>
      </c>
      <c r="AO72">
        <f ca="1">IFERROR(IF(0=LEN(ReferenceData!$AO$72),"",ReferenceData!$AO$72),"")</f>
        <v>86.188999999999993</v>
      </c>
      <c r="AP72">
        <f ca="1">IFERROR(IF(0=LEN(ReferenceData!$AP$72),"",ReferenceData!$AP$72),"")</f>
        <v>84.677000000000007</v>
      </c>
      <c r="AQ72">
        <f ca="1">IFERROR(IF(0=LEN(ReferenceData!$AQ$72),"",ReferenceData!$AQ$72),"")</f>
        <v>87.25</v>
      </c>
      <c r="AR72">
        <f ca="1">IFERROR(IF(0=LEN(ReferenceData!$AR$72),"",ReferenceData!$AR$72),"")</f>
        <v>84.355000000000004</v>
      </c>
      <c r="AS72">
        <f ca="1">IFERROR(IF(0=LEN(ReferenceData!$AS$72),"",ReferenceData!$AS$72),"")</f>
        <v>82.674999999999997</v>
      </c>
      <c r="AT72">
        <f ca="1">IFERROR(IF(0=LEN(ReferenceData!$AT$72),"",ReferenceData!$AT$72),"")</f>
        <v>82.215999999999994</v>
      </c>
      <c r="AU72">
        <f ca="1">IFERROR(IF(0=LEN(ReferenceData!$AU$72),"",ReferenceData!$AU$72),"")</f>
        <v>82.62</v>
      </c>
      <c r="AV72">
        <f ca="1">IFERROR(IF(0=LEN(ReferenceData!$AV$72),"",ReferenceData!$AV$72),"")</f>
        <v>80.546000000000006</v>
      </c>
      <c r="AW72">
        <f ca="1">IFERROR(IF(0=LEN(ReferenceData!$AW$72),"",ReferenceData!$AW$72),"")</f>
        <v>80.564999999999998</v>
      </c>
      <c r="AX72">
        <f ca="1">IFERROR(IF(0=LEN(ReferenceData!$AX$72),"",ReferenceData!$AX$72),"")</f>
        <v>76.897000000000006</v>
      </c>
      <c r="AY72">
        <f ca="1">IFERROR(IF(0=LEN(ReferenceData!$AY$72),"",ReferenceData!$AY$72),"")</f>
        <v>65.147999999999996</v>
      </c>
      <c r="AZ72">
        <f ca="1">IFERROR(IF(0=LEN(ReferenceData!$AZ$72),"",ReferenceData!$AZ$72),"")</f>
        <v>77.001000000000005</v>
      </c>
      <c r="BA72">
        <f ca="1">IFERROR(IF(0=LEN(ReferenceData!$BA$72),"",ReferenceData!$BA$72),"")</f>
        <v>74.521000000000001</v>
      </c>
      <c r="BB72">
        <f ca="1">IFERROR(IF(0=LEN(ReferenceData!$BB$72),"",ReferenceData!$BB$72),"")</f>
        <v>72.347999999999999</v>
      </c>
      <c r="BC72">
        <f ca="1">IFERROR(IF(0=LEN(ReferenceData!$BC$72),"",ReferenceData!$BC$72),"")</f>
        <v>66.775999999999996</v>
      </c>
      <c r="BD72">
        <f ca="1">IFERROR(IF(0=LEN(ReferenceData!$BD$72),"",ReferenceData!$BD$72),"")</f>
        <v>69.495000000000005</v>
      </c>
      <c r="BE72">
        <f ca="1">IFERROR(IF(0=LEN(ReferenceData!$BE$72),"",ReferenceData!$BE$72),"")</f>
        <v>67.656000000000006</v>
      </c>
      <c r="BF72">
        <f ca="1">IFERROR(IF(0=LEN(ReferenceData!$BF$72),"",ReferenceData!$BF$72),"")</f>
        <v>65.513000000000005</v>
      </c>
      <c r="BG72">
        <f ca="1">IFERROR(IF(0=LEN(ReferenceData!$BG$72),"",ReferenceData!$BG$72),"")</f>
        <v>59.822998050000002</v>
      </c>
      <c r="BH72">
        <f ca="1">IFERROR(IF(0=LEN(ReferenceData!$BH$72),"",ReferenceData!$BH$72),"")</f>
        <v>65.478999999999999</v>
      </c>
      <c r="BI72">
        <f ca="1">IFERROR(IF(0=LEN(ReferenceData!$BI$72),"",ReferenceData!$BI$72),"")</f>
        <v>60.109996799999998</v>
      </c>
      <c r="BJ72">
        <f ca="1">IFERROR(IF(0=LEN(ReferenceData!$BJ$72),"",ReferenceData!$BJ$72),"")</f>
        <v>58.018999999999998</v>
      </c>
      <c r="BK72">
        <f ca="1">IFERROR(IF(0=LEN(ReferenceData!$BK$72),"",ReferenceData!$BK$72),"")</f>
        <v>60.558999999999997</v>
      </c>
      <c r="BL72">
        <f ca="1">IFERROR(IF(0=LEN(ReferenceData!$BL$72),"",ReferenceData!$BL$72),"")</f>
        <v>53.262999999999998</v>
      </c>
      <c r="BM72">
        <f ca="1">IFERROR(IF(0=LEN(ReferenceData!$BM$72),"",ReferenceData!$BM$72),"")</f>
        <v>52.393999999999998</v>
      </c>
    </row>
    <row r="73" spans="1:65">
      <c r="A73" t="str">
        <f>IFERROR(IF(0=LEN(ReferenceData!$A$73),"",ReferenceData!$A$73),"")</f>
        <v xml:space="preserve">    Kimco Realty Corp</v>
      </c>
      <c r="B73" t="str">
        <f>IFERROR(IF(0=LEN(ReferenceData!$B$73),"",ReferenceData!$B$73),"")</f>
        <v>KIM US Equity</v>
      </c>
      <c r="C73" t="str">
        <f>IFERROR(IF(0=LEN(ReferenceData!$C$73),"",ReferenceData!$C$73),"")</f>
        <v>RR502</v>
      </c>
      <c r="D73" t="str">
        <f>IFERROR(IF(0=LEN(ReferenceData!$D$73),"",ReferenceData!$D$73),"")</f>
        <v>NET_OPER_INCOME</v>
      </c>
      <c r="E73" t="str">
        <f>IFERROR(IF(0=LEN(ReferenceData!$E$73),"",ReferenceData!$E$73),"")</f>
        <v>动态</v>
      </c>
      <c r="F73" t="str">
        <f ca="1">IFERROR(IF(0=LEN(ReferenceData!$F$73),"",ReferenceData!$F$73),"")</f>
        <v/>
      </c>
      <c r="G73">
        <f ca="1">IFERROR(IF(0=LEN(ReferenceData!$G$73),"",ReferenceData!$G$73),"")</f>
        <v>230.65</v>
      </c>
      <c r="H73">
        <f ca="1">IFERROR(IF(0=LEN(ReferenceData!$H$73),"",ReferenceData!$H$73),"")</f>
        <v>220.52099999999999</v>
      </c>
      <c r="I73">
        <f ca="1">IFERROR(IF(0=LEN(ReferenceData!$I$73),"",ReferenceData!$I$73),"")</f>
        <v>220.22900000000001</v>
      </c>
      <c r="J73">
        <f ca="1">IFERROR(IF(0=LEN(ReferenceData!$J$73),"",ReferenceData!$J$73),"")</f>
        <v>218.30600000000001</v>
      </c>
      <c r="K73">
        <f ca="1">IFERROR(IF(0=LEN(ReferenceData!$K$73),"",ReferenceData!$K$73),"")</f>
        <v>215.114</v>
      </c>
      <c r="L73">
        <f ca="1">IFERROR(IF(0=LEN(ReferenceData!$L$73),"",ReferenceData!$L$73),"")</f>
        <v>212.05500000000001</v>
      </c>
      <c r="M73">
        <f ca="1">IFERROR(IF(0=LEN(ReferenceData!$M$73),"",ReferenceData!$M$73),"")</f>
        <v>219.74600000000001</v>
      </c>
      <c r="N73">
        <f ca="1">IFERROR(IF(0=LEN(ReferenceData!$N$73),"",ReferenceData!$N$73),"")</f>
        <v>225.35900000000001</v>
      </c>
      <c r="O73">
        <f ca="1">IFERROR(IF(0=LEN(ReferenceData!$O$73),"",ReferenceData!$O$73),"")</f>
        <v>220.14099999999999</v>
      </c>
      <c r="P73">
        <f ca="1">IFERROR(IF(0=LEN(ReferenceData!$P$73),"",ReferenceData!$P$73),"")</f>
        <v>213.983</v>
      </c>
      <c r="Q73">
        <f ca="1">IFERROR(IF(0=LEN(ReferenceData!$Q$73),"",ReferenceData!$Q$73),"")</f>
        <v>218.24</v>
      </c>
      <c r="R73">
        <f ca="1">IFERROR(IF(0=LEN(ReferenceData!$R$73),"",ReferenceData!$R$73),"")</f>
        <v>209.928</v>
      </c>
      <c r="S73">
        <f ca="1">IFERROR(IF(0=LEN(ReferenceData!$S$73),"",ReferenceData!$S$73),"")</f>
        <v>193.417</v>
      </c>
      <c r="T73">
        <f ca="1">IFERROR(IF(0=LEN(ReferenceData!$T$73),"",ReferenceData!$T$73),"")</f>
        <v>189.64400000000001</v>
      </c>
      <c r="U73">
        <f ca="1">IFERROR(IF(0=LEN(ReferenceData!$U$73),"",ReferenceData!$U$73),"")</f>
        <v>182.75700000000001</v>
      </c>
      <c r="V73">
        <f ca="1">IFERROR(IF(0=LEN(ReferenceData!$V$73),"",ReferenceData!$V$73),"")</f>
        <v>169.46199999999999</v>
      </c>
      <c r="W73">
        <f ca="1">IFERROR(IF(0=LEN(ReferenceData!$W$73),"",ReferenceData!$W$73),"")</f>
        <v>164.928</v>
      </c>
      <c r="X73">
        <f ca="1">IFERROR(IF(0=LEN(ReferenceData!$X$73),"",ReferenceData!$X$73),"")</f>
        <v>166.22499999999999</v>
      </c>
      <c r="Y73">
        <f ca="1">IFERROR(IF(0=LEN(ReferenceData!$Y$73),"",ReferenceData!$Y$73),"")</f>
        <v>182.44499999999999</v>
      </c>
      <c r="Z73">
        <f ca="1">IFERROR(IF(0=LEN(ReferenceData!$Z$73),"",ReferenceData!$Z$73),"")</f>
        <v>169.571</v>
      </c>
      <c r="AA73">
        <f ca="1">IFERROR(IF(0=LEN(ReferenceData!$AA$73),"",ReferenceData!$AA$73),"")</f>
        <v>161.03</v>
      </c>
      <c r="AB73">
        <f ca="1">IFERROR(IF(0=LEN(ReferenceData!$AB$73),"",ReferenceData!$AB$73),"")</f>
        <v>165.43700000000001</v>
      </c>
      <c r="AC73">
        <f ca="1">IFERROR(IF(0=LEN(ReferenceData!$AC$73),"",ReferenceData!$AC$73),"")</f>
        <v>168.85400000000001</v>
      </c>
      <c r="AD73">
        <f ca="1">IFERROR(IF(0=LEN(ReferenceData!$AD$73),"",ReferenceData!$AD$73),"")</f>
        <v>166.15899999999999</v>
      </c>
      <c r="AE73">
        <f ca="1">IFERROR(IF(0=LEN(ReferenceData!$AE$73),"",ReferenceData!$AE$73),"")</f>
        <v>159.44499999999999</v>
      </c>
      <c r="AF73">
        <f ca="1">IFERROR(IF(0=LEN(ReferenceData!$AF$73),"",ReferenceData!$AF$73),"")</f>
        <v>154.428</v>
      </c>
      <c r="AG73">
        <f ca="1">IFERROR(IF(0=LEN(ReferenceData!$AG$73),"",ReferenceData!$AG$73),"")</f>
        <v>161.25800000000001</v>
      </c>
      <c r="AH73">
        <f ca="1">IFERROR(IF(0=LEN(ReferenceData!$AH$73),"",ReferenceData!$AH$73),"")</f>
        <v>159.327</v>
      </c>
      <c r="AI73">
        <f ca="1">IFERROR(IF(0=LEN(ReferenceData!$AI$73),"",ReferenceData!$AI$73),"")</f>
        <v>157.42500000000001</v>
      </c>
      <c r="AJ73">
        <f ca="1">IFERROR(IF(0=LEN(ReferenceData!$AJ$73),"",ReferenceData!$AJ$73),"")</f>
        <v>155.21199999999999</v>
      </c>
      <c r="AK73">
        <f ca="1">IFERROR(IF(0=LEN(ReferenceData!$AK$73),"",ReferenceData!$AK$73),"")</f>
        <v>158.417</v>
      </c>
      <c r="AL73">
        <f ca="1">IFERROR(IF(0=LEN(ReferenceData!$AL$73),"",ReferenceData!$AL$73),"")</f>
        <v>158.78299999999999</v>
      </c>
      <c r="AM73">
        <f ca="1">IFERROR(IF(0=LEN(ReferenceData!$AM$73),"",ReferenceData!$AM$73),"")</f>
        <v>152.86799999999999</v>
      </c>
      <c r="AN73">
        <f ca="1">IFERROR(IF(0=LEN(ReferenceData!$AN$73),"",ReferenceData!$AN$73),"")</f>
        <v>142.65</v>
      </c>
      <c r="AO73">
        <f ca="1">IFERROR(IF(0=LEN(ReferenceData!$AO$73),"",ReferenceData!$AO$73),"")</f>
        <v>143.95699999999999</v>
      </c>
      <c r="AP73">
        <f ca="1">IFERROR(IF(0=LEN(ReferenceData!$AP$73),"",ReferenceData!$AP$73),"")</f>
        <v>144.93100000000001</v>
      </c>
      <c r="AQ73">
        <f ca="1">IFERROR(IF(0=LEN(ReferenceData!$AQ$73),"",ReferenceData!$AQ$73),"")</f>
        <v>150.96899999999999</v>
      </c>
      <c r="AR73">
        <f ca="1">IFERROR(IF(0=LEN(ReferenceData!$AR$73),"",ReferenceData!$AR$73),"")</f>
        <v>148.80199999999999</v>
      </c>
      <c r="AS73">
        <f ca="1">IFERROR(IF(0=LEN(ReferenceData!$AS$73),"",ReferenceData!$AS$73),"")</f>
        <v>144.018</v>
      </c>
      <c r="AT73">
        <f ca="1">IFERROR(IF(0=LEN(ReferenceData!$AT$73),"",ReferenceData!$AT$73),"")</f>
        <v>146.51499999999999</v>
      </c>
      <c r="AU73">
        <f ca="1">IFERROR(IF(0=LEN(ReferenceData!$AU$73),"",ReferenceData!$AU$73),"")</f>
        <v>137.76400000000001</v>
      </c>
      <c r="AV73">
        <f ca="1">IFERROR(IF(0=LEN(ReferenceData!$AV$73),"",ReferenceData!$AV$73),"")</f>
        <v>138.346</v>
      </c>
      <c r="AW73">
        <f ca="1">IFERROR(IF(0=LEN(ReferenceData!$AW$73),"",ReferenceData!$AW$73),"")</f>
        <v>136.791</v>
      </c>
      <c r="AX73">
        <f ca="1">IFERROR(IF(0=LEN(ReferenceData!$AX$73),"",ReferenceData!$AX$73),"")</f>
        <v>132.74</v>
      </c>
      <c r="AY73">
        <f ca="1">IFERROR(IF(0=LEN(ReferenceData!$AY$73),"",ReferenceData!$AY$73),"")</f>
        <v>133.833</v>
      </c>
      <c r="AZ73">
        <f ca="1">IFERROR(IF(0=LEN(ReferenceData!$AZ$73),"",ReferenceData!$AZ$73),"")</f>
        <v>108.84399999999999</v>
      </c>
      <c r="BA73">
        <f ca="1">IFERROR(IF(0=LEN(ReferenceData!$BA$73),"",ReferenceData!$BA$73),"")</f>
        <v>119.16</v>
      </c>
      <c r="BB73">
        <f ca="1">IFERROR(IF(0=LEN(ReferenceData!$BB$73),"",ReferenceData!$BB$73),"")</f>
        <v>107.55500000000001</v>
      </c>
      <c r="BC73">
        <f ca="1">IFERROR(IF(0=LEN(ReferenceData!$BC$73),"",ReferenceData!$BC$73),"")</f>
        <v>97.715999999999994</v>
      </c>
      <c r="BD73">
        <f ca="1">IFERROR(IF(0=LEN(ReferenceData!$BD$73),"",ReferenceData!$BD$73),"")</f>
        <v>102.652</v>
      </c>
      <c r="BE73">
        <f ca="1">IFERROR(IF(0=LEN(ReferenceData!$BE$73),"",ReferenceData!$BE$73),"")</f>
        <v>100.976</v>
      </c>
      <c r="BF73">
        <f ca="1">IFERROR(IF(0=LEN(ReferenceData!$BF$73),"",ReferenceData!$BF$73),"")</f>
        <v>100.974</v>
      </c>
      <c r="BG73">
        <f ca="1">IFERROR(IF(0=LEN(ReferenceData!$BG$73),"",ReferenceData!$BG$73),"")</f>
        <v>96.363</v>
      </c>
      <c r="BH73">
        <f ca="1">IFERROR(IF(0=LEN(ReferenceData!$BH$73),"",ReferenceData!$BH$73),"")</f>
        <v>95.78</v>
      </c>
      <c r="BI73">
        <f ca="1">IFERROR(IF(0=LEN(ReferenceData!$BI$73),"",ReferenceData!$BI$73),"")</f>
        <v>104.501</v>
      </c>
      <c r="BJ73">
        <f ca="1">IFERROR(IF(0=LEN(ReferenceData!$BJ$73),"",ReferenceData!$BJ$73),"")</f>
        <v>109.14</v>
      </c>
      <c r="BK73">
        <f ca="1">IFERROR(IF(0=LEN(ReferenceData!$BK$73),"",ReferenceData!$BK$73),"")</f>
        <v>97.557000000000002</v>
      </c>
      <c r="BL73">
        <f ca="1">IFERROR(IF(0=LEN(ReferenceData!$BL$73),"",ReferenceData!$BL$73),"")</f>
        <v>91.856995580000003</v>
      </c>
      <c r="BM73">
        <f ca="1">IFERROR(IF(0=LEN(ReferenceData!$BM$73),"",ReferenceData!$BM$73),"")</f>
        <v>88.042000000000002</v>
      </c>
    </row>
    <row r="74" spans="1:65">
      <c r="A74" t="str">
        <f>IFERROR(IF(0=LEN(ReferenceData!$A$74),"",ReferenceData!$A$74),"")</f>
        <v xml:space="preserve">    National Retail Properties Inc</v>
      </c>
      <c r="B74" t="str">
        <f>IFERROR(IF(0=LEN(ReferenceData!$B$74),"",ReferenceData!$B$74),"")</f>
        <v>NNN US Equity</v>
      </c>
      <c r="C74" t="str">
        <f>IFERROR(IF(0=LEN(ReferenceData!$C$74),"",ReferenceData!$C$74),"")</f>
        <v>RR502</v>
      </c>
      <c r="D74" t="str">
        <f>IFERROR(IF(0=LEN(ReferenceData!$D$74),"",ReferenceData!$D$74),"")</f>
        <v>NET_OPER_INCOME</v>
      </c>
      <c r="E74" t="str">
        <f>IFERROR(IF(0=LEN(ReferenceData!$E$74),"",ReferenceData!$E$74),"")</f>
        <v>动态</v>
      </c>
      <c r="F74" t="str">
        <f ca="1">IFERROR(IF(0=LEN(ReferenceData!$F$74),"",ReferenceData!$F$74),"")</f>
        <v/>
      </c>
      <c r="G74">
        <f ca="1">IFERROR(IF(0=LEN(ReferenceData!$G$74),"",ReferenceData!$G$74),"")</f>
        <v>143.06</v>
      </c>
      <c r="H74">
        <f ca="1">IFERROR(IF(0=LEN(ReferenceData!$H$74),"",ReferenceData!$H$74),"")</f>
        <v>141.67599999999999</v>
      </c>
      <c r="I74">
        <f ca="1">IFERROR(IF(0=LEN(ReferenceData!$I$74),"",ReferenceData!$I$74),"")</f>
        <v>139.77199999999999</v>
      </c>
      <c r="J74">
        <f ca="1">IFERROR(IF(0=LEN(ReferenceData!$J$74),"",ReferenceData!$J$74),"")</f>
        <v>135.238</v>
      </c>
      <c r="K74">
        <f ca="1">IFERROR(IF(0=LEN(ReferenceData!$K$74),"",ReferenceData!$K$74),"")</f>
        <v>134.124</v>
      </c>
      <c r="L74">
        <f ca="1">IFERROR(IF(0=LEN(ReferenceData!$L$74),"",ReferenceData!$L$74),"")</f>
        <v>128.73599999999999</v>
      </c>
      <c r="M74">
        <f ca="1">IFERROR(IF(0=LEN(ReferenceData!$M$74),"",ReferenceData!$M$74),"")</f>
        <v>125.26300000000001</v>
      </c>
      <c r="N74">
        <f ca="1">IFERROR(IF(0=LEN(ReferenceData!$N$74),"",ReferenceData!$N$74),"")</f>
        <v>120.922</v>
      </c>
      <c r="O74">
        <f ca="1">IFERROR(IF(0=LEN(ReferenceData!$O$74),"",ReferenceData!$O$74),"")</f>
        <v>120.092</v>
      </c>
      <c r="P74">
        <f ca="1">IFERROR(IF(0=LEN(ReferenceData!$P$74),"",ReferenceData!$P$74),"")</f>
        <v>117.236</v>
      </c>
      <c r="Q74">
        <f ca="1">IFERROR(IF(0=LEN(ReferenceData!$Q$74),"",ReferenceData!$Q$74),"")</f>
        <v>111.49299999999999</v>
      </c>
      <c r="R74">
        <f ca="1">IFERROR(IF(0=LEN(ReferenceData!$R$74),"",ReferenceData!$R$74),"")</f>
        <v>110.41500000000001</v>
      </c>
      <c r="S74">
        <f ca="1">IFERROR(IF(0=LEN(ReferenceData!$S$74),"",ReferenceData!$S$74),"")</f>
        <v>109.105</v>
      </c>
      <c r="T74">
        <f ca="1">IFERROR(IF(0=LEN(ReferenceData!$T$74),"",ReferenceData!$T$74),"")</f>
        <v>103.93</v>
      </c>
      <c r="U74">
        <f ca="1">IFERROR(IF(0=LEN(ReferenceData!$U$74),"",ReferenceData!$U$74),"")</f>
        <v>99.435000000000002</v>
      </c>
      <c r="V74">
        <f ca="1">IFERROR(IF(0=LEN(ReferenceData!$V$74),"",ReferenceData!$V$74),"")</f>
        <v>98.037000000000006</v>
      </c>
      <c r="W74">
        <f ca="1">IFERROR(IF(0=LEN(ReferenceData!$W$74),"",ReferenceData!$W$74),"")</f>
        <v>97.491</v>
      </c>
      <c r="X74">
        <f ca="1">IFERROR(IF(0=LEN(ReferenceData!$X$74),"",ReferenceData!$X$74),"")</f>
        <v>94.731999999999999</v>
      </c>
      <c r="Y74">
        <f ca="1">IFERROR(IF(0=LEN(ReferenceData!$Y$74),"",ReferenceData!$Y$74),"")</f>
        <v>90.474000000000004</v>
      </c>
      <c r="Z74">
        <f ca="1">IFERROR(IF(0=LEN(ReferenceData!$Z$74),"",ReferenceData!$Z$74),"")</f>
        <v>87.001999999999995</v>
      </c>
      <c r="AA74">
        <f ca="1">IFERROR(IF(0=LEN(ReferenceData!$AA$74),"",ReferenceData!$AA$74),"")</f>
        <v>83.361000000000004</v>
      </c>
      <c r="AB74">
        <f ca="1">IFERROR(IF(0=LEN(ReferenceData!$AB$74),"",ReferenceData!$AB$74),"")</f>
        <v>78.873000000000005</v>
      </c>
      <c r="AC74">
        <f ca="1">IFERROR(IF(0=LEN(ReferenceData!$AC$74),"",ReferenceData!$AC$74),"")</f>
        <v>75.262</v>
      </c>
      <c r="AD74">
        <f ca="1">IFERROR(IF(0=LEN(ReferenceData!$AD$74),"",ReferenceData!$AD$74),"")</f>
        <v>70.718999999999994</v>
      </c>
      <c r="AE74">
        <f ca="1">IFERROR(IF(0=LEN(ReferenceData!$AE$74),"",ReferenceData!$AE$74),"")</f>
        <v>66.748000000000005</v>
      </c>
      <c r="AF74">
        <f ca="1">IFERROR(IF(0=LEN(ReferenceData!$AF$74),"",ReferenceData!$AF$74),"")</f>
        <v>60.39</v>
      </c>
      <c r="AG74">
        <f ca="1">IFERROR(IF(0=LEN(ReferenceData!$AG$74),"",ReferenceData!$AG$74),"")</f>
        <v>55.933</v>
      </c>
      <c r="AH74">
        <f ca="1">IFERROR(IF(0=LEN(ReferenceData!$AH$74),"",ReferenceData!$AH$74),"")</f>
        <v>55.75</v>
      </c>
      <c r="AI74">
        <f ca="1">IFERROR(IF(0=LEN(ReferenceData!$AI$74),"",ReferenceData!$AI$74),"")</f>
        <v>54.408999999999999</v>
      </c>
      <c r="AJ74">
        <f ca="1">IFERROR(IF(0=LEN(ReferenceData!$AJ$74),"",ReferenceData!$AJ$74),"")</f>
        <v>51.25</v>
      </c>
      <c r="AK74">
        <f ca="1">IFERROR(IF(0=LEN(ReferenceData!$AK$74),"",ReferenceData!$AK$74),"")</f>
        <v>50.683</v>
      </c>
      <c r="AL74">
        <f ca="1">IFERROR(IF(0=LEN(ReferenceData!$AL$74),"",ReferenceData!$AL$74),"")</f>
        <v>50.259</v>
      </c>
      <c r="AM74">
        <f ca="1">IFERROR(IF(0=LEN(ReferenceData!$AM$74),"",ReferenceData!$AM$74),"")</f>
        <v>51.643000000000001</v>
      </c>
      <c r="AN74">
        <f ca="1">IFERROR(IF(0=LEN(ReferenceData!$AN$74),"",ReferenceData!$AN$74),"")</f>
        <v>50.777999999999999</v>
      </c>
      <c r="AO74">
        <f ca="1">IFERROR(IF(0=LEN(ReferenceData!$AO$74),"",ReferenceData!$AO$74),"")</f>
        <v>52.031999999999996</v>
      </c>
      <c r="AP74">
        <f ca="1">IFERROR(IF(0=LEN(ReferenceData!$AP$74),"",ReferenceData!$AP$74),"")</f>
        <v>51.83</v>
      </c>
      <c r="AQ74">
        <f ca="1">IFERROR(IF(0=LEN(ReferenceData!$AQ$74),"",ReferenceData!$AQ$74),"")</f>
        <v>52.192</v>
      </c>
      <c r="AR74">
        <f ca="1">IFERROR(IF(0=LEN(ReferenceData!$AR$74),"",ReferenceData!$AR$74),"")</f>
        <v>53.732999999999997</v>
      </c>
      <c r="AS74">
        <f ca="1">IFERROR(IF(0=LEN(ReferenceData!$AS$74),"",ReferenceData!$AS$74),"")</f>
        <v>50.764000000000003</v>
      </c>
      <c r="AT74">
        <f ca="1">IFERROR(IF(0=LEN(ReferenceData!$AT$74),"",ReferenceData!$AT$74),"")</f>
        <v>49.027999999999999</v>
      </c>
      <c r="AU74">
        <f ca="1">IFERROR(IF(0=LEN(ReferenceData!$AU$74),"",ReferenceData!$AU$74),"")</f>
        <v>43.194000000000003</v>
      </c>
      <c r="AV74">
        <f ca="1">IFERROR(IF(0=LEN(ReferenceData!$AV$74),"",ReferenceData!$AV$74),"")</f>
        <v>41.46</v>
      </c>
      <c r="AW74">
        <f ca="1">IFERROR(IF(0=LEN(ReferenceData!$AW$74),"",ReferenceData!$AW$74),"")</f>
        <v>40.153001310000001</v>
      </c>
      <c r="AX74">
        <f ca="1">IFERROR(IF(0=LEN(ReferenceData!$AX$74),"",ReferenceData!$AX$74),"")</f>
        <v>35.029000000000003</v>
      </c>
      <c r="AY74">
        <f ca="1">IFERROR(IF(0=LEN(ReferenceData!$AY$74),"",ReferenceData!$AY$74),"")</f>
        <v>31.949001549999998</v>
      </c>
      <c r="AZ74">
        <f ca="1">IFERROR(IF(0=LEN(ReferenceData!$AZ$74),"",ReferenceData!$AZ$74),"")</f>
        <v>30.268000000000001</v>
      </c>
      <c r="BA74">
        <f ca="1">IFERROR(IF(0=LEN(ReferenceData!$BA$74),"",ReferenceData!$BA$74),"")</f>
        <v>28.487000349999999</v>
      </c>
      <c r="BB74">
        <f ca="1">IFERROR(IF(0=LEN(ReferenceData!$BB$74),"",ReferenceData!$BB$74),"")</f>
        <v>28.577999999999999</v>
      </c>
      <c r="BC74">
        <f ca="1">IFERROR(IF(0=LEN(ReferenceData!$BC$74),"",ReferenceData!$BC$74),"")</f>
        <v>22.651999709999998</v>
      </c>
      <c r="BD74">
        <f ca="1">IFERROR(IF(0=LEN(ReferenceData!$BD$74),"",ReferenceData!$BD$74),"")</f>
        <v>23.837000969999998</v>
      </c>
      <c r="BE74">
        <f ca="1">IFERROR(IF(0=LEN(ReferenceData!$BE$74),"",ReferenceData!$BE$74),"")</f>
        <v>22.919000919999998</v>
      </c>
      <c r="BF74">
        <f ca="1">IFERROR(IF(0=LEN(ReferenceData!$BF$74),"",ReferenceData!$BF$74),"")</f>
        <v>21.905999999999999</v>
      </c>
      <c r="BG74">
        <f ca="1">IFERROR(IF(0=LEN(ReferenceData!$BG$74),"",ReferenceData!$BG$74),"")</f>
        <v>26.538</v>
      </c>
      <c r="BH74">
        <f ca="1">IFERROR(IF(0=LEN(ReferenceData!$BH$74),"",ReferenceData!$BH$74),"")</f>
        <v>25.641999999999999</v>
      </c>
      <c r="BI74">
        <f ca="1">IFERROR(IF(0=LEN(ReferenceData!$BI$74),"",ReferenceData!$BI$74),"")</f>
        <v>26.448</v>
      </c>
      <c r="BJ74">
        <f ca="1">IFERROR(IF(0=LEN(ReferenceData!$BJ$74),"",ReferenceData!$BJ$74),"")</f>
        <v>26.577000000000002</v>
      </c>
      <c r="BK74">
        <f ca="1">IFERROR(IF(0=LEN(ReferenceData!$BK$74),"",ReferenceData!$BK$74),"")</f>
        <v>22.015000000000001</v>
      </c>
      <c r="BL74">
        <f ca="1">IFERROR(IF(0=LEN(ReferenceData!$BL$74),"",ReferenceData!$BL$74),"")</f>
        <v>21.84500074</v>
      </c>
      <c r="BM74">
        <f ca="1">IFERROR(IF(0=LEN(ReferenceData!$BM$74),"",ReferenceData!$BM$74),"")</f>
        <v>20.94</v>
      </c>
    </row>
    <row r="75" spans="1:65">
      <c r="A75" t="str">
        <f>IFERROR(IF(0=LEN(ReferenceData!$A$75),"",ReferenceData!$A$75),"")</f>
        <v xml:space="preserve">    Realty Income Corp</v>
      </c>
      <c r="B75" t="str">
        <f>IFERROR(IF(0=LEN(ReferenceData!$B$75),"",ReferenceData!$B$75),"")</f>
        <v>O US Equity</v>
      </c>
      <c r="C75" t="str">
        <f>IFERROR(IF(0=LEN(ReferenceData!$C$75),"",ReferenceData!$C$75),"")</f>
        <v>RR502</v>
      </c>
      <c r="D75" t="str">
        <f>IFERROR(IF(0=LEN(ReferenceData!$D$75),"",ReferenceData!$D$75),"")</f>
        <v>NET_OPER_INCOME</v>
      </c>
      <c r="E75" t="str">
        <f>IFERROR(IF(0=LEN(ReferenceData!$E$75),"",ReferenceData!$E$75),"")</f>
        <v>动态</v>
      </c>
      <c r="F75" t="str">
        <f ca="1">IFERROR(IF(0=LEN(ReferenceData!$F$75),"",ReferenceData!$F$75),"")</f>
        <v/>
      </c>
      <c r="G75">
        <f ca="1">IFERROR(IF(0=LEN(ReferenceData!$G$75),"",ReferenceData!$G$75),"")</f>
        <v>293.41199999999998</v>
      </c>
      <c r="H75">
        <f ca="1">IFERROR(IF(0=LEN(ReferenceData!$H$75),"",ReferenceData!$H$75),"")</f>
        <v>288.12099999999998</v>
      </c>
      <c r="I75">
        <f ca="1">IFERROR(IF(0=LEN(ReferenceData!$I$75),"",ReferenceData!$I$75),"")</f>
        <v>283.31900000000002</v>
      </c>
      <c r="J75">
        <f ca="1">IFERROR(IF(0=LEN(ReferenceData!$J$75),"",ReferenceData!$J$75),"")</f>
        <v>277.97500000000002</v>
      </c>
      <c r="K75">
        <f ca="1">IFERROR(IF(0=LEN(ReferenceData!$K$75),"",ReferenceData!$K$75),"")</f>
        <v>269.17599999999999</v>
      </c>
      <c r="L75">
        <f ca="1">IFERROR(IF(0=LEN(ReferenceData!$L$75),"",ReferenceData!$L$75),"")</f>
        <v>261.178</v>
      </c>
      <c r="M75">
        <f ca="1">IFERROR(IF(0=LEN(ReferenceData!$M$75),"",ReferenceData!$M$75),"")</f>
        <v>256.49700000000001</v>
      </c>
      <c r="N75">
        <f ca="1">IFERROR(IF(0=LEN(ReferenceData!$N$75),"",ReferenceData!$N$75),"")</f>
        <v>250.80099999999999</v>
      </c>
      <c r="O75">
        <f ca="1">IFERROR(IF(0=LEN(ReferenceData!$O$75),"",ReferenceData!$O$75),"")</f>
        <v>250.095</v>
      </c>
      <c r="P75">
        <f ca="1">IFERROR(IF(0=LEN(ReferenceData!$P$75),"",ReferenceData!$P$75),"")</f>
        <v>244.22300000000001</v>
      </c>
      <c r="Q75">
        <f ca="1">IFERROR(IF(0=LEN(ReferenceData!$Q$75),"",ReferenceData!$Q$75),"")</f>
        <v>238.101</v>
      </c>
      <c r="R75">
        <f ca="1">IFERROR(IF(0=LEN(ReferenceData!$R$75),"",ReferenceData!$R$75),"")</f>
        <v>231.10900000000001</v>
      </c>
      <c r="S75">
        <f ca="1">IFERROR(IF(0=LEN(ReferenceData!$S$75),"",ReferenceData!$S$75),"")</f>
        <v>226.48400000000001</v>
      </c>
      <c r="T75">
        <f ca="1">IFERROR(IF(0=LEN(ReferenceData!$T$75),"",ReferenceData!$T$75),"")</f>
        <v>222.33699999999999</v>
      </c>
      <c r="U75">
        <f ca="1">IFERROR(IF(0=LEN(ReferenceData!$U$75),"",ReferenceData!$U$75),"")</f>
        <v>217.91</v>
      </c>
      <c r="V75">
        <f ca="1">IFERROR(IF(0=LEN(ReferenceData!$V$75),"",ReferenceData!$V$75),"")</f>
        <v>209.97200000000001</v>
      </c>
      <c r="W75">
        <f ca="1">IFERROR(IF(0=LEN(ReferenceData!$W$75),"",ReferenceData!$W$75),"")</f>
        <v>201.26400000000001</v>
      </c>
      <c r="X75">
        <f ca="1">IFERROR(IF(0=LEN(ReferenceData!$X$75),"",ReferenceData!$X$75),"")</f>
        <v>191.97300000000001</v>
      </c>
      <c r="Y75">
        <f ca="1">IFERROR(IF(0=LEN(ReferenceData!$Y$75),"",ReferenceData!$Y$75),"")</f>
        <v>176.82</v>
      </c>
      <c r="Z75">
        <f ca="1">IFERROR(IF(0=LEN(ReferenceData!$Z$75),"",ReferenceData!$Z$75),"")</f>
        <v>164.25299999999999</v>
      </c>
      <c r="AA75">
        <f ca="1">IFERROR(IF(0=LEN(ReferenceData!$AA$75),"",ReferenceData!$AA$75),"")</f>
        <v>126.23099999999999</v>
      </c>
      <c r="AB75">
        <f ca="1">IFERROR(IF(0=LEN(ReferenceData!$AB$75),"",ReferenceData!$AB$75),"")</f>
        <v>115.26300000000001</v>
      </c>
      <c r="AC75">
        <f ca="1">IFERROR(IF(0=LEN(ReferenceData!$AC$75),"",ReferenceData!$AC$75),"")</f>
        <v>110.782</v>
      </c>
      <c r="AD75">
        <f ca="1">IFERROR(IF(0=LEN(ReferenceData!$AD$75),"",ReferenceData!$AD$75),"")</f>
        <v>109.898</v>
      </c>
      <c r="AE75">
        <f ca="1">IFERROR(IF(0=LEN(ReferenceData!$AE$75),"",ReferenceData!$AE$75),"")</f>
        <v>109.02800000000001</v>
      </c>
      <c r="AF75">
        <f ca="1">IFERROR(IF(0=LEN(ReferenceData!$AF$75),"",ReferenceData!$AF$75),"")</f>
        <v>104.08499999999999</v>
      </c>
      <c r="AG75">
        <f ca="1">IFERROR(IF(0=LEN(ReferenceData!$AG$75),"",ReferenceData!$AG$75),"")</f>
        <v>99.763999999999996</v>
      </c>
      <c r="AH75">
        <f ca="1">IFERROR(IF(0=LEN(ReferenceData!$AH$75),"",ReferenceData!$AH$75),"")</f>
        <v>95.44</v>
      </c>
      <c r="AI75">
        <f ca="1">IFERROR(IF(0=LEN(ReferenceData!$AI$75),"",ReferenceData!$AI$75),"")</f>
        <v>90.204999999999998</v>
      </c>
      <c r="AJ75">
        <f ca="1">IFERROR(IF(0=LEN(ReferenceData!$AJ$75),"",ReferenceData!$AJ$75),"")</f>
        <v>85.007000000000005</v>
      </c>
      <c r="AK75">
        <f ca="1">IFERROR(IF(0=LEN(ReferenceData!$AK$75),"",ReferenceData!$AK$75),"")</f>
        <v>80.555999999999997</v>
      </c>
      <c r="AL75">
        <f ca="1">IFERROR(IF(0=LEN(ReferenceData!$AL$75),"",ReferenceData!$AL$75),"")</f>
        <v>80.540999999999997</v>
      </c>
      <c r="AM75">
        <f ca="1">IFERROR(IF(0=LEN(ReferenceData!$AM$75),"",ReferenceData!$AM$75),"")</f>
        <v>79.823999999999998</v>
      </c>
      <c r="AN75">
        <f ca="1">IFERROR(IF(0=LEN(ReferenceData!$AN$75),"",ReferenceData!$AN$75),"")</f>
        <v>79.563999999999993</v>
      </c>
      <c r="AO75">
        <f ca="1">IFERROR(IF(0=LEN(ReferenceData!$AO$75),"",ReferenceData!$AO$75),"")</f>
        <v>79.430000000000007</v>
      </c>
      <c r="AP75">
        <f ca="1">IFERROR(IF(0=LEN(ReferenceData!$AP$75),"",ReferenceData!$AP$75),"")</f>
        <v>79.638000000000005</v>
      </c>
      <c r="AQ75">
        <f ca="1">IFERROR(IF(0=LEN(ReferenceData!$AQ$75),"",ReferenceData!$AQ$75),"")</f>
        <v>80.531999999999996</v>
      </c>
      <c r="AR75">
        <f ca="1">IFERROR(IF(0=LEN(ReferenceData!$AR$75),"",ReferenceData!$AR$75),"")</f>
        <v>80.221000000000004</v>
      </c>
      <c r="AS75">
        <f ca="1">IFERROR(IF(0=LEN(ReferenceData!$AS$75),"",ReferenceData!$AS$75),"")</f>
        <v>80.896000000000001</v>
      </c>
      <c r="AT75">
        <f ca="1">IFERROR(IF(0=LEN(ReferenceData!$AT$75),"",ReferenceData!$AT$75),"")</f>
        <v>80.025000000000006</v>
      </c>
      <c r="AU75">
        <f ca="1">IFERROR(IF(0=LEN(ReferenceData!$AU$75),"",ReferenceData!$AU$75),"")</f>
        <v>76.566000000000003</v>
      </c>
      <c r="AV75">
        <f ca="1">IFERROR(IF(0=LEN(ReferenceData!$AV$75),"",ReferenceData!$AV$75),"")</f>
        <v>71.413996280000006</v>
      </c>
      <c r="AW75">
        <f ca="1">IFERROR(IF(0=LEN(ReferenceData!$AW$75),"",ReferenceData!$AW$75),"")</f>
        <v>69.153999510000006</v>
      </c>
      <c r="AX75">
        <f ca="1">IFERROR(IF(0=LEN(ReferenceData!$AX$75),"",ReferenceData!$AX$75),"")</f>
        <v>68.316999999999993</v>
      </c>
      <c r="AY75">
        <f ca="1">IFERROR(IF(0=LEN(ReferenceData!$AY$75),"",ReferenceData!$AY$75),"")</f>
        <v>66.844999999999999</v>
      </c>
      <c r="AZ75">
        <f ca="1">IFERROR(IF(0=LEN(ReferenceData!$AZ$75),"",ReferenceData!$AZ$75),"")</f>
        <v>58.131999999999998</v>
      </c>
      <c r="BA75">
        <f ca="1">IFERROR(IF(0=LEN(ReferenceData!$BA$75),"",ReferenceData!$BA$75),"")</f>
        <v>55.01899856</v>
      </c>
      <c r="BB75">
        <f ca="1">IFERROR(IF(0=LEN(ReferenceData!$BB$75),"",ReferenceData!$BB$75),"")</f>
        <v>54.171999999999997</v>
      </c>
      <c r="BC75">
        <f ca="1">IFERROR(IF(0=LEN(ReferenceData!$BC$75),"",ReferenceData!$BC$75),"")</f>
        <v>52.442999999999998</v>
      </c>
      <c r="BD75">
        <f ca="1">IFERROR(IF(0=LEN(ReferenceData!$BD$75),"",ReferenceData!$BD$75),"")</f>
        <v>47.748999480000002</v>
      </c>
      <c r="BE75">
        <f ca="1">IFERROR(IF(0=LEN(ReferenceData!$BE$75),"",ReferenceData!$BE$75),"")</f>
        <v>46.072001810000003</v>
      </c>
      <c r="BF75">
        <f ca="1">IFERROR(IF(0=LEN(ReferenceData!$BF$75),"",ReferenceData!$BF$75),"")</f>
        <v>45.67099881</v>
      </c>
      <c r="BG75">
        <f ca="1">IFERROR(IF(0=LEN(ReferenceData!$BG$75),"",ReferenceData!$BG$75),"")</f>
        <v>42.161999999999999</v>
      </c>
      <c r="BH75">
        <f ca="1">IFERROR(IF(0=LEN(ReferenceData!$BH$75),"",ReferenceData!$BH$75),"")</f>
        <v>42.88</v>
      </c>
      <c r="BI75">
        <f ca="1">IFERROR(IF(0=LEN(ReferenceData!$BI$75),"",ReferenceData!$BI$75),"")</f>
        <v>42.786000000000001</v>
      </c>
      <c r="BJ75">
        <f ca="1">IFERROR(IF(0=LEN(ReferenceData!$BJ$75),"",ReferenceData!$BJ$75),"")</f>
        <v>41.161998629999999</v>
      </c>
      <c r="BK75">
        <f ca="1">IFERROR(IF(0=LEN(ReferenceData!$BK$75),"",ReferenceData!$BK$75),"")</f>
        <v>39.021998519999997</v>
      </c>
      <c r="BL75">
        <f ca="1">IFERROR(IF(0=LEN(ReferenceData!$BL$75),"",ReferenceData!$BL$75),"")</f>
        <v>35.396998170000003</v>
      </c>
      <c r="BM75">
        <f ca="1">IFERROR(IF(0=LEN(ReferenceData!$BM$75),"",ReferenceData!$BM$75),"")</f>
        <v>34.829000469999997</v>
      </c>
    </row>
    <row r="76" spans="1:65">
      <c r="A76" t="str">
        <f>IFERROR(IF(0=LEN(ReferenceData!$A$76),"",ReferenceData!$A$76),"")</f>
        <v xml:space="preserve">    Regency Centers Corp</v>
      </c>
      <c r="B76" t="str">
        <f>IFERROR(IF(0=LEN(ReferenceData!$B$76),"",ReferenceData!$B$76),"")</f>
        <v>REG US Equity</v>
      </c>
      <c r="C76" t="str">
        <f>IFERROR(IF(0=LEN(ReferenceData!$C$76),"",ReferenceData!$C$76),"")</f>
        <v>RR502</v>
      </c>
      <c r="D76" t="str">
        <f>IFERROR(IF(0=LEN(ReferenceData!$D$76),"",ReferenceData!$D$76),"")</f>
        <v>NET_OPER_INCOME</v>
      </c>
      <c r="E76" t="str">
        <f>IFERROR(IF(0=LEN(ReferenceData!$E$76),"",ReferenceData!$E$76),"")</f>
        <v>动态</v>
      </c>
      <c r="F76" t="str">
        <f ca="1">IFERROR(IF(0=LEN(ReferenceData!$F$76),"",ReferenceData!$F$76),"")</f>
        <v/>
      </c>
      <c r="G76">
        <f ca="1">IFERROR(IF(0=LEN(ReferenceData!$G$76),"",ReferenceData!$G$76),"")</f>
        <v>194.56299999999999</v>
      </c>
      <c r="H76">
        <f ca="1">IFERROR(IF(0=LEN(ReferenceData!$H$76),"",ReferenceData!$H$76),"")</f>
        <v>194.80600000000001</v>
      </c>
      <c r="I76">
        <f ca="1">IFERROR(IF(0=LEN(ReferenceData!$I$76),"",ReferenceData!$I$76),"")</f>
        <v>196.32900000000001</v>
      </c>
      <c r="J76">
        <f ca="1">IFERROR(IF(0=LEN(ReferenceData!$J$76),"",ReferenceData!$J$76),"")</f>
        <v>144.91800000000001</v>
      </c>
      <c r="K76">
        <f ca="1">IFERROR(IF(0=LEN(ReferenceData!$K$76),"",ReferenceData!$K$76),"")</f>
        <v>117.607</v>
      </c>
      <c r="L76">
        <f ca="1">IFERROR(IF(0=LEN(ReferenceData!$L$76),"",ReferenceData!$L$76),"")</f>
        <v>112.337</v>
      </c>
      <c r="M76">
        <f ca="1">IFERROR(IF(0=LEN(ReferenceData!$M$76),"",ReferenceData!$M$76),"")</f>
        <v>111.934</v>
      </c>
      <c r="N76">
        <f ca="1">IFERROR(IF(0=LEN(ReferenceData!$N$76),"",ReferenceData!$N$76),"")</f>
        <v>111.07299999999999</v>
      </c>
      <c r="O76">
        <f ca="1">IFERROR(IF(0=LEN(ReferenceData!$O$76),"",ReferenceData!$O$76),"")</f>
        <v>109.295</v>
      </c>
      <c r="P76">
        <f ca="1">IFERROR(IF(0=LEN(ReferenceData!$P$76),"",ReferenceData!$P$76),"")</f>
        <v>106.26300000000001</v>
      </c>
      <c r="Q76">
        <f ca="1">IFERROR(IF(0=LEN(ReferenceData!$Q$76),"",ReferenceData!$Q$76),"")</f>
        <v>105.277</v>
      </c>
      <c r="R76">
        <f ca="1">IFERROR(IF(0=LEN(ReferenceData!$R$76),"",ReferenceData!$R$76),"")</f>
        <v>104.096</v>
      </c>
      <c r="S76">
        <f ca="1">IFERROR(IF(0=LEN(ReferenceData!$S$76),"",ReferenceData!$S$76),"")</f>
        <v>102.027</v>
      </c>
      <c r="T76">
        <f ca="1">IFERROR(IF(0=LEN(ReferenceData!$T$76),"",ReferenceData!$T$76),"")</f>
        <v>100.578</v>
      </c>
      <c r="U76">
        <f ca="1">IFERROR(IF(0=LEN(ReferenceData!$U$76),"",ReferenceData!$U$76),"")</f>
        <v>100.496</v>
      </c>
      <c r="V76">
        <f ca="1">IFERROR(IF(0=LEN(ReferenceData!$V$76),"",ReferenceData!$V$76),"")</f>
        <v>97.975999999999999</v>
      </c>
      <c r="W76">
        <f ca="1">IFERROR(IF(0=LEN(ReferenceData!$W$76),"",ReferenceData!$W$76),"")</f>
        <v>92.992999999999995</v>
      </c>
      <c r="X76">
        <f ca="1">IFERROR(IF(0=LEN(ReferenceData!$X$76),"",ReferenceData!$X$76),"")</f>
        <v>90.188999999999993</v>
      </c>
      <c r="Y76">
        <f ca="1">IFERROR(IF(0=LEN(ReferenceData!$Y$76),"",ReferenceData!$Y$76),"")</f>
        <v>91.075999999999993</v>
      </c>
      <c r="Z76">
        <f ca="1">IFERROR(IF(0=LEN(ReferenceData!$Z$76),"",ReferenceData!$Z$76),"")</f>
        <v>90.006</v>
      </c>
      <c r="AA76">
        <f ca="1">IFERROR(IF(0=LEN(ReferenceData!$AA$76),"",ReferenceData!$AA$76),"")</f>
        <v>87.346999999999994</v>
      </c>
      <c r="AB76">
        <f ca="1">IFERROR(IF(0=LEN(ReferenceData!$AB$76),"",ReferenceData!$AB$76),"")</f>
        <v>86.897000000000006</v>
      </c>
      <c r="AC76">
        <f ca="1">IFERROR(IF(0=LEN(ReferenceData!$AC$76),"",ReferenceData!$AC$76),"")</f>
        <v>95.545000000000002</v>
      </c>
      <c r="AD76">
        <f ca="1">IFERROR(IF(0=LEN(ReferenceData!$AD$76),"",ReferenceData!$AD$76),"")</f>
        <v>92.614000000000004</v>
      </c>
      <c r="AE76">
        <f ca="1">IFERROR(IF(0=LEN(ReferenceData!$AE$76),"",ReferenceData!$AE$76),"")</f>
        <v>91.893000000000001</v>
      </c>
      <c r="AF76">
        <f ca="1">IFERROR(IF(0=LEN(ReferenceData!$AF$76),"",ReferenceData!$AF$76),"")</f>
        <v>92.146000000000001</v>
      </c>
      <c r="AG76">
        <f ca="1">IFERROR(IF(0=LEN(ReferenceData!$AG$76),"",ReferenceData!$AG$76),"")</f>
        <v>93.698999999999998</v>
      </c>
      <c r="AH76">
        <f ca="1">IFERROR(IF(0=LEN(ReferenceData!$AH$76),"",ReferenceData!$AH$76),"")</f>
        <v>90.986999999999995</v>
      </c>
      <c r="AI76">
        <f ca="1">IFERROR(IF(0=LEN(ReferenceData!$AI$76),"",ReferenceData!$AI$76),"")</f>
        <v>88.187946999999994</v>
      </c>
      <c r="AJ76">
        <f ca="1">IFERROR(IF(0=LEN(ReferenceData!$AJ$76),"",ReferenceData!$AJ$76),"")</f>
        <v>89.858000000000004</v>
      </c>
      <c r="AK76">
        <f ca="1">IFERROR(IF(0=LEN(ReferenceData!$AK$76),"",ReferenceData!$AK$76),"")</f>
        <v>89.652000000000001</v>
      </c>
      <c r="AL76">
        <f ca="1">IFERROR(IF(0=LEN(ReferenceData!$AL$76),"",ReferenceData!$AL$76),"")</f>
        <v>91.986999999999995</v>
      </c>
      <c r="AM76">
        <f ca="1">IFERROR(IF(0=LEN(ReferenceData!$AM$76),"",ReferenceData!$AM$76),"")</f>
        <v>91.575187</v>
      </c>
      <c r="AN76">
        <f ca="1">IFERROR(IF(0=LEN(ReferenceData!$AN$76),"",ReferenceData!$AN$76),"")</f>
        <v>101.706</v>
      </c>
      <c r="AO76">
        <f ca="1">IFERROR(IF(0=LEN(ReferenceData!$AO$76),"",ReferenceData!$AO$76),"")</f>
        <v>85.893000000000001</v>
      </c>
      <c r="AP76">
        <f ca="1">IFERROR(IF(0=LEN(ReferenceData!$AP$76),"",ReferenceData!$AP$76),"")</f>
        <v>89.772999999999996</v>
      </c>
      <c r="AQ76">
        <f ca="1">IFERROR(IF(0=LEN(ReferenceData!$AQ$76),"",ReferenceData!$AQ$76),"")</f>
        <v>113.217512</v>
      </c>
      <c r="AR76">
        <f ca="1">IFERROR(IF(0=LEN(ReferenceData!$AR$76),"",ReferenceData!$AR$76),"")</f>
        <v>93.786000000000001</v>
      </c>
      <c r="AS76">
        <f ca="1">IFERROR(IF(0=LEN(ReferenceData!$AS$76),"",ReferenceData!$AS$76),"")</f>
        <v>94.320999999999998</v>
      </c>
      <c r="AT76">
        <f ca="1">IFERROR(IF(0=LEN(ReferenceData!$AT$76),"",ReferenceData!$AT$76),"")</f>
        <v>88.548000000000002</v>
      </c>
      <c r="AU76">
        <f ca="1">IFERROR(IF(0=LEN(ReferenceData!$AU$76),"",ReferenceData!$AU$76),"")</f>
        <v>83.866</v>
      </c>
      <c r="AV76">
        <f ca="1">IFERROR(IF(0=LEN(ReferenceData!$AV$76),"",ReferenceData!$AV$76),"")</f>
        <v>89.894999999999996</v>
      </c>
      <c r="AW76">
        <f ca="1">IFERROR(IF(0=LEN(ReferenceData!$AW$76),"",ReferenceData!$AW$76),"")</f>
        <v>83.117000000000004</v>
      </c>
      <c r="AX76">
        <f ca="1">IFERROR(IF(0=LEN(ReferenceData!$AX$76),"",ReferenceData!$AX$76),"")</f>
        <v>82.069000000000003</v>
      </c>
      <c r="AY76">
        <f ca="1">IFERROR(IF(0=LEN(ReferenceData!$AY$76),"",ReferenceData!$AY$76),"")</f>
        <v>82.924000000000007</v>
      </c>
      <c r="AZ76">
        <f ca="1">IFERROR(IF(0=LEN(ReferenceData!$AZ$76),"",ReferenceData!$AZ$76),"")</f>
        <v>79.811000000000007</v>
      </c>
      <c r="BA76">
        <f ca="1">IFERROR(IF(0=LEN(ReferenceData!$BA$76),"",ReferenceData!$BA$76),"")</f>
        <v>82.447000000000003</v>
      </c>
      <c r="BB76">
        <f ca="1">IFERROR(IF(0=LEN(ReferenceData!$BB$76),"",ReferenceData!$BB$76),"")</f>
        <v>78.009</v>
      </c>
      <c r="BC76">
        <f ca="1">IFERROR(IF(0=LEN(ReferenceData!$BC$76),"",ReferenceData!$BC$76),"")</f>
        <v>68.222999999999999</v>
      </c>
      <c r="BD76">
        <f ca="1">IFERROR(IF(0=LEN(ReferenceData!$BD$76),"",ReferenceData!$BD$76),"")</f>
        <v>71.739999999999995</v>
      </c>
      <c r="BE76">
        <f ca="1">IFERROR(IF(0=LEN(ReferenceData!$BE$76),"",ReferenceData!$BE$76),"")</f>
        <v>84.55</v>
      </c>
      <c r="BF76">
        <f ca="1">IFERROR(IF(0=LEN(ReferenceData!$BF$76),"",ReferenceData!$BF$76),"")</f>
        <v>70.968999999999994</v>
      </c>
      <c r="BG76">
        <f ca="1">IFERROR(IF(0=LEN(ReferenceData!$BG$76),"",ReferenceData!$BG$76),"")</f>
        <v>73.796000000000006</v>
      </c>
      <c r="BH76">
        <f ca="1">IFERROR(IF(0=LEN(ReferenceData!$BH$76),"",ReferenceData!$BH$76),"")</f>
        <v>69.117000000000004</v>
      </c>
      <c r="BI76">
        <f ca="1">IFERROR(IF(0=LEN(ReferenceData!$BI$76),"",ReferenceData!$BI$76),"")</f>
        <v>70.140997999999996</v>
      </c>
      <c r="BJ76">
        <f ca="1">IFERROR(IF(0=LEN(ReferenceData!$BJ$76),"",ReferenceData!$BJ$76),"")</f>
        <v>66.83</v>
      </c>
      <c r="BK76">
        <f ca="1">IFERROR(IF(0=LEN(ReferenceData!$BK$76),"",ReferenceData!$BK$76),"")</f>
        <v>67.539001350000007</v>
      </c>
      <c r="BL76">
        <f ca="1">IFERROR(IF(0=LEN(ReferenceData!$BL$76),"",ReferenceData!$BL$76),"")</f>
        <v>66.185997999999998</v>
      </c>
      <c r="BM76">
        <f ca="1">IFERROR(IF(0=LEN(ReferenceData!$BM$76),"",ReferenceData!$BM$76),"")</f>
        <v>65.995001999999999</v>
      </c>
    </row>
    <row r="77" spans="1:65">
      <c r="A77" t="str">
        <f>IFERROR(IF(0=LEN(ReferenceData!$A$77),"",ReferenceData!$A$77),"")</f>
        <v xml:space="preserve">    Retail Opportunity Investments</v>
      </c>
      <c r="B77" t="str">
        <f>IFERROR(IF(0=LEN(ReferenceData!$B$77),"",ReferenceData!$B$77),"")</f>
        <v>ROIC US Equity</v>
      </c>
      <c r="C77" t="str">
        <f>IFERROR(IF(0=LEN(ReferenceData!$C$77),"",ReferenceData!$C$77),"")</f>
        <v>RR502</v>
      </c>
      <c r="D77" t="str">
        <f>IFERROR(IF(0=LEN(ReferenceData!$D$77),"",ReferenceData!$D$77),"")</f>
        <v>NET_OPER_INCOME</v>
      </c>
      <c r="E77" t="str">
        <f>IFERROR(IF(0=LEN(ReferenceData!$E$77),"",ReferenceData!$E$77),"")</f>
        <v>动态</v>
      </c>
      <c r="F77" t="str">
        <f ca="1">IFERROR(IF(0=LEN(ReferenceData!$F$77),"",ReferenceData!$F$77),"")</f>
        <v/>
      </c>
      <c r="G77">
        <f ca="1">IFERROR(IF(0=LEN(ReferenceData!$G$77),"",ReferenceData!$G$77),"")</f>
        <v>53.021000000000001</v>
      </c>
      <c r="H77">
        <f ca="1">IFERROR(IF(0=LEN(ReferenceData!$H$77),"",ReferenceData!$H$77),"")</f>
        <v>50.292999999999999</v>
      </c>
      <c r="I77">
        <f ca="1">IFERROR(IF(0=LEN(ReferenceData!$I$77),"",ReferenceData!$I$77),"")</f>
        <v>48.475000000000001</v>
      </c>
      <c r="J77">
        <f ca="1">IFERROR(IF(0=LEN(ReferenceData!$J$77),"",ReferenceData!$J$77),"")</f>
        <v>48.779000000000003</v>
      </c>
      <c r="K77">
        <f ca="1">IFERROR(IF(0=LEN(ReferenceData!$K$77),"",ReferenceData!$K$77),"")</f>
        <v>47.017000000000003</v>
      </c>
      <c r="L77">
        <f ca="1">IFERROR(IF(0=LEN(ReferenceData!$L$77),"",ReferenceData!$L$77),"")</f>
        <v>44.052999999999997</v>
      </c>
      <c r="M77">
        <f ca="1">IFERROR(IF(0=LEN(ReferenceData!$M$77),"",ReferenceData!$M$77),"")</f>
        <v>43.9</v>
      </c>
      <c r="N77">
        <f ca="1">IFERROR(IF(0=LEN(ReferenceData!$N$77),"",ReferenceData!$N$77),"")</f>
        <v>42.555</v>
      </c>
      <c r="O77">
        <f ca="1">IFERROR(IF(0=LEN(ReferenceData!$O$77),"",ReferenceData!$O$77),"")</f>
        <v>37.741</v>
      </c>
      <c r="P77">
        <f ca="1">IFERROR(IF(0=LEN(ReferenceData!$P$77),"",ReferenceData!$P$77),"")</f>
        <v>35.715000000000003</v>
      </c>
      <c r="Q77">
        <f ca="1">IFERROR(IF(0=LEN(ReferenceData!$Q$77),"",ReferenceData!$Q$77),"")</f>
        <v>34.329000000000001</v>
      </c>
      <c r="R77">
        <f ca="1">IFERROR(IF(0=LEN(ReferenceData!$R$77),"",ReferenceData!$R$77),"")</f>
        <v>33.234000000000002</v>
      </c>
      <c r="S77">
        <f ca="1">IFERROR(IF(0=LEN(ReferenceData!$S$77),"",ReferenceData!$S$77),"")</f>
        <v>30.058077999999998</v>
      </c>
      <c r="T77">
        <f ca="1">IFERROR(IF(0=LEN(ReferenceData!$T$77),"",ReferenceData!$T$77),"")</f>
        <v>29.677074000000001</v>
      </c>
      <c r="U77">
        <f ca="1">IFERROR(IF(0=LEN(ReferenceData!$U$77),"",ReferenceData!$U$77),"")</f>
        <v>26.762286</v>
      </c>
      <c r="V77">
        <f ca="1">IFERROR(IF(0=LEN(ReferenceData!$V$77),"",ReferenceData!$V$77),"")</f>
        <v>25.300999999999998</v>
      </c>
      <c r="W77">
        <f ca="1">IFERROR(IF(0=LEN(ReferenceData!$W$77),"",ReferenceData!$W$77),"")</f>
        <v>23.045779</v>
      </c>
      <c r="X77">
        <f ca="1">IFERROR(IF(0=LEN(ReferenceData!$X$77),"",ReferenceData!$X$77),"")</f>
        <v>18.257750000000001</v>
      </c>
      <c r="Y77">
        <f ca="1">IFERROR(IF(0=LEN(ReferenceData!$Y$77),"",ReferenceData!$Y$77),"")</f>
        <v>18.770997999999999</v>
      </c>
      <c r="Z77">
        <f ca="1">IFERROR(IF(0=LEN(ReferenceData!$Z$77),"",ReferenceData!$Z$77),"")</f>
        <v>17.706330999999999</v>
      </c>
      <c r="AA77">
        <f ca="1">IFERROR(IF(0=LEN(ReferenceData!$AA$77),"",ReferenceData!$AA$77),"")</f>
        <v>15.614443</v>
      </c>
      <c r="AB77">
        <f ca="1">IFERROR(IF(0=LEN(ReferenceData!$AB$77),"",ReferenceData!$AB$77),"")</f>
        <v>13.84497</v>
      </c>
      <c r="AC77">
        <f ca="1">IFERROR(IF(0=LEN(ReferenceData!$AC$77),"",ReferenceData!$AC$77),"")</f>
        <v>12.592262</v>
      </c>
      <c r="AD77">
        <f ca="1">IFERROR(IF(0=LEN(ReferenceData!$AD$77),"",ReferenceData!$AD$77),"")</f>
        <v>11.876955000000001</v>
      </c>
      <c r="AE77">
        <f ca="1">IFERROR(IF(0=LEN(ReferenceData!$AE$77),"",ReferenceData!$AE$77),"")</f>
        <v>11.861602</v>
      </c>
      <c r="AF77">
        <f ca="1">IFERROR(IF(0=LEN(ReferenceData!$AF$77),"",ReferenceData!$AF$77),"")</f>
        <v>9.6708239999999996</v>
      </c>
      <c r="AG77">
        <f ca="1">IFERROR(IF(0=LEN(ReferenceData!$AG$77),"",ReferenceData!$AG$77),"")</f>
        <v>7.9316199999999997</v>
      </c>
      <c r="AH77">
        <f ca="1">IFERROR(IF(0=LEN(ReferenceData!$AH$77),"",ReferenceData!$AH$77),"")</f>
        <v>6.9384959999999998</v>
      </c>
      <c r="AI77">
        <f ca="1">IFERROR(IF(0=LEN(ReferenceData!$AI$77),"",ReferenceData!$AI$77),"")</f>
        <v>4.2986789999999999</v>
      </c>
      <c r="AJ77">
        <f ca="1">IFERROR(IF(0=LEN(ReferenceData!$AJ$77),"",ReferenceData!$AJ$77),"")</f>
        <v>3.3685239999999999</v>
      </c>
      <c r="AK77">
        <f ca="1">IFERROR(IF(0=LEN(ReferenceData!$AK$77),"",ReferenceData!$AK$77),"")</f>
        <v>2.019495</v>
      </c>
      <c r="AL77">
        <f ca="1">IFERROR(IF(0=LEN(ReferenceData!$AL$77),"",ReferenceData!$AL$77),"")</f>
        <v>1.02841</v>
      </c>
      <c r="AM77" t="str">
        <f ca="1">IFERROR(IF(0=LEN(ReferenceData!$AM$77),"",ReferenceData!$AM$77),"")</f>
        <v/>
      </c>
      <c r="AN77" t="str">
        <f ca="1">IFERROR(IF(0=LEN(ReferenceData!$AN$77),"",ReferenceData!$AN$77),"")</f>
        <v/>
      </c>
      <c r="AO77" t="str">
        <f ca="1">IFERROR(IF(0=LEN(ReferenceData!$AO$77),"",ReferenceData!$AO$77),"")</f>
        <v/>
      </c>
      <c r="AP77" t="str">
        <f ca="1">IFERROR(IF(0=LEN(ReferenceData!$AP$77),"",ReferenceData!$AP$77),"")</f>
        <v/>
      </c>
      <c r="AQ77" t="str">
        <f ca="1">IFERROR(IF(0=LEN(ReferenceData!$AQ$77),"",ReferenceData!$AQ$77),"")</f>
        <v/>
      </c>
      <c r="AR77" t="str">
        <f ca="1">IFERROR(IF(0=LEN(ReferenceData!$AR$77),"",ReferenceData!$AR$77),"")</f>
        <v/>
      </c>
      <c r="AS77" t="str">
        <f ca="1">IFERROR(IF(0=LEN(ReferenceData!$AS$77),"",ReferenceData!$AS$77),"")</f>
        <v/>
      </c>
      <c r="AT77" t="str">
        <f ca="1">IFERROR(IF(0=LEN(ReferenceData!$AT$77),"",ReferenceData!$AT$77),"")</f>
        <v/>
      </c>
      <c r="AU77" t="str">
        <f ca="1">IFERROR(IF(0=LEN(ReferenceData!$AU$77),"",ReferenceData!$AU$77),"")</f>
        <v/>
      </c>
      <c r="AV77" t="str">
        <f ca="1">IFERROR(IF(0=LEN(ReferenceData!$AV$77),"",ReferenceData!$AV$77),"")</f>
        <v/>
      </c>
      <c r="AW77" t="str">
        <f ca="1">IFERROR(IF(0=LEN(ReferenceData!$AW$77),"",ReferenceData!$AW$77),"")</f>
        <v/>
      </c>
      <c r="AX77" t="str">
        <f ca="1">IFERROR(IF(0=LEN(ReferenceData!$AX$77),"",ReferenceData!$AX$77),"")</f>
        <v/>
      </c>
      <c r="AY77" t="str">
        <f ca="1">IFERROR(IF(0=LEN(ReferenceData!$AY$77),"",ReferenceData!$AY$77),"")</f>
        <v/>
      </c>
      <c r="AZ77" t="str">
        <f ca="1">IFERROR(IF(0=LEN(ReferenceData!$AZ$77),"",ReferenceData!$AZ$77),"")</f>
        <v/>
      </c>
      <c r="BA77" t="str">
        <f ca="1">IFERROR(IF(0=LEN(ReferenceData!$BA$77),"",ReferenceData!$BA$77),"")</f>
        <v/>
      </c>
      <c r="BB77" t="str">
        <f ca="1">IFERROR(IF(0=LEN(ReferenceData!$BB$77),"",ReferenceData!$BB$77),"")</f>
        <v/>
      </c>
      <c r="BC77" t="str">
        <f ca="1">IFERROR(IF(0=LEN(ReferenceData!$BC$77),"",ReferenceData!$BC$77),"")</f>
        <v/>
      </c>
      <c r="BD77" t="str">
        <f ca="1">IFERROR(IF(0=LEN(ReferenceData!$BD$77),"",ReferenceData!$BD$77),"")</f>
        <v/>
      </c>
      <c r="BE77" t="str">
        <f ca="1">IFERROR(IF(0=LEN(ReferenceData!$BE$77),"",ReferenceData!$BE$77),"")</f>
        <v/>
      </c>
      <c r="BF77" t="str">
        <f ca="1">IFERROR(IF(0=LEN(ReferenceData!$BF$77),"",ReferenceData!$BF$77),"")</f>
        <v/>
      </c>
      <c r="BG77" t="str">
        <f ca="1">IFERROR(IF(0=LEN(ReferenceData!$BG$77),"",ReferenceData!$BG$77),"")</f>
        <v/>
      </c>
      <c r="BH77" t="str">
        <f ca="1">IFERROR(IF(0=LEN(ReferenceData!$BH$77),"",ReferenceData!$BH$77),"")</f>
        <v/>
      </c>
      <c r="BI77" t="str">
        <f ca="1">IFERROR(IF(0=LEN(ReferenceData!$BI$77),"",ReferenceData!$BI$77),"")</f>
        <v/>
      </c>
      <c r="BJ77" t="str">
        <f ca="1">IFERROR(IF(0=LEN(ReferenceData!$BJ$77),"",ReferenceData!$BJ$77),"")</f>
        <v/>
      </c>
      <c r="BK77" t="str">
        <f ca="1">IFERROR(IF(0=LEN(ReferenceData!$BK$77),"",ReferenceData!$BK$77),"")</f>
        <v/>
      </c>
      <c r="BL77" t="str">
        <f ca="1">IFERROR(IF(0=LEN(ReferenceData!$BL$77),"",ReferenceData!$BL$77),"")</f>
        <v/>
      </c>
      <c r="BM77" t="str">
        <f ca="1">IFERROR(IF(0=LEN(ReferenceData!$BM$77),"",ReferenceData!$BM$77),"")</f>
        <v/>
      </c>
    </row>
    <row r="78" spans="1:65">
      <c r="A78" t="str">
        <f>IFERROR(IF(0=LEN(ReferenceData!$A$78),"",ReferenceData!$A$78),"")</f>
        <v xml:space="preserve">    Retail Properties of America I</v>
      </c>
      <c r="B78" t="str">
        <f>IFERROR(IF(0=LEN(ReferenceData!$B$78),"",ReferenceData!$B$78),"")</f>
        <v>RPAI US Equity</v>
      </c>
      <c r="C78" t="str">
        <f>IFERROR(IF(0=LEN(ReferenceData!$C$78),"",ReferenceData!$C$78),"")</f>
        <v>RR502</v>
      </c>
      <c r="D78" t="str">
        <f>IFERROR(IF(0=LEN(ReferenceData!$D$78),"",ReferenceData!$D$78),"")</f>
        <v>NET_OPER_INCOME</v>
      </c>
      <c r="E78" t="str">
        <f>IFERROR(IF(0=LEN(ReferenceData!$E$78),"",ReferenceData!$E$78),"")</f>
        <v>动态</v>
      </c>
      <c r="F78" t="str">
        <f ca="1">IFERROR(IF(0=LEN(ReferenceData!$F$78),"",ReferenceData!$F$78),"")</f>
        <v/>
      </c>
      <c r="G78">
        <f ca="1">IFERROR(IF(0=LEN(ReferenceData!$G$78),"",ReferenceData!$G$78),"")</f>
        <v>85.804000000000002</v>
      </c>
      <c r="H78">
        <f ca="1">IFERROR(IF(0=LEN(ReferenceData!$H$78),"",ReferenceData!$H$78),"")</f>
        <v>87.566000000000003</v>
      </c>
      <c r="I78">
        <f ca="1">IFERROR(IF(0=LEN(ReferenceData!$I$78),"",ReferenceData!$I$78),"")</f>
        <v>93.05</v>
      </c>
      <c r="J78">
        <f ca="1">IFERROR(IF(0=LEN(ReferenceData!$J$78),"",ReferenceData!$J$78),"")</f>
        <v>97.016999999999996</v>
      </c>
      <c r="K78">
        <f ca="1">IFERROR(IF(0=LEN(ReferenceData!$K$78),"",ReferenceData!$K$78),"")</f>
        <v>97.741</v>
      </c>
      <c r="L78">
        <f ca="1">IFERROR(IF(0=LEN(ReferenceData!$L$78),"",ReferenceData!$L$78),"")</f>
        <v>102.535</v>
      </c>
      <c r="M78">
        <f ca="1">IFERROR(IF(0=LEN(ReferenceData!$M$78),"",ReferenceData!$M$78),"")</f>
        <v>103.666</v>
      </c>
      <c r="N78">
        <f ca="1">IFERROR(IF(0=LEN(ReferenceData!$N$78),"",ReferenceData!$N$78),"")</f>
        <v>102.616</v>
      </c>
      <c r="O78">
        <f ca="1">IFERROR(IF(0=LEN(ReferenceData!$O$78),"",ReferenceData!$O$78),"")</f>
        <v>102.694</v>
      </c>
      <c r="P78">
        <f ca="1">IFERROR(IF(0=LEN(ReferenceData!$P$78),"",ReferenceData!$P$78),"")</f>
        <v>101.914</v>
      </c>
      <c r="Q78">
        <f ca="1">IFERROR(IF(0=LEN(ReferenceData!$Q$78),"",ReferenceData!$Q$78),"")</f>
        <v>104.79900000000001</v>
      </c>
      <c r="R78">
        <f ca="1">IFERROR(IF(0=LEN(ReferenceData!$R$78),"",ReferenceData!$R$78),"")</f>
        <v>104.883</v>
      </c>
      <c r="S78">
        <f ca="1">IFERROR(IF(0=LEN(ReferenceData!$S$78),"",ReferenceData!$S$78),"")</f>
        <v>104.015</v>
      </c>
      <c r="T78">
        <f ca="1">IFERROR(IF(0=LEN(ReferenceData!$T$78),"",ReferenceData!$T$78),"")</f>
        <v>105.161</v>
      </c>
      <c r="U78">
        <f ca="1">IFERROR(IF(0=LEN(ReferenceData!$U$78),"",ReferenceData!$U$78),"")</f>
        <v>103.318</v>
      </c>
      <c r="V78">
        <f ca="1">IFERROR(IF(0=LEN(ReferenceData!$V$78),"",ReferenceData!$V$78),"")</f>
        <v>102.339</v>
      </c>
      <c r="W78">
        <f ca="1">IFERROR(IF(0=LEN(ReferenceData!$W$78),"",ReferenceData!$W$78),"")</f>
        <v>99.361000000000004</v>
      </c>
      <c r="X78">
        <f ca="1">IFERROR(IF(0=LEN(ReferenceData!$X$78),"",ReferenceData!$X$78),"")</f>
        <v>93.921000000000006</v>
      </c>
      <c r="Y78">
        <f ca="1">IFERROR(IF(0=LEN(ReferenceData!$Y$78),"",ReferenceData!$Y$78),"")</f>
        <v>91.477000000000004</v>
      </c>
      <c r="Z78">
        <f ca="1">IFERROR(IF(0=LEN(ReferenceData!$Z$78),"",ReferenceData!$Z$78),"")</f>
        <v>90.222999999999999</v>
      </c>
      <c r="AA78">
        <f ca="1">IFERROR(IF(0=LEN(ReferenceData!$AA$78),"",ReferenceData!$AA$78),"")</f>
        <v>90.77</v>
      </c>
      <c r="AB78">
        <f ca="1">IFERROR(IF(0=LEN(ReferenceData!$AB$78),"",ReferenceData!$AB$78),"")</f>
        <v>95.043000000000006</v>
      </c>
      <c r="AC78">
        <f ca="1">IFERROR(IF(0=LEN(ReferenceData!$AC$78),"",ReferenceData!$AC$78),"")</f>
        <v>94.471000000000004</v>
      </c>
      <c r="AD78">
        <f ca="1">IFERROR(IF(0=LEN(ReferenceData!$AD$78),"",ReferenceData!$AD$78),"")</f>
        <v>96.578999999999994</v>
      </c>
      <c r="AE78">
        <f ca="1">IFERROR(IF(0=LEN(ReferenceData!$AE$78),"",ReferenceData!$AE$78),"")</f>
        <v>95.215000000000003</v>
      </c>
      <c r="AF78">
        <f ca="1">IFERROR(IF(0=LEN(ReferenceData!$AF$78),"",ReferenceData!$AF$78),"")</f>
        <v>101.41500000000001</v>
      </c>
      <c r="AG78">
        <f ca="1">IFERROR(IF(0=LEN(ReferenceData!$AG$78),"",ReferenceData!$AG$78),"")</f>
        <v>100.392</v>
      </c>
      <c r="AH78">
        <f ca="1">IFERROR(IF(0=LEN(ReferenceData!$AH$78),"",ReferenceData!$AH$78),"")</f>
        <v>102.19499999999999</v>
      </c>
      <c r="AI78">
        <f ca="1">IFERROR(IF(0=LEN(ReferenceData!$AI$78),"",ReferenceData!$AI$78),"")</f>
        <v>96.760999999999996</v>
      </c>
      <c r="AJ78">
        <f ca="1">IFERROR(IF(0=LEN(ReferenceData!$AJ$78),"",ReferenceData!$AJ$78),"")</f>
        <v>110.145</v>
      </c>
      <c r="AK78" t="str">
        <f ca="1">IFERROR(IF(0=LEN(ReferenceData!$AK$78),"",ReferenceData!$AK$78),"")</f>
        <v/>
      </c>
      <c r="AL78" t="str">
        <f ca="1">IFERROR(IF(0=LEN(ReferenceData!$AL$78),"",ReferenceData!$AL$78),"")</f>
        <v/>
      </c>
      <c r="AM78" t="str">
        <f ca="1">IFERROR(IF(0=LEN(ReferenceData!$AM$78),"",ReferenceData!$AM$78),"")</f>
        <v/>
      </c>
      <c r="AN78">
        <f ca="1">IFERROR(IF(0=LEN(ReferenceData!$AN$78),"",ReferenceData!$AN$78),"")</f>
        <v>105.629</v>
      </c>
      <c r="AO78" t="str">
        <f ca="1">IFERROR(IF(0=LEN(ReferenceData!$AO$78),"",ReferenceData!$AO$78),"")</f>
        <v/>
      </c>
      <c r="AP78" t="str">
        <f ca="1">IFERROR(IF(0=LEN(ReferenceData!$AP$78),"",ReferenceData!$AP$78),"")</f>
        <v/>
      </c>
      <c r="AQ78" t="str">
        <f ca="1">IFERROR(IF(0=LEN(ReferenceData!$AQ$78),"",ReferenceData!$AQ$78),"")</f>
        <v/>
      </c>
      <c r="AR78" t="str">
        <f ca="1">IFERROR(IF(0=LEN(ReferenceData!$AR$78),"",ReferenceData!$AR$78),"")</f>
        <v/>
      </c>
      <c r="AS78" t="str">
        <f ca="1">IFERROR(IF(0=LEN(ReferenceData!$AS$78),"",ReferenceData!$AS$78),"")</f>
        <v/>
      </c>
      <c r="AT78" t="str">
        <f ca="1">IFERROR(IF(0=LEN(ReferenceData!$AT$78),"",ReferenceData!$AT$78),"")</f>
        <v/>
      </c>
      <c r="AU78" t="str">
        <f ca="1">IFERROR(IF(0=LEN(ReferenceData!$AU$78),"",ReferenceData!$AU$78),"")</f>
        <v/>
      </c>
      <c r="AV78" t="str">
        <f ca="1">IFERROR(IF(0=LEN(ReferenceData!$AV$78),"",ReferenceData!$AV$78),"")</f>
        <v/>
      </c>
      <c r="AW78" t="str">
        <f ca="1">IFERROR(IF(0=LEN(ReferenceData!$AW$78),"",ReferenceData!$AW$78),"")</f>
        <v/>
      </c>
      <c r="AX78" t="str">
        <f ca="1">IFERROR(IF(0=LEN(ReferenceData!$AX$78),"",ReferenceData!$AX$78),"")</f>
        <v/>
      </c>
      <c r="AY78" t="str">
        <f ca="1">IFERROR(IF(0=LEN(ReferenceData!$AY$78),"",ReferenceData!$AY$78),"")</f>
        <v/>
      </c>
      <c r="AZ78" t="str">
        <f ca="1">IFERROR(IF(0=LEN(ReferenceData!$AZ$78),"",ReferenceData!$AZ$78),"")</f>
        <v/>
      </c>
      <c r="BA78" t="str">
        <f ca="1">IFERROR(IF(0=LEN(ReferenceData!$BA$78),"",ReferenceData!$BA$78),"")</f>
        <v/>
      </c>
      <c r="BB78" t="str">
        <f ca="1">IFERROR(IF(0=LEN(ReferenceData!$BB$78),"",ReferenceData!$BB$78),"")</f>
        <v/>
      </c>
      <c r="BC78" t="str">
        <f ca="1">IFERROR(IF(0=LEN(ReferenceData!$BC$78),"",ReferenceData!$BC$78),"")</f>
        <v/>
      </c>
      <c r="BD78" t="str">
        <f ca="1">IFERROR(IF(0=LEN(ReferenceData!$BD$78),"",ReferenceData!$BD$78),"")</f>
        <v/>
      </c>
      <c r="BE78" t="str">
        <f ca="1">IFERROR(IF(0=LEN(ReferenceData!$BE$78),"",ReferenceData!$BE$78),"")</f>
        <v/>
      </c>
      <c r="BF78" t="str">
        <f ca="1">IFERROR(IF(0=LEN(ReferenceData!$BF$78),"",ReferenceData!$BF$78),"")</f>
        <v/>
      </c>
      <c r="BG78" t="str">
        <f ca="1">IFERROR(IF(0=LEN(ReferenceData!$BG$78),"",ReferenceData!$BG$78),"")</f>
        <v/>
      </c>
      <c r="BH78" t="str">
        <f ca="1">IFERROR(IF(0=LEN(ReferenceData!$BH$78),"",ReferenceData!$BH$78),"")</f>
        <v/>
      </c>
      <c r="BI78" t="str">
        <f ca="1">IFERROR(IF(0=LEN(ReferenceData!$BI$78),"",ReferenceData!$BI$78),"")</f>
        <v/>
      </c>
      <c r="BJ78" t="str">
        <f ca="1">IFERROR(IF(0=LEN(ReferenceData!$BJ$78),"",ReferenceData!$BJ$78),"")</f>
        <v/>
      </c>
      <c r="BK78" t="str">
        <f ca="1">IFERROR(IF(0=LEN(ReferenceData!$BK$78),"",ReferenceData!$BK$78),"")</f>
        <v/>
      </c>
      <c r="BL78" t="str">
        <f ca="1">IFERROR(IF(0=LEN(ReferenceData!$BL$78),"",ReferenceData!$BL$78),"")</f>
        <v/>
      </c>
      <c r="BM78" t="str">
        <f ca="1">IFERROR(IF(0=LEN(ReferenceData!$BM$78),"",ReferenceData!$BM$78),"")</f>
        <v/>
      </c>
    </row>
    <row r="79" spans="1:65">
      <c r="A79" t="str">
        <f>IFERROR(IF(0=LEN(ReferenceData!$A$79),"",ReferenceData!$A$79),"")</f>
        <v xml:space="preserve">    Simon Property Group Inc</v>
      </c>
      <c r="B79" t="str">
        <f>IFERROR(IF(0=LEN(ReferenceData!$B$79),"",ReferenceData!$B$79),"")</f>
        <v>SPG US Equity</v>
      </c>
      <c r="C79" t="str">
        <f>IFERROR(IF(0=LEN(ReferenceData!$C$79),"",ReferenceData!$C$79),"")</f>
        <v>RR502</v>
      </c>
      <c r="D79" t="str">
        <f>IFERROR(IF(0=LEN(ReferenceData!$D$79),"",ReferenceData!$D$79),"")</f>
        <v>NET_OPER_INCOME</v>
      </c>
      <c r="E79" t="str">
        <f>IFERROR(IF(0=LEN(ReferenceData!$E$79),"",ReferenceData!$E$79),"")</f>
        <v>动态</v>
      </c>
      <c r="F79" t="str">
        <f ca="1">IFERROR(IF(0=LEN(ReferenceData!$F$79),"",ReferenceData!$F$79),"")</f>
        <v/>
      </c>
      <c r="G79">
        <f ca="1">IFERROR(IF(0=LEN(ReferenceData!$G$79),"",ReferenceData!$G$79),"")</f>
        <v>1062.922</v>
      </c>
      <c r="H79">
        <f ca="1">IFERROR(IF(0=LEN(ReferenceData!$H$79),"",ReferenceData!$H$79),"")</f>
        <v>1021.359</v>
      </c>
      <c r="I79">
        <f ca="1">IFERROR(IF(0=LEN(ReferenceData!$I$79),"",ReferenceData!$I$79),"")</f>
        <v>1014.228</v>
      </c>
      <c r="J79">
        <f ca="1">IFERROR(IF(0=LEN(ReferenceData!$J$79),"",ReferenceData!$J$79),"")</f>
        <v>1012.208</v>
      </c>
      <c r="K79">
        <f ca="1">IFERROR(IF(0=LEN(ReferenceData!$K$79),"",ReferenceData!$K$79),"")</f>
        <v>1067.021</v>
      </c>
      <c r="L79">
        <f ca="1">IFERROR(IF(0=LEN(ReferenceData!$L$79),"",ReferenceData!$L$79),"")</f>
        <v>1012.099</v>
      </c>
      <c r="M79">
        <f ca="1">IFERROR(IF(0=LEN(ReferenceData!$M$79),"",ReferenceData!$M$79),"")</f>
        <v>986.73900000000003</v>
      </c>
      <c r="N79">
        <f ca="1">IFERROR(IF(0=LEN(ReferenceData!$N$79),"",ReferenceData!$N$79),"")</f>
        <v>978.87900000000002</v>
      </c>
      <c r="O79">
        <f ca="1">IFERROR(IF(0=LEN(ReferenceData!$O$79),"",ReferenceData!$O$79),"")</f>
        <v>1035.9780000000001</v>
      </c>
      <c r="P79">
        <f ca="1">IFERROR(IF(0=LEN(ReferenceData!$P$79),"",ReferenceData!$P$79),"")</f>
        <v>957.68200000000002</v>
      </c>
      <c r="Q79">
        <f ca="1">IFERROR(IF(0=LEN(ReferenceData!$Q$79),"",ReferenceData!$Q$79),"")</f>
        <v>939.28399999999999</v>
      </c>
      <c r="R79">
        <f ca="1">IFERROR(IF(0=LEN(ReferenceData!$R$79),"",ReferenceData!$R$79),"")</f>
        <v>912.51499999999999</v>
      </c>
      <c r="S79">
        <f ca="1">IFERROR(IF(0=LEN(ReferenceData!$S$79),"",ReferenceData!$S$79),"")</f>
        <v>974.14099999999996</v>
      </c>
      <c r="T79">
        <f ca="1">IFERROR(IF(0=LEN(ReferenceData!$T$79),"",ReferenceData!$T$79),"")</f>
        <v>915.83100000000002</v>
      </c>
      <c r="U79">
        <f ca="1">IFERROR(IF(0=LEN(ReferenceData!$U$79),"",ReferenceData!$U$79),"")</f>
        <v>892.20699999999999</v>
      </c>
      <c r="V79">
        <f ca="1">IFERROR(IF(0=LEN(ReferenceData!$V$79),"",ReferenceData!$V$79),"")</f>
        <v>868.39800000000002</v>
      </c>
      <c r="W79">
        <f ca="1">IFERROR(IF(0=LEN(ReferenceData!$W$79),"",ReferenceData!$W$79),"")</f>
        <v>929.87400000000002</v>
      </c>
      <c r="X79">
        <f ca="1">IFERROR(IF(0=LEN(ReferenceData!$X$79),"",ReferenceData!$X$79),"")</f>
        <v>856.61599999999999</v>
      </c>
      <c r="Y79">
        <f ca="1">IFERROR(IF(0=LEN(ReferenceData!$Y$79),"",ReferenceData!$Y$79),"")</f>
        <v>820.71</v>
      </c>
      <c r="Z79">
        <f ca="1">IFERROR(IF(0=LEN(ReferenceData!$Z$79),"",ReferenceData!$Z$79),"")</f>
        <v>913.70500000000004</v>
      </c>
      <c r="AA79">
        <f ca="1">IFERROR(IF(0=LEN(ReferenceData!$AA$79),"",ReferenceData!$AA$79),"")</f>
        <v>987.37900000000002</v>
      </c>
      <c r="AB79">
        <f ca="1">IFERROR(IF(0=LEN(ReferenceData!$AB$79),"",ReferenceData!$AB$79),"")</f>
        <v>892.20399999999995</v>
      </c>
      <c r="AC79">
        <f ca="1">IFERROR(IF(0=LEN(ReferenceData!$AC$79),"",ReferenceData!$AC$79),"")</f>
        <v>858.43299999999999</v>
      </c>
      <c r="AD79">
        <f ca="1">IFERROR(IF(0=LEN(ReferenceData!$AD$79),"",ReferenceData!$AD$79),"")</f>
        <v>818.27200000000005</v>
      </c>
      <c r="AE79">
        <f ca="1">IFERROR(IF(0=LEN(ReferenceData!$AE$79),"",ReferenceData!$AE$79),"")</f>
        <v>852.80799999999999</v>
      </c>
      <c r="AF79">
        <f ca="1">IFERROR(IF(0=LEN(ReferenceData!$AF$79),"",ReferenceData!$AF$79),"")</f>
        <v>766.98299999999995</v>
      </c>
      <c r="AG79">
        <f ca="1">IFERROR(IF(0=LEN(ReferenceData!$AG$79),"",ReferenceData!$AG$79),"")</f>
        <v>736.36800000000005</v>
      </c>
      <c r="AH79">
        <f ca="1">IFERROR(IF(0=LEN(ReferenceData!$AH$79),"",ReferenceData!$AH$79),"")</f>
        <v>727.86300000000006</v>
      </c>
      <c r="AI79">
        <f ca="1">IFERROR(IF(0=LEN(ReferenceData!$AI$79),"",ReferenceData!$AI$79),"")</f>
        <v>799.70600000000002</v>
      </c>
      <c r="AJ79">
        <f ca="1">IFERROR(IF(0=LEN(ReferenceData!$AJ$79),"",ReferenceData!$AJ$79),"")</f>
        <v>691.44200000000001</v>
      </c>
      <c r="AK79">
        <f ca="1">IFERROR(IF(0=LEN(ReferenceData!$AK$79),"",ReferenceData!$AK$79),"")</f>
        <v>655.89700000000005</v>
      </c>
      <c r="AL79">
        <f ca="1">IFERROR(IF(0=LEN(ReferenceData!$AL$79),"",ReferenceData!$AL$79),"")</f>
        <v>638.23900000000003</v>
      </c>
      <c r="AM79">
        <f ca="1">IFERROR(IF(0=LEN(ReferenceData!$AM$79),"",ReferenceData!$AM$79),"")</f>
        <v>713.99099999999999</v>
      </c>
      <c r="AN79">
        <f ca="1">IFERROR(IF(0=LEN(ReferenceData!$AN$79),"",ReferenceData!$AN$79),"")</f>
        <v>652.45899999999995</v>
      </c>
      <c r="AO79">
        <f ca="1">IFERROR(IF(0=LEN(ReferenceData!$AO$79),"",ReferenceData!$AO$79),"")</f>
        <v>638.79200000000003</v>
      </c>
      <c r="AP79">
        <f ca="1">IFERROR(IF(0=LEN(ReferenceData!$AP$79),"",ReferenceData!$AP$79),"")</f>
        <v>637.84299999999996</v>
      </c>
      <c r="AQ79">
        <f ca="1">IFERROR(IF(0=LEN(ReferenceData!$AQ$79),"",ReferenceData!$AQ$79),"")</f>
        <v>717.42899999999997</v>
      </c>
      <c r="AR79">
        <f ca="1">IFERROR(IF(0=LEN(ReferenceData!$AR$79),"",ReferenceData!$AR$79),"")</f>
        <v>639.24900000000002</v>
      </c>
      <c r="AS79">
        <f ca="1">IFERROR(IF(0=LEN(ReferenceData!$AS$79),"",ReferenceData!$AS$79),"")</f>
        <v>633.77200000000005</v>
      </c>
      <c r="AT79">
        <f ca="1">IFERROR(IF(0=LEN(ReferenceData!$AT$79),"",ReferenceData!$AT$79),"")</f>
        <v>604.92600000000004</v>
      </c>
      <c r="AU79">
        <f ca="1">IFERROR(IF(0=LEN(ReferenceData!$AU$79),"",ReferenceData!$AU$79),"")</f>
        <v>706.97299999999996</v>
      </c>
      <c r="AV79">
        <f ca="1">IFERROR(IF(0=LEN(ReferenceData!$AV$79),"",ReferenceData!$AV$79),"")</f>
        <v>612.41</v>
      </c>
      <c r="AW79">
        <f ca="1">IFERROR(IF(0=LEN(ReferenceData!$AW$79),"",ReferenceData!$AW$79),"")</f>
        <v>555.90700000000004</v>
      </c>
      <c r="AX79">
        <f ca="1">IFERROR(IF(0=LEN(ReferenceData!$AX$79),"",ReferenceData!$AX$79),"")</f>
        <v>543.94500000000005</v>
      </c>
      <c r="AY79">
        <f ca="1">IFERROR(IF(0=LEN(ReferenceData!$AY$79),"",ReferenceData!$AY$79),"")</f>
        <v>594.14400000000001</v>
      </c>
      <c r="AZ79">
        <f ca="1">IFERROR(IF(0=LEN(ReferenceData!$AZ$79),"",ReferenceData!$AZ$79),"")</f>
        <v>543.33799999999997</v>
      </c>
      <c r="BA79">
        <f ca="1">IFERROR(IF(0=LEN(ReferenceData!$BA$79),"",ReferenceData!$BA$79),"")</f>
        <v>524.25800000000004</v>
      </c>
      <c r="BB79">
        <f ca="1">IFERROR(IF(0=LEN(ReferenceData!$BB$79),"",ReferenceData!$BB$79),"")</f>
        <v>514.24199999999996</v>
      </c>
      <c r="BC79">
        <f ca="1">IFERROR(IF(0=LEN(ReferenceData!$BC$79),"",ReferenceData!$BC$79),"")</f>
        <v>562.38499999999999</v>
      </c>
      <c r="BD79">
        <f ca="1">IFERROR(IF(0=LEN(ReferenceData!$BD$79),"",ReferenceData!$BD$79),"")</f>
        <v>506.20400000000001</v>
      </c>
      <c r="BE79">
        <f ca="1">IFERROR(IF(0=LEN(ReferenceData!$BE$79),"",ReferenceData!$BE$79),"")</f>
        <v>497.96699999999998</v>
      </c>
      <c r="BF79">
        <f ca="1">IFERROR(IF(0=LEN(ReferenceData!$BF$79),"",ReferenceData!$BF$79),"")</f>
        <v>488.435</v>
      </c>
      <c r="BG79">
        <f ca="1">IFERROR(IF(0=LEN(ReferenceData!$BG$79),"",ReferenceData!$BG$79),"")</f>
        <v>507.084</v>
      </c>
      <c r="BH79">
        <f ca="1">IFERROR(IF(0=LEN(ReferenceData!$BH$79),"",ReferenceData!$BH$79),"")</f>
        <v>389.27600000000001</v>
      </c>
      <c r="BI79">
        <f ca="1">IFERROR(IF(0=LEN(ReferenceData!$BI$79),"",ReferenceData!$BI$79),"")</f>
        <v>386.99299999999999</v>
      </c>
      <c r="BJ79">
        <f ca="1">IFERROR(IF(0=LEN(ReferenceData!$BJ$79),"",ReferenceData!$BJ$79),"")</f>
        <v>376.47300000000001</v>
      </c>
      <c r="BK79">
        <f ca="1">IFERROR(IF(0=LEN(ReferenceData!$BK$79),"",ReferenceData!$BK$79),"")</f>
        <v>321.95299999999997</v>
      </c>
      <c r="BL79">
        <f ca="1">IFERROR(IF(0=LEN(ReferenceData!$BL$79),"",ReferenceData!$BL$79),"")</f>
        <v>360.86200000000002</v>
      </c>
      <c r="BM79">
        <f ca="1">IFERROR(IF(0=LEN(ReferenceData!$BM$79),"",ReferenceData!$BM$79),"")</f>
        <v>354.50400000000002</v>
      </c>
    </row>
    <row r="80" spans="1:65">
      <c r="A80" t="str">
        <f>IFERROR(IF(0=LEN(ReferenceData!$A$80),"",ReferenceData!$A$80),"")</f>
        <v xml:space="preserve">    Tanger Factory Outlet Centers</v>
      </c>
      <c r="B80" t="str">
        <f>IFERROR(IF(0=LEN(ReferenceData!$B$80),"",ReferenceData!$B$80),"")</f>
        <v>SKT US Equity</v>
      </c>
      <c r="C80" t="str">
        <f>IFERROR(IF(0=LEN(ReferenceData!$C$80),"",ReferenceData!$C$80),"")</f>
        <v>RR502</v>
      </c>
      <c r="D80" t="str">
        <f>IFERROR(IF(0=LEN(ReferenceData!$D$80),"",ReferenceData!$D$80),"")</f>
        <v>NET_OPER_INCOME</v>
      </c>
      <c r="E80" t="str">
        <f>IFERROR(IF(0=LEN(ReferenceData!$E$80),"",ReferenceData!$E$80),"")</f>
        <v>动态</v>
      </c>
      <c r="F80" t="str">
        <f ca="1">IFERROR(IF(0=LEN(ReferenceData!$F$80),"",ReferenceData!$F$80),"")</f>
        <v/>
      </c>
      <c r="G80">
        <f ca="1">IFERROR(IF(0=LEN(ReferenceData!$G$80),"",ReferenceData!$G$80),"")</f>
        <v>84.103999999999999</v>
      </c>
      <c r="H80">
        <f ca="1">IFERROR(IF(0=LEN(ReferenceData!$H$80),"",ReferenceData!$H$80),"")</f>
        <v>80.683999999999997</v>
      </c>
      <c r="I80">
        <f ca="1">IFERROR(IF(0=LEN(ReferenceData!$I$80),"",ReferenceData!$I$80),"")</f>
        <v>80.108999999999995</v>
      </c>
      <c r="J80">
        <f ca="1">IFERROR(IF(0=LEN(ReferenceData!$J$80),"",ReferenceData!$J$80),"")</f>
        <v>78.974999999999994</v>
      </c>
      <c r="K80">
        <f ca="1">IFERROR(IF(0=LEN(ReferenceData!$K$80),"",ReferenceData!$K$80),"")</f>
        <v>80.504000000000005</v>
      </c>
      <c r="L80">
        <f ca="1">IFERROR(IF(0=LEN(ReferenceData!$L$80),"",ReferenceData!$L$80),"")</f>
        <v>79.052999999999997</v>
      </c>
      <c r="M80">
        <f ca="1">IFERROR(IF(0=LEN(ReferenceData!$M$80),"",ReferenceData!$M$80),"")</f>
        <v>74.403000000000006</v>
      </c>
      <c r="N80">
        <f ca="1">IFERROR(IF(0=LEN(ReferenceData!$N$80),"",ReferenceData!$N$80),"")</f>
        <v>71.262</v>
      </c>
      <c r="O80">
        <f ca="1">IFERROR(IF(0=LEN(ReferenceData!$O$80),"",ReferenceData!$O$80),"")</f>
        <v>73.384</v>
      </c>
      <c r="P80">
        <f ca="1">IFERROR(IF(0=LEN(ReferenceData!$P$80),"",ReferenceData!$P$80),"")</f>
        <v>74.03</v>
      </c>
      <c r="Q80">
        <f ca="1">IFERROR(IF(0=LEN(ReferenceData!$Q$80),"",ReferenceData!$Q$80),"")</f>
        <v>71.049000000000007</v>
      </c>
      <c r="R80">
        <f ca="1">IFERROR(IF(0=LEN(ReferenceData!$R$80),"",ReferenceData!$R$80),"")</f>
        <v>66.772999999999996</v>
      </c>
      <c r="S80">
        <f ca="1">IFERROR(IF(0=LEN(ReferenceData!$S$80),"",ReferenceData!$S$80),"")</f>
        <v>71.557000000000002</v>
      </c>
      <c r="T80">
        <f ca="1">IFERROR(IF(0=LEN(ReferenceData!$T$80),"",ReferenceData!$T$80),"")</f>
        <v>70.135999999999996</v>
      </c>
      <c r="U80">
        <f ca="1">IFERROR(IF(0=LEN(ReferenceData!$U$80),"",ReferenceData!$U$80),"")</f>
        <v>66.656000000000006</v>
      </c>
      <c r="V80">
        <f ca="1">IFERROR(IF(0=LEN(ReferenceData!$V$80),"",ReferenceData!$V$80),"")</f>
        <v>65.14</v>
      </c>
      <c r="W80">
        <f ca="1">IFERROR(IF(0=LEN(ReferenceData!$W$80),"",ReferenceData!$W$80),"")</f>
        <v>71.233000000000004</v>
      </c>
      <c r="X80">
        <f ca="1">IFERROR(IF(0=LEN(ReferenceData!$X$80),"",ReferenceData!$X$80),"")</f>
        <v>64.936000000000007</v>
      </c>
      <c r="Y80">
        <f ca="1">IFERROR(IF(0=LEN(ReferenceData!$Y$80),"",ReferenceData!$Y$80),"")</f>
        <v>59.904000000000003</v>
      </c>
      <c r="Z80">
        <f ca="1">IFERROR(IF(0=LEN(ReferenceData!$Z$80),"",ReferenceData!$Z$80),"")</f>
        <v>58.432000000000002</v>
      </c>
      <c r="AA80">
        <f ca="1">IFERROR(IF(0=LEN(ReferenceData!$AA$80),"",ReferenceData!$AA$80),"")</f>
        <v>62.250999999999998</v>
      </c>
      <c r="AB80">
        <f ca="1">IFERROR(IF(0=LEN(ReferenceData!$AB$80),"",ReferenceData!$AB$80),"")</f>
        <v>59.874000000000002</v>
      </c>
      <c r="AC80">
        <f ca="1">IFERROR(IF(0=LEN(ReferenceData!$AC$80),"",ReferenceData!$AC$80),"")</f>
        <v>57.213000000000001</v>
      </c>
      <c r="AD80">
        <f ca="1">IFERROR(IF(0=LEN(ReferenceData!$AD$80),"",ReferenceData!$AD$80),"")</f>
        <v>56.350999999999999</v>
      </c>
      <c r="AE80">
        <f ca="1">IFERROR(IF(0=LEN(ReferenceData!$AE$80),"",ReferenceData!$AE$80),"")</f>
        <v>59.512999999999998</v>
      </c>
      <c r="AF80">
        <f ca="1">IFERROR(IF(0=LEN(ReferenceData!$AF$80),"",ReferenceData!$AF$80),"")</f>
        <v>55.494</v>
      </c>
      <c r="AG80">
        <f ca="1">IFERROR(IF(0=LEN(ReferenceData!$AG$80),"",ReferenceData!$AG$80),"")</f>
        <v>46.381</v>
      </c>
      <c r="AH80">
        <f ca="1">IFERROR(IF(0=LEN(ReferenceData!$AH$80),"",ReferenceData!$AH$80),"")</f>
        <v>44.707000000000001</v>
      </c>
      <c r="AI80">
        <f ca="1">IFERROR(IF(0=LEN(ReferenceData!$AI$80),"",ReferenceData!$AI$80),"")</f>
        <v>46.621000000000002</v>
      </c>
      <c r="AJ80">
        <f ca="1">IFERROR(IF(0=LEN(ReferenceData!$AJ$80),"",ReferenceData!$AJ$80),"")</f>
        <v>44.338999999999999</v>
      </c>
      <c r="AK80">
        <f ca="1">IFERROR(IF(0=LEN(ReferenceData!$AK$80),"",ReferenceData!$AK$80),"")</f>
        <v>41.322000000000003</v>
      </c>
      <c r="AL80">
        <f ca="1">IFERROR(IF(0=LEN(ReferenceData!$AL$80),"",ReferenceData!$AL$80),"")</f>
        <v>41.972000000000001</v>
      </c>
      <c r="AM80">
        <f ca="1">IFERROR(IF(0=LEN(ReferenceData!$AM$80),"",ReferenceData!$AM$80),"")</f>
        <v>44.656999999999996</v>
      </c>
      <c r="AN80">
        <f ca="1">IFERROR(IF(0=LEN(ReferenceData!$AN$80),"",ReferenceData!$AN$80),"")</f>
        <v>43.192</v>
      </c>
      <c r="AO80">
        <f ca="1">IFERROR(IF(0=LEN(ReferenceData!$AO$80),"",ReferenceData!$AO$80),"")</f>
        <v>41.819000000000003</v>
      </c>
      <c r="AP80">
        <f ca="1">IFERROR(IF(0=LEN(ReferenceData!$AP$80),"",ReferenceData!$AP$80),"")</f>
        <v>41.706000000000003</v>
      </c>
      <c r="AQ80">
        <f ca="1">IFERROR(IF(0=LEN(ReferenceData!$AQ$80),"",ReferenceData!$AQ$80),"")</f>
        <v>45.061</v>
      </c>
      <c r="AR80">
        <f ca="1">IFERROR(IF(0=LEN(ReferenceData!$AR$80),"",ReferenceData!$AR$80),"")</f>
        <v>39.929000000000002</v>
      </c>
      <c r="AS80">
        <f ca="1">IFERROR(IF(0=LEN(ReferenceData!$AS$80),"",ReferenceData!$AS$80),"")</f>
        <v>37.909999999999997</v>
      </c>
      <c r="AT80">
        <f ca="1">IFERROR(IF(0=LEN(ReferenceData!$AT$80),"",ReferenceData!$AT$80),"")</f>
        <v>36.668999999999997</v>
      </c>
      <c r="AU80">
        <f ca="1">IFERROR(IF(0=LEN(ReferenceData!$AU$80),"",ReferenceData!$AU$80),"")</f>
        <v>39.524999999999999</v>
      </c>
      <c r="AV80">
        <f ca="1">IFERROR(IF(0=LEN(ReferenceData!$AV$80),"",ReferenceData!$AV$80),"")</f>
        <v>37.073</v>
      </c>
      <c r="AW80">
        <f ca="1">IFERROR(IF(0=LEN(ReferenceData!$AW$80),"",ReferenceData!$AW$80),"")</f>
        <v>35.921999999999997</v>
      </c>
      <c r="AX80">
        <f ca="1">IFERROR(IF(0=LEN(ReferenceData!$AX$80),"",ReferenceData!$AX$80),"")</f>
        <v>34.655999999999999</v>
      </c>
      <c r="AY80">
        <f ca="1">IFERROR(IF(0=LEN(ReferenceData!$AY$80),"",ReferenceData!$AY$80),"")</f>
        <v>36.192999999999998</v>
      </c>
      <c r="AZ80">
        <f ca="1">IFERROR(IF(0=LEN(ReferenceData!$AZ$80),"",ReferenceData!$AZ$80),"")</f>
        <v>34.246000000000002</v>
      </c>
      <c r="BA80">
        <f ca="1">IFERROR(IF(0=LEN(ReferenceData!$BA$80),"",ReferenceData!$BA$80),"")</f>
        <v>33.029000000000003</v>
      </c>
      <c r="BB80">
        <f ca="1">IFERROR(IF(0=LEN(ReferenceData!$BB$80),"",ReferenceData!$BB$80),"")</f>
        <v>32.078000000000003</v>
      </c>
      <c r="BC80">
        <f ca="1">IFERROR(IF(0=LEN(ReferenceData!$BC$80),"",ReferenceData!$BC$80),"")</f>
        <v>34.180999999999997</v>
      </c>
      <c r="BD80">
        <f ca="1">IFERROR(IF(0=LEN(ReferenceData!$BD$80),"",ReferenceData!$BD$80),"")</f>
        <v>33.475999999999999</v>
      </c>
      <c r="BE80">
        <f ca="1">IFERROR(IF(0=LEN(ReferenceData!$BE$80),"",ReferenceData!$BE$80),"")</f>
        <v>32.252000000000002</v>
      </c>
      <c r="BF80">
        <f ca="1">IFERROR(IF(0=LEN(ReferenceData!$BF$80),"",ReferenceData!$BF$80),"")</f>
        <v>30.335000000000001</v>
      </c>
      <c r="BG80">
        <f ca="1">IFERROR(IF(0=LEN(ReferenceData!$BG$80),"",ReferenceData!$BG$80),"")</f>
        <v>33.658999999999999</v>
      </c>
      <c r="BH80">
        <f ca="1">IFERROR(IF(0=LEN(ReferenceData!$BH$80),"",ReferenceData!$BH$80),"")</f>
        <v>32.274999999999999</v>
      </c>
      <c r="BI80">
        <f ca="1">IFERROR(IF(0=LEN(ReferenceData!$BI$80),"",ReferenceData!$BI$80),"")</f>
        <v>31.643999999999998</v>
      </c>
      <c r="BJ80">
        <f ca="1">IFERROR(IF(0=LEN(ReferenceData!$BJ$80),"",ReferenceData!$BJ$80),"")</f>
        <v>31.21</v>
      </c>
      <c r="BK80">
        <f ca="1">IFERROR(IF(0=LEN(ReferenceData!$BK$80),"",ReferenceData!$BK$80),"")</f>
        <v>22.31200123</v>
      </c>
      <c r="BL80">
        <f ca="1">IFERROR(IF(0=LEN(ReferenceData!$BL$80),"",ReferenceData!$BL$80),"")</f>
        <v>18.399000000000001</v>
      </c>
      <c r="BM80">
        <f ca="1">IFERROR(IF(0=LEN(ReferenceData!$BM$80),"",ReferenceData!$BM$80),"")</f>
        <v>18.332000000000001</v>
      </c>
    </row>
    <row r="81" spans="1:65">
      <c r="A81" t="str">
        <f>IFERROR(IF(0=LEN(ReferenceData!$A$81),"",ReferenceData!$A$81),"")</f>
        <v xml:space="preserve">    VEREIT Inc</v>
      </c>
      <c r="B81" t="str">
        <f>IFERROR(IF(0=LEN(ReferenceData!$B$81),"",ReferenceData!$B$81),"")</f>
        <v>VER US Equity</v>
      </c>
      <c r="C81" t="str">
        <f>IFERROR(IF(0=LEN(ReferenceData!$C$81),"",ReferenceData!$C$81),"")</f>
        <v>RR502</v>
      </c>
      <c r="D81" t="str">
        <f>IFERROR(IF(0=LEN(ReferenceData!$D$81),"",ReferenceData!$D$81),"")</f>
        <v>NET_OPER_INCOME</v>
      </c>
      <c r="E81" t="str">
        <f>IFERROR(IF(0=LEN(ReferenceData!$E$81),"",ReferenceData!$E$81),"")</f>
        <v>动态</v>
      </c>
      <c r="F81" t="str">
        <f ca="1">IFERROR(IF(0=LEN(ReferenceData!$F$81),"",ReferenceData!$F$81),"")</f>
        <v/>
      </c>
      <c r="G81">
        <f ca="1">IFERROR(IF(0=LEN(ReferenceData!$G$81),"",ReferenceData!$G$81),"")</f>
        <v>258.13499999999999</v>
      </c>
      <c r="H81">
        <f ca="1">IFERROR(IF(0=LEN(ReferenceData!$H$81),"",ReferenceData!$H$81),"")</f>
        <v>249.32300000000001</v>
      </c>
      <c r="I81">
        <f ca="1">IFERROR(IF(0=LEN(ReferenceData!$I$81),"",ReferenceData!$I$81),"")</f>
        <v>251.79</v>
      </c>
      <c r="J81">
        <f ca="1">IFERROR(IF(0=LEN(ReferenceData!$J$81),"",ReferenceData!$J$81),"")</f>
        <v>257.06299999999999</v>
      </c>
      <c r="K81">
        <f ca="1">IFERROR(IF(0=LEN(ReferenceData!$K$81),"",ReferenceData!$K$81),"")</f>
        <v>260.40100000000001</v>
      </c>
      <c r="L81">
        <f ca="1">IFERROR(IF(0=LEN(ReferenceData!$L$81),"",ReferenceData!$L$81),"")</f>
        <v>262.666</v>
      </c>
      <c r="M81">
        <f ca="1">IFERROR(IF(0=LEN(ReferenceData!$M$81),"",ReferenceData!$M$81),"")</f>
        <v>266.178</v>
      </c>
      <c r="N81">
        <f ca="1">IFERROR(IF(0=LEN(ReferenceData!$N$81),"",ReferenceData!$N$81),"")</f>
        <v>271.08999999999997</v>
      </c>
      <c r="O81">
        <f ca="1">IFERROR(IF(0=LEN(ReferenceData!$O$81),"",ReferenceData!$O$81),"")</f>
        <v>280.21300000000002</v>
      </c>
      <c r="P81">
        <f ca="1">IFERROR(IF(0=LEN(ReferenceData!$P$81),"",ReferenceData!$P$81),"")</f>
        <v>297.92</v>
      </c>
      <c r="Q81">
        <f ca="1">IFERROR(IF(0=LEN(ReferenceData!$Q$81),"",ReferenceData!$Q$81),"")</f>
        <v>304.875</v>
      </c>
      <c r="R81">
        <f ca="1">IFERROR(IF(0=LEN(ReferenceData!$R$81),"",ReferenceData!$R$81),"")</f>
        <v>309.72899999999998</v>
      </c>
      <c r="S81">
        <f ca="1">IFERROR(IF(0=LEN(ReferenceData!$S$81),"",ReferenceData!$S$81),"")</f>
        <v>309.87900000000002</v>
      </c>
      <c r="T81">
        <f ca="1">IFERROR(IF(0=LEN(ReferenceData!$T$81),"",ReferenceData!$T$81),"")</f>
        <v>309.33699999999999</v>
      </c>
      <c r="U81">
        <f ca="1">IFERROR(IF(0=LEN(ReferenceData!$U$81),"",ReferenceData!$U$81),"")</f>
        <v>268.16500000000002</v>
      </c>
      <c r="V81">
        <f ca="1">IFERROR(IF(0=LEN(ReferenceData!$V$81),"",ReferenceData!$V$81),"")</f>
        <v>187.35499999999999</v>
      </c>
      <c r="W81">
        <f ca="1">IFERROR(IF(0=LEN(ReferenceData!$W$81),"",ReferenceData!$W$81),"")</f>
        <v>74.426000000000002</v>
      </c>
      <c r="X81">
        <f ca="1">IFERROR(IF(0=LEN(ReferenceData!$X$81),"",ReferenceData!$X$81),"")</f>
        <v>84.299000000000007</v>
      </c>
      <c r="Y81">
        <f ca="1">IFERROR(IF(0=LEN(ReferenceData!$Y$81),"",ReferenceData!$Y$81),"")</f>
        <v>49.578000000000003</v>
      </c>
      <c r="Z81">
        <f ca="1">IFERROR(IF(0=LEN(ReferenceData!$Z$81),"",ReferenceData!$Z$81),"")</f>
        <v>38.438000000000002</v>
      </c>
      <c r="AA81">
        <f ca="1">IFERROR(IF(0=LEN(ReferenceData!$AA$81),"",ReferenceData!$AA$81),"")</f>
        <v>27.018000000000001</v>
      </c>
      <c r="AB81">
        <f ca="1">IFERROR(IF(0=LEN(ReferenceData!$AB$81),"",ReferenceData!$AB$81),"")</f>
        <v>17.225000000000001</v>
      </c>
      <c r="AC81">
        <f ca="1">IFERROR(IF(0=LEN(ReferenceData!$AC$81),"",ReferenceData!$AC$81),"")</f>
        <v>11.041</v>
      </c>
      <c r="AD81">
        <f ca="1">IFERROR(IF(0=LEN(ReferenceData!$AD$81),"",ReferenceData!$AD$81),"")</f>
        <v>5.7910000000000004</v>
      </c>
      <c r="AE81">
        <f ca="1">IFERROR(IF(0=LEN(ReferenceData!$AE$81),"",ReferenceData!$AE$81),"")</f>
        <v>0.59783600000000003</v>
      </c>
      <c r="AF81">
        <f ca="1">IFERROR(IF(0=LEN(ReferenceData!$AF$81),"",ReferenceData!$AF$81),"")</f>
        <v>0.57599999999999996</v>
      </c>
      <c r="AG81">
        <f ca="1">IFERROR(IF(0=LEN(ReferenceData!$AG$81),"",ReferenceData!$AG$81),"")</f>
        <v>0</v>
      </c>
      <c r="AH81">
        <f ca="1">IFERROR(IF(0=LEN(ReferenceData!$AH$81),"",ReferenceData!$AH$81),"")</f>
        <v>1.6951639999999999</v>
      </c>
      <c r="AI81" t="str">
        <f ca="1">IFERROR(IF(0=LEN(ReferenceData!$AI$81),"",ReferenceData!$AI$81),"")</f>
        <v/>
      </c>
      <c r="AJ81" t="str">
        <f ca="1">IFERROR(IF(0=LEN(ReferenceData!$AJ$81),"",ReferenceData!$AJ$81),"")</f>
        <v/>
      </c>
      <c r="AK81" t="str">
        <f ca="1">IFERROR(IF(0=LEN(ReferenceData!$AK$81),"",ReferenceData!$AK$81),"")</f>
        <v/>
      </c>
      <c r="AL81">
        <f ca="1">IFERROR(IF(0=LEN(ReferenceData!$AL$81),"",ReferenceData!$AL$81),"")</f>
        <v>1.749868</v>
      </c>
      <c r="AM81" t="str">
        <f ca="1">IFERROR(IF(0=LEN(ReferenceData!$AM$81),"",ReferenceData!$AM$81),"")</f>
        <v/>
      </c>
      <c r="AN81" t="str">
        <f ca="1">IFERROR(IF(0=LEN(ReferenceData!$AN$81),"",ReferenceData!$AN$81),"")</f>
        <v/>
      </c>
      <c r="AO81" t="str">
        <f ca="1">IFERROR(IF(0=LEN(ReferenceData!$AO$81),"",ReferenceData!$AO$81),"")</f>
        <v/>
      </c>
      <c r="AP81" t="str">
        <f ca="1">IFERROR(IF(0=LEN(ReferenceData!$AP$81),"",ReferenceData!$AP$81),"")</f>
        <v/>
      </c>
      <c r="AQ81" t="str">
        <f ca="1">IFERROR(IF(0=LEN(ReferenceData!$AQ$81),"",ReferenceData!$AQ$81),"")</f>
        <v/>
      </c>
      <c r="AR81" t="str">
        <f ca="1">IFERROR(IF(0=LEN(ReferenceData!$AR$81),"",ReferenceData!$AR$81),"")</f>
        <v/>
      </c>
      <c r="AS81" t="str">
        <f ca="1">IFERROR(IF(0=LEN(ReferenceData!$AS$81),"",ReferenceData!$AS$81),"")</f>
        <v/>
      </c>
      <c r="AT81" t="str">
        <f ca="1">IFERROR(IF(0=LEN(ReferenceData!$AT$81),"",ReferenceData!$AT$81),"")</f>
        <v/>
      </c>
      <c r="AU81" t="str">
        <f ca="1">IFERROR(IF(0=LEN(ReferenceData!$AU$81),"",ReferenceData!$AU$81),"")</f>
        <v/>
      </c>
      <c r="AV81" t="str">
        <f ca="1">IFERROR(IF(0=LEN(ReferenceData!$AV$81),"",ReferenceData!$AV$81),"")</f>
        <v/>
      </c>
      <c r="AW81" t="str">
        <f ca="1">IFERROR(IF(0=LEN(ReferenceData!$AW$81),"",ReferenceData!$AW$81),"")</f>
        <v/>
      </c>
      <c r="AX81" t="str">
        <f ca="1">IFERROR(IF(0=LEN(ReferenceData!$AX$81),"",ReferenceData!$AX$81),"")</f>
        <v/>
      </c>
      <c r="AY81" t="str">
        <f ca="1">IFERROR(IF(0=LEN(ReferenceData!$AY$81),"",ReferenceData!$AY$81),"")</f>
        <v/>
      </c>
      <c r="AZ81" t="str">
        <f ca="1">IFERROR(IF(0=LEN(ReferenceData!$AZ$81),"",ReferenceData!$AZ$81),"")</f>
        <v/>
      </c>
      <c r="BA81" t="str">
        <f ca="1">IFERROR(IF(0=LEN(ReferenceData!$BA$81),"",ReferenceData!$BA$81),"")</f>
        <v/>
      </c>
      <c r="BB81" t="str">
        <f ca="1">IFERROR(IF(0=LEN(ReferenceData!$BB$81),"",ReferenceData!$BB$81),"")</f>
        <v/>
      </c>
      <c r="BC81" t="str">
        <f ca="1">IFERROR(IF(0=LEN(ReferenceData!$BC$81),"",ReferenceData!$BC$81),"")</f>
        <v/>
      </c>
      <c r="BD81" t="str">
        <f ca="1">IFERROR(IF(0=LEN(ReferenceData!$BD$81),"",ReferenceData!$BD$81),"")</f>
        <v/>
      </c>
      <c r="BE81" t="str">
        <f ca="1">IFERROR(IF(0=LEN(ReferenceData!$BE$81),"",ReferenceData!$BE$81),"")</f>
        <v/>
      </c>
      <c r="BF81" t="str">
        <f ca="1">IFERROR(IF(0=LEN(ReferenceData!$BF$81),"",ReferenceData!$BF$81),"")</f>
        <v/>
      </c>
      <c r="BG81" t="str">
        <f ca="1">IFERROR(IF(0=LEN(ReferenceData!$BG$81),"",ReferenceData!$BG$81),"")</f>
        <v/>
      </c>
      <c r="BH81" t="str">
        <f ca="1">IFERROR(IF(0=LEN(ReferenceData!$BH$81),"",ReferenceData!$BH$81),"")</f>
        <v/>
      </c>
      <c r="BI81" t="str">
        <f ca="1">IFERROR(IF(0=LEN(ReferenceData!$BI$81),"",ReferenceData!$BI$81),"")</f>
        <v/>
      </c>
      <c r="BJ81" t="str">
        <f ca="1">IFERROR(IF(0=LEN(ReferenceData!$BJ$81),"",ReferenceData!$BJ$81),"")</f>
        <v/>
      </c>
      <c r="BK81" t="str">
        <f ca="1">IFERROR(IF(0=LEN(ReferenceData!$BK$81),"",ReferenceData!$BK$81),"")</f>
        <v/>
      </c>
      <c r="BL81" t="str">
        <f ca="1">IFERROR(IF(0=LEN(ReferenceData!$BL$81),"",ReferenceData!$BL$81),"")</f>
        <v/>
      </c>
      <c r="BM81" t="str">
        <f ca="1">IFERROR(IF(0=LEN(ReferenceData!$BM$81),"",ReferenceData!$BM$81),"")</f>
        <v/>
      </c>
    </row>
    <row r="82" spans="1:65">
      <c r="A82" t="str">
        <f>IFERROR(IF(0=LEN(ReferenceData!$A$82),"",ReferenceData!$A$82),"")</f>
        <v xml:space="preserve">    Washington Prime Group Inc</v>
      </c>
      <c r="B82" t="str">
        <f>IFERROR(IF(0=LEN(ReferenceData!$B$82),"",ReferenceData!$B$82),"")</f>
        <v>WPG US Equity</v>
      </c>
      <c r="C82" t="str">
        <f>IFERROR(IF(0=LEN(ReferenceData!$C$82),"",ReferenceData!$C$82),"")</f>
        <v>RR502</v>
      </c>
      <c r="D82" t="str">
        <f>IFERROR(IF(0=LEN(ReferenceData!$D$82),"",ReferenceData!$D$82),"")</f>
        <v>NET_OPER_INCOME</v>
      </c>
      <c r="E82" t="str">
        <f>IFERROR(IF(0=LEN(ReferenceData!$E$82),"",ReferenceData!$E$82),"")</f>
        <v>动态</v>
      </c>
      <c r="F82" t="str">
        <f ca="1">IFERROR(IF(0=LEN(ReferenceData!$F$82),"",ReferenceData!$F$82),"")</f>
        <v/>
      </c>
      <c r="G82">
        <f ca="1">IFERROR(IF(0=LEN(ReferenceData!$G$82),"",ReferenceData!$G$82),"")</f>
        <v>127.51600000000001</v>
      </c>
      <c r="H82">
        <f ca="1">IFERROR(IF(0=LEN(ReferenceData!$H$82),"",ReferenceData!$H$82),"")</f>
        <v>119.47199999999999</v>
      </c>
      <c r="I82">
        <f ca="1">IFERROR(IF(0=LEN(ReferenceData!$I$82),"",ReferenceData!$I$82),"")</f>
        <v>127.483</v>
      </c>
      <c r="J82">
        <f ca="1">IFERROR(IF(0=LEN(ReferenceData!$J$82),"",ReferenceData!$J$82),"")</f>
        <v>135.96</v>
      </c>
      <c r="K82">
        <f ca="1">IFERROR(IF(0=LEN(ReferenceData!$K$82),"",ReferenceData!$K$82),"")</f>
        <v>146.41</v>
      </c>
      <c r="L82">
        <f ca="1">IFERROR(IF(0=LEN(ReferenceData!$L$82),"",ReferenceData!$L$82),"")</f>
        <v>138.55099999999999</v>
      </c>
      <c r="M82">
        <f ca="1">IFERROR(IF(0=LEN(ReferenceData!$M$82),"",ReferenceData!$M$82),"")</f>
        <v>136.17599999999999</v>
      </c>
      <c r="N82">
        <f ca="1">IFERROR(IF(0=LEN(ReferenceData!$N$82),"",ReferenceData!$N$82),"")</f>
        <v>138.31700000000001</v>
      </c>
      <c r="O82">
        <f ca="1">IFERROR(IF(0=LEN(ReferenceData!$O$82),"",ReferenceData!$O$82),"")</f>
        <v>150.136</v>
      </c>
      <c r="P82">
        <f ca="1">IFERROR(IF(0=LEN(ReferenceData!$P$82),"",ReferenceData!$P$82),"")</f>
        <v>140.67699999999999</v>
      </c>
      <c r="Q82">
        <f ca="1">IFERROR(IF(0=LEN(ReferenceData!$Q$82),"",ReferenceData!$Q$82),"")</f>
        <v>153.934</v>
      </c>
      <c r="R82">
        <f ca="1">IFERROR(IF(0=LEN(ReferenceData!$R$82),"",ReferenceData!$R$82),"")</f>
        <v>151.036</v>
      </c>
      <c r="S82">
        <f ca="1">IFERROR(IF(0=LEN(ReferenceData!$S$82),"",ReferenceData!$S$82),"")</f>
        <v>120.875</v>
      </c>
      <c r="T82">
        <f ca="1">IFERROR(IF(0=LEN(ReferenceData!$T$82),"",ReferenceData!$T$82),"")</f>
        <v>109.755</v>
      </c>
      <c r="U82">
        <f ca="1">IFERROR(IF(0=LEN(ReferenceData!$U$82),"",ReferenceData!$U$82),"")</f>
        <v>105.057</v>
      </c>
      <c r="V82">
        <f ca="1">IFERROR(IF(0=LEN(ReferenceData!$V$82),"",ReferenceData!$V$82),"")</f>
        <v>102.78</v>
      </c>
      <c r="W82" t="str">
        <f ca="1">IFERROR(IF(0=LEN(ReferenceData!$W$82),"",ReferenceData!$W$82),"")</f>
        <v/>
      </c>
      <c r="X82" t="str">
        <f ca="1">IFERROR(IF(0=LEN(ReferenceData!$X$82),"",ReferenceData!$X$82),"")</f>
        <v/>
      </c>
      <c r="Y82" t="str">
        <f ca="1">IFERROR(IF(0=LEN(ReferenceData!$Y$82),"",ReferenceData!$Y$82),"")</f>
        <v/>
      </c>
      <c r="Z82" t="str">
        <f ca="1">IFERROR(IF(0=LEN(ReferenceData!$Z$82),"",ReferenceData!$Z$82),"")</f>
        <v/>
      </c>
      <c r="AA82" t="str">
        <f ca="1">IFERROR(IF(0=LEN(ReferenceData!$AA$82),"",ReferenceData!$AA$82),"")</f>
        <v/>
      </c>
      <c r="AB82" t="str">
        <f ca="1">IFERROR(IF(0=LEN(ReferenceData!$AB$82),"",ReferenceData!$AB$82),"")</f>
        <v/>
      </c>
      <c r="AC82" t="str">
        <f ca="1">IFERROR(IF(0=LEN(ReferenceData!$AC$82),"",ReferenceData!$AC$82),"")</f>
        <v/>
      </c>
      <c r="AD82" t="str">
        <f ca="1">IFERROR(IF(0=LEN(ReferenceData!$AD$82),"",ReferenceData!$AD$82),"")</f>
        <v/>
      </c>
      <c r="AE82" t="str">
        <f ca="1">IFERROR(IF(0=LEN(ReferenceData!$AE$82),"",ReferenceData!$AE$82),"")</f>
        <v/>
      </c>
      <c r="AF82" t="str">
        <f ca="1">IFERROR(IF(0=LEN(ReferenceData!$AF$82),"",ReferenceData!$AF$82),"")</f>
        <v/>
      </c>
      <c r="AG82" t="str">
        <f ca="1">IFERROR(IF(0=LEN(ReferenceData!$AG$82),"",ReferenceData!$AG$82),"")</f>
        <v/>
      </c>
      <c r="AH82" t="str">
        <f ca="1">IFERROR(IF(0=LEN(ReferenceData!$AH$82),"",ReferenceData!$AH$82),"")</f>
        <v/>
      </c>
      <c r="AI82" t="str">
        <f ca="1">IFERROR(IF(0=LEN(ReferenceData!$AI$82),"",ReferenceData!$AI$82),"")</f>
        <v/>
      </c>
      <c r="AJ82" t="str">
        <f ca="1">IFERROR(IF(0=LEN(ReferenceData!$AJ$82),"",ReferenceData!$AJ$82),"")</f>
        <v/>
      </c>
      <c r="AK82" t="str">
        <f ca="1">IFERROR(IF(0=LEN(ReferenceData!$AK$82),"",ReferenceData!$AK$82),"")</f>
        <v/>
      </c>
      <c r="AL82" t="str">
        <f ca="1">IFERROR(IF(0=LEN(ReferenceData!$AL$82),"",ReferenceData!$AL$82),"")</f>
        <v/>
      </c>
      <c r="AM82" t="str">
        <f ca="1">IFERROR(IF(0=LEN(ReferenceData!$AM$82),"",ReferenceData!$AM$82),"")</f>
        <v/>
      </c>
      <c r="AN82" t="str">
        <f ca="1">IFERROR(IF(0=LEN(ReferenceData!$AN$82),"",ReferenceData!$AN$82),"")</f>
        <v/>
      </c>
      <c r="AO82" t="str">
        <f ca="1">IFERROR(IF(0=LEN(ReferenceData!$AO$82),"",ReferenceData!$AO$82),"")</f>
        <v/>
      </c>
      <c r="AP82" t="str">
        <f ca="1">IFERROR(IF(0=LEN(ReferenceData!$AP$82),"",ReferenceData!$AP$82),"")</f>
        <v/>
      </c>
      <c r="AQ82" t="str">
        <f ca="1">IFERROR(IF(0=LEN(ReferenceData!$AQ$82),"",ReferenceData!$AQ$82),"")</f>
        <v/>
      </c>
      <c r="AR82" t="str">
        <f ca="1">IFERROR(IF(0=LEN(ReferenceData!$AR$82),"",ReferenceData!$AR$82),"")</f>
        <v/>
      </c>
      <c r="AS82" t="str">
        <f ca="1">IFERROR(IF(0=LEN(ReferenceData!$AS$82),"",ReferenceData!$AS$82),"")</f>
        <v/>
      </c>
      <c r="AT82" t="str">
        <f ca="1">IFERROR(IF(0=LEN(ReferenceData!$AT$82),"",ReferenceData!$AT$82),"")</f>
        <v/>
      </c>
      <c r="AU82" t="str">
        <f ca="1">IFERROR(IF(0=LEN(ReferenceData!$AU$82),"",ReferenceData!$AU$82),"")</f>
        <v/>
      </c>
      <c r="AV82" t="str">
        <f ca="1">IFERROR(IF(0=LEN(ReferenceData!$AV$82),"",ReferenceData!$AV$82),"")</f>
        <v/>
      </c>
      <c r="AW82" t="str">
        <f ca="1">IFERROR(IF(0=LEN(ReferenceData!$AW$82),"",ReferenceData!$AW$82),"")</f>
        <v/>
      </c>
      <c r="AX82" t="str">
        <f ca="1">IFERROR(IF(0=LEN(ReferenceData!$AX$82),"",ReferenceData!$AX$82),"")</f>
        <v/>
      </c>
      <c r="AY82" t="str">
        <f ca="1">IFERROR(IF(0=LEN(ReferenceData!$AY$82),"",ReferenceData!$AY$82),"")</f>
        <v/>
      </c>
      <c r="AZ82" t="str">
        <f ca="1">IFERROR(IF(0=LEN(ReferenceData!$AZ$82),"",ReferenceData!$AZ$82),"")</f>
        <v/>
      </c>
      <c r="BA82" t="str">
        <f ca="1">IFERROR(IF(0=LEN(ReferenceData!$BA$82),"",ReferenceData!$BA$82),"")</f>
        <v/>
      </c>
      <c r="BB82" t="str">
        <f ca="1">IFERROR(IF(0=LEN(ReferenceData!$BB$82),"",ReferenceData!$BB$82),"")</f>
        <v/>
      </c>
      <c r="BC82" t="str">
        <f ca="1">IFERROR(IF(0=LEN(ReferenceData!$BC$82),"",ReferenceData!$BC$82),"")</f>
        <v/>
      </c>
      <c r="BD82" t="str">
        <f ca="1">IFERROR(IF(0=LEN(ReferenceData!$BD$82),"",ReferenceData!$BD$82),"")</f>
        <v/>
      </c>
      <c r="BE82" t="str">
        <f ca="1">IFERROR(IF(0=LEN(ReferenceData!$BE$82),"",ReferenceData!$BE$82),"")</f>
        <v/>
      </c>
      <c r="BF82" t="str">
        <f ca="1">IFERROR(IF(0=LEN(ReferenceData!$BF$82),"",ReferenceData!$BF$82),"")</f>
        <v/>
      </c>
      <c r="BG82" t="str">
        <f ca="1">IFERROR(IF(0=LEN(ReferenceData!$BG$82),"",ReferenceData!$BG$82),"")</f>
        <v/>
      </c>
      <c r="BH82" t="str">
        <f ca="1">IFERROR(IF(0=LEN(ReferenceData!$BH$82),"",ReferenceData!$BH$82),"")</f>
        <v/>
      </c>
      <c r="BI82" t="str">
        <f ca="1">IFERROR(IF(0=LEN(ReferenceData!$BI$82),"",ReferenceData!$BI$82),"")</f>
        <v/>
      </c>
      <c r="BJ82" t="str">
        <f ca="1">IFERROR(IF(0=LEN(ReferenceData!$BJ$82),"",ReferenceData!$BJ$82),"")</f>
        <v/>
      </c>
      <c r="BK82" t="str">
        <f ca="1">IFERROR(IF(0=LEN(ReferenceData!$BK$82),"",ReferenceData!$BK$82),"")</f>
        <v/>
      </c>
      <c r="BL82" t="str">
        <f ca="1">IFERROR(IF(0=LEN(ReferenceData!$BL$82),"",ReferenceData!$BL$82),"")</f>
        <v/>
      </c>
      <c r="BM82" t="str">
        <f ca="1">IFERROR(IF(0=LEN(ReferenceData!$BM$82),"",ReferenceData!$BM$82),"")</f>
        <v/>
      </c>
    </row>
    <row r="83" spans="1:65">
      <c r="A83" t="str">
        <f>IFERROR(IF(0=LEN(ReferenceData!$A$83),"",ReferenceData!$A$83),"")</f>
        <v xml:space="preserve">    Weingarten Realty Investors</v>
      </c>
      <c r="B83" t="str">
        <f>IFERROR(IF(0=LEN(ReferenceData!$B$83),"",ReferenceData!$B$83),"")</f>
        <v>WRI US Equity</v>
      </c>
      <c r="C83" t="str">
        <f>IFERROR(IF(0=LEN(ReferenceData!$C$83),"",ReferenceData!$C$83),"")</f>
        <v>RR502</v>
      </c>
      <c r="D83" t="str">
        <f>IFERROR(IF(0=LEN(ReferenceData!$D$83),"",ReferenceData!$D$83),"")</f>
        <v>NET_OPER_INCOME</v>
      </c>
      <c r="E83" t="str">
        <f>IFERROR(IF(0=LEN(ReferenceData!$E$83),"",ReferenceData!$E$83),"")</f>
        <v>动态</v>
      </c>
      <c r="F83" t="str">
        <f ca="1">IFERROR(IF(0=LEN(ReferenceData!$F$83),"",ReferenceData!$F$83),"")</f>
        <v/>
      </c>
      <c r="G83">
        <f ca="1">IFERROR(IF(0=LEN(ReferenceData!$G$83),"",ReferenceData!$G$83),"")</f>
        <v>92.578999999999994</v>
      </c>
      <c r="H83">
        <f ca="1">IFERROR(IF(0=LEN(ReferenceData!$H$83),"",ReferenceData!$H$83),"")</f>
        <v>94.617000000000004</v>
      </c>
      <c r="I83">
        <f ca="1">IFERROR(IF(0=LEN(ReferenceData!$I$83),"",ReferenceData!$I$83),"")</f>
        <v>95.11</v>
      </c>
      <c r="J83">
        <f ca="1">IFERROR(IF(0=LEN(ReferenceData!$J$83),"",ReferenceData!$J$83),"")</f>
        <v>93.391000000000005</v>
      </c>
      <c r="K83">
        <f ca="1">IFERROR(IF(0=LEN(ReferenceData!$K$83),"",ReferenceData!$K$83),"")</f>
        <v>97.397999999999996</v>
      </c>
      <c r="L83">
        <f ca="1">IFERROR(IF(0=LEN(ReferenceData!$L$83),"",ReferenceData!$L$83),"")</f>
        <v>94.608000000000004</v>
      </c>
      <c r="M83">
        <f ca="1">IFERROR(IF(0=LEN(ReferenceData!$M$83),"",ReferenceData!$M$83),"")</f>
        <v>90.93</v>
      </c>
      <c r="N83">
        <f ca="1">IFERROR(IF(0=LEN(ReferenceData!$N$83),"",ReferenceData!$N$83),"")</f>
        <v>89.116</v>
      </c>
      <c r="O83">
        <f ca="1">IFERROR(IF(0=LEN(ReferenceData!$O$83),"",ReferenceData!$O$83),"")</f>
        <v>87.68</v>
      </c>
      <c r="P83">
        <f ca="1">IFERROR(IF(0=LEN(ReferenceData!$P$83),"",ReferenceData!$P$83),"")</f>
        <v>88.192999999999998</v>
      </c>
      <c r="Q83">
        <f ca="1">IFERROR(IF(0=LEN(ReferenceData!$Q$83),"",ReferenceData!$Q$83),"")</f>
        <v>86.611999999999995</v>
      </c>
      <c r="R83">
        <f ca="1">IFERROR(IF(0=LEN(ReferenceData!$R$83),"",ReferenceData!$R$83),"")</f>
        <v>85.445999999999998</v>
      </c>
      <c r="S83">
        <f ca="1">IFERROR(IF(0=LEN(ReferenceData!$S$83),"",ReferenceData!$S$83),"")</f>
        <v>85.052000000000007</v>
      </c>
      <c r="T83">
        <f ca="1">IFERROR(IF(0=LEN(ReferenceData!$T$83),"",ReferenceData!$T$83),"")</f>
        <v>89.108000000000004</v>
      </c>
      <c r="U83">
        <f ca="1">IFERROR(IF(0=LEN(ReferenceData!$U$83),"",ReferenceData!$U$83),"")</f>
        <v>87.513000000000005</v>
      </c>
      <c r="V83">
        <f ca="1">IFERROR(IF(0=LEN(ReferenceData!$V$83),"",ReferenceData!$V$83),"")</f>
        <v>85.369</v>
      </c>
      <c r="W83">
        <f ca="1">IFERROR(IF(0=LEN(ReferenceData!$W$83),"",ReferenceData!$W$83),"")</f>
        <v>82.504000000000005</v>
      </c>
      <c r="X83">
        <f ca="1">IFERROR(IF(0=LEN(ReferenceData!$X$83),"",ReferenceData!$X$83),"")</f>
        <v>81.213999999999999</v>
      </c>
      <c r="Y83">
        <f ca="1">IFERROR(IF(0=LEN(ReferenceData!$Y$83),"",ReferenceData!$Y$83),"")</f>
        <v>80.418000000000006</v>
      </c>
      <c r="Z83">
        <f ca="1">IFERROR(IF(0=LEN(ReferenceData!$Z$83),"",ReferenceData!$Z$83),"")</f>
        <v>78.59</v>
      </c>
      <c r="AA83">
        <f ca="1">IFERROR(IF(0=LEN(ReferenceData!$AA$83),"",ReferenceData!$AA$83),"")</f>
        <v>80.355000000000004</v>
      </c>
      <c r="AB83">
        <f ca="1">IFERROR(IF(0=LEN(ReferenceData!$AB$83),"",ReferenceData!$AB$83),"")</f>
        <v>79.521000000000001</v>
      </c>
      <c r="AC83">
        <f ca="1">IFERROR(IF(0=LEN(ReferenceData!$AC$83),"",ReferenceData!$AC$83),"")</f>
        <v>79.131</v>
      </c>
      <c r="AD83">
        <f ca="1">IFERROR(IF(0=LEN(ReferenceData!$AD$83),"",ReferenceData!$AD$83),"")</f>
        <v>79.873999999999995</v>
      </c>
      <c r="AE83">
        <f ca="1">IFERROR(IF(0=LEN(ReferenceData!$AE$83),"",ReferenceData!$AE$83),"")</f>
        <v>79.962999999999994</v>
      </c>
      <c r="AF83">
        <f ca="1">IFERROR(IF(0=LEN(ReferenceData!$AF$83),"",ReferenceData!$AF$83),"")</f>
        <v>82.593999999999994</v>
      </c>
      <c r="AG83">
        <f ca="1">IFERROR(IF(0=LEN(ReferenceData!$AG$83),"",ReferenceData!$AG$83),"")</f>
        <v>80.460999999999999</v>
      </c>
      <c r="AH83">
        <f ca="1">IFERROR(IF(0=LEN(ReferenceData!$AH$83),"",ReferenceData!$AH$83),"")</f>
        <v>79.75</v>
      </c>
      <c r="AI83">
        <f ca="1">IFERROR(IF(0=LEN(ReferenceData!$AI$83),"",ReferenceData!$AI$83),"")</f>
        <v>89.061999999999998</v>
      </c>
      <c r="AJ83">
        <f ca="1">IFERROR(IF(0=LEN(ReferenceData!$AJ$83),"",ReferenceData!$AJ$83),"")</f>
        <v>90.346000000000004</v>
      </c>
      <c r="AK83">
        <f ca="1">IFERROR(IF(0=LEN(ReferenceData!$AK$83),"",ReferenceData!$AK$83),"")</f>
        <v>92.521000000000001</v>
      </c>
      <c r="AL83">
        <f ca="1">IFERROR(IF(0=LEN(ReferenceData!$AL$83),"",ReferenceData!$AL$83),"")</f>
        <v>91.191999999999993</v>
      </c>
      <c r="AM83">
        <f ca="1">IFERROR(IF(0=LEN(ReferenceData!$AM$83),"",ReferenceData!$AM$83),"")</f>
        <v>92.632000000000005</v>
      </c>
      <c r="AN83">
        <f ca="1">IFERROR(IF(0=LEN(ReferenceData!$AN$83),"",ReferenceData!$AN$83),"")</f>
        <v>94.569000000000003</v>
      </c>
      <c r="AO83">
        <f ca="1">IFERROR(IF(0=LEN(ReferenceData!$AO$83),"",ReferenceData!$AO$83),"")</f>
        <v>93.891999999999996</v>
      </c>
      <c r="AP83">
        <f ca="1">IFERROR(IF(0=LEN(ReferenceData!$AP$83),"",ReferenceData!$AP$83),"")</f>
        <v>99.325999999999993</v>
      </c>
      <c r="AQ83">
        <f ca="1">IFERROR(IF(0=LEN(ReferenceData!$AQ$83),"",ReferenceData!$AQ$83),"")</f>
        <v>88.364000000000004</v>
      </c>
      <c r="AR83">
        <f ca="1">IFERROR(IF(0=LEN(ReferenceData!$AR$83),"",ReferenceData!$AR$83),"")</f>
        <v>103.71299999999999</v>
      </c>
      <c r="AS83">
        <f ca="1">IFERROR(IF(0=LEN(ReferenceData!$AS$83),"",ReferenceData!$AS$83),"")</f>
        <v>105.31</v>
      </c>
      <c r="AT83">
        <f ca="1">IFERROR(IF(0=LEN(ReferenceData!$AT$83),"",ReferenceData!$AT$83),"")</f>
        <v>104.824</v>
      </c>
      <c r="AU83">
        <f ca="1">IFERROR(IF(0=LEN(ReferenceData!$AU$83),"",ReferenceData!$AU$83),"")</f>
        <v>102.44</v>
      </c>
      <c r="AV83">
        <f ca="1">IFERROR(IF(0=LEN(ReferenceData!$AV$83),"",ReferenceData!$AV$83),"")</f>
        <v>101.331</v>
      </c>
      <c r="AW83">
        <f ca="1">IFERROR(IF(0=LEN(ReferenceData!$AW$83),"",ReferenceData!$AW$83),"")</f>
        <v>98.269000000000005</v>
      </c>
      <c r="AX83">
        <f ca="1">IFERROR(IF(0=LEN(ReferenceData!$AX$83),"",ReferenceData!$AX$83),"")</f>
        <v>101.44199999999999</v>
      </c>
      <c r="AY83">
        <f ca="1">IFERROR(IF(0=LEN(ReferenceData!$AY$83),"",ReferenceData!$AY$83),"")</f>
        <v>98.290999999999997</v>
      </c>
      <c r="AZ83">
        <f ca="1">IFERROR(IF(0=LEN(ReferenceData!$AZ$83),"",ReferenceData!$AZ$83),"")</f>
        <v>95.891999999999996</v>
      </c>
      <c r="BA83">
        <f ca="1">IFERROR(IF(0=LEN(ReferenceData!$BA$83),"",ReferenceData!$BA$83),"")</f>
        <v>94.531999999999996</v>
      </c>
      <c r="BB83">
        <f ca="1">IFERROR(IF(0=LEN(ReferenceData!$BB$83),"",ReferenceData!$BB$83),"")</f>
        <v>95.225999999999999</v>
      </c>
      <c r="BC83">
        <f ca="1">IFERROR(IF(0=LEN(ReferenceData!$BC$83),"",ReferenceData!$BC$83),"")</f>
        <v>86.149000000000001</v>
      </c>
      <c r="BD83">
        <f ca="1">IFERROR(IF(0=LEN(ReferenceData!$BD$83),"",ReferenceData!$BD$83),"")</f>
        <v>93.738</v>
      </c>
      <c r="BE83">
        <f ca="1">IFERROR(IF(0=LEN(ReferenceData!$BE$83),"",ReferenceData!$BE$83),"")</f>
        <v>94.325000000000003</v>
      </c>
      <c r="BF83">
        <f ca="1">IFERROR(IF(0=LEN(ReferenceData!$BF$83),"",ReferenceData!$BF$83),"")</f>
        <v>94.269000000000005</v>
      </c>
      <c r="BG83">
        <f ca="1">IFERROR(IF(0=LEN(ReferenceData!$BG$83),"",ReferenceData!$BG$83),"")</f>
        <v>90.844999999999999</v>
      </c>
      <c r="BH83">
        <f ca="1">IFERROR(IF(0=LEN(ReferenceData!$BH$83),"",ReferenceData!$BH$83),"")</f>
        <v>91.141000000000005</v>
      </c>
      <c r="BI83">
        <f ca="1">IFERROR(IF(0=LEN(ReferenceData!$BI$83),"",ReferenceData!$BI$83),"")</f>
        <v>86.864002229999997</v>
      </c>
      <c r="BJ83">
        <f ca="1">IFERROR(IF(0=LEN(ReferenceData!$BJ$83),"",ReferenceData!$BJ$83),"")</f>
        <v>83.010003999999995</v>
      </c>
      <c r="BK83">
        <f ca="1">IFERROR(IF(0=LEN(ReferenceData!$BK$83),"",ReferenceData!$BK$83),"")</f>
        <v>78.591999000000001</v>
      </c>
      <c r="BL83">
        <f ca="1">IFERROR(IF(0=LEN(ReferenceData!$BL$83),"",ReferenceData!$BL$83),"")</f>
        <v>73.752998000000005</v>
      </c>
      <c r="BM83">
        <f ca="1">IFERROR(IF(0=LEN(ReferenceData!$BM$83),"",ReferenceData!$BM$83),"")</f>
        <v>72.440995999999998</v>
      </c>
    </row>
    <row r="84" spans="1:65">
      <c r="A84" t="str">
        <f>IFERROR(IF(0=LEN(ReferenceData!$A$84),"",ReferenceData!$A$84),"")</f>
        <v>EBITDA</v>
      </c>
      <c r="B84" t="str">
        <f>IFERROR(IF(0=LEN(ReferenceData!$B$84),"",ReferenceData!$B$84),"")</f>
        <v/>
      </c>
      <c r="C84" t="str">
        <f>IFERROR(IF(0=LEN(ReferenceData!$C$84),"",ReferenceData!$C$84),"")</f>
        <v/>
      </c>
      <c r="D84" t="str">
        <f>IFERROR(IF(0=LEN(ReferenceData!$D$84),"",ReferenceData!$D$84),"")</f>
        <v/>
      </c>
      <c r="E84" t="str">
        <f>IFERROR(IF(0=LEN(ReferenceData!$E$84),"",ReferenceData!$E$84),"")</f>
        <v>Median</v>
      </c>
      <c r="F84" t="str">
        <f ca="1">IFERROR(IF(0=LEN(ReferenceData!$F$84),"",ReferenceData!$F$84),"")</f>
        <v/>
      </c>
      <c r="G84">
        <f ca="1">IFERROR(IF(0=LEN(ReferenceData!$G$84),"",ReferenceData!$G$84),"")</f>
        <v>139.55099999999999</v>
      </c>
      <c r="H84">
        <f ca="1">IFERROR(IF(0=LEN(ReferenceData!$H$84),"",ReferenceData!$H$84),"")</f>
        <v>135.05799999999999</v>
      </c>
      <c r="I84">
        <f ca="1">IFERROR(IF(0=LEN(ReferenceData!$I$84),"",ReferenceData!$I$84),"")</f>
        <v>123.917</v>
      </c>
      <c r="J84">
        <f ca="1">IFERROR(IF(0=LEN(ReferenceData!$J$84),"",ReferenceData!$J$84),"")</f>
        <v>125.64400000000001</v>
      </c>
      <c r="K84">
        <f ca="1">IFERROR(IF(0=LEN(ReferenceData!$K$84),"",ReferenceData!$K$84),"")</f>
        <v>134.06299999999999</v>
      </c>
      <c r="L84">
        <f ca="1">IFERROR(IF(0=LEN(ReferenceData!$L$84),"",ReferenceData!$L$84),"")</f>
        <v>108.605</v>
      </c>
      <c r="M84">
        <f ca="1">IFERROR(IF(0=LEN(ReferenceData!$M$84),"",ReferenceData!$M$84),"")</f>
        <v>124.595</v>
      </c>
      <c r="N84">
        <f ca="1">IFERROR(IF(0=LEN(ReferenceData!$N$84),"",ReferenceData!$N$84),"")</f>
        <v>125.755</v>
      </c>
      <c r="O84">
        <f ca="1">IFERROR(IF(0=LEN(ReferenceData!$O$84),"",ReferenceData!$O$84),"")</f>
        <v>86.91</v>
      </c>
      <c r="P84">
        <f ca="1">IFERROR(IF(0=LEN(ReferenceData!$P$84),"",ReferenceData!$P$84),"")</f>
        <v>119.63500000000001</v>
      </c>
      <c r="Q84">
        <f ca="1">IFERROR(IF(0=LEN(ReferenceData!$Q$84),"",ReferenceData!$Q$84),"")</f>
        <v>133.399</v>
      </c>
      <c r="R84">
        <f ca="1">IFERROR(IF(0=LEN(ReferenceData!$R$84),"",ReferenceData!$R$84),"")</f>
        <v>114.10599999999999</v>
      </c>
      <c r="S84">
        <f ca="1">IFERROR(IF(0=LEN(ReferenceData!$S$84),"",ReferenceData!$S$84),"")</f>
        <v>108.96</v>
      </c>
      <c r="T84">
        <f ca="1">IFERROR(IF(0=LEN(ReferenceData!$T$84),"",ReferenceData!$T$84),"")</f>
        <v>110.282</v>
      </c>
      <c r="U84">
        <f ca="1">IFERROR(IF(0=LEN(ReferenceData!$U$84),"",ReferenceData!$U$84),"")</f>
        <v>109.254</v>
      </c>
      <c r="V84">
        <f ca="1">IFERROR(IF(0=LEN(ReferenceData!$V$84),"",ReferenceData!$V$84),"")</f>
        <v>101.292</v>
      </c>
      <c r="W84">
        <f ca="1">IFERROR(IF(0=LEN(ReferenceData!$W$84),"",ReferenceData!$W$84),"")</f>
        <v>97.265000000000001</v>
      </c>
      <c r="X84">
        <f ca="1">IFERROR(IF(0=LEN(ReferenceData!$X$84),"",ReferenceData!$X$84),"")</f>
        <v>84.944999999999993</v>
      </c>
      <c r="Y84">
        <f ca="1">IFERROR(IF(0=LEN(ReferenceData!$Y$84),"",ReferenceData!$Y$84),"")</f>
        <v>95.960499999999996</v>
      </c>
      <c r="Z84">
        <f ca="1">IFERROR(IF(0=LEN(ReferenceData!$Z$84),"",ReferenceData!$Z$84),"")</f>
        <v>95.491500000000002</v>
      </c>
      <c r="AA84">
        <f ca="1">IFERROR(IF(0=LEN(ReferenceData!$AA$84),"",ReferenceData!$AA$84),"")</f>
        <v>94.952500000000001</v>
      </c>
      <c r="AB84">
        <f ca="1">IFERROR(IF(0=LEN(ReferenceData!$AB$84),"",ReferenceData!$AB$84),"")</f>
        <v>94.098000000000013</v>
      </c>
      <c r="AC84">
        <f ca="1">IFERROR(IF(0=LEN(ReferenceData!$AC$84),"",ReferenceData!$AC$84),"")</f>
        <v>87.126000000000005</v>
      </c>
      <c r="AD84">
        <f ca="1">IFERROR(IF(0=LEN(ReferenceData!$AD$84),"",ReferenceData!$AD$84),"")</f>
        <v>96.084000000000003</v>
      </c>
      <c r="AE84">
        <f ca="1">IFERROR(IF(0=LEN(ReferenceData!$AE$84),"",ReferenceData!$AE$84),"")</f>
        <v>89.085999999999999</v>
      </c>
      <c r="AF84">
        <f ca="1">IFERROR(IF(0=LEN(ReferenceData!$AF$84),"",ReferenceData!$AF$84),"")</f>
        <v>79.055000000000007</v>
      </c>
      <c r="AG84">
        <f ca="1">IFERROR(IF(0=LEN(ReferenceData!$AG$84),"",ReferenceData!$AG$84),"")</f>
        <v>90.628</v>
      </c>
      <c r="AH84">
        <f ca="1">IFERROR(IF(0=LEN(ReferenceData!$AH$84),"",ReferenceData!$AH$84),"")</f>
        <v>80.787999999999997</v>
      </c>
      <c r="AI84">
        <f ca="1">IFERROR(IF(0=LEN(ReferenceData!$AI$84),"",ReferenceData!$AI$84),"")</f>
        <v>85.085499999999996</v>
      </c>
      <c r="AJ84">
        <f ca="1">IFERROR(IF(0=LEN(ReferenceData!$AJ$84),"",ReferenceData!$AJ$84),"")</f>
        <v>85.0715</v>
      </c>
      <c r="AK84">
        <f ca="1">IFERROR(IF(0=LEN(ReferenceData!$AK$84),"",ReferenceData!$AK$84),"")</f>
        <v>74.409000000000006</v>
      </c>
      <c r="AL84">
        <f ca="1">IFERROR(IF(0=LEN(ReferenceData!$AL$84),"",ReferenceData!$AL$84),"")</f>
        <v>80.663000000000011</v>
      </c>
      <c r="AM84">
        <f ca="1">IFERROR(IF(0=LEN(ReferenceData!$AM$84),"",ReferenceData!$AM$84),"")</f>
        <v>85.100999999999999</v>
      </c>
      <c r="AN84">
        <f ca="1">IFERROR(IF(0=LEN(ReferenceData!$AN$84),"",ReferenceData!$AN$84),"")</f>
        <v>84.245999999999995</v>
      </c>
      <c r="AO84">
        <f ca="1">IFERROR(IF(0=LEN(ReferenceData!$AO$84),"",ReferenceData!$AO$84),"")</f>
        <v>79.764499999999998</v>
      </c>
      <c r="AP84">
        <f ca="1">IFERROR(IF(0=LEN(ReferenceData!$AP$84),"",ReferenceData!$AP$84),"")</f>
        <v>86.588499999999996</v>
      </c>
      <c r="AQ84">
        <f ca="1">IFERROR(IF(0=LEN(ReferenceData!$AQ$84),"",ReferenceData!$AQ$84),"")</f>
        <v>89.768865000000005</v>
      </c>
      <c r="AR84">
        <f ca="1">IFERROR(IF(0=LEN(ReferenceData!$AR$84),"",ReferenceData!$AR$84),"")</f>
        <v>93.736500000000007</v>
      </c>
      <c r="AS84">
        <f ca="1">IFERROR(IF(0=LEN(ReferenceData!$AS$84),"",ReferenceData!$AS$84),"")</f>
        <v>83.445999999999998</v>
      </c>
      <c r="AT84">
        <f ca="1">IFERROR(IF(0=LEN(ReferenceData!$AT$84),"",ReferenceData!$AT$84),"")</f>
        <v>90.741</v>
      </c>
      <c r="AU84">
        <f ca="1">IFERROR(IF(0=LEN(ReferenceData!$AU$84),"",ReferenceData!$AU$84),"")</f>
        <v>79.685000000000002</v>
      </c>
      <c r="AV84">
        <f ca="1">IFERROR(IF(0=LEN(ReferenceData!$AV$84),"",ReferenceData!$AV$84),"")</f>
        <v>80.164000000000001</v>
      </c>
      <c r="AW84">
        <f ca="1">IFERROR(IF(0=LEN(ReferenceData!$AW$84),"",ReferenceData!$AW$84),"")</f>
        <v>79.739000000000004</v>
      </c>
      <c r="AX84">
        <f ca="1">IFERROR(IF(0=LEN(ReferenceData!$AX$84),"",ReferenceData!$AX$84),"")</f>
        <v>88.424999999999997</v>
      </c>
      <c r="AY84">
        <f ca="1">IFERROR(IF(0=LEN(ReferenceData!$AY$84),"",ReferenceData!$AY$84),"")</f>
        <v>68.605999999999995</v>
      </c>
      <c r="AZ84">
        <f ca="1">IFERROR(IF(0=LEN(ReferenceData!$AZ$84),"",ReferenceData!$AZ$84),"")</f>
        <v>73.887</v>
      </c>
      <c r="BA84">
        <f ca="1">IFERROR(IF(0=LEN(ReferenceData!$BA$84),"",ReferenceData!$BA$84),"")</f>
        <v>73.212000000000003</v>
      </c>
      <c r="BB84">
        <f ca="1">IFERROR(IF(0=LEN(ReferenceData!$BB$84),"",ReferenceData!$BB$84),"")</f>
        <v>71.656999999999996</v>
      </c>
      <c r="BC84">
        <f ca="1">IFERROR(IF(0=LEN(ReferenceData!$BC$84),"",ReferenceData!$BC$84),"")</f>
        <v>74.509</v>
      </c>
      <c r="BD84">
        <f ca="1">IFERROR(IF(0=LEN(ReferenceData!$BD$84),"",ReferenceData!$BD$84),"")</f>
        <v>80.623500000000007</v>
      </c>
      <c r="BE84">
        <f ca="1">IFERROR(IF(0=LEN(ReferenceData!$BE$84),"",ReferenceData!$BE$84),"")</f>
        <v>75.078999999999994</v>
      </c>
      <c r="BF84">
        <f ca="1">IFERROR(IF(0=LEN(ReferenceData!$BF$84),"",ReferenceData!$BF$84),"")</f>
        <v>65.927000000000007</v>
      </c>
      <c r="BG84">
        <f ca="1">IFERROR(IF(0=LEN(ReferenceData!$BG$84),"",ReferenceData!$BG$84),"")</f>
        <v>78.616500000000002</v>
      </c>
      <c r="BH84">
        <f ca="1">IFERROR(IF(0=LEN(ReferenceData!$BH$84),"",ReferenceData!$BH$84),"")</f>
        <v>95.635999999999996</v>
      </c>
      <c r="BI84">
        <f ca="1">IFERROR(IF(0=LEN(ReferenceData!$BI$84),"",ReferenceData!$BI$84),"")</f>
        <v>63.647001269999997</v>
      </c>
      <c r="BJ84">
        <f ca="1">IFERROR(IF(0=LEN(ReferenceData!$BJ$84),"",ReferenceData!$BJ$84),"")</f>
        <v>62.079000000000001</v>
      </c>
      <c r="BK84">
        <f ca="1">IFERROR(IF(0=LEN(ReferenceData!$BK$84),"",ReferenceData!$BK$84),"")</f>
        <v>60.195498865000005</v>
      </c>
      <c r="BL84">
        <f ca="1">IFERROR(IF(0=LEN(ReferenceData!$BL$84),"",ReferenceData!$BL$84),"")</f>
        <v>73.917998999999995</v>
      </c>
      <c r="BM84">
        <f ca="1">IFERROR(IF(0=LEN(ReferenceData!$BM$84),"",ReferenceData!$BM$84),"")</f>
        <v>71.542998999999995</v>
      </c>
    </row>
    <row r="85" spans="1:65">
      <c r="A85" t="str">
        <f>IFERROR(IF(0=LEN(ReferenceData!$A$85),"",ReferenceData!$A$85),"")</f>
        <v xml:space="preserve">    Brixmor Property Group Inc</v>
      </c>
      <c r="B85" t="str">
        <f>IFERROR(IF(0=LEN(ReferenceData!$B$85),"",ReferenceData!$B$85),"")</f>
        <v>BRX US Equity</v>
      </c>
      <c r="C85" t="str">
        <f>IFERROR(IF(0=LEN(ReferenceData!$C$85),"",ReferenceData!$C$85),"")</f>
        <v>RR009</v>
      </c>
      <c r="D85" t="str">
        <f>IFERROR(IF(0=LEN(ReferenceData!$D$85),"",ReferenceData!$D$85),"")</f>
        <v>EBITDA</v>
      </c>
      <c r="E85" t="str">
        <f>IFERROR(IF(0=LEN(ReferenceData!$E$85),"",ReferenceData!$E$85),"")</f>
        <v>动态</v>
      </c>
      <c r="F85" t="str">
        <f ca="1">IFERROR(IF(0=LEN(ReferenceData!$F$85),"",ReferenceData!$F$85),"")</f>
        <v/>
      </c>
      <c r="G85">
        <f ca="1">IFERROR(IF(0=LEN(ReferenceData!$G$85),"",ReferenceData!$G$85),"")</f>
        <v>195.58600000000001</v>
      </c>
      <c r="H85">
        <f ca="1">IFERROR(IF(0=LEN(ReferenceData!$H$85),"",ReferenceData!$H$85),"")</f>
        <v>196.15299999999999</v>
      </c>
      <c r="I85">
        <f ca="1">IFERROR(IF(0=LEN(ReferenceData!$I$85),"",ReferenceData!$I$85),"")</f>
        <v>202.51900000000001</v>
      </c>
      <c r="J85">
        <f ca="1">IFERROR(IF(0=LEN(ReferenceData!$J$85),"",ReferenceData!$J$85),"")</f>
        <v>206.42500000000001</v>
      </c>
      <c r="K85">
        <f ca="1">IFERROR(IF(0=LEN(ReferenceData!$K$85),"",ReferenceData!$K$85),"")</f>
        <v>207.92699999999999</v>
      </c>
      <c r="L85">
        <f ca="1">IFERROR(IF(0=LEN(ReferenceData!$L$85),"",ReferenceData!$L$85),"")</f>
        <v>204.393</v>
      </c>
      <c r="M85">
        <f ca="1">IFERROR(IF(0=LEN(ReferenceData!$M$85),"",ReferenceData!$M$85),"")</f>
        <v>202.042</v>
      </c>
      <c r="N85">
        <f ca="1">IFERROR(IF(0=LEN(ReferenceData!$N$85),"",ReferenceData!$N$85),"")</f>
        <v>209.18</v>
      </c>
      <c r="O85">
        <f ca="1">IFERROR(IF(0=LEN(ReferenceData!$O$85),"",ReferenceData!$O$85),"")</f>
        <v>200.99799999999999</v>
      </c>
      <c r="P85">
        <f ca="1">IFERROR(IF(0=LEN(ReferenceData!$P$85),"",ReferenceData!$P$85),"")</f>
        <v>205.68799999999999</v>
      </c>
      <c r="Q85">
        <f ca="1">IFERROR(IF(0=LEN(ReferenceData!$Q$85),"",ReferenceData!$Q$85),"")</f>
        <v>203.75299999999999</v>
      </c>
      <c r="R85">
        <f ca="1">IFERROR(IF(0=LEN(ReferenceData!$R$85),"",ReferenceData!$R$85),"")</f>
        <v>188.39699999999999</v>
      </c>
      <c r="S85">
        <f ca="1">IFERROR(IF(0=LEN(ReferenceData!$S$85),"",ReferenceData!$S$85),"")</f>
        <v>199.797</v>
      </c>
      <c r="T85">
        <f ca="1">IFERROR(IF(0=LEN(ReferenceData!$T$85),"",ReferenceData!$T$85),"")</f>
        <v>199.07400000000001</v>
      </c>
      <c r="U85">
        <f ca="1">IFERROR(IF(0=LEN(ReferenceData!$U$85),"",ReferenceData!$U$85),"")</f>
        <v>197.79300000000001</v>
      </c>
      <c r="V85">
        <f ca="1">IFERROR(IF(0=LEN(ReferenceData!$V$85),"",ReferenceData!$V$85),"")</f>
        <v>194.619</v>
      </c>
      <c r="W85">
        <f ca="1">IFERROR(IF(0=LEN(ReferenceData!$W$85),"",ReferenceData!$W$85),"")</f>
        <v>161.72200000000001</v>
      </c>
      <c r="X85">
        <f ca="1">IFERROR(IF(0=LEN(ReferenceData!$X$85),"",ReferenceData!$X$85),"")</f>
        <v>177.465</v>
      </c>
      <c r="Y85">
        <f ca="1">IFERROR(IF(0=LEN(ReferenceData!$Y$85),"",ReferenceData!$Y$85),"")</f>
        <v>177.50299999999999</v>
      </c>
      <c r="Z85">
        <f ca="1">IFERROR(IF(0=LEN(ReferenceData!$Z$85),"",ReferenceData!$Z$85),"")</f>
        <v>171.96299999999999</v>
      </c>
      <c r="AA85">
        <f ca="1">IFERROR(IF(0=LEN(ReferenceData!$AA$85),"",ReferenceData!$AA$85),"")</f>
        <v>178</v>
      </c>
      <c r="AB85">
        <f ca="1">IFERROR(IF(0=LEN(ReferenceData!$AB$85),"",ReferenceData!$AB$85),"")</f>
        <v>176.37</v>
      </c>
      <c r="AC85">
        <f ca="1">IFERROR(IF(0=LEN(ReferenceData!$AC$85),"",ReferenceData!$AC$85),"")</f>
        <v>170.102</v>
      </c>
      <c r="AD85">
        <f ca="1">IFERROR(IF(0=LEN(ReferenceData!$AD$85),"",ReferenceData!$AD$85),"")</f>
        <v>168.161</v>
      </c>
      <c r="AE85" t="str">
        <f ca="1">IFERROR(IF(0=LEN(ReferenceData!$AE$85),"",ReferenceData!$AE$85),"")</f>
        <v/>
      </c>
      <c r="AF85" t="str">
        <f ca="1">IFERROR(IF(0=LEN(ReferenceData!$AF$85),"",ReferenceData!$AF$85),"")</f>
        <v/>
      </c>
      <c r="AG85" t="str">
        <f ca="1">IFERROR(IF(0=LEN(ReferenceData!$AG$85),"",ReferenceData!$AG$85),"")</f>
        <v/>
      </c>
      <c r="AH85" t="str">
        <f ca="1">IFERROR(IF(0=LEN(ReferenceData!$AH$85),"",ReferenceData!$AH$85),"")</f>
        <v/>
      </c>
      <c r="AI85" t="str">
        <f ca="1">IFERROR(IF(0=LEN(ReferenceData!$AI$85),"",ReferenceData!$AI$85),"")</f>
        <v/>
      </c>
      <c r="AJ85" t="str">
        <f ca="1">IFERROR(IF(0=LEN(ReferenceData!$AJ$85),"",ReferenceData!$AJ$85),"")</f>
        <v/>
      </c>
      <c r="AK85" t="str">
        <f ca="1">IFERROR(IF(0=LEN(ReferenceData!$AK$85),"",ReferenceData!$AK$85),"")</f>
        <v/>
      </c>
      <c r="AL85" t="str">
        <f ca="1">IFERROR(IF(0=LEN(ReferenceData!$AL$85),"",ReferenceData!$AL$85),"")</f>
        <v/>
      </c>
      <c r="AM85" t="str">
        <f ca="1">IFERROR(IF(0=LEN(ReferenceData!$AM$85),"",ReferenceData!$AM$85),"")</f>
        <v/>
      </c>
      <c r="AN85" t="str">
        <f ca="1">IFERROR(IF(0=LEN(ReferenceData!$AN$85),"",ReferenceData!$AN$85),"")</f>
        <v/>
      </c>
      <c r="AO85" t="str">
        <f ca="1">IFERROR(IF(0=LEN(ReferenceData!$AO$85),"",ReferenceData!$AO$85),"")</f>
        <v/>
      </c>
      <c r="AP85" t="str">
        <f ca="1">IFERROR(IF(0=LEN(ReferenceData!$AP$85),"",ReferenceData!$AP$85),"")</f>
        <v/>
      </c>
      <c r="AQ85" t="str">
        <f ca="1">IFERROR(IF(0=LEN(ReferenceData!$AQ$85),"",ReferenceData!$AQ$85),"")</f>
        <v/>
      </c>
      <c r="AR85" t="str">
        <f ca="1">IFERROR(IF(0=LEN(ReferenceData!$AR$85),"",ReferenceData!$AR$85),"")</f>
        <v/>
      </c>
      <c r="AS85" t="str">
        <f ca="1">IFERROR(IF(0=LEN(ReferenceData!$AS$85),"",ReferenceData!$AS$85),"")</f>
        <v/>
      </c>
      <c r="AT85" t="str">
        <f ca="1">IFERROR(IF(0=LEN(ReferenceData!$AT$85),"",ReferenceData!$AT$85),"")</f>
        <v/>
      </c>
      <c r="AU85" t="str">
        <f ca="1">IFERROR(IF(0=LEN(ReferenceData!$AU$85),"",ReferenceData!$AU$85),"")</f>
        <v/>
      </c>
      <c r="AV85" t="str">
        <f ca="1">IFERROR(IF(0=LEN(ReferenceData!$AV$85),"",ReferenceData!$AV$85),"")</f>
        <v/>
      </c>
      <c r="AW85" t="str">
        <f ca="1">IFERROR(IF(0=LEN(ReferenceData!$AW$85),"",ReferenceData!$AW$85),"")</f>
        <v/>
      </c>
      <c r="AX85" t="str">
        <f ca="1">IFERROR(IF(0=LEN(ReferenceData!$AX$85),"",ReferenceData!$AX$85),"")</f>
        <v/>
      </c>
      <c r="AY85" t="str">
        <f ca="1">IFERROR(IF(0=LEN(ReferenceData!$AY$85),"",ReferenceData!$AY$85),"")</f>
        <v/>
      </c>
      <c r="AZ85" t="str">
        <f ca="1">IFERROR(IF(0=LEN(ReferenceData!$AZ$85),"",ReferenceData!$AZ$85),"")</f>
        <v/>
      </c>
      <c r="BA85" t="str">
        <f ca="1">IFERROR(IF(0=LEN(ReferenceData!$BA$85),"",ReferenceData!$BA$85),"")</f>
        <v/>
      </c>
      <c r="BB85" t="str">
        <f ca="1">IFERROR(IF(0=LEN(ReferenceData!$BB$85),"",ReferenceData!$BB$85),"")</f>
        <v/>
      </c>
      <c r="BC85" t="str">
        <f ca="1">IFERROR(IF(0=LEN(ReferenceData!$BC$85),"",ReferenceData!$BC$85),"")</f>
        <v/>
      </c>
      <c r="BD85" t="str">
        <f ca="1">IFERROR(IF(0=LEN(ReferenceData!$BD$85),"",ReferenceData!$BD$85),"")</f>
        <v/>
      </c>
      <c r="BE85" t="str">
        <f ca="1">IFERROR(IF(0=LEN(ReferenceData!$BE$85),"",ReferenceData!$BE$85),"")</f>
        <v/>
      </c>
      <c r="BF85" t="str">
        <f ca="1">IFERROR(IF(0=LEN(ReferenceData!$BF$85),"",ReferenceData!$BF$85),"")</f>
        <v/>
      </c>
      <c r="BG85" t="str">
        <f ca="1">IFERROR(IF(0=LEN(ReferenceData!$BG$85),"",ReferenceData!$BG$85),"")</f>
        <v/>
      </c>
      <c r="BH85" t="str">
        <f ca="1">IFERROR(IF(0=LEN(ReferenceData!$BH$85),"",ReferenceData!$BH$85),"")</f>
        <v/>
      </c>
      <c r="BI85" t="str">
        <f ca="1">IFERROR(IF(0=LEN(ReferenceData!$BI$85),"",ReferenceData!$BI$85),"")</f>
        <v/>
      </c>
      <c r="BJ85" t="str">
        <f ca="1">IFERROR(IF(0=LEN(ReferenceData!$BJ$85),"",ReferenceData!$BJ$85),"")</f>
        <v/>
      </c>
      <c r="BK85" t="str">
        <f ca="1">IFERROR(IF(0=LEN(ReferenceData!$BK$85),"",ReferenceData!$BK$85),"")</f>
        <v/>
      </c>
      <c r="BL85" t="str">
        <f ca="1">IFERROR(IF(0=LEN(ReferenceData!$BL$85),"",ReferenceData!$BL$85),"")</f>
        <v/>
      </c>
      <c r="BM85" t="str">
        <f ca="1">IFERROR(IF(0=LEN(ReferenceData!$BM$85),"",ReferenceData!$BM$85),"")</f>
        <v/>
      </c>
    </row>
    <row r="86" spans="1:65">
      <c r="A86" t="str">
        <f>IFERROR(IF(0=LEN(ReferenceData!$A$86),"",ReferenceData!$A$86),"")</f>
        <v xml:space="preserve">    CBL &amp; Associates Properties In</v>
      </c>
      <c r="B86" t="str">
        <f>IFERROR(IF(0=LEN(ReferenceData!$B$86),"",ReferenceData!$B$86),"")</f>
        <v>CBL US Equity</v>
      </c>
      <c r="C86" t="str">
        <f>IFERROR(IF(0=LEN(ReferenceData!$C$86),"",ReferenceData!$C$86),"")</f>
        <v>RR009</v>
      </c>
      <c r="D86" t="str">
        <f>IFERROR(IF(0=LEN(ReferenceData!$D$86),"",ReferenceData!$D$86),"")</f>
        <v>EBITDA</v>
      </c>
      <c r="E86" t="str">
        <f>IFERROR(IF(0=LEN(ReferenceData!$E$86),"",ReferenceData!$E$86),"")</f>
        <v>动态</v>
      </c>
      <c r="F86" t="str">
        <f ca="1">IFERROR(IF(0=LEN(ReferenceData!$F$86),"",ReferenceData!$F$86),"")</f>
        <v/>
      </c>
      <c r="G86">
        <f ca="1">IFERROR(IF(0=LEN(ReferenceData!$G$86),"",ReferenceData!$G$86),"")</f>
        <v>156.072</v>
      </c>
      <c r="H86">
        <f ca="1">IFERROR(IF(0=LEN(ReferenceData!$H$86),"",ReferenceData!$H$86),"")</f>
        <v>121.541</v>
      </c>
      <c r="I86">
        <f ca="1">IFERROR(IF(0=LEN(ReferenceData!$I$86),"",ReferenceData!$I$86),"")</f>
        <v>104.68</v>
      </c>
      <c r="J86">
        <f ca="1">IFERROR(IF(0=LEN(ReferenceData!$J$86),"",ReferenceData!$J$86),"")</f>
        <v>147.571</v>
      </c>
      <c r="K86">
        <f ca="1">IFERROR(IF(0=LEN(ReferenceData!$K$86),"",ReferenceData!$K$86),"")</f>
        <v>173.52</v>
      </c>
      <c r="L86">
        <f ca="1">IFERROR(IF(0=LEN(ReferenceData!$L$86),"",ReferenceData!$L$86),"")</f>
        <v>108.605</v>
      </c>
      <c r="M86">
        <f ca="1">IFERROR(IF(0=LEN(ReferenceData!$M$86),"",ReferenceData!$M$86),"")</f>
        <v>124.595</v>
      </c>
      <c r="N86">
        <f ca="1">IFERROR(IF(0=LEN(ReferenceData!$N$86),"",ReferenceData!$N$86),"")</f>
        <v>139.714</v>
      </c>
      <c r="O86">
        <f ca="1">IFERROR(IF(0=LEN(ReferenceData!$O$86),"",ReferenceData!$O$86),"")</f>
        <v>85.331999999999994</v>
      </c>
      <c r="P86">
        <f ca="1">IFERROR(IF(0=LEN(ReferenceData!$P$86),"",ReferenceData!$P$86),"")</f>
        <v>167.40600000000001</v>
      </c>
      <c r="Q86">
        <f ca="1">IFERROR(IF(0=LEN(ReferenceData!$Q$86),"",ReferenceData!$Q$86),"")</f>
        <v>161.30500000000001</v>
      </c>
      <c r="R86">
        <f ca="1">IFERROR(IF(0=LEN(ReferenceData!$R$86),"",ReferenceData!$R$86),"")</f>
        <v>161.12299999999999</v>
      </c>
      <c r="S86">
        <f ca="1">IFERROR(IF(0=LEN(ReferenceData!$S$86),"",ReferenceData!$S$86),"")</f>
        <v>183.261</v>
      </c>
      <c r="T86">
        <f ca="1">IFERROR(IF(0=LEN(ReferenceData!$T$86),"",ReferenceData!$T$86),"")</f>
        <v>170.142</v>
      </c>
      <c r="U86">
        <f ca="1">IFERROR(IF(0=LEN(ReferenceData!$U$86),"",ReferenceData!$U$86),"")</f>
        <v>168</v>
      </c>
      <c r="V86">
        <f ca="1">IFERROR(IF(0=LEN(ReferenceData!$V$86),"",ReferenceData!$V$86),"")</f>
        <v>145.381</v>
      </c>
      <c r="W86">
        <f ca="1">IFERROR(IF(0=LEN(ReferenceData!$W$86),"",ReferenceData!$W$86),"")</f>
        <v>135.339</v>
      </c>
      <c r="X86">
        <f ca="1">IFERROR(IF(0=LEN(ReferenceData!$X$86),"",ReferenceData!$X$86),"")</f>
        <v>168.352</v>
      </c>
      <c r="Y86">
        <f ca="1">IFERROR(IF(0=LEN(ReferenceData!$Y$86),"",ReferenceData!$Y$86),"")</f>
        <v>147.73099999999999</v>
      </c>
      <c r="Z86">
        <f ca="1">IFERROR(IF(0=LEN(ReferenceData!$Z$86),"",ReferenceData!$Z$86),"")</f>
        <v>164.95500000000001</v>
      </c>
      <c r="AA86">
        <f ca="1">IFERROR(IF(0=LEN(ReferenceData!$AA$86),"",ReferenceData!$AA$86),"")</f>
        <v>163.23099999999999</v>
      </c>
      <c r="AB86">
        <f ca="1">IFERROR(IF(0=LEN(ReferenceData!$AB$86),"",ReferenceData!$AB$86),"")</f>
        <v>161.30500000000001</v>
      </c>
      <c r="AC86">
        <f ca="1">IFERROR(IF(0=LEN(ReferenceData!$AC$86),"",ReferenceData!$AC$86),"")</f>
        <v>162.107</v>
      </c>
      <c r="AD86">
        <f ca="1">IFERROR(IF(0=LEN(ReferenceData!$AD$86),"",ReferenceData!$AD$86),"")</f>
        <v>155.24700000000001</v>
      </c>
      <c r="AE86">
        <f ca="1">IFERROR(IF(0=LEN(ReferenceData!$AE$86),"",ReferenceData!$AE$86),"")</f>
        <v>178.399</v>
      </c>
      <c r="AF86">
        <f ca="1">IFERROR(IF(0=LEN(ReferenceData!$AF$86),"",ReferenceData!$AF$86),"")</f>
        <v>122.685</v>
      </c>
      <c r="AG86">
        <f ca="1">IFERROR(IF(0=LEN(ReferenceData!$AG$86),"",ReferenceData!$AG$86),"")</f>
        <v>168.678</v>
      </c>
      <c r="AH86">
        <f ca="1">IFERROR(IF(0=LEN(ReferenceData!$AH$86),"",ReferenceData!$AH$86),"")</f>
        <v>166.68799999999999</v>
      </c>
      <c r="AI86">
        <f ca="1">IFERROR(IF(0=LEN(ReferenceData!$AI$86),"",ReferenceData!$AI$86),"")</f>
        <v>179.93600000000001</v>
      </c>
      <c r="AJ86">
        <f ca="1">IFERROR(IF(0=LEN(ReferenceData!$AJ$86),"",ReferenceData!$AJ$86),"")</f>
        <v>168.90700000000001</v>
      </c>
      <c r="AK86">
        <f ca="1">IFERROR(IF(0=LEN(ReferenceData!$AK$86),"",ReferenceData!$AK$86),"")</f>
        <v>168.72200000000001</v>
      </c>
      <c r="AL86">
        <f ca="1">IFERROR(IF(0=LEN(ReferenceData!$AL$86),"",ReferenceData!$AL$86),"")</f>
        <v>167.727</v>
      </c>
      <c r="AM86">
        <f ca="1">IFERROR(IF(0=LEN(ReferenceData!$AM$86),"",ReferenceData!$AM$86),"")</f>
        <v>80.593999999999994</v>
      </c>
      <c r="AN86">
        <f ca="1">IFERROR(IF(0=LEN(ReferenceData!$AN$86),"",ReferenceData!$AN$86),"")</f>
        <v>163.553</v>
      </c>
      <c r="AO86">
        <f ca="1">IFERROR(IF(0=LEN(ReferenceData!$AO$86),"",ReferenceData!$AO$86),"")</f>
        <v>173.04300000000001</v>
      </c>
      <c r="AP86">
        <f ca="1">IFERROR(IF(0=LEN(ReferenceData!$AP$86),"",ReferenceData!$AP$86),"")</f>
        <v>171.03200000000001</v>
      </c>
      <c r="AQ86">
        <f ca="1">IFERROR(IF(0=LEN(ReferenceData!$AQ$86),"",ReferenceData!$AQ$86),"")</f>
        <v>175.46100000000001</v>
      </c>
      <c r="AR86">
        <f ca="1">IFERROR(IF(0=LEN(ReferenceData!$AR$86),"",ReferenceData!$AR$86),"")</f>
        <v>183.86500000000001</v>
      </c>
      <c r="AS86">
        <f ca="1">IFERROR(IF(0=LEN(ReferenceData!$AS$86),"",ReferenceData!$AS$86),"")</f>
        <v>171.73</v>
      </c>
      <c r="AT86">
        <f ca="1">IFERROR(IF(0=LEN(ReferenceData!$AT$86),"",ReferenceData!$AT$86),"")</f>
        <v>171.31200000000001</v>
      </c>
      <c r="AU86">
        <f ca="1">IFERROR(IF(0=LEN(ReferenceData!$AU$86),"",ReferenceData!$AU$86),"")</f>
        <v>191.04499999999999</v>
      </c>
      <c r="AV86">
        <f ca="1">IFERROR(IF(0=LEN(ReferenceData!$AV$86),"",ReferenceData!$AV$86),"")</f>
        <v>159.054</v>
      </c>
      <c r="AW86">
        <f ca="1">IFERROR(IF(0=LEN(ReferenceData!$AW$86),"",ReferenceData!$AW$86),"")</f>
        <v>158.262</v>
      </c>
      <c r="AX86">
        <f ca="1">IFERROR(IF(0=LEN(ReferenceData!$AX$86),"",ReferenceData!$AX$86),"")</f>
        <v>158.03700000000001</v>
      </c>
      <c r="AY86">
        <f ca="1">IFERROR(IF(0=LEN(ReferenceData!$AY$86),"",ReferenceData!$AY$86),"")</f>
        <v>180.33099999999999</v>
      </c>
      <c r="AZ86">
        <f ca="1">IFERROR(IF(0=LEN(ReferenceData!$AZ$86),"",ReferenceData!$AZ$86),"")</f>
        <v>155.04400000000001</v>
      </c>
      <c r="BA86">
        <f ca="1">IFERROR(IF(0=LEN(ReferenceData!$BA$86),"",ReferenceData!$BA$86),"")</f>
        <v>153.22900000000001</v>
      </c>
      <c r="BB86">
        <f ca="1">IFERROR(IF(0=LEN(ReferenceData!$BB$86),"",ReferenceData!$BB$86),"")</f>
        <v>160.29</v>
      </c>
      <c r="BC86">
        <f ca="1">IFERROR(IF(0=LEN(ReferenceData!$BC$86),"",ReferenceData!$BC$86),"")</f>
        <v>177.619</v>
      </c>
      <c r="BD86">
        <f ca="1">IFERROR(IF(0=LEN(ReferenceData!$BD$86),"",ReferenceData!$BD$86),"")</f>
        <v>148.196</v>
      </c>
      <c r="BE86">
        <f ca="1">IFERROR(IF(0=LEN(ReferenceData!$BE$86),"",ReferenceData!$BE$86),"")</f>
        <v>133.09200000000001</v>
      </c>
      <c r="BF86">
        <f ca="1">IFERROR(IF(0=LEN(ReferenceData!$BF$86),"",ReferenceData!$BF$86),"")</f>
        <v>140.90100000000001</v>
      </c>
      <c r="BG86">
        <f ca="1">IFERROR(IF(0=LEN(ReferenceData!$BG$86),"",ReferenceData!$BG$86),"")</f>
        <v>148.666</v>
      </c>
      <c r="BH86">
        <f ca="1">IFERROR(IF(0=LEN(ReferenceData!$BH$86),"",ReferenceData!$BH$86),"")</f>
        <v>146.74700200000001</v>
      </c>
      <c r="BI86">
        <f ca="1">IFERROR(IF(0=LEN(ReferenceData!$BI$86),"",ReferenceData!$BI$86),"")</f>
        <v>103.986</v>
      </c>
      <c r="BJ86">
        <f ca="1">IFERROR(IF(0=LEN(ReferenceData!$BJ$86),"",ReferenceData!$BJ$86),"")</f>
        <v>101.49300100000001</v>
      </c>
      <c r="BK86">
        <f ca="1">IFERROR(IF(0=LEN(ReferenceData!$BK$86),"",ReferenceData!$BK$86),"")</f>
        <v>118.161</v>
      </c>
      <c r="BL86">
        <f ca="1">IFERROR(IF(0=LEN(ReferenceData!$BL$86),"",ReferenceData!$BL$86),"")</f>
        <v>123.052997</v>
      </c>
      <c r="BM86">
        <f ca="1">IFERROR(IF(0=LEN(ReferenceData!$BM$86),"",ReferenceData!$BM$86),"")</f>
        <v>99.199995999999999</v>
      </c>
    </row>
    <row r="87" spans="1:65">
      <c r="A87" t="str">
        <f>IFERROR(IF(0=LEN(ReferenceData!$A$87),"",ReferenceData!$A$87),"")</f>
        <v xml:space="preserve">    DDR Corp</v>
      </c>
      <c r="B87" t="str">
        <f>IFERROR(IF(0=LEN(ReferenceData!$B$87),"",ReferenceData!$B$87),"")</f>
        <v>DDR US Equity</v>
      </c>
      <c r="C87" t="str">
        <f>IFERROR(IF(0=LEN(ReferenceData!$C$87),"",ReferenceData!$C$87),"")</f>
        <v>RR009</v>
      </c>
      <c r="D87" t="str">
        <f>IFERROR(IF(0=LEN(ReferenceData!$D$87),"",ReferenceData!$D$87),"")</f>
        <v>EBITDA</v>
      </c>
      <c r="E87" t="str">
        <f>IFERROR(IF(0=LEN(ReferenceData!$E$87),"",ReferenceData!$E$87),"")</f>
        <v>动态</v>
      </c>
      <c r="F87" t="str">
        <f ca="1">IFERROR(IF(0=LEN(ReferenceData!$F$87),"",ReferenceData!$F$87),"")</f>
        <v/>
      </c>
      <c r="G87">
        <f ca="1">IFERROR(IF(0=LEN(ReferenceData!$G$87),"",ReferenceData!$G$87),"")</f>
        <v>-148.27199999999999</v>
      </c>
      <c r="H87">
        <f ca="1">IFERROR(IF(0=LEN(ReferenceData!$H$87),"",ReferenceData!$H$87),"")</f>
        <v>135.05799999999999</v>
      </c>
      <c r="I87">
        <f ca="1">IFERROR(IF(0=LEN(ReferenceData!$I$87),"",ReferenceData!$I$87),"")</f>
        <v>119.441</v>
      </c>
      <c r="J87">
        <f ca="1">IFERROR(IF(0=LEN(ReferenceData!$J$87),"",ReferenceData!$J$87),"")</f>
        <v>120.056</v>
      </c>
      <c r="K87">
        <f ca="1">IFERROR(IF(0=LEN(ReferenceData!$K$87),"",ReferenceData!$K$87),"")</f>
        <v>141.18899999999999</v>
      </c>
      <c r="L87">
        <f ca="1">IFERROR(IF(0=LEN(ReferenceData!$L$87),"",ReferenceData!$L$87),"")</f>
        <v>61.969000000000001</v>
      </c>
      <c r="M87">
        <f ca="1">IFERROR(IF(0=LEN(ReferenceData!$M$87),"",ReferenceData!$M$87),"")</f>
        <v>166.958</v>
      </c>
      <c r="N87">
        <f ca="1">IFERROR(IF(0=LEN(ReferenceData!$N$87),"",ReferenceData!$N$87),"")</f>
        <v>163.505</v>
      </c>
      <c r="O87">
        <f ca="1">IFERROR(IF(0=LEN(ReferenceData!$O$87),"",ReferenceData!$O$87),"")</f>
        <v>156.53700000000001</v>
      </c>
      <c r="P87">
        <f ca="1">IFERROR(IF(0=LEN(ReferenceData!$P$87),"",ReferenceData!$P$87),"")</f>
        <v>166.191</v>
      </c>
      <c r="Q87">
        <f ca="1">IFERROR(IF(0=LEN(ReferenceData!$Q$87),"",ReferenceData!$Q$87),"")</f>
        <v>164.226</v>
      </c>
      <c r="R87">
        <f ca="1">IFERROR(IF(0=LEN(ReferenceData!$R$87),"",ReferenceData!$R$87),"")</f>
        <v>-115.146</v>
      </c>
      <c r="S87">
        <f ca="1">IFERROR(IF(0=LEN(ReferenceData!$S$87),"",ReferenceData!$S$87),"")</f>
        <v>121.623</v>
      </c>
      <c r="T87">
        <f ca="1">IFERROR(IF(0=LEN(ReferenceData!$T$87),"",ReferenceData!$T$87),"")</f>
        <v>157.495</v>
      </c>
      <c r="U87">
        <f ca="1">IFERROR(IF(0=LEN(ReferenceData!$U$87),"",ReferenceData!$U$87),"")</f>
        <v>144.239</v>
      </c>
      <c r="V87">
        <f ca="1">IFERROR(IF(0=LEN(ReferenceData!$V$87),"",ReferenceData!$V$87),"")</f>
        <v>144.94499999999999</v>
      </c>
      <c r="W87">
        <f ca="1">IFERROR(IF(0=LEN(ReferenceData!$W$87),"",ReferenceData!$W$87),"")</f>
        <v>149.04900000000001</v>
      </c>
      <c r="X87">
        <f ca="1">IFERROR(IF(0=LEN(ReferenceData!$X$87),"",ReferenceData!$X$87),"")</f>
        <v>119.732</v>
      </c>
      <c r="Y87">
        <f ca="1">IFERROR(IF(0=LEN(ReferenceData!$Y$87),"",ReferenceData!$Y$87),"")</f>
        <v>121.4</v>
      </c>
      <c r="Z87">
        <f ca="1">IFERROR(IF(0=LEN(ReferenceData!$Z$87),"",ReferenceData!$Z$87),"")</f>
        <v>122.486</v>
      </c>
      <c r="AA87">
        <f ca="1">IFERROR(IF(0=LEN(ReferenceData!$AA$87),"",ReferenceData!$AA$87),"")</f>
        <v>114.749</v>
      </c>
      <c r="AB87">
        <f ca="1">IFERROR(IF(0=LEN(ReferenceData!$AB$87),"",ReferenceData!$AB$87),"")</f>
        <v>95.683000000000007</v>
      </c>
      <c r="AC87">
        <f ca="1">IFERROR(IF(0=LEN(ReferenceData!$AC$87),"",ReferenceData!$AC$87),"")</f>
        <v>74.852000000000004</v>
      </c>
      <c r="AD87">
        <f ca="1">IFERROR(IF(0=LEN(ReferenceData!$AD$87),"",ReferenceData!$AD$87),"")</f>
        <v>113.303</v>
      </c>
      <c r="AE87">
        <f ca="1">IFERROR(IF(0=LEN(ReferenceData!$AE$87),"",ReferenceData!$AE$87),"")</f>
        <v>112.63200000000001</v>
      </c>
      <c r="AF87">
        <f ca="1">IFERROR(IF(0=LEN(ReferenceData!$AF$87),"",ReferenceData!$AF$87),"")</f>
        <v>65.801000000000002</v>
      </c>
      <c r="AG87">
        <f ca="1">IFERROR(IF(0=LEN(ReferenceData!$AG$87),"",ReferenceData!$AG$87),"")</f>
        <v>106.565</v>
      </c>
      <c r="AH87">
        <f ca="1">IFERROR(IF(0=LEN(ReferenceData!$AH$87),"",ReferenceData!$AH$87),"")</f>
        <v>98.302000000000007</v>
      </c>
      <c r="AI87">
        <f ca="1">IFERROR(IF(0=LEN(ReferenceData!$AI$87),"",ReferenceData!$AI$87),"")</f>
        <v>95.363</v>
      </c>
      <c r="AJ87">
        <f ca="1">IFERROR(IF(0=LEN(ReferenceData!$AJ$87),"",ReferenceData!$AJ$87),"")</f>
        <v>109.117</v>
      </c>
      <c r="AK87">
        <f ca="1">IFERROR(IF(0=LEN(ReferenceData!$AK$87),"",ReferenceData!$AK$87),"")</f>
        <v>39.392000000000003</v>
      </c>
      <c r="AL87">
        <f ca="1">IFERROR(IF(0=LEN(ReferenceData!$AL$87),"",ReferenceData!$AL$87),"")</f>
        <v>118.146</v>
      </c>
      <c r="AM87">
        <f ca="1">IFERROR(IF(0=LEN(ReferenceData!$AM$87),"",ReferenceData!$AM$87),"")</f>
        <v>130.81299999999999</v>
      </c>
      <c r="AN87">
        <f ca="1">IFERROR(IF(0=LEN(ReferenceData!$AN$87),"",ReferenceData!$AN$87),"")</f>
        <v>47.607999999999997</v>
      </c>
      <c r="AO87">
        <f ca="1">IFERROR(IF(0=LEN(ReferenceData!$AO$87),"",ReferenceData!$AO$87),"")</f>
        <v>20.288</v>
      </c>
      <c r="AP87">
        <f ca="1">IFERROR(IF(0=LEN(ReferenceData!$AP$87),"",ReferenceData!$AP$87),"")</f>
        <v>119.595</v>
      </c>
      <c r="AQ87">
        <f ca="1">IFERROR(IF(0=LEN(ReferenceData!$AQ$87),"",ReferenceData!$AQ$87),"")</f>
        <v>202.54900000000001</v>
      </c>
      <c r="AR87">
        <f ca="1">IFERROR(IF(0=LEN(ReferenceData!$AR$87),"",ReferenceData!$AR$87),"")</f>
        <v>141.85599999999999</v>
      </c>
      <c r="AS87">
        <f ca="1">IFERROR(IF(0=LEN(ReferenceData!$AS$87),"",ReferenceData!$AS$87),"")</f>
        <v>85.581999999999994</v>
      </c>
      <c r="AT87">
        <f ca="1">IFERROR(IF(0=LEN(ReferenceData!$AT$87),"",ReferenceData!$AT$87),"")</f>
        <v>152.68799999999999</v>
      </c>
      <c r="AU87" t="str">
        <f ca="1">IFERROR(IF(0=LEN(ReferenceData!$AU$87),"",ReferenceData!$AU$87),"")</f>
        <v/>
      </c>
      <c r="AV87" t="str">
        <f ca="1">IFERROR(IF(0=LEN(ReferenceData!$AV$87),"",ReferenceData!$AV$87),"")</f>
        <v/>
      </c>
      <c r="AW87" t="str">
        <f ca="1">IFERROR(IF(0=LEN(ReferenceData!$AW$87),"",ReferenceData!$AW$87),"")</f>
        <v/>
      </c>
      <c r="AX87">
        <f ca="1">IFERROR(IF(0=LEN(ReferenceData!$AX$87),"",ReferenceData!$AX$87),"")</f>
        <v>144.375</v>
      </c>
      <c r="AY87" t="str">
        <f ca="1">IFERROR(IF(0=LEN(ReferenceData!$AY$87),"",ReferenceData!$AY$87),"")</f>
        <v/>
      </c>
      <c r="AZ87" t="str">
        <f ca="1">IFERROR(IF(0=LEN(ReferenceData!$AZ$87),"",ReferenceData!$AZ$87),"")</f>
        <v/>
      </c>
      <c r="BA87" t="str">
        <f ca="1">IFERROR(IF(0=LEN(ReferenceData!$BA$87),"",ReferenceData!$BA$87),"")</f>
        <v/>
      </c>
      <c r="BB87" t="str">
        <f ca="1">IFERROR(IF(0=LEN(ReferenceData!$BB$87),"",ReferenceData!$BB$87),"")</f>
        <v/>
      </c>
      <c r="BC87">
        <f ca="1">IFERROR(IF(0=LEN(ReferenceData!$BC$87),"",ReferenceData!$BC$87),"")</f>
        <v>213.88900000000001</v>
      </c>
      <c r="BD87">
        <f ca="1">IFERROR(IF(0=LEN(ReferenceData!$BD$87),"",ReferenceData!$BD$87),"")</f>
        <v>120.685</v>
      </c>
      <c r="BE87" t="str">
        <f ca="1">IFERROR(IF(0=LEN(ReferenceData!$BE$87),"",ReferenceData!$BE$87),"")</f>
        <v/>
      </c>
      <c r="BF87" t="str">
        <f ca="1">IFERROR(IF(0=LEN(ReferenceData!$BF$87),"",ReferenceData!$BF$87),"")</f>
        <v/>
      </c>
      <c r="BG87">
        <f ca="1">IFERROR(IF(0=LEN(ReferenceData!$BG$87),"",ReferenceData!$BG$87),"")</f>
        <v>105.01600000000001</v>
      </c>
      <c r="BH87">
        <f ca="1">IFERROR(IF(0=LEN(ReferenceData!$BH$87),"",ReferenceData!$BH$87),"")</f>
        <v>107.884</v>
      </c>
      <c r="BI87" t="str">
        <f ca="1">IFERROR(IF(0=LEN(ReferenceData!$BI$87),"",ReferenceData!$BI$87),"")</f>
        <v/>
      </c>
      <c r="BJ87" t="str">
        <f ca="1">IFERROR(IF(0=LEN(ReferenceData!$BJ$87),"",ReferenceData!$BJ$87),"")</f>
        <v/>
      </c>
      <c r="BK87" t="str">
        <f ca="1">IFERROR(IF(0=LEN(ReferenceData!$BK$87),"",ReferenceData!$BK$87),"")</f>
        <v/>
      </c>
      <c r="BL87" t="str">
        <f ca="1">IFERROR(IF(0=LEN(ReferenceData!$BL$87),"",ReferenceData!$BL$87),"")</f>
        <v/>
      </c>
      <c r="BM87" t="str">
        <f ca="1">IFERROR(IF(0=LEN(ReferenceData!$BM$87),"",ReferenceData!$BM$87),"")</f>
        <v/>
      </c>
    </row>
    <row r="88" spans="1:65">
      <c r="A88" t="str">
        <f>IFERROR(IF(0=LEN(ReferenceData!$A$88),"",ReferenceData!$A$88),"")</f>
        <v xml:space="preserve">    Federal Realty Investment Trus</v>
      </c>
      <c r="B88" t="str">
        <f>IFERROR(IF(0=LEN(ReferenceData!$B$88),"",ReferenceData!$B$88),"")</f>
        <v>FRT US Equity</v>
      </c>
      <c r="C88" t="str">
        <f>IFERROR(IF(0=LEN(ReferenceData!$C$88),"",ReferenceData!$C$88),"")</f>
        <v>RR009</v>
      </c>
      <c r="D88" t="str">
        <f>IFERROR(IF(0=LEN(ReferenceData!$D$88),"",ReferenceData!$D$88),"")</f>
        <v>EBITDA</v>
      </c>
      <c r="E88" t="str">
        <f>IFERROR(IF(0=LEN(ReferenceData!$E$88),"",ReferenceData!$E$88),"")</f>
        <v>动态</v>
      </c>
      <c r="F88" t="str">
        <f ca="1">IFERROR(IF(0=LEN(ReferenceData!$F$88),"",ReferenceData!$F$88),"")</f>
        <v/>
      </c>
      <c r="G88">
        <f ca="1">IFERROR(IF(0=LEN(ReferenceData!$G$88),"",ReferenceData!$G$88),"")</f>
        <v>139.55099999999999</v>
      </c>
      <c r="H88">
        <f ca="1">IFERROR(IF(0=LEN(ReferenceData!$H$88),"",ReferenceData!$H$88),"")</f>
        <v>140.108</v>
      </c>
      <c r="I88">
        <f ca="1">IFERROR(IF(0=LEN(ReferenceData!$I$88),"",ReferenceData!$I$88),"")</f>
        <v>135.756</v>
      </c>
      <c r="J88">
        <f ca="1">IFERROR(IF(0=LEN(ReferenceData!$J$88),"",ReferenceData!$J$88),"")</f>
        <v>132.923</v>
      </c>
      <c r="K88">
        <f ca="1">IFERROR(IF(0=LEN(ReferenceData!$K$88),"",ReferenceData!$K$88),"")</f>
        <v>131.92500000000001</v>
      </c>
      <c r="L88">
        <f ca="1">IFERROR(IF(0=LEN(ReferenceData!$L$88),"",ReferenceData!$L$88),"")</f>
        <v>129.364</v>
      </c>
      <c r="M88">
        <f ca="1">IFERROR(IF(0=LEN(ReferenceData!$M$88),"",ReferenceData!$M$88),"")</f>
        <v>128.57</v>
      </c>
      <c r="N88">
        <f ca="1">IFERROR(IF(0=LEN(ReferenceData!$N$88),"",ReferenceData!$N$88),"")</f>
        <v>124.721</v>
      </c>
      <c r="O88">
        <f ca="1">IFERROR(IF(0=LEN(ReferenceData!$O$88),"",ReferenceData!$O$88),"")</f>
        <v>122.337</v>
      </c>
      <c r="P88">
        <f ca="1">IFERROR(IF(0=LEN(ReferenceData!$P$88),"",ReferenceData!$P$88),"")</f>
        <v>119.63500000000001</v>
      </c>
      <c r="Q88">
        <f ca="1">IFERROR(IF(0=LEN(ReferenceData!$Q$88),"",ReferenceData!$Q$88),"")</f>
        <v>118.872</v>
      </c>
      <c r="R88">
        <f ca="1">IFERROR(IF(0=LEN(ReferenceData!$R$88),"",ReferenceData!$R$88),"")</f>
        <v>114.10599999999999</v>
      </c>
      <c r="S88">
        <f ca="1">IFERROR(IF(0=LEN(ReferenceData!$S$88),"",ReferenceData!$S$88),"")</f>
        <v>115.021</v>
      </c>
      <c r="T88">
        <f ca="1">IFERROR(IF(0=LEN(ReferenceData!$T$88),"",ReferenceData!$T$88),"")</f>
        <v>110.282</v>
      </c>
      <c r="U88">
        <f ca="1">IFERROR(IF(0=LEN(ReferenceData!$U$88),"",ReferenceData!$U$88),"")</f>
        <v>109.254</v>
      </c>
      <c r="V88">
        <f ca="1">IFERROR(IF(0=LEN(ReferenceData!$V$88),"",ReferenceData!$V$88),"")</f>
        <v>107.294</v>
      </c>
      <c r="W88">
        <f ca="1">IFERROR(IF(0=LEN(ReferenceData!$W$88),"",ReferenceData!$W$88),"")</f>
        <v>104.684</v>
      </c>
      <c r="X88">
        <f ca="1">IFERROR(IF(0=LEN(ReferenceData!$X$88),"",ReferenceData!$X$88),"")</f>
        <v>104.10899999999999</v>
      </c>
      <c r="Y88">
        <f ca="1">IFERROR(IF(0=LEN(ReferenceData!$Y$88),"",ReferenceData!$Y$88),"")</f>
        <v>103.34099999999999</v>
      </c>
      <c r="Z88">
        <f ca="1">IFERROR(IF(0=LEN(ReferenceData!$Z$88),"",ReferenceData!$Z$88),"")</f>
        <v>103.126</v>
      </c>
      <c r="AA88">
        <f ca="1">IFERROR(IF(0=LEN(ReferenceData!$AA$88),"",ReferenceData!$AA$88),"")</f>
        <v>100.827</v>
      </c>
      <c r="AB88">
        <f ca="1">IFERROR(IF(0=LEN(ReferenceData!$AB$88),"",ReferenceData!$AB$88),"")</f>
        <v>102.05500000000001</v>
      </c>
      <c r="AC88">
        <f ca="1">IFERROR(IF(0=LEN(ReferenceData!$AC$88),"",ReferenceData!$AC$88),"")</f>
        <v>96.977999999999994</v>
      </c>
      <c r="AD88">
        <f ca="1">IFERROR(IF(0=LEN(ReferenceData!$AD$88),"",ReferenceData!$AD$88),"")</f>
        <v>97.117999999999995</v>
      </c>
      <c r="AE88">
        <f ca="1">IFERROR(IF(0=LEN(ReferenceData!$AE$88),"",ReferenceData!$AE$88),"")</f>
        <v>89.085999999999999</v>
      </c>
      <c r="AF88">
        <f ca="1">IFERROR(IF(0=LEN(ReferenceData!$AF$88),"",ReferenceData!$AF$88),"")</f>
        <v>88.84</v>
      </c>
      <c r="AG88">
        <f ca="1">IFERROR(IF(0=LEN(ReferenceData!$AG$88),"",ReferenceData!$AG$88),"")</f>
        <v>89.397000000000006</v>
      </c>
      <c r="AH88">
        <f ca="1">IFERROR(IF(0=LEN(ReferenceData!$AH$88),"",ReferenceData!$AH$88),"")</f>
        <v>86.941999999999993</v>
      </c>
      <c r="AI88">
        <f ca="1">IFERROR(IF(0=LEN(ReferenceData!$AI$88),"",ReferenceData!$AI$88),"")</f>
        <v>88.878</v>
      </c>
      <c r="AJ88">
        <f ca="1">IFERROR(IF(0=LEN(ReferenceData!$AJ$88),"",ReferenceData!$AJ$88),"")</f>
        <v>85.486999999999995</v>
      </c>
      <c r="AK88">
        <f ca="1">IFERROR(IF(0=LEN(ReferenceData!$AK$88),"",ReferenceData!$AK$88),"")</f>
        <v>87.019000000000005</v>
      </c>
      <c r="AL88">
        <f ca="1">IFERROR(IF(0=LEN(ReferenceData!$AL$88),"",ReferenceData!$AL$88),"")</f>
        <v>87.914000000000001</v>
      </c>
      <c r="AM88">
        <f ca="1">IFERROR(IF(0=LEN(ReferenceData!$AM$88),"",ReferenceData!$AM$88),"")</f>
        <v>91.762</v>
      </c>
      <c r="AN88">
        <f ca="1">IFERROR(IF(0=LEN(ReferenceData!$AN$88),"",ReferenceData!$AN$88),"")</f>
        <v>86.061000000000007</v>
      </c>
      <c r="AO88">
        <f ca="1">IFERROR(IF(0=LEN(ReferenceData!$AO$88),"",ReferenceData!$AO$88),"")</f>
        <v>85.036000000000001</v>
      </c>
      <c r="AP88">
        <f ca="1">IFERROR(IF(0=LEN(ReferenceData!$AP$88),"",ReferenceData!$AP$88),"")</f>
        <v>62.77</v>
      </c>
      <c r="AQ88">
        <f ca="1">IFERROR(IF(0=LEN(ReferenceData!$AQ$88),"",ReferenceData!$AQ$88),"")</f>
        <v>83.186000000000007</v>
      </c>
      <c r="AR88">
        <f ca="1">IFERROR(IF(0=LEN(ReferenceData!$AR$88),"",ReferenceData!$AR$88),"")</f>
        <v>84.088999999999999</v>
      </c>
      <c r="AS88">
        <f ca="1">IFERROR(IF(0=LEN(ReferenceData!$AS$88),"",ReferenceData!$AS$88),"")</f>
        <v>81.31</v>
      </c>
      <c r="AT88">
        <f ca="1">IFERROR(IF(0=LEN(ReferenceData!$AT$88),"",ReferenceData!$AT$88),"")</f>
        <v>79.787000000000006</v>
      </c>
      <c r="AU88">
        <f ca="1">IFERROR(IF(0=LEN(ReferenceData!$AU$88),"",ReferenceData!$AU$88),"")</f>
        <v>79.685000000000002</v>
      </c>
      <c r="AV88">
        <f ca="1">IFERROR(IF(0=LEN(ReferenceData!$AV$88),"",ReferenceData!$AV$88),"")</f>
        <v>80.164000000000001</v>
      </c>
      <c r="AW88">
        <f ca="1">IFERROR(IF(0=LEN(ReferenceData!$AW$88),"",ReferenceData!$AW$88),"")</f>
        <v>79.739000000000004</v>
      </c>
      <c r="AX88">
        <f ca="1">IFERROR(IF(0=LEN(ReferenceData!$AX$88),"",ReferenceData!$AX$88),"")</f>
        <v>76.585999999999999</v>
      </c>
      <c r="AY88">
        <f ca="1">IFERROR(IF(0=LEN(ReferenceData!$AY$88),"",ReferenceData!$AY$88),"")</f>
        <v>68.605999999999995</v>
      </c>
      <c r="AZ88">
        <f ca="1">IFERROR(IF(0=LEN(ReferenceData!$AZ$88),"",ReferenceData!$AZ$88),"")</f>
        <v>73.887</v>
      </c>
      <c r="BA88">
        <f ca="1">IFERROR(IF(0=LEN(ReferenceData!$BA$88),"",ReferenceData!$BA$88),"")</f>
        <v>73.212000000000003</v>
      </c>
      <c r="BB88">
        <f ca="1">IFERROR(IF(0=LEN(ReferenceData!$BB$88),"",ReferenceData!$BB$88),"")</f>
        <v>71.656999999999996</v>
      </c>
      <c r="BC88">
        <f ca="1">IFERROR(IF(0=LEN(ReferenceData!$BC$88),"",ReferenceData!$BC$88),"")</f>
        <v>69.015000000000001</v>
      </c>
      <c r="BD88">
        <f ca="1">IFERROR(IF(0=LEN(ReferenceData!$BD$88),"",ReferenceData!$BD$88),"")</f>
        <v>66.733000000000004</v>
      </c>
      <c r="BE88">
        <f ca="1">IFERROR(IF(0=LEN(ReferenceData!$BE$88),"",ReferenceData!$BE$88),"")</f>
        <v>68.215999999999994</v>
      </c>
      <c r="BF88">
        <f ca="1">IFERROR(IF(0=LEN(ReferenceData!$BF$88),"",ReferenceData!$BF$88),"")</f>
        <v>65.278999999999996</v>
      </c>
      <c r="BG88">
        <f ca="1">IFERROR(IF(0=LEN(ReferenceData!$BG$88),"",ReferenceData!$BG$88),"")</f>
        <v>61.768999100000002</v>
      </c>
      <c r="BH88">
        <f ca="1">IFERROR(IF(0=LEN(ReferenceData!$BH$88),"",ReferenceData!$BH$88),"")</f>
        <v>106.72799999999999</v>
      </c>
      <c r="BI88">
        <f ca="1">IFERROR(IF(0=LEN(ReferenceData!$BI$88),"",ReferenceData!$BI$88),"")</f>
        <v>63.647001269999997</v>
      </c>
      <c r="BJ88">
        <f ca="1">IFERROR(IF(0=LEN(ReferenceData!$BJ$88),"",ReferenceData!$BJ$88),"")</f>
        <v>60.366999999999997</v>
      </c>
      <c r="BK88">
        <f ca="1">IFERROR(IF(0=LEN(ReferenceData!$BK$88),"",ReferenceData!$BK$88),"")</f>
        <v>64.057000000000002</v>
      </c>
      <c r="BL88">
        <f ca="1">IFERROR(IF(0=LEN(ReferenceData!$BL$88),"",ReferenceData!$BL$88),"")</f>
        <v>91.491</v>
      </c>
      <c r="BM88">
        <f ca="1">IFERROR(IF(0=LEN(ReferenceData!$BM$88),"",ReferenceData!$BM$88),"")</f>
        <v>72.542000000000002</v>
      </c>
    </row>
    <row r="89" spans="1:65">
      <c r="A89" t="str">
        <f>IFERROR(IF(0=LEN(ReferenceData!$A$89),"",ReferenceData!$A$89),"")</f>
        <v xml:space="preserve">    Kimco Realty Corp</v>
      </c>
      <c r="B89" t="str">
        <f>IFERROR(IF(0=LEN(ReferenceData!$B$89),"",ReferenceData!$B$89),"")</f>
        <v>KIM US Equity</v>
      </c>
      <c r="C89" t="str">
        <f>IFERROR(IF(0=LEN(ReferenceData!$C$89),"",ReferenceData!$C$89),"")</f>
        <v>RR009</v>
      </c>
      <c r="D89" t="str">
        <f>IFERROR(IF(0=LEN(ReferenceData!$D$89),"",ReferenceData!$D$89),"")</f>
        <v>EBITDA</v>
      </c>
      <c r="E89" t="str">
        <f>IFERROR(IF(0=LEN(ReferenceData!$E$89),"",ReferenceData!$E$89),"")</f>
        <v>动态</v>
      </c>
      <c r="F89" t="str">
        <f ca="1">IFERROR(IF(0=LEN(ReferenceData!$F$89),"",ReferenceData!$F$89),"")</f>
        <v/>
      </c>
      <c r="G89">
        <f ca="1">IFERROR(IF(0=LEN(ReferenceData!$G$89),"",ReferenceData!$G$89),"")</f>
        <v>164.11</v>
      </c>
      <c r="H89">
        <f ca="1">IFERROR(IF(0=LEN(ReferenceData!$H$89),"",ReferenceData!$H$89),"")</f>
        <v>188.28800000000001</v>
      </c>
      <c r="I89">
        <f ca="1">IFERROR(IF(0=LEN(ReferenceData!$I$89),"",ReferenceData!$I$89),"")</f>
        <v>161.18100000000001</v>
      </c>
      <c r="J89">
        <f ca="1">IFERROR(IF(0=LEN(ReferenceData!$J$89),"",ReferenceData!$J$89),"")</f>
        <v>184.71100000000001</v>
      </c>
      <c r="K89">
        <f ca="1">IFERROR(IF(0=LEN(ReferenceData!$K$89),"",ReferenceData!$K$89),"")</f>
        <v>162.70099999999999</v>
      </c>
      <c r="L89">
        <f ca="1">IFERROR(IF(0=LEN(ReferenceData!$L$89),"",ReferenceData!$L$89),"")</f>
        <v>172.90700000000001</v>
      </c>
      <c r="M89">
        <f ca="1">IFERROR(IF(0=LEN(ReferenceData!$M$89),"",ReferenceData!$M$89),"")</f>
        <v>136.41999999999999</v>
      </c>
      <c r="N89">
        <f ca="1">IFERROR(IF(0=LEN(ReferenceData!$N$89),"",ReferenceData!$N$89),"")</f>
        <v>184.11500000000001</v>
      </c>
      <c r="O89">
        <f ca="1">IFERROR(IF(0=LEN(ReferenceData!$O$89),"",ReferenceData!$O$89),"")</f>
        <v>168.50200000000001</v>
      </c>
      <c r="P89">
        <f ca="1">IFERROR(IF(0=LEN(ReferenceData!$P$89),"",ReferenceData!$P$89),"")</f>
        <v>178.69499999999999</v>
      </c>
      <c r="Q89">
        <f ca="1">IFERROR(IF(0=LEN(ReferenceData!$Q$89),"",ReferenceData!$Q$89),"")</f>
        <v>172.36699999999999</v>
      </c>
      <c r="R89">
        <f ca="1">IFERROR(IF(0=LEN(ReferenceData!$R$89),"",ReferenceData!$R$89),"")</f>
        <v>168.535</v>
      </c>
      <c r="S89">
        <f ca="1">IFERROR(IF(0=LEN(ReferenceData!$S$89),"",ReferenceData!$S$89),"")</f>
        <v>153.946</v>
      </c>
      <c r="T89">
        <f ca="1">IFERROR(IF(0=LEN(ReferenceData!$T$89),"",ReferenceData!$T$89),"")</f>
        <v>161.00800000000001</v>
      </c>
      <c r="U89">
        <f ca="1">IFERROR(IF(0=LEN(ReferenceData!$U$89),"",ReferenceData!$U$89),"")</f>
        <v>132.12</v>
      </c>
      <c r="V89">
        <f ca="1">IFERROR(IF(0=LEN(ReferenceData!$V$89),"",ReferenceData!$V$89),"")</f>
        <v>136.334</v>
      </c>
      <c r="W89">
        <f ca="1">IFERROR(IF(0=LEN(ReferenceData!$W$89),"",ReferenceData!$W$89),"")</f>
        <v>138.91900000000001</v>
      </c>
      <c r="X89">
        <f ca="1">IFERROR(IF(0=LEN(ReferenceData!$X$89),"",ReferenceData!$X$89),"")</f>
        <v>81.09</v>
      </c>
      <c r="Y89">
        <f ca="1">IFERROR(IF(0=LEN(ReferenceData!$Y$89),"",ReferenceData!$Y$89),"")</f>
        <v>113.253</v>
      </c>
      <c r="Z89">
        <f ca="1">IFERROR(IF(0=LEN(ReferenceData!$Z$89),"",ReferenceData!$Z$89),"")</f>
        <v>137.11799999999999</v>
      </c>
      <c r="AA89">
        <f ca="1">IFERROR(IF(0=LEN(ReferenceData!$AA$89),"",ReferenceData!$AA$89),"")</f>
        <v>126.587</v>
      </c>
      <c r="AB89">
        <f ca="1">IFERROR(IF(0=LEN(ReferenceData!$AB$89),"",ReferenceData!$AB$89),"")</f>
        <v>137.58799999999999</v>
      </c>
      <c r="AC89">
        <f ca="1">IFERROR(IF(0=LEN(ReferenceData!$AC$89),"",ReferenceData!$AC$89),"")</f>
        <v>141.87799999999999</v>
      </c>
      <c r="AD89">
        <f ca="1">IFERROR(IF(0=LEN(ReferenceData!$AD$89),"",ReferenceData!$AD$89),"")</f>
        <v>133.744</v>
      </c>
      <c r="AE89">
        <f ca="1">IFERROR(IF(0=LEN(ReferenceData!$AE$89),"",ReferenceData!$AE$89),"")</f>
        <v>126.22199999999999</v>
      </c>
      <c r="AF89">
        <f ca="1">IFERROR(IF(0=LEN(ReferenceData!$AF$89),"",ReferenceData!$AF$89),"")</f>
        <v>123.20099999999999</v>
      </c>
      <c r="AG89">
        <f ca="1">IFERROR(IF(0=LEN(ReferenceData!$AG$89),"",ReferenceData!$AG$89),"")</f>
        <v>130.74799999999999</v>
      </c>
      <c r="AH89">
        <f ca="1">IFERROR(IF(0=LEN(ReferenceData!$AH$89),"",ReferenceData!$AH$89),"")</f>
        <v>132.26300000000001</v>
      </c>
      <c r="AI89">
        <f ca="1">IFERROR(IF(0=LEN(ReferenceData!$AI$89),"",ReferenceData!$AI$89),"")</f>
        <v>123.69</v>
      </c>
      <c r="AJ89">
        <f ca="1">IFERROR(IF(0=LEN(ReferenceData!$AJ$89),"",ReferenceData!$AJ$89),"")</f>
        <v>132.52500000000001</v>
      </c>
      <c r="AK89">
        <f ca="1">IFERROR(IF(0=LEN(ReferenceData!$AK$89),"",ReferenceData!$AK$89),"")</f>
        <v>136.66</v>
      </c>
      <c r="AL89">
        <f ca="1">IFERROR(IF(0=LEN(ReferenceData!$AL$89),"",ReferenceData!$AL$89),"")</f>
        <v>139.68299999999999</v>
      </c>
      <c r="AM89">
        <f ca="1">IFERROR(IF(0=LEN(ReferenceData!$AM$89),"",ReferenceData!$AM$89),"")</f>
        <v>141.04900000000001</v>
      </c>
      <c r="AN89">
        <f ca="1">IFERROR(IF(0=LEN(ReferenceData!$AN$89),"",ReferenceData!$AN$89),"")</f>
        <v>129.00800000000001</v>
      </c>
      <c r="AO89">
        <f ca="1">IFERROR(IF(0=LEN(ReferenceData!$AO$89),"",ReferenceData!$AO$89),"")</f>
        <v>91.885999999999996</v>
      </c>
      <c r="AP89">
        <f ca="1">IFERROR(IF(0=LEN(ReferenceData!$AP$89),"",ReferenceData!$AP$89),"")</f>
        <v>127.53400000000001</v>
      </c>
      <c r="AQ89">
        <f ca="1">IFERROR(IF(0=LEN(ReferenceData!$AQ$89),"",ReferenceData!$AQ$89),"")</f>
        <v>128.75399999999999</v>
      </c>
      <c r="AR89">
        <f ca="1">IFERROR(IF(0=LEN(ReferenceData!$AR$89),"",ReferenceData!$AR$89),"")</f>
        <v>147.386</v>
      </c>
      <c r="AS89">
        <f ca="1">IFERROR(IF(0=LEN(ReferenceData!$AS$89),"",ReferenceData!$AS$89),"")</f>
        <v>156.15</v>
      </c>
      <c r="AT89">
        <f ca="1">IFERROR(IF(0=LEN(ReferenceData!$AT$89),"",ReferenceData!$AT$89),"")</f>
        <v>147.31800000000001</v>
      </c>
      <c r="AU89">
        <f ca="1">IFERROR(IF(0=LEN(ReferenceData!$AU$89),"",ReferenceData!$AU$89),"")</f>
        <v>119.86799999999999</v>
      </c>
      <c r="AV89">
        <f ca="1">IFERROR(IF(0=LEN(ReferenceData!$AV$89),"",ReferenceData!$AV$89),"")</f>
        <v>133.47399999999999</v>
      </c>
      <c r="AW89">
        <f ca="1">IFERROR(IF(0=LEN(ReferenceData!$AW$89),"",ReferenceData!$AW$89),"")</f>
        <v>149.91300000000001</v>
      </c>
      <c r="AX89">
        <f ca="1">IFERROR(IF(0=LEN(ReferenceData!$AX$89),"",ReferenceData!$AX$89),"")</f>
        <v>128.12700000000001</v>
      </c>
      <c r="AY89">
        <f ca="1">IFERROR(IF(0=LEN(ReferenceData!$AY$89),"",ReferenceData!$AY$89),"")</f>
        <v>194.29300000000001</v>
      </c>
      <c r="AZ89">
        <f ca="1">IFERROR(IF(0=LEN(ReferenceData!$AZ$89),"",ReferenceData!$AZ$89),"")</f>
        <v>87.525999999999996</v>
      </c>
      <c r="BA89">
        <f ca="1">IFERROR(IF(0=LEN(ReferenceData!$BA$89),"",ReferenceData!$BA$89),"")</f>
        <v>140.34700000000001</v>
      </c>
      <c r="BB89">
        <f ca="1">IFERROR(IF(0=LEN(ReferenceData!$BB$89),"",ReferenceData!$BB$89),"")</f>
        <v>114.816</v>
      </c>
      <c r="BC89">
        <f ca="1">IFERROR(IF(0=LEN(ReferenceData!$BC$89),"",ReferenceData!$BC$89),"")</f>
        <v>80.003</v>
      </c>
      <c r="BD89">
        <f ca="1">IFERROR(IF(0=LEN(ReferenceData!$BD$89),"",ReferenceData!$BD$89),"")</f>
        <v>99.963999999999999</v>
      </c>
      <c r="BE89">
        <f ca="1">IFERROR(IF(0=LEN(ReferenceData!$BE$89),"",ReferenceData!$BE$89),"")</f>
        <v>116.46599999999999</v>
      </c>
      <c r="BF89">
        <f ca="1">IFERROR(IF(0=LEN(ReferenceData!$BF$89),"",ReferenceData!$BF$89),"")</f>
        <v>108.56100000000001</v>
      </c>
      <c r="BG89">
        <f ca="1">IFERROR(IF(0=LEN(ReferenceData!$BG$89),"",ReferenceData!$BG$89),"")</f>
        <v>104.339</v>
      </c>
      <c r="BH89">
        <f ca="1">IFERROR(IF(0=LEN(ReferenceData!$BH$89),"",ReferenceData!$BH$89),"")</f>
        <v>102.08199999999999</v>
      </c>
      <c r="BI89">
        <f ca="1">IFERROR(IF(0=LEN(ReferenceData!$BI$89),"",ReferenceData!$BI$89),"")</f>
        <v>97.043000000000006</v>
      </c>
      <c r="BJ89">
        <f ca="1">IFERROR(IF(0=LEN(ReferenceData!$BJ$89),"",ReferenceData!$BJ$89),"")</f>
        <v>102.60299999999999</v>
      </c>
      <c r="BK89" t="str">
        <f ca="1">IFERROR(IF(0=LEN(ReferenceData!$BK$89),"",ReferenceData!$BK$89),"")</f>
        <v/>
      </c>
      <c r="BL89">
        <f ca="1">IFERROR(IF(0=LEN(ReferenceData!$BL$89),"",ReferenceData!$BL$89),"")</f>
        <v>97.18400192</v>
      </c>
      <c r="BM89">
        <f ca="1">IFERROR(IF(0=LEN(ReferenceData!$BM$89),"",ReferenceData!$BM$89),"")</f>
        <v>86.727999999999994</v>
      </c>
    </row>
    <row r="90" spans="1:65">
      <c r="A90" t="str">
        <f>IFERROR(IF(0=LEN(ReferenceData!$A$90),"",ReferenceData!$A$90),"")</f>
        <v xml:space="preserve">    National Retail Properties Inc</v>
      </c>
      <c r="B90" t="str">
        <f>IFERROR(IF(0=LEN(ReferenceData!$B$90),"",ReferenceData!$B$90),"")</f>
        <v>NNN US Equity</v>
      </c>
      <c r="C90" t="str">
        <f>IFERROR(IF(0=LEN(ReferenceData!$C$90),"",ReferenceData!$C$90),"")</f>
        <v>RR009</v>
      </c>
      <c r="D90" t="str">
        <f>IFERROR(IF(0=LEN(ReferenceData!$D$90),"",ReferenceData!$D$90),"")</f>
        <v>EBITDA</v>
      </c>
      <c r="E90" t="str">
        <f>IFERROR(IF(0=LEN(ReferenceData!$E$90),"",ReferenceData!$E$90),"")</f>
        <v>动态</v>
      </c>
      <c r="F90" t="str">
        <f ca="1">IFERROR(IF(0=LEN(ReferenceData!$F$90),"",ReferenceData!$F$90),"")</f>
        <v/>
      </c>
      <c r="G90">
        <f ca="1">IFERROR(IF(0=LEN(ReferenceData!$G$90),"",ReferenceData!$G$90),"")</f>
        <v>127.169</v>
      </c>
      <c r="H90">
        <f ca="1">IFERROR(IF(0=LEN(ReferenceData!$H$90),"",ReferenceData!$H$90),"")</f>
        <v>134.49299999999999</v>
      </c>
      <c r="I90">
        <f ca="1">IFERROR(IF(0=LEN(ReferenceData!$I$90),"",ReferenceData!$I$90),"")</f>
        <v>123.917</v>
      </c>
      <c r="J90">
        <f ca="1">IFERROR(IF(0=LEN(ReferenceData!$J$90),"",ReferenceData!$J$90),"")</f>
        <v>125.64400000000001</v>
      </c>
      <c r="K90">
        <f ca="1">IFERROR(IF(0=LEN(ReferenceData!$K$90),"",ReferenceData!$K$90),"")</f>
        <v>124.898</v>
      </c>
      <c r="L90">
        <f ca="1">IFERROR(IF(0=LEN(ReferenceData!$L$90),"",ReferenceData!$L$90),"")</f>
        <v>109.58799999999999</v>
      </c>
      <c r="M90">
        <f ca="1">IFERROR(IF(0=LEN(ReferenceData!$M$90),"",ReferenceData!$M$90),"")</f>
        <v>111.533</v>
      </c>
      <c r="N90">
        <f ca="1">IFERROR(IF(0=LEN(ReferenceData!$N$90),"",ReferenceData!$N$90),"")</f>
        <v>112.152</v>
      </c>
      <c r="O90">
        <f ca="1">IFERROR(IF(0=LEN(ReferenceData!$O$90),"",ReferenceData!$O$90),"")</f>
        <v>110.386</v>
      </c>
      <c r="P90">
        <f ca="1">IFERROR(IF(0=LEN(ReferenceData!$P$90),"",ReferenceData!$P$90),"")</f>
        <v>109.66800000000001</v>
      </c>
      <c r="Q90">
        <f ca="1">IFERROR(IF(0=LEN(ReferenceData!$Q$90),"",ReferenceData!$Q$90),"")</f>
        <v>101.60599999999999</v>
      </c>
      <c r="R90">
        <f ca="1">IFERROR(IF(0=LEN(ReferenceData!$R$90),"",ReferenceData!$R$90),"")</f>
        <v>101.795</v>
      </c>
      <c r="S90">
        <f ca="1">IFERROR(IF(0=LEN(ReferenceData!$S$90),"",ReferenceData!$S$90),"")</f>
        <v>102.16800000000001</v>
      </c>
      <c r="T90">
        <f ca="1">IFERROR(IF(0=LEN(ReferenceData!$T$90),"",ReferenceData!$T$90),"")</f>
        <v>96.171000000000006</v>
      </c>
      <c r="U90">
        <f ca="1">IFERROR(IF(0=LEN(ReferenceData!$U$90),"",ReferenceData!$U$90),"")</f>
        <v>92.626999999999995</v>
      </c>
      <c r="V90">
        <f ca="1">IFERROR(IF(0=LEN(ReferenceData!$V$90),"",ReferenceData!$V$90),"")</f>
        <v>90.254999999999995</v>
      </c>
      <c r="W90">
        <f ca="1">IFERROR(IF(0=LEN(ReferenceData!$W$90),"",ReferenceData!$W$90),"")</f>
        <v>89.846000000000004</v>
      </c>
      <c r="X90">
        <f ca="1">IFERROR(IF(0=LEN(ReferenceData!$X$90),"",ReferenceData!$X$90),"")</f>
        <v>88.8</v>
      </c>
      <c r="Y90">
        <f ca="1">IFERROR(IF(0=LEN(ReferenceData!$Y$90),"",ReferenceData!$Y$90),"")</f>
        <v>82.325000000000003</v>
      </c>
      <c r="Z90">
        <f ca="1">IFERROR(IF(0=LEN(ReferenceData!$Z$90),"",ReferenceData!$Z$90),"")</f>
        <v>77.474000000000004</v>
      </c>
      <c r="AA90">
        <f ca="1">IFERROR(IF(0=LEN(ReferenceData!$AA$90),"",ReferenceData!$AA$90),"")</f>
        <v>75.622</v>
      </c>
      <c r="AB90">
        <f ca="1">IFERROR(IF(0=LEN(ReferenceData!$AB$90),"",ReferenceData!$AB$90),"")</f>
        <v>68.974000000000004</v>
      </c>
      <c r="AC90">
        <f ca="1">IFERROR(IF(0=LEN(ReferenceData!$AC$90),"",ReferenceData!$AC$90),"")</f>
        <v>68.338999999999999</v>
      </c>
      <c r="AD90">
        <f ca="1">IFERROR(IF(0=LEN(ReferenceData!$AD$90),"",ReferenceData!$AD$90),"")</f>
        <v>65.83</v>
      </c>
      <c r="AE90">
        <f ca="1">IFERROR(IF(0=LEN(ReferenceData!$AE$90),"",ReferenceData!$AE$90),"")</f>
        <v>61.462000000000003</v>
      </c>
      <c r="AF90">
        <f ca="1">IFERROR(IF(0=LEN(ReferenceData!$AF$90),"",ReferenceData!$AF$90),"")</f>
        <v>56.341999999999999</v>
      </c>
      <c r="AG90">
        <f ca="1">IFERROR(IF(0=LEN(ReferenceData!$AG$90),"",ReferenceData!$AG$90),"")</f>
        <v>52.043999999999997</v>
      </c>
      <c r="AH90">
        <f ca="1">IFERROR(IF(0=LEN(ReferenceData!$AH$90),"",ReferenceData!$AH$90),"")</f>
        <v>51.331000000000003</v>
      </c>
      <c r="AI90">
        <f ca="1">IFERROR(IF(0=LEN(ReferenceData!$AI$90),"",ReferenceData!$AI$90),"")</f>
        <v>43.116</v>
      </c>
      <c r="AJ90">
        <f ca="1">IFERROR(IF(0=LEN(ReferenceData!$AJ$90),"",ReferenceData!$AJ$90),"")</f>
        <v>48.332000000000001</v>
      </c>
      <c r="AK90">
        <f ca="1">IFERROR(IF(0=LEN(ReferenceData!$AK$90),"",ReferenceData!$AK$90),"")</f>
        <v>47.981000000000002</v>
      </c>
      <c r="AL90">
        <f ca="1">IFERROR(IF(0=LEN(ReferenceData!$AL$90),"",ReferenceData!$AL$90),"")</f>
        <v>43.863</v>
      </c>
      <c r="AM90">
        <f ca="1">IFERROR(IF(0=LEN(ReferenceData!$AM$90),"",ReferenceData!$AM$90),"")</f>
        <v>21.271000000000001</v>
      </c>
      <c r="AN90">
        <f ca="1">IFERROR(IF(0=LEN(ReferenceData!$AN$90),"",ReferenceData!$AN$90),"")</f>
        <v>48.814999999999998</v>
      </c>
      <c r="AO90">
        <f ca="1">IFERROR(IF(0=LEN(ReferenceData!$AO$90),"",ReferenceData!$AO$90),"")</f>
        <v>49.271999999999998</v>
      </c>
      <c r="AP90">
        <f ca="1">IFERROR(IF(0=LEN(ReferenceData!$AP$90),"",ReferenceData!$AP$90),"")</f>
        <v>49.030999999999999</v>
      </c>
      <c r="AQ90">
        <f ca="1">IFERROR(IF(0=LEN(ReferenceData!$AQ$90),"",ReferenceData!$AQ$90),"")</f>
        <v>48.337000000000003</v>
      </c>
      <c r="AR90">
        <f ca="1">IFERROR(IF(0=LEN(ReferenceData!$AR$90),"",ReferenceData!$AR$90),"")</f>
        <v>51.1</v>
      </c>
      <c r="AS90">
        <f ca="1">IFERROR(IF(0=LEN(ReferenceData!$AS$90),"",ReferenceData!$AS$90),"")</f>
        <v>48.322000000000003</v>
      </c>
      <c r="AT90">
        <f ca="1">IFERROR(IF(0=LEN(ReferenceData!$AT$90),"",ReferenceData!$AT$90),"")</f>
        <v>44.308</v>
      </c>
      <c r="AU90">
        <f ca="1">IFERROR(IF(0=LEN(ReferenceData!$AU$90),"",ReferenceData!$AU$90),"")</f>
        <v>38.786999999999999</v>
      </c>
      <c r="AV90">
        <f ca="1">IFERROR(IF(0=LEN(ReferenceData!$AV$90),"",ReferenceData!$AV$90),"")</f>
        <v>39.807000000000002</v>
      </c>
      <c r="AW90">
        <f ca="1">IFERROR(IF(0=LEN(ReferenceData!$AW$90),"",ReferenceData!$AW$90),"")</f>
        <v>38.326001169999998</v>
      </c>
      <c r="AX90">
        <f ca="1">IFERROR(IF(0=LEN(ReferenceData!$AX$90),"",ReferenceData!$AX$90),"")</f>
        <v>33.444000000000003</v>
      </c>
      <c r="AY90">
        <f ca="1">IFERROR(IF(0=LEN(ReferenceData!$AY$90),"",ReferenceData!$AY$90),"")</f>
        <v>29.142000199999998</v>
      </c>
      <c r="AZ90">
        <f ca="1">IFERROR(IF(0=LEN(ReferenceData!$AZ$90),"",ReferenceData!$AZ$90),"")</f>
        <v>30.053000000000001</v>
      </c>
      <c r="BA90">
        <f ca="1">IFERROR(IF(0=LEN(ReferenceData!$BA$90),"",ReferenceData!$BA$90),"")</f>
        <v>27.70200109</v>
      </c>
      <c r="BB90">
        <f ca="1">IFERROR(IF(0=LEN(ReferenceData!$BB$90),"",ReferenceData!$BB$90),"")</f>
        <v>29.443999999999999</v>
      </c>
      <c r="BC90">
        <f ca="1">IFERROR(IF(0=LEN(ReferenceData!$BC$90),"",ReferenceData!$BC$90),"")</f>
        <v>23.295000550000001</v>
      </c>
      <c r="BD90">
        <f ca="1">IFERROR(IF(0=LEN(ReferenceData!$BD$90),"",ReferenceData!$BD$90),"")</f>
        <v>26.596000669999999</v>
      </c>
      <c r="BE90">
        <f ca="1">IFERROR(IF(0=LEN(ReferenceData!$BE$90),"",ReferenceData!$BE$90),"")</f>
        <v>25.385999680000001</v>
      </c>
      <c r="BF90">
        <f ca="1">IFERROR(IF(0=LEN(ReferenceData!$BF$90),"",ReferenceData!$BF$90),"")</f>
        <v>22.385999999999999</v>
      </c>
      <c r="BG90">
        <f ca="1">IFERROR(IF(0=LEN(ReferenceData!$BG$90),"",ReferenceData!$BG$90),"")</f>
        <v>23.143000000000001</v>
      </c>
      <c r="BH90">
        <f ca="1">IFERROR(IF(0=LEN(ReferenceData!$BH$90),"",ReferenceData!$BH$90),"")</f>
        <v>23.739000000000001</v>
      </c>
      <c r="BI90">
        <f ca="1">IFERROR(IF(0=LEN(ReferenceData!$BI$90),"",ReferenceData!$BI$90),"")</f>
        <v>20.49</v>
      </c>
      <c r="BJ90">
        <f ca="1">IFERROR(IF(0=LEN(ReferenceData!$BJ$90),"",ReferenceData!$BJ$90),"")</f>
        <v>23.625</v>
      </c>
      <c r="BK90">
        <f ca="1">IFERROR(IF(0=LEN(ReferenceData!$BK$90),"",ReferenceData!$BK$90),"")</f>
        <v>23.456</v>
      </c>
      <c r="BL90">
        <f ca="1">IFERROR(IF(0=LEN(ReferenceData!$BL$90),"",ReferenceData!$BL$90),"")</f>
        <v>19.996999979999998</v>
      </c>
      <c r="BM90">
        <f ca="1">IFERROR(IF(0=LEN(ReferenceData!$BM$90),"",ReferenceData!$BM$90),"")</f>
        <v>17.507000000000001</v>
      </c>
    </row>
    <row r="91" spans="1:65">
      <c r="A91" t="str">
        <f>IFERROR(IF(0=LEN(ReferenceData!$A$91),"",ReferenceData!$A$91),"")</f>
        <v xml:space="preserve">    Realty Income Corp</v>
      </c>
      <c r="B91" t="str">
        <f>IFERROR(IF(0=LEN(ReferenceData!$B$91),"",ReferenceData!$B$91),"")</f>
        <v>O US Equity</v>
      </c>
      <c r="C91" t="str">
        <f>IFERROR(IF(0=LEN(ReferenceData!$C$91),"",ReferenceData!$C$91),"")</f>
        <v>RR009</v>
      </c>
      <c r="D91" t="str">
        <f>IFERROR(IF(0=LEN(ReferenceData!$D$91),"",ReferenceData!$D$91),"")</f>
        <v>EBITDA</v>
      </c>
      <c r="E91" t="str">
        <f>IFERROR(IF(0=LEN(ReferenceData!$E$91),"",ReferenceData!$E$91),"")</f>
        <v>动态</v>
      </c>
      <c r="F91" t="str">
        <f ca="1">IFERROR(IF(0=LEN(ReferenceData!$F$91),"",ReferenceData!$F$91),"")</f>
        <v/>
      </c>
      <c r="G91">
        <f ca="1">IFERROR(IF(0=LEN(ReferenceData!$G$91),"",ReferenceData!$G$91),"")</f>
        <v>272.10399999999998</v>
      </c>
      <c r="H91">
        <f ca="1">IFERROR(IF(0=LEN(ReferenceData!$H$91),"",ReferenceData!$H$91),"")</f>
        <v>275.40699999999998</v>
      </c>
      <c r="I91">
        <f ca="1">IFERROR(IF(0=LEN(ReferenceData!$I$91),"",ReferenceData!$I$91),"")</f>
        <v>265.62900000000002</v>
      </c>
      <c r="J91">
        <f ca="1">IFERROR(IF(0=LEN(ReferenceData!$J$91),"",ReferenceData!$J$91),"")</f>
        <v>259.952</v>
      </c>
      <c r="K91">
        <f ca="1">IFERROR(IF(0=LEN(ReferenceData!$K$91),"",ReferenceData!$K$91),"")</f>
        <v>253.16300000000001</v>
      </c>
      <c r="L91">
        <f ca="1">IFERROR(IF(0=LEN(ReferenceData!$L$91),"",ReferenceData!$L$91),"")</f>
        <v>240.63</v>
      </c>
      <c r="M91">
        <f ca="1">IFERROR(IF(0=LEN(ReferenceData!$M$91),"",ReferenceData!$M$91),"")</f>
        <v>236.114</v>
      </c>
      <c r="N91">
        <f ca="1">IFERROR(IF(0=LEN(ReferenceData!$N$91),"",ReferenceData!$N$91),"")</f>
        <v>237.77</v>
      </c>
      <c r="O91">
        <f ca="1">IFERROR(IF(0=LEN(ReferenceData!$O$91),"",ReferenceData!$O$91),"")</f>
        <v>236.42699999999999</v>
      </c>
      <c r="P91">
        <f ca="1">IFERROR(IF(0=LEN(ReferenceData!$P$91),"",ReferenceData!$P$91),"")</f>
        <v>230.62200000000001</v>
      </c>
      <c r="Q91">
        <f ca="1">IFERROR(IF(0=LEN(ReferenceData!$Q$91),"",ReferenceData!$Q$91),"")</f>
        <v>226.31399999999999</v>
      </c>
      <c r="R91">
        <f ca="1">IFERROR(IF(0=LEN(ReferenceData!$R$91),"",ReferenceData!$R$91),"")</f>
        <v>220.029</v>
      </c>
      <c r="S91">
        <f ca="1">IFERROR(IF(0=LEN(ReferenceData!$S$91),"",ReferenceData!$S$91),"")</f>
        <v>202.48699999999999</v>
      </c>
      <c r="T91">
        <f ca="1">IFERROR(IF(0=LEN(ReferenceData!$T$91),"",ReferenceData!$T$91),"")</f>
        <v>219.571</v>
      </c>
      <c r="U91">
        <f ca="1">IFERROR(IF(0=LEN(ReferenceData!$U$91),"",ReferenceData!$U$91),"")</f>
        <v>206.93199999999999</v>
      </c>
      <c r="V91">
        <f ca="1">IFERROR(IF(0=LEN(ReferenceData!$V$91),"",ReferenceData!$V$91),"")</f>
        <v>198.10900000000001</v>
      </c>
      <c r="W91">
        <f ca="1">IFERROR(IF(0=LEN(ReferenceData!$W$91),"",ReferenceData!$W$91),"")</f>
        <v>186.441</v>
      </c>
      <c r="X91">
        <f ca="1">IFERROR(IF(0=LEN(ReferenceData!$X$91),"",ReferenceData!$X$91),"")</f>
        <v>176.73400000000001</v>
      </c>
      <c r="Y91">
        <f ca="1">IFERROR(IF(0=LEN(ReferenceData!$Y$91),"",ReferenceData!$Y$91),"")</f>
        <v>165.99600000000001</v>
      </c>
      <c r="Z91">
        <f ca="1">IFERROR(IF(0=LEN(ReferenceData!$Z$91),"",ReferenceData!$Z$91),"")</f>
        <v>142.292</v>
      </c>
      <c r="AA91">
        <f ca="1">IFERROR(IF(0=LEN(ReferenceData!$AA$91),"",ReferenceData!$AA$91),"")</f>
        <v>113.863</v>
      </c>
      <c r="AB91">
        <f ca="1">IFERROR(IF(0=LEN(ReferenceData!$AB$91),"",ReferenceData!$AB$91),"")</f>
        <v>100.483</v>
      </c>
      <c r="AC91">
        <f ca="1">IFERROR(IF(0=LEN(ReferenceData!$AC$91),"",ReferenceData!$AC$91),"")</f>
        <v>101.887</v>
      </c>
      <c r="AD91">
        <f ca="1">IFERROR(IF(0=LEN(ReferenceData!$AD$91),"",ReferenceData!$AD$91),"")</f>
        <v>100.982</v>
      </c>
      <c r="AE91">
        <f ca="1">IFERROR(IF(0=LEN(ReferenceData!$AE$91),"",ReferenceData!$AE$91),"")</f>
        <v>98.078000000000003</v>
      </c>
      <c r="AF91">
        <f ca="1">IFERROR(IF(0=LEN(ReferenceData!$AF$91),"",ReferenceData!$AF$91),"")</f>
        <v>97.370999999999995</v>
      </c>
      <c r="AG91">
        <f ca="1">IFERROR(IF(0=LEN(ReferenceData!$AG$91),"",ReferenceData!$AG$91),"")</f>
        <v>91.858999999999995</v>
      </c>
      <c r="AH91">
        <f ca="1">IFERROR(IF(0=LEN(ReferenceData!$AH$91),"",ReferenceData!$AH$91),"")</f>
        <v>87.709000000000003</v>
      </c>
      <c r="AI91">
        <f ca="1">IFERROR(IF(0=LEN(ReferenceData!$AI$91),"",ReferenceData!$AI$91),"")</f>
        <v>81.293000000000006</v>
      </c>
      <c r="AJ91">
        <f ca="1">IFERROR(IF(0=LEN(ReferenceData!$AJ$91),"",ReferenceData!$AJ$91),"")</f>
        <v>78.849999999999994</v>
      </c>
      <c r="AK91">
        <f ca="1">IFERROR(IF(0=LEN(ReferenceData!$AK$91),"",ReferenceData!$AK$91),"")</f>
        <v>74.052999999999997</v>
      </c>
      <c r="AL91">
        <f ca="1">IFERROR(IF(0=LEN(ReferenceData!$AL$91),"",ReferenceData!$AL$91),"")</f>
        <v>73.936000000000007</v>
      </c>
      <c r="AM91">
        <f ca="1">IFERROR(IF(0=LEN(ReferenceData!$AM$91),"",ReferenceData!$AM$91),"")</f>
        <v>74.132000000000005</v>
      </c>
      <c r="AN91">
        <f ca="1">IFERROR(IF(0=LEN(ReferenceData!$AN$91),"",ReferenceData!$AN$91),"")</f>
        <v>74.852000000000004</v>
      </c>
      <c r="AO91">
        <f ca="1">IFERROR(IF(0=LEN(ReferenceData!$AO$91),"",ReferenceData!$AO$91),"")</f>
        <v>74.492999999999995</v>
      </c>
      <c r="AP91">
        <f ca="1">IFERROR(IF(0=LEN(ReferenceData!$AP$91),"",ReferenceData!$AP$91),"")</f>
        <v>74.441999999999993</v>
      </c>
      <c r="AQ91">
        <f ca="1">IFERROR(IF(0=LEN(ReferenceData!$AQ$91),"",ReferenceData!$AQ$91),"")</f>
        <v>80.804000000000002</v>
      </c>
      <c r="AR91">
        <f ca="1">IFERROR(IF(0=LEN(ReferenceData!$AR$91),"",ReferenceData!$AR$91),"")</f>
        <v>71.757000000000005</v>
      </c>
      <c r="AS91">
        <f ca="1">IFERROR(IF(0=LEN(ReferenceData!$AS$91),"",ReferenceData!$AS$91),"")</f>
        <v>78.022999999999996</v>
      </c>
      <c r="AT91">
        <f ca="1">IFERROR(IF(0=LEN(ReferenceData!$AT$91),"",ReferenceData!$AT$91),"")</f>
        <v>76.813000000000002</v>
      </c>
      <c r="AU91">
        <f ca="1">IFERROR(IF(0=LEN(ReferenceData!$AU$91),"",ReferenceData!$AU$91),"")</f>
        <v>75.120999999999995</v>
      </c>
      <c r="AV91">
        <f ca="1">IFERROR(IF(0=LEN(ReferenceData!$AV$91),"",ReferenceData!$AV$91),"")</f>
        <v>67.118000030000005</v>
      </c>
      <c r="AW91">
        <f ca="1">IFERROR(IF(0=LEN(ReferenceData!$AW$91),"",ReferenceData!$AW$91),"")</f>
        <v>64.854998589999994</v>
      </c>
      <c r="AX91">
        <f ca="1">IFERROR(IF(0=LEN(ReferenceData!$AX$91),"",ReferenceData!$AX$91),"")</f>
        <v>66.200999999999993</v>
      </c>
      <c r="AY91">
        <f ca="1">IFERROR(IF(0=LEN(ReferenceData!$AY$91),"",ReferenceData!$AY$91),"")</f>
        <v>63.664000000000001</v>
      </c>
      <c r="AZ91">
        <f ca="1">IFERROR(IF(0=LEN(ReferenceData!$AZ$91),"",ReferenceData!$AZ$91),"")</f>
        <v>54.872999999999998</v>
      </c>
      <c r="BA91">
        <f ca="1">IFERROR(IF(0=LEN(ReferenceData!$BA$91),"",ReferenceData!$BA$91),"")</f>
        <v>52.43400097</v>
      </c>
      <c r="BB91">
        <f ca="1">IFERROR(IF(0=LEN(ReferenceData!$BB$91),"",ReferenceData!$BB$91),"")</f>
        <v>50.651000000000003</v>
      </c>
      <c r="BC91">
        <f ca="1">IFERROR(IF(0=LEN(ReferenceData!$BC$91),"",ReferenceData!$BC$91),"")</f>
        <v>49.564</v>
      </c>
      <c r="BD91">
        <f ca="1">IFERROR(IF(0=LEN(ReferenceData!$BD$91),"",ReferenceData!$BD$91),"")</f>
        <v>44.256999020000002</v>
      </c>
      <c r="BE91">
        <f ca="1">IFERROR(IF(0=LEN(ReferenceData!$BE$91),"",ReferenceData!$BE$91),"")</f>
        <v>42.95200062</v>
      </c>
      <c r="BF91">
        <f ca="1">IFERROR(IF(0=LEN(ReferenceData!$BF$91),"",ReferenceData!$BF$91),"")</f>
        <v>42.26200008</v>
      </c>
      <c r="BG91">
        <f ca="1">IFERROR(IF(0=LEN(ReferenceData!$BG$91),"",ReferenceData!$BG$91),"")</f>
        <v>40.572000000000003</v>
      </c>
      <c r="BH91">
        <f ca="1">IFERROR(IF(0=LEN(ReferenceData!$BH$91),"",ReferenceData!$BH$91),"")</f>
        <v>40.340000000000003</v>
      </c>
      <c r="BI91">
        <f ca="1">IFERROR(IF(0=LEN(ReferenceData!$BI$91),"",ReferenceData!$BI$91),"")</f>
        <v>50.466000000000001</v>
      </c>
      <c r="BJ91">
        <f ca="1">IFERROR(IF(0=LEN(ReferenceData!$BJ$91),"",ReferenceData!$BJ$91),"")</f>
        <v>38.310000420000001</v>
      </c>
      <c r="BK91">
        <f ca="1">IFERROR(IF(0=LEN(ReferenceData!$BK$91),"",ReferenceData!$BK$91),"")</f>
        <v>36.535998820000003</v>
      </c>
      <c r="BL91">
        <f ca="1">IFERROR(IF(0=LEN(ReferenceData!$BL$91),"",ReferenceData!$BL$91),"")</f>
        <v>33.024000170000001</v>
      </c>
      <c r="BM91">
        <f ca="1">IFERROR(IF(0=LEN(ReferenceData!$BM$91),"",ReferenceData!$BM$91),"")</f>
        <v>32.027999399999999</v>
      </c>
    </row>
    <row r="92" spans="1:65">
      <c r="A92" t="str">
        <f>IFERROR(IF(0=LEN(ReferenceData!$A$92),"",ReferenceData!$A$92),"")</f>
        <v xml:space="preserve">    Regency Centers Corp</v>
      </c>
      <c r="B92" t="str">
        <f>IFERROR(IF(0=LEN(ReferenceData!$B$92),"",ReferenceData!$B$92),"")</f>
        <v>REG US Equity</v>
      </c>
      <c r="C92" t="str">
        <f>IFERROR(IF(0=LEN(ReferenceData!$C$92),"",ReferenceData!$C$92),"")</f>
        <v>RR009</v>
      </c>
      <c r="D92" t="str">
        <f>IFERROR(IF(0=LEN(ReferenceData!$D$92),"",ReferenceData!$D$92),"")</f>
        <v>EBITDA</v>
      </c>
      <c r="E92" t="str">
        <f>IFERROR(IF(0=LEN(ReferenceData!$E$92),"",ReferenceData!$E$92),"")</f>
        <v>动态</v>
      </c>
      <c r="F92" t="str">
        <f ca="1">IFERROR(IF(0=LEN(ReferenceData!$F$92),"",ReferenceData!$F$92),"")</f>
        <v/>
      </c>
      <c r="G92">
        <f ca="1">IFERROR(IF(0=LEN(ReferenceData!$G$92),"",ReferenceData!$G$92),"")</f>
        <v>168.952</v>
      </c>
      <c r="H92">
        <f ca="1">IFERROR(IF(0=LEN(ReferenceData!$H$92),"",ReferenceData!$H$92),"")</f>
        <v>176.411</v>
      </c>
      <c r="I92">
        <f ca="1">IFERROR(IF(0=LEN(ReferenceData!$I$92),"",ReferenceData!$I$92),"")</f>
        <v>172.96799999999999</v>
      </c>
      <c r="J92">
        <f ca="1">IFERROR(IF(0=LEN(ReferenceData!$J$92),"",ReferenceData!$J$92),"")</f>
        <v>55.732999999999997</v>
      </c>
      <c r="K92">
        <f ca="1">IFERROR(IF(0=LEN(ReferenceData!$K$92),"",ReferenceData!$K$92),"")</f>
        <v>92.686999999999998</v>
      </c>
      <c r="L92">
        <f ca="1">IFERROR(IF(0=LEN(ReferenceData!$L$92),"",ReferenceData!$L$92),"")</f>
        <v>95.245999999999995</v>
      </c>
      <c r="M92">
        <f ca="1">IFERROR(IF(0=LEN(ReferenceData!$M$92),"",ReferenceData!$M$92),"")</f>
        <v>93.144000000000005</v>
      </c>
      <c r="N92">
        <f ca="1">IFERROR(IF(0=LEN(ReferenceData!$N$92),"",ReferenceData!$N$92),"")</f>
        <v>92.468000000000004</v>
      </c>
      <c r="O92">
        <f ca="1">IFERROR(IF(0=LEN(ReferenceData!$O$92),"",ReferenceData!$O$92),"")</f>
        <v>86.91</v>
      </c>
      <c r="P92">
        <f ca="1">IFERROR(IF(0=LEN(ReferenceData!$P$92),"",ReferenceData!$P$92),"")</f>
        <v>89.632000000000005</v>
      </c>
      <c r="Q92">
        <f ca="1">IFERROR(IF(0=LEN(ReferenceData!$Q$92),"",ReferenceData!$Q$92),"")</f>
        <v>88.4</v>
      </c>
      <c r="R92">
        <f ca="1">IFERROR(IF(0=LEN(ReferenceData!$R$92),"",ReferenceData!$R$92),"")</f>
        <v>86.552000000000007</v>
      </c>
      <c r="S92">
        <f ca="1">IFERROR(IF(0=LEN(ReferenceData!$S$92),"",ReferenceData!$S$92),"")</f>
        <v>82.825999999999993</v>
      </c>
      <c r="T92">
        <f ca="1">IFERROR(IF(0=LEN(ReferenceData!$T$92),"",ReferenceData!$T$92),"")</f>
        <v>84.063000000000002</v>
      </c>
      <c r="U92">
        <f ca="1">IFERROR(IF(0=LEN(ReferenceData!$U$92),"",ReferenceData!$U$92),"")</f>
        <v>83.477999999999994</v>
      </c>
      <c r="V92">
        <f ca="1">IFERROR(IF(0=LEN(ReferenceData!$V$92),"",ReferenceData!$V$92),"")</f>
        <v>81.605000000000004</v>
      </c>
      <c r="W92">
        <f ca="1">IFERROR(IF(0=LEN(ReferenceData!$W$92),"",ReferenceData!$W$92),"")</f>
        <v>75.768000000000001</v>
      </c>
      <c r="X92">
        <f ca="1">IFERROR(IF(0=LEN(ReferenceData!$X$92),"",ReferenceData!$X$92),"")</f>
        <v>68.991</v>
      </c>
      <c r="Y92">
        <f ca="1">IFERROR(IF(0=LEN(ReferenceData!$Y$92),"",ReferenceData!$Y$92),"")</f>
        <v>75.855000000000004</v>
      </c>
      <c r="Z92">
        <f ca="1">IFERROR(IF(0=LEN(ReferenceData!$Z$92),"",ReferenceData!$Z$92),"")</f>
        <v>72.16</v>
      </c>
      <c r="AA92">
        <f ca="1">IFERROR(IF(0=LEN(ReferenceData!$AA$92),"",ReferenceData!$AA$92),"")</f>
        <v>69.974000000000004</v>
      </c>
      <c r="AB92">
        <f ca="1">IFERROR(IF(0=LEN(ReferenceData!$AB$92),"",ReferenceData!$AB$92),"")</f>
        <v>71.731999999999999</v>
      </c>
      <c r="AC92">
        <f ca="1">IFERROR(IF(0=LEN(ReferenceData!$AC$92),"",ReferenceData!$AC$92),"")</f>
        <v>81.81</v>
      </c>
      <c r="AD92">
        <f ca="1">IFERROR(IF(0=LEN(ReferenceData!$AD$92),"",ReferenceData!$AD$92),"")</f>
        <v>75.582999999999998</v>
      </c>
      <c r="AE92">
        <f ca="1">IFERROR(IF(0=LEN(ReferenceData!$AE$92),"",ReferenceData!$AE$92),"")</f>
        <v>74.61</v>
      </c>
      <c r="AF92">
        <f ca="1">IFERROR(IF(0=LEN(ReferenceData!$AF$92),"",ReferenceData!$AF$92),"")</f>
        <v>79.055000000000007</v>
      </c>
      <c r="AG92">
        <f ca="1">IFERROR(IF(0=LEN(ReferenceData!$AG$92),"",ReferenceData!$AG$92),"")</f>
        <v>77.105000000000004</v>
      </c>
      <c r="AH92">
        <f ca="1">IFERROR(IF(0=LEN(ReferenceData!$AH$92),"",ReferenceData!$AH$92),"")</f>
        <v>75.046000000000006</v>
      </c>
      <c r="AI92">
        <f ca="1">IFERROR(IF(0=LEN(ReferenceData!$AI$92),"",ReferenceData!$AI$92),"")</f>
        <v>74.039702000000005</v>
      </c>
      <c r="AJ92">
        <f ca="1">IFERROR(IF(0=LEN(ReferenceData!$AJ$92),"",ReferenceData!$AJ$92),"")</f>
        <v>69.765000000000001</v>
      </c>
      <c r="AK92">
        <f ca="1">IFERROR(IF(0=LEN(ReferenceData!$AK$92),"",ReferenceData!$AK$92),"")</f>
        <v>74.968999999999994</v>
      </c>
      <c r="AL92">
        <f ca="1">IFERROR(IF(0=LEN(ReferenceData!$AL$92),"",ReferenceData!$AL$92),"")</f>
        <v>73.828000000000003</v>
      </c>
      <c r="AM92">
        <f ca="1">IFERROR(IF(0=LEN(ReferenceData!$AM$92),"",ReferenceData!$AM$92),"")</f>
        <v>70.285887000000002</v>
      </c>
      <c r="AN92">
        <f ca="1">IFERROR(IF(0=LEN(ReferenceData!$AN$92),"",ReferenceData!$AN$92),"")</f>
        <v>84.245999999999995</v>
      </c>
      <c r="AO92">
        <f ca="1">IFERROR(IF(0=LEN(ReferenceData!$AO$92),"",ReferenceData!$AO$92),"")</f>
        <v>71.195999999999998</v>
      </c>
      <c r="AP92">
        <f ca="1">IFERROR(IF(0=LEN(ReferenceData!$AP$92),"",ReferenceData!$AP$92),"")</f>
        <v>73.33</v>
      </c>
      <c r="AQ92">
        <f ca="1">IFERROR(IF(0=LEN(ReferenceData!$AQ$92),"",ReferenceData!$AQ$92),"")</f>
        <v>92.106729999999999</v>
      </c>
      <c r="AR92">
        <f ca="1">IFERROR(IF(0=LEN(ReferenceData!$AR$92),"",ReferenceData!$AR$92),"")</f>
        <v>79.228999999999999</v>
      </c>
      <c r="AS92">
        <f ca="1">IFERROR(IF(0=LEN(ReferenceData!$AS$92),"",ReferenceData!$AS$92),"")</f>
        <v>81.183999999999997</v>
      </c>
      <c r="AT92">
        <f ca="1">IFERROR(IF(0=LEN(ReferenceData!$AT$92),"",ReferenceData!$AT$92),"")</f>
        <v>73.888999999999996</v>
      </c>
      <c r="AU92">
        <f ca="1">IFERROR(IF(0=LEN(ReferenceData!$AU$92),"",ReferenceData!$AU$92),"")</f>
        <v>67</v>
      </c>
      <c r="AV92">
        <f ca="1">IFERROR(IF(0=LEN(ReferenceData!$AV$92),"",ReferenceData!$AV$92),"")</f>
        <v>76.697999999999993</v>
      </c>
      <c r="AW92">
        <f ca="1">IFERROR(IF(0=LEN(ReferenceData!$AW$92),"",ReferenceData!$AW$92),"")</f>
        <v>69.177999999999997</v>
      </c>
      <c r="AX92">
        <f ca="1">IFERROR(IF(0=LEN(ReferenceData!$AX$92),"",ReferenceData!$AX$92),"")</f>
        <v>69.379000000000005</v>
      </c>
      <c r="AY92">
        <f ca="1">IFERROR(IF(0=LEN(ReferenceData!$AY$92),"",ReferenceData!$AY$92),"")</f>
        <v>58.984999999999999</v>
      </c>
      <c r="AZ92">
        <f ca="1">IFERROR(IF(0=LEN(ReferenceData!$AZ$92),"",ReferenceData!$AZ$92),"")</f>
        <v>70.741</v>
      </c>
      <c r="BA92">
        <f ca="1">IFERROR(IF(0=LEN(ReferenceData!$BA$92),"",ReferenceData!$BA$92),"")</f>
        <v>71.061999999999998</v>
      </c>
      <c r="BB92">
        <f ca="1">IFERROR(IF(0=LEN(ReferenceData!$BB$92),"",ReferenceData!$BB$92),"")</f>
        <v>64.233000000000004</v>
      </c>
      <c r="BC92">
        <f ca="1">IFERROR(IF(0=LEN(ReferenceData!$BC$92),"",ReferenceData!$BC$92),"")</f>
        <v>60.658000000000001</v>
      </c>
      <c r="BD92">
        <f ca="1">IFERROR(IF(0=LEN(ReferenceData!$BD$92),"",ReferenceData!$BD$92),"")</f>
        <v>59.207000000000001</v>
      </c>
      <c r="BE92">
        <f ca="1">IFERROR(IF(0=LEN(ReferenceData!$BE$92),"",ReferenceData!$BE$92),"")</f>
        <v>75.078999999999994</v>
      </c>
      <c r="BF92">
        <f ca="1">IFERROR(IF(0=LEN(ReferenceData!$BF$92),"",ReferenceData!$BF$92),"")</f>
        <v>65.927000000000007</v>
      </c>
      <c r="BG92">
        <f ca="1">IFERROR(IF(0=LEN(ReferenceData!$BG$92),"",ReferenceData!$BG$92),"")</f>
        <v>63.731999999999999</v>
      </c>
      <c r="BH92">
        <f ca="1">IFERROR(IF(0=LEN(ReferenceData!$BH$92),"",ReferenceData!$BH$92),"")</f>
        <v>61.695</v>
      </c>
      <c r="BI92">
        <f ca="1">IFERROR(IF(0=LEN(ReferenceData!$BI$92),"",ReferenceData!$BI$92),"")</f>
        <v>62.512000999999998</v>
      </c>
      <c r="BJ92">
        <f ca="1">IFERROR(IF(0=LEN(ReferenceData!$BJ$92),"",ReferenceData!$BJ$92),"")</f>
        <v>62.079000000000001</v>
      </c>
      <c r="BK92">
        <f ca="1">IFERROR(IF(0=LEN(ReferenceData!$BK$92),"",ReferenceData!$BK$92),"")</f>
        <v>56.33399773</v>
      </c>
      <c r="BL92">
        <f ca="1">IFERROR(IF(0=LEN(ReferenceData!$BL$92),"",ReferenceData!$BL$92),"")</f>
        <v>60.459000000000003</v>
      </c>
      <c r="BM92">
        <f ca="1">IFERROR(IF(0=LEN(ReferenceData!$BM$92),"",ReferenceData!$BM$92),"")</f>
        <v>60.676997999999998</v>
      </c>
    </row>
    <row r="93" spans="1:65">
      <c r="A93" t="str">
        <f>IFERROR(IF(0=LEN(ReferenceData!$A$93),"",ReferenceData!$A$93),"")</f>
        <v xml:space="preserve">    Retail Opportunity Investments</v>
      </c>
      <c r="B93" t="str">
        <f>IFERROR(IF(0=LEN(ReferenceData!$B$93),"",ReferenceData!$B$93),"")</f>
        <v>ROIC US Equity</v>
      </c>
      <c r="C93" t="str">
        <f>IFERROR(IF(0=LEN(ReferenceData!$C$93),"",ReferenceData!$C$93),"")</f>
        <v>RR009</v>
      </c>
      <c r="D93" t="str">
        <f>IFERROR(IF(0=LEN(ReferenceData!$D$93),"",ReferenceData!$D$93),"")</f>
        <v>EBITDA</v>
      </c>
      <c r="E93" t="str">
        <f>IFERROR(IF(0=LEN(ReferenceData!$E$93),"",ReferenceData!$E$93),"")</f>
        <v>动态</v>
      </c>
      <c r="F93" t="str">
        <f ca="1">IFERROR(IF(0=LEN(ReferenceData!$F$93),"",ReferenceData!$F$93),"")</f>
        <v/>
      </c>
      <c r="G93">
        <f ca="1">IFERROR(IF(0=LEN(ReferenceData!$G$93),"",ReferenceData!$G$93),"")</f>
        <v>50.956000000000003</v>
      </c>
      <c r="H93">
        <f ca="1">IFERROR(IF(0=LEN(ReferenceData!$H$93),"",ReferenceData!$H$93),"")</f>
        <v>47.661999999999999</v>
      </c>
      <c r="I93">
        <f ca="1">IFERROR(IF(0=LEN(ReferenceData!$I$93),"",ReferenceData!$I$93),"")</f>
        <v>45.319000000000003</v>
      </c>
      <c r="J93">
        <f ca="1">IFERROR(IF(0=LEN(ReferenceData!$J$93),"",ReferenceData!$J$93),"")</f>
        <v>45.984000000000002</v>
      </c>
      <c r="K93">
        <f ca="1">IFERROR(IF(0=LEN(ReferenceData!$K$93),"",ReferenceData!$K$93),"")</f>
        <v>44.503</v>
      </c>
      <c r="L93">
        <f ca="1">IFERROR(IF(0=LEN(ReferenceData!$L$93),"",ReferenceData!$L$93),"")</f>
        <v>41.317999999999998</v>
      </c>
      <c r="M93">
        <f ca="1">IFERROR(IF(0=LEN(ReferenceData!$M$93),"",ReferenceData!$M$93),"")</f>
        <v>40.377000000000002</v>
      </c>
      <c r="N93">
        <f ca="1">IFERROR(IF(0=LEN(ReferenceData!$N$93),"",ReferenceData!$N$93),"")</f>
        <v>39.332000000000001</v>
      </c>
      <c r="O93">
        <f ca="1">IFERROR(IF(0=LEN(ReferenceData!$O$93),"",ReferenceData!$O$93),"")</f>
        <v>34.694000000000003</v>
      </c>
      <c r="P93">
        <f ca="1">IFERROR(IF(0=LEN(ReferenceData!$P$93),"",ReferenceData!$P$93),"")</f>
        <v>34.421999999999997</v>
      </c>
      <c r="Q93">
        <f ca="1">IFERROR(IF(0=LEN(ReferenceData!$Q$93),"",ReferenceData!$Q$93),"")</f>
        <v>30.672000000000001</v>
      </c>
      <c r="R93">
        <f ca="1">IFERROR(IF(0=LEN(ReferenceData!$R$93),"",ReferenceData!$R$93),"")</f>
        <v>30.504000000000001</v>
      </c>
      <c r="S93">
        <f ca="1">IFERROR(IF(0=LEN(ReferenceData!$S$93),"",ReferenceData!$S$93),"")</f>
        <v>27.098941</v>
      </c>
      <c r="T93">
        <f ca="1">IFERROR(IF(0=LEN(ReferenceData!$T$93),"",ReferenceData!$T$93),"")</f>
        <v>27.660170000000001</v>
      </c>
      <c r="U93">
        <f ca="1">IFERROR(IF(0=LEN(ReferenceData!$U$93),"",ReferenceData!$U$93),"")</f>
        <v>23.945291000000001</v>
      </c>
      <c r="V93">
        <f ca="1">IFERROR(IF(0=LEN(ReferenceData!$V$93),"",ReferenceData!$V$93),"")</f>
        <v>23.504000000000001</v>
      </c>
      <c r="W93">
        <f ca="1">IFERROR(IF(0=LEN(ReferenceData!$W$93),"",ReferenceData!$W$93),"")</f>
        <v>21.420877000000001</v>
      </c>
      <c r="X93">
        <f ca="1">IFERROR(IF(0=LEN(ReferenceData!$X$93),"",ReferenceData!$X$93),"")</f>
        <v>16.220818000000001</v>
      </c>
      <c r="Y93">
        <f ca="1">IFERROR(IF(0=LEN(ReferenceData!$Y$93),"",ReferenceData!$Y$93),"")</f>
        <v>15.766401</v>
      </c>
      <c r="Z93">
        <f ca="1">IFERROR(IF(0=LEN(ReferenceData!$Z$93),"",ReferenceData!$Z$93),"")</f>
        <v>14.764972999999999</v>
      </c>
      <c r="AA93">
        <f ca="1">IFERROR(IF(0=LEN(ReferenceData!$AA$93),"",ReferenceData!$AA$93),"")</f>
        <v>11.076449999999999</v>
      </c>
      <c r="AB93">
        <f ca="1">IFERROR(IF(0=LEN(ReferenceData!$AB$93),"",ReferenceData!$AB$93),"")</f>
        <v>10.140922</v>
      </c>
      <c r="AC93">
        <f ca="1">IFERROR(IF(0=LEN(ReferenceData!$AC$93),"",ReferenceData!$AC$93),"")</f>
        <v>9.8746310000000008</v>
      </c>
      <c r="AD93">
        <f ca="1">IFERROR(IF(0=LEN(ReferenceData!$AD$93),"",ReferenceData!$AD$93),"")</f>
        <v>9.5364959999999996</v>
      </c>
      <c r="AE93">
        <f ca="1">IFERROR(IF(0=LEN(ReferenceData!$AE$93),"",ReferenceData!$AE$93),"")</f>
        <v>9.0034419999999997</v>
      </c>
      <c r="AF93">
        <f ca="1">IFERROR(IF(0=LEN(ReferenceData!$AF$93),"",ReferenceData!$AF$93),"")</f>
        <v>6.3263660000000002</v>
      </c>
      <c r="AG93">
        <f ca="1">IFERROR(IF(0=LEN(ReferenceData!$AG$93),"",ReferenceData!$AG$93),"")</f>
        <v>5.5794560000000004</v>
      </c>
      <c r="AH93">
        <f ca="1">IFERROR(IF(0=LEN(ReferenceData!$AH$93),"",ReferenceData!$AH$93),"")</f>
        <v>5.3098619999999999</v>
      </c>
      <c r="AI93">
        <f ca="1">IFERROR(IF(0=LEN(ReferenceData!$AI$93),"",ReferenceData!$AI$93),"")</f>
        <v>1.5399389999999999</v>
      </c>
      <c r="AJ93">
        <f ca="1">IFERROR(IF(0=LEN(ReferenceData!$AJ$93),"",ReferenceData!$AJ$93),"")</f>
        <v>1.1442619999999999</v>
      </c>
      <c r="AK93">
        <f ca="1">IFERROR(IF(0=LEN(ReferenceData!$AK$93),"",ReferenceData!$AK$93),"")</f>
        <v>-0.55838100000000002</v>
      </c>
      <c r="AL93">
        <f ca="1">IFERROR(IF(0=LEN(ReferenceData!$AL$93),"",ReferenceData!$AL$93),"")</f>
        <v>-1.610986</v>
      </c>
      <c r="AM93" t="str">
        <f ca="1">IFERROR(IF(0=LEN(ReferenceData!$AM$93),"",ReferenceData!$AM$93),"")</f>
        <v/>
      </c>
      <c r="AN93" t="str">
        <f ca="1">IFERROR(IF(0=LEN(ReferenceData!$AN$93),"",ReferenceData!$AN$93),"")</f>
        <v/>
      </c>
      <c r="AO93" t="str">
        <f ca="1">IFERROR(IF(0=LEN(ReferenceData!$AO$93),"",ReferenceData!$AO$93),"")</f>
        <v/>
      </c>
      <c r="AP93" t="str">
        <f ca="1">IFERROR(IF(0=LEN(ReferenceData!$AP$93),"",ReferenceData!$AP$93),"")</f>
        <v/>
      </c>
      <c r="AQ93" t="str">
        <f ca="1">IFERROR(IF(0=LEN(ReferenceData!$AQ$93),"",ReferenceData!$AQ$93),"")</f>
        <v/>
      </c>
      <c r="AR93" t="str">
        <f ca="1">IFERROR(IF(0=LEN(ReferenceData!$AR$93),"",ReferenceData!$AR$93),"")</f>
        <v/>
      </c>
      <c r="AS93" t="str">
        <f ca="1">IFERROR(IF(0=LEN(ReferenceData!$AS$93),"",ReferenceData!$AS$93),"")</f>
        <v/>
      </c>
      <c r="AT93" t="str">
        <f ca="1">IFERROR(IF(0=LEN(ReferenceData!$AT$93),"",ReferenceData!$AT$93),"")</f>
        <v/>
      </c>
      <c r="AU93" t="str">
        <f ca="1">IFERROR(IF(0=LEN(ReferenceData!$AU$93),"",ReferenceData!$AU$93),"")</f>
        <v/>
      </c>
      <c r="AV93" t="str">
        <f ca="1">IFERROR(IF(0=LEN(ReferenceData!$AV$93),"",ReferenceData!$AV$93),"")</f>
        <v/>
      </c>
      <c r="AW93" t="str">
        <f ca="1">IFERROR(IF(0=LEN(ReferenceData!$AW$93),"",ReferenceData!$AW$93),"")</f>
        <v/>
      </c>
      <c r="AX93" t="str">
        <f ca="1">IFERROR(IF(0=LEN(ReferenceData!$AX$93),"",ReferenceData!$AX$93),"")</f>
        <v/>
      </c>
      <c r="AY93" t="str">
        <f ca="1">IFERROR(IF(0=LEN(ReferenceData!$AY$93),"",ReferenceData!$AY$93),"")</f>
        <v/>
      </c>
      <c r="AZ93" t="str">
        <f ca="1">IFERROR(IF(0=LEN(ReferenceData!$AZ$93),"",ReferenceData!$AZ$93),"")</f>
        <v/>
      </c>
      <c r="BA93" t="str">
        <f ca="1">IFERROR(IF(0=LEN(ReferenceData!$BA$93),"",ReferenceData!$BA$93),"")</f>
        <v/>
      </c>
      <c r="BB93" t="str">
        <f ca="1">IFERROR(IF(0=LEN(ReferenceData!$BB$93),"",ReferenceData!$BB$93),"")</f>
        <v/>
      </c>
      <c r="BC93" t="str">
        <f ca="1">IFERROR(IF(0=LEN(ReferenceData!$BC$93),"",ReferenceData!$BC$93),"")</f>
        <v/>
      </c>
      <c r="BD93" t="str">
        <f ca="1">IFERROR(IF(0=LEN(ReferenceData!$BD$93),"",ReferenceData!$BD$93),"")</f>
        <v/>
      </c>
      <c r="BE93" t="str">
        <f ca="1">IFERROR(IF(0=LEN(ReferenceData!$BE$93),"",ReferenceData!$BE$93),"")</f>
        <v/>
      </c>
      <c r="BF93" t="str">
        <f ca="1">IFERROR(IF(0=LEN(ReferenceData!$BF$93),"",ReferenceData!$BF$93),"")</f>
        <v/>
      </c>
      <c r="BG93" t="str">
        <f ca="1">IFERROR(IF(0=LEN(ReferenceData!$BG$93),"",ReferenceData!$BG$93),"")</f>
        <v/>
      </c>
      <c r="BH93" t="str">
        <f ca="1">IFERROR(IF(0=LEN(ReferenceData!$BH$93),"",ReferenceData!$BH$93),"")</f>
        <v/>
      </c>
      <c r="BI93" t="str">
        <f ca="1">IFERROR(IF(0=LEN(ReferenceData!$BI$93),"",ReferenceData!$BI$93),"")</f>
        <v/>
      </c>
      <c r="BJ93" t="str">
        <f ca="1">IFERROR(IF(0=LEN(ReferenceData!$BJ$93),"",ReferenceData!$BJ$93),"")</f>
        <v/>
      </c>
      <c r="BK93" t="str">
        <f ca="1">IFERROR(IF(0=LEN(ReferenceData!$BK$93),"",ReferenceData!$BK$93),"")</f>
        <v/>
      </c>
      <c r="BL93" t="str">
        <f ca="1">IFERROR(IF(0=LEN(ReferenceData!$BL$93),"",ReferenceData!$BL$93),"")</f>
        <v/>
      </c>
      <c r="BM93" t="str">
        <f ca="1">IFERROR(IF(0=LEN(ReferenceData!$BM$93),"",ReferenceData!$BM$93),"")</f>
        <v/>
      </c>
    </row>
    <row r="94" spans="1:65">
      <c r="A94" t="str">
        <f>IFERROR(IF(0=LEN(ReferenceData!$A$94),"",ReferenceData!$A$94),"")</f>
        <v xml:space="preserve">    Retail Properties of America I</v>
      </c>
      <c r="B94" t="str">
        <f>IFERROR(IF(0=LEN(ReferenceData!$B$94),"",ReferenceData!$B$94),"")</f>
        <v>RPAI US Equity</v>
      </c>
      <c r="C94" t="str">
        <f>IFERROR(IF(0=LEN(ReferenceData!$C$94),"",ReferenceData!$C$94),"")</f>
        <v>RR009</v>
      </c>
      <c r="D94" t="str">
        <f>IFERROR(IF(0=LEN(ReferenceData!$D$94),"",ReferenceData!$D$94),"")</f>
        <v>EBITDA</v>
      </c>
      <c r="E94" t="str">
        <f>IFERROR(IF(0=LEN(ReferenceData!$E$94),"",ReferenceData!$E$94),"")</f>
        <v>动态</v>
      </c>
      <c r="F94" t="str">
        <f ca="1">IFERROR(IF(0=LEN(ReferenceData!$F$94),"",ReferenceData!$F$94),"")</f>
        <v/>
      </c>
      <c r="G94">
        <f ca="1">IFERROR(IF(0=LEN(ReferenceData!$G$94),"",ReferenceData!$G$94),"")</f>
        <v>67.442999999999998</v>
      </c>
      <c r="H94">
        <f ca="1">IFERROR(IF(0=LEN(ReferenceData!$H$94),"",ReferenceData!$H$94),"")</f>
        <v>35.476999999999997</v>
      </c>
      <c r="I94">
        <f ca="1">IFERROR(IF(0=LEN(ReferenceData!$I$94),"",ReferenceData!$I$94),"")</f>
        <v>71.444000000000003</v>
      </c>
      <c r="J94">
        <f ca="1">IFERROR(IF(0=LEN(ReferenceData!$J$94),"",ReferenceData!$J$94),"")</f>
        <v>88.736999999999995</v>
      </c>
      <c r="K94">
        <f ca="1">IFERROR(IF(0=LEN(ReferenceData!$K$94),"",ReferenceData!$K$94),"")</f>
        <v>78.926000000000002</v>
      </c>
      <c r="L94">
        <f ca="1">IFERROR(IF(0=LEN(ReferenceData!$L$94),"",ReferenceData!$L$94),"")</f>
        <v>88.451999999999998</v>
      </c>
      <c r="M94">
        <f ca="1">IFERROR(IF(0=LEN(ReferenceData!$M$94),"",ReferenceData!$M$94),"")</f>
        <v>91.129000000000005</v>
      </c>
      <c r="N94">
        <f ca="1">IFERROR(IF(0=LEN(ReferenceData!$N$94),"",ReferenceData!$N$94),"")</f>
        <v>92.069000000000003</v>
      </c>
      <c r="O94">
        <f ca="1">IFERROR(IF(0=LEN(ReferenceData!$O$94),"",ReferenceData!$O$94),"")</f>
        <v>74.343999999999994</v>
      </c>
      <c r="P94">
        <f ca="1">IFERROR(IF(0=LEN(ReferenceData!$P$94),"",ReferenceData!$P$94),"")</f>
        <v>96.144999999999996</v>
      </c>
      <c r="Q94">
        <f ca="1">IFERROR(IF(0=LEN(ReferenceData!$Q$94),"",ReferenceData!$Q$94),"")</f>
        <v>89.287000000000006</v>
      </c>
      <c r="R94">
        <f ca="1">IFERROR(IF(0=LEN(ReferenceData!$R$94),"",ReferenceData!$R$94),"")</f>
        <v>96</v>
      </c>
      <c r="S94">
        <f ca="1">IFERROR(IF(0=LEN(ReferenceData!$S$94),"",ReferenceData!$S$94),"")</f>
        <v>86.855999999999995</v>
      </c>
      <c r="T94">
        <f ca="1">IFERROR(IF(0=LEN(ReferenceData!$T$94),"",ReferenceData!$T$94),"")</f>
        <v>45.073999999999998</v>
      </c>
      <c r="U94">
        <f ca="1">IFERROR(IF(0=LEN(ReferenceData!$U$94),"",ReferenceData!$U$94),"")</f>
        <v>91.507999999999996</v>
      </c>
      <c r="V94">
        <f ca="1">IFERROR(IF(0=LEN(ReferenceData!$V$94),"",ReferenceData!$V$94),"")</f>
        <v>95.173000000000002</v>
      </c>
      <c r="W94">
        <f ca="1">IFERROR(IF(0=LEN(ReferenceData!$W$94),"",ReferenceData!$W$94),"")</f>
        <v>67.093999999999994</v>
      </c>
      <c r="X94">
        <f ca="1">IFERROR(IF(0=LEN(ReferenceData!$X$94),"",ReferenceData!$X$94),"")</f>
        <v>64.67</v>
      </c>
      <c r="Y94">
        <f ca="1">IFERROR(IF(0=LEN(ReferenceData!$Y$94),"",ReferenceData!$Y$94),"")</f>
        <v>88.58</v>
      </c>
      <c r="Z94">
        <f ca="1">IFERROR(IF(0=LEN(ReferenceData!$Z$94),"",ReferenceData!$Z$94),"")</f>
        <v>87.856999999999999</v>
      </c>
      <c r="AA94">
        <f ca="1">IFERROR(IF(0=LEN(ReferenceData!$AA$94),"",ReferenceData!$AA$94),"")</f>
        <v>89.078000000000003</v>
      </c>
      <c r="AB94">
        <f ca="1">IFERROR(IF(0=LEN(ReferenceData!$AB$94),"",ReferenceData!$AB$94),"")</f>
        <v>92.513000000000005</v>
      </c>
      <c r="AC94">
        <f ca="1">IFERROR(IF(0=LEN(ReferenceData!$AC$94),"",ReferenceData!$AC$94),"")</f>
        <v>92.441999999999993</v>
      </c>
      <c r="AD94">
        <f ca="1">IFERROR(IF(0=LEN(ReferenceData!$AD$94),"",ReferenceData!$AD$94),"")</f>
        <v>95.05</v>
      </c>
      <c r="AE94">
        <f ca="1">IFERROR(IF(0=LEN(ReferenceData!$AE$94),"",ReferenceData!$AE$94),"")</f>
        <v>89.385000000000005</v>
      </c>
      <c r="AF94">
        <f ca="1">IFERROR(IF(0=LEN(ReferenceData!$AF$94),"",ReferenceData!$AF$94),"")</f>
        <v>99.498000000000005</v>
      </c>
      <c r="AG94">
        <f ca="1">IFERROR(IF(0=LEN(ReferenceData!$AG$94),"",ReferenceData!$AG$94),"")</f>
        <v>95.718000000000004</v>
      </c>
      <c r="AH94">
        <f ca="1">IFERROR(IF(0=LEN(ReferenceData!$AH$94),"",ReferenceData!$AH$94),"")</f>
        <v>66.120999999999995</v>
      </c>
      <c r="AI94">
        <f ca="1">IFERROR(IF(0=LEN(ReferenceData!$AI$94),"",ReferenceData!$AI$94),"")</f>
        <v>108.38200000000001</v>
      </c>
      <c r="AJ94">
        <f ca="1">IFERROR(IF(0=LEN(ReferenceData!$AJ$94),"",ReferenceData!$AJ$94),"")</f>
        <v>102.869</v>
      </c>
      <c r="AK94" t="str">
        <f ca="1">IFERROR(IF(0=LEN(ReferenceData!$AK$94),"",ReferenceData!$AK$94),"")</f>
        <v/>
      </c>
      <c r="AL94" t="str">
        <f ca="1">IFERROR(IF(0=LEN(ReferenceData!$AL$94),"",ReferenceData!$AL$94),"")</f>
        <v/>
      </c>
      <c r="AM94" t="str">
        <f ca="1">IFERROR(IF(0=LEN(ReferenceData!$AM$94),"",ReferenceData!$AM$94),"")</f>
        <v/>
      </c>
      <c r="AN94">
        <f ca="1">IFERROR(IF(0=LEN(ReferenceData!$AN$94),"",ReferenceData!$AN$94),"")</f>
        <v>95.831999999999994</v>
      </c>
      <c r="AO94" t="str">
        <f ca="1">IFERROR(IF(0=LEN(ReferenceData!$AO$94),"",ReferenceData!$AO$94),"")</f>
        <v/>
      </c>
      <c r="AP94" t="str">
        <f ca="1">IFERROR(IF(0=LEN(ReferenceData!$AP$94),"",ReferenceData!$AP$94),"")</f>
        <v/>
      </c>
      <c r="AQ94" t="str">
        <f ca="1">IFERROR(IF(0=LEN(ReferenceData!$AQ$94),"",ReferenceData!$AQ$94),"")</f>
        <v/>
      </c>
      <c r="AR94" t="str">
        <f ca="1">IFERROR(IF(0=LEN(ReferenceData!$AR$94),"",ReferenceData!$AR$94),"")</f>
        <v/>
      </c>
      <c r="AS94" t="str">
        <f ca="1">IFERROR(IF(0=LEN(ReferenceData!$AS$94),"",ReferenceData!$AS$94),"")</f>
        <v/>
      </c>
      <c r="AT94" t="str">
        <f ca="1">IFERROR(IF(0=LEN(ReferenceData!$AT$94),"",ReferenceData!$AT$94),"")</f>
        <v/>
      </c>
      <c r="AU94" t="str">
        <f ca="1">IFERROR(IF(0=LEN(ReferenceData!$AU$94),"",ReferenceData!$AU$94),"")</f>
        <v/>
      </c>
      <c r="AV94" t="str">
        <f ca="1">IFERROR(IF(0=LEN(ReferenceData!$AV$94),"",ReferenceData!$AV$94),"")</f>
        <v/>
      </c>
      <c r="AW94" t="str">
        <f ca="1">IFERROR(IF(0=LEN(ReferenceData!$AW$94),"",ReferenceData!$AW$94),"")</f>
        <v/>
      </c>
      <c r="AX94" t="str">
        <f ca="1">IFERROR(IF(0=LEN(ReferenceData!$AX$94),"",ReferenceData!$AX$94),"")</f>
        <v/>
      </c>
      <c r="AY94" t="str">
        <f ca="1">IFERROR(IF(0=LEN(ReferenceData!$AY$94),"",ReferenceData!$AY$94),"")</f>
        <v/>
      </c>
      <c r="AZ94" t="str">
        <f ca="1">IFERROR(IF(0=LEN(ReferenceData!$AZ$94),"",ReferenceData!$AZ$94),"")</f>
        <v/>
      </c>
      <c r="BA94" t="str">
        <f ca="1">IFERROR(IF(0=LEN(ReferenceData!$BA$94),"",ReferenceData!$BA$94),"")</f>
        <v/>
      </c>
      <c r="BB94" t="str">
        <f ca="1">IFERROR(IF(0=LEN(ReferenceData!$BB$94),"",ReferenceData!$BB$94),"")</f>
        <v/>
      </c>
      <c r="BC94" t="str">
        <f ca="1">IFERROR(IF(0=LEN(ReferenceData!$BC$94),"",ReferenceData!$BC$94),"")</f>
        <v/>
      </c>
      <c r="BD94" t="str">
        <f ca="1">IFERROR(IF(0=LEN(ReferenceData!$BD$94),"",ReferenceData!$BD$94),"")</f>
        <v/>
      </c>
      <c r="BE94" t="str">
        <f ca="1">IFERROR(IF(0=LEN(ReferenceData!$BE$94),"",ReferenceData!$BE$94),"")</f>
        <v/>
      </c>
      <c r="BF94" t="str">
        <f ca="1">IFERROR(IF(0=LEN(ReferenceData!$BF$94),"",ReferenceData!$BF$94),"")</f>
        <v/>
      </c>
      <c r="BG94" t="str">
        <f ca="1">IFERROR(IF(0=LEN(ReferenceData!$BG$94),"",ReferenceData!$BG$94),"")</f>
        <v/>
      </c>
      <c r="BH94" t="str">
        <f ca="1">IFERROR(IF(0=LEN(ReferenceData!$BH$94),"",ReferenceData!$BH$94),"")</f>
        <v/>
      </c>
      <c r="BI94" t="str">
        <f ca="1">IFERROR(IF(0=LEN(ReferenceData!$BI$94),"",ReferenceData!$BI$94),"")</f>
        <v/>
      </c>
      <c r="BJ94" t="str">
        <f ca="1">IFERROR(IF(0=LEN(ReferenceData!$BJ$94),"",ReferenceData!$BJ$94),"")</f>
        <v/>
      </c>
      <c r="BK94" t="str">
        <f ca="1">IFERROR(IF(0=LEN(ReferenceData!$BK$94),"",ReferenceData!$BK$94),"")</f>
        <v/>
      </c>
      <c r="BL94" t="str">
        <f ca="1">IFERROR(IF(0=LEN(ReferenceData!$BL$94),"",ReferenceData!$BL$94),"")</f>
        <v/>
      </c>
      <c r="BM94" t="str">
        <f ca="1">IFERROR(IF(0=LEN(ReferenceData!$BM$94),"",ReferenceData!$BM$94),"")</f>
        <v/>
      </c>
    </row>
    <row r="95" spans="1:65">
      <c r="A95" t="str">
        <f>IFERROR(IF(0=LEN(ReferenceData!$A$95),"",ReferenceData!$A$95),"")</f>
        <v xml:space="preserve">    Simon Property Group Inc</v>
      </c>
      <c r="B95" t="str">
        <f>IFERROR(IF(0=LEN(ReferenceData!$B$95),"",ReferenceData!$B$95),"")</f>
        <v>SPG US Equity</v>
      </c>
      <c r="C95" t="str">
        <f>IFERROR(IF(0=LEN(ReferenceData!$C$95),"",ReferenceData!$C$95),"")</f>
        <v>RR009</v>
      </c>
      <c r="D95" t="str">
        <f>IFERROR(IF(0=LEN(ReferenceData!$D$95),"",ReferenceData!$D$95),"")</f>
        <v>EBITDA</v>
      </c>
      <c r="E95" t="str">
        <f>IFERROR(IF(0=LEN(ReferenceData!$E$95),"",ReferenceData!$E$95),"")</f>
        <v>动态</v>
      </c>
      <c r="F95" t="str">
        <f ca="1">IFERROR(IF(0=LEN(ReferenceData!$F$95),"",ReferenceData!$F$95),"")</f>
        <v/>
      </c>
      <c r="G95">
        <f ca="1">IFERROR(IF(0=LEN(ReferenceData!$G$95),"",ReferenceData!$G$95),"")</f>
        <v>1094.4680000000001</v>
      </c>
      <c r="H95">
        <f ca="1">IFERROR(IF(0=LEN(ReferenceData!$H$95),"",ReferenceData!$H$95),"")</f>
        <v>1026.7950000000001</v>
      </c>
      <c r="I95">
        <f ca="1">IFERROR(IF(0=LEN(ReferenceData!$I$95),"",ReferenceData!$I$95),"")</f>
        <v>1026.008</v>
      </c>
      <c r="J95">
        <f ca="1">IFERROR(IF(0=LEN(ReferenceData!$J$95),"",ReferenceData!$J$95),"")</f>
        <v>1012.42</v>
      </c>
      <c r="K95">
        <f ca="1">IFERROR(IF(0=LEN(ReferenceData!$K$95),"",ReferenceData!$K$95),"")</f>
        <v>1056.4010000000001</v>
      </c>
      <c r="L95">
        <f ca="1">IFERROR(IF(0=LEN(ReferenceData!$L$95),"",ReferenceData!$L$95),"")</f>
        <v>1005.591</v>
      </c>
      <c r="M95">
        <f ca="1">IFERROR(IF(0=LEN(ReferenceData!$M$95),"",ReferenceData!$M$95),"")</f>
        <v>984.08299999999997</v>
      </c>
      <c r="N95">
        <f ca="1">IFERROR(IF(0=LEN(ReferenceData!$N$95),"",ReferenceData!$N$95),"")</f>
        <v>1002.7</v>
      </c>
      <c r="O95">
        <f ca="1">IFERROR(IF(0=LEN(ReferenceData!$O$95),"",ReferenceData!$O$95),"")</f>
        <v>1028.2550000000001</v>
      </c>
      <c r="P95">
        <f ca="1">IFERROR(IF(0=LEN(ReferenceData!$P$95),"",ReferenceData!$P$95),"")</f>
        <v>963.02700000000004</v>
      </c>
      <c r="Q95">
        <f ca="1">IFERROR(IF(0=LEN(ReferenceData!$Q$95),"",ReferenceData!$Q$95),"")</f>
        <v>1014.967</v>
      </c>
      <c r="R95">
        <f ca="1">IFERROR(IF(0=LEN(ReferenceData!$R$95),"",ReferenceData!$R$95),"")</f>
        <v>901.83799999999997</v>
      </c>
      <c r="S95">
        <f ca="1">IFERROR(IF(0=LEN(ReferenceData!$S$95),"",ReferenceData!$S$95),"")</f>
        <v>967.43799999999999</v>
      </c>
      <c r="T95">
        <f ca="1">IFERROR(IF(0=LEN(ReferenceData!$T$95),"",ReferenceData!$T$95),"")</f>
        <v>910.47699999999998</v>
      </c>
      <c r="U95">
        <f ca="1">IFERROR(IF(0=LEN(ReferenceData!$U$95),"",ReferenceData!$U$95),"")</f>
        <v>901.68299999999999</v>
      </c>
      <c r="V95">
        <f ca="1">IFERROR(IF(0=LEN(ReferenceData!$V$95),"",ReferenceData!$V$95),"")</f>
        <v>891.52700000000004</v>
      </c>
      <c r="W95">
        <f ca="1">IFERROR(IF(0=LEN(ReferenceData!$W$95),"",ReferenceData!$W$95),"")</f>
        <v>969.00400000000002</v>
      </c>
      <c r="X95">
        <f ca="1">IFERROR(IF(0=LEN(ReferenceData!$X$95),"",ReferenceData!$X$95),"")</f>
        <v>886.83900000000006</v>
      </c>
      <c r="Y95">
        <f ca="1">IFERROR(IF(0=LEN(ReferenceData!$Y$95),"",ReferenceData!$Y$95),"")</f>
        <v>841.31899999999996</v>
      </c>
      <c r="Z95">
        <f ca="1">IFERROR(IF(0=LEN(ReferenceData!$Z$95),"",ReferenceData!$Z$95),"")</f>
        <v>879.66300000000001</v>
      </c>
      <c r="AA95">
        <f ca="1">IFERROR(IF(0=LEN(ReferenceData!$AA$95),"",ReferenceData!$AA$95),"")</f>
        <v>975.59199999999998</v>
      </c>
      <c r="AB95">
        <f ca="1">IFERROR(IF(0=LEN(ReferenceData!$AB$95),"",ReferenceData!$AB$95),"")</f>
        <v>885.07399999999996</v>
      </c>
      <c r="AC95">
        <f ca="1">IFERROR(IF(0=LEN(ReferenceData!$AC$95),"",ReferenceData!$AC$95),"")</f>
        <v>846.01400000000001</v>
      </c>
      <c r="AD95">
        <f ca="1">IFERROR(IF(0=LEN(ReferenceData!$AD$95),"",ReferenceData!$AD$95),"")</f>
        <v>815.22299999999996</v>
      </c>
      <c r="AE95">
        <f ca="1">IFERROR(IF(0=LEN(ReferenceData!$AE$95),"",ReferenceData!$AE$95),"")</f>
        <v>829.774</v>
      </c>
      <c r="AF95">
        <f ca="1">IFERROR(IF(0=LEN(ReferenceData!$AF$95),"",ReferenceData!$AF$95),"")</f>
        <v>758.23599999999999</v>
      </c>
      <c r="AG95">
        <f ca="1">IFERROR(IF(0=LEN(ReferenceData!$AG$95),"",ReferenceData!$AG$95),"")</f>
        <v>737.70799999999997</v>
      </c>
      <c r="AH95">
        <f ca="1">IFERROR(IF(0=LEN(ReferenceData!$AH$95),"",ReferenceData!$AH$95),"")</f>
        <v>725.16899999999998</v>
      </c>
      <c r="AI95">
        <f ca="1">IFERROR(IF(0=LEN(ReferenceData!$AI$95),"",ReferenceData!$AI$95),"")</f>
        <v>795.11400000000003</v>
      </c>
      <c r="AJ95">
        <f ca="1">IFERROR(IF(0=LEN(ReferenceData!$AJ$95),"",ReferenceData!$AJ$95),"")</f>
        <v>702.69299999999998</v>
      </c>
      <c r="AK95">
        <f ca="1">IFERROR(IF(0=LEN(ReferenceData!$AK$95),"",ReferenceData!$AK$95),"")</f>
        <v>655.69</v>
      </c>
      <c r="AL95">
        <f ca="1">IFERROR(IF(0=LEN(ReferenceData!$AL$95),"",ReferenceData!$AL$95),"")</f>
        <v>664.47199999999998</v>
      </c>
      <c r="AM95">
        <f ca="1">IFERROR(IF(0=LEN(ReferenceData!$AM$95),"",ReferenceData!$AM$95),"")</f>
        <v>675.46799999999996</v>
      </c>
      <c r="AN95">
        <f ca="1">IFERROR(IF(0=LEN(ReferenceData!$AN$95),"",ReferenceData!$AN$95),"")</f>
        <v>645.66999999999996</v>
      </c>
      <c r="AO95">
        <f ca="1">IFERROR(IF(0=LEN(ReferenceData!$AO$95),"",ReferenceData!$AO$95),"")</f>
        <v>478.92500000000001</v>
      </c>
      <c r="AP95">
        <f ca="1">IFERROR(IF(0=LEN(ReferenceData!$AP$95),"",ReferenceData!$AP$95),"")</f>
        <v>621.82100000000003</v>
      </c>
      <c r="AQ95">
        <f ca="1">IFERROR(IF(0=LEN(ReferenceData!$AQ$95),"",ReferenceData!$AQ$95),"")</f>
        <v>940.35699999999997</v>
      </c>
      <c r="AR95">
        <f ca="1">IFERROR(IF(0=LEN(ReferenceData!$AR$95),"",ReferenceData!$AR$95),"")</f>
        <v>394.67899999999997</v>
      </c>
      <c r="AS95">
        <f ca="1">IFERROR(IF(0=LEN(ReferenceData!$AS$95),"",ReferenceData!$AS$95),"")</f>
        <v>604.54300000000001</v>
      </c>
      <c r="AT95">
        <f ca="1">IFERROR(IF(0=LEN(ReferenceData!$AT$95),"",ReferenceData!$AT$95),"")</f>
        <v>576.96799999999996</v>
      </c>
      <c r="AU95">
        <f ca="1">IFERROR(IF(0=LEN(ReferenceData!$AU$95),"",ReferenceData!$AU$95),"")</f>
        <v>702.11199999999997</v>
      </c>
      <c r="AV95">
        <f ca="1">IFERROR(IF(0=LEN(ReferenceData!$AV$95),"",ReferenceData!$AV$95),"")</f>
        <v>596.19799999999998</v>
      </c>
      <c r="AW95">
        <f ca="1">IFERROR(IF(0=LEN(ReferenceData!$AW$95),"",ReferenceData!$AW$95),"")</f>
        <v>555.49300000000005</v>
      </c>
      <c r="AX95">
        <f ca="1">IFERROR(IF(0=LEN(ReferenceData!$AX$95),"",ReferenceData!$AX$95),"")</f>
        <v>556.54600000000005</v>
      </c>
      <c r="AY95">
        <f ca="1">IFERROR(IF(0=LEN(ReferenceData!$AY$95),"",ReferenceData!$AY$95),"")</f>
        <v>602.38499999999999</v>
      </c>
      <c r="AZ95">
        <f ca="1">IFERROR(IF(0=LEN(ReferenceData!$AZ$95),"",ReferenceData!$AZ$95),"")</f>
        <v>520.11599999999999</v>
      </c>
      <c r="BA95">
        <f ca="1">IFERROR(IF(0=LEN(ReferenceData!$BA$95),"",ReferenceData!$BA$95),"")</f>
        <v>511.495</v>
      </c>
      <c r="BB95">
        <f ca="1">IFERROR(IF(0=LEN(ReferenceData!$BB$95),"",ReferenceData!$BB$95),"")</f>
        <v>498.95100000000002</v>
      </c>
      <c r="BC95">
        <f ca="1">IFERROR(IF(0=LEN(ReferenceData!$BC$95),"",ReferenceData!$BC$95),"")</f>
        <v>564.42600000000004</v>
      </c>
      <c r="BD95">
        <f ca="1">IFERROR(IF(0=LEN(ReferenceData!$BD$95),"",ReferenceData!$BD$95),"")</f>
        <v>495.63600000000002</v>
      </c>
      <c r="BE95">
        <f ca="1">IFERROR(IF(0=LEN(ReferenceData!$BE$95),"",ReferenceData!$BE$95),"")</f>
        <v>488.16199999999998</v>
      </c>
      <c r="BF95">
        <f ca="1">IFERROR(IF(0=LEN(ReferenceData!$BF$95),"",ReferenceData!$BF$95),"")</f>
        <v>475.66699999999997</v>
      </c>
      <c r="BG95">
        <f ca="1">IFERROR(IF(0=LEN(ReferenceData!$BG$95),"",ReferenceData!$BG$95),"")</f>
        <v>520.64499999999998</v>
      </c>
      <c r="BH95">
        <f ca="1">IFERROR(IF(0=LEN(ReferenceData!$BH$95),"",ReferenceData!$BH$95),"")</f>
        <v>394.93099999999998</v>
      </c>
      <c r="BI95">
        <f ca="1">IFERROR(IF(0=LEN(ReferenceData!$BI$95),"",ReferenceData!$BI$95),"")</f>
        <v>389.26</v>
      </c>
      <c r="BJ95">
        <f ca="1">IFERROR(IF(0=LEN(ReferenceData!$BJ$95),"",ReferenceData!$BJ$95),"")</f>
        <v>369.661</v>
      </c>
      <c r="BK95">
        <f ca="1">IFERROR(IF(0=LEN(ReferenceData!$BK$95),"",ReferenceData!$BK$95),"")</f>
        <v>432.07100000000003</v>
      </c>
      <c r="BL95">
        <f ca="1">IFERROR(IF(0=LEN(ReferenceData!$BL$95),"",ReferenceData!$BL$95),"")</f>
        <v>366.68900000000002</v>
      </c>
      <c r="BM95">
        <f ca="1">IFERROR(IF(0=LEN(ReferenceData!$BM$95),"",ReferenceData!$BM$95),"")</f>
        <v>352.51299999999998</v>
      </c>
    </row>
    <row r="96" spans="1:65">
      <c r="A96" t="str">
        <f>IFERROR(IF(0=LEN(ReferenceData!$A$96),"",ReferenceData!$A$96),"")</f>
        <v xml:space="preserve">    Tanger Factory Outlet Centers</v>
      </c>
      <c r="B96" t="str">
        <f>IFERROR(IF(0=LEN(ReferenceData!$B$96),"",ReferenceData!$B$96),"")</f>
        <v>SKT US Equity</v>
      </c>
      <c r="C96" t="str">
        <f>IFERROR(IF(0=LEN(ReferenceData!$C$96),"",ReferenceData!$C$96),"")</f>
        <v>RR009</v>
      </c>
      <c r="D96" t="str">
        <f>IFERROR(IF(0=LEN(ReferenceData!$D$96),"",ReferenceData!$D$96),"")</f>
        <v>EBITDA</v>
      </c>
      <c r="E96" t="str">
        <f>IFERROR(IF(0=LEN(ReferenceData!$E$96),"",ReferenceData!$E$96),"")</f>
        <v>动态</v>
      </c>
      <c r="F96" t="str">
        <f ca="1">IFERROR(IF(0=LEN(ReferenceData!$F$96),"",ReferenceData!$F$96),"")</f>
        <v/>
      </c>
      <c r="G96">
        <f ca="1">IFERROR(IF(0=LEN(ReferenceData!$G$96),"",ReferenceData!$G$96),"")</f>
        <v>76.168000000000006</v>
      </c>
      <c r="H96">
        <f ca="1">IFERROR(IF(0=LEN(ReferenceData!$H$96),"",ReferenceData!$H$96),"")</f>
        <v>72.358999999999995</v>
      </c>
      <c r="I96">
        <f ca="1">IFERROR(IF(0=LEN(ReferenceData!$I$96),"",ReferenceData!$I$96),"")</f>
        <v>70.998000000000005</v>
      </c>
      <c r="J96">
        <f ca="1">IFERROR(IF(0=LEN(ReferenceData!$J$96),"",ReferenceData!$J$96),"")</f>
        <v>68.941999999999993</v>
      </c>
      <c r="K96">
        <f ca="1">IFERROR(IF(0=LEN(ReferenceData!$K$96),"",ReferenceData!$K$96),"")</f>
        <v>71.542000000000002</v>
      </c>
      <c r="L96">
        <f ca="1">IFERROR(IF(0=LEN(ReferenceData!$L$96),"",ReferenceData!$L$96),"")</f>
        <v>69.08</v>
      </c>
      <c r="M96">
        <f ca="1">IFERROR(IF(0=LEN(ReferenceData!$M$96),"",ReferenceData!$M$96),"")</f>
        <v>64.646000000000001</v>
      </c>
      <c r="N96">
        <f ca="1">IFERROR(IF(0=LEN(ReferenceData!$N$96),"",ReferenceData!$N$96),"")</f>
        <v>61.366</v>
      </c>
      <c r="O96">
        <f ca="1">IFERROR(IF(0=LEN(ReferenceData!$O$96),"",ReferenceData!$O$96),"")</f>
        <v>65.180999999999997</v>
      </c>
      <c r="P96">
        <f ca="1">IFERROR(IF(0=LEN(ReferenceData!$P$96),"",ReferenceData!$P$96),"")</f>
        <v>65.161000000000001</v>
      </c>
      <c r="Q96">
        <f ca="1">IFERROR(IF(0=LEN(ReferenceData!$Q$96),"",ReferenceData!$Q$96),"")</f>
        <v>61.165999999999997</v>
      </c>
      <c r="R96">
        <f ca="1">IFERROR(IF(0=LEN(ReferenceData!$R$96),"",ReferenceData!$R$96),"")</f>
        <v>56.889000000000003</v>
      </c>
      <c r="S96">
        <f ca="1">IFERROR(IF(0=LEN(ReferenceData!$S$96),"",ReferenceData!$S$96),"")</f>
        <v>60.984999999999999</v>
      </c>
      <c r="T96">
        <f ca="1">IFERROR(IF(0=LEN(ReferenceData!$T$96),"",ReferenceData!$T$96),"")</f>
        <v>61.057000000000002</v>
      </c>
      <c r="U96">
        <f ca="1">IFERROR(IF(0=LEN(ReferenceData!$U$96),"",ReferenceData!$U$96),"")</f>
        <v>57.822000000000003</v>
      </c>
      <c r="V96">
        <f ca="1">IFERROR(IF(0=LEN(ReferenceData!$V$96),"",ReferenceData!$V$96),"")</f>
        <v>54.43</v>
      </c>
      <c r="W96">
        <f ca="1">IFERROR(IF(0=LEN(ReferenceData!$W$96),"",ReferenceData!$W$96),"")</f>
        <v>62.978999999999999</v>
      </c>
      <c r="X96">
        <f ca="1">IFERROR(IF(0=LEN(ReferenceData!$X$96),"",ReferenceData!$X$96),"")</f>
        <v>57.753999999999998</v>
      </c>
      <c r="Y96">
        <f ca="1">IFERROR(IF(0=LEN(ReferenceData!$Y$96),"",ReferenceData!$Y$96),"")</f>
        <v>52.027999999999999</v>
      </c>
      <c r="Z96">
        <f ca="1">IFERROR(IF(0=LEN(ReferenceData!$Z$96),"",ReferenceData!$Z$96),"")</f>
        <v>50.802999999999997</v>
      </c>
      <c r="AA96">
        <f ca="1">IFERROR(IF(0=LEN(ReferenceData!$AA$96),"",ReferenceData!$AA$96),"")</f>
        <v>55.622999999999998</v>
      </c>
      <c r="AB96">
        <f ca="1">IFERROR(IF(0=LEN(ReferenceData!$AB$96),"",ReferenceData!$AB$96),"")</f>
        <v>53.850999999999999</v>
      </c>
      <c r="AC96">
        <f ca="1">IFERROR(IF(0=LEN(ReferenceData!$AC$96),"",ReferenceData!$AC$96),"")</f>
        <v>50.658999999999999</v>
      </c>
      <c r="AD96">
        <f ca="1">IFERROR(IF(0=LEN(ReferenceData!$AD$96),"",ReferenceData!$AD$96),"")</f>
        <v>48.134999999999998</v>
      </c>
      <c r="AE96">
        <f ca="1">IFERROR(IF(0=LEN(ReferenceData!$AE$96),"",ReferenceData!$AE$96),"")</f>
        <v>53.494</v>
      </c>
      <c r="AF96">
        <f ca="1">IFERROR(IF(0=LEN(ReferenceData!$AF$96),"",ReferenceData!$AF$96),"")</f>
        <v>49.140999999999998</v>
      </c>
      <c r="AG96">
        <f ca="1">IFERROR(IF(0=LEN(ReferenceData!$AG$96),"",ReferenceData!$AG$96),"")</f>
        <v>40.177</v>
      </c>
      <c r="AH96">
        <f ca="1">IFERROR(IF(0=LEN(ReferenceData!$AH$96),"",ReferenceData!$AH$96),"")</f>
        <v>39.139000000000003</v>
      </c>
      <c r="AI96">
        <f ca="1">IFERROR(IF(0=LEN(ReferenceData!$AI$96),"",ReferenceData!$AI$96),"")</f>
        <v>42.466000000000001</v>
      </c>
      <c r="AJ96">
        <f ca="1">IFERROR(IF(0=LEN(ReferenceData!$AJ$96),"",ReferenceData!$AJ$96),"")</f>
        <v>40.503</v>
      </c>
      <c r="AK96">
        <f ca="1">IFERROR(IF(0=LEN(ReferenceData!$AK$96),"",ReferenceData!$AK$96),"")</f>
        <v>37.243000000000002</v>
      </c>
      <c r="AL96">
        <f ca="1">IFERROR(IF(0=LEN(ReferenceData!$AL$96),"",ReferenceData!$AL$96),"")</f>
        <v>37.545000000000002</v>
      </c>
      <c r="AM96">
        <f ca="1">IFERROR(IF(0=LEN(ReferenceData!$AM$96),"",ReferenceData!$AM$96),"")</f>
        <v>41.634999999999998</v>
      </c>
      <c r="AN96">
        <f ca="1">IFERROR(IF(0=LEN(ReferenceData!$AN$96),"",ReferenceData!$AN$96),"")</f>
        <v>33.116</v>
      </c>
      <c r="AO96">
        <f ca="1">IFERROR(IF(0=LEN(ReferenceData!$AO$96),"",ReferenceData!$AO$96),"")</f>
        <v>38.121000000000002</v>
      </c>
      <c r="AP96">
        <f ca="1">IFERROR(IF(0=LEN(ReferenceData!$AP$96),"",ReferenceData!$AP$96),"")</f>
        <v>37.506999999999998</v>
      </c>
      <c r="AQ96">
        <f ca="1">IFERROR(IF(0=LEN(ReferenceData!$AQ$96),"",ReferenceData!$AQ$96),"")</f>
        <v>38.79</v>
      </c>
      <c r="AR96">
        <f ca="1">IFERROR(IF(0=LEN(ReferenceData!$AR$96),"",ReferenceData!$AR$96),"")</f>
        <v>35.905000000000001</v>
      </c>
      <c r="AS96">
        <f ca="1">IFERROR(IF(0=LEN(ReferenceData!$AS$96),"",ReferenceData!$AS$96),"")</f>
        <v>33.802999999999997</v>
      </c>
      <c r="AT96">
        <f ca="1">IFERROR(IF(0=LEN(ReferenceData!$AT$96),"",ReferenceData!$AT$96),"")</f>
        <v>32.786000000000001</v>
      </c>
      <c r="AU96">
        <f ca="1">IFERROR(IF(0=LEN(ReferenceData!$AU$96),"",ReferenceData!$AU$96),"")</f>
        <v>36.576000000000001</v>
      </c>
      <c r="AV96">
        <f ca="1">IFERROR(IF(0=LEN(ReferenceData!$AV$96),"",ReferenceData!$AV$96),"")</f>
        <v>34.36</v>
      </c>
      <c r="AW96">
        <f ca="1">IFERROR(IF(0=LEN(ReferenceData!$AW$96),"",ReferenceData!$AW$96),"")</f>
        <v>32.658000000000001</v>
      </c>
      <c r="AX96">
        <f ca="1">IFERROR(IF(0=LEN(ReferenceData!$AX$96),"",ReferenceData!$AX$96),"")</f>
        <v>31.925000000000001</v>
      </c>
      <c r="AY96">
        <f ca="1">IFERROR(IF(0=LEN(ReferenceData!$AY$96),"",ReferenceData!$AY$96),"")</f>
        <v>33.862000000000002</v>
      </c>
      <c r="AZ96">
        <f ca="1">IFERROR(IF(0=LEN(ReferenceData!$AZ$96),"",ReferenceData!$AZ$96),"")</f>
        <v>32.545999999999999</v>
      </c>
      <c r="BA96">
        <f ca="1">IFERROR(IF(0=LEN(ReferenceData!$BA$96),"",ReferenceData!$BA$96),"")</f>
        <v>30.456</v>
      </c>
      <c r="BB96">
        <f ca="1">IFERROR(IF(0=LEN(ReferenceData!$BB$96),"",ReferenceData!$BB$96),"")</f>
        <v>29.468</v>
      </c>
      <c r="BC96">
        <f ca="1">IFERROR(IF(0=LEN(ReferenceData!$BC$96),"",ReferenceData!$BC$96),"")</f>
        <v>32.954000000000001</v>
      </c>
      <c r="BD96">
        <f ca="1">IFERROR(IF(0=LEN(ReferenceData!$BD$96),"",ReferenceData!$BD$96),"")</f>
        <v>31.646000000000001</v>
      </c>
      <c r="BE96">
        <f ca="1">IFERROR(IF(0=LEN(ReferenceData!$BE$96),"",ReferenceData!$BE$96),"")</f>
        <v>29.9</v>
      </c>
      <c r="BF96">
        <f ca="1">IFERROR(IF(0=LEN(ReferenceData!$BF$96),"",ReferenceData!$BF$96),"")</f>
        <v>28.399000000000001</v>
      </c>
      <c r="BG96">
        <f ca="1">IFERROR(IF(0=LEN(ReferenceData!$BG$96),"",ReferenceData!$BG$96),"")</f>
        <v>32.328000000000003</v>
      </c>
      <c r="BH96">
        <f ca="1">IFERROR(IF(0=LEN(ReferenceData!$BH$96),"",ReferenceData!$BH$96),"")</f>
        <v>30.85</v>
      </c>
      <c r="BI96">
        <f ca="1">IFERROR(IF(0=LEN(ReferenceData!$BI$96),"",ReferenceData!$BI$96),"")</f>
        <v>30.850999999999999</v>
      </c>
      <c r="BJ96">
        <f ca="1">IFERROR(IF(0=LEN(ReferenceData!$BJ$96),"",ReferenceData!$BJ$96),"")</f>
        <v>28.91</v>
      </c>
      <c r="BK96">
        <f ca="1">IFERROR(IF(0=LEN(ReferenceData!$BK$96),"",ReferenceData!$BK$96),"")</f>
        <v>21.22000027</v>
      </c>
      <c r="BL96">
        <f ca="1">IFERROR(IF(0=LEN(ReferenceData!$BL$96),"",ReferenceData!$BL$96),"")</f>
        <v>17.3</v>
      </c>
      <c r="BM96">
        <f ca="1">IFERROR(IF(0=LEN(ReferenceData!$BM$96),"",ReferenceData!$BM$96),"")</f>
        <v>16.931000000000001</v>
      </c>
    </row>
    <row r="97" spans="1:65">
      <c r="A97" t="str">
        <f>IFERROR(IF(0=LEN(ReferenceData!$A$97),"",ReferenceData!$A$97),"")</f>
        <v xml:space="preserve">    VEREIT Inc</v>
      </c>
      <c r="B97" t="str">
        <f>IFERROR(IF(0=LEN(ReferenceData!$B$97),"",ReferenceData!$B$97),"")</f>
        <v>VER US Equity</v>
      </c>
      <c r="C97" t="str">
        <f>IFERROR(IF(0=LEN(ReferenceData!$C$97),"",ReferenceData!$C$97),"")</f>
        <v>RR009</v>
      </c>
      <c r="D97" t="str">
        <f>IFERROR(IF(0=LEN(ReferenceData!$D$97),"",ReferenceData!$D$97),"")</f>
        <v>EBITDA</v>
      </c>
      <c r="E97" t="str">
        <f>IFERROR(IF(0=LEN(ReferenceData!$E$97),"",ReferenceData!$E$97),"")</f>
        <v>动态</v>
      </c>
      <c r="F97" t="str">
        <f ca="1">IFERROR(IF(0=LEN(ReferenceData!$F$97),"",ReferenceData!$F$97),"")</f>
        <v/>
      </c>
      <c r="G97">
        <f ca="1">IFERROR(IF(0=LEN(ReferenceData!$G$97),"",ReferenceData!$G$97),"")</f>
        <v>233.91800000000001</v>
      </c>
      <c r="H97">
        <f ca="1">IFERROR(IF(0=LEN(ReferenceData!$H$97),"",ReferenceData!$H$97),"")</f>
        <v>254.13499999999999</v>
      </c>
      <c r="I97">
        <f ca="1">IFERROR(IF(0=LEN(ReferenceData!$I$97),"",ReferenceData!$I$97),"")</f>
        <v>246.33</v>
      </c>
      <c r="J97">
        <f ca="1">IFERROR(IF(0=LEN(ReferenceData!$J$97),"",ReferenceData!$J$97),"")</f>
        <v>268.71600000000001</v>
      </c>
      <c r="K97">
        <f ca="1">IFERROR(IF(0=LEN(ReferenceData!$K$97),"",ReferenceData!$K$97),"")</f>
        <v>143.58600000000001</v>
      </c>
      <c r="L97">
        <f ca="1">IFERROR(IF(0=LEN(ReferenceData!$L$97),"",ReferenceData!$L$97),"")</f>
        <v>285.69499999999999</v>
      </c>
      <c r="M97">
        <f ca="1">IFERROR(IF(0=LEN(ReferenceData!$M$97),"",ReferenceData!$M$97),"")</f>
        <v>285.529</v>
      </c>
      <c r="N97">
        <f ca="1">IFERROR(IF(0=LEN(ReferenceData!$N$97),"",ReferenceData!$N$97),"")</f>
        <v>145.209</v>
      </c>
      <c r="O97">
        <f ca="1">IFERROR(IF(0=LEN(ReferenceData!$O$97),"",ReferenceData!$O$97),"")</f>
        <v>82.971000000000004</v>
      </c>
      <c r="P97">
        <f ca="1">IFERROR(IF(0=LEN(ReferenceData!$P$97),"",ReferenceData!$P$97),"")</f>
        <v>313.93</v>
      </c>
      <c r="Q97">
        <f ca="1">IFERROR(IF(0=LEN(ReferenceData!$Q$97),"",ReferenceData!$Q$97),"")</f>
        <v>222.77600000000001</v>
      </c>
      <c r="R97">
        <f ca="1">IFERROR(IF(0=LEN(ReferenceData!$R$97),"",ReferenceData!$R$97),"")</f>
        <v>314.197</v>
      </c>
      <c r="S97">
        <f ca="1">IFERROR(IF(0=LEN(ReferenceData!$S$97),"",ReferenceData!$S$97),"")</f>
        <v>-61.31</v>
      </c>
      <c r="T97">
        <f ca="1">IFERROR(IF(0=LEN(ReferenceData!$T$97),"",ReferenceData!$T$97),"")</f>
        <v>352.81200000000001</v>
      </c>
      <c r="U97">
        <f ca="1">IFERROR(IF(0=LEN(ReferenceData!$U$97),"",ReferenceData!$U$97),"")</f>
        <v>320.04700000000003</v>
      </c>
      <c r="V97">
        <f ca="1">IFERROR(IF(0=LEN(ReferenceData!$V$97),"",ReferenceData!$V$97),"")</f>
        <v>54.189</v>
      </c>
      <c r="W97">
        <f ca="1">IFERROR(IF(0=LEN(ReferenceData!$W$97),"",ReferenceData!$W$97),"")</f>
        <v>-18.077000000000002</v>
      </c>
      <c r="X97">
        <f ca="1">IFERROR(IF(0=LEN(ReferenceData!$X$97),"",ReferenceData!$X$97),"")</f>
        <v>51.862000000000002</v>
      </c>
      <c r="Y97">
        <f ca="1">IFERROR(IF(0=LEN(ReferenceData!$Y$97),"",ReferenceData!$Y$97),"")</f>
        <v>4.8739999999999997</v>
      </c>
      <c r="Z97">
        <f ca="1">IFERROR(IF(0=LEN(ReferenceData!$Z$97),"",ReferenceData!$Z$97),"")</f>
        <v>-108.861</v>
      </c>
      <c r="AA97">
        <f ca="1">IFERROR(IF(0=LEN(ReferenceData!$AA$97),"",ReferenceData!$AA$97),"")</f>
        <v>8.3070000000000004</v>
      </c>
      <c r="AB97">
        <f ca="1">IFERROR(IF(0=LEN(ReferenceData!$AB$97),"",ReferenceData!$AB$97),"")</f>
        <v>2.8220000000000001</v>
      </c>
      <c r="AC97">
        <f ca="1">IFERROR(IF(0=LEN(ReferenceData!$AC$97),"",ReferenceData!$AC$97),"")</f>
        <v>3.0819999999999999</v>
      </c>
      <c r="AD97">
        <f ca="1">IFERROR(IF(0=LEN(ReferenceData!$AD$97),"",ReferenceData!$AD$97),"")</f>
        <v>0.502</v>
      </c>
      <c r="AE97">
        <f ca="1">IFERROR(IF(0=LEN(ReferenceData!$AE$97),"",ReferenceData!$AE$97),"")</f>
        <v>-0.933311</v>
      </c>
      <c r="AF97">
        <f ca="1">IFERROR(IF(0=LEN(ReferenceData!$AF$97),"",ReferenceData!$AF$97),"")</f>
        <v>-0.112</v>
      </c>
      <c r="AG97" t="str">
        <f ca="1">IFERROR(IF(0=LEN(ReferenceData!$AG$97),"",ReferenceData!$AG$97),"")</f>
        <v/>
      </c>
      <c r="AH97">
        <f ca="1">IFERROR(IF(0=LEN(ReferenceData!$AH$97),"",ReferenceData!$AH$97),"")</f>
        <v>1.9597960000000001</v>
      </c>
      <c r="AI97" t="str">
        <f ca="1">IFERROR(IF(0=LEN(ReferenceData!$AI$97),"",ReferenceData!$AI$97),"")</f>
        <v/>
      </c>
      <c r="AJ97" t="str">
        <f ca="1">IFERROR(IF(0=LEN(ReferenceData!$AJ$97),"",ReferenceData!$AJ$97),"")</f>
        <v/>
      </c>
      <c r="AK97" t="str">
        <f ca="1">IFERROR(IF(0=LEN(ReferenceData!$AK$97),"",ReferenceData!$AK$97),"")</f>
        <v/>
      </c>
      <c r="AL97">
        <f ca="1">IFERROR(IF(0=LEN(ReferenceData!$AL$97),"",ReferenceData!$AL$97),"")</f>
        <v>2.0385469999999999</v>
      </c>
      <c r="AM97" t="str">
        <f ca="1">IFERROR(IF(0=LEN(ReferenceData!$AM$97),"",ReferenceData!$AM$97),"")</f>
        <v/>
      </c>
      <c r="AN97" t="str">
        <f ca="1">IFERROR(IF(0=LEN(ReferenceData!$AN$97),"",ReferenceData!$AN$97),"")</f>
        <v/>
      </c>
      <c r="AO97" t="str">
        <f ca="1">IFERROR(IF(0=LEN(ReferenceData!$AO$97),"",ReferenceData!$AO$97),"")</f>
        <v/>
      </c>
      <c r="AP97" t="str">
        <f ca="1">IFERROR(IF(0=LEN(ReferenceData!$AP$97),"",ReferenceData!$AP$97),"")</f>
        <v/>
      </c>
      <c r="AQ97" t="str">
        <f ca="1">IFERROR(IF(0=LEN(ReferenceData!$AQ$97),"",ReferenceData!$AQ$97),"")</f>
        <v/>
      </c>
      <c r="AR97" t="str">
        <f ca="1">IFERROR(IF(0=LEN(ReferenceData!$AR$97),"",ReferenceData!$AR$97),"")</f>
        <v/>
      </c>
      <c r="AS97" t="str">
        <f ca="1">IFERROR(IF(0=LEN(ReferenceData!$AS$97),"",ReferenceData!$AS$97),"")</f>
        <v/>
      </c>
      <c r="AT97" t="str">
        <f ca="1">IFERROR(IF(0=LEN(ReferenceData!$AT$97),"",ReferenceData!$AT$97),"")</f>
        <v/>
      </c>
      <c r="AU97" t="str">
        <f ca="1">IFERROR(IF(0=LEN(ReferenceData!$AU$97),"",ReferenceData!$AU$97),"")</f>
        <v/>
      </c>
      <c r="AV97" t="str">
        <f ca="1">IFERROR(IF(0=LEN(ReferenceData!$AV$97),"",ReferenceData!$AV$97),"")</f>
        <v/>
      </c>
      <c r="AW97" t="str">
        <f ca="1">IFERROR(IF(0=LEN(ReferenceData!$AW$97),"",ReferenceData!$AW$97),"")</f>
        <v/>
      </c>
      <c r="AX97" t="str">
        <f ca="1">IFERROR(IF(0=LEN(ReferenceData!$AX$97),"",ReferenceData!$AX$97),"")</f>
        <v/>
      </c>
      <c r="AY97" t="str">
        <f ca="1">IFERROR(IF(0=LEN(ReferenceData!$AY$97),"",ReferenceData!$AY$97),"")</f>
        <v/>
      </c>
      <c r="AZ97" t="str">
        <f ca="1">IFERROR(IF(0=LEN(ReferenceData!$AZ$97),"",ReferenceData!$AZ$97),"")</f>
        <v/>
      </c>
      <c r="BA97" t="str">
        <f ca="1">IFERROR(IF(0=LEN(ReferenceData!$BA$97),"",ReferenceData!$BA$97),"")</f>
        <v/>
      </c>
      <c r="BB97" t="str">
        <f ca="1">IFERROR(IF(0=LEN(ReferenceData!$BB$97),"",ReferenceData!$BB$97),"")</f>
        <v/>
      </c>
      <c r="BC97" t="str">
        <f ca="1">IFERROR(IF(0=LEN(ReferenceData!$BC$97),"",ReferenceData!$BC$97),"")</f>
        <v/>
      </c>
      <c r="BD97" t="str">
        <f ca="1">IFERROR(IF(0=LEN(ReferenceData!$BD$97),"",ReferenceData!$BD$97),"")</f>
        <v/>
      </c>
      <c r="BE97" t="str">
        <f ca="1">IFERROR(IF(0=LEN(ReferenceData!$BE$97),"",ReferenceData!$BE$97),"")</f>
        <v/>
      </c>
      <c r="BF97" t="str">
        <f ca="1">IFERROR(IF(0=LEN(ReferenceData!$BF$97),"",ReferenceData!$BF$97),"")</f>
        <v/>
      </c>
      <c r="BG97" t="str">
        <f ca="1">IFERROR(IF(0=LEN(ReferenceData!$BG$97),"",ReferenceData!$BG$97),"")</f>
        <v/>
      </c>
      <c r="BH97" t="str">
        <f ca="1">IFERROR(IF(0=LEN(ReferenceData!$BH$97),"",ReferenceData!$BH$97),"")</f>
        <v/>
      </c>
      <c r="BI97" t="str">
        <f ca="1">IFERROR(IF(0=LEN(ReferenceData!$BI$97),"",ReferenceData!$BI$97),"")</f>
        <v/>
      </c>
      <c r="BJ97" t="str">
        <f ca="1">IFERROR(IF(0=LEN(ReferenceData!$BJ$97),"",ReferenceData!$BJ$97),"")</f>
        <v/>
      </c>
      <c r="BK97" t="str">
        <f ca="1">IFERROR(IF(0=LEN(ReferenceData!$BK$97),"",ReferenceData!$BK$97),"")</f>
        <v/>
      </c>
      <c r="BL97" t="str">
        <f ca="1">IFERROR(IF(0=LEN(ReferenceData!$BL$97),"",ReferenceData!$BL$97),"")</f>
        <v/>
      </c>
      <c r="BM97" t="str">
        <f ca="1">IFERROR(IF(0=LEN(ReferenceData!$BM$97),"",ReferenceData!$BM$97),"")</f>
        <v/>
      </c>
    </row>
    <row r="98" spans="1:65">
      <c r="A98" t="str">
        <f>IFERROR(IF(0=LEN(ReferenceData!$A$98),"",ReferenceData!$A$98),"")</f>
        <v xml:space="preserve">    Washington Prime Group Inc</v>
      </c>
      <c r="B98" t="str">
        <f>IFERROR(IF(0=LEN(ReferenceData!$B$98),"",ReferenceData!$B$98),"")</f>
        <v>WPG US Equity</v>
      </c>
      <c r="C98" t="str">
        <f>IFERROR(IF(0=LEN(ReferenceData!$C$98),"",ReferenceData!$C$98),"")</f>
        <v>RR009</v>
      </c>
      <c r="D98" t="str">
        <f>IFERROR(IF(0=LEN(ReferenceData!$D$98),"",ReferenceData!$D$98),"")</f>
        <v>EBITDA</v>
      </c>
      <c r="E98" t="str">
        <f>IFERROR(IF(0=LEN(ReferenceData!$E$98),"",ReferenceData!$E$98),"")</f>
        <v>动态</v>
      </c>
      <c r="F98" t="str">
        <f ca="1">IFERROR(IF(0=LEN(ReferenceData!$F$98),"",ReferenceData!$F$98),"")</f>
        <v/>
      </c>
      <c r="G98">
        <f ca="1">IFERROR(IF(0=LEN(ReferenceData!$G$98),"",ReferenceData!$G$98),"")</f>
        <v>82.039000000000001</v>
      </c>
      <c r="H98">
        <f ca="1">IFERROR(IF(0=LEN(ReferenceData!$H$98),"",ReferenceData!$H$98),"")</f>
        <v>91.391000000000005</v>
      </c>
      <c r="I98">
        <f ca="1">IFERROR(IF(0=LEN(ReferenceData!$I$98),"",ReferenceData!$I$98),"")</f>
        <v>115.759</v>
      </c>
      <c r="J98">
        <f ca="1">IFERROR(IF(0=LEN(ReferenceData!$J$98),"",ReferenceData!$J$98),"")</f>
        <v>116.52500000000001</v>
      </c>
      <c r="K98">
        <f ca="1">IFERROR(IF(0=LEN(ReferenceData!$K$98),"",ReferenceData!$K$98),"")</f>
        <v>134.06299999999999</v>
      </c>
      <c r="L98">
        <f ca="1">IFERROR(IF(0=LEN(ReferenceData!$L$98),"",ReferenceData!$L$98),"")</f>
        <v>106.874</v>
      </c>
      <c r="M98">
        <f ca="1">IFERROR(IF(0=LEN(ReferenceData!$M$98),"",ReferenceData!$M$98),"")</f>
        <v>103.93300000000001</v>
      </c>
      <c r="N98">
        <f ca="1">IFERROR(IF(0=LEN(ReferenceData!$N$98),"",ReferenceData!$N$98),"")</f>
        <v>125.755</v>
      </c>
      <c r="O98">
        <f ca="1">IFERROR(IF(0=LEN(ReferenceData!$O$98),"",ReferenceData!$O$98),"")</f>
        <v>-3.464</v>
      </c>
      <c r="P98">
        <f ca="1">IFERROR(IF(0=LEN(ReferenceData!$P$98),"",ReferenceData!$P$98),"")</f>
        <v>115.36499999999999</v>
      </c>
      <c r="Q98">
        <f ca="1">IFERROR(IF(0=LEN(ReferenceData!$Q$98),"",ReferenceData!$Q$98),"")</f>
        <v>133.399</v>
      </c>
      <c r="R98">
        <f ca="1">IFERROR(IF(0=LEN(ReferenceData!$R$98),"",ReferenceData!$R$98),"")</f>
        <v>118.32899999999999</v>
      </c>
      <c r="S98">
        <f ca="1">IFERROR(IF(0=LEN(ReferenceData!$S$98),"",ReferenceData!$S$98),"")</f>
        <v>108.96</v>
      </c>
      <c r="T98">
        <f ca="1">IFERROR(IF(0=LEN(ReferenceData!$T$98),"",ReferenceData!$T$98),"")</f>
        <v>103.125</v>
      </c>
      <c r="U98">
        <f ca="1">IFERROR(IF(0=LEN(ReferenceData!$U$98),"",ReferenceData!$U$98),"")</f>
        <v>62.718000000000004</v>
      </c>
      <c r="V98">
        <f ca="1">IFERROR(IF(0=LEN(ReferenceData!$V$98),"",ReferenceData!$V$98),"")</f>
        <v>101.292</v>
      </c>
      <c r="W98" t="str">
        <f ca="1">IFERROR(IF(0=LEN(ReferenceData!$W$98),"",ReferenceData!$W$98),"")</f>
        <v/>
      </c>
      <c r="X98" t="str">
        <f ca="1">IFERROR(IF(0=LEN(ReferenceData!$X$98),"",ReferenceData!$X$98),"")</f>
        <v/>
      </c>
      <c r="Y98" t="str">
        <f ca="1">IFERROR(IF(0=LEN(ReferenceData!$Y$98),"",ReferenceData!$Y$98),"")</f>
        <v/>
      </c>
      <c r="Z98" t="str">
        <f ca="1">IFERROR(IF(0=LEN(ReferenceData!$Z$98),"",ReferenceData!$Z$98),"")</f>
        <v/>
      </c>
      <c r="AA98" t="str">
        <f ca="1">IFERROR(IF(0=LEN(ReferenceData!$AA$98),"",ReferenceData!$AA$98),"")</f>
        <v/>
      </c>
      <c r="AB98" t="str">
        <f ca="1">IFERROR(IF(0=LEN(ReferenceData!$AB$98),"",ReferenceData!$AB$98),"")</f>
        <v/>
      </c>
      <c r="AC98" t="str">
        <f ca="1">IFERROR(IF(0=LEN(ReferenceData!$AC$98),"",ReferenceData!$AC$98),"")</f>
        <v/>
      </c>
      <c r="AD98" t="str">
        <f ca="1">IFERROR(IF(0=LEN(ReferenceData!$AD$98),"",ReferenceData!$AD$98),"")</f>
        <v/>
      </c>
      <c r="AE98" t="str">
        <f ca="1">IFERROR(IF(0=LEN(ReferenceData!$AE$98),"",ReferenceData!$AE$98),"")</f>
        <v/>
      </c>
      <c r="AF98" t="str">
        <f ca="1">IFERROR(IF(0=LEN(ReferenceData!$AF$98),"",ReferenceData!$AF$98),"")</f>
        <v/>
      </c>
      <c r="AG98" t="str">
        <f ca="1">IFERROR(IF(0=LEN(ReferenceData!$AG$98),"",ReferenceData!$AG$98),"")</f>
        <v/>
      </c>
      <c r="AH98" t="str">
        <f ca="1">IFERROR(IF(0=LEN(ReferenceData!$AH$98),"",ReferenceData!$AH$98),"")</f>
        <v/>
      </c>
      <c r="AI98" t="str">
        <f ca="1">IFERROR(IF(0=LEN(ReferenceData!$AI$98),"",ReferenceData!$AI$98),"")</f>
        <v/>
      </c>
      <c r="AJ98" t="str">
        <f ca="1">IFERROR(IF(0=LEN(ReferenceData!$AJ$98),"",ReferenceData!$AJ$98),"")</f>
        <v/>
      </c>
      <c r="AK98" t="str">
        <f ca="1">IFERROR(IF(0=LEN(ReferenceData!$AK$98),"",ReferenceData!$AK$98),"")</f>
        <v/>
      </c>
      <c r="AL98" t="str">
        <f ca="1">IFERROR(IF(0=LEN(ReferenceData!$AL$98),"",ReferenceData!$AL$98),"")</f>
        <v/>
      </c>
      <c r="AM98" t="str">
        <f ca="1">IFERROR(IF(0=LEN(ReferenceData!$AM$98),"",ReferenceData!$AM$98),"")</f>
        <v/>
      </c>
      <c r="AN98" t="str">
        <f ca="1">IFERROR(IF(0=LEN(ReferenceData!$AN$98),"",ReferenceData!$AN$98),"")</f>
        <v/>
      </c>
      <c r="AO98" t="str">
        <f ca="1">IFERROR(IF(0=LEN(ReferenceData!$AO$98),"",ReferenceData!$AO$98),"")</f>
        <v/>
      </c>
      <c r="AP98" t="str">
        <f ca="1">IFERROR(IF(0=LEN(ReferenceData!$AP$98),"",ReferenceData!$AP$98),"")</f>
        <v/>
      </c>
      <c r="AQ98" t="str">
        <f ca="1">IFERROR(IF(0=LEN(ReferenceData!$AQ$98),"",ReferenceData!$AQ$98),"")</f>
        <v/>
      </c>
      <c r="AR98" t="str">
        <f ca="1">IFERROR(IF(0=LEN(ReferenceData!$AR$98),"",ReferenceData!$AR$98),"")</f>
        <v/>
      </c>
      <c r="AS98" t="str">
        <f ca="1">IFERROR(IF(0=LEN(ReferenceData!$AS$98),"",ReferenceData!$AS$98),"")</f>
        <v/>
      </c>
      <c r="AT98" t="str">
        <f ca="1">IFERROR(IF(0=LEN(ReferenceData!$AT$98),"",ReferenceData!$AT$98),"")</f>
        <v/>
      </c>
      <c r="AU98" t="str">
        <f ca="1">IFERROR(IF(0=LEN(ReferenceData!$AU$98),"",ReferenceData!$AU$98),"")</f>
        <v/>
      </c>
      <c r="AV98" t="str">
        <f ca="1">IFERROR(IF(0=LEN(ReferenceData!$AV$98),"",ReferenceData!$AV$98),"")</f>
        <v/>
      </c>
      <c r="AW98" t="str">
        <f ca="1">IFERROR(IF(0=LEN(ReferenceData!$AW$98),"",ReferenceData!$AW$98),"")</f>
        <v/>
      </c>
      <c r="AX98" t="str">
        <f ca="1">IFERROR(IF(0=LEN(ReferenceData!$AX$98),"",ReferenceData!$AX$98),"")</f>
        <v/>
      </c>
      <c r="AY98" t="str">
        <f ca="1">IFERROR(IF(0=LEN(ReferenceData!$AY$98),"",ReferenceData!$AY$98),"")</f>
        <v/>
      </c>
      <c r="AZ98" t="str">
        <f ca="1">IFERROR(IF(0=LEN(ReferenceData!$AZ$98),"",ReferenceData!$AZ$98),"")</f>
        <v/>
      </c>
      <c r="BA98" t="str">
        <f ca="1">IFERROR(IF(0=LEN(ReferenceData!$BA$98),"",ReferenceData!$BA$98),"")</f>
        <v/>
      </c>
      <c r="BB98" t="str">
        <f ca="1">IFERROR(IF(0=LEN(ReferenceData!$BB$98),"",ReferenceData!$BB$98),"")</f>
        <v/>
      </c>
      <c r="BC98" t="str">
        <f ca="1">IFERROR(IF(0=LEN(ReferenceData!$BC$98),"",ReferenceData!$BC$98),"")</f>
        <v/>
      </c>
      <c r="BD98" t="str">
        <f ca="1">IFERROR(IF(0=LEN(ReferenceData!$BD$98),"",ReferenceData!$BD$98),"")</f>
        <v/>
      </c>
      <c r="BE98" t="str">
        <f ca="1">IFERROR(IF(0=LEN(ReferenceData!$BE$98),"",ReferenceData!$BE$98),"")</f>
        <v/>
      </c>
      <c r="BF98" t="str">
        <f ca="1">IFERROR(IF(0=LEN(ReferenceData!$BF$98),"",ReferenceData!$BF$98),"")</f>
        <v/>
      </c>
      <c r="BG98" t="str">
        <f ca="1">IFERROR(IF(0=LEN(ReferenceData!$BG$98),"",ReferenceData!$BG$98),"")</f>
        <v/>
      </c>
      <c r="BH98" t="str">
        <f ca="1">IFERROR(IF(0=LEN(ReferenceData!$BH$98),"",ReferenceData!$BH$98),"")</f>
        <v/>
      </c>
      <c r="BI98" t="str">
        <f ca="1">IFERROR(IF(0=LEN(ReferenceData!$BI$98),"",ReferenceData!$BI$98),"")</f>
        <v/>
      </c>
      <c r="BJ98" t="str">
        <f ca="1">IFERROR(IF(0=LEN(ReferenceData!$BJ$98),"",ReferenceData!$BJ$98),"")</f>
        <v/>
      </c>
      <c r="BK98" t="str">
        <f ca="1">IFERROR(IF(0=LEN(ReferenceData!$BK$98),"",ReferenceData!$BK$98),"")</f>
        <v/>
      </c>
      <c r="BL98" t="str">
        <f ca="1">IFERROR(IF(0=LEN(ReferenceData!$BL$98),"",ReferenceData!$BL$98),"")</f>
        <v/>
      </c>
      <c r="BM98" t="str">
        <f ca="1">IFERROR(IF(0=LEN(ReferenceData!$BM$98),"",ReferenceData!$BM$98),"")</f>
        <v/>
      </c>
    </row>
    <row r="99" spans="1:65">
      <c r="A99" t="str">
        <f>IFERROR(IF(0=LEN(ReferenceData!$A$99),"",ReferenceData!$A$99),"")</f>
        <v xml:space="preserve">    Weingarten Realty Investors</v>
      </c>
      <c r="B99" t="str">
        <f>IFERROR(IF(0=LEN(ReferenceData!$B$99),"",ReferenceData!$B$99),"")</f>
        <v>WRI US Equity</v>
      </c>
      <c r="C99" t="str">
        <f>IFERROR(IF(0=LEN(ReferenceData!$C$99),"",ReferenceData!$C$99),"")</f>
        <v>RR009</v>
      </c>
      <c r="D99" t="str">
        <f>IFERROR(IF(0=LEN(ReferenceData!$D$99),"",ReferenceData!$D$99),"")</f>
        <v>EBITDA</v>
      </c>
      <c r="E99" t="str">
        <f>IFERROR(IF(0=LEN(ReferenceData!$E$99),"",ReferenceData!$E$99),"")</f>
        <v>动态</v>
      </c>
      <c r="F99" t="str">
        <f ca="1">IFERROR(IF(0=LEN(ReferenceData!$F$99),"",ReferenceData!$F$99),"")</f>
        <v/>
      </c>
      <c r="G99">
        <f ca="1">IFERROR(IF(0=LEN(ReferenceData!$G$99),"",ReferenceData!$G$99),"")</f>
        <v>88.034999999999997</v>
      </c>
      <c r="H99">
        <f ca="1">IFERROR(IF(0=LEN(ReferenceData!$H$99),"",ReferenceData!$H$99),"")</f>
        <v>91.126000000000005</v>
      </c>
      <c r="I99">
        <f ca="1">IFERROR(IF(0=LEN(ReferenceData!$I$99),"",ReferenceData!$I$99),"")</f>
        <v>91.63</v>
      </c>
      <c r="J99">
        <f ca="1">IFERROR(IF(0=LEN(ReferenceData!$J$99),"",ReferenceData!$J$99),"")</f>
        <v>73.733999999999995</v>
      </c>
      <c r="K99">
        <f ca="1">IFERROR(IF(0=LEN(ReferenceData!$K$99),"",ReferenceData!$K$99),"")</f>
        <v>93.506</v>
      </c>
      <c r="L99">
        <f ca="1">IFERROR(IF(0=LEN(ReferenceData!$L$99),"",ReferenceData!$L$99),"")</f>
        <v>89.584999999999994</v>
      </c>
      <c r="M99">
        <f ca="1">IFERROR(IF(0=LEN(ReferenceData!$M$99),"",ReferenceData!$M$99),"")</f>
        <v>87.403999999999996</v>
      </c>
      <c r="N99">
        <f ca="1">IFERROR(IF(0=LEN(ReferenceData!$N$99),"",ReferenceData!$N$99),"")</f>
        <v>86.483000000000004</v>
      </c>
      <c r="O99">
        <f ca="1">IFERROR(IF(0=LEN(ReferenceData!$O$99),"",ReferenceData!$O$99),"")</f>
        <v>82.588999999999999</v>
      </c>
      <c r="P99">
        <f ca="1">IFERROR(IF(0=LEN(ReferenceData!$P$99),"",ReferenceData!$P$99),"")</f>
        <v>84.537999999999997</v>
      </c>
      <c r="Q99">
        <f ca="1">IFERROR(IF(0=LEN(ReferenceData!$Q$99),"",ReferenceData!$Q$99),"")</f>
        <v>82.492000000000004</v>
      </c>
      <c r="R99">
        <f ca="1">IFERROR(IF(0=LEN(ReferenceData!$R$99),"",ReferenceData!$R$99),"")</f>
        <v>81.015000000000001</v>
      </c>
      <c r="S99">
        <f ca="1">IFERROR(IF(0=LEN(ReferenceData!$S$99),"",ReferenceData!$S$99),"")</f>
        <v>80.376999999999995</v>
      </c>
      <c r="T99">
        <f ca="1">IFERROR(IF(0=LEN(ReferenceData!$T$99),"",ReferenceData!$T$99),"")</f>
        <v>85.509</v>
      </c>
      <c r="U99">
        <f ca="1">IFERROR(IF(0=LEN(ReferenceData!$U$99),"",ReferenceData!$U$99),"")</f>
        <v>84.093000000000004</v>
      </c>
      <c r="V99">
        <f ca="1">IFERROR(IF(0=LEN(ReferenceData!$V$99),"",ReferenceData!$V$99),"")</f>
        <v>82.674999999999997</v>
      </c>
      <c r="W99">
        <f ca="1">IFERROR(IF(0=LEN(ReferenceData!$W$99),"",ReferenceData!$W$99),"")</f>
        <v>80.281000000000006</v>
      </c>
      <c r="X99">
        <f ca="1">IFERROR(IF(0=LEN(ReferenceData!$X$99),"",ReferenceData!$X$99),"")</f>
        <v>78.093999999999994</v>
      </c>
      <c r="Y99">
        <f ca="1">IFERROR(IF(0=LEN(ReferenceData!$Y$99),"",ReferenceData!$Y$99),"")</f>
        <v>81.135000000000005</v>
      </c>
      <c r="Z99">
        <f ca="1">IFERROR(IF(0=LEN(ReferenceData!$Z$99),"",ReferenceData!$Z$99),"")</f>
        <v>78.022999999999996</v>
      </c>
      <c r="AA99">
        <f ca="1">IFERROR(IF(0=LEN(ReferenceData!$AA$99),"",ReferenceData!$AA$99),"")</f>
        <v>79.025000000000006</v>
      </c>
      <c r="AB99">
        <f ca="1">IFERROR(IF(0=LEN(ReferenceData!$AB$99),"",ReferenceData!$AB$99),"")</f>
        <v>78.364999999999995</v>
      </c>
      <c r="AC99">
        <f ca="1">IFERROR(IF(0=LEN(ReferenceData!$AC$99),"",ReferenceData!$AC$99),"")</f>
        <v>74.844999999999999</v>
      </c>
      <c r="AD99">
        <f ca="1">IFERROR(IF(0=LEN(ReferenceData!$AD$99),"",ReferenceData!$AD$99),"")</f>
        <v>73.033000000000001</v>
      </c>
      <c r="AE99">
        <f ca="1">IFERROR(IF(0=LEN(ReferenceData!$AE$99),"",ReferenceData!$AE$99),"")</f>
        <v>78.873000000000005</v>
      </c>
      <c r="AF99">
        <f ca="1">IFERROR(IF(0=LEN(ReferenceData!$AF$99),"",ReferenceData!$AF$99),"")</f>
        <v>55.081000000000003</v>
      </c>
      <c r="AG99">
        <f ca="1">IFERROR(IF(0=LEN(ReferenceData!$AG$99),"",ReferenceData!$AG$99),"")</f>
        <v>66.808000000000007</v>
      </c>
      <c r="AH99">
        <f ca="1">IFERROR(IF(0=LEN(ReferenceData!$AH$99),"",ReferenceData!$AH$99),"")</f>
        <v>80.787999999999997</v>
      </c>
      <c r="AI99">
        <f ca="1">IFERROR(IF(0=LEN(ReferenceData!$AI$99),"",ReferenceData!$AI$99),"")</f>
        <v>75.132999999999996</v>
      </c>
      <c r="AJ99">
        <f ca="1">IFERROR(IF(0=LEN(ReferenceData!$AJ$99),"",ReferenceData!$AJ$99),"")</f>
        <v>84.656000000000006</v>
      </c>
      <c r="AK99">
        <f ca="1">IFERROR(IF(0=LEN(ReferenceData!$AK$99),"",ReferenceData!$AK$99),"")</f>
        <v>74.409000000000006</v>
      </c>
      <c r="AL99">
        <f ca="1">IFERROR(IF(0=LEN(ReferenceData!$AL$99),"",ReferenceData!$AL$99),"")</f>
        <v>87.39</v>
      </c>
      <c r="AM99">
        <f ca="1">IFERROR(IF(0=LEN(ReferenceData!$AM$99),"",ReferenceData!$AM$99),"")</f>
        <v>89.608000000000004</v>
      </c>
      <c r="AN99">
        <f ca="1">IFERROR(IF(0=LEN(ReferenceData!$AN$99),"",ReferenceData!$AN$99),"")</f>
        <v>61.6</v>
      </c>
      <c r="AO99">
        <f ca="1">IFERROR(IF(0=LEN(ReferenceData!$AO$99),"",ReferenceData!$AO$99),"")</f>
        <v>91.569000000000003</v>
      </c>
      <c r="AP99">
        <f ca="1">IFERROR(IF(0=LEN(ReferenceData!$AP$99),"",ReferenceData!$AP$99),"")</f>
        <v>98.734999999999999</v>
      </c>
      <c r="AQ99">
        <f ca="1">IFERROR(IF(0=LEN(ReferenceData!$AQ$99),"",ReferenceData!$AQ$99),"")</f>
        <v>87.430999999999997</v>
      </c>
      <c r="AR99">
        <f ca="1">IFERROR(IF(0=LEN(ReferenceData!$AR$99),"",ReferenceData!$AR$99),"")</f>
        <v>103.384</v>
      </c>
      <c r="AS99">
        <f ca="1">IFERROR(IF(0=LEN(ReferenceData!$AS$99),"",ReferenceData!$AS$99),"")</f>
        <v>102.643</v>
      </c>
      <c r="AT99">
        <f ca="1">IFERROR(IF(0=LEN(ReferenceData!$AT$99),"",ReferenceData!$AT$99),"")</f>
        <v>101.69499999999999</v>
      </c>
      <c r="AU99">
        <f ca="1">IFERROR(IF(0=LEN(ReferenceData!$AU$99),"",ReferenceData!$AU$99),"")</f>
        <v>99.661000000000001</v>
      </c>
      <c r="AV99">
        <f ca="1">IFERROR(IF(0=LEN(ReferenceData!$AV$99),"",ReferenceData!$AV$99),"")</f>
        <v>100.44799999999999</v>
      </c>
      <c r="AW99">
        <f ca="1">IFERROR(IF(0=LEN(ReferenceData!$AW$99),"",ReferenceData!$AW$99),"")</f>
        <v>96.513999999999996</v>
      </c>
      <c r="AX99">
        <f ca="1">IFERROR(IF(0=LEN(ReferenceData!$AX$99),"",ReferenceData!$AX$99),"")</f>
        <v>100.264</v>
      </c>
      <c r="AY99">
        <f ca="1">IFERROR(IF(0=LEN(ReferenceData!$AY$99),"",ReferenceData!$AY$99),"")</f>
        <v>99.209000000000003</v>
      </c>
      <c r="AZ99">
        <f ca="1">IFERROR(IF(0=LEN(ReferenceData!$AZ$99),"",ReferenceData!$AZ$99),"")</f>
        <v>93.605000000000004</v>
      </c>
      <c r="BA99">
        <f ca="1">IFERROR(IF(0=LEN(ReferenceData!$BA$99),"",ReferenceData!$BA$99),"")</f>
        <v>93.531999999999996</v>
      </c>
      <c r="BB99">
        <f ca="1">IFERROR(IF(0=LEN(ReferenceData!$BB$99),"",ReferenceData!$BB$99),"")</f>
        <v>96.084000000000003</v>
      </c>
      <c r="BC99">
        <f ca="1">IFERROR(IF(0=LEN(ReferenceData!$BC$99),"",ReferenceData!$BC$99),"")</f>
        <v>89.944999999999993</v>
      </c>
      <c r="BD99">
        <f ca="1">IFERROR(IF(0=LEN(ReferenceData!$BD$99),"",ReferenceData!$BD$99),"")</f>
        <v>94.513999999999996</v>
      </c>
      <c r="BE99">
        <f ca="1">IFERROR(IF(0=LEN(ReferenceData!$BE$99),"",ReferenceData!$BE$99),"")</f>
        <v>94.959000000000003</v>
      </c>
      <c r="BF99">
        <f ca="1">IFERROR(IF(0=LEN(ReferenceData!$BF$99),"",ReferenceData!$BF$99),"")</f>
        <v>92.429000000000002</v>
      </c>
      <c r="BG99">
        <f ca="1">IFERROR(IF(0=LEN(ReferenceData!$BG$99),"",ReferenceData!$BG$99),"")</f>
        <v>93.501000000000005</v>
      </c>
      <c r="BH99">
        <f ca="1">IFERROR(IF(0=LEN(ReferenceData!$BH$99),"",ReferenceData!$BH$99),"")</f>
        <v>89.19</v>
      </c>
      <c r="BI99">
        <f ca="1">IFERROR(IF(0=LEN(ReferenceData!$BI$99),"",ReferenceData!$BI$99),"")</f>
        <v>85.184999469999994</v>
      </c>
      <c r="BJ99">
        <f ca="1">IFERROR(IF(0=LEN(ReferenceData!$BJ$99),"",ReferenceData!$BJ$99),"")</f>
        <v>81.216999000000001</v>
      </c>
      <c r="BK99">
        <f ca="1">IFERROR(IF(0=LEN(ReferenceData!$BK$99),"",ReferenceData!$BK$99),"")</f>
        <v>76.935001999999997</v>
      </c>
      <c r="BL99">
        <f ca="1">IFERROR(IF(0=LEN(ReferenceData!$BL$99),"",ReferenceData!$BL$99),"")</f>
        <v>73.917998999999995</v>
      </c>
      <c r="BM99">
        <f ca="1">IFERROR(IF(0=LEN(ReferenceData!$BM$99),"",ReferenceData!$BM$99),"")</f>
        <v>71.542998999999995</v>
      </c>
    </row>
    <row r="100" spans="1:65">
      <c r="A100" t="str">
        <f>IFERROR(IF(0=LEN(ReferenceData!$A$100),"",ReferenceData!$A$100),"")</f>
        <v>调整后EBITDA</v>
      </c>
      <c r="B100" t="str">
        <f>IFERROR(IF(0=LEN(ReferenceData!$B$100),"",ReferenceData!$B$100),"")</f>
        <v/>
      </c>
      <c r="C100" t="str">
        <f>IFERROR(IF(0=LEN(ReferenceData!$C$100),"",ReferenceData!$C$100),"")</f>
        <v/>
      </c>
      <c r="D100" t="str">
        <f>IFERROR(IF(0=LEN(ReferenceData!$D$100),"",ReferenceData!$D$100),"")</f>
        <v/>
      </c>
      <c r="E100" t="str">
        <f>IFERROR(IF(0=LEN(ReferenceData!$E$100),"",ReferenceData!$E$100),"")</f>
        <v>Median</v>
      </c>
      <c r="F100" t="str">
        <f ca="1">IFERROR(IF(0=LEN(ReferenceData!$F$100),"",ReferenceData!$F$100),"")</f>
        <v/>
      </c>
      <c r="G100">
        <f ca="1">IFERROR(IF(0=LEN(ReferenceData!$G$100),"",ReferenceData!$G$100),"")</f>
        <v>155.64400000000001</v>
      </c>
      <c r="H100">
        <f ca="1">IFERROR(IF(0=LEN(ReferenceData!$H$100),"",ReferenceData!$H$100),"")</f>
        <v>167.505</v>
      </c>
      <c r="I100">
        <f ca="1">IFERROR(IF(0=LEN(ReferenceData!$I$100),"",ReferenceData!$I$100),"")</f>
        <v>166.15299999999999</v>
      </c>
      <c r="J100">
        <f ca="1">IFERROR(IF(0=LEN(ReferenceData!$J$100),"",ReferenceData!$J$100),"")</f>
        <v>168.1</v>
      </c>
      <c r="K100">
        <f ca="1">IFERROR(IF(0=LEN(ReferenceData!$K$100),"",ReferenceData!$K$100),"")</f>
        <v>177.297</v>
      </c>
      <c r="L100">
        <f ca="1">IFERROR(IF(0=LEN(ReferenceData!$L$100),"",ReferenceData!$L$100),"")</f>
        <v>182.43299999999999</v>
      </c>
      <c r="M100">
        <f ca="1">IFERROR(IF(0=LEN(ReferenceData!$M$100),"",ReferenceData!$M$100),"")</f>
        <v>161.00799999999998</v>
      </c>
      <c r="N100">
        <f ca="1">IFERROR(IF(0=LEN(ReferenceData!$N$100),"",ReferenceData!$N$100),"")</f>
        <v>131.94549999999998</v>
      </c>
      <c r="O100">
        <f ca="1">IFERROR(IF(0=LEN(ReferenceData!$O$100),"",ReferenceData!$O$100),"")</f>
        <v>149.864</v>
      </c>
      <c r="P100">
        <f ca="1">IFERROR(IF(0=LEN(ReferenceData!$P$100),"",ReferenceData!$P$100),"")</f>
        <v>139.67599999999999</v>
      </c>
      <c r="Q100">
        <f ca="1">IFERROR(IF(0=LEN(ReferenceData!$Q$100),"",ReferenceData!$Q$100),"")</f>
        <v>144.99100000000001</v>
      </c>
      <c r="R100">
        <f ca="1">IFERROR(IF(0=LEN(ReferenceData!$R$100),"",ReferenceData!$R$100),"")</f>
        <v>145.23500000000001</v>
      </c>
      <c r="S100">
        <f ca="1">IFERROR(IF(0=LEN(ReferenceData!$S$100),"",ReferenceData!$S$100),"")</f>
        <v>115.355</v>
      </c>
      <c r="T100">
        <f ca="1">IFERROR(IF(0=LEN(ReferenceData!$T$100),"",ReferenceData!$T$100),"")</f>
        <v>156.988</v>
      </c>
      <c r="U100">
        <f ca="1">IFERROR(IF(0=LEN(ReferenceData!$U$100),"",ReferenceData!$U$100),"")</f>
        <v>153.36350000000002</v>
      </c>
      <c r="V100">
        <f ca="1">IFERROR(IF(0=LEN(ReferenceData!$V$100),"",ReferenceData!$V$100),"")</f>
        <v>107.50700000000001</v>
      </c>
      <c r="W100">
        <f ca="1">IFERROR(IF(0=LEN(ReferenceData!$W$100),"",ReferenceData!$W$100),"")</f>
        <v>115.182</v>
      </c>
      <c r="X100">
        <f ca="1">IFERROR(IF(0=LEN(ReferenceData!$X$100),"",ReferenceData!$X$100),"")</f>
        <v>100.47800000000001</v>
      </c>
      <c r="Y100">
        <f ca="1">IFERROR(IF(0=LEN(ReferenceData!$Y$100),"",ReferenceData!$Y$100),"")</f>
        <v>104.13800000000001</v>
      </c>
      <c r="Z100">
        <f ca="1">IFERROR(IF(0=LEN(ReferenceData!$Z$100),"",ReferenceData!$Z$100),"")</f>
        <v>103.84099999999999</v>
      </c>
      <c r="AA100">
        <f ca="1">IFERROR(IF(0=LEN(ReferenceData!$AA$100),"",ReferenceData!$AA$100),"")</f>
        <v>97.292000000000002</v>
      </c>
      <c r="AB100">
        <f ca="1">IFERROR(IF(0=LEN(ReferenceData!$AB$100),"",ReferenceData!$AB$100),"")</f>
        <v>102.545</v>
      </c>
      <c r="AC100">
        <f ca="1">IFERROR(IF(0=LEN(ReferenceData!$AC$100),"",ReferenceData!$AC$100),"")</f>
        <v>135.28399999999999</v>
      </c>
      <c r="AD100">
        <f ca="1">IFERROR(IF(0=LEN(ReferenceData!$AD$100),"",ReferenceData!$AD$100),"")</f>
        <v>138.24349999999998</v>
      </c>
      <c r="AE100">
        <f ca="1">IFERROR(IF(0=LEN(ReferenceData!$AE$100),"",ReferenceData!$AE$100),"")</f>
        <v>101.736</v>
      </c>
      <c r="AF100">
        <f ca="1">IFERROR(IF(0=LEN(ReferenceData!$AF$100),"",ReferenceData!$AF$100),"")</f>
        <v>102.0335</v>
      </c>
      <c r="AG100">
        <f ca="1">IFERROR(IF(0=LEN(ReferenceData!$AG$100),"",ReferenceData!$AG$100),"")</f>
        <v>93.191000000000003</v>
      </c>
      <c r="AH100">
        <f ca="1">IFERROR(IF(0=LEN(ReferenceData!$AH$100),"",ReferenceData!$AH$100),"")</f>
        <v>88.522000000000006</v>
      </c>
      <c r="AI100">
        <f ca="1">IFERROR(IF(0=LEN(ReferenceData!$AI$100),"",ReferenceData!$AI$100),"")</f>
        <v>89.600999999999999</v>
      </c>
      <c r="AJ100">
        <f ca="1">IFERROR(IF(0=LEN(ReferenceData!$AJ$100),"",ReferenceData!$AJ$100),"")</f>
        <v>85.882000000000005</v>
      </c>
      <c r="AK100">
        <f ca="1">IFERROR(IF(0=LEN(ReferenceData!$AK$100),"",ReferenceData!$AK$100),"")</f>
        <v>121.53149999999999</v>
      </c>
      <c r="AL100">
        <f ca="1">IFERROR(IF(0=LEN(ReferenceData!$AL$100),"",ReferenceData!$AL$100),"")</f>
        <v>121.54949999999999</v>
      </c>
      <c r="AM100">
        <f ca="1">IFERROR(IF(0=LEN(ReferenceData!$AM$100),"",ReferenceData!$AM$100),"")</f>
        <v>126.4315</v>
      </c>
      <c r="AN100">
        <f ca="1">IFERROR(IF(0=LEN(ReferenceData!$AN$100),"",ReferenceData!$AN$100),"")</f>
        <v>85.128</v>
      </c>
      <c r="AO100">
        <f ca="1">IFERROR(IF(0=LEN(ReferenceData!$AO$100),"",ReferenceData!$AO$100),"")</f>
        <v>42.180928999999992</v>
      </c>
      <c r="AP100">
        <f ca="1">IFERROR(IF(0=LEN(ReferenceData!$AP$100),"",ReferenceData!$AP$100),"")</f>
        <v>61.64</v>
      </c>
      <c r="AQ100">
        <f ca="1">IFERROR(IF(0=LEN(ReferenceData!$AQ$100),"",ReferenceData!$AQ$100),"")</f>
        <v>82.564999999999998</v>
      </c>
      <c r="AR100">
        <f ca="1">IFERROR(IF(0=LEN(ReferenceData!$AR$100),"",ReferenceData!$AR$100),"")</f>
        <v>83.528000000000006</v>
      </c>
      <c r="AS100">
        <f ca="1">IFERROR(IF(0=LEN(ReferenceData!$AS$100),"",ReferenceData!$AS$100),"")</f>
        <v>81.036000000000001</v>
      </c>
      <c r="AT100">
        <f ca="1">IFERROR(IF(0=LEN(ReferenceData!$AT$100),"",ReferenceData!$AT$100),"")</f>
        <v>79.397999999999996</v>
      </c>
      <c r="AU100">
        <f ca="1">IFERROR(IF(0=LEN(ReferenceData!$AU$100),"",ReferenceData!$AU$100),"")</f>
        <v>80.167000000000002</v>
      </c>
      <c r="AV100">
        <f ca="1">IFERROR(IF(0=LEN(ReferenceData!$AV$100),"",ReferenceData!$AV$100),"")</f>
        <v>82.703999999999994</v>
      </c>
      <c r="AW100">
        <f ca="1">IFERROR(IF(0=LEN(ReferenceData!$AW$100),"",ReferenceData!$AW$100),"")</f>
        <v>81.174999999999997</v>
      </c>
      <c r="AX100">
        <f ca="1">IFERROR(IF(0=LEN(ReferenceData!$AX$100),"",ReferenceData!$AX$100),"")</f>
        <v>78.745999999999995</v>
      </c>
      <c r="AY100" t="str">
        <f ca="1">IFERROR(IF(0=LEN(ReferenceData!$AY$100),"",ReferenceData!$AY$100),"")</f>
        <v/>
      </c>
      <c r="AZ100" t="str">
        <f ca="1">IFERROR(IF(0=LEN(ReferenceData!$AZ$100),"",ReferenceData!$AZ$100),"")</f>
        <v/>
      </c>
      <c r="BA100">
        <f ca="1">IFERROR(IF(0=LEN(ReferenceData!$BA$100),"",ReferenceData!$BA$100),"")</f>
        <v>71.933000000000007</v>
      </c>
      <c r="BB100">
        <f ca="1">IFERROR(IF(0=LEN(ReferenceData!$BB$100),"",ReferenceData!$BB$100),"")</f>
        <v>70.334999999999994</v>
      </c>
      <c r="BC100" t="str">
        <f ca="1">IFERROR(IF(0=LEN(ReferenceData!$BC$100),"",ReferenceData!$BC$100),"")</f>
        <v/>
      </c>
      <c r="BD100" t="str">
        <f ca="1">IFERROR(IF(0=LEN(ReferenceData!$BD$100),"",ReferenceData!$BD$100),"")</f>
        <v/>
      </c>
      <c r="BE100" t="str">
        <f ca="1">IFERROR(IF(0=LEN(ReferenceData!$BE$100),"",ReferenceData!$BE$100),"")</f>
        <v/>
      </c>
      <c r="BF100" t="str">
        <f ca="1">IFERROR(IF(0=LEN(ReferenceData!$BF$100),"",ReferenceData!$BF$100),"")</f>
        <v/>
      </c>
      <c r="BG100" t="str">
        <f ca="1">IFERROR(IF(0=LEN(ReferenceData!$BG$100),"",ReferenceData!$BG$100),"")</f>
        <v/>
      </c>
      <c r="BH100" t="str">
        <f ca="1">IFERROR(IF(0=LEN(ReferenceData!$BH$100),"",ReferenceData!$BH$100),"")</f>
        <v/>
      </c>
      <c r="BI100" t="str">
        <f ca="1">IFERROR(IF(0=LEN(ReferenceData!$BI$100),"",ReferenceData!$BI$100),"")</f>
        <v/>
      </c>
      <c r="BJ100" t="str">
        <f ca="1">IFERROR(IF(0=LEN(ReferenceData!$BJ$100),"",ReferenceData!$BJ$100),"")</f>
        <v/>
      </c>
      <c r="BK100" t="str">
        <f ca="1">IFERROR(IF(0=LEN(ReferenceData!$BK$100),"",ReferenceData!$BK$100),"")</f>
        <v/>
      </c>
      <c r="BL100" t="str">
        <f ca="1">IFERROR(IF(0=LEN(ReferenceData!$BL$100),"",ReferenceData!$BL$100),"")</f>
        <v/>
      </c>
      <c r="BM100" t="str">
        <f ca="1">IFERROR(IF(0=LEN(ReferenceData!$BM$100),"",ReferenceData!$BM$100),"")</f>
        <v/>
      </c>
    </row>
    <row r="101" spans="1:65">
      <c r="A101" t="str">
        <f>IFERROR(IF(0=LEN(ReferenceData!$A$101),"",ReferenceData!$A$101),"")</f>
        <v xml:space="preserve">    Brixmor Property Group Inc</v>
      </c>
      <c r="B101" t="str">
        <f>IFERROR(IF(0=LEN(ReferenceData!$B$101),"",ReferenceData!$B$101),"")</f>
        <v>BRX US Equity</v>
      </c>
      <c r="C101" t="str">
        <f>IFERROR(IF(0=LEN(ReferenceData!$C$101),"",ReferenceData!$C$101),"")</f>
        <v>IS972</v>
      </c>
      <c r="D101" t="str">
        <f>IFERROR(IF(0=LEN(ReferenceData!$D$101),"",ReferenceData!$D$101),"")</f>
        <v>IS_ADJUSTED_EBITDA_AS_REPORTED</v>
      </c>
      <c r="E101" t="str">
        <f>IFERROR(IF(0=LEN(ReferenceData!$E$101),"",ReferenceData!$E$101),"")</f>
        <v>动态</v>
      </c>
      <c r="F101" t="str">
        <f ca="1">IFERROR(IF(0=LEN(ReferenceData!$F$101),"",ReferenceData!$F$101),"")</f>
        <v/>
      </c>
      <c r="G101">
        <f ca="1">IFERROR(IF(0=LEN(ReferenceData!$G$101),"",ReferenceData!$G$101),"")</f>
        <v>217.02</v>
      </c>
      <c r="H101">
        <f ca="1">IFERROR(IF(0=LEN(ReferenceData!$H$101),"",ReferenceData!$H$101),"")</f>
        <v>216.47300000000001</v>
      </c>
      <c r="I101">
        <f ca="1">IFERROR(IF(0=LEN(ReferenceData!$I$101),"",ReferenceData!$I$101),"")</f>
        <v>222.71199999999999</v>
      </c>
      <c r="J101">
        <f ca="1">IFERROR(IF(0=LEN(ReferenceData!$J$101),"",ReferenceData!$J$101),"")</f>
        <v>220.72900000000001</v>
      </c>
      <c r="K101">
        <f ca="1">IFERROR(IF(0=LEN(ReferenceData!$K$101),"",ReferenceData!$K$101),"")</f>
        <v>220.78100000000001</v>
      </c>
      <c r="L101">
        <f ca="1">IFERROR(IF(0=LEN(ReferenceData!$L$101),"",ReferenceData!$L$101),"")</f>
        <v>216.453</v>
      </c>
      <c r="M101">
        <f ca="1">IFERROR(IF(0=LEN(ReferenceData!$M$101),"",ReferenceData!$M$101),"")</f>
        <v>216.68799999999999</v>
      </c>
      <c r="N101">
        <f ca="1">IFERROR(IF(0=LEN(ReferenceData!$N$101),"",ReferenceData!$N$101),"")</f>
        <v>221.36199999999999</v>
      </c>
      <c r="O101">
        <f ca="1">IFERROR(IF(0=LEN(ReferenceData!$O$101),"",ReferenceData!$O$101),"")</f>
        <v>217.29</v>
      </c>
      <c r="P101">
        <f ca="1">IFERROR(IF(0=LEN(ReferenceData!$P$101),"",ReferenceData!$P$101),"")</f>
        <v>215.596</v>
      </c>
      <c r="Q101">
        <f ca="1">IFERROR(IF(0=LEN(ReferenceData!$Q$101),"",ReferenceData!$Q$101),"")</f>
        <v>215.15299999999999</v>
      </c>
      <c r="R101">
        <f ca="1">IFERROR(IF(0=LEN(ReferenceData!$R$101),"",ReferenceData!$R$101),"")</f>
        <v>213.81800000000001</v>
      </c>
      <c r="S101">
        <f ca="1">IFERROR(IF(0=LEN(ReferenceData!$S$101),"",ReferenceData!$S$101),"")</f>
        <v>212.17</v>
      </c>
      <c r="T101">
        <f ca="1">IFERROR(IF(0=LEN(ReferenceData!$T$101),"",ReferenceData!$T$101),"")</f>
        <v>210.87</v>
      </c>
      <c r="U101">
        <f ca="1">IFERROR(IF(0=LEN(ReferenceData!$U$101),"",ReferenceData!$U$101),"")</f>
        <v>209.31200000000001</v>
      </c>
      <c r="V101">
        <f ca="1">IFERROR(IF(0=LEN(ReferenceData!$V$101),"",ReferenceData!$V$101),"")</f>
        <v>204.536</v>
      </c>
      <c r="W101">
        <f ca="1">IFERROR(IF(0=LEN(ReferenceData!$W$101),"",ReferenceData!$W$101),"")</f>
        <v>170.053</v>
      </c>
      <c r="X101">
        <f ca="1">IFERROR(IF(0=LEN(ReferenceData!$X$101),"",ReferenceData!$X$101),"")</f>
        <v>173.553</v>
      </c>
      <c r="Y101">
        <f ca="1">IFERROR(IF(0=LEN(ReferenceData!$Y$101),"",ReferenceData!$Y$101),"")</f>
        <v>191.28899999999999</v>
      </c>
      <c r="Z101">
        <f ca="1">IFERROR(IF(0=LEN(ReferenceData!$Z$101),"",ReferenceData!$Z$101),"")</f>
        <v>186.114</v>
      </c>
      <c r="AA101" t="str">
        <f ca="1">IFERROR(IF(0=LEN(ReferenceData!$AA$101),"",ReferenceData!$AA$101),"")</f>
        <v/>
      </c>
      <c r="AB101" t="str">
        <f ca="1">IFERROR(IF(0=LEN(ReferenceData!$AB$101),"",ReferenceData!$AB$101),"")</f>
        <v/>
      </c>
      <c r="AC101">
        <f ca="1">IFERROR(IF(0=LEN(ReferenceData!$AC$101),"",ReferenceData!$AC$101),"")</f>
        <v>186.65299999999999</v>
      </c>
      <c r="AD101">
        <f ca="1">IFERROR(IF(0=LEN(ReferenceData!$AD$101),"",ReferenceData!$AD$101),"")</f>
        <v>183.4</v>
      </c>
      <c r="AE101" t="str">
        <f ca="1">IFERROR(IF(0=LEN(ReferenceData!$AE$101),"",ReferenceData!$AE$101),"")</f>
        <v/>
      </c>
      <c r="AF101" t="str">
        <f ca="1">IFERROR(IF(0=LEN(ReferenceData!$AF$101),"",ReferenceData!$AF$101),"")</f>
        <v/>
      </c>
      <c r="AG101" t="str">
        <f ca="1">IFERROR(IF(0=LEN(ReferenceData!$AG$101),"",ReferenceData!$AG$101),"")</f>
        <v/>
      </c>
      <c r="AH101" t="str">
        <f ca="1">IFERROR(IF(0=LEN(ReferenceData!$AH$101),"",ReferenceData!$AH$101),"")</f>
        <v/>
      </c>
      <c r="AI101" t="str">
        <f ca="1">IFERROR(IF(0=LEN(ReferenceData!$AI$101),"",ReferenceData!$AI$101),"")</f>
        <v/>
      </c>
      <c r="AJ101" t="str">
        <f ca="1">IFERROR(IF(0=LEN(ReferenceData!$AJ$101),"",ReferenceData!$AJ$101),"")</f>
        <v/>
      </c>
      <c r="AK101" t="str">
        <f ca="1">IFERROR(IF(0=LEN(ReferenceData!$AK$101),"",ReferenceData!$AK$101),"")</f>
        <v/>
      </c>
      <c r="AL101" t="str">
        <f ca="1">IFERROR(IF(0=LEN(ReferenceData!$AL$101),"",ReferenceData!$AL$101),"")</f>
        <v/>
      </c>
      <c r="AM101" t="str">
        <f ca="1">IFERROR(IF(0=LEN(ReferenceData!$AM$101),"",ReferenceData!$AM$101),"")</f>
        <v/>
      </c>
      <c r="AN101" t="str">
        <f ca="1">IFERROR(IF(0=LEN(ReferenceData!$AN$101),"",ReferenceData!$AN$101),"")</f>
        <v/>
      </c>
      <c r="AO101" t="str">
        <f ca="1">IFERROR(IF(0=LEN(ReferenceData!$AO$101),"",ReferenceData!$AO$101),"")</f>
        <v/>
      </c>
      <c r="AP101" t="str">
        <f ca="1">IFERROR(IF(0=LEN(ReferenceData!$AP$101),"",ReferenceData!$AP$101),"")</f>
        <v/>
      </c>
      <c r="AQ101" t="str">
        <f ca="1">IFERROR(IF(0=LEN(ReferenceData!$AQ$101),"",ReferenceData!$AQ$101),"")</f>
        <v/>
      </c>
      <c r="AR101" t="str">
        <f ca="1">IFERROR(IF(0=LEN(ReferenceData!$AR$101),"",ReferenceData!$AR$101),"")</f>
        <v/>
      </c>
      <c r="AS101" t="str">
        <f ca="1">IFERROR(IF(0=LEN(ReferenceData!$AS$101),"",ReferenceData!$AS$101),"")</f>
        <v/>
      </c>
      <c r="AT101" t="str">
        <f ca="1">IFERROR(IF(0=LEN(ReferenceData!$AT$101),"",ReferenceData!$AT$101),"")</f>
        <v/>
      </c>
      <c r="AU101" t="str">
        <f ca="1">IFERROR(IF(0=LEN(ReferenceData!$AU$101),"",ReferenceData!$AU$101),"")</f>
        <v/>
      </c>
      <c r="AV101" t="str">
        <f ca="1">IFERROR(IF(0=LEN(ReferenceData!$AV$101),"",ReferenceData!$AV$101),"")</f>
        <v/>
      </c>
      <c r="AW101" t="str">
        <f ca="1">IFERROR(IF(0=LEN(ReferenceData!$AW$101),"",ReferenceData!$AW$101),"")</f>
        <v/>
      </c>
      <c r="AX101" t="str">
        <f ca="1">IFERROR(IF(0=LEN(ReferenceData!$AX$101),"",ReferenceData!$AX$101),"")</f>
        <v/>
      </c>
      <c r="AY101" t="str">
        <f ca="1">IFERROR(IF(0=LEN(ReferenceData!$AY$101),"",ReferenceData!$AY$101),"")</f>
        <v/>
      </c>
      <c r="AZ101" t="str">
        <f ca="1">IFERROR(IF(0=LEN(ReferenceData!$AZ$101),"",ReferenceData!$AZ$101),"")</f>
        <v/>
      </c>
      <c r="BA101" t="str">
        <f ca="1">IFERROR(IF(0=LEN(ReferenceData!$BA$101),"",ReferenceData!$BA$101),"")</f>
        <v/>
      </c>
      <c r="BB101" t="str">
        <f ca="1">IFERROR(IF(0=LEN(ReferenceData!$BB$101),"",ReferenceData!$BB$101),"")</f>
        <v/>
      </c>
      <c r="BC101" t="str">
        <f ca="1">IFERROR(IF(0=LEN(ReferenceData!$BC$101),"",ReferenceData!$BC$101),"")</f>
        <v/>
      </c>
      <c r="BD101" t="str">
        <f ca="1">IFERROR(IF(0=LEN(ReferenceData!$BD$101),"",ReferenceData!$BD$101),"")</f>
        <v/>
      </c>
      <c r="BE101" t="str">
        <f ca="1">IFERROR(IF(0=LEN(ReferenceData!$BE$101),"",ReferenceData!$BE$101),"")</f>
        <v/>
      </c>
      <c r="BF101" t="str">
        <f ca="1">IFERROR(IF(0=LEN(ReferenceData!$BF$101),"",ReferenceData!$BF$101),"")</f>
        <v/>
      </c>
      <c r="BG101" t="str">
        <f ca="1">IFERROR(IF(0=LEN(ReferenceData!$BG$101),"",ReferenceData!$BG$101),"")</f>
        <v/>
      </c>
      <c r="BH101" t="str">
        <f ca="1">IFERROR(IF(0=LEN(ReferenceData!$BH$101),"",ReferenceData!$BH$101),"")</f>
        <v/>
      </c>
      <c r="BI101" t="str">
        <f ca="1">IFERROR(IF(0=LEN(ReferenceData!$BI$101),"",ReferenceData!$BI$101),"")</f>
        <v/>
      </c>
      <c r="BJ101" t="str">
        <f ca="1">IFERROR(IF(0=LEN(ReferenceData!$BJ$101),"",ReferenceData!$BJ$101),"")</f>
        <v/>
      </c>
      <c r="BK101" t="str">
        <f ca="1">IFERROR(IF(0=LEN(ReferenceData!$BK$101),"",ReferenceData!$BK$101),"")</f>
        <v/>
      </c>
      <c r="BL101" t="str">
        <f ca="1">IFERROR(IF(0=LEN(ReferenceData!$BL$101),"",ReferenceData!$BL$101),"")</f>
        <v/>
      </c>
      <c r="BM101" t="str">
        <f ca="1">IFERROR(IF(0=LEN(ReferenceData!$BM$101),"",ReferenceData!$BM$101),"")</f>
        <v/>
      </c>
    </row>
    <row r="102" spans="1:65">
      <c r="A102" t="str">
        <f>IFERROR(IF(0=LEN(ReferenceData!$A$102),"",ReferenceData!$A$102),"")</f>
        <v xml:space="preserve">    CBL &amp; Associates Properties In</v>
      </c>
      <c r="B102" t="str">
        <f>IFERROR(IF(0=LEN(ReferenceData!$B$102),"",ReferenceData!$B$102),"")</f>
        <v>CBL US Equity</v>
      </c>
      <c r="C102" t="str">
        <f>IFERROR(IF(0=LEN(ReferenceData!$C$102),"",ReferenceData!$C$102),"")</f>
        <v>IS972</v>
      </c>
      <c r="D102" t="str">
        <f>IFERROR(IF(0=LEN(ReferenceData!$D$102),"",ReferenceData!$D$102),"")</f>
        <v>IS_ADJUSTED_EBITDA_AS_REPORTED</v>
      </c>
      <c r="E102" t="str">
        <f>IFERROR(IF(0=LEN(ReferenceData!$E$102),"",ReferenceData!$E$102),"")</f>
        <v>动态</v>
      </c>
      <c r="F102" t="str">
        <f ca="1">IFERROR(IF(0=LEN(ReferenceData!$F$102),"",ReferenceData!$F$102),"")</f>
        <v/>
      </c>
      <c r="G102">
        <f ca="1">IFERROR(IF(0=LEN(ReferenceData!$G$102),"",ReferenceData!$G$102),"")</f>
        <v>182.738</v>
      </c>
      <c r="H102">
        <f ca="1">IFERROR(IF(0=LEN(ReferenceData!$H$102),"",ReferenceData!$H$102),"")</f>
        <v>167.505</v>
      </c>
      <c r="I102">
        <f ca="1">IFERROR(IF(0=LEN(ReferenceData!$I$102),"",ReferenceData!$I$102),"")</f>
        <v>172.65100000000001</v>
      </c>
      <c r="J102">
        <f ca="1">IFERROR(IF(0=LEN(ReferenceData!$J$102),"",ReferenceData!$J$102),"")</f>
        <v>176.54400000000001</v>
      </c>
      <c r="K102">
        <f ca="1">IFERROR(IF(0=LEN(ReferenceData!$K$102),"",ReferenceData!$K$102),"")</f>
        <v>204.96299999999999</v>
      </c>
      <c r="L102">
        <f ca="1">IFERROR(IF(0=LEN(ReferenceData!$L$102),"",ReferenceData!$L$102),"")</f>
        <v>183.55500000000001</v>
      </c>
      <c r="M102" t="str">
        <f ca="1">IFERROR(IF(0=LEN(ReferenceData!$M$102),"",ReferenceData!$M$102),"")</f>
        <v/>
      </c>
      <c r="N102" t="str">
        <f ca="1">IFERROR(IF(0=LEN(ReferenceData!$N$102),"",ReferenceData!$N$102),"")</f>
        <v/>
      </c>
      <c r="O102" t="str">
        <f ca="1">IFERROR(IF(0=LEN(ReferenceData!$O$102),"",ReferenceData!$O$102),"")</f>
        <v/>
      </c>
      <c r="P102" t="str">
        <f ca="1">IFERROR(IF(0=LEN(ReferenceData!$P$102),"",ReferenceData!$P$102),"")</f>
        <v/>
      </c>
      <c r="Q102" t="str">
        <f ca="1">IFERROR(IF(0=LEN(ReferenceData!$Q$102),"",ReferenceData!$Q$102),"")</f>
        <v/>
      </c>
      <c r="R102" t="str">
        <f ca="1">IFERROR(IF(0=LEN(ReferenceData!$R$102),"",ReferenceData!$R$102),"")</f>
        <v/>
      </c>
      <c r="S102" t="str">
        <f ca="1">IFERROR(IF(0=LEN(ReferenceData!$S$102),"",ReferenceData!$S$102),"")</f>
        <v/>
      </c>
      <c r="T102" t="str">
        <f ca="1">IFERROR(IF(0=LEN(ReferenceData!$T$102),"",ReferenceData!$T$102),"")</f>
        <v/>
      </c>
      <c r="U102" t="str">
        <f ca="1">IFERROR(IF(0=LEN(ReferenceData!$U$102),"",ReferenceData!$U$102),"")</f>
        <v/>
      </c>
      <c r="V102" t="str">
        <f ca="1">IFERROR(IF(0=LEN(ReferenceData!$V$102),"",ReferenceData!$V$102),"")</f>
        <v/>
      </c>
      <c r="W102" t="str">
        <f ca="1">IFERROR(IF(0=LEN(ReferenceData!$W$102),"",ReferenceData!$W$102),"")</f>
        <v/>
      </c>
      <c r="X102" t="str">
        <f ca="1">IFERROR(IF(0=LEN(ReferenceData!$X$102),"",ReferenceData!$X$102),"")</f>
        <v/>
      </c>
      <c r="Y102" t="str">
        <f ca="1">IFERROR(IF(0=LEN(ReferenceData!$Y$102),"",ReferenceData!$Y$102),"")</f>
        <v/>
      </c>
      <c r="Z102" t="str">
        <f ca="1">IFERROR(IF(0=LEN(ReferenceData!$Z$102),"",ReferenceData!$Z$102),"")</f>
        <v/>
      </c>
      <c r="AA102" t="str">
        <f ca="1">IFERROR(IF(0=LEN(ReferenceData!$AA$102),"",ReferenceData!$AA$102),"")</f>
        <v/>
      </c>
      <c r="AB102" t="str">
        <f ca="1">IFERROR(IF(0=LEN(ReferenceData!$AB$102),"",ReferenceData!$AB$102),"")</f>
        <v/>
      </c>
      <c r="AC102" t="str">
        <f ca="1">IFERROR(IF(0=LEN(ReferenceData!$AC$102),"",ReferenceData!$AC$102),"")</f>
        <v/>
      </c>
      <c r="AD102" t="str">
        <f ca="1">IFERROR(IF(0=LEN(ReferenceData!$AD$102),"",ReferenceData!$AD$102),"")</f>
        <v/>
      </c>
      <c r="AE102" t="str">
        <f ca="1">IFERROR(IF(0=LEN(ReferenceData!$AE$102),"",ReferenceData!$AE$102),"")</f>
        <v/>
      </c>
      <c r="AF102" t="str">
        <f ca="1">IFERROR(IF(0=LEN(ReferenceData!$AF$102),"",ReferenceData!$AF$102),"")</f>
        <v/>
      </c>
      <c r="AG102" t="str">
        <f ca="1">IFERROR(IF(0=LEN(ReferenceData!$AG$102),"",ReferenceData!$AG$102),"")</f>
        <v/>
      </c>
      <c r="AH102" t="str">
        <f ca="1">IFERROR(IF(0=LEN(ReferenceData!$AH$102),"",ReferenceData!$AH$102),"")</f>
        <v/>
      </c>
      <c r="AI102" t="str">
        <f ca="1">IFERROR(IF(0=LEN(ReferenceData!$AI$102),"",ReferenceData!$AI$102),"")</f>
        <v/>
      </c>
      <c r="AJ102" t="str">
        <f ca="1">IFERROR(IF(0=LEN(ReferenceData!$AJ$102),"",ReferenceData!$AJ$102),"")</f>
        <v/>
      </c>
      <c r="AK102" t="str">
        <f ca="1">IFERROR(IF(0=LEN(ReferenceData!$AK$102),"",ReferenceData!$AK$102),"")</f>
        <v/>
      </c>
      <c r="AL102" t="str">
        <f ca="1">IFERROR(IF(0=LEN(ReferenceData!$AL$102),"",ReferenceData!$AL$102),"")</f>
        <v/>
      </c>
      <c r="AM102" t="str">
        <f ca="1">IFERROR(IF(0=LEN(ReferenceData!$AM$102),"",ReferenceData!$AM$102),"")</f>
        <v/>
      </c>
      <c r="AN102" t="str">
        <f ca="1">IFERROR(IF(0=LEN(ReferenceData!$AN$102),"",ReferenceData!$AN$102),"")</f>
        <v/>
      </c>
      <c r="AO102" t="str">
        <f ca="1">IFERROR(IF(0=LEN(ReferenceData!$AO$102),"",ReferenceData!$AO$102),"")</f>
        <v/>
      </c>
      <c r="AP102" t="str">
        <f ca="1">IFERROR(IF(0=LEN(ReferenceData!$AP$102),"",ReferenceData!$AP$102),"")</f>
        <v/>
      </c>
      <c r="AQ102" t="str">
        <f ca="1">IFERROR(IF(0=LEN(ReferenceData!$AQ$102),"",ReferenceData!$AQ$102),"")</f>
        <v/>
      </c>
      <c r="AR102" t="str">
        <f ca="1">IFERROR(IF(0=LEN(ReferenceData!$AR$102),"",ReferenceData!$AR$102),"")</f>
        <v/>
      </c>
      <c r="AS102" t="str">
        <f ca="1">IFERROR(IF(0=LEN(ReferenceData!$AS$102),"",ReferenceData!$AS$102),"")</f>
        <v/>
      </c>
      <c r="AT102" t="str">
        <f ca="1">IFERROR(IF(0=LEN(ReferenceData!$AT$102),"",ReferenceData!$AT$102),"")</f>
        <v/>
      </c>
      <c r="AU102" t="str">
        <f ca="1">IFERROR(IF(0=LEN(ReferenceData!$AU$102),"",ReferenceData!$AU$102),"")</f>
        <v/>
      </c>
      <c r="AV102" t="str">
        <f ca="1">IFERROR(IF(0=LEN(ReferenceData!$AV$102),"",ReferenceData!$AV$102),"")</f>
        <v/>
      </c>
      <c r="AW102" t="str">
        <f ca="1">IFERROR(IF(0=LEN(ReferenceData!$AW$102),"",ReferenceData!$AW$102),"")</f>
        <v/>
      </c>
      <c r="AX102" t="str">
        <f ca="1">IFERROR(IF(0=LEN(ReferenceData!$AX$102),"",ReferenceData!$AX$102),"")</f>
        <v/>
      </c>
      <c r="AY102" t="str">
        <f ca="1">IFERROR(IF(0=LEN(ReferenceData!$AY$102),"",ReferenceData!$AY$102),"")</f>
        <v/>
      </c>
      <c r="AZ102" t="str">
        <f ca="1">IFERROR(IF(0=LEN(ReferenceData!$AZ$102),"",ReferenceData!$AZ$102),"")</f>
        <v/>
      </c>
      <c r="BA102" t="str">
        <f ca="1">IFERROR(IF(0=LEN(ReferenceData!$BA$102),"",ReferenceData!$BA$102),"")</f>
        <v/>
      </c>
      <c r="BB102" t="str">
        <f ca="1">IFERROR(IF(0=LEN(ReferenceData!$BB$102),"",ReferenceData!$BB$102),"")</f>
        <v/>
      </c>
      <c r="BC102" t="str">
        <f ca="1">IFERROR(IF(0=LEN(ReferenceData!$BC$102),"",ReferenceData!$BC$102),"")</f>
        <v/>
      </c>
      <c r="BD102" t="str">
        <f ca="1">IFERROR(IF(0=LEN(ReferenceData!$BD$102),"",ReferenceData!$BD$102),"")</f>
        <v/>
      </c>
      <c r="BE102" t="str">
        <f ca="1">IFERROR(IF(0=LEN(ReferenceData!$BE$102),"",ReferenceData!$BE$102),"")</f>
        <v/>
      </c>
      <c r="BF102" t="str">
        <f ca="1">IFERROR(IF(0=LEN(ReferenceData!$BF$102),"",ReferenceData!$BF$102),"")</f>
        <v/>
      </c>
      <c r="BG102" t="str">
        <f ca="1">IFERROR(IF(0=LEN(ReferenceData!$BG$102),"",ReferenceData!$BG$102),"")</f>
        <v/>
      </c>
      <c r="BH102" t="str">
        <f ca="1">IFERROR(IF(0=LEN(ReferenceData!$BH$102),"",ReferenceData!$BH$102),"")</f>
        <v/>
      </c>
      <c r="BI102" t="str">
        <f ca="1">IFERROR(IF(0=LEN(ReferenceData!$BI$102),"",ReferenceData!$BI$102),"")</f>
        <v/>
      </c>
      <c r="BJ102" t="str">
        <f ca="1">IFERROR(IF(0=LEN(ReferenceData!$BJ$102),"",ReferenceData!$BJ$102),"")</f>
        <v/>
      </c>
      <c r="BK102" t="str">
        <f ca="1">IFERROR(IF(0=LEN(ReferenceData!$BK$102),"",ReferenceData!$BK$102),"")</f>
        <v/>
      </c>
      <c r="BL102" t="str">
        <f ca="1">IFERROR(IF(0=LEN(ReferenceData!$BL$102),"",ReferenceData!$BL$102),"")</f>
        <v/>
      </c>
      <c r="BM102" t="str">
        <f ca="1">IFERROR(IF(0=LEN(ReferenceData!$BM$102),"",ReferenceData!$BM$102),"")</f>
        <v/>
      </c>
    </row>
    <row r="103" spans="1:65">
      <c r="A103" t="str">
        <f>IFERROR(IF(0=LEN(ReferenceData!$A$103),"",ReferenceData!$A$103),"")</f>
        <v xml:space="preserve">    DDR Corp</v>
      </c>
      <c r="B103" t="str">
        <f>IFERROR(IF(0=LEN(ReferenceData!$B$103),"",ReferenceData!$B$103),"")</f>
        <v>DDR US Equity</v>
      </c>
      <c r="C103" t="str">
        <f>IFERROR(IF(0=LEN(ReferenceData!$C$103),"",ReferenceData!$C$103),"")</f>
        <v>IS972</v>
      </c>
      <c r="D103" t="str">
        <f>IFERROR(IF(0=LEN(ReferenceData!$D$103),"",ReferenceData!$D$103),"")</f>
        <v>IS_ADJUSTED_EBITDA_AS_REPORTED</v>
      </c>
      <c r="E103" t="str">
        <f>IFERROR(IF(0=LEN(ReferenceData!$E$103),"",ReferenceData!$E$103),"")</f>
        <v>动态</v>
      </c>
      <c r="F103" t="str">
        <f ca="1">IFERROR(IF(0=LEN(ReferenceData!$F$103),"",ReferenceData!$F$103),"")</f>
        <v/>
      </c>
      <c r="G103">
        <f ca="1">IFERROR(IF(0=LEN(ReferenceData!$G$103),"",ReferenceData!$G$103),"")</f>
        <v>155.64400000000001</v>
      </c>
      <c r="H103">
        <f ca="1">IFERROR(IF(0=LEN(ReferenceData!$H$103),"",ReferenceData!$H$103),"")</f>
        <v>170.304</v>
      </c>
      <c r="I103">
        <f ca="1">IFERROR(IF(0=LEN(ReferenceData!$I$103),"",ReferenceData!$I$103),"")</f>
        <v>166.15299999999999</v>
      </c>
      <c r="J103">
        <f ca="1">IFERROR(IF(0=LEN(ReferenceData!$J$103),"",ReferenceData!$J$103),"")</f>
        <v>168.1</v>
      </c>
      <c r="K103" t="str">
        <f ca="1">IFERROR(IF(0=LEN(ReferenceData!$K$103),"",ReferenceData!$K$103),"")</f>
        <v/>
      </c>
      <c r="L103">
        <f ca="1">IFERROR(IF(0=LEN(ReferenceData!$L$103),"",ReferenceData!$L$103),"")</f>
        <v>182.43299999999999</v>
      </c>
      <c r="M103">
        <f ca="1">IFERROR(IF(0=LEN(ReferenceData!$M$103),"",ReferenceData!$M$103),"")</f>
        <v>184.434</v>
      </c>
      <c r="N103">
        <f ca="1">IFERROR(IF(0=LEN(ReferenceData!$N$103),"",ReferenceData!$N$103),"")</f>
        <v>180</v>
      </c>
      <c r="O103" t="str">
        <f ca="1">IFERROR(IF(0=LEN(ReferenceData!$O$103),"",ReferenceData!$O$103),"")</f>
        <v/>
      </c>
      <c r="P103" t="str">
        <f ca="1">IFERROR(IF(0=LEN(ReferenceData!$P$103),"",ReferenceData!$P$103),"")</f>
        <v/>
      </c>
      <c r="Q103" t="str">
        <f ca="1">IFERROR(IF(0=LEN(ReferenceData!$Q$103),"",ReferenceData!$Q$103),"")</f>
        <v/>
      </c>
      <c r="R103" t="str">
        <f ca="1">IFERROR(IF(0=LEN(ReferenceData!$R$103),"",ReferenceData!$R$103),"")</f>
        <v/>
      </c>
      <c r="S103" t="str">
        <f ca="1">IFERROR(IF(0=LEN(ReferenceData!$S$103),"",ReferenceData!$S$103),"")</f>
        <v/>
      </c>
      <c r="T103" t="str">
        <f ca="1">IFERROR(IF(0=LEN(ReferenceData!$T$103),"",ReferenceData!$T$103),"")</f>
        <v/>
      </c>
      <c r="U103" t="str">
        <f ca="1">IFERROR(IF(0=LEN(ReferenceData!$U$103),"",ReferenceData!$U$103),"")</f>
        <v/>
      </c>
      <c r="V103" t="str">
        <f ca="1">IFERROR(IF(0=LEN(ReferenceData!$V$103),"",ReferenceData!$V$103),"")</f>
        <v/>
      </c>
      <c r="W103" t="str">
        <f ca="1">IFERROR(IF(0=LEN(ReferenceData!$W$103),"",ReferenceData!$W$103),"")</f>
        <v/>
      </c>
      <c r="X103" t="str">
        <f ca="1">IFERROR(IF(0=LEN(ReferenceData!$X$103),"",ReferenceData!$X$103),"")</f>
        <v/>
      </c>
      <c r="Y103" t="str">
        <f ca="1">IFERROR(IF(0=LEN(ReferenceData!$Y$103),"",ReferenceData!$Y$103),"")</f>
        <v/>
      </c>
      <c r="Z103" t="str">
        <f ca="1">IFERROR(IF(0=LEN(ReferenceData!$Z$103),"",ReferenceData!$Z$103),"")</f>
        <v/>
      </c>
      <c r="AA103" t="str">
        <f ca="1">IFERROR(IF(0=LEN(ReferenceData!$AA$103),"",ReferenceData!$AA$103),"")</f>
        <v/>
      </c>
      <c r="AB103" t="str">
        <f ca="1">IFERROR(IF(0=LEN(ReferenceData!$AB$103),"",ReferenceData!$AB$103),"")</f>
        <v/>
      </c>
      <c r="AC103" t="str">
        <f ca="1">IFERROR(IF(0=LEN(ReferenceData!$AC$103),"",ReferenceData!$AC$103),"")</f>
        <v/>
      </c>
      <c r="AD103" t="str">
        <f ca="1">IFERROR(IF(0=LEN(ReferenceData!$AD$103),"",ReferenceData!$AD$103),"")</f>
        <v/>
      </c>
      <c r="AE103" t="str">
        <f ca="1">IFERROR(IF(0=LEN(ReferenceData!$AE$103),"",ReferenceData!$AE$103),"")</f>
        <v/>
      </c>
      <c r="AF103" t="str">
        <f ca="1">IFERROR(IF(0=LEN(ReferenceData!$AF$103),"",ReferenceData!$AF$103),"")</f>
        <v/>
      </c>
      <c r="AG103" t="str">
        <f ca="1">IFERROR(IF(0=LEN(ReferenceData!$AG$103),"",ReferenceData!$AG$103),"")</f>
        <v/>
      </c>
      <c r="AH103" t="str">
        <f ca="1">IFERROR(IF(0=LEN(ReferenceData!$AH$103),"",ReferenceData!$AH$103),"")</f>
        <v/>
      </c>
      <c r="AI103" t="str">
        <f ca="1">IFERROR(IF(0=LEN(ReferenceData!$AI$103),"",ReferenceData!$AI$103),"")</f>
        <v/>
      </c>
      <c r="AJ103" t="str">
        <f ca="1">IFERROR(IF(0=LEN(ReferenceData!$AJ$103),"",ReferenceData!$AJ$103),"")</f>
        <v/>
      </c>
      <c r="AK103" t="str">
        <f ca="1">IFERROR(IF(0=LEN(ReferenceData!$AK$103),"",ReferenceData!$AK$103),"")</f>
        <v/>
      </c>
      <c r="AL103" t="str">
        <f ca="1">IFERROR(IF(0=LEN(ReferenceData!$AL$103),"",ReferenceData!$AL$103),"")</f>
        <v/>
      </c>
      <c r="AM103" t="str">
        <f ca="1">IFERROR(IF(0=LEN(ReferenceData!$AM$103),"",ReferenceData!$AM$103),"")</f>
        <v/>
      </c>
      <c r="AN103" t="str">
        <f ca="1">IFERROR(IF(0=LEN(ReferenceData!$AN$103),"",ReferenceData!$AN$103),"")</f>
        <v/>
      </c>
      <c r="AO103" t="str">
        <f ca="1">IFERROR(IF(0=LEN(ReferenceData!$AO$103),"",ReferenceData!$AO$103),"")</f>
        <v/>
      </c>
      <c r="AP103" t="str">
        <f ca="1">IFERROR(IF(0=LEN(ReferenceData!$AP$103),"",ReferenceData!$AP$103),"")</f>
        <v/>
      </c>
      <c r="AQ103" t="str">
        <f ca="1">IFERROR(IF(0=LEN(ReferenceData!$AQ$103),"",ReferenceData!$AQ$103),"")</f>
        <v/>
      </c>
      <c r="AR103" t="str">
        <f ca="1">IFERROR(IF(0=LEN(ReferenceData!$AR$103),"",ReferenceData!$AR$103),"")</f>
        <v/>
      </c>
      <c r="AS103" t="str">
        <f ca="1">IFERROR(IF(0=LEN(ReferenceData!$AS$103),"",ReferenceData!$AS$103),"")</f>
        <v/>
      </c>
      <c r="AT103" t="str">
        <f ca="1">IFERROR(IF(0=LEN(ReferenceData!$AT$103),"",ReferenceData!$AT$103),"")</f>
        <v/>
      </c>
      <c r="AU103" t="str">
        <f ca="1">IFERROR(IF(0=LEN(ReferenceData!$AU$103),"",ReferenceData!$AU$103),"")</f>
        <v/>
      </c>
      <c r="AV103" t="str">
        <f ca="1">IFERROR(IF(0=LEN(ReferenceData!$AV$103),"",ReferenceData!$AV$103),"")</f>
        <v/>
      </c>
      <c r="AW103" t="str">
        <f ca="1">IFERROR(IF(0=LEN(ReferenceData!$AW$103),"",ReferenceData!$AW$103),"")</f>
        <v/>
      </c>
      <c r="AX103" t="str">
        <f ca="1">IFERROR(IF(0=LEN(ReferenceData!$AX$103),"",ReferenceData!$AX$103),"")</f>
        <v/>
      </c>
      <c r="AY103" t="str">
        <f ca="1">IFERROR(IF(0=LEN(ReferenceData!$AY$103),"",ReferenceData!$AY$103),"")</f>
        <v/>
      </c>
      <c r="AZ103" t="str">
        <f ca="1">IFERROR(IF(0=LEN(ReferenceData!$AZ$103),"",ReferenceData!$AZ$103),"")</f>
        <v/>
      </c>
      <c r="BA103" t="str">
        <f ca="1">IFERROR(IF(0=LEN(ReferenceData!$BA$103),"",ReferenceData!$BA$103),"")</f>
        <v/>
      </c>
      <c r="BB103" t="str">
        <f ca="1">IFERROR(IF(0=LEN(ReferenceData!$BB$103),"",ReferenceData!$BB$103),"")</f>
        <v/>
      </c>
      <c r="BC103" t="str">
        <f ca="1">IFERROR(IF(0=LEN(ReferenceData!$BC$103),"",ReferenceData!$BC$103),"")</f>
        <v/>
      </c>
      <c r="BD103" t="str">
        <f ca="1">IFERROR(IF(0=LEN(ReferenceData!$BD$103),"",ReferenceData!$BD$103),"")</f>
        <v/>
      </c>
      <c r="BE103" t="str">
        <f ca="1">IFERROR(IF(0=LEN(ReferenceData!$BE$103),"",ReferenceData!$BE$103),"")</f>
        <v/>
      </c>
      <c r="BF103" t="str">
        <f ca="1">IFERROR(IF(0=LEN(ReferenceData!$BF$103),"",ReferenceData!$BF$103),"")</f>
        <v/>
      </c>
      <c r="BG103" t="str">
        <f ca="1">IFERROR(IF(0=LEN(ReferenceData!$BG$103),"",ReferenceData!$BG$103),"")</f>
        <v/>
      </c>
      <c r="BH103" t="str">
        <f ca="1">IFERROR(IF(0=LEN(ReferenceData!$BH$103),"",ReferenceData!$BH$103),"")</f>
        <v/>
      </c>
      <c r="BI103" t="str">
        <f ca="1">IFERROR(IF(0=LEN(ReferenceData!$BI$103),"",ReferenceData!$BI$103),"")</f>
        <v/>
      </c>
      <c r="BJ103" t="str">
        <f ca="1">IFERROR(IF(0=LEN(ReferenceData!$BJ$103),"",ReferenceData!$BJ$103),"")</f>
        <v/>
      </c>
      <c r="BK103" t="str">
        <f ca="1">IFERROR(IF(0=LEN(ReferenceData!$BK$103),"",ReferenceData!$BK$103),"")</f>
        <v/>
      </c>
      <c r="BL103" t="str">
        <f ca="1">IFERROR(IF(0=LEN(ReferenceData!$BL$103),"",ReferenceData!$BL$103),"")</f>
        <v/>
      </c>
      <c r="BM103" t="str">
        <f ca="1">IFERROR(IF(0=LEN(ReferenceData!$BM$103),"",ReferenceData!$BM$103),"")</f>
        <v/>
      </c>
    </row>
    <row r="104" spans="1:65">
      <c r="A104" t="str">
        <f>IFERROR(IF(0=LEN(ReferenceData!$A$104),"",ReferenceData!$A$104),"")</f>
        <v xml:space="preserve">    Federal Realty Investment Trus</v>
      </c>
      <c r="B104" t="str">
        <f>IFERROR(IF(0=LEN(ReferenceData!$B$104),"",ReferenceData!$B$104),"")</f>
        <v>FRT US Equity</v>
      </c>
      <c r="C104" t="str">
        <f>IFERROR(IF(0=LEN(ReferenceData!$C$104),"",ReferenceData!$C$104),"")</f>
        <v>IS972</v>
      </c>
      <c r="D104" t="str">
        <f>IFERROR(IF(0=LEN(ReferenceData!$D$104),"",ReferenceData!$D$104),"")</f>
        <v>IS_ADJUSTED_EBITDA_AS_REPORTED</v>
      </c>
      <c r="E104" t="str">
        <f>IFERROR(IF(0=LEN(ReferenceData!$E$104),"",ReferenceData!$E$104),"")</f>
        <v>动态</v>
      </c>
      <c r="F104" t="str">
        <f ca="1">IFERROR(IF(0=LEN(ReferenceData!$F$104),"",ReferenceData!$F$104),"")</f>
        <v/>
      </c>
      <c r="G104">
        <f ca="1">IFERROR(IF(0=LEN(ReferenceData!$G$104),"",ReferenceData!$G$104),"")</f>
        <v>139.98099999999999</v>
      </c>
      <c r="H104">
        <f ca="1">IFERROR(IF(0=LEN(ReferenceData!$H$104),"",ReferenceData!$H$104),"")</f>
        <v>139.92599999999999</v>
      </c>
      <c r="I104">
        <f ca="1">IFERROR(IF(0=LEN(ReferenceData!$I$104),"",ReferenceData!$I$104),"")</f>
        <v>135.642</v>
      </c>
      <c r="J104">
        <f ca="1">IFERROR(IF(0=LEN(ReferenceData!$J$104),"",ReferenceData!$J$104),"")</f>
        <v>132.923</v>
      </c>
      <c r="K104">
        <f ca="1">IFERROR(IF(0=LEN(ReferenceData!$K$104),"",ReferenceData!$K$104),"")</f>
        <v>131.934</v>
      </c>
      <c r="L104">
        <f ca="1">IFERROR(IF(0=LEN(ReferenceData!$L$104),"",ReferenceData!$L$104),"")</f>
        <v>129.364</v>
      </c>
      <c r="M104">
        <f ca="1">IFERROR(IF(0=LEN(ReferenceData!$M$104),"",ReferenceData!$M$104),"")</f>
        <v>128.57</v>
      </c>
      <c r="N104">
        <f ca="1">IFERROR(IF(0=LEN(ReferenceData!$N$104),"",ReferenceData!$N$104),"")</f>
        <v>124.762</v>
      </c>
      <c r="O104">
        <f ca="1">IFERROR(IF(0=LEN(ReferenceData!$O$104),"",ReferenceData!$O$104),"")</f>
        <v>122.767</v>
      </c>
      <c r="P104">
        <f ca="1">IFERROR(IF(0=LEN(ReferenceData!$P$104),"",ReferenceData!$P$104),"")</f>
        <v>119.995</v>
      </c>
      <c r="Q104">
        <f ca="1">IFERROR(IF(0=LEN(ReferenceData!$Q$104),"",ReferenceData!$Q$104),"")</f>
        <v>119.27800000000001</v>
      </c>
      <c r="R104">
        <f ca="1">IFERROR(IF(0=LEN(ReferenceData!$R$104),"",ReferenceData!$R$104),"")</f>
        <v>114.32599999999999</v>
      </c>
      <c r="S104">
        <f ca="1">IFERROR(IF(0=LEN(ReferenceData!$S$104),"",ReferenceData!$S$104),"")</f>
        <v>115.355</v>
      </c>
      <c r="T104">
        <f ca="1">IFERROR(IF(0=LEN(ReferenceData!$T$104),"",ReferenceData!$T$104),"")</f>
        <v>110.72799999999999</v>
      </c>
      <c r="U104">
        <f ca="1">IFERROR(IF(0=LEN(ReferenceData!$U$104),"",ReferenceData!$U$104),"")</f>
        <v>109.504</v>
      </c>
      <c r="V104">
        <f ca="1">IFERROR(IF(0=LEN(ReferenceData!$V$104),"",ReferenceData!$V$104),"")</f>
        <v>107.50700000000001</v>
      </c>
      <c r="W104">
        <f ca="1">IFERROR(IF(0=LEN(ReferenceData!$W$104),"",ReferenceData!$W$104),"")</f>
        <v>105.116</v>
      </c>
      <c r="X104">
        <f ca="1">IFERROR(IF(0=LEN(ReferenceData!$X$104),"",ReferenceData!$X$104),"")</f>
        <v>104.605</v>
      </c>
      <c r="Y104">
        <f ca="1">IFERROR(IF(0=LEN(ReferenceData!$Y$104),"",ReferenceData!$Y$104),"")</f>
        <v>104.13800000000001</v>
      </c>
      <c r="Z104">
        <f ca="1">IFERROR(IF(0=LEN(ReferenceData!$Z$104),"",ReferenceData!$Z$104),"")</f>
        <v>103.84099999999999</v>
      </c>
      <c r="AA104">
        <f ca="1">IFERROR(IF(0=LEN(ReferenceData!$AA$104),"",ReferenceData!$AA$104),"")</f>
        <v>101.678</v>
      </c>
      <c r="AB104">
        <f ca="1">IFERROR(IF(0=LEN(ReferenceData!$AB$104),"",ReferenceData!$AB$104),"")</f>
        <v>102.545</v>
      </c>
      <c r="AC104">
        <f ca="1">IFERROR(IF(0=LEN(ReferenceData!$AC$104),"",ReferenceData!$AC$104),"")</f>
        <v>97.415999999999997</v>
      </c>
      <c r="AD104">
        <f ca="1">IFERROR(IF(0=LEN(ReferenceData!$AD$104),"",ReferenceData!$AD$104),"")</f>
        <v>97.418999999999997</v>
      </c>
      <c r="AE104">
        <f ca="1">IFERROR(IF(0=LEN(ReferenceData!$AE$104),"",ReferenceData!$AE$104),"")</f>
        <v>89.706999999999994</v>
      </c>
      <c r="AF104">
        <f ca="1">IFERROR(IF(0=LEN(ReferenceData!$AF$104),"",ReferenceData!$AF$104),"")</f>
        <v>90.35</v>
      </c>
      <c r="AG104">
        <f ca="1">IFERROR(IF(0=LEN(ReferenceData!$AG$104),"",ReferenceData!$AG$104),"")</f>
        <v>90.35</v>
      </c>
      <c r="AH104">
        <f ca="1">IFERROR(IF(0=LEN(ReferenceData!$AH$104),"",ReferenceData!$AH$104),"")</f>
        <v>87.686000000000007</v>
      </c>
      <c r="AI104">
        <f ca="1">IFERROR(IF(0=LEN(ReferenceData!$AI$104),"",ReferenceData!$AI$104),"")</f>
        <v>89.600999999999999</v>
      </c>
      <c r="AJ104">
        <f ca="1">IFERROR(IF(0=LEN(ReferenceData!$AJ$104),"",ReferenceData!$AJ$104),"")</f>
        <v>85.882000000000005</v>
      </c>
      <c r="AK104">
        <f ca="1">IFERROR(IF(0=LEN(ReferenceData!$AK$104),"",ReferenceData!$AK$104),"")</f>
        <v>87.521000000000001</v>
      </c>
      <c r="AL104">
        <f ca="1">IFERROR(IF(0=LEN(ReferenceData!$AL$104),"",ReferenceData!$AL$104),"")</f>
        <v>88.066999999999993</v>
      </c>
      <c r="AM104">
        <f ca="1">IFERROR(IF(0=LEN(ReferenceData!$AM$104),"",ReferenceData!$AM$104),"")</f>
        <v>92.034000000000006</v>
      </c>
      <c r="AN104">
        <f ca="1">IFERROR(IF(0=LEN(ReferenceData!$AN$104),"",ReferenceData!$AN$104),"")</f>
        <v>85.128</v>
      </c>
      <c r="AO104">
        <f ca="1">IFERROR(IF(0=LEN(ReferenceData!$AO$104),"",ReferenceData!$AO$104),"")</f>
        <v>84.218999999999994</v>
      </c>
      <c r="AP104">
        <f ca="1">IFERROR(IF(0=LEN(ReferenceData!$AP$104),"",ReferenceData!$AP$104),"")</f>
        <v>61.64</v>
      </c>
      <c r="AQ104">
        <f ca="1">IFERROR(IF(0=LEN(ReferenceData!$AQ$104),"",ReferenceData!$AQ$104),"")</f>
        <v>82.564999999999998</v>
      </c>
      <c r="AR104">
        <f ca="1">IFERROR(IF(0=LEN(ReferenceData!$AR$104),"",ReferenceData!$AR$104),"")</f>
        <v>83.528000000000006</v>
      </c>
      <c r="AS104">
        <f ca="1">IFERROR(IF(0=LEN(ReferenceData!$AS$104),"",ReferenceData!$AS$104),"")</f>
        <v>81.036000000000001</v>
      </c>
      <c r="AT104">
        <f ca="1">IFERROR(IF(0=LEN(ReferenceData!$AT$104),"",ReferenceData!$AT$104),"")</f>
        <v>79.397999999999996</v>
      </c>
      <c r="AU104">
        <f ca="1">IFERROR(IF(0=LEN(ReferenceData!$AU$104),"",ReferenceData!$AU$104),"")</f>
        <v>80.167000000000002</v>
      </c>
      <c r="AV104">
        <f ca="1">IFERROR(IF(0=LEN(ReferenceData!$AV$104),"",ReferenceData!$AV$104),"")</f>
        <v>82.703999999999994</v>
      </c>
      <c r="AW104">
        <f ca="1">IFERROR(IF(0=LEN(ReferenceData!$AW$104),"",ReferenceData!$AW$104),"")</f>
        <v>81.174999999999997</v>
      </c>
      <c r="AX104">
        <f ca="1">IFERROR(IF(0=LEN(ReferenceData!$AX$104),"",ReferenceData!$AX$104),"")</f>
        <v>78.745999999999995</v>
      </c>
      <c r="AY104" t="str">
        <f ca="1">IFERROR(IF(0=LEN(ReferenceData!$AY$104),"",ReferenceData!$AY$104),"")</f>
        <v/>
      </c>
      <c r="AZ104" t="str">
        <f ca="1">IFERROR(IF(0=LEN(ReferenceData!$AZ$104),"",ReferenceData!$AZ$104),"")</f>
        <v/>
      </c>
      <c r="BA104">
        <f ca="1">IFERROR(IF(0=LEN(ReferenceData!$BA$104),"",ReferenceData!$BA$104),"")</f>
        <v>71.933000000000007</v>
      </c>
      <c r="BB104">
        <f ca="1">IFERROR(IF(0=LEN(ReferenceData!$BB$104),"",ReferenceData!$BB$104),"")</f>
        <v>70.334999999999994</v>
      </c>
      <c r="BC104" t="str">
        <f ca="1">IFERROR(IF(0=LEN(ReferenceData!$BC$104),"",ReferenceData!$BC$104),"")</f>
        <v/>
      </c>
      <c r="BD104" t="str">
        <f ca="1">IFERROR(IF(0=LEN(ReferenceData!$BD$104),"",ReferenceData!$BD$104),"")</f>
        <v/>
      </c>
      <c r="BE104" t="str">
        <f ca="1">IFERROR(IF(0=LEN(ReferenceData!$BE$104),"",ReferenceData!$BE$104),"")</f>
        <v/>
      </c>
      <c r="BF104" t="str">
        <f ca="1">IFERROR(IF(0=LEN(ReferenceData!$BF$104),"",ReferenceData!$BF$104),"")</f>
        <v/>
      </c>
      <c r="BG104" t="str">
        <f ca="1">IFERROR(IF(0=LEN(ReferenceData!$BG$104),"",ReferenceData!$BG$104),"")</f>
        <v/>
      </c>
      <c r="BH104" t="str">
        <f ca="1">IFERROR(IF(0=LEN(ReferenceData!$BH$104),"",ReferenceData!$BH$104),"")</f>
        <v/>
      </c>
      <c r="BI104" t="str">
        <f ca="1">IFERROR(IF(0=LEN(ReferenceData!$BI$104),"",ReferenceData!$BI$104),"")</f>
        <v/>
      </c>
      <c r="BJ104" t="str">
        <f ca="1">IFERROR(IF(0=LEN(ReferenceData!$BJ$104),"",ReferenceData!$BJ$104),"")</f>
        <v/>
      </c>
      <c r="BK104" t="str">
        <f ca="1">IFERROR(IF(0=LEN(ReferenceData!$BK$104),"",ReferenceData!$BK$104),"")</f>
        <v/>
      </c>
      <c r="BL104" t="str">
        <f ca="1">IFERROR(IF(0=LEN(ReferenceData!$BL$104),"",ReferenceData!$BL$104),"")</f>
        <v/>
      </c>
      <c r="BM104" t="str">
        <f ca="1">IFERROR(IF(0=LEN(ReferenceData!$BM$104),"",ReferenceData!$BM$104),"")</f>
        <v/>
      </c>
    </row>
    <row r="105" spans="1:65">
      <c r="A105" t="str">
        <f>IFERROR(IF(0=LEN(ReferenceData!$A$105),"",ReferenceData!$A$105),"")</f>
        <v xml:space="preserve">    Kimco Realty Corp</v>
      </c>
      <c r="B105" t="str">
        <f>IFERROR(IF(0=LEN(ReferenceData!$B$105),"",ReferenceData!$B$105),"")</f>
        <v>KIM US Equity</v>
      </c>
      <c r="C105" t="str">
        <f>IFERROR(IF(0=LEN(ReferenceData!$C$105),"",ReferenceData!$C$105),"")</f>
        <v>IS972</v>
      </c>
      <c r="D105" t="str">
        <f>IFERROR(IF(0=LEN(ReferenceData!$D$105),"",ReferenceData!$D$105),"")</f>
        <v>IS_ADJUSTED_EBITDA_AS_REPORTED</v>
      </c>
      <c r="E105" t="str">
        <f>IFERROR(IF(0=LEN(ReferenceData!$E$105),"",ReferenceData!$E$105),"")</f>
        <v>动态</v>
      </c>
      <c r="F105" t="str">
        <f ca="1">IFERROR(IF(0=LEN(ReferenceData!$F$105),"",ReferenceData!$F$105),"")</f>
        <v/>
      </c>
      <c r="G105">
        <f ca="1">IFERROR(IF(0=LEN(ReferenceData!$G$105),"",ReferenceData!$G$105),"")</f>
        <v>223.709</v>
      </c>
      <c r="H105">
        <f ca="1">IFERROR(IF(0=LEN(ReferenceData!$H$105),"",ReferenceData!$H$105),"")</f>
        <v>214.37700000000001</v>
      </c>
      <c r="I105">
        <f ca="1">IFERROR(IF(0=LEN(ReferenceData!$I$105),"",ReferenceData!$I$105),"")</f>
        <v>209.91499999999999</v>
      </c>
      <c r="J105">
        <f ca="1">IFERROR(IF(0=LEN(ReferenceData!$J$105),"",ReferenceData!$J$105),"")</f>
        <v>206.27500000000001</v>
      </c>
      <c r="K105">
        <f ca="1">IFERROR(IF(0=LEN(ReferenceData!$K$105),"",ReferenceData!$K$105),"")</f>
        <v>209.33699999999999</v>
      </c>
      <c r="L105">
        <f ca="1">IFERROR(IF(0=LEN(ReferenceData!$L$105),"",ReferenceData!$L$105),"")</f>
        <v>207.88300000000001</v>
      </c>
      <c r="M105">
        <f ca="1">IFERROR(IF(0=LEN(ReferenceData!$M$105),"",ReferenceData!$M$105),"")</f>
        <v>211.364</v>
      </c>
      <c r="N105">
        <f ca="1">IFERROR(IF(0=LEN(ReferenceData!$N$105),"",ReferenceData!$N$105),"")</f>
        <v>210.13399999999999</v>
      </c>
      <c r="O105">
        <f ca="1">IFERROR(IF(0=LEN(ReferenceData!$O$105),"",ReferenceData!$O$105),"")</f>
        <v>216.18899999999999</v>
      </c>
      <c r="P105">
        <f ca="1">IFERROR(IF(0=LEN(ReferenceData!$P$105),"",ReferenceData!$P$105),"")</f>
        <v>209.55500000000001</v>
      </c>
      <c r="Q105">
        <f ca="1">IFERROR(IF(0=LEN(ReferenceData!$Q$105),"",ReferenceData!$Q$105),"")</f>
        <v>213.44</v>
      </c>
      <c r="R105">
        <f ca="1">IFERROR(IF(0=LEN(ReferenceData!$R$105),"",ReferenceData!$R$105),"")</f>
        <v>207.40100000000001</v>
      </c>
      <c r="S105">
        <f ca="1">IFERROR(IF(0=LEN(ReferenceData!$S$105),"",ReferenceData!$S$105),"")</f>
        <v>201.203</v>
      </c>
      <c r="T105">
        <f ca="1">IFERROR(IF(0=LEN(ReferenceData!$T$105),"",ReferenceData!$T$105),"")</f>
        <v>203.24799999999999</v>
      </c>
      <c r="U105">
        <f ca="1">IFERROR(IF(0=LEN(ReferenceData!$U$105),"",ReferenceData!$U$105),"")</f>
        <v>197.22300000000001</v>
      </c>
      <c r="V105">
        <f ca="1">IFERROR(IF(0=LEN(ReferenceData!$V$105),"",ReferenceData!$V$105),"")</f>
        <v>186.41200000000001</v>
      </c>
      <c r="W105">
        <f ca="1">IFERROR(IF(0=LEN(ReferenceData!$W$105),"",ReferenceData!$W$105),"")</f>
        <v>186.76499999999999</v>
      </c>
      <c r="X105">
        <f ca="1">IFERROR(IF(0=LEN(ReferenceData!$X$105),"",ReferenceData!$X$105),"")</f>
        <v>182.768</v>
      </c>
      <c r="Y105">
        <f ca="1">IFERROR(IF(0=LEN(ReferenceData!$Y$105),"",ReferenceData!$Y$105),"")</f>
        <v>186.828</v>
      </c>
      <c r="Z105">
        <f ca="1">IFERROR(IF(0=LEN(ReferenceData!$Z$105),"",ReferenceData!$Z$105),"")</f>
        <v>177.07900000000001</v>
      </c>
      <c r="AA105">
        <f ca="1">IFERROR(IF(0=LEN(ReferenceData!$AA$105),"",ReferenceData!$AA$105),"")</f>
        <v>176.30699999999999</v>
      </c>
      <c r="AB105">
        <f ca="1">IFERROR(IF(0=LEN(ReferenceData!$AB$105),"",ReferenceData!$AB$105),"")</f>
        <v>186.57400000000001</v>
      </c>
      <c r="AC105">
        <f ca="1">IFERROR(IF(0=LEN(ReferenceData!$AC$105),"",ReferenceData!$AC$105),"")</f>
        <v>173.15199999999999</v>
      </c>
      <c r="AD105">
        <f ca="1">IFERROR(IF(0=LEN(ReferenceData!$AD$105),"",ReferenceData!$AD$105),"")</f>
        <v>172.92099999999999</v>
      </c>
      <c r="AE105">
        <f ca="1">IFERROR(IF(0=LEN(ReferenceData!$AE$105),"",ReferenceData!$AE$105),"")</f>
        <v>162.71700000000001</v>
      </c>
      <c r="AF105">
        <f ca="1">IFERROR(IF(0=LEN(ReferenceData!$AF$105),"",ReferenceData!$AF$105),"")</f>
        <v>158.74199999999999</v>
      </c>
      <c r="AG105">
        <f ca="1">IFERROR(IF(0=LEN(ReferenceData!$AG$105),"",ReferenceData!$AG$105),"")</f>
        <v>160.72</v>
      </c>
      <c r="AH105">
        <f ca="1">IFERROR(IF(0=LEN(ReferenceData!$AH$105),"",ReferenceData!$AH$105),"")</f>
        <v>161.18899999999999</v>
      </c>
      <c r="AI105">
        <f ca="1">IFERROR(IF(0=LEN(ReferenceData!$AI$105),"",ReferenceData!$AI$105),"")</f>
        <v>155.06</v>
      </c>
      <c r="AJ105">
        <f ca="1">IFERROR(IF(0=LEN(ReferenceData!$AJ$105),"",ReferenceData!$AJ$105),"")</f>
        <v>152.26900000000001</v>
      </c>
      <c r="AK105">
        <f ca="1">IFERROR(IF(0=LEN(ReferenceData!$AK$105),"",ReferenceData!$AK$105),"")</f>
        <v>155.542</v>
      </c>
      <c r="AL105">
        <f ca="1">IFERROR(IF(0=LEN(ReferenceData!$AL$105),"",ReferenceData!$AL$105),"")</f>
        <v>155.03200000000001</v>
      </c>
      <c r="AM105">
        <f ca="1">IFERROR(IF(0=LEN(ReferenceData!$AM$105),"",ReferenceData!$AM$105),"")</f>
        <v>160.82900000000001</v>
      </c>
      <c r="AN105" t="str">
        <f ca="1">IFERROR(IF(0=LEN(ReferenceData!$AN$105),"",ReferenceData!$AN$105),"")</f>
        <v/>
      </c>
      <c r="AO105">
        <f ca="1">IFERROR(IF(0=LEN(ReferenceData!$AO$105),"",ReferenceData!$AO$105),"")</f>
        <v>0.14285800000000001</v>
      </c>
      <c r="AP105" t="str">
        <f ca="1">IFERROR(IF(0=LEN(ReferenceData!$AP$105),"",ReferenceData!$AP$105),"")</f>
        <v/>
      </c>
      <c r="AQ105" t="str">
        <f ca="1">IFERROR(IF(0=LEN(ReferenceData!$AQ$105),"",ReferenceData!$AQ$105),"")</f>
        <v/>
      </c>
      <c r="AR105" t="str">
        <f ca="1">IFERROR(IF(0=LEN(ReferenceData!$AR$105),"",ReferenceData!$AR$105),"")</f>
        <v/>
      </c>
      <c r="AS105" t="str">
        <f ca="1">IFERROR(IF(0=LEN(ReferenceData!$AS$105),"",ReferenceData!$AS$105),"")</f>
        <v/>
      </c>
      <c r="AT105" t="str">
        <f ca="1">IFERROR(IF(0=LEN(ReferenceData!$AT$105),"",ReferenceData!$AT$105),"")</f>
        <v/>
      </c>
      <c r="AU105" t="str">
        <f ca="1">IFERROR(IF(0=LEN(ReferenceData!$AU$105),"",ReferenceData!$AU$105),"")</f>
        <v/>
      </c>
      <c r="AV105" t="str">
        <f ca="1">IFERROR(IF(0=LEN(ReferenceData!$AV$105),"",ReferenceData!$AV$105),"")</f>
        <v/>
      </c>
      <c r="AW105" t="str">
        <f ca="1">IFERROR(IF(0=LEN(ReferenceData!$AW$105),"",ReferenceData!$AW$105),"")</f>
        <v/>
      </c>
      <c r="AX105" t="str">
        <f ca="1">IFERROR(IF(0=LEN(ReferenceData!$AX$105),"",ReferenceData!$AX$105),"")</f>
        <v/>
      </c>
      <c r="AY105" t="str">
        <f ca="1">IFERROR(IF(0=LEN(ReferenceData!$AY$105),"",ReferenceData!$AY$105),"")</f>
        <v/>
      </c>
      <c r="AZ105" t="str">
        <f ca="1">IFERROR(IF(0=LEN(ReferenceData!$AZ$105),"",ReferenceData!$AZ$105),"")</f>
        <v/>
      </c>
      <c r="BA105" t="str">
        <f ca="1">IFERROR(IF(0=LEN(ReferenceData!$BA$105),"",ReferenceData!$BA$105),"")</f>
        <v/>
      </c>
      <c r="BB105" t="str">
        <f ca="1">IFERROR(IF(0=LEN(ReferenceData!$BB$105),"",ReferenceData!$BB$105),"")</f>
        <v/>
      </c>
      <c r="BC105" t="str">
        <f ca="1">IFERROR(IF(0=LEN(ReferenceData!$BC$105),"",ReferenceData!$BC$105),"")</f>
        <v/>
      </c>
      <c r="BD105" t="str">
        <f ca="1">IFERROR(IF(0=LEN(ReferenceData!$BD$105),"",ReferenceData!$BD$105),"")</f>
        <v/>
      </c>
      <c r="BE105" t="str">
        <f ca="1">IFERROR(IF(0=LEN(ReferenceData!$BE$105),"",ReferenceData!$BE$105),"")</f>
        <v/>
      </c>
      <c r="BF105" t="str">
        <f ca="1">IFERROR(IF(0=LEN(ReferenceData!$BF$105),"",ReferenceData!$BF$105),"")</f>
        <v/>
      </c>
      <c r="BG105" t="str">
        <f ca="1">IFERROR(IF(0=LEN(ReferenceData!$BG$105),"",ReferenceData!$BG$105),"")</f>
        <v/>
      </c>
      <c r="BH105" t="str">
        <f ca="1">IFERROR(IF(0=LEN(ReferenceData!$BH$105),"",ReferenceData!$BH$105),"")</f>
        <v/>
      </c>
      <c r="BI105" t="str">
        <f ca="1">IFERROR(IF(0=LEN(ReferenceData!$BI$105),"",ReferenceData!$BI$105),"")</f>
        <v/>
      </c>
      <c r="BJ105" t="str">
        <f ca="1">IFERROR(IF(0=LEN(ReferenceData!$BJ$105),"",ReferenceData!$BJ$105),"")</f>
        <v/>
      </c>
      <c r="BK105" t="str">
        <f ca="1">IFERROR(IF(0=LEN(ReferenceData!$BK$105),"",ReferenceData!$BK$105),"")</f>
        <v/>
      </c>
      <c r="BL105" t="str">
        <f ca="1">IFERROR(IF(0=LEN(ReferenceData!$BL$105),"",ReferenceData!$BL$105),"")</f>
        <v/>
      </c>
      <c r="BM105" t="str">
        <f ca="1">IFERROR(IF(0=LEN(ReferenceData!$BM$105),"",ReferenceData!$BM$105),"")</f>
        <v/>
      </c>
    </row>
    <row r="106" spans="1:65">
      <c r="A106" t="str">
        <f>IFERROR(IF(0=LEN(ReferenceData!$A$106),"",ReferenceData!$A$106),"")</f>
        <v xml:space="preserve">    National Retail Properties Inc</v>
      </c>
      <c r="B106" t="str">
        <f>IFERROR(IF(0=LEN(ReferenceData!$B$106),"",ReferenceData!$B$106),"")</f>
        <v>NNN US Equity</v>
      </c>
      <c r="C106" t="str">
        <f>IFERROR(IF(0=LEN(ReferenceData!$C$106),"",ReferenceData!$C$106),"")</f>
        <v>IS972</v>
      </c>
      <c r="D106" t="str">
        <f>IFERROR(IF(0=LEN(ReferenceData!$D$106),"",ReferenceData!$D$106),"")</f>
        <v>IS_ADJUSTED_EBITDA_AS_REPORTED</v>
      </c>
      <c r="E106" t="str">
        <f>IFERROR(IF(0=LEN(ReferenceData!$E$106),"",ReferenceData!$E$106),"")</f>
        <v>动态</v>
      </c>
      <c r="F106" t="str">
        <f ca="1">IFERROR(IF(0=LEN(ReferenceData!$F$106),"",ReferenceData!$F$106),"")</f>
        <v/>
      </c>
      <c r="G106" t="str">
        <f ca="1">IFERROR(IF(0=LEN(ReferenceData!$G$106),"",ReferenceData!$G$106),"")</f>
        <v/>
      </c>
      <c r="H106" t="str">
        <f ca="1">IFERROR(IF(0=LEN(ReferenceData!$H$106),"",ReferenceData!$H$106),"")</f>
        <v/>
      </c>
      <c r="I106" t="str">
        <f ca="1">IFERROR(IF(0=LEN(ReferenceData!$I$106),"",ReferenceData!$I$106),"")</f>
        <v/>
      </c>
      <c r="J106" t="str">
        <f ca="1">IFERROR(IF(0=LEN(ReferenceData!$J$106),"",ReferenceData!$J$106),"")</f>
        <v/>
      </c>
      <c r="K106" t="str">
        <f ca="1">IFERROR(IF(0=LEN(ReferenceData!$K$106),"",ReferenceData!$K$106),"")</f>
        <v/>
      </c>
      <c r="L106" t="str">
        <f ca="1">IFERROR(IF(0=LEN(ReferenceData!$L$106),"",ReferenceData!$L$106),"")</f>
        <v/>
      </c>
      <c r="M106" t="str">
        <f ca="1">IFERROR(IF(0=LEN(ReferenceData!$M$106),"",ReferenceData!$M$106),"")</f>
        <v/>
      </c>
      <c r="N106" t="str">
        <f ca="1">IFERROR(IF(0=LEN(ReferenceData!$N$106),"",ReferenceData!$N$106),"")</f>
        <v/>
      </c>
      <c r="O106" t="str">
        <f ca="1">IFERROR(IF(0=LEN(ReferenceData!$O$106),"",ReferenceData!$O$106),"")</f>
        <v/>
      </c>
      <c r="P106" t="str">
        <f ca="1">IFERROR(IF(0=LEN(ReferenceData!$P$106),"",ReferenceData!$P$106),"")</f>
        <v/>
      </c>
      <c r="Q106" t="str">
        <f ca="1">IFERROR(IF(0=LEN(ReferenceData!$Q$106),"",ReferenceData!$Q$106),"")</f>
        <v/>
      </c>
      <c r="R106" t="str">
        <f ca="1">IFERROR(IF(0=LEN(ReferenceData!$R$106),"",ReferenceData!$R$106),"")</f>
        <v/>
      </c>
      <c r="S106" t="str">
        <f ca="1">IFERROR(IF(0=LEN(ReferenceData!$S$106),"",ReferenceData!$S$106),"")</f>
        <v/>
      </c>
      <c r="T106" t="str">
        <f ca="1">IFERROR(IF(0=LEN(ReferenceData!$T$106),"",ReferenceData!$T$106),"")</f>
        <v/>
      </c>
      <c r="U106" t="str">
        <f ca="1">IFERROR(IF(0=LEN(ReferenceData!$U$106),"",ReferenceData!$U$106),"")</f>
        <v/>
      </c>
      <c r="V106" t="str">
        <f ca="1">IFERROR(IF(0=LEN(ReferenceData!$V$106),"",ReferenceData!$V$106),"")</f>
        <v/>
      </c>
      <c r="W106" t="str">
        <f ca="1">IFERROR(IF(0=LEN(ReferenceData!$W$106),"",ReferenceData!$W$106),"")</f>
        <v/>
      </c>
      <c r="X106" t="str">
        <f ca="1">IFERROR(IF(0=LEN(ReferenceData!$X$106),"",ReferenceData!$X$106),"")</f>
        <v/>
      </c>
      <c r="Y106" t="str">
        <f ca="1">IFERROR(IF(0=LEN(ReferenceData!$Y$106),"",ReferenceData!$Y$106),"")</f>
        <v/>
      </c>
      <c r="Z106" t="str">
        <f ca="1">IFERROR(IF(0=LEN(ReferenceData!$Z$106),"",ReferenceData!$Z$106),"")</f>
        <v/>
      </c>
      <c r="AA106" t="str">
        <f ca="1">IFERROR(IF(0=LEN(ReferenceData!$AA$106),"",ReferenceData!$AA$106),"")</f>
        <v/>
      </c>
      <c r="AB106" t="str">
        <f ca="1">IFERROR(IF(0=LEN(ReferenceData!$AB$106),"",ReferenceData!$AB$106),"")</f>
        <v/>
      </c>
      <c r="AC106" t="str">
        <f ca="1">IFERROR(IF(0=LEN(ReferenceData!$AC$106),"",ReferenceData!$AC$106),"")</f>
        <v/>
      </c>
      <c r="AD106" t="str">
        <f ca="1">IFERROR(IF(0=LEN(ReferenceData!$AD$106),"",ReferenceData!$AD$106),"")</f>
        <v/>
      </c>
      <c r="AE106" t="str">
        <f ca="1">IFERROR(IF(0=LEN(ReferenceData!$AE$106),"",ReferenceData!$AE$106),"")</f>
        <v/>
      </c>
      <c r="AF106" t="str">
        <f ca="1">IFERROR(IF(0=LEN(ReferenceData!$AF$106),"",ReferenceData!$AF$106),"")</f>
        <v/>
      </c>
      <c r="AG106" t="str">
        <f ca="1">IFERROR(IF(0=LEN(ReferenceData!$AG$106),"",ReferenceData!$AG$106),"")</f>
        <v/>
      </c>
      <c r="AH106" t="str">
        <f ca="1">IFERROR(IF(0=LEN(ReferenceData!$AH$106),"",ReferenceData!$AH$106),"")</f>
        <v/>
      </c>
      <c r="AI106" t="str">
        <f ca="1">IFERROR(IF(0=LEN(ReferenceData!$AI$106),"",ReferenceData!$AI$106),"")</f>
        <v/>
      </c>
      <c r="AJ106" t="str">
        <f ca="1">IFERROR(IF(0=LEN(ReferenceData!$AJ$106),"",ReferenceData!$AJ$106),"")</f>
        <v/>
      </c>
      <c r="AK106" t="str">
        <f ca="1">IFERROR(IF(0=LEN(ReferenceData!$AK$106),"",ReferenceData!$AK$106),"")</f>
        <v/>
      </c>
      <c r="AL106" t="str">
        <f ca="1">IFERROR(IF(0=LEN(ReferenceData!$AL$106),"",ReferenceData!$AL$106),"")</f>
        <v/>
      </c>
      <c r="AM106" t="str">
        <f ca="1">IFERROR(IF(0=LEN(ReferenceData!$AM$106),"",ReferenceData!$AM$106),"")</f>
        <v/>
      </c>
      <c r="AN106" t="str">
        <f ca="1">IFERROR(IF(0=LEN(ReferenceData!$AN$106),"",ReferenceData!$AN$106),"")</f>
        <v/>
      </c>
      <c r="AO106" t="str">
        <f ca="1">IFERROR(IF(0=LEN(ReferenceData!$AO$106),"",ReferenceData!$AO$106),"")</f>
        <v/>
      </c>
      <c r="AP106" t="str">
        <f ca="1">IFERROR(IF(0=LEN(ReferenceData!$AP$106),"",ReferenceData!$AP$106),"")</f>
        <v/>
      </c>
      <c r="AQ106" t="str">
        <f ca="1">IFERROR(IF(0=LEN(ReferenceData!$AQ$106),"",ReferenceData!$AQ$106),"")</f>
        <v/>
      </c>
      <c r="AR106" t="str">
        <f ca="1">IFERROR(IF(0=LEN(ReferenceData!$AR$106),"",ReferenceData!$AR$106),"")</f>
        <v/>
      </c>
      <c r="AS106" t="str">
        <f ca="1">IFERROR(IF(0=LEN(ReferenceData!$AS$106),"",ReferenceData!$AS$106),"")</f>
        <v/>
      </c>
      <c r="AT106" t="str">
        <f ca="1">IFERROR(IF(0=LEN(ReferenceData!$AT$106),"",ReferenceData!$AT$106),"")</f>
        <v/>
      </c>
      <c r="AU106" t="str">
        <f ca="1">IFERROR(IF(0=LEN(ReferenceData!$AU$106),"",ReferenceData!$AU$106),"")</f>
        <v/>
      </c>
      <c r="AV106" t="str">
        <f ca="1">IFERROR(IF(0=LEN(ReferenceData!$AV$106),"",ReferenceData!$AV$106),"")</f>
        <v/>
      </c>
      <c r="AW106" t="str">
        <f ca="1">IFERROR(IF(0=LEN(ReferenceData!$AW$106),"",ReferenceData!$AW$106),"")</f>
        <v/>
      </c>
      <c r="AX106" t="str">
        <f ca="1">IFERROR(IF(0=LEN(ReferenceData!$AX$106),"",ReferenceData!$AX$106),"")</f>
        <v/>
      </c>
      <c r="AY106" t="str">
        <f ca="1">IFERROR(IF(0=LEN(ReferenceData!$AY$106),"",ReferenceData!$AY$106),"")</f>
        <v/>
      </c>
      <c r="AZ106" t="str">
        <f ca="1">IFERROR(IF(0=LEN(ReferenceData!$AZ$106),"",ReferenceData!$AZ$106),"")</f>
        <v/>
      </c>
      <c r="BA106" t="str">
        <f ca="1">IFERROR(IF(0=LEN(ReferenceData!$BA$106),"",ReferenceData!$BA$106),"")</f>
        <v/>
      </c>
      <c r="BB106" t="str">
        <f ca="1">IFERROR(IF(0=LEN(ReferenceData!$BB$106),"",ReferenceData!$BB$106),"")</f>
        <v/>
      </c>
      <c r="BC106" t="str">
        <f ca="1">IFERROR(IF(0=LEN(ReferenceData!$BC$106),"",ReferenceData!$BC$106),"")</f>
        <v/>
      </c>
      <c r="BD106" t="str">
        <f ca="1">IFERROR(IF(0=LEN(ReferenceData!$BD$106),"",ReferenceData!$BD$106),"")</f>
        <v/>
      </c>
      <c r="BE106" t="str">
        <f ca="1">IFERROR(IF(0=LEN(ReferenceData!$BE$106),"",ReferenceData!$BE$106),"")</f>
        <v/>
      </c>
      <c r="BF106" t="str">
        <f ca="1">IFERROR(IF(0=LEN(ReferenceData!$BF$106),"",ReferenceData!$BF$106),"")</f>
        <v/>
      </c>
      <c r="BG106" t="str">
        <f ca="1">IFERROR(IF(0=LEN(ReferenceData!$BG$106),"",ReferenceData!$BG$106),"")</f>
        <v/>
      </c>
      <c r="BH106" t="str">
        <f ca="1">IFERROR(IF(0=LEN(ReferenceData!$BH$106),"",ReferenceData!$BH$106),"")</f>
        <v/>
      </c>
      <c r="BI106" t="str">
        <f ca="1">IFERROR(IF(0=LEN(ReferenceData!$BI$106),"",ReferenceData!$BI$106),"")</f>
        <v/>
      </c>
      <c r="BJ106" t="str">
        <f ca="1">IFERROR(IF(0=LEN(ReferenceData!$BJ$106),"",ReferenceData!$BJ$106),"")</f>
        <v/>
      </c>
      <c r="BK106" t="str">
        <f ca="1">IFERROR(IF(0=LEN(ReferenceData!$BK$106),"",ReferenceData!$BK$106),"")</f>
        <v/>
      </c>
      <c r="BL106" t="str">
        <f ca="1">IFERROR(IF(0=LEN(ReferenceData!$BL$106),"",ReferenceData!$BL$106),"")</f>
        <v/>
      </c>
      <c r="BM106" t="str">
        <f ca="1">IFERROR(IF(0=LEN(ReferenceData!$BM$106),"",ReferenceData!$BM$106),"")</f>
        <v/>
      </c>
    </row>
    <row r="107" spans="1:65">
      <c r="A107" t="str">
        <f>IFERROR(IF(0=LEN(ReferenceData!$A$107),"",ReferenceData!$A$107),"")</f>
        <v xml:space="preserve">    Realty Income Corp</v>
      </c>
      <c r="B107" t="str">
        <f>IFERROR(IF(0=LEN(ReferenceData!$B$107),"",ReferenceData!$B$107),"")</f>
        <v>O US Equity</v>
      </c>
      <c r="C107" t="str">
        <f>IFERROR(IF(0=LEN(ReferenceData!$C$107),"",ReferenceData!$C$107),"")</f>
        <v>IS972</v>
      </c>
      <c r="D107" t="str">
        <f>IFERROR(IF(0=LEN(ReferenceData!$D$107),"",ReferenceData!$D$107),"")</f>
        <v>IS_ADJUSTED_EBITDA_AS_REPORTED</v>
      </c>
      <c r="E107" t="str">
        <f>IFERROR(IF(0=LEN(ReferenceData!$E$107),"",ReferenceData!$E$107),"")</f>
        <v>动态</v>
      </c>
      <c r="F107" t="str">
        <f ca="1">IFERROR(IF(0=LEN(ReferenceData!$F$107),"",ReferenceData!$F$107),"")</f>
        <v/>
      </c>
      <c r="G107" t="str">
        <f ca="1">IFERROR(IF(0=LEN(ReferenceData!$G$107),"",ReferenceData!$G$107),"")</f>
        <v/>
      </c>
      <c r="H107" t="str">
        <f ca="1">IFERROR(IF(0=LEN(ReferenceData!$H$107),"",ReferenceData!$H$107),"")</f>
        <v/>
      </c>
      <c r="I107" t="str">
        <f ca="1">IFERROR(IF(0=LEN(ReferenceData!$I$107),"",ReferenceData!$I$107),"")</f>
        <v/>
      </c>
      <c r="J107" t="str">
        <f ca="1">IFERROR(IF(0=LEN(ReferenceData!$J$107),"",ReferenceData!$J$107),"")</f>
        <v/>
      </c>
      <c r="K107" t="str">
        <f ca="1">IFERROR(IF(0=LEN(ReferenceData!$K$107),"",ReferenceData!$K$107),"")</f>
        <v/>
      </c>
      <c r="L107" t="str">
        <f ca="1">IFERROR(IF(0=LEN(ReferenceData!$L$107),"",ReferenceData!$L$107),"")</f>
        <v/>
      </c>
      <c r="M107" t="str">
        <f ca="1">IFERROR(IF(0=LEN(ReferenceData!$M$107),"",ReferenceData!$M$107),"")</f>
        <v/>
      </c>
      <c r="N107" t="str">
        <f ca="1">IFERROR(IF(0=LEN(ReferenceData!$N$107),"",ReferenceData!$N$107),"")</f>
        <v/>
      </c>
      <c r="O107" t="str">
        <f ca="1">IFERROR(IF(0=LEN(ReferenceData!$O$107),"",ReferenceData!$O$107),"")</f>
        <v/>
      </c>
      <c r="P107" t="str">
        <f ca="1">IFERROR(IF(0=LEN(ReferenceData!$P$107),"",ReferenceData!$P$107),"")</f>
        <v/>
      </c>
      <c r="Q107" t="str">
        <f ca="1">IFERROR(IF(0=LEN(ReferenceData!$Q$107),"",ReferenceData!$Q$107),"")</f>
        <v/>
      </c>
      <c r="R107" t="str">
        <f ca="1">IFERROR(IF(0=LEN(ReferenceData!$R$107),"",ReferenceData!$R$107),"")</f>
        <v/>
      </c>
      <c r="S107" t="str">
        <f ca="1">IFERROR(IF(0=LEN(ReferenceData!$S$107),"",ReferenceData!$S$107),"")</f>
        <v/>
      </c>
      <c r="T107" t="str">
        <f ca="1">IFERROR(IF(0=LEN(ReferenceData!$T$107),"",ReferenceData!$T$107),"")</f>
        <v/>
      </c>
      <c r="U107" t="str">
        <f ca="1">IFERROR(IF(0=LEN(ReferenceData!$U$107),"",ReferenceData!$U$107),"")</f>
        <v/>
      </c>
      <c r="V107" t="str">
        <f ca="1">IFERROR(IF(0=LEN(ReferenceData!$V$107),"",ReferenceData!$V$107),"")</f>
        <v/>
      </c>
      <c r="W107" t="str">
        <f ca="1">IFERROR(IF(0=LEN(ReferenceData!$W$107),"",ReferenceData!$W$107),"")</f>
        <v/>
      </c>
      <c r="X107" t="str">
        <f ca="1">IFERROR(IF(0=LEN(ReferenceData!$X$107),"",ReferenceData!$X$107),"")</f>
        <v/>
      </c>
      <c r="Y107" t="str">
        <f ca="1">IFERROR(IF(0=LEN(ReferenceData!$Y$107),"",ReferenceData!$Y$107),"")</f>
        <v/>
      </c>
      <c r="Z107" t="str">
        <f ca="1">IFERROR(IF(0=LEN(ReferenceData!$Z$107),"",ReferenceData!$Z$107),"")</f>
        <v/>
      </c>
      <c r="AA107" t="str">
        <f ca="1">IFERROR(IF(0=LEN(ReferenceData!$AA$107),"",ReferenceData!$AA$107),"")</f>
        <v/>
      </c>
      <c r="AB107" t="str">
        <f ca="1">IFERROR(IF(0=LEN(ReferenceData!$AB$107),"",ReferenceData!$AB$107),"")</f>
        <v/>
      </c>
      <c r="AC107" t="str">
        <f ca="1">IFERROR(IF(0=LEN(ReferenceData!$AC$107),"",ReferenceData!$AC$107),"")</f>
        <v/>
      </c>
      <c r="AD107">
        <f ca="1">IFERROR(IF(0=LEN(ReferenceData!$AD$107),"",ReferenceData!$AD$107),"")</f>
        <v>103.566</v>
      </c>
      <c r="AE107">
        <f ca="1">IFERROR(IF(0=LEN(ReferenceData!$AE$107),"",ReferenceData!$AE$107),"")</f>
        <v>103.566</v>
      </c>
      <c r="AF107">
        <f ca="1">IFERROR(IF(0=LEN(ReferenceData!$AF$107),"",ReferenceData!$AF$107),"")</f>
        <v>98.622</v>
      </c>
      <c r="AG107">
        <f ca="1">IFERROR(IF(0=LEN(ReferenceData!$AG$107),"",ReferenceData!$AG$107),"")</f>
        <v>93.191000000000003</v>
      </c>
      <c r="AH107">
        <f ca="1">IFERROR(IF(0=LEN(ReferenceData!$AH$107),"",ReferenceData!$AH$107),"")</f>
        <v>88.522000000000006</v>
      </c>
      <c r="AI107">
        <f ca="1">IFERROR(IF(0=LEN(ReferenceData!$AI$107),"",ReferenceData!$AI$107),"")</f>
        <v>84.373999999999995</v>
      </c>
      <c r="AJ107">
        <f ca="1">IFERROR(IF(0=LEN(ReferenceData!$AJ$107),"",ReferenceData!$AJ$107),"")</f>
        <v>79.539000000000001</v>
      </c>
      <c r="AK107" t="str">
        <f ca="1">IFERROR(IF(0=LEN(ReferenceData!$AK$107),"",ReferenceData!$AK$107),"")</f>
        <v/>
      </c>
      <c r="AL107" t="str">
        <f ca="1">IFERROR(IF(0=LEN(ReferenceData!$AL$107),"",ReferenceData!$AL$107),"")</f>
        <v/>
      </c>
      <c r="AM107" t="str">
        <f ca="1">IFERROR(IF(0=LEN(ReferenceData!$AM$107),"",ReferenceData!$AM$107),"")</f>
        <v/>
      </c>
      <c r="AN107" t="str">
        <f ca="1">IFERROR(IF(0=LEN(ReferenceData!$AN$107),"",ReferenceData!$AN$107),"")</f>
        <v/>
      </c>
      <c r="AO107" t="str">
        <f ca="1">IFERROR(IF(0=LEN(ReferenceData!$AO$107),"",ReferenceData!$AO$107),"")</f>
        <v/>
      </c>
      <c r="AP107" t="str">
        <f ca="1">IFERROR(IF(0=LEN(ReferenceData!$AP$107),"",ReferenceData!$AP$107),"")</f>
        <v/>
      </c>
      <c r="AQ107" t="str">
        <f ca="1">IFERROR(IF(0=LEN(ReferenceData!$AQ$107),"",ReferenceData!$AQ$107),"")</f>
        <v/>
      </c>
      <c r="AR107" t="str">
        <f ca="1">IFERROR(IF(0=LEN(ReferenceData!$AR$107),"",ReferenceData!$AR$107),"")</f>
        <v/>
      </c>
      <c r="AS107" t="str">
        <f ca="1">IFERROR(IF(0=LEN(ReferenceData!$AS$107),"",ReferenceData!$AS$107),"")</f>
        <v/>
      </c>
      <c r="AT107" t="str">
        <f ca="1">IFERROR(IF(0=LEN(ReferenceData!$AT$107),"",ReferenceData!$AT$107),"")</f>
        <v/>
      </c>
      <c r="AU107" t="str">
        <f ca="1">IFERROR(IF(0=LEN(ReferenceData!$AU$107),"",ReferenceData!$AU$107),"")</f>
        <v/>
      </c>
      <c r="AV107" t="str">
        <f ca="1">IFERROR(IF(0=LEN(ReferenceData!$AV$107),"",ReferenceData!$AV$107),"")</f>
        <v/>
      </c>
      <c r="AW107" t="str">
        <f ca="1">IFERROR(IF(0=LEN(ReferenceData!$AW$107),"",ReferenceData!$AW$107),"")</f>
        <v/>
      </c>
      <c r="AX107" t="str">
        <f ca="1">IFERROR(IF(0=LEN(ReferenceData!$AX$107),"",ReferenceData!$AX$107),"")</f>
        <v/>
      </c>
      <c r="AY107" t="str">
        <f ca="1">IFERROR(IF(0=LEN(ReferenceData!$AY$107),"",ReferenceData!$AY$107),"")</f>
        <v/>
      </c>
      <c r="AZ107" t="str">
        <f ca="1">IFERROR(IF(0=LEN(ReferenceData!$AZ$107),"",ReferenceData!$AZ$107),"")</f>
        <v/>
      </c>
      <c r="BA107" t="str">
        <f ca="1">IFERROR(IF(0=LEN(ReferenceData!$BA$107),"",ReferenceData!$BA$107),"")</f>
        <v/>
      </c>
      <c r="BB107" t="str">
        <f ca="1">IFERROR(IF(0=LEN(ReferenceData!$BB$107),"",ReferenceData!$BB$107),"")</f>
        <v/>
      </c>
      <c r="BC107" t="str">
        <f ca="1">IFERROR(IF(0=LEN(ReferenceData!$BC$107),"",ReferenceData!$BC$107),"")</f>
        <v/>
      </c>
      <c r="BD107" t="str">
        <f ca="1">IFERROR(IF(0=LEN(ReferenceData!$BD$107),"",ReferenceData!$BD$107),"")</f>
        <v/>
      </c>
      <c r="BE107" t="str">
        <f ca="1">IFERROR(IF(0=LEN(ReferenceData!$BE$107),"",ReferenceData!$BE$107),"")</f>
        <v/>
      </c>
      <c r="BF107" t="str">
        <f ca="1">IFERROR(IF(0=LEN(ReferenceData!$BF$107),"",ReferenceData!$BF$107),"")</f>
        <v/>
      </c>
      <c r="BG107" t="str">
        <f ca="1">IFERROR(IF(0=LEN(ReferenceData!$BG$107),"",ReferenceData!$BG$107),"")</f>
        <v/>
      </c>
      <c r="BH107" t="str">
        <f ca="1">IFERROR(IF(0=LEN(ReferenceData!$BH$107),"",ReferenceData!$BH$107),"")</f>
        <v/>
      </c>
      <c r="BI107" t="str">
        <f ca="1">IFERROR(IF(0=LEN(ReferenceData!$BI$107),"",ReferenceData!$BI$107),"")</f>
        <v/>
      </c>
      <c r="BJ107" t="str">
        <f ca="1">IFERROR(IF(0=LEN(ReferenceData!$BJ$107),"",ReferenceData!$BJ$107),"")</f>
        <v/>
      </c>
      <c r="BK107" t="str">
        <f ca="1">IFERROR(IF(0=LEN(ReferenceData!$BK$107),"",ReferenceData!$BK$107),"")</f>
        <v/>
      </c>
      <c r="BL107" t="str">
        <f ca="1">IFERROR(IF(0=LEN(ReferenceData!$BL$107),"",ReferenceData!$BL$107),"")</f>
        <v/>
      </c>
      <c r="BM107" t="str">
        <f ca="1">IFERROR(IF(0=LEN(ReferenceData!$BM$107),"",ReferenceData!$BM$107),"")</f>
        <v/>
      </c>
    </row>
    <row r="108" spans="1:65">
      <c r="A108" t="str">
        <f>IFERROR(IF(0=LEN(ReferenceData!$A$108),"",ReferenceData!$A$108),"")</f>
        <v xml:space="preserve">    Regency Centers Corp</v>
      </c>
      <c r="B108" t="str">
        <f>IFERROR(IF(0=LEN(ReferenceData!$B$108),"",ReferenceData!$B$108),"")</f>
        <v>REG US Equity</v>
      </c>
      <c r="C108" t="str">
        <f>IFERROR(IF(0=LEN(ReferenceData!$C$108),"",ReferenceData!$C$108),"")</f>
        <v>IS972</v>
      </c>
      <c r="D108" t="str">
        <f>IFERROR(IF(0=LEN(ReferenceData!$D$108),"",ReferenceData!$D$108),"")</f>
        <v>IS_ADJUSTED_EBITDA_AS_REPORTED</v>
      </c>
      <c r="E108" t="str">
        <f>IFERROR(IF(0=LEN(ReferenceData!$E$108),"",ReferenceData!$E$108),"")</f>
        <v>动态</v>
      </c>
      <c r="F108" t="str">
        <f ca="1">IFERROR(IF(0=LEN(ReferenceData!$F$108),"",ReferenceData!$F$108),"")</f>
        <v/>
      </c>
      <c r="G108" t="str">
        <f ca="1">IFERROR(IF(0=LEN(ReferenceData!$G$108),"",ReferenceData!$G$108),"")</f>
        <v/>
      </c>
      <c r="H108" t="str">
        <f ca="1">IFERROR(IF(0=LEN(ReferenceData!$H$108),"",ReferenceData!$H$108),"")</f>
        <v/>
      </c>
      <c r="I108" t="str">
        <f ca="1">IFERROR(IF(0=LEN(ReferenceData!$I$108),"",ReferenceData!$I$108),"")</f>
        <v/>
      </c>
      <c r="J108" t="str">
        <f ca="1">IFERROR(IF(0=LEN(ReferenceData!$J$108),"",ReferenceData!$J$108),"")</f>
        <v/>
      </c>
      <c r="K108" t="str">
        <f ca="1">IFERROR(IF(0=LEN(ReferenceData!$K$108),"",ReferenceData!$K$108),"")</f>
        <v/>
      </c>
      <c r="L108" t="str">
        <f ca="1">IFERROR(IF(0=LEN(ReferenceData!$L$108),"",ReferenceData!$L$108),"")</f>
        <v/>
      </c>
      <c r="M108" t="str">
        <f ca="1">IFERROR(IF(0=LEN(ReferenceData!$M$108),"",ReferenceData!$M$108),"")</f>
        <v/>
      </c>
      <c r="N108" t="str">
        <f ca="1">IFERROR(IF(0=LEN(ReferenceData!$N$108),"",ReferenceData!$N$108),"")</f>
        <v/>
      </c>
      <c r="O108" t="str">
        <f ca="1">IFERROR(IF(0=LEN(ReferenceData!$O$108),"",ReferenceData!$O$108),"")</f>
        <v/>
      </c>
      <c r="P108" t="str">
        <f ca="1">IFERROR(IF(0=LEN(ReferenceData!$P$108),"",ReferenceData!$P$108),"")</f>
        <v/>
      </c>
      <c r="Q108" t="str">
        <f ca="1">IFERROR(IF(0=LEN(ReferenceData!$Q$108),"",ReferenceData!$Q$108),"")</f>
        <v/>
      </c>
      <c r="R108" t="str">
        <f ca="1">IFERROR(IF(0=LEN(ReferenceData!$R$108),"",ReferenceData!$R$108),"")</f>
        <v/>
      </c>
      <c r="S108" t="str">
        <f ca="1">IFERROR(IF(0=LEN(ReferenceData!$S$108),"",ReferenceData!$S$108),"")</f>
        <v/>
      </c>
      <c r="T108" t="str">
        <f ca="1">IFERROR(IF(0=LEN(ReferenceData!$T$108),"",ReferenceData!$T$108),"")</f>
        <v/>
      </c>
      <c r="U108" t="str">
        <f ca="1">IFERROR(IF(0=LEN(ReferenceData!$U$108),"",ReferenceData!$U$108),"")</f>
        <v/>
      </c>
      <c r="V108" t="str">
        <f ca="1">IFERROR(IF(0=LEN(ReferenceData!$V$108),"",ReferenceData!$V$108),"")</f>
        <v/>
      </c>
      <c r="W108" t="str">
        <f ca="1">IFERROR(IF(0=LEN(ReferenceData!$W$108),"",ReferenceData!$W$108),"")</f>
        <v/>
      </c>
      <c r="X108" t="str">
        <f ca="1">IFERROR(IF(0=LEN(ReferenceData!$X$108),"",ReferenceData!$X$108),"")</f>
        <v/>
      </c>
      <c r="Y108" t="str">
        <f ca="1">IFERROR(IF(0=LEN(ReferenceData!$Y$108),"",ReferenceData!$Y$108),"")</f>
        <v/>
      </c>
      <c r="Z108" t="str">
        <f ca="1">IFERROR(IF(0=LEN(ReferenceData!$Z$108),"",ReferenceData!$Z$108),"")</f>
        <v/>
      </c>
      <c r="AA108" t="str">
        <f ca="1">IFERROR(IF(0=LEN(ReferenceData!$AA$108),"",ReferenceData!$AA$108),"")</f>
        <v/>
      </c>
      <c r="AB108" t="str">
        <f ca="1">IFERROR(IF(0=LEN(ReferenceData!$AB$108),"",ReferenceData!$AB$108),"")</f>
        <v/>
      </c>
      <c r="AC108" t="str">
        <f ca="1">IFERROR(IF(0=LEN(ReferenceData!$AC$108),"",ReferenceData!$AC$108),"")</f>
        <v/>
      </c>
      <c r="AD108" t="str">
        <f ca="1">IFERROR(IF(0=LEN(ReferenceData!$AD$108),"",ReferenceData!$AD$108),"")</f>
        <v/>
      </c>
      <c r="AE108" t="str">
        <f ca="1">IFERROR(IF(0=LEN(ReferenceData!$AE$108),"",ReferenceData!$AE$108),"")</f>
        <v/>
      </c>
      <c r="AF108" t="str">
        <f ca="1">IFERROR(IF(0=LEN(ReferenceData!$AF$108),"",ReferenceData!$AF$108),"")</f>
        <v/>
      </c>
      <c r="AG108" t="str">
        <f ca="1">IFERROR(IF(0=LEN(ReferenceData!$AG$108),"",ReferenceData!$AG$108),"")</f>
        <v/>
      </c>
      <c r="AH108" t="str">
        <f ca="1">IFERROR(IF(0=LEN(ReferenceData!$AH$108),"",ReferenceData!$AH$108),"")</f>
        <v/>
      </c>
      <c r="AI108" t="str">
        <f ca="1">IFERROR(IF(0=LEN(ReferenceData!$AI$108),"",ReferenceData!$AI$108),"")</f>
        <v/>
      </c>
      <c r="AJ108" t="str">
        <f ca="1">IFERROR(IF(0=LEN(ReferenceData!$AJ$108),"",ReferenceData!$AJ$108),"")</f>
        <v/>
      </c>
      <c r="AK108" t="str">
        <f ca="1">IFERROR(IF(0=LEN(ReferenceData!$AK$108),"",ReferenceData!$AK$108),"")</f>
        <v/>
      </c>
      <c r="AL108" t="str">
        <f ca="1">IFERROR(IF(0=LEN(ReferenceData!$AL$108),"",ReferenceData!$AL$108),"")</f>
        <v/>
      </c>
      <c r="AM108" t="str">
        <f ca="1">IFERROR(IF(0=LEN(ReferenceData!$AM$108),"",ReferenceData!$AM$108),"")</f>
        <v/>
      </c>
      <c r="AN108" t="str">
        <f ca="1">IFERROR(IF(0=LEN(ReferenceData!$AN$108),"",ReferenceData!$AN$108),"")</f>
        <v/>
      </c>
      <c r="AO108" t="str">
        <f ca="1">IFERROR(IF(0=LEN(ReferenceData!$AO$108),"",ReferenceData!$AO$108),"")</f>
        <v/>
      </c>
      <c r="AP108" t="str">
        <f ca="1">IFERROR(IF(0=LEN(ReferenceData!$AP$108),"",ReferenceData!$AP$108),"")</f>
        <v/>
      </c>
      <c r="AQ108" t="str">
        <f ca="1">IFERROR(IF(0=LEN(ReferenceData!$AQ$108),"",ReferenceData!$AQ$108),"")</f>
        <v/>
      </c>
      <c r="AR108" t="str">
        <f ca="1">IFERROR(IF(0=LEN(ReferenceData!$AR$108),"",ReferenceData!$AR$108),"")</f>
        <v/>
      </c>
      <c r="AS108" t="str">
        <f ca="1">IFERROR(IF(0=LEN(ReferenceData!$AS$108),"",ReferenceData!$AS$108),"")</f>
        <v/>
      </c>
      <c r="AT108" t="str">
        <f ca="1">IFERROR(IF(0=LEN(ReferenceData!$AT$108),"",ReferenceData!$AT$108),"")</f>
        <v/>
      </c>
      <c r="AU108" t="str">
        <f ca="1">IFERROR(IF(0=LEN(ReferenceData!$AU$108),"",ReferenceData!$AU$108),"")</f>
        <v/>
      </c>
      <c r="AV108" t="str">
        <f ca="1">IFERROR(IF(0=LEN(ReferenceData!$AV$108),"",ReferenceData!$AV$108),"")</f>
        <v/>
      </c>
      <c r="AW108" t="str">
        <f ca="1">IFERROR(IF(0=LEN(ReferenceData!$AW$108),"",ReferenceData!$AW$108),"")</f>
        <v/>
      </c>
      <c r="AX108" t="str">
        <f ca="1">IFERROR(IF(0=LEN(ReferenceData!$AX$108),"",ReferenceData!$AX$108),"")</f>
        <v/>
      </c>
      <c r="AY108" t="str">
        <f ca="1">IFERROR(IF(0=LEN(ReferenceData!$AY$108),"",ReferenceData!$AY$108),"")</f>
        <v/>
      </c>
      <c r="AZ108" t="str">
        <f ca="1">IFERROR(IF(0=LEN(ReferenceData!$AZ$108),"",ReferenceData!$AZ$108),"")</f>
        <v/>
      </c>
      <c r="BA108" t="str">
        <f ca="1">IFERROR(IF(0=LEN(ReferenceData!$BA$108),"",ReferenceData!$BA$108),"")</f>
        <v/>
      </c>
      <c r="BB108" t="str">
        <f ca="1">IFERROR(IF(0=LEN(ReferenceData!$BB$108),"",ReferenceData!$BB$108),"")</f>
        <v/>
      </c>
      <c r="BC108" t="str">
        <f ca="1">IFERROR(IF(0=LEN(ReferenceData!$BC$108),"",ReferenceData!$BC$108),"")</f>
        <v/>
      </c>
      <c r="BD108" t="str">
        <f ca="1">IFERROR(IF(0=LEN(ReferenceData!$BD$108),"",ReferenceData!$BD$108),"")</f>
        <v/>
      </c>
      <c r="BE108" t="str">
        <f ca="1">IFERROR(IF(0=LEN(ReferenceData!$BE$108),"",ReferenceData!$BE$108),"")</f>
        <v/>
      </c>
      <c r="BF108" t="str">
        <f ca="1">IFERROR(IF(0=LEN(ReferenceData!$BF$108),"",ReferenceData!$BF$108),"")</f>
        <v/>
      </c>
      <c r="BG108" t="str">
        <f ca="1">IFERROR(IF(0=LEN(ReferenceData!$BG$108),"",ReferenceData!$BG$108),"")</f>
        <v/>
      </c>
      <c r="BH108" t="str">
        <f ca="1">IFERROR(IF(0=LEN(ReferenceData!$BH$108),"",ReferenceData!$BH$108),"")</f>
        <v/>
      </c>
      <c r="BI108" t="str">
        <f ca="1">IFERROR(IF(0=LEN(ReferenceData!$BI$108),"",ReferenceData!$BI$108),"")</f>
        <v/>
      </c>
      <c r="BJ108" t="str">
        <f ca="1">IFERROR(IF(0=LEN(ReferenceData!$BJ$108),"",ReferenceData!$BJ$108),"")</f>
        <v/>
      </c>
      <c r="BK108" t="str">
        <f ca="1">IFERROR(IF(0=LEN(ReferenceData!$BK$108),"",ReferenceData!$BK$108),"")</f>
        <v/>
      </c>
      <c r="BL108" t="str">
        <f ca="1">IFERROR(IF(0=LEN(ReferenceData!$BL$108),"",ReferenceData!$BL$108),"")</f>
        <v/>
      </c>
      <c r="BM108" t="str">
        <f ca="1">IFERROR(IF(0=LEN(ReferenceData!$BM$108),"",ReferenceData!$BM$108),"")</f>
        <v/>
      </c>
    </row>
    <row r="109" spans="1:65">
      <c r="A109" t="str">
        <f>IFERROR(IF(0=LEN(ReferenceData!$A$109),"",ReferenceData!$A$109),"")</f>
        <v xml:space="preserve">    Retail Opportunity Investments</v>
      </c>
      <c r="B109" t="str">
        <f>IFERROR(IF(0=LEN(ReferenceData!$B$109),"",ReferenceData!$B$109),"")</f>
        <v>ROIC US Equity</v>
      </c>
      <c r="C109" t="str">
        <f>IFERROR(IF(0=LEN(ReferenceData!$C$109),"",ReferenceData!$C$109),"")</f>
        <v>IS972</v>
      </c>
      <c r="D109" t="str">
        <f>IFERROR(IF(0=LEN(ReferenceData!$D$109),"",ReferenceData!$D$109),"")</f>
        <v>IS_ADJUSTED_EBITDA_AS_REPORTED</v>
      </c>
      <c r="E109" t="str">
        <f>IFERROR(IF(0=LEN(ReferenceData!$E$109),"",ReferenceData!$E$109),"")</f>
        <v>动态</v>
      </c>
      <c r="F109" t="str">
        <f ca="1">IFERROR(IF(0=LEN(ReferenceData!$F$109),"",ReferenceData!$F$109),"")</f>
        <v/>
      </c>
      <c r="G109" t="str">
        <f ca="1">IFERROR(IF(0=LEN(ReferenceData!$G$109),"",ReferenceData!$G$109),"")</f>
        <v/>
      </c>
      <c r="H109" t="str">
        <f ca="1">IFERROR(IF(0=LEN(ReferenceData!$H$109),"",ReferenceData!$H$109),"")</f>
        <v/>
      </c>
      <c r="I109" t="str">
        <f ca="1">IFERROR(IF(0=LEN(ReferenceData!$I$109),"",ReferenceData!$I$109),"")</f>
        <v/>
      </c>
      <c r="J109" t="str">
        <f ca="1">IFERROR(IF(0=LEN(ReferenceData!$J$109),"",ReferenceData!$J$109),"")</f>
        <v/>
      </c>
      <c r="K109" t="str">
        <f ca="1">IFERROR(IF(0=LEN(ReferenceData!$K$109),"",ReferenceData!$K$109),"")</f>
        <v/>
      </c>
      <c r="L109" t="str">
        <f ca="1">IFERROR(IF(0=LEN(ReferenceData!$L$109),"",ReferenceData!$L$109),"")</f>
        <v/>
      </c>
      <c r="M109" t="str">
        <f ca="1">IFERROR(IF(0=LEN(ReferenceData!$M$109),"",ReferenceData!$M$109),"")</f>
        <v/>
      </c>
      <c r="N109" t="str">
        <f ca="1">IFERROR(IF(0=LEN(ReferenceData!$N$109),"",ReferenceData!$N$109),"")</f>
        <v/>
      </c>
      <c r="O109" t="str">
        <f ca="1">IFERROR(IF(0=LEN(ReferenceData!$O$109),"",ReferenceData!$O$109),"")</f>
        <v/>
      </c>
      <c r="P109" t="str">
        <f ca="1">IFERROR(IF(0=LEN(ReferenceData!$P$109),"",ReferenceData!$P$109),"")</f>
        <v/>
      </c>
      <c r="Q109" t="str">
        <f ca="1">IFERROR(IF(0=LEN(ReferenceData!$Q$109),"",ReferenceData!$Q$109),"")</f>
        <v/>
      </c>
      <c r="R109" t="str">
        <f ca="1">IFERROR(IF(0=LEN(ReferenceData!$R$109),"",ReferenceData!$R$109),"")</f>
        <v/>
      </c>
      <c r="S109" t="str">
        <f ca="1">IFERROR(IF(0=LEN(ReferenceData!$S$109),"",ReferenceData!$S$109),"")</f>
        <v/>
      </c>
      <c r="T109" t="str">
        <f ca="1">IFERROR(IF(0=LEN(ReferenceData!$T$109),"",ReferenceData!$T$109),"")</f>
        <v/>
      </c>
      <c r="U109" t="str">
        <f ca="1">IFERROR(IF(0=LEN(ReferenceData!$U$109),"",ReferenceData!$U$109),"")</f>
        <v/>
      </c>
      <c r="V109" t="str">
        <f ca="1">IFERROR(IF(0=LEN(ReferenceData!$V$109),"",ReferenceData!$V$109),"")</f>
        <v/>
      </c>
      <c r="W109" t="str">
        <f ca="1">IFERROR(IF(0=LEN(ReferenceData!$W$109),"",ReferenceData!$W$109),"")</f>
        <v/>
      </c>
      <c r="X109" t="str">
        <f ca="1">IFERROR(IF(0=LEN(ReferenceData!$X$109),"",ReferenceData!$X$109),"")</f>
        <v/>
      </c>
      <c r="Y109" t="str">
        <f ca="1">IFERROR(IF(0=LEN(ReferenceData!$Y$109),"",ReferenceData!$Y$109),"")</f>
        <v/>
      </c>
      <c r="Z109" t="str">
        <f ca="1">IFERROR(IF(0=LEN(ReferenceData!$Z$109),"",ReferenceData!$Z$109),"")</f>
        <v/>
      </c>
      <c r="AA109" t="str">
        <f ca="1">IFERROR(IF(0=LEN(ReferenceData!$AA$109),"",ReferenceData!$AA$109),"")</f>
        <v/>
      </c>
      <c r="AB109" t="str">
        <f ca="1">IFERROR(IF(0=LEN(ReferenceData!$AB$109),"",ReferenceData!$AB$109),"")</f>
        <v/>
      </c>
      <c r="AC109" t="str">
        <f ca="1">IFERROR(IF(0=LEN(ReferenceData!$AC$109),"",ReferenceData!$AC$109),"")</f>
        <v/>
      </c>
      <c r="AD109" t="str">
        <f ca="1">IFERROR(IF(0=LEN(ReferenceData!$AD$109),"",ReferenceData!$AD$109),"")</f>
        <v/>
      </c>
      <c r="AE109" t="str">
        <f ca="1">IFERROR(IF(0=LEN(ReferenceData!$AE$109),"",ReferenceData!$AE$109),"")</f>
        <v/>
      </c>
      <c r="AF109" t="str">
        <f ca="1">IFERROR(IF(0=LEN(ReferenceData!$AF$109),"",ReferenceData!$AF$109),"")</f>
        <v/>
      </c>
      <c r="AG109" t="str">
        <f ca="1">IFERROR(IF(0=LEN(ReferenceData!$AG$109),"",ReferenceData!$AG$109),"")</f>
        <v/>
      </c>
      <c r="AH109" t="str">
        <f ca="1">IFERROR(IF(0=LEN(ReferenceData!$AH$109),"",ReferenceData!$AH$109),"")</f>
        <v/>
      </c>
      <c r="AI109" t="str">
        <f ca="1">IFERROR(IF(0=LEN(ReferenceData!$AI$109),"",ReferenceData!$AI$109),"")</f>
        <v/>
      </c>
      <c r="AJ109" t="str">
        <f ca="1">IFERROR(IF(0=LEN(ReferenceData!$AJ$109),"",ReferenceData!$AJ$109),"")</f>
        <v/>
      </c>
      <c r="AK109" t="str">
        <f ca="1">IFERROR(IF(0=LEN(ReferenceData!$AK$109),"",ReferenceData!$AK$109),"")</f>
        <v/>
      </c>
      <c r="AL109" t="str">
        <f ca="1">IFERROR(IF(0=LEN(ReferenceData!$AL$109),"",ReferenceData!$AL$109),"")</f>
        <v/>
      </c>
      <c r="AM109" t="str">
        <f ca="1">IFERROR(IF(0=LEN(ReferenceData!$AM$109),"",ReferenceData!$AM$109),"")</f>
        <v/>
      </c>
      <c r="AN109" t="str">
        <f ca="1">IFERROR(IF(0=LEN(ReferenceData!$AN$109),"",ReferenceData!$AN$109),"")</f>
        <v/>
      </c>
      <c r="AO109" t="str">
        <f ca="1">IFERROR(IF(0=LEN(ReferenceData!$AO$109),"",ReferenceData!$AO$109),"")</f>
        <v/>
      </c>
      <c r="AP109" t="str">
        <f ca="1">IFERROR(IF(0=LEN(ReferenceData!$AP$109),"",ReferenceData!$AP$109),"")</f>
        <v/>
      </c>
      <c r="AQ109" t="str">
        <f ca="1">IFERROR(IF(0=LEN(ReferenceData!$AQ$109),"",ReferenceData!$AQ$109),"")</f>
        <v/>
      </c>
      <c r="AR109" t="str">
        <f ca="1">IFERROR(IF(0=LEN(ReferenceData!$AR$109),"",ReferenceData!$AR$109),"")</f>
        <v/>
      </c>
      <c r="AS109" t="str">
        <f ca="1">IFERROR(IF(0=LEN(ReferenceData!$AS$109),"",ReferenceData!$AS$109),"")</f>
        <v/>
      </c>
      <c r="AT109" t="str">
        <f ca="1">IFERROR(IF(0=LEN(ReferenceData!$AT$109),"",ReferenceData!$AT$109),"")</f>
        <v/>
      </c>
      <c r="AU109" t="str">
        <f ca="1">IFERROR(IF(0=LEN(ReferenceData!$AU$109),"",ReferenceData!$AU$109),"")</f>
        <v/>
      </c>
      <c r="AV109" t="str">
        <f ca="1">IFERROR(IF(0=LEN(ReferenceData!$AV$109),"",ReferenceData!$AV$109),"")</f>
        <v/>
      </c>
      <c r="AW109" t="str">
        <f ca="1">IFERROR(IF(0=LEN(ReferenceData!$AW$109),"",ReferenceData!$AW$109),"")</f>
        <v/>
      </c>
      <c r="AX109" t="str">
        <f ca="1">IFERROR(IF(0=LEN(ReferenceData!$AX$109),"",ReferenceData!$AX$109),"")</f>
        <v/>
      </c>
      <c r="AY109" t="str">
        <f ca="1">IFERROR(IF(0=LEN(ReferenceData!$AY$109),"",ReferenceData!$AY$109),"")</f>
        <v/>
      </c>
      <c r="AZ109" t="str">
        <f ca="1">IFERROR(IF(0=LEN(ReferenceData!$AZ$109),"",ReferenceData!$AZ$109),"")</f>
        <v/>
      </c>
      <c r="BA109" t="str">
        <f ca="1">IFERROR(IF(0=LEN(ReferenceData!$BA$109),"",ReferenceData!$BA$109),"")</f>
        <v/>
      </c>
      <c r="BB109" t="str">
        <f ca="1">IFERROR(IF(0=LEN(ReferenceData!$BB$109),"",ReferenceData!$BB$109),"")</f>
        <v/>
      </c>
      <c r="BC109" t="str">
        <f ca="1">IFERROR(IF(0=LEN(ReferenceData!$BC$109),"",ReferenceData!$BC$109),"")</f>
        <v/>
      </c>
      <c r="BD109" t="str">
        <f ca="1">IFERROR(IF(0=LEN(ReferenceData!$BD$109),"",ReferenceData!$BD$109),"")</f>
        <v/>
      </c>
      <c r="BE109" t="str">
        <f ca="1">IFERROR(IF(0=LEN(ReferenceData!$BE$109),"",ReferenceData!$BE$109),"")</f>
        <v/>
      </c>
      <c r="BF109" t="str">
        <f ca="1">IFERROR(IF(0=LEN(ReferenceData!$BF$109),"",ReferenceData!$BF$109),"")</f>
        <v/>
      </c>
      <c r="BG109" t="str">
        <f ca="1">IFERROR(IF(0=LEN(ReferenceData!$BG$109),"",ReferenceData!$BG$109),"")</f>
        <v/>
      </c>
      <c r="BH109" t="str">
        <f ca="1">IFERROR(IF(0=LEN(ReferenceData!$BH$109),"",ReferenceData!$BH$109),"")</f>
        <v/>
      </c>
      <c r="BI109" t="str">
        <f ca="1">IFERROR(IF(0=LEN(ReferenceData!$BI$109),"",ReferenceData!$BI$109),"")</f>
        <v/>
      </c>
      <c r="BJ109" t="str">
        <f ca="1">IFERROR(IF(0=LEN(ReferenceData!$BJ$109),"",ReferenceData!$BJ$109),"")</f>
        <v/>
      </c>
      <c r="BK109" t="str">
        <f ca="1">IFERROR(IF(0=LEN(ReferenceData!$BK$109),"",ReferenceData!$BK$109),"")</f>
        <v/>
      </c>
      <c r="BL109" t="str">
        <f ca="1">IFERROR(IF(0=LEN(ReferenceData!$BL$109),"",ReferenceData!$BL$109),"")</f>
        <v/>
      </c>
      <c r="BM109" t="str">
        <f ca="1">IFERROR(IF(0=LEN(ReferenceData!$BM$109),"",ReferenceData!$BM$109),"")</f>
        <v/>
      </c>
    </row>
    <row r="110" spans="1:65">
      <c r="A110" t="str">
        <f>IFERROR(IF(0=LEN(ReferenceData!$A$110),"",ReferenceData!$A$110),"")</f>
        <v xml:space="preserve">    Retail Properties of America I</v>
      </c>
      <c r="B110" t="str">
        <f>IFERROR(IF(0=LEN(ReferenceData!$B$110),"",ReferenceData!$B$110),"")</f>
        <v>RPAI US Equity</v>
      </c>
      <c r="C110" t="str">
        <f>IFERROR(IF(0=LEN(ReferenceData!$C$110),"",ReferenceData!$C$110),"")</f>
        <v>IS972</v>
      </c>
      <c r="D110" t="str">
        <f>IFERROR(IF(0=LEN(ReferenceData!$D$110),"",ReferenceData!$D$110),"")</f>
        <v>IS_ADJUSTED_EBITDA_AS_REPORTED</v>
      </c>
      <c r="E110" t="str">
        <f>IFERROR(IF(0=LEN(ReferenceData!$E$110),"",ReferenceData!$E$110),"")</f>
        <v>动态</v>
      </c>
      <c r="F110" t="str">
        <f ca="1">IFERROR(IF(0=LEN(ReferenceData!$F$110),"",ReferenceData!$F$110),"")</f>
        <v/>
      </c>
      <c r="G110">
        <f ca="1">IFERROR(IF(0=LEN(ReferenceData!$G$110),"",ReferenceData!$G$110),"")</f>
        <v>75.582999999999998</v>
      </c>
      <c r="H110">
        <f ca="1">IFERROR(IF(0=LEN(ReferenceData!$H$110),"",ReferenceData!$H$110),"")</f>
        <v>80.137</v>
      </c>
      <c r="I110">
        <f ca="1">IFERROR(IF(0=LEN(ReferenceData!$I$110),"",ReferenceData!$I$110),"")</f>
        <v>84.929000000000002</v>
      </c>
      <c r="J110">
        <f ca="1">IFERROR(IF(0=LEN(ReferenceData!$J$110),"",ReferenceData!$J$110),"")</f>
        <v>88.742000000000004</v>
      </c>
      <c r="K110">
        <f ca="1">IFERROR(IF(0=LEN(ReferenceData!$K$110),"",ReferenceData!$K$110),"")</f>
        <v>87.867999999999995</v>
      </c>
      <c r="L110">
        <f ca="1">IFERROR(IF(0=LEN(ReferenceData!$L$110),"",ReferenceData!$L$110),"")</f>
        <v>93.215999999999994</v>
      </c>
      <c r="M110">
        <f ca="1">IFERROR(IF(0=LEN(ReferenceData!$M$110),"",ReferenceData!$M$110),"")</f>
        <v>95.572999999999993</v>
      </c>
      <c r="N110">
        <f ca="1">IFERROR(IF(0=LEN(ReferenceData!$N$110),"",ReferenceData!$N$110),"")</f>
        <v>94.358000000000004</v>
      </c>
      <c r="O110">
        <f ca="1">IFERROR(IF(0=LEN(ReferenceData!$O$110),"",ReferenceData!$O$110),"")</f>
        <v>91.662999999999997</v>
      </c>
      <c r="P110">
        <f ca="1">IFERROR(IF(0=LEN(ReferenceData!$P$110),"",ReferenceData!$P$110),"")</f>
        <v>96.793000000000006</v>
      </c>
      <c r="Q110">
        <f ca="1">IFERROR(IF(0=LEN(ReferenceData!$Q$110),"",ReferenceData!$Q$110),"")</f>
        <v>96.462000000000003</v>
      </c>
      <c r="R110">
        <f ca="1">IFERROR(IF(0=LEN(ReferenceData!$R$110),"",ReferenceData!$R$110),"")</f>
        <v>97.224999999999994</v>
      </c>
      <c r="S110">
        <f ca="1">IFERROR(IF(0=LEN(ReferenceData!$S$110),"",ReferenceData!$S$110),"")</f>
        <v>96.316999999999993</v>
      </c>
      <c r="T110">
        <f ca="1">IFERROR(IF(0=LEN(ReferenceData!$T$110),"",ReferenceData!$T$110),"")</f>
        <v>104.727</v>
      </c>
      <c r="U110">
        <f ca="1">IFERROR(IF(0=LEN(ReferenceData!$U$110),"",ReferenceData!$U$110),"")</f>
        <v>96.316999999999993</v>
      </c>
      <c r="V110">
        <f ca="1">IFERROR(IF(0=LEN(ReferenceData!$V$110),"",ReferenceData!$V$110),"")</f>
        <v>96.316999999999993</v>
      </c>
      <c r="W110">
        <f ca="1">IFERROR(IF(0=LEN(ReferenceData!$W$110),"",ReferenceData!$W$110),"")</f>
        <v>105.07299999999999</v>
      </c>
      <c r="X110">
        <f ca="1">IFERROR(IF(0=LEN(ReferenceData!$X$110),"",ReferenceData!$X$110),"")</f>
        <v>96.350999999999999</v>
      </c>
      <c r="Y110">
        <f ca="1">IFERROR(IF(0=LEN(ReferenceData!$Y$110),"",ReferenceData!$Y$110),"")</f>
        <v>97.838999999999999</v>
      </c>
      <c r="Z110">
        <f ca="1">IFERROR(IF(0=LEN(ReferenceData!$Z$110),"",ReferenceData!$Z$110),"")</f>
        <v>90.89</v>
      </c>
      <c r="AA110">
        <f ca="1">IFERROR(IF(0=LEN(ReferenceData!$AA$110),"",ReferenceData!$AA$110),"")</f>
        <v>92.906000000000006</v>
      </c>
      <c r="AB110">
        <f ca="1">IFERROR(IF(0=LEN(ReferenceData!$AB$110),"",ReferenceData!$AB$110),"")</f>
        <v>96.566000000000003</v>
      </c>
      <c r="AC110">
        <f ca="1">IFERROR(IF(0=LEN(ReferenceData!$AC$110),"",ReferenceData!$AC$110),"")</f>
        <v>92.906000000000006</v>
      </c>
      <c r="AD110" t="str">
        <f ca="1">IFERROR(IF(0=LEN(ReferenceData!$AD$110),"",ReferenceData!$AD$110),"")</f>
        <v/>
      </c>
      <c r="AE110">
        <f ca="1">IFERROR(IF(0=LEN(ReferenceData!$AE$110),"",ReferenceData!$AE$110),"")</f>
        <v>101.736</v>
      </c>
      <c r="AF110">
        <f ca="1">IFERROR(IF(0=LEN(ReferenceData!$AF$110),"",ReferenceData!$AF$110),"")</f>
        <v>105.44499999999999</v>
      </c>
      <c r="AG110" t="str">
        <f ca="1">IFERROR(IF(0=LEN(ReferenceData!$AG$110),"",ReferenceData!$AG$110),"")</f>
        <v/>
      </c>
      <c r="AH110" t="str">
        <f ca="1">IFERROR(IF(0=LEN(ReferenceData!$AH$110),"",ReferenceData!$AH$110),"")</f>
        <v/>
      </c>
      <c r="AI110" t="str">
        <f ca="1">IFERROR(IF(0=LEN(ReferenceData!$AI$110),"",ReferenceData!$AI$110),"")</f>
        <v/>
      </c>
      <c r="AJ110" t="str">
        <f ca="1">IFERROR(IF(0=LEN(ReferenceData!$AJ$110),"",ReferenceData!$AJ$110),"")</f>
        <v/>
      </c>
      <c r="AK110" t="str">
        <f ca="1">IFERROR(IF(0=LEN(ReferenceData!$AK$110),"",ReferenceData!$AK$110),"")</f>
        <v/>
      </c>
      <c r="AL110" t="str">
        <f ca="1">IFERROR(IF(0=LEN(ReferenceData!$AL$110),"",ReferenceData!$AL$110),"")</f>
        <v/>
      </c>
      <c r="AM110" t="str">
        <f ca="1">IFERROR(IF(0=LEN(ReferenceData!$AM$110),"",ReferenceData!$AM$110),"")</f>
        <v/>
      </c>
      <c r="AN110" t="str">
        <f ca="1">IFERROR(IF(0=LEN(ReferenceData!$AN$110),"",ReferenceData!$AN$110),"")</f>
        <v/>
      </c>
      <c r="AO110" t="str">
        <f ca="1">IFERROR(IF(0=LEN(ReferenceData!$AO$110),"",ReferenceData!$AO$110),"")</f>
        <v/>
      </c>
      <c r="AP110" t="str">
        <f ca="1">IFERROR(IF(0=LEN(ReferenceData!$AP$110),"",ReferenceData!$AP$110),"")</f>
        <v/>
      </c>
      <c r="AQ110" t="str">
        <f ca="1">IFERROR(IF(0=LEN(ReferenceData!$AQ$110),"",ReferenceData!$AQ$110),"")</f>
        <v/>
      </c>
      <c r="AR110" t="str">
        <f ca="1">IFERROR(IF(0=LEN(ReferenceData!$AR$110),"",ReferenceData!$AR$110),"")</f>
        <v/>
      </c>
      <c r="AS110" t="str">
        <f ca="1">IFERROR(IF(0=LEN(ReferenceData!$AS$110),"",ReferenceData!$AS$110),"")</f>
        <v/>
      </c>
      <c r="AT110" t="str">
        <f ca="1">IFERROR(IF(0=LEN(ReferenceData!$AT$110),"",ReferenceData!$AT$110),"")</f>
        <v/>
      </c>
      <c r="AU110" t="str">
        <f ca="1">IFERROR(IF(0=LEN(ReferenceData!$AU$110),"",ReferenceData!$AU$110),"")</f>
        <v/>
      </c>
      <c r="AV110" t="str">
        <f ca="1">IFERROR(IF(0=LEN(ReferenceData!$AV$110),"",ReferenceData!$AV$110),"")</f>
        <v/>
      </c>
      <c r="AW110" t="str">
        <f ca="1">IFERROR(IF(0=LEN(ReferenceData!$AW$110),"",ReferenceData!$AW$110),"")</f>
        <v/>
      </c>
      <c r="AX110" t="str">
        <f ca="1">IFERROR(IF(0=LEN(ReferenceData!$AX$110),"",ReferenceData!$AX$110),"")</f>
        <v/>
      </c>
      <c r="AY110" t="str">
        <f ca="1">IFERROR(IF(0=LEN(ReferenceData!$AY$110),"",ReferenceData!$AY$110),"")</f>
        <v/>
      </c>
      <c r="AZ110" t="str">
        <f ca="1">IFERROR(IF(0=LEN(ReferenceData!$AZ$110),"",ReferenceData!$AZ$110),"")</f>
        <v/>
      </c>
      <c r="BA110" t="str">
        <f ca="1">IFERROR(IF(0=LEN(ReferenceData!$BA$110),"",ReferenceData!$BA$110),"")</f>
        <v/>
      </c>
      <c r="BB110" t="str">
        <f ca="1">IFERROR(IF(0=LEN(ReferenceData!$BB$110),"",ReferenceData!$BB$110),"")</f>
        <v/>
      </c>
      <c r="BC110" t="str">
        <f ca="1">IFERROR(IF(0=LEN(ReferenceData!$BC$110),"",ReferenceData!$BC$110),"")</f>
        <v/>
      </c>
      <c r="BD110" t="str">
        <f ca="1">IFERROR(IF(0=LEN(ReferenceData!$BD$110),"",ReferenceData!$BD$110),"")</f>
        <v/>
      </c>
      <c r="BE110" t="str">
        <f ca="1">IFERROR(IF(0=LEN(ReferenceData!$BE$110),"",ReferenceData!$BE$110),"")</f>
        <v/>
      </c>
      <c r="BF110" t="str">
        <f ca="1">IFERROR(IF(0=LEN(ReferenceData!$BF$110),"",ReferenceData!$BF$110),"")</f>
        <v/>
      </c>
      <c r="BG110" t="str">
        <f ca="1">IFERROR(IF(0=LEN(ReferenceData!$BG$110),"",ReferenceData!$BG$110),"")</f>
        <v/>
      </c>
      <c r="BH110" t="str">
        <f ca="1">IFERROR(IF(0=LEN(ReferenceData!$BH$110),"",ReferenceData!$BH$110),"")</f>
        <v/>
      </c>
      <c r="BI110" t="str">
        <f ca="1">IFERROR(IF(0=LEN(ReferenceData!$BI$110),"",ReferenceData!$BI$110),"")</f>
        <v/>
      </c>
      <c r="BJ110" t="str">
        <f ca="1">IFERROR(IF(0=LEN(ReferenceData!$BJ$110),"",ReferenceData!$BJ$110),"")</f>
        <v/>
      </c>
      <c r="BK110" t="str">
        <f ca="1">IFERROR(IF(0=LEN(ReferenceData!$BK$110),"",ReferenceData!$BK$110),"")</f>
        <v/>
      </c>
      <c r="BL110" t="str">
        <f ca="1">IFERROR(IF(0=LEN(ReferenceData!$BL$110),"",ReferenceData!$BL$110),"")</f>
        <v/>
      </c>
      <c r="BM110" t="str">
        <f ca="1">IFERROR(IF(0=LEN(ReferenceData!$BM$110),"",ReferenceData!$BM$110),"")</f>
        <v/>
      </c>
    </row>
    <row r="111" spans="1:65">
      <c r="A111" t="str">
        <f>IFERROR(IF(0=LEN(ReferenceData!$A$111),"",ReferenceData!$A$111),"")</f>
        <v xml:space="preserve">    Simon Property Group Inc</v>
      </c>
      <c r="B111" t="str">
        <f>IFERROR(IF(0=LEN(ReferenceData!$B$111),"",ReferenceData!$B$111),"")</f>
        <v>SPG US Equity</v>
      </c>
      <c r="C111" t="str">
        <f>IFERROR(IF(0=LEN(ReferenceData!$C$111),"",ReferenceData!$C$111),"")</f>
        <v>IS972</v>
      </c>
      <c r="D111" t="str">
        <f>IFERROR(IF(0=LEN(ReferenceData!$D$111),"",ReferenceData!$D$111),"")</f>
        <v>IS_ADJUSTED_EBITDA_AS_REPORTED</v>
      </c>
      <c r="E111" t="str">
        <f>IFERROR(IF(0=LEN(ReferenceData!$E$111),"",ReferenceData!$E$111),"")</f>
        <v>动态</v>
      </c>
      <c r="F111" t="str">
        <f ca="1">IFERROR(IF(0=LEN(ReferenceData!$F$111),"",ReferenceData!$F$111),"")</f>
        <v/>
      </c>
      <c r="G111" t="str">
        <f ca="1">IFERROR(IF(0=LEN(ReferenceData!$G$111),"",ReferenceData!$G$111),"")</f>
        <v/>
      </c>
      <c r="H111" t="str">
        <f ca="1">IFERROR(IF(0=LEN(ReferenceData!$H$111),"",ReferenceData!$H$111),"")</f>
        <v/>
      </c>
      <c r="I111" t="str">
        <f ca="1">IFERROR(IF(0=LEN(ReferenceData!$I$111),"",ReferenceData!$I$111),"")</f>
        <v/>
      </c>
      <c r="J111" t="str">
        <f ca="1">IFERROR(IF(0=LEN(ReferenceData!$J$111),"",ReferenceData!$J$111),"")</f>
        <v/>
      </c>
      <c r="K111" t="str">
        <f ca="1">IFERROR(IF(0=LEN(ReferenceData!$K$111),"",ReferenceData!$K$111),"")</f>
        <v/>
      </c>
      <c r="L111" t="str">
        <f ca="1">IFERROR(IF(0=LEN(ReferenceData!$L$111),"",ReferenceData!$L$111),"")</f>
        <v/>
      </c>
      <c r="M111" t="str">
        <f ca="1">IFERROR(IF(0=LEN(ReferenceData!$M$111),"",ReferenceData!$M$111),"")</f>
        <v/>
      </c>
      <c r="N111" t="str">
        <f ca="1">IFERROR(IF(0=LEN(ReferenceData!$N$111),"",ReferenceData!$N$111),"")</f>
        <v/>
      </c>
      <c r="O111" t="str">
        <f ca="1">IFERROR(IF(0=LEN(ReferenceData!$O$111),"",ReferenceData!$O$111),"")</f>
        <v/>
      </c>
      <c r="P111" t="str">
        <f ca="1">IFERROR(IF(0=LEN(ReferenceData!$P$111),"",ReferenceData!$P$111),"")</f>
        <v/>
      </c>
      <c r="Q111" t="str">
        <f ca="1">IFERROR(IF(0=LEN(ReferenceData!$Q$111),"",ReferenceData!$Q$111),"")</f>
        <v/>
      </c>
      <c r="R111" t="str">
        <f ca="1">IFERROR(IF(0=LEN(ReferenceData!$R$111),"",ReferenceData!$R$111),"")</f>
        <v/>
      </c>
      <c r="S111" t="str">
        <f ca="1">IFERROR(IF(0=LEN(ReferenceData!$S$111),"",ReferenceData!$S$111),"")</f>
        <v/>
      </c>
      <c r="T111" t="str">
        <f ca="1">IFERROR(IF(0=LEN(ReferenceData!$T$111),"",ReferenceData!$T$111),"")</f>
        <v/>
      </c>
      <c r="U111" t="str">
        <f ca="1">IFERROR(IF(0=LEN(ReferenceData!$U$111),"",ReferenceData!$U$111),"")</f>
        <v/>
      </c>
      <c r="V111" t="str">
        <f ca="1">IFERROR(IF(0=LEN(ReferenceData!$V$111),"",ReferenceData!$V$111),"")</f>
        <v/>
      </c>
      <c r="W111" t="str">
        <f ca="1">IFERROR(IF(0=LEN(ReferenceData!$W$111),"",ReferenceData!$W$111),"")</f>
        <v/>
      </c>
      <c r="X111" t="str">
        <f ca="1">IFERROR(IF(0=LEN(ReferenceData!$X$111),"",ReferenceData!$X$111),"")</f>
        <v/>
      </c>
      <c r="Y111" t="str">
        <f ca="1">IFERROR(IF(0=LEN(ReferenceData!$Y$111),"",ReferenceData!$Y$111),"")</f>
        <v/>
      </c>
      <c r="Z111" t="str">
        <f ca="1">IFERROR(IF(0=LEN(ReferenceData!$Z$111),"",ReferenceData!$Z$111),"")</f>
        <v/>
      </c>
      <c r="AA111" t="str">
        <f ca="1">IFERROR(IF(0=LEN(ReferenceData!$AA$111),"",ReferenceData!$AA$111),"")</f>
        <v/>
      </c>
      <c r="AB111" t="str">
        <f ca="1">IFERROR(IF(0=LEN(ReferenceData!$AB$111),"",ReferenceData!$AB$111),"")</f>
        <v/>
      </c>
      <c r="AC111" t="str">
        <f ca="1">IFERROR(IF(0=LEN(ReferenceData!$AC$111),"",ReferenceData!$AC$111),"")</f>
        <v/>
      </c>
      <c r="AD111" t="str">
        <f ca="1">IFERROR(IF(0=LEN(ReferenceData!$AD$111),"",ReferenceData!$AD$111),"")</f>
        <v/>
      </c>
      <c r="AE111" t="str">
        <f ca="1">IFERROR(IF(0=LEN(ReferenceData!$AE$111),"",ReferenceData!$AE$111),"")</f>
        <v/>
      </c>
      <c r="AF111" t="str">
        <f ca="1">IFERROR(IF(0=LEN(ReferenceData!$AF$111),"",ReferenceData!$AF$111),"")</f>
        <v/>
      </c>
      <c r="AG111" t="str">
        <f ca="1">IFERROR(IF(0=LEN(ReferenceData!$AG$111),"",ReferenceData!$AG$111),"")</f>
        <v/>
      </c>
      <c r="AH111" t="str">
        <f ca="1">IFERROR(IF(0=LEN(ReferenceData!$AH$111),"",ReferenceData!$AH$111),"")</f>
        <v/>
      </c>
      <c r="AI111" t="str">
        <f ca="1">IFERROR(IF(0=LEN(ReferenceData!$AI$111),"",ReferenceData!$AI$111),"")</f>
        <v/>
      </c>
      <c r="AJ111" t="str">
        <f ca="1">IFERROR(IF(0=LEN(ReferenceData!$AJ$111),"",ReferenceData!$AJ$111),"")</f>
        <v/>
      </c>
      <c r="AK111" t="str">
        <f ca="1">IFERROR(IF(0=LEN(ReferenceData!$AK$111),"",ReferenceData!$AK$111),"")</f>
        <v/>
      </c>
      <c r="AL111" t="str">
        <f ca="1">IFERROR(IF(0=LEN(ReferenceData!$AL$111),"",ReferenceData!$AL$111),"")</f>
        <v/>
      </c>
      <c r="AM111" t="str">
        <f ca="1">IFERROR(IF(0=LEN(ReferenceData!$AM$111),"",ReferenceData!$AM$111),"")</f>
        <v/>
      </c>
      <c r="AN111" t="str">
        <f ca="1">IFERROR(IF(0=LEN(ReferenceData!$AN$111),"",ReferenceData!$AN$111),"")</f>
        <v/>
      </c>
      <c r="AO111" t="str">
        <f ca="1">IFERROR(IF(0=LEN(ReferenceData!$AO$111),"",ReferenceData!$AO$111),"")</f>
        <v/>
      </c>
      <c r="AP111" t="str">
        <f ca="1">IFERROR(IF(0=LEN(ReferenceData!$AP$111),"",ReferenceData!$AP$111),"")</f>
        <v/>
      </c>
      <c r="AQ111" t="str">
        <f ca="1">IFERROR(IF(0=LEN(ReferenceData!$AQ$111),"",ReferenceData!$AQ$111),"")</f>
        <v/>
      </c>
      <c r="AR111" t="str">
        <f ca="1">IFERROR(IF(0=LEN(ReferenceData!$AR$111),"",ReferenceData!$AR$111),"")</f>
        <v/>
      </c>
      <c r="AS111" t="str">
        <f ca="1">IFERROR(IF(0=LEN(ReferenceData!$AS$111),"",ReferenceData!$AS$111),"")</f>
        <v/>
      </c>
      <c r="AT111" t="str">
        <f ca="1">IFERROR(IF(0=LEN(ReferenceData!$AT$111),"",ReferenceData!$AT$111),"")</f>
        <v/>
      </c>
      <c r="AU111" t="str">
        <f ca="1">IFERROR(IF(0=LEN(ReferenceData!$AU$111),"",ReferenceData!$AU$111),"")</f>
        <v/>
      </c>
      <c r="AV111" t="str">
        <f ca="1">IFERROR(IF(0=LEN(ReferenceData!$AV$111),"",ReferenceData!$AV$111),"")</f>
        <v/>
      </c>
      <c r="AW111" t="str">
        <f ca="1">IFERROR(IF(0=LEN(ReferenceData!$AW$111),"",ReferenceData!$AW$111),"")</f>
        <v/>
      </c>
      <c r="AX111" t="str">
        <f ca="1">IFERROR(IF(0=LEN(ReferenceData!$AX$111),"",ReferenceData!$AX$111),"")</f>
        <v/>
      </c>
      <c r="AY111" t="str">
        <f ca="1">IFERROR(IF(0=LEN(ReferenceData!$AY$111),"",ReferenceData!$AY$111),"")</f>
        <v/>
      </c>
      <c r="AZ111" t="str">
        <f ca="1">IFERROR(IF(0=LEN(ReferenceData!$AZ$111),"",ReferenceData!$AZ$111),"")</f>
        <v/>
      </c>
      <c r="BA111" t="str">
        <f ca="1">IFERROR(IF(0=LEN(ReferenceData!$BA$111),"",ReferenceData!$BA$111),"")</f>
        <v/>
      </c>
      <c r="BB111" t="str">
        <f ca="1">IFERROR(IF(0=LEN(ReferenceData!$BB$111),"",ReferenceData!$BB$111),"")</f>
        <v/>
      </c>
      <c r="BC111" t="str">
        <f ca="1">IFERROR(IF(0=LEN(ReferenceData!$BC$111),"",ReferenceData!$BC$111),"")</f>
        <v/>
      </c>
      <c r="BD111" t="str">
        <f ca="1">IFERROR(IF(0=LEN(ReferenceData!$BD$111),"",ReferenceData!$BD$111),"")</f>
        <v/>
      </c>
      <c r="BE111" t="str">
        <f ca="1">IFERROR(IF(0=LEN(ReferenceData!$BE$111),"",ReferenceData!$BE$111),"")</f>
        <v/>
      </c>
      <c r="BF111" t="str">
        <f ca="1">IFERROR(IF(0=LEN(ReferenceData!$BF$111),"",ReferenceData!$BF$111),"")</f>
        <v/>
      </c>
      <c r="BG111" t="str">
        <f ca="1">IFERROR(IF(0=LEN(ReferenceData!$BG$111),"",ReferenceData!$BG$111),"")</f>
        <v/>
      </c>
      <c r="BH111" t="str">
        <f ca="1">IFERROR(IF(0=LEN(ReferenceData!$BH$111),"",ReferenceData!$BH$111),"")</f>
        <v/>
      </c>
      <c r="BI111" t="str">
        <f ca="1">IFERROR(IF(0=LEN(ReferenceData!$BI$111),"",ReferenceData!$BI$111),"")</f>
        <v/>
      </c>
      <c r="BJ111" t="str">
        <f ca="1">IFERROR(IF(0=LEN(ReferenceData!$BJ$111),"",ReferenceData!$BJ$111),"")</f>
        <v/>
      </c>
      <c r="BK111" t="str">
        <f ca="1">IFERROR(IF(0=LEN(ReferenceData!$BK$111),"",ReferenceData!$BK$111),"")</f>
        <v/>
      </c>
      <c r="BL111" t="str">
        <f ca="1">IFERROR(IF(0=LEN(ReferenceData!$BL$111),"",ReferenceData!$BL$111),"")</f>
        <v/>
      </c>
      <c r="BM111" t="str">
        <f ca="1">IFERROR(IF(0=LEN(ReferenceData!$BM$111),"",ReferenceData!$BM$111),"")</f>
        <v/>
      </c>
    </row>
    <row r="112" spans="1:65">
      <c r="A112" t="str">
        <f>IFERROR(IF(0=LEN(ReferenceData!$A$112),"",ReferenceData!$A$112),"")</f>
        <v xml:space="preserve">    Tanger Factory Outlet Centers</v>
      </c>
      <c r="B112" t="str">
        <f>IFERROR(IF(0=LEN(ReferenceData!$B$112),"",ReferenceData!$B$112),"")</f>
        <v>SKT US Equity</v>
      </c>
      <c r="C112" t="str">
        <f>IFERROR(IF(0=LEN(ReferenceData!$C$112),"",ReferenceData!$C$112),"")</f>
        <v>IS972</v>
      </c>
      <c r="D112" t="str">
        <f>IFERROR(IF(0=LEN(ReferenceData!$D$112),"",ReferenceData!$D$112),"")</f>
        <v>IS_ADJUSTED_EBITDA_AS_REPORTED</v>
      </c>
      <c r="E112" t="str">
        <f>IFERROR(IF(0=LEN(ReferenceData!$E$112),"",ReferenceData!$E$112),"")</f>
        <v>动态</v>
      </c>
      <c r="F112" t="str">
        <f ca="1">IFERROR(IF(0=LEN(ReferenceData!$F$112),"",ReferenceData!$F$112),"")</f>
        <v/>
      </c>
      <c r="G112" t="str">
        <f ca="1">IFERROR(IF(0=LEN(ReferenceData!$G$112),"",ReferenceData!$G$112),"")</f>
        <v/>
      </c>
      <c r="H112" t="str">
        <f ca="1">IFERROR(IF(0=LEN(ReferenceData!$H$112),"",ReferenceData!$H$112),"")</f>
        <v/>
      </c>
      <c r="I112" t="str">
        <f ca="1">IFERROR(IF(0=LEN(ReferenceData!$I$112),"",ReferenceData!$I$112),"")</f>
        <v/>
      </c>
      <c r="J112" t="str">
        <f ca="1">IFERROR(IF(0=LEN(ReferenceData!$J$112),"",ReferenceData!$J$112),"")</f>
        <v/>
      </c>
      <c r="K112" t="str">
        <f ca="1">IFERROR(IF(0=LEN(ReferenceData!$K$112),"",ReferenceData!$K$112),"")</f>
        <v/>
      </c>
      <c r="L112" t="str">
        <f ca="1">IFERROR(IF(0=LEN(ReferenceData!$L$112),"",ReferenceData!$L$112),"")</f>
        <v/>
      </c>
      <c r="M112" t="str">
        <f ca="1">IFERROR(IF(0=LEN(ReferenceData!$M$112),"",ReferenceData!$M$112),"")</f>
        <v/>
      </c>
      <c r="N112" t="str">
        <f ca="1">IFERROR(IF(0=LEN(ReferenceData!$N$112),"",ReferenceData!$N$112),"")</f>
        <v/>
      </c>
      <c r="O112" t="str">
        <f ca="1">IFERROR(IF(0=LEN(ReferenceData!$O$112),"",ReferenceData!$O$112),"")</f>
        <v/>
      </c>
      <c r="P112" t="str">
        <f ca="1">IFERROR(IF(0=LEN(ReferenceData!$P$112),"",ReferenceData!$P$112),"")</f>
        <v/>
      </c>
      <c r="Q112" t="str">
        <f ca="1">IFERROR(IF(0=LEN(ReferenceData!$Q$112),"",ReferenceData!$Q$112),"")</f>
        <v/>
      </c>
      <c r="R112" t="str">
        <f ca="1">IFERROR(IF(0=LEN(ReferenceData!$R$112),"",ReferenceData!$R$112),"")</f>
        <v/>
      </c>
      <c r="S112" t="str">
        <f ca="1">IFERROR(IF(0=LEN(ReferenceData!$S$112),"",ReferenceData!$S$112),"")</f>
        <v/>
      </c>
      <c r="T112" t="str">
        <f ca="1">IFERROR(IF(0=LEN(ReferenceData!$T$112),"",ReferenceData!$T$112),"")</f>
        <v/>
      </c>
      <c r="U112" t="str">
        <f ca="1">IFERROR(IF(0=LEN(ReferenceData!$U$112),"",ReferenceData!$U$112),"")</f>
        <v/>
      </c>
      <c r="V112" t="str">
        <f ca="1">IFERROR(IF(0=LEN(ReferenceData!$V$112),"",ReferenceData!$V$112),"")</f>
        <v/>
      </c>
      <c r="W112" t="str">
        <f ca="1">IFERROR(IF(0=LEN(ReferenceData!$W$112),"",ReferenceData!$W$112),"")</f>
        <v/>
      </c>
      <c r="X112" t="str">
        <f ca="1">IFERROR(IF(0=LEN(ReferenceData!$X$112),"",ReferenceData!$X$112),"")</f>
        <v/>
      </c>
      <c r="Y112" t="str">
        <f ca="1">IFERROR(IF(0=LEN(ReferenceData!$Y$112),"",ReferenceData!$Y$112),"")</f>
        <v/>
      </c>
      <c r="Z112" t="str">
        <f ca="1">IFERROR(IF(0=LEN(ReferenceData!$Z$112),"",ReferenceData!$Z$112),"")</f>
        <v/>
      </c>
      <c r="AA112" t="str">
        <f ca="1">IFERROR(IF(0=LEN(ReferenceData!$AA$112),"",ReferenceData!$AA$112),"")</f>
        <v/>
      </c>
      <c r="AB112" t="str">
        <f ca="1">IFERROR(IF(0=LEN(ReferenceData!$AB$112),"",ReferenceData!$AB$112),"")</f>
        <v/>
      </c>
      <c r="AC112" t="str">
        <f ca="1">IFERROR(IF(0=LEN(ReferenceData!$AC$112),"",ReferenceData!$AC$112),"")</f>
        <v/>
      </c>
      <c r="AD112" t="str">
        <f ca="1">IFERROR(IF(0=LEN(ReferenceData!$AD$112),"",ReferenceData!$AD$112),"")</f>
        <v/>
      </c>
      <c r="AE112" t="str">
        <f ca="1">IFERROR(IF(0=LEN(ReferenceData!$AE$112),"",ReferenceData!$AE$112),"")</f>
        <v/>
      </c>
      <c r="AF112" t="str">
        <f ca="1">IFERROR(IF(0=LEN(ReferenceData!$AF$112),"",ReferenceData!$AF$112),"")</f>
        <v/>
      </c>
      <c r="AG112" t="str">
        <f ca="1">IFERROR(IF(0=LEN(ReferenceData!$AG$112),"",ReferenceData!$AG$112),"")</f>
        <v/>
      </c>
      <c r="AH112" t="str">
        <f ca="1">IFERROR(IF(0=LEN(ReferenceData!$AH$112),"",ReferenceData!$AH$112),"")</f>
        <v/>
      </c>
      <c r="AI112" t="str">
        <f ca="1">IFERROR(IF(0=LEN(ReferenceData!$AI$112),"",ReferenceData!$AI$112),"")</f>
        <v/>
      </c>
      <c r="AJ112" t="str">
        <f ca="1">IFERROR(IF(0=LEN(ReferenceData!$AJ$112),"",ReferenceData!$AJ$112),"")</f>
        <v/>
      </c>
      <c r="AK112" t="str">
        <f ca="1">IFERROR(IF(0=LEN(ReferenceData!$AK$112),"",ReferenceData!$AK$112),"")</f>
        <v/>
      </c>
      <c r="AL112" t="str">
        <f ca="1">IFERROR(IF(0=LEN(ReferenceData!$AL$112),"",ReferenceData!$AL$112),"")</f>
        <v/>
      </c>
      <c r="AM112" t="str">
        <f ca="1">IFERROR(IF(0=LEN(ReferenceData!$AM$112),"",ReferenceData!$AM$112),"")</f>
        <v/>
      </c>
      <c r="AN112" t="str">
        <f ca="1">IFERROR(IF(0=LEN(ReferenceData!$AN$112),"",ReferenceData!$AN$112),"")</f>
        <v/>
      </c>
      <c r="AO112" t="str">
        <f ca="1">IFERROR(IF(0=LEN(ReferenceData!$AO$112),"",ReferenceData!$AO$112),"")</f>
        <v/>
      </c>
      <c r="AP112" t="str">
        <f ca="1">IFERROR(IF(0=LEN(ReferenceData!$AP$112),"",ReferenceData!$AP$112),"")</f>
        <v/>
      </c>
      <c r="AQ112" t="str">
        <f ca="1">IFERROR(IF(0=LEN(ReferenceData!$AQ$112),"",ReferenceData!$AQ$112),"")</f>
        <v/>
      </c>
      <c r="AR112" t="str">
        <f ca="1">IFERROR(IF(0=LEN(ReferenceData!$AR$112),"",ReferenceData!$AR$112),"")</f>
        <v/>
      </c>
      <c r="AS112" t="str">
        <f ca="1">IFERROR(IF(0=LEN(ReferenceData!$AS$112),"",ReferenceData!$AS$112),"")</f>
        <v/>
      </c>
      <c r="AT112" t="str">
        <f ca="1">IFERROR(IF(0=LEN(ReferenceData!$AT$112),"",ReferenceData!$AT$112),"")</f>
        <v/>
      </c>
      <c r="AU112" t="str">
        <f ca="1">IFERROR(IF(0=LEN(ReferenceData!$AU$112),"",ReferenceData!$AU$112),"")</f>
        <v/>
      </c>
      <c r="AV112" t="str">
        <f ca="1">IFERROR(IF(0=LEN(ReferenceData!$AV$112),"",ReferenceData!$AV$112),"")</f>
        <v/>
      </c>
      <c r="AW112" t="str">
        <f ca="1">IFERROR(IF(0=LEN(ReferenceData!$AW$112),"",ReferenceData!$AW$112),"")</f>
        <v/>
      </c>
      <c r="AX112" t="str">
        <f ca="1">IFERROR(IF(0=LEN(ReferenceData!$AX$112),"",ReferenceData!$AX$112),"")</f>
        <v/>
      </c>
      <c r="AY112" t="str">
        <f ca="1">IFERROR(IF(0=LEN(ReferenceData!$AY$112),"",ReferenceData!$AY$112),"")</f>
        <v/>
      </c>
      <c r="AZ112" t="str">
        <f ca="1">IFERROR(IF(0=LEN(ReferenceData!$AZ$112),"",ReferenceData!$AZ$112),"")</f>
        <v/>
      </c>
      <c r="BA112" t="str">
        <f ca="1">IFERROR(IF(0=LEN(ReferenceData!$BA$112),"",ReferenceData!$BA$112),"")</f>
        <v/>
      </c>
      <c r="BB112" t="str">
        <f ca="1">IFERROR(IF(0=LEN(ReferenceData!$BB$112),"",ReferenceData!$BB$112),"")</f>
        <v/>
      </c>
      <c r="BC112" t="str">
        <f ca="1">IFERROR(IF(0=LEN(ReferenceData!$BC$112),"",ReferenceData!$BC$112),"")</f>
        <v/>
      </c>
      <c r="BD112" t="str">
        <f ca="1">IFERROR(IF(0=LEN(ReferenceData!$BD$112),"",ReferenceData!$BD$112),"")</f>
        <v/>
      </c>
      <c r="BE112" t="str">
        <f ca="1">IFERROR(IF(0=LEN(ReferenceData!$BE$112),"",ReferenceData!$BE$112),"")</f>
        <v/>
      </c>
      <c r="BF112" t="str">
        <f ca="1">IFERROR(IF(0=LEN(ReferenceData!$BF$112),"",ReferenceData!$BF$112),"")</f>
        <v/>
      </c>
      <c r="BG112" t="str">
        <f ca="1">IFERROR(IF(0=LEN(ReferenceData!$BG$112),"",ReferenceData!$BG$112),"")</f>
        <v/>
      </c>
      <c r="BH112" t="str">
        <f ca="1">IFERROR(IF(0=LEN(ReferenceData!$BH$112),"",ReferenceData!$BH$112),"")</f>
        <v/>
      </c>
      <c r="BI112" t="str">
        <f ca="1">IFERROR(IF(0=LEN(ReferenceData!$BI$112),"",ReferenceData!$BI$112),"")</f>
        <v/>
      </c>
      <c r="BJ112" t="str">
        <f ca="1">IFERROR(IF(0=LEN(ReferenceData!$BJ$112),"",ReferenceData!$BJ$112),"")</f>
        <v/>
      </c>
      <c r="BK112" t="str">
        <f ca="1">IFERROR(IF(0=LEN(ReferenceData!$BK$112),"",ReferenceData!$BK$112),"")</f>
        <v/>
      </c>
      <c r="BL112" t="str">
        <f ca="1">IFERROR(IF(0=LEN(ReferenceData!$BL$112),"",ReferenceData!$BL$112),"")</f>
        <v/>
      </c>
      <c r="BM112" t="str">
        <f ca="1">IFERROR(IF(0=LEN(ReferenceData!$BM$112),"",ReferenceData!$BM$112),"")</f>
        <v/>
      </c>
    </row>
    <row r="113" spans="1:65">
      <c r="A113" t="str">
        <f>IFERROR(IF(0=LEN(ReferenceData!$A$113),"",ReferenceData!$A$113),"")</f>
        <v xml:space="preserve">    VEREIT Inc</v>
      </c>
      <c r="B113" t="str">
        <f>IFERROR(IF(0=LEN(ReferenceData!$B$113),"",ReferenceData!$B$113),"")</f>
        <v>VER US Equity</v>
      </c>
      <c r="C113" t="str">
        <f>IFERROR(IF(0=LEN(ReferenceData!$C$113),"",ReferenceData!$C$113),"")</f>
        <v>IS972</v>
      </c>
      <c r="D113" t="str">
        <f>IFERROR(IF(0=LEN(ReferenceData!$D$113),"",ReferenceData!$D$113),"")</f>
        <v>IS_ADJUSTED_EBITDA_AS_REPORTED</v>
      </c>
      <c r="E113" t="str">
        <f>IFERROR(IF(0=LEN(ReferenceData!$E$113),"",ReferenceData!$E$113),"")</f>
        <v>动态</v>
      </c>
      <c r="F113" t="str">
        <f ca="1">IFERROR(IF(0=LEN(ReferenceData!$F$113),"",ReferenceData!$F$113),"")</f>
        <v/>
      </c>
      <c r="G113">
        <f ca="1">IFERROR(IF(0=LEN(ReferenceData!$G$113),"",ReferenceData!$G$113),"")</f>
        <v>267.70999999999998</v>
      </c>
      <c r="H113">
        <f ca="1">IFERROR(IF(0=LEN(ReferenceData!$H$113),"",ReferenceData!$H$113),"")</f>
        <v>267.11900000000003</v>
      </c>
      <c r="I113">
        <f ca="1">IFERROR(IF(0=LEN(ReferenceData!$I$113),"",ReferenceData!$I$113),"")</f>
        <v>268.02499999999998</v>
      </c>
      <c r="J113">
        <f ca="1">IFERROR(IF(0=LEN(ReferenceData!$J$113),"",ReferenceData!$J$113),"")</f>
        <v>273.34500000000003</v>
      </c>
      <c r="K113">
        <f ca="1">IFERROR(IF(0=LEN(ReferenceData!$K$113),"",ReferenceData!$K$113),"")</f>
        <v>271.36799999999999</v>
      </c>
      <c r="L113">
        <f ca="1">IFERROR(IF(0=LEN(ReferenceData!$L$113),"",ReferenceData!$L$113),"")</f>
        <v>277.59300000000002</v>
      </c>
      <c r="M113">
        <f ca="1">IFERROR(IF(0=LEN(ReferenceData!$M$113),"",ReferenceData!$M$113),"")</f>
        <v>283.06</v>
      </c>
      <c r="N113">
        <f ca="1">IFERROR(IF(0=LEN(ReferenceData!$N$113),"",ReferenceData!$N$113),"")</f>
        <v>26.6</v>
      </c>
      <c r="O113">
        <f ca="1">IFERROR(IF(0=LEN(ReferenceData!$O$113),"",ReferenceData!$O$113),"")</f>
        <v>286.67399999999998</v>
      </c>
      <c r="P113">
        <f ca="1">IFERROR(IF(0=LEN(ReferenceData!$P$113),"",ReferenceData!$P$113),"")</f>
        <v>294.74299999999999</v>
      </c>
      <c r="Q113">
        <f ca="1">IFERROR(IF(0=LEN(ReferenceData!$Q$113),"",ReferenceData!$Q$113),"")</f>
        <v>309.30599999999998</v>
      </c>
      <c r="R113">
        <f ca="1">IFERROR(IF(0=LEN(ReferenceData!$R$113),"",ReferenceData!$R$113),"")</f>
        <v>315.2</v>
      </c>
      <c r="S113">
        <f ca="1">IFERROR(IF(0=LEN(ReferenceData!$S$113),"",ReferenceData!$S$113),"")</f>
        <v>336.75200000000001</v>
      </c>
      <c r="T113">
        <f ca="1">IFERROR(IF(0=LEN(ReferenceData!$T$113),"",ReferenceData!$T$113),"")</f>
        <v>358.30099999999999</v>
      </c>
      <c r="U113">
        <f ca="1">IFERROR(IF(0=LEN(ReferenceData!$U$113),"",ReferenceData!$U$113),"")</f>
        <v>291.66399999999999</v>
      </c>
      <c r="V113" t="str">
        <f ca="1">IFERROR(IF(0=LEN(ReferenceData!$V$113),"",ReferenceData!$V$113),"")</f>
        <v/>
      </c>
      <c r="W113">
        <f ca="1">IFERROR(IF(0=LEN(ReferenceData!$W$113),"",ReferenceData!$W$113),"")</f>
        <v>125.248</v>
      </c>
      <c r="X113">
        <f ca="1">IFERROR(IF(0=LEN(ReferenceData!$X$113),"",ReferenceData!$X$113),"")</f>
        <v>44.41</v>
      </c>
      <c r="Y113" t="str">
        <f ca="1">IFERROR(IF(0=LEN(ReferenceData!$Y$113),"",ReferenceData!$Y$113),"")</f>
        <v/>
      </c>
      <c r="Z113" t="str">
        <f ca="1">IFERROR(IF(0=LEN(ReferenceData!$Z$113),"",ReferenceData!$Z$113),"")</f>
        <v/>
      </c>
      <c r="AA113" t="str">
        <f ca="1">IFERROR(IF(0=LEN(ReferenceData!$AA$113),"",ReferenceData!$AA$113),"")</f>
        <v/>
      </c>
      <c r="AB113" t="str">
        <f ca="1">IFERROR(IF(0=LEN(ReferenceData!$AB$113),"",ReferenceData!$AB$113),"")</f>
        <v/>
      </c>
      <c r="AC113" t="str">
        <f ca="1">IFERROR(IF(0=LEN(ReferenceData!$AC$113),"",ReferenceData!$AC$113),"")</f>
        <v/>
      </c>
      <c r="AD113" t="str">
        <f ca="1">IFERROR(IF(0=LEN(ReferenceData!$AD$113),"",ReferenceData!$AD$113),"")</f>
        <v/>
      </c>
      <c r="AE113" t="str">
        <f ca="1">IFERROR(IF(0=LEN(ReferenceData!$AE$113),"",ReferenceData!$AE$113),"")</f>
        <v/>
      </c>
      <c r="AF113" t="str">
        <f ca="1">IFERROR(IF(0=LEN(ReferenceData!$AF$113),"",ReferenceData!$AF$113),"")</f>
        <v/>
      </c>
      <c r="AG113" t="str">
        <f ca="1">IFERROR(IF(0=LEN(ReferenceData!$AG$113),"",ReferenceData!$AG$113),"")</f>
        <v/>
      </c>
      <c r="AH113" t="str">
        <f ca="1">IFERROR(IF(0=LEN(ReferenceData!$AH$113),"",ReferenceData!$AH$113),"")</f>
        <v/>
      </c>
      <c r="AI113" t="str">
        <f ca="1">IFERROR(IF(0=LEN(ReferenceData!$AI$113),"",ReferenceData!$AI$113),"")</f>
        <v/>
      </c>
      <c r="AJ113" t="str">
        <f ca="1">IFERROR(IF(0=LEN(ReferenceData!$AJ$113),"",ReferenceData!$AJ$113),"")</f>
        <v/>
      </c>
      <c r="AK113" t="str">
        <f ca="1">IFERROR(IF(0=LEN(ReferenceData!$AK$113),"",ReferenceData!$AK$113),"")</f>
        <v/>
      </c>
      <c r="AL113" t="str">
        <f ca="1">IFERROR(IF(0=LEN(ReferenceData!$AL$113),"",ReferenceData!$AL$113),"")</f>
        <v/>
      </c>
      <c r="AM113" t="str">
        <f ca="1">IFERROR(IF(0=LEN(ReferenceData!$AM$113),"",ReferenceData!$AM$113),"")</f>
        <v/>
      </c>
      <c r="AN113" t="str">
        <f ca="1">IFERROR(IF(0=LEN(ReferenceData!$AN$113),"",ReferenceData!$AN$113),"")</f>
        <v/>
      </c>
      <c r="AO113" t="str">
        <f ca="1">IFERROR(IF(0=LEN(ReferenceData!$AO$113),"",ReferenceData!$AO$113),"")</f>
        <v/>
      </c>
      <c r="AP113" t="str">
        <f ca="1">IFERROR(IF(0=LEN(ReferenceData!$AP$113),"",ReferenceData!$AP$113),"")</f>
        <v/>
      </c>
      <c r="AQ113" t="str">
        <f ca="1">IFERROR(IF(0=LEN(ReferenceData!$AQ$113),"",ReferenceData!$AQ$113),"")</f>
        <v/>
      </c>
      <c r="AR113" t="str">
        <f ca="1">IFERROR(IF(0=LEN(ReferenceData!$AR$113),"",ReferenceData!$AR$113),"")</f>
        <v/>
      </c>
      <c r="AS113" t="str">
        <f ca="1">IFERROR(IF(0=LEN(ReferenceData!$AS$113),"",ReferenceData!$AS$113),"")</f>
        <v/>
      </c>
      <c r="AT113" t="str">
        <f ca="1">IFERROR(IF(0=LEN(ReferenceData!$AT$113),"",ReferenceData!$AT$113),"")</f>
        <v/>
      </c>
      <c r="AU113" t="str">
        <f ca="1">IFERROR(IF(0=LEN(ReferenceData!$AU$113),"",ReferenceData!$AU$113),"")</f>
        <v/>
      </c>
      <c r="AV113" t="str">
        <f ca="1">IFERROR(IF(0=LEN(ReferenceData!$AV$113),"",ReferenceData!$AV$113),"")</f>
        <v/>
      </c>
      <c r="AW113" t="str">
        <f ca="1">IFERROR(IF(0=LEN(ReferenceData!$AW$113),"",ReferenceData!$AW$113),"")</f>
        <v/>
      </c>
      <c r="AX113" t="str">
        <f ca="1">IFERROR(IF(0=LEN(ReferenceData!$AX$113),"",ReferenceData!$AX$113),"")</f>
        <v/>
      </c>
      <c r="AY113" t="str">
        <f ca="1">IFERROR(IF(0=LEN(ReferenceData!$AY$113),"",ReferenceData!$AY$113),"")</f>
        <v/>
      </c>
      <c r="AZ113" t="str">
        <f ca="1">IFERROR(IF(0=LEN(ReferenceData!$AZ$113),"",ReferenceData!$AZ$113),"")</f>
        <v/>
      </c>
      <c r="BA113" t="str">
        <f ca="1">IFERROR(IF(0=LEN(ReferenceData!$BA$113),"",ReferenceData!$BA$113),"")</f>
        <v/>
      </c>
      <c r="BB113" t="str">
        <f ca="1">IFERROR(IF(0=LEN(ReferenceData!$BB$113),"",ReferenceData!$BB$113),"")</f>
        <v/>
      </c>
      <c r="BC113" t="str">
        <f ca="1">IFERROR(IF(0=LEN(ReferenceData!$BC$113),"",ReferenceData!$BC$113),"")</f>
        <v/>
      </c>
      <c r="BD113" t="str">
        <f ca="1">IFERROR(IF(0=LEN(ReferenceData!$BD$113),"",ReferenceData!$BD$113),"")</f>
        <v/>
      </c>
      <c r="BE113" t="str">
        <f ca="1">IFERROR(IF(0=LEN(ReferenceData!$BE$113),"",ReferenceData!$BE$113),"")</f>
        <v/>
      </c>
      <c r="BF113" t="str">
        <f ca="1">IFERROR(IF(0=LEN(ReferenceData!$BF$113),"",ReferenceData!$BF$113),"")</f>
        <v/>
      </c>
      <c r="BG113" t="str">
        <f ca="1">IFERROR(IF(0=LEN(ReferenceData!$BG$113),"",ReferenceData!$BG$113),"")</f>
        <v/>
      </c>
      <c r="BH113" t="str">
        <f ca="1">IFERROR(IF(0=LEN(ReferenceData!$BH$113),"",ReferenceData!$BH$113),"")</f>
        <v/>
      </c>
      <c r="BI113" t="str">
        <f ca="1">IFERROR(IF(0=LEN(ReferenceData!$BI$113),"",ReferenceData!$BI$113),"")</f>
        <v/>
      </c>
      <c r="BJ113" t="str">
        <f ca="1">IFERROR(IF(0=LEN(ReferenceData!$BJ$113),"",ReferenceData!$BJ$113),"")</f>
        <v/>
      </c>
      <c r="BK113" t="str">
        <f ca="1">IFERROR(IF(0=LEN(ReferenceData!$BK$113),"",ReferenceData!$BK$113),"")</f>
        <v/>
      </c>
      <c r="BL113" t="str">
        <f ca="1">IFERROR(IF(0=LEN(ReferenceData!$BL$113),"",ReferenceData!$BL$113),"")</f>
        <v/>
      </c>
      <c r="BM113" t="str">
        <f ca="1">IFERROR(IF(0=LEN(ReferenceData!$BM$113),"",ReferenceData!$BM$113),"")</f>
        <v/>
      </c>
    </row>
    <row r="114" spans="1:65">
      <c r="A114" t="str">
        <f>IFERROR(IF(0=LEN(ReferenceData!$A$114),"",ReferenceData!$A$114),"")</f>
        <v xml:space="preserve">    Washington Prime Group Inc</v>
      </c>
      <c r="B114" t="str">
        <f>IFERROR(IF(0=LEN(ReferenceData!$B$114),"",ReferenceData!$B$114),"")</f>
        <v>WPG US Equity</v>
      </c>
      <c r="C114" t="str">
        <f>IFERROR(IF(0=LEN(ReferenceData!$C$114),"",ReferenceData!$C$114),"")</f>
        <v>IS972</v>
      </c>
      <c r="D114" t="str">
        <f>IFERROR(IF(0=LEN(ReferenceData!$D$114),"",ReferenceData!$D$114),"")</f>
        <v>IS_ADJUSTED_EBITDA_AS_REPORTED</v>
      </c>
      <c r="E114" t="str">
        <f>IFERROR(IF(0=LEN(ReferenceData!$E$114),"",ReferenceData!$E$114),"")</f>
        <v>动态</v>
      </c>
      <c r="F114" t="str">
        <f ca="1">IFERROR(IF(0=LEN(ReferenceData!$F$114),"",ReferenceData!$F$114),"")</f>
        <v/>
      </c>
      <c r="G114">
        <f ca="1">IFERROR(IF(0=LEN(ReferenceData!$G$114),"",ReferenceData!$G$114),"")</f>
        <v>138.96299999999999</v>
      </c>
      <c r="H114">
        <f ca="1">IFERROR(IF(0=LEN(ReferenceData!$H$114),"",ReferenceData!$H$114),"")</f>
        <v>128.22399999999999</v>
      </c>
      <c r="I114">
        <f ca="1">IFERROR(IF(0=LEN(ReferenceData!$I$114),"",ReferenceData!$I$114),"")</f>
        <v>132.68600000000001</v>
      </c>
      <c r="J114">
        <f ca="1">IFERROR(IF(0=LEN(ReferenceData!$J$114),"",ReferenceData!$J$114),"")</f>
        <v>138.21700000000001</v>
      </c>
      <c r="K114">
        <f ca="1">IFERROR(IF(0=LEN(ReferenceData!$K$114),"",ReferenceData!$K$114),"")</f>
        <v>149.631</v>
      </c>
      <c r="L114">
        <f ca="1">IFERROR(IF(0=LEN(ReferenceData!$L$114),"",ReferenceData!$L$114),"")</f>
        <v>142.94200000000001</v>
      </c>
      <c r="M114">
        <f ca="1">IFERROR(IF(0=LEN(ReferenceData!$M$114),"",ReferenceData!$M$114),"")</f>
        <v>137.58199999999999</v>
      </c>
      <c r="N114">
        <f ca="1">IFERROR(IF(0=LEN(ReferenceData!$N$114),"",ReferenceData!$N$114),"")</f>
        <v>139.12899999999999</v>
      </c>
      <c r="O114">
        <f ca="1">IFERROR(IF(0=LEN(ReferenceData!$O$114),"",ReferenceData!$O$114),"")</f>
        <v>149.864</v>
      </c>
      <c r="P114">
        <f ca="1">IFERROR(IF(0=LEN(ReferenceData!$P$114),"",ReferenceData!$P$114),"")</f>
        <v>139.67599999999999</v>
      </c>
      <c r="Q114">
        <f ca="1">IFERROR(IF(0=LEN(ReferenceData!$Q$114),"",ReferenceData!$Q$114),"")</f>
        <v>144.99100000000001</v>
      </c>
      <c r="R114">
        <f ca="1">IFERROR(IF(0=LEN(ReferenceData!$R$114),"",ReferenceData!$R$114),"")</f>
        <v>145.23500000000001</v>
      </c>
      <c r="S114">
        <f ca="1">IFERROR(IF(0=LEN(ReferenceData!$S$114),"",ReferenceData!$S$114),"")</f>
        <v>114.563</v>
      </c>
      <c r="T114" t="str">
        <f ca="1">IFERROR(IF(0=LEN(ReferenceData!$T$114),"",ReferenceData!$T$114),"")</f>
        <v/>
      </c>
      <c r="U114" t="str">
        <f ca="1">IFERROR(IF(0=LEN(ReferenceData!$U$114),"",ReferenceData!$U$114),"")</f>
        <v/>
      </c>
      <c r="V114" t="str">
        <f ca="1">IFERROR(IF(0=LEN(ReferenceData!$V$114),"",ReferenceData!$V$114),"")</f>
        <v/>
      </c>
      <c r="W114" t="str">
        <f ca="1">IFERROR(IF(0=LEN(ReferenceData!$W$114),"",ReferenceData!$W$114),"")</f>
        <v/>
      </c>
      <c r="X114" t="str">
        <f ca="1">IFERROR(IF(0=LEN(ReferenceData!$X$114),"",ReferenceData!$X$114),"")</f>
        <v/>
      </c>
      <c r="Y114" t="str">
        <f ca="1">IFERROR(IF(0=LEN(ReferenceData!$Y$114),"",ReferenceData!$Y$114),"")</f>
        <v/>
      </c>
      <c r="Z114" t="str">
        <f ca="1">IFERROR(IF(0=LEN(ReferenceData!$Z$114),"",ReferenceData!$Z$114),"")</f>
        <v/>
      </c>
      <c r="AA114" t="str">
        <f ca="1">IFERROR(IF(0=LEN(ReferenceData!$AA$114),"",ReferenceData!$AA$114),"")</f>
        <v/>
      </c>
      <c r="AB114" t="str">
        <f ca="1">IFERROR(IF(0=LEN(ReferenceData!$AB$114),"",ReferenceData!$AB$114),"")</f>
        <v/>
      </c>
      <c r="AC114" t="str">
        <f ca="1">IFERROR(IF(0=LEN(ReferenceData!$AC$114),"",ReferenceData!$AC$114),"")</f>
        <v/>
      </c>
      <c r="AD114" t="str">
        <f ca="1">IFERROR(IF(0=LEN(ReferenceData!$AD$114),"",ReferenceData!$AD$114),"")</f>
        <v/>
      </c>
      <c r="AE114" t="str">
        <f ca="1">IFERROR(IF(0=LEN(ReferenceData!$AE$114),"",ReferenceData!$AE$114),"")</f>
        <v/>
      </c>
      <c r="AF114" t="str">
        <f ca="1">IFERROR(IF(0=LEN(ReferenceData!$AF$114),"",ReferenceData!$AF$114),"")</f>
        <v/>
      </c>
      <c r="AG114" t="str">
        <f ca="1">IFERROR(IF(0=LEN(ReferenceData!$AG$114),"",ReferenceData!$AG$114),"")</f>
        <v/>
      </c>
      <c r="AH114" t="str">
        <f ca="1">IFERROR(IF(0=LEN(ReferenceData!$AH$114),"",ReferenceData!$AH$114),"")</f>
        <v/>
      </c>
      <c r="AI114" t="str">
        <f ca="1">IFERROR(IF(0=LEN(ReferenceData!$AI$114),"",ReferenceData!$AI$114),"")</f>
        <v/>
      </c>
      <c r="AJ114" t="str">
        <f ca="1">IFERROR(IF(0=LEN(ReferenceData!$AJ$114),"",ReferenceData!$AJ$114),"")</f>
        <v/>
      </c>
      <c r="AK114" t="str">
        <f ca="1">IFERROR(IF(0=LEN(ReferenceData!$AK$114),"",ReferenceData!$AK$114),"")</f>
        <v/>
      </c>
      <c r="AL114" t="str">
        <f ca="1">IFERROR(IF(0=LEN(ReferenceData!$AL$114),"",ReferenceData!$AL$114),"")</f>
        <v/>
      </c>
      <c r="AM114" t="str">
        <f ca="1">IFERROR(IF(0=LEN(ReferenceData!$AM$114),"",ReferenceData!$AM$114),"")</f>
        <v/>
      </c>
      <c r="AN114" t="str">
        <f ca="1">IFERROR(IF(0=LEN(ReferenceData!$AN$114),"",ReferenceData!$AN$114),"")</f>
        <v/>
      </c>
      <c r="AO114" t="str">
        <f ca="1">IFERROR(IF(0=LEN(ReferenceData!$AO$114),"",ReferenceData!$AO$114),"")</f>
        <v/>
      </c>
      <c r="AP114" t="str">
        <f ca="1">IFERROR(IF(0=LEN(ReferenceData!$AP$114),"",ReferenceData!$AP$114),"")</f>
        <v/>
      </c>
      <c r="AQ114" t="str">
        <f ca="1">IFERROR(IF(0=LEN(ReferenceData!$AQ$114),"",ReferenceData!$AQ$114),"")</f>
        <v/>
      </c>
      <c r="AR114" t="str">
        <f ca="1">IFERROR(IF(0=LEN(ReferenceData!$AR$114),"",ReferenceData!$AR$114),"")</f>
        <v/>
      </c>
      <c r="AS114" t="str">
        <f ca="1">IFERROR(IF(0=LEN(ReferenceData!$AS$114),"",ReferenceData!$AS$114),"")</f>
        <v/>
      </c>
      <c r="AT114" t="str">
        <f ca="1">IFERROR(IF(0=LEN(ReferenceData!$AT$114),"",ReferenceData!$AT$114),"")</f>
        <v/>
      </c>
      <c r="AU114" t="str">
        <f ca="1">IFERROR(IF(0=LEN(ReferenceData!$AU$114),"",ReferenceData!$AU$114),"")</f>
        <v/>
      </c>
      <c r="AV114" t="str">
        <f ca="1">IFERROR(IF(0=LEN(ReferenceData!$AV$114),"",ReferenceData!$AV$114),"")</f>
        <v/>
      </c>
      <c r="AW114" t="str">
        <f ca="1">IFERROR(IF(0=LEN(ReferenceData!$AW$114),"",ReferenceData!$AW$114),"")</f>
        <v/>
      </c>
      <c r="AX114" t="str">
        <f ca="1">IFERROR(IF(0=LEN(ReferenceData!$AX$114),"",ReferenceData!$AX$114),"")</f>
        <v/>
      </c>
      <c r="AY114" t="str">
        <f ca="1">IFERROR(IF(0=LEN(ReferenceData!$AY$114),"",ReferenceData!$AY$114),"")</f>
        <v/>
      </c>
      <c r="AZ114" t="str">
        <f ca="1">IFERROR(IF(0=LEN(ReferenceData!$AZ$114),"",ReferenceData!$AZ$114),"")</f>
        <v/>
      </c>
      <c r="BA114" t="str">
        <f ca="1">IFERROR(IF(0=LEN(ReferenceData!$BA$114),"",ReferenceData!$BA$114),"")</f>
        <v/>
      </c>
      <c r="BB114" t="str">
        <f ca="1">IFERROR(IF(0=LEN(ReferenceData!$BB$114),"",ReferenceData!$BB$114),"")</f>
        <v/>
      </c>
      <c r="BC114" t="str">
        <f ca="1">IFERROR(IF(0=LEN(ReferenceData!$BC$114),"",ReferenceData!$BC$114),"")</f>
        <v/>
      </c>
      <c r="BD114" t="str">
        <f ca="1">IFERROR(IF(0=LEN(ReferenceData!$BD$114),"",ReferenceData!$BD$114),"")</f>
        <v/>
      </c>
      <c r="BE114" t="str">
        <f ca="1">IFERROR(IF(0=LEN(ReferenceData!$BE$114),"",ReferenceData!$BE$114),"")</f>
        <v/>
      </c>
      <c r="BF114" t="str">
        <f ca="1">IFERROR(IF(0=LEN(ReferenceData!$BF$114),"",ReferenceData!$BF$114),"")</f>
        <v/>
      </c>
      <c r="BG114" t="str">
        <f ca="1">IFERROR(IF(0=LEN(ReferenceData!$BG$114),"",ReferenceData!$BG$114),"")</f>
        <v/>
      </c>
      <c r="BH114" t="str">
        <f ca="1">IFERROR(IF(0=LEN(ReferenceData!$BH$114),"",ReferenceData!$BH$114),"")</f>
        <v/>
      </c>
      <c r="BI114" t="str">
        <f ca="1">IFERROR(IF(0=LEN(ReferenceData!$BI$114),"",ReferenceData!$BI$114),"")</f>
        <v/>
      </c>
      <c r="BJ114" t="str">
        <f ca="1">IFERROR(IF(0=LEN(ReferenceData!$BJ$114),"",ReferenceData!$BJ$114),"")</f>
        <v/>
      </c>
      <c r="BK114" t="str">
        <f ca="1">IFERROR(IF(0=LEN(ReferenceData!$BK$114),"",ReferenceData!$BK$114),"")</f>
        <v/>
      </c>
      <c r="BL114" t="str">
        <f ca="1">IFERROR(IF(0=LEN(ReferenceData!$BL$114),"",ReferenceData!$BL$114),"")</f>
        <v/>
      </c>
      <c r="BM114" t="str">
        <f ca="1">IFERROR(IF(0=LEN(ReferenceData!$BM$114),"",ReferenceData!$BM$114),"")</f>
        <v/>
      </c>
    </row>
    <row r="115" spans="1:65">
      <c r="A115" t="str">
        <f>IFERROR(IF(0=LEN(ReferenceData!$A$115),"",ReferenceData!$A$115),"")</f>
        <v xml:space="preserve">    Weingarten Realty Investors</v>
      </c>
      <c r="B115" t="str">
        <f>IFERROR(IF(0=LEN(ReferenceData!$B$115),"",ReferenceData!$B$115),"")</f>
        <v>WRI US Equity</v>
      </c>
      <c r="C115" t="str">
        <f>IFERROR(IF(0=LEN(ReferenceData!$C$115),"",ReferenceData!$C$115),"")</f>
        <v>IS972</v>
      </c>
      <c r="D115" t="str">
        <f>IFERROR(IF(0=LEN(ReferenceData!$D$115),"",ReferenceData!$D$115),"")</f>
        <v>IS_ADJUSTED_EBITDA_AS_REPORTED</v>
      </c>
      <c r="E115" t="str">
        <f>IFERROR(IF(0=LEN(ReferenceData!$E$115),"",ReferenceData!$E$115),"")</f>
        <v>动态</v>
      </c>
      <c r="F115" t="str">
        <f ca="1">IFERROR(IF(0=LEN(ReferenceData!$F$115),"",ReferenceData!$F$115),"")</f>
        <v/>
      </c>
      <c r="G115">
        <f ca="1">IFERROR(IF(0=LEN(ReferenceData!$G$115),"",ReferenceData!$G$115),"")</f>
        <v>97.894999999999996</v>
      </c>
      <c r="H115">
        <f ca="1">IFERROR(IF(0=LEN(ReferenceData!$H$115),"",ReferenceData!$H$115),"")</f>
        <v>98.033000000000001</v>
      </c>
      <c r="I115">
        <f ca="1">IFERROR(IF(0=LEN(ReferenceData!$I$115),"",ReferenceData!$I$115),"")</f>
        <v>98.676000000000002</v>
      </c>
      <c r="J115">
        <f ca="1">IFERROR(IF(0=LEN(ReferenceData!$J$115),"",ReferenceData!$J$115),"")</f>
        <v>96.043000000000006</v>
      </c>
      <c r="K115">
        <f ca="1">IFERROR(IF(0=LEN(ReferenceData!$K$115),"",ReferenceData!$K$115),"")</f>
        <v>99.534000000000006</v>
      </c>
      <c r="L115">
        <f ca="1">IFERROR(IF(0=LEN(ReferenceData!$L$115),"",ReferenceData!$L$115),"")</f>
        <v>95.454999999999998</v>
      </c>
      <c r="M115">
        <f ca="1">IFERROR(IF(0=LEN(ReferenceData!$M$115),"",ReferenceData!$M$115),"")</f>
        <v>91.533000000000001</v>
      </c>
      <c r="N115">
        <f ca="1">IFERROR(IF(0=LEN(ReferenceData!$N$115),"",ReferenceData!$N$115),"")</f>
        <v>91.141000000000005</v>
      </c>
      <c r="O115">
        <f ca="1">IFERROR(IF(0=LEN(ReferenceData!$O$115),"",ReferenceData!$O$115),"")</f>
        <v>89.869</v>
      </c>
      <c r="P115">
        <f ca="1">IFERROR(IF(0=LEN(ReferenceData!$P$115),"",ReferenceData!$P$115),"")</f>
        <v>89.006</v>
      </c>
      <c r="Q115">
        <f ca="1">IFERROR(IF(0=LEN(ReferenceData!$Q$115),"",ReferenceData!$Q$115),"")</f>
        <v>87.974999999999994</v>
      </c>
      <c r="R115">
        <f ca="1">IFERROR(IF(0=LEN(ReferenceData!$R$115),"",ReferenceData!$R$115),"")</f>
        <v>88.811000000000007</v>
      </c>
      <c r="S115">
        <f ca="1">IFERROR(IF(0=LEN(ReferenceData!$S$115),"",ReferenceData!$S$115),"")</f>
        <v>88.85</v>
      </c>
      <c r="T115">
        <f ca="1">IFERROR(IF(0=LEN(ReferenceData!$T$115),"",ReferenceData!$T$115),"")</f>
        <v>90.343999999999994</v>
      </c>
      <c r="U115">
        <f ca="1">IFERROR(IF(0=LEN(ReferenceData!$U$115),"",ReferenceData!$U$115),"")</f>
        <v>89.504999999999995</v>
      </c>
      <c r="V115">
        <f ca="1">IFERROR(IF(0=LEN(ReferenceData!$V$115),"",ReferenceData!$V$115),"")</f>
        <v>89.834999999999994</v>
      </c>
      <c r="W115">
        <f ca="1">IFERROR(IF(0=LEN(ReferenceData!$W$115),"",ReferenceData!$W$115),"")</f>
        <v>85.073999999999998</v>
      </c>
      <c r="X115">
        <f ca="1">IFERROR(IF(0=LEN(ReferenceData!$X$115),"",ReferenceData!$X$115),"")</f>
        <v>91.869</v>
      </c>
      <c r="Y115">
        <f ca="1">IFERROR(IF(0=LEN(ReferenceData!$Y$115),"",ReferenceData!$Y$115),"")</f>
        <v>93.278000000000006</v>
      </c>
      <c r="Z115">
        <f ca="1">IFERROR(IF(0=LEN(ReferenceData!$Z$115),"",ReferenceData!$Z$115),"")</f>
        <v>91.838999999999999</v>
      </c>
      <c r="AA115">
        <f ca="1">IFERROR(IF(0=LEN(ReferenceData!$AA$115),"",ReferenceData!$AA$115),"")</f>
        <v>92.763999999999996</v>
      </c>
      <c r="AB115" t="str">
        <f ca="1">IFERROR(IF(0=LEN(ReferenceData!$AB$115),"",ReferenceData!$AB$115),"")</f>
        <v/>
      </c>
      <c r="AC115" t="str">
        <f ca="1">IFERROR(IF(0=LEN(ReferenceData!$AC$115),"",ReferenceData!$AC$115),"")</f>
        <v/>
      </c>
      <c r="AD115" t="str">
        <f ca="1">IFERROR(IF(0=LEN(ReferenceData!$AD$115),"",ReferenceData!$AD$115),"")</f>
        <v/>
      </c>
      <c r="AE115">
        <f ca="1">IFERROR(IF(0=LEN(ReferenceData!$AE$115),"",ReferenceData!$AE$115),"")</f>
        <v>96.793000000000006</v>
      </c>
      <c r="AF115" t="str">
        <f ca="1">IFERROR(IF(0=LEN(ReferenceData!$AF$115),"",ReferenceData!$AF$115),"")</f>
        <v/>
      </c>
      <c r="AG115" t="str">
        <f ca="1">IFERROR(IF(0=LEN(ReferenceData!$AG$115),"",ReferenceData!$AG$115),"")</f>
        <v/>
      </c>
      <c r="AH115" t="str">
        <f ca="1">IFERROR(IF(0=LEN(ReferenceData!$AH$115),"",ReferenceData!$AH$115),"")</f>
        <v/>
      </c>
      <c r="AI115" t="str">
        <f ca="1">IFERROR(IF(0=LEN(ReferenceData!$AI$115),"",ReferenceData!$AI$115),"")</f>
        <v/>
      </c>
      <c r="AJ115" t="str">
        <f ca="1">IFERROR(IF(0=LEN(ReferenceData!$AJ$115),"",ReferenceData!$AJ$115),"")</f>
        <v/>
      </c>
      <c r="AK115" t="str">
        <f ca="1">IFERROR(IF(0=LEN(ReferenceData!$AK$115),"",ReferenceData!$AK$115),"")</f>
        <v/>
      </c>
      <c r="AL115" t="str">
        <f ca="1">IFERROR(IF(0=LEN(ReferenceData!$AL$115),"",ReferenceData!$AL$115),"")</f>
        <v/>
      </c>
      <c r="AM115" t="str">
        <f ca="1">IFERROR(IF(0=LEN(ReferenceData!$AM$115),"",ReferenceData!$AM$115),"")</f>
        <v/>
      </c>
      <c r="AN115" t="str">
        <f ca="1">IFERROR(IF(0=LEN(ReferenceData!$AN$115),"",ReferenceData!$AN$115),"")</f>
        <v/>
      </c>
      <c r="AO115" t="str">
        <f ca="1">IFERROR(IF(0=LEN(ReferenceData!$AO$115),"",ReferenceData!$AO$115),"")</f>
        <v/>
      </c>
      <c r="AP115" t="str">
        <f ca="1">IFERROR(IF(0=LEN(ReferenceData!$AP$115),"",ReferenceData!$AP$115),"")</f>
        <v/>
      </c>
      <c r="AQ115" t="str">
        <f ca="1">IFERROR(IF(0=LEN(ReferenceData!$AQ$115),"",ReferenceData!$AQ$115),"")</f>
        <v/>
      </c>
      <c r="AR115" t="str">
        <f ca="1">IFERROR(IF(0=LEN(ReferenceData!$AR$115),"",ReferenceData!$AR$115),"")</f>
        <v/>
      </c>
      <c r="AS115" t="str">
        <f ca="1">IFERROR(IF(0=LEN(ReferenceData!$AS$115),"",ReferenceData!$AS$115),"")</f>
        <v/>
      </c>
      <c r="AT115" t="str">
        <f ca="1">IFERROR(IF(0=LEN(ReferenceData!$AT$115),"",ReferenceData!$AT$115),"")</f>
        <v/>
      </c>
      <c r="AU115" t="str">
        <f ca="1">IFERROR(IF(0=LEN(ReferenceData!$AU$115),"",ReferenceData!$AU$115),"")</f>
        <v/>
      </c>
      <c r="AV115" t="str">
        <f ca="1">IFERROR(IF(0=LEN(ReferenceData!$AV$115),"",ReferenceData!$AV$115),"")</f>
        <v/>
      </c>
      <c r="AW115" t="str">
        <f ca="1">IFERROR(IF(0=LEN(ReferenceData!$AW$115),"",ReferenceData!$AW$115),"")</f>
        <v/>
      </c>
      <c r="AX115" t="str">
        <f ca="1">IFERROR(IF(0=LEN(ReferenceData!$AX$115),"",ReferenceData!$AX$115),"")</f>
        <v/>
      </c>
      <c r="AY115" t="str">
        <f ca="1">IFERROR(IF(0=LEN(ReferenceData!$AY$115),"",ReferenceData!$AY$115),"")</f>
        <v/>
      </c>
      <c r="AZ115" t="str">
        <f ca="1">IFERROR(IF(0=LEN(ReferenceData!$AZ$115),"",ReferenceData!$AZ$115),"")</f>
        <v/>
      </c>
      <c r="BA115" t="str">
        <f ca="1">IFERROR(IF(0=LEN(ReferenceData!$BA$115),"",ReferenceData!$BA$115),"")</f>
        <v/>
      </c>
      <c r="BB115" t="str">
        <f ca="1">IFERROR(IF(0=LEN(ReferenceData!$BB$115),"",ReferenceData!$BB$115),"")</f>
        <v/>
      </c>
      <c r="BC115" t="str">
        <f ca="1">IFERROR(IF(0=LEN(ReferenceData!$BC$115),"",ReferenceData!$BC$115),"")</f>
        <v/>
      </c>
      <c r="BD115" t="str">
        <f ca="1">IFERROR(IF(0=LEN(ReferenceData!$BD$115),"",ReferenceData!$BD$115),"")</f>
        <v/>
      </c>
      <c r="BE115" t="str">
        <f ca="1">IFERROR(IF(0=LEN(ReferenceData!$BE$115),"",ReferenceData!$BE$115),"")</f>
        <v/>
      </c>
      <c r="BF115" t="str">
        <f ca="1">IFERROR(IF(0=LEN(ReferenceData!$BF$115),"",ReferenceData!$BF$115),"")</f>
        <v/>
      </c>
      <c r="BG115" t="str">
        <f ca="1">IFERROR(IF(0=LEN(ReferenceData!$BG$115),"",ReferenceData!$BG$115),"")</f>
        <v/>
      </c>
      <c r="BH115" t="str">
        <f ca="1">IFERROR(IF(0=LEN(ReferenceData!$BH$115),"",ReferenceData!$BH$115),"")</f>
        <v/>
      </c>
      <c r="BI115" t="str">
        <f ca="1">IFERROR(IF(0=LEN(ReferenceData!$BI$115),"",ReferenceData!$BI$115),"")</f>
        <v/>
      </c>
      <c r="BJ115" t="str">
        <f ca="1">IFERROR(IF(0=LEN(ReferenceData!$BJ$115),"",ReferenceData!$BJ$115),"")</f>
        <v/>
      </c>
      <c r="BK115" t="str">
        <f ca="1">IFERROR(IF(0=LEN(ReferenceData!$BK$115),"",ReferenceData!$BK$115),"")</f>
        <v/>
      </c>
      <c r="BL115" t="str">
        <f ca="1">IFERROR(IF(0=LEN(ReferenceData!$BL$115),"",ReferenceData!$BL$115),"")</f>
        <v/>
      </c>
      <c r="BM115" t="str">
        <f ca="1">IFERROR(IF(0=LEN(ReferenceData!$BM$115),"",ReferenceData!$BM$115),"")</f>
        <v/>
      </c>
    </row>
    <row r="116" spans="1:65">
      <c r="A116" t="str">
        <f>IFERROR(IF(0=LEN(ReferenceData!$A$116),"",ReferenceData!$A$116),"")</f>
        <v>营运资本</v>
      </c>
      <c r="B116" t="str">
        <f>IFERROR(IF(0=LEN(ReferenceData!$B$116),"",ReferenceData!$B$116),"")</f>
        <v/>
      </c>
      <c r="C116" t="str">
        <f>IFERROR(IF(0=LEN(ReferenceData!$C$116),"",ReferenceData!$C$116),"")</f>
        <v/>
      </c>
      <c r="D116" t="str">
        <f>IFERROR(IF(0=LEN(ReferenceData!$D$116),"",ReferenceData!$D$116),"")</f>
        <v/>
      </c>
      <c r="E116" t="str">
        <f>IFERROR(IF(0=LEN(ReferenceData!$E$116),"",ReferenceData!$E$116),"")</f>
        <v>Median</v>
      </c>
      <c r="F116" t="str">
        <f ca="1">IFERROR(IF(0=LEN(ReferenceData!$F$116),"",ReferenceData!$F$116),"")</f>
        <v/>
      </c>
      <c r="G116">
        <f ca="1">IFERROR(IF(0=LEN(ReferenceData!$G$116),"",ReferenceData!$G$116),"")</f>
        <v>109.06699999999999</v>
      </c>
      <c r="H116">
        <f ca="1">IFERROR(IF(0=LEN(ReferenceData!$H$116),"",ReferenceData!$H$116),"")</f>
        <v>102.852</v>
      </c>
      <c r="I116">
        <f ca="1">IFERROR(IF(0=LEN(ReferenceData!$I$116),"",ReferenceData!$I$116),"")</f>
        <v>110.626</v>
      </c>
      <c r="J116">
        <f ca="1">IFERROR(IF(0=LEN(ReferenceData!$J$116),"",ReferenceData!$J$116),"")</f>
        <v>94.034999999999997</v>
      </c>
      <c r="K116">
        <f ca="1">IFERROR(IF(0=LEN(ReferenceData!$K$116),"",ReferenceData!$K$116),"")</f>
        <v>104.919</v>
      </c>
      <c r="L116">
        <f ca="1">IFERROR(IF(0=LEN(ReferenceData!$L$116),"",ReferenceData!$L$116),"")</f>
        <v>85.171000000000006</v>
      </c>
      <c r="M116">
        <f ca="1">IFERROR(IF(0=LEN(ReferenceData!$M$116),"",ReferenceData!$M$116),"")</f>
        <v>102.18300000000001</v>
      </c>
      <c r="N116">
        <f ca="1">IFERROR(IF(0=LEN(ReferenceData!$N$116),"",ReferenceData!$N$116),"")</f>
        <v>97.588999999999999</v>
      </c>
      <c r="O116">
        <f ca="1">IFERROR(IF(0=LEN(ReferenceData!$O$116),"",ReferenceData!$O$116),"")</f>
        <v>96.468000000000004</v>
      </c>
      <c r="P116">
        <f ca="1">IFERROR(IF(0=LEN(ReferenceData!$P$116),"",ReferenceData!$P$116),"")</f>
        <v>95.156999999999996</v>
      </c>
      <c r="Q116">
        <f ca="1">IFERROR(IF(0=LEN(ReferenceData!$Q$116),"",ReferenceData!$Q$116),"")</f>
        <v>95.215999999999994</v>
      </c>
      <c r="R116">
        <f ca="1">IFERROR(IF(0=LEN(ReferenceData!$R$116),"",ReferenceData!$R$116),"")</f>
        <v>77.036000000000001</v>
      </c>
      <c r="S116">
        <f ca="1">IFERROR(IF(0=LEN(ReferenceData!$S$116),"",ReferenceData!$S$116),"")</f>
        <v>77.745000000000005</v>
      </c>
      <c r="T116">
        <f ca="1">IFERROR(IF(0=LEN(ReferenceData!$T$116),"",ReferenceData!$T$116),"")</f>
        <v>84.47</v>
      </c>
      <c r="U116">
        <f ca="1">IFERROR(IF(0=LEN(ReferenceData!$U$116),"",ReferenceData!$U$116),"")</f>
        <v>82.126000000000005</v>
      </c>
      <c r="V116">
        <f ca="1">IFERROR(IF(0=LEN(ReferenceData!$V$116),"",ReferenceData!$V$116),"")</f>
        <v>81.754000000000005</v>
      </c>
      <c r="W116">
        <f ca="1">IFERROR(IF(0=LEN(ReferenceData!$W$116),"",ReferenceData!$W$116),"")</f>
        <v>70.100999999999999</v>
      </c>
      <c r="X116">
        <f ca="1">IFERROR(IF(0=LEN(ReferenceData!$X$116),"",ReferenceData!$X$116),"")</f>
        <v>69.900000000000006</v>
      </c>
      <c r="Y116">
        <f ca="1">IFERROR(IF(0=LEN(ReferenceData!$Y$116),"",ReferenceData!$Y$116),"")</f>
        <v>75.555499999999995</v>
      </c>
      <c r="Z116">
        <f ca="1">IFERROR(IF(0=LEN(ReferenceData!$Z$116),"",ReferenceData!$Z$116),"")</f>
        <v>70.045999999999992</v>
      </c>
      <c r="AA116">
        <f ca="1">IFERROR(IF(0=LEN(ReferenceData!$AA$116),"",ReferenceData!$AA$116),"")</f>
        <v>60.912999999999997</v>
      </c>
      <c r="AB116">
        <f ca="1">IFERROR(IF(0=LEN(ReferenceData!$AB$116),"",ReferenceData!$AB$116),"")</f>
        <v>60.329000000000001</v>
      </c>
      <c r="AC116">
        <f ca="1">IFERROR(IF(0=LEN(ReferenceData!$AC$116),"",ReferenceData!$AC$116),"")</f>
        <v>65.972499999999997</v>
      </c>
      <c r="AD116">
        <f ca="1">IFERROR(IF(0=LEN(ReferenceData!$AD$116),"",ReferenceData!$AD$116),"")</f>
        <v>57.772499999999994</v>
      </c>
      <c r="AE116">
        <f ca="1">IFERROR(IF(0=LEN(ReferenceData!$AE$116),"",ReferenceData!$AE$116),"")</f>
        <v>56.536105999999997</v>
      </c>
      <c r="AF116">
        <f ca="1">IFERROR(IF(0=LEN(ReferenceData!$AF$116),"",ReferenceData!$AF$116),"")</f>
        <v>46.146999999999998</v>
      </c>
      <c r="AG116">
        <f ca="1">IFERROR(IF(0=LEN(ReferenceData!$AG$116),"",ReferenceData!$AG$116),"")</f>
        <v>53.705630999999997</v>
      </c>
      <c r="AH116">
        <f ca="1">IFERROR(IF(0=LEN(ReferenceData!$AH$116),"",ReferenceData!$AH$116),"")</f>
        <v>52.475999999999999</v>
      </c>
      <c r="AI116">
        <f ca="1">IFERROR(IF(0=LEN(ReferenceData!$AI$116),"",ReferenceData!$AI$116),"")</f>
        <v>41.490018499999998</v>
      </c>
      <c r="AJ116">
        <f ca="1">IFERROR(IF(0=LEN(ReferenceData!$AJ$116),"",ReferenceData!$AJ$116),"")</f>
        <v>48.656999999999996</v>
      </c>
      <c r="AK116">
        <f ca="1">IFERROR(IF(0=LEN(ReferenceData!$AK$116),"",ReferenceData!$AK$116),"")</f>
        <v>46.790999999999997</v>
      </c>
      <c r="AL116">
        <f ca="1">IFERROR(IF(0=LEN(ReferenceData!$AL$116),"",ReferenceData!$AL$116),"")</f>
        <v>48.415830999999997</v>
      </c>
      <c r="AM116">
        <f ca="1">IFERROR(IF(0=LEN(ReferenceData!$AM$116),"",ReferenceData!$AM$116),"")</f>
        <v>49.757000000000005</v>
      </c>
      <c r="AN116">
        <f ca="1">IFERROR(IF(0=LEN(ReferenceData!$AN$116),"",ReferenceData!$AN$116),"")</f>
        <v>48.154000000000003</v>
      </c>
      <c r="AO116">
        <f ca="1">IFERROR(IF(0=LEN(ReferenceData!$AO$116),"",ReferenceData!$AO$116),"")</f>
        <v>39.830500000000001</v>
      </c>
      <c r="AP116">
        <f ca="1">IFERROR(IF(0=LEN(ReferenceData!$AP$116),"",ReferenceData!$AP$116),"")</f>
        <v>61.098442499999997</v>
      </c>
      <c r="AQ116">
        <f ca="1">IFERROR(IF(0=LEN(ReferenceData!$AQ$116),"",ReferenceData!$AQ$116),"")</f>
        <v>41.4955</v>
      </c>
      <c r="AR116">
        <f ca="1">IFERROR(IF(0=LEN(ReferenceData!$AR$116),"",ReferenceData!$AR$116),"")</f>
        <v>70.575552500000001</v>
      </c>
      <c r="AS116">
        <f ca="1">IFERROR(IF(0=LEN(ReferenceData!$AS$116),"",ReferenceData!$AS$116),"")</f>
        <v>67.4511775</v>
      </c>
      <c r="AT116">
        <f ca="1">IFERROR(IF(0=LEN(ReferenceData!$AT$116),"",ReferenceData!$AT$116),"")</f>
        <v>62.287192500000003</v>
      </c>
      <c r="AU116">
        <f ca="1">IFERROR(IF(0=LEN(ReferenceData!$AU$116),"",ReferenceData!$AU$116),"")</f>
        <v>74.629512000000005</v>
      </c>
      <c r="AV116">
        <f ca="1">IFERROR(IF(0=LEN(ReferenceData!$AV$116),"",ReferenceData!$AV$116),"")</f>
        <v>68.618540499999995</v>
      </c>
      <c r="AW116">
        <f ca="1">IFERROR(IF(0=LEN(ReferenceData!$AW$116),"",ReferenceData!$AW$116),"")</f>
        <v>66.396186999999998</v>
      </c>
      <c r="AX116">
        <f ca="1">IFERROR(IF(0=LEN(ReferenceData!$AX$116),"",ReferenceData!$AX$116),"")</f>
        <v>72.849472999999989</v>
      </c>
      <c r="AY116">
        <f ca="1">IFERROR(IF(0=LEN(ReferenceData!$AY$116),"",ReferenceData!$AY$116),"")</f>
        <v>70.77560299999999</v>
      </c>
      <c r="AZ116">
        <f ca="1">IFERROR(IF(0=LEN(ReferenceData!$AZ$116),"",ReferenceData!$AZ$116),"")</f>
        <v>67.119246000000004</v>
      </c>
      <c r="BA116">
        <f ca="1">IFERROR(IF(0=LEN(ReferenceData!$BA$116),"",ReferenceData!$BA$116),"")</f>
        <v>63.772411000000005</v>
      </c>
      <c r="BB116">
        <f ca="1">IFERROR(IF(0=LEN(ReferenceData!$BB$116),"",ReferenceData!$BB$116),"")</f>
        <v>62.844007000000005</v>
      </c>
      <c r="BC116">
        <f ca="1">IFERROR(IF(0=LEN(ReferenceData!$BC$116),"",ReferenceData!$BC$116),"")</f>
        <v>61.136500699999999</v>
      </c>
      <c r="BD116">
        <f ca="1">IFERROR(IF(0=LEN(ReferenceData!$BD$116),"",ReferenceData!$BD$116),"")</f>
        <v>47.583912499999997</v>
      </c>
      <c r="BE116">
        <f ca="1">IFERROR(IF(0=LEN(ReferenceData!$BE$116),"",ReferenceData!$BE$116),"")</f>
        <v>65.328499999999991</v>
      </c>
      <c r="BF116">
        <f ca="1">IFERROR(IF(0=LEN(ReferenceData!$BF$116),"",ReferenceData!$BF$116),"")</f>
        <v>59.255914000000004</v>
      </c>
      <c r="BG116">
        <f ca="1">IFERROR(IF(0=LEN(ReferenceData!$BG$116),"",ReferenceData!$BG$116),"")</f>
        <v>61.367000000000004</v>
      </c>
      <c r="BH116">
        <f ca="1">IFERROR(IF(0=LEN(ReferenceData!$BH$116),"",ReferenceData!$BH$116),"")</f>
        <v>63.074253999999996</v>
      </c>
      <c r="BI116">
        <f ca="1">IFERROR(IF(0=LEN(ReferenceData!$BI$116),"",ReferenceData!$BI$116),"")</f>
        <v>49.148500229999996</v>
      </c>
      <c r="BJ116">
        <f ca="1">IFERROR(IF(0=LEN(ReferenceData!$BJ$116),"",ReferenceData!$BJ$116),"")</f>
        <v>47.720500999999999</v>
      </c>
      <c r="BK116">
        <f ca="1">IFERROR(IF(0=LEN(ReferenceData!$BK$116),"",ReferenceData!$BK$116),"")</f>
        <v>55.890998840000002</v>
      </c>
      <c r="BL116">
        <f ca="1">IFERROR(IF(0=LEN(ReferenceData!$BL$116),"",ReferenceData!$BL$116),"")</f>
        <v>47.407001000000001</v>
      </c>
      <c r="BM116">
        <f ca="1">IFERROR(IF(0=LEN(ReferenceData!$BM$116),"",ReferenceData!$BM$116),"")</f>
        <v>42.411998500000003</v>
      </c>
    </row>
    <row r="117" spans="1:65">
      <c r="A117" t="str">
        <f>IFERROR(IF(0=LEN(ReferenceData!$A$117),"",ReferenceData!$A$117),"")</f>
        <v xml:space="preserve">    Brixmor Property Group Inc</v>
      </c>
      <c r="B117" t="str">
        <f>IFERROR(IF(0=LEN(ReferenceData!$B$117),"",ReferenceData!$B$117),"")</f>
        <v>BRX US Equity</v>
      </c>
      <c r="C117" t="str">
        <f>IFERROR(IF(0=LEN(ReferenceData!$C$117),"",ReferenceData!$C$117),"")</f>
        <v>CF039</v>
      </c>
      <c r="D117" t="str">
        <f>IFERROR(IF(0=LEN(ReferenceData!$D$117),"",ReferenceData!$D$117),"")</f>
        <v>CF_FFO</v>
      </c>
      <c r="E117" t="str">
        <f>IFERROR(IF(0=LEN(ReferenceData!$E$117),"",ReferenceData!$E$117),"")</f>
        <v>动态</v>
      </c>
      <c r="F117" t="str">
        <f ca="1">IFERROR(IF(0=LEN(ReferenceData!$F$117),"",ReferenceData!$F$117),"")</f>
        <v/>
      </c>
      <c r="G117">
        <f ca="1">IFERROR(IF(0=LEN(ReferenceData!$G$117),"",ReferenceData!$G$117),"")</f>
        <v>157.70500000000001</v>
      </c>
      <c r="H117">
        <f ca="1">IFERROR(IF(0=LEN(ReferenceData!$H$117),"",ReferenceData!$H$117),"")</f>
        <v>157.24600000000001</v>
      </c>
      <c r="I117">
        <f ca="1">IFERROR(IF(0=LEN(ReferenceData!$I$117),"",ReferenceData!$I$117),"")</f>
        <v>161.875</v>
      </c>
      <c r="J117">
        <f ca="1">IFERROR(IF(0=LEN(ReferenceData!$J$117),"",ReferenceData!$J$117),"")</f>
        <v>161.55500000000001</v>
      </c>
      <c r="K117">
        <f ca="1">IFERROR(IF(0=LEN(ReferenceData!$K$117),"",ReferenceData!$K$117),"")</f>
        <v>163.03200000000001</v>
      </c>
      <c r="L117">
        <f ca="1">IFERROR(IF(0=LEN(ReferenceData!$L$117),"",ReferenceData!$L$117),"")</f>
        <v>154.91900000000001</v>
      </c>
      <c r="M117">
        <f ca="1">IFERROR(IF(0=LEN(ReferenceData!$M$117),"",ReferenceData!$M$117),"")</f>
        <v>152.74799999999999</v>
      </c>
      <c r="N117">
        <f ca="1">IFERROR(IF(0=LEN(ReferenceData!$N$117),"",ReferenceData!$N$117),"")</f>
        <v>161.25899999999999</v>
      </c>
      <c r="O117">
        <f ca="1">IFERROR(IF(0=LEN(ReferenceData!$O$117),"",ReferenceData!$O$117),"")</f>
        <v>155.75299999999999</v>
      </c>
      <c r="P117">
        <f ca="1">IFERROR(IF(0=LEN(ReferenceData!$P$117),"",ReferenceData!$P$117),"")</f>
        <v>156.19499999999999</v>
      </c>
      <c r="Q117">
        <f ca="1">IFERROR(IF(0=LEN(ReferenceData!$Q$117),"",ReferenceData!$Q$117),"")</f>
        <v>149.05099999999999</v>
      </c>
      <c r="R117">
        <f ca="1">IFERROR(IF(0=LEN(ReferenceData!$R$117),"",ReferenceData!$R$117),"")</f>
        <v>139.155</v>
      </c>
      <c r="S117">
        <f ca="1">IFERROR(IF(0=LEN(ReferenceData!$S$117),"",ReferenceData!$S$117),"")</f>
        <v>131.465</v>
      </c>
      <c r="T117">
        <f ca="1">IFERROR(IF(0=LEN(ReferenceData!$T$117),"",ReferenceData!$T$117),"")</f>
        <v>144.19300000000001</v>
      </c>
      <c r="U117">
        <f ca="1">IFERROR(IF(0=LEN(ReferenceData!$U$117),"",ReferenceData!$U$117),"")</f>
        <v>140.07</v>
      </c>
      <c r="V117">
        <f ca="1">IFERROR(IF(0=LEN(ReferenceData!$V$117),"",ReferenceData!$V$117),"")</f>
        <v>132.678</v>
      </c>
      <c r="W117">
        <f ca="1">IFERROR(IF(0=LEN(ReferenceData!$W$117),"",ReferenceData!$W$117),"")</f>
        <v>94.272999999999996</v>
      </c>
      <c r="X117">
        <f ca="1">IFERROR(IF(0=LEN(ReferenceData!$X$117),"",ReferenceData!$X$117),"")</f>
        <v>86.850999999999999</v>
      </c>
      <c r="Y117">
        <f ca="1">IFERROR(IF(0=LEN(ReferenceData!$Y$117),"",ReferenceData!$Y$117),"")</f>
        <v>88.986000000000004</v>
      </c>
      <c r="Z117">
        <f ca="1">IFERROR(IF(0=LEN(ReferenceData!$Z$117),"",ReferenceData!$Z$117),"")</f>
        <v>92.454999999999998</v>
      </c>
      <c r="AA117">
        <f ca="1">IFERROR(IF(0=LEN(ReferenceData!$AA$117),"",ReferenceData!$AA$117),"")</f>
        <v>95.091999999999999</v>
      </c>
      <c r="AB117">
        <f ca="1">IFERROR(IF(0=LEN(ReferenceData!$AB$117),"",ReferenceData!$AB$117),"")</f>
        <v>89.644000000000005</v>
      </c>
      <c r="AC117">
        <f ca="1">IFERROR(IF(0=LEN(ReferenceData!$AC$117),"",ReferenceData!$AC$117),"")</f>
        <v>85.463999999999999</v>
      </c>
      <c r="AD117">
        <f ca="1">IFERROR(IF(0=LEN(ReferenceData!$AD$117),"",ReferenceData!$AD$117),"")</f>
        <v>84.8</v>
      </c>
      <c r="AE117" t="str">
        <f ca="1">IFERROR(IF(0=LEN(ReferenceData!$AE$117),"",ReferenceData!$AE$117),"")</f>
        <v/>
      </c>
      <c r="AF117" t="str">
        <f ca="1">IFERROR(IF(0=LEN(ReferenceData!$AF$117),"",ReferenceData!$AF$117),"")</f>
        <v/>
      </c>
      <c r="AG117" t="str">
        <f ca="1">IFERROR(IF(0=LEN(ReferenceData!$AG$117),"",ReferenceData!$AG$117),"")</f>
        <v/>
      </c>
      <c r="AH117" t="str">
        <f ca="1">IFERROR(IF(0=LEN(ReferenceData!$AH$117),"",ReferenceData!$AH$117),"")</f>
        <v/>
      </c>
      <c r="AI117" t="str">
        <f ca="1">IFERROR(IF(0=LEN(ReferenceData!$AI$117),"",ReferenceData!$AI$117),"")</f>
        <v/>
      </c>
      <c r="AJ117" t="str">
        <f ca="1">IFERROR(IF(0=LEN(ReferenceData!$AJ$117),"",ReferenceData!$AJ$117),"")</f>
        <v/>
      </c>
      <c r="AK117" t="str">
        <f ca="1">IFERROR(IF(0=LEN(ReferenceData!$AK$117),"",ReferenceData!$AK$117),"")</f>
        <v/>
      </c>
      <c r="AL117" t="str">
        <f ca="1">IFERROR(IF(0=LEN(ReferenceData!$AL$117),"",ReferenceData!$AL$117),"")</f>
        <v/>
      </c>
      <c r="AM117" t="str">
        <f ca="1">IFERROR(IF(0=LEN(ReferenceData!$AM$117),"",ReferenceData!$AM$117),"")</f>
        <v/>
      </c>
      <c r="AN117" t="str">
        <f ca="1">IFERROR(IF(0=LEN(ReferenceData!$AN$117),"",ReferenceData!$AN$117),"")</f>
        <v/>
      </c>
      <c r="AO117" t="str">
        <f ca="1">IFERROR(IF(0=LEN(ReferenceData!$AO$117),"",ReferenceData!$AO$117),"")</f>
        <v/>
      </c>
      <c r="AP117" t="str">
        <f ca="1">IFERROR(IF(0=LEN(ReferenceData!$AP$117),"",ReferenceData!$AP$117),"")</f>
        <v/>
      </c>
      <c r="AQ117" t="str">
        <f ca="1">IFERROR(IF(0=LEN(ReferenceData!$AQ$117),"",ReferenceData!$AQ$117),"")</f>
        <v/>
      </c>
      <c r="AR117" t="str">
        <f ca="1">IFERROR(IF(0=LEN(ReferenceData!$AR$117),"",ReferenceData!$AR$117),"")</f>
        <v/>
      </c>
      <c r="AS117" t="str">
        <f ca="1">IFERROR(IF(0=LEN(ReferenceData!$AS$117),"",ReferenceData!$AS$117),"")</f>
        <v/>
      </c>
      <c r="AT117" t="str">
        <f ca="1">IFERROR(IF(0=LEN(ReferenceData!$AT$117),"",ReferenceData!$AT$117),"")</f>
        <v/>
      </c>
      <c r="AU117" t="str">
        <f ca="1">IFERROR(IF(0=LEN(ReferenceData!$AU$117),"",ReferenceData!$AU$117),"")</f>
        <v/>
      </c>
      <c r="AV117" t="str">
        <f ca="1">IFERROR(IF(0=LEN(ReferenceData!$AV$117),"",ReferenceData!$AV$117),"")</f>
        <v/>
      </c>
      <c r="AW117" t="str">
        <f ca="1">IFERROR(IF(0=LEN(ReferenceData!$AW$117),"",ReferenceData!$AW$117),"")</f>
        <v/>
      </c>
      <c r="AX117" t="str">
        <f ca="1">IFERROR(IF(0=LEN(ReferenceData!$AX$117),"",ReferenceData!$AX$117),"")</f>
        <v/>
      </c>
      <c r="AY117" t="str">
        <f ca="1">IFERROR(IF(0=LEN(ReferenceData!$AY$117),"",ReferenceData!$AY$117),"")</f>
        <v/>
      </c>
      <c r="AZ117" t="str">
        <f ca="1">IFERROR(IF(0=LEN(ReferenceData!$AZ$117),"",ReferenceData!$AZ$117),"")</f>
        <v/>
      </c>
      <c r="BA117" t="str">
        <f ca="1">IFERROR(IF(0=LEN(ReferenceData!$BA$117),"",ReferenceData!$BA$117),"")</f>
        <v/>
      </c>
      <c r="BB117" t="str">
        <f ca="1">IFERROR(IF(0=LEN(ReferenceData!$BB$117),"",ReferenceData!$BB$117),"")</f>
        <v/>
      </c>
      <c r="BC117" t="str">
        <f ca="1">IFERROR(IF(0=LEN(ReferenceData!$BC$117),"",ReferenceData!$BC$117),"")</f>
        <v/>
      </c>
      <c r="BD117" t="str">
        <f ca="1">IFERROR(IF(0=LEN(ReferenceData!$BD$117),"",ReferenceData!$BD$117),"")</f>
        <v/>
      </c>
      <c r="BE117" t="str">
        <f ca="1">IFERROR(IF(0=LEN(ReferenceData!$BE$117),"",ReferenceData!$BE$117),"")</f>
        <v/>
      </c>
      <c r="BF117" t="str">
        <f ca="1">IFERROR(IF(0=LEN(ReferenceData!$BF$117),"",ReferenceData!$BF$117),"")</f>
        <v/>
      </c>
      <c r="BG117" t="str">
        <f ca="1">IFERROR(IF(0=LEN(ReferenceData!$BG$117),"",ReferenceData!$BG$117),"")</f>
        <v/>
      </c>
      <c r="BH117" t="str">
        <f ca="1">IFERROR(IF(0=LEN(ReferenceData!$BH$117),"",ReferenceData!$BH$117),"")</f>
        <v/>
      </c>
      <c r="BI117" t="str">
        <f ca="1">IFERROR(IF(0=LEN(ReferenceData!$BI$117),"",ReferenceData!$BI$117),"")</f>
        <v/>
      </c>
      <c r="BJ117" t="str">
        <f ca="1">IFERROR(IF(0=LEN(ReferenceData!$BJ$117),"",ReferenceData!$BJ$117),"")</f>
        <v/>
      </c>
      <c r="BK117" t="str">
        <f ca="1">IFERROR(IF(0=LEN(ReferenceData!$BK$117),"",ReferenceData!$BK$117),"")</f>
        <v/>
      </c>
      <c r="BL117" t="str">
        <f ca="1">IFERROR(IF(0=LEN(ReferenceData!$BL$117),"",ReferenceData!$BL$117),"")</f>
        <v/>
      </c>
      <c r="BM117" t="str">
        <f ca="1">IFERROR(IF(0=LEN(ReferenceData!$BM$117),"",ReferenceData!$BM$117),"")</f>
        <v/>
      </c>
    </row>
    <row r="118" spans="1:65">
      <c r="A118" t="str">
        <f>IFERROR(IF(0=LEN(ReferenceData!$A$118),"",ReferenceData!$A$118),"")</f>
        <v xml:space="preserve">    CBL &amp; Associates Properties In</v>
      </c>
      <c r="B118" t="str">
        <f>IFERROR(IF(0=LEN(ReferenceData!$B$118),"",ReferenceData!$B$118),"")</f>
        <v>CBL US Equity</v>
      </c>
      <c r="C118" t="str">
        <f>IFERROR(IF(0=LEN(ReferenceData!$C$118),"",ReferenceData!$C$118),"")</f>
        <v>CF039</v>
      </c>
      <c r="D118" t="str">
        <f>IFERROR(IF(0=LEN(ReferenceData!$D$118),"",ReferenceData!$D$118),"")</f>
        <v>CF_FFO</v>
      </c>
      <c r="E118" t="str">
        <f>IFERROR(IF(0=LEN(ReferenceData!$E$118),"",ReferenceData!$E$118),"")</f>
        <v>动态</v>
      </c>
      <c r="F118" t="str">
        <f ca="1">IFERROR(IF(0=LEN(ReferenceData!$F$118),"",ReferenceData!$F$118),"")</f>
        <v/>
      </c>
      <c r="G118">
        <f ca="1">IFERROR(IF(0=LEN(ReferenceData!$G$118),"",ReferenceData!$G$118),"")</f>
        <v>109.06699999999999</v>
      </c>
      <c r="H118">
        <f ca="1">IFERROR(IF(0=LEN(ReferenceData!$H$118),"",ReferenceData!$H$118),"")</f>
        <v>102.852</v>
      </c>
      <c r="I118">
        <f ca="1">IFERROR(IF(0=LEN(ReferenceData!$I$118),"",ReferenceData!$I$118),"")</f>
        <v>116.084</v>
      </c>
      <c r="J118">
        <f ca="1">IFERROR(IF(0=LEN(ReferenceData!$J$118),"",ReferenceData!$J$118),"")</f>
        <v>106.61</v>
      </c>
      <c r="K118">
        <f ca="1">IFERROR(IF(0=LEN(ReferenceData!$K$118),"",ReferenceData!$K$118),"")</f>
        <v>144.46199999999999</v>
      </c>
      <c r="L118">
        <f ca="1">IFERROR(IF(0=LEN(ReferenceData!$L$118),"",ReferenceData!$L$118),"")</f>
        <v>111.066</v>
      </c>
      <c r="M118">
        <f ca="1">IFERROR(IF(0=LEN(ReferenceData!$M$118),"",ReferenceData!$M$118),"")</f>
        <v>146.73500000000001</v>
      </c>
      <c r="N118">
        <f ca="1">IFERROR(IF(0=LEN(ReferenceData!$N$118),"",ReferenceData!$N$118),"")</f>
        <v>135.935</v>
      </c>
      <c r="O118">
        <f ca="1">IFERROR(IF(0=LEN(ReferenceData!$O$118),"",ReferenceData!$O$118),"")</f>
        <v>141.02199999999999</v>
      </c>
      <c r="P118">
        <f ca="1">IFERROR(IF(0=LEN(ReferenceData!$P$118),"",ReferenceData!$P$118),"")</f>
        <v>110.96</v>
      </c>
      <c r="Q118">
        <f ca="1">IFERROR(IF(0=LEN(ReferenceData!$Q$118),"",ReferenceData!$Q$118),"")</f>
        <v>104.93</v>
      </c>
      <c r="R118">
        <f ca="1">IFERROR(IF(0=LEN(ReferenceData!$R$118),"",ReferenceData!$R$118),"")</f>
        <v>124.15600000000001</v>
      </c>
      <c r="S118">
        <f ca="1">IFERROR(IF(0=LEN(ReferenceData!$S$118),"",ReferenceData!$S$118),"")</f>
        <v>164.15299999999999</v>
      </c>
      <c r="T118">
        <f ca="1">IFERROR(IF(0=LEN(ReferenceData!$T$118),"",ReferenceData!$T$118),"")</f>
        <v>125.858</v>
      </c>
      <c r="U118">
        <f ca="1">IFERROR(IF(0=LEN(ReferenceData!$U$118),"",ReferenceData!$U$118),"")</f>
        <v>109.11499999999999</v>
      </c>
      <c r="V118">
        <f ca="1">IFERROR(IF(0=LEN(ReferenceData!$V$118),"",ReferenceData!$V$118),"")</f>
        <v>146.38800000000001</v>
      </c>
      <c r="W118">
        <f ca="1">IFERROR(IF(0=LEN(ReferenceData!$W$118),"",ReferenceData!$W$118),"")</f>
        <v>124.931</v>
      </c>
      <c r="X118">
        <f ca="1">IFERROR(IF(0=LEN(ReferenceData!$X$118),"",ReferenceData!$X$118),"")</f>
        <v>110.705</v>
      </c>
      <c r="Y118">
        <f ca="1">IFERROR(IF(0=LEN(ReferenceData!$Y$118),"",ReferenceData!$Y$118),"")</f>
        <v>100.19199999999999</v>
      </c>
      <c r="Z118">
        <f ca="1">IFERROR(IF(0=LEN(ReferenceData!$Z$118),"",ReferenceData!$Z$118),"")</f>
        <v>101.623</v>
      </c>
      <c r="AA118">
        <f ca="1">IFERROR(IF(0=LEN(ReferenceData!$AA$118),"",ReferenceData!$AA$118),"")</f>
        <v>163.12799999999999</v>
      </c>
      <c r="AB118">
        <f ca="1">IFERROR(IF(0=LEN(ReferenceData!$AB$118),"",ReferenceData!$AB$118),"")</f>
        <v>101.83</v>
      </c>
      <c r="AC118">
        <f ca="1">IFERROR(IF(0=LEN(ReferenceData!$AC$118),"",ReferenceData!$AC$118),"")</f>
        <v>100.782</v>
      </c>
      <c r="AD118">
        <f ca="1">IFERROR(IF(0=LEN(ReferenceData!$AD$118),"",ReferenceData!$AD$118),"")</f>
        <v>92.475999999999999</v>
      </c>
      <c r="AE118">
        <f ca="1">IFERROR(IF(0=LEN(ReferenceData!$AE$118),"",ReferenceData!$AE$118),"")</f>
        <v>114.25</v>
      </c>
      <c r="AF118">
        <f ca="1">IFERROR(IF(0=LEN(ReferenceData!$AF$118),"",ReferenceData!$AF$118),"")</f>
        <v>91.090999999999994</v>
      </c>
      <c r="AG118">
        <f ca="1">IFERROR(IF(0=LEN(ReferenceData!$AG$118),"",ReferenceData!$AG$118),"")</f>
        <v>94.653000000000006</v>
      </c>
      <c r="AH118">
        <f ca="1">IFERROR(IF(0=LEN(ReferenceData!$AH$118),"",ReferenceData!$AH$118),"")</f>
        <v>122.703</v>
      </c>
      <c r="AI118">
        <f ca="1">IFERROR(IF(0=LEN(ReferenceData!$AI$118),"",ReferenceData!$AI$118),"")</f>
        <v>117.711</v>
      </c>
      <c r="AJ118">
        <f ca="1">IFERROR(IF(0=LEN(ReferenceData!$AJ$118),"",ReferenceData!$AJ$118),"")</f>
        <v>89.483000000000004</v>
      </c>
      <c r="AK118">
        <f ca="1">IFERROR(IF(0=LEN(ReferenceData!$AK$118),"",ReferenceData!$AK$118),"")</f>
        <v>68.643000000000001</v>
      </c>
      <c r="AL118">
        <f ca="1">IFERROR(IF(0=LEN(ReferenceData!$AL$118),"",ReferenceData!$AL$118),"")</f>
        <v>93.570999999999998</v>
      </c>
      <c r="AM118">
        <f ca="1">IFERROR(IF(0=LEN(ReferenceData!$AM$118),"",ReferenceData!$AM$118),"")</f>
        <v>3.2469999999999999</v>
      </c>
      <c r="AN118">
        <f ca="1">IFERROR(IF(0=LEN(ReferenceData!$AN$118),"",ReferenceData!$AN$118),"")</f>
        <v>94.21</v>
      </c>
      <c r="AO118">
        <f ca="1">IFERROR(IF(0=LEN(ReferenceData!$AO$118),"",ReferenceData!$AO$118),"")</f>
        <v>96.299000000000007</v>
      </c>
      <c r="AP118">
        <f ca="1">IFERROR(IF(0=LEN(ReferenceData!$AP$118),"",ReferenceData!$AP$118),"")</f>
        <v>88.45</v>
      </c>
      <c r="AQ118">
        <f ca="1">IFERROR(IF(0=LEN(ReferenceData!$AQ$118),"",ReferenceData!$AQ$118),"")</f>
        <v>93.206999999999994</v>
      </c>
      <c r="AR118">
        <f ca="1">IFERROR(IF(0=LEN(ReferenceData!$AR$118),"",ReferenceData!$AR$118),"")</f>
        <v>95.775999999999996</v>
      </c>
      <c r="AS118">
        <f ca="1">IFERROR(IF(0=LEN(ReferenceData!$AS$118),"",ReferenceData!$AS$118),"")</f>
        <v>94.433999999999997</v>
      </c>
      <c r="AT118">
        <f ca="1">IFERROR(IF(0=LEN(ReferenceData!$AT$118),"",ReferenceData!$AT$118),"")</f>
        <v>92.855000000000004</v>
      </c>
      <c r="AU118">
        <f ca="1">IFERROR(IF(0=LEN(ReferenceData!$AU$118),"",ReferenceData!$AU$118),"")</f>
        <v>96.614000000000004</v>
      </c>
      <c r="AV118">
        <f ca="1">IFERROR(IF(0=LEN(ReferenceData!$AV$118),"",ReferenceData!$AV$118),"")</f>
        <v>88.209000000000003</v>
      </c>
      <c r="AW118">
        <f ca="1">IFERROR(IF(0=LEN(ReferenceData!$AW$118),"",ReferenceData!$AW$118),"")</f>
        <v>85.947999999999993</v>
      </c>
      <c r="AX118">
        <f ca="1">IFERROR(IF(0=LEN(ReferenceData!$AX$118),"",ReferenceData!$AX$118),"")</f>
        <v>90.757000000000005</v>
      </c>
      <c r="AY118">
        <f ca="1">IFERROR(IF(0=LEN(ReferenceData!$AY$118),"",ReferenceData!$AY$118),"")</f>
        <v>113.333</v>
      </c>
      <c r="AZ118">
        <f ca="1">IFERROR(IF(0=LEN(ReferenceData!$AZ$118),"",ReferenceData!$AZ$118),"")</f>
        <v>91.653999999999996</v>
      </c>
      <c r="BA118">
        <f ca="1">IFERROR(IF(0=LEN(ReferenceData!$BA$118),"",ReferenceData!$BA$118),"")</f>
        <v>88.534999999999997</v>
      </c>
      <c r="BB118">
        <f ca="1">IFERROR(IF(0=LEN(ReferenceData!$BB$118),"",ReferenceData!$BB$118),"")</f>
        <v>96.566999999999993</v>
      </c>
      <c r="BC118">
        <f ca="1">IFERROR(IF(0=LEN(ReferenceData!$BC$118),"",ReferenceData!$BC$118),"")</f>
        <v>56.606999999999999</v>
      </c>
      <c r="BD118">
        <f ca="1">IFERROR(IF(0=LEN(ReferenceData!$BD$118),"",ReferenceData!$BD$118),"")</f>
        <v>114.41</v>
      </c>
      <c r="BE118">
        <f ca="1">IFERROR(IF(0=LEN(ReferenceData!$BE$118),"",ReferenceData!$BE$118),"")</f>
        <v>83.203000000000003</v>
      </c>
      <c r="BF118">
        <f ca="1">IFERROR(IF(0=LEN(ReferenceData!$BF$118),"",ReferenceData!$BF$118),"")</f>
        <v>88.460999999999999</v>
      </c>
      <c r="BG118">
        <f ca="1">IFERROR(IF(0=LEN(ReferenceData!$BG$118),"",ReferenceData!$BG$118),"")</f>
        <v>96.772000000000006</v>
      </c>
      <c r="BH118">
        <f ca="1">IFERROR(IF(0=LEN(ReferenceData!$BH$118),"",ReferenceData!$BH$118),"")</f>
        <v>75.235000999999997</v>
      </c>
      <c r="BI118">
        <f ca="1">IFERROR(IF(0=LEN(ReferenceData!$BI$118),"",ReferenceData!$BI$118),"")</f>
        <v>68.737999000000002</v>
      </c>
      <c r="BJ118">
        <f ca="1">IFERROR(IF(0=LEN(ReferenceData!$BJ$118),"",ReferenceData!$BJ$118),"")</f>
        <v>69.660004000000001</v>
      </c>
      <c r="BK118">
        <f ca="1">IFERROR(IF(0=LEN(ReferenceData!$BK$118),"",ReferenceData!$BK$118),"")</f>
        <v>71.084998999999996</v>
      </c>
      <c r="BL118">
        <f ca="1">IFERROR(IF(0=LEN(ReferenceData!$BL$118),"",ReferenceData!$BL$118),"")</f>
        <v>65.801002999999994</v>
      </c>
      <c r="BM118">
        <f ca="1">IFERROR(IF(0=LEN(ReferenceData!$BM$118),"",ReferenceData!$BM$118),"")</f>
        <v>67.405997999999997</v>
      </c>
    </row>
    <row r="119" spans="1:65">
      <c r="A119" t="str">
        <f>IFERROR(IF(0=LEN(ReferenceData!$A$119),"",ReferenceData!$A$119),"")</f>
        <v xml:space="preserve">    DDR Corp</v>
      </c>
      <c r="B119" t="str">
        <f>IFERROR(IF(0=LEN(ReferenceData!$B$119),"",ReferenceData!$B$119),"")</f>
        <v>DDR US Equity</v>
      </c>
      <c r="C119" t="str">
        <f>IFERROR(IF(0=LEN(ReferenceData!$C$119),"",ReferenceData!$C$119),"")</f>
        <v>CF039</v>
      </c>
      <c r="D119" t="str">
        <f>IFERROR(IF(0=LEN(ReferenceData!$D$119),"",ReferenceData!$D$119),"")</f>
        <v>CF_FFO</v>
      </c>
      <c r="E119" t="str">
        <f>IFERROR(IF(0=LEN(ReferenceData!$E$119),"",ReferenceData!$E$119),"")</f>
        <v>动态</v>
      </c>
      <c r="F119" t="str">
        <f ca="1">IFERROR(IF(0=LEN(ReferenceData!$F$119),"",ReferenceData!$F$119),"")</f>
        <v/>
      </c>
      <c r="G119">
        <f ca="1">IFERROR(IF(0=LEN(ReferenceData!$G$119),"",ReferenceData!$G$119),"")</f>
        <v>95.146000000000001</v>
      </c>
      <c r="H119">
        <f ca="1">IFERROR(IF(0=LEN(ReferenceData!$H$119),"",ReferenceData!$H$119),"")</f>
        <v>46.34</v>
      </c>
      <c r="I119">
        <f ca="1">IFERROR(IF(0=LEN(ReferenceData!$I$119),"",ReferenceData!$I$119),"")</f>
        <v>93.125</v>
      </c>
      <c r="J119">
        <f ca="1">IFERROR(IF(0=LEN(ReferenceData!$J$119),"",ReferenceData!$J$119),"")</f>
        <v>22.212</v>
      </c>
      <c r="K119">
        <f ca="1">IFERROR(IF(0=LEN(ReferenceData!$K$119),"",ReferenceData!$K$119),"")</f>
        <v>111.16</v>
      </c>
      <c r="L119">
        <f ca="1">IFERROR(IF(0=LEN(ReferenceData!$L$119),"",ReferenceData!$L$119),"")</f>
        <v>120.137</v>
      </c>
      <c r="M119">
        <f ca="1">IFERROR(IF(0=LEN(ReferenceData!$M$119),"",ReferenceData!$M$119),"")</f>
        <v>120.321</v>
      </c>
      <c r="N119">
        <f ca="1">IFERROR(IF(0=LEN(ReferenceData!$N$119),"",ReferenceData!$N$119),"")</f>
        <v>114.542</v>
      </c>
      <c r="O119">
        <f ca="1">IFERROR(IF(0=LEN(ReferenceData!$O$119),"",ReferenceData!$O$119),"")</f>
        <v>116.655</v>
      </c>
      <c r="P119">
        <f ca="1">IFERROR(IF(0=LEN(ReferenceData!$P$119),"",ReferenceData!$P$119),"")</f>
        <v>113.4</v>
      </c>
      <c r="Q119">
        <f ca="1">IFERROR(IF(0=LEN(ReferenceData!$Q$119),"",ReferenceData!$Q$119),"")</f>
        <v>105.039</v>
      </c>
      <c r="R119">
        <f ca="1">IFERROR(IF(0=LEN(ReferenceData!$R$119),"",ReferenceData!$R$119),"")</f>
        <v>13.202999999999999</v>
      </c>
      <c r="S119">
        <f ca="1">IFERROR(IF(0=LEN(ReferenceData!$S$119),"",ReferenceData!$S$119),"")</f>
        <v>80.894000000000005</v>
      </c>
      <c r="T119">
        <f ca="1">IFERROR(IF(0=LEN(ReferenceData!$T$119),"",ReferenceData!$T$119),"")</f>
        <v>110.8</v>
      </c>
      <c r="U119">
        <f ca="1">IFERROR(IF(0=LEN(ReferenceData!$U$119),"",ReferenceData!$U$119),"")</f>
        <v>82.126000000000005</v>
      </c>
      <c r="V119">
        <f ca="1">IFERROR(IF(0=LEN(ReferenceData!$V$119),"",ReferenceData!$V$119),"")</f>
        <v>85.811999999999998</v>
      </c>
      <c r="W119">
        <f ca="1">IFERROR(IF(0=LEN(ReferenceData!$W$119),"",ReferenceData!$W$119),"")</f>
        <v>120.163</v>
      </c>
      <c r="X119">
        <f ca="1">IFERROR(IF(0=LEN(ReferenceData!$X$119),"",ReferenceData!$X$119),"")</f>
        <v>89.878</v>
      </c>
      <c r="Y119">
        <f ca="1">IFERROR(IF(0=LEN(ReferenceData!$Y$119),"",ReferenceData!$Y$119),"")</f>
        <v>79.963999999999999</v>
      </c>
      <c r="Z119">
        <f ca="1">IFERROR(IF(0=LEN(ReferenceData!$Z$119),"",ReferenceData!$Z$119),"")</f>
        <v>82.516000000000005</v>
      </c>
      <c r="AA119">
        <f ca="1">IFERROR(IF(0=LEN(ReferenceData!$AA$119),"",ReferenceData!$AA$119),"")</f>
        <v>61.837000000000003</v>
      </c>
      <c r="AB119">
        <f ca="1">IFERROR(IF(0=LEN(ReferenceData!$AB$119),"",ReferenceData!$AB$119),"")</f>
        <v>112.72199999999999</v>
      </c>
      <c r="AC119">
        <f ca="1">IFERROR(IF(0=LEN(ReferenceData!$AC$119),"",ReferenceData!$AC$119),"")</f>
        <v>78.072999999999993</v>
      </c>
      <c r="AD119">
        <f ca="1">IFERROR(IF(0=LEN(ReferenceData!$AD$119),"",ReferenceData!$AD$119),"")</f>
        <v>59.747999999999998</v>
      </c>
      <c r="AE119">
        <f ca="1">IFERROR(IF(0=LEN(ReferenceData!$AE$119),"",ReferenceData!$AE$119),"")</f>
        <v>47.414999999999999</v>
      </c>
      <c r="AF119">
        <f ca="1">IFERROR(IF(0=LEN(ReferenceData!$AF$119),"",ReferenceData!$AF$119),"")</f>
        <v>34.683</v>
      </c>
      <c r="AG119">
        <f ca="1">IFERROR(IF(0=LEN(ReferenceData!$AG$119),"",ReferenceData!$AG$119),"")</f>
        <v>52.555999999999997</v>
      </c>
      <c r="AH119">
        <f ca="1">IFERROR(IF(0=LEN(ReferenceData!$AH$119),"",ReferenceData!$AH$119),"")</f>
        <v>92.954999999999998</v>
      </c>
      <c r="AI119">
        <f ca="1">IFERROR(IF(0=LEN(ReferenceData!$AI$119),"",ReferenceData!$AI$119),"")</f>
        <v>-26.404</v>
      </c>
      <c r="AJ119">
        <f ca="1">IFERROR(IF(0=LEN(ReferenceData!$AJ$119),"",ReferenceData!$AJ$119),"")</f>
        <v>47.643000000000001</v>
      </c>
      <c r="AK119">
        <f ca="1">IFERROR(IF(0=LEN(ReferenceData!$AK$119),"",ReferenceData!$AK$119),"")</f>
        <v>-22.277000000000001</v>
      </c>
      <c r="AL119">
        <f ca="1">IFERROR(IF(0=LEN(ReferenceData!$AL$119),"",ReferenceData!$AL$119),"")</f>
        <v>38.996000000000002</v>
      </c>
      <c r="AM119">
        <f ca="1">IFERROR(IF(0=LEN(ReferenceData!$AM$119),"",ReferenceData!$AM$119),"")</f>
        <v>-17.442</v>
      </c>
      <c r="AN119">
        <f ca="1">IFERROR(IF(0=LEN(ReferenceData!$AN$119),"",ReferenceData!$AN$119),"")</f>
        <v>-79.566000000000003</v>
      </c>
      <c r="AO119">
        <f ca="1">IFERROR(IF(0=LEN(ReferenceData!$AO$119),"",ReferenceData!$AO$119),"")</f>
        <v>-155.91800000000001</v>
      </c>
      <c r="AP119">
        <f ca="1">IFERROR(IF(0=LEN(ReferenceData!$AP$119),"",ReferenceData!$AP$119),"")</f>
        <v>150.56299999999999</v>
      </c>
      <c r="AQ119">
        <f ca="1">IFERROR(IF(0=LEN(ReferenceData!$AQ$119),"",ReferenceData!$AQ$119),"")</f>
        <v>-108.685</v>
      </c>
      <c r="AR119">
        <f ca="1">IFERROR(IF(0=LEN(ReferenceData!$AR$119),"",ReferenceData!$AR$119),"")</f>
        <v>107.292</v>
      </c>
      <c r="AS119">
        <f ca="1">IFERROR(IF(0=LEN(ReferenceData!$AS$119),"",ReferenceData!$AS$119),"")</f>
        <v>106.452</v>
      </c>
      <c r="AT119">
        <f ca="1">IFERROR(IF(0=LEN(ReferenceData!$AT$119),"",ReferenceData!$AT$119),"")</f>
        <v>106.89100000000001</v>
      </c>
      <c r="AU119">
        <f ca="1">IFERROR(IF(0=LEN(ReferenceData!$AU$119),"",ReferenceData!$AU$119),"")</f>
        <v>110.6</v>
      </c>
      <c r="AV119">
        <f ca="1">IFERROR(IF(0=LEN(ReferenceData!$AV$119),"",ReferenceData!$AV$119),"")</f>
        <v>110.116</v>
      </c>
      <c r="AW119">
        <f ca="1">IFERROR(IF(0=LEN(ReferenceData!$AW$119),"",ReferenceData!$AW$119),"")</f>
        <v>175.26599999999999</v>
      </c>
      <c r="AX119">
        <f ca="1">IFERROR(IF(0=LEN(ReferenceData!$AX$119),"",ReferenceData!$AX$119),"")</f>
        <v>119.97499999999999</v>
      </c>
      <c r="AY119">
        <f ca="1">IFERROR(IF(0=LEN(ReferenceData!$AY$119),"",ReferenceData!$AY$119),"")</f>
        <v>103.892</v>
      </c>
      <c r="AZ119">
        <f ca="1">IFERROR(IF(0=LEN(ReferenceData!$AZ$119),"",ReferenceData!$AZ$119),"")</f>
        <v>105.52500000000001</v>
      </c>
      <c r="BA119">
        <f ca="1">IFERROR(IF(0=LEN(ReferenceData!$BA$119),"",ReferenceData!$BA$119),"")</f>
        <v>123.57599999999999</v>
      </c>
      <c r="BB119">
        <f ca="1">IFERROR(IF(0=LEN(ReferenceData!$BB$119),"",ReferenceData!$BB$119),"")</f>
        <v>99.983999999999995</v>
      </c>
      <c r="BC119">
        <f ca="1">IFERROR(IF(0=LEN(ReferenceData!$BC$119),"",ReferenceData!$BC$119),"")</f>
        <v>95.504000000000005</v>
      </c>
      <c r="BD119">
        <f ca="1">IFERROR(IF(0=LEN(ReferenceData!$BD$119),"",ReferenceData!$BD$119),"")</f>
        <v>81.783000000000001</v>
      </c>
      <c r="BE119">
        <f ca="1">IFERROR(IF(0=LEN(ReferenceData!$BE$119),"",ReferenceData!$BE$119),"")</f>
        <v>92.534999999999997</v>
      </c>
      <c r="BF119">
        <f ca="1">IFERROR(IF(0=LEN(ReferenceData!$BF$119),"",ReferenceData!$BF$119),"")</f>
        <v>112.863</v>
      </c>
      <c r="BG119">
        <f ca="1">IFERROR(IF(0=LEN(ReferenceData!$BG$119),"",ReferenceData!$BG$119),"")</f>
        <v>73.03</v>
      </c>
      <c r="BH119">
        <f ca="1">IFERROR(IF(0=LEN(ReferenceData!$BH$119),"",ReferenceData!$BH$119),"")</f>
        <v>74.887</v>
      </c>
      <c r="BI119">
        <f ca="1">IFERROR(IF(0=LEN(ReferenceData!$BI$119),"",ReferenceData!$BI$119),"")</f>
        <v>20.716999999999999</v>
      </c>
      <c r="BJ119">
        <f ca="1">IFERROR(IF(0=LEN(ReferenceData!$BJ$119),"",ReferenceData!$BJ$119),"")</f>
        <v>73.411000000000001</v>
      </c>
      <c r="BK119">
        <f ca="1">IFERROR(IF(0=LEN(ReferenceData!$BK$119),"",ReferenceData!$BK$119),"")</f>
        <v>60.131000520000001</v>
      </c>
      <c r="BL119">
        <f ca="1">IFERROR(IF(0=LEN(ReferenceData!$BL$119),"",ReferenceData!$BL$119),"")</f>
        <v>10.201000000000001</v>
      </c>
      <c r="BM119">
        <f ca="1">IFERROR(IF(0=LEN(ReferenceData!$BM$119),"",ReferenceData!$BM$119),"")</f>
        <v>9.2769999999999992</v>
      </c>
    </row>
    <row r="120" spans="1:65">
      <c r="A120" t="str">
        <f>IFERROR(IF(0=LEN(ReferenceData!$A$120),"",ReferenceData!$A$120),"")</f>
        <v xml:space="preserve">    Federal Realty Investment Trus</v>
      </c>
      <c r="B120" t="str">
        <f>IFERROR(IF(0=LEN(ReferenceData!$B$120),"",ReferenceData!$B$120),"")</f>
        <v>FRT US Equity</v>
      </c>
      <c r="C120" t="str">
        <f>IFERROR(IF(0=LEN(ReferenceData!$C$120),"",ReferenceData!$C$120),"")</f>
        <v>CF039</v>
      </c>
      <c r="D120" t="str">
        <f>IFERROR(IF(0=LEN(ReferenceData!$D$120),"",ReferenceData!$D$120),"")</f>
        <v>CF_FFO</v>
      </c>
      <c r="E120" t="str">
        <f>IFERROR(IF(0=LEN(ReferenceData!$E$120),"",ReferenceData!$E$120),"")</f>
        <v>动态</v>
      </c>
      <c r="F120" t="str">
        <f ca="1">IFERROR(IF(0=LEN(ReferenceData!$F$120),"",ReferenceData!$F$120),"")</f>
        <v/>
      </c>
      <c r="G120">
        <f ca="1">IFERROR(IF(0=LEN(ReferenceData!$G$120),"",ReferenceData!$G$120),"")</f>
        <v>95.486000000000004</v>
      </c>
      <c r="H120">
        <f ca="1">IFERROR(IF(0=LEN(ReferenceData!$H$120),"",ReferenceData!$H$120),"")</f>
        <v>109.968</v>
      </c>
      <c r="I120">
        <f ca="1">IFERROR(IF(0=LEN(ReferenceData!$I$120),"",ReferenceData!$I$120),"")</f>
        <v>108.60299999999999</v>
      </c>
      <c r="J120">
        <f ca="1">IFERROR(IF(0=LEN(ReferenceData!$J$120),"",ReferenceData!$J$120),"")</f>
        <v>105.795</v>
      </c>
      <c r="K120">
        <f ca="1">IFERROR(IF(0=LEN(ReferenceData!$K$120),"",ReferenceData!$K$120),"")</f>
        <v>104.919</v>
      </c>
      <c r="L120">
        <f ca="1">IFERROR(IF(0=LEN(ReferenceData!$L$120),"",ReferenceData!$L$120),"")</f>
        <v>101.66800000000001</v>
      </c>
      <c r="M120">
        <f ca="1">IFERROR(IF(0=LEN(ReferenceData!$M$120),"",ReferenceData!$M$120),"")</f>
        <v>102.18300000000001</v>
      </c>
      <c r="N120">
        <f ca="1">IFERROR(IF(0=LEN(ReferenceData!$N$120),"",ReferenceData!$N$120),"")</f>
        <v>97.588999999999999</v>
      </c>
      <c r="O120">
        <f ca="1">IFERROR(IF(0=LEN(ReferenceData!$O$120),"",ReferenceData!$O$120),"")</f>
        <v>96.468000000000004</v>
      </c>
      <c r="P120">
        <f ca="1">IFERROR(IF(0=LEN(ReferenceData!$P$120),"",ReferenceData!$P$120),"")</f>
        <v>95.156999999999996</v>
      </c>
      <c r="Q120">
        <f ca="1">IFERROR(IF(0=LEN(ReferenceData!$Q$120),"",ReferenceData!$Q$120),"")</f>
        <v>73.944000000000003</v>
      </c>
      <c r="R120">
        <f ca="1">IFERROR(IF(0=LEN(ReferenceData!$R$120),"",ReferenceData!$R$120),"")</f>
        <v>87.287999999999997</v>
      </c>
      <c r="S120">
        <f ca="1">IFERROR(IF(0=LEN(ReferenceData!$S$120),"",ReferenceData!$S$120),"")</f>
        <v>77.745000000000005</v>
      </c>
      <c r="T120">
        <f ca="1">IFERROR(IF(0=LEN(ReferenceData!$T$120),"",ReferenceData!$T$120),"")</f>
        <v>84.47</v>
      </c>
      <c r="U120">
        <f ca="1">IFERROR(IF(0=LEN(ReferenceData!$U$120),"",ReferenceData!$U$120),"")</f>
        <v>83.628</v>
      </c>
      <c r="V120">
        <f ca="1">IFERROR(IF(0=LEN(ReferenceData!$V$120),"",ReferenceData!$V$120),"")</f>
        <v>81.754000000000005</v>
      </c>
      <c r="W120">
        <f ca="1">IFERROR(IF(0=LEN(ReferenceData!$W$120),"",ReferenceData!$W$120),"")</f>
        <v>68.372</v>
      </c>
      <c r="X120">
        <f ca="1">IFERROR(IF(0=LEN(ReferenceData!$X$120),"",ReferenceData!$X$120),"")</f>
        <v>76.369</v>
      </c>
      <c r="Y120">
        <f ca="1">IFERROR(IF(0=LEN(ReferenceData!$Y$120),"",ReferenceData!$Y$120),"")</f>
        <v>71.147000000000006</v>
      </c>
      <c r="Z120">
        <f ca="1">IFERROR(IF(0=LEN(ReferenceData!$Z$120),"",ReferenceData!$Z$120),"")</f>
        <v>74.05</v>
      </c>
      <c r="AA120">
        <f ca="1">IFERROR(IF(0=LEN(ReferenceData!$AA$120),"",ReferenceData!$AA$120),"")</f>
        <v>71.744</v>
      </c>
      <c r="AB120">
        <f ca="1">IFERROR(IF(0=LEN(ReferenceData!$AB$120),"",ReferenceData!$AB$120),"")</f>
        <v>72.063000000000002</v>
      </c>
      <c r="AC120">
        <f ca="1">IFERROR(IF(0=LEN(ReferenceData!$AC$120),"",ReferenceData!$AC$120),"")</f>
        <v>66.778000000000006</v>
      </c>
      <c r="AD120">
        <f ca="1">IFERROR(IF(0=LEN(ReferenceData!$AD$120),"",ReferenceData!$AD$120),"")</f>
        <v>66.653999999999996</v>
      </c>
      <c r="AE120">
        <f ca="1">IFERROR(IF(0=LEN(ReferenceData!$AE$120),"",ReferenceData!$AE$120),"")</f>
        <v>62.107999999999997</v>
      </c>
      <c r="AF120">
        <f ca="1">IFERROR(IF(0=LEN(ReferenceData!$AF$120),"",ReferenceData!$AF$120),"")</f>
        <v>63.926000000000002</v>
      </c>
      <c r="AG120">
        <f ca="1">IFERROR(IF(0=LEN(ReferenceData!$AG$120),"",ReferenceData!$AG$120),"")</f>
        <v>64.272000000000006</v>
      </c>
      <c r="AH120">
        <f ca="1">IFERROR(IF(0=LEN(ReferenceData!$AH$120),"",ReferenceData!$AH$120),"")</f>
        <v>61.27</v>
      </c>
      <c r="AI120">
        <f ca="1">IFERROR(IF(0=LEN(ReferenceData!$AI$120),"",ReferenceData!$AI$120),"")</f>
        <v>62.241</v>
      </c>
      <c r="AJ120">
        <f ca="1">IFERROR(IF(0=LEN(ReferenceData!$AJ$120),"",ReferenceData!$AJ$120),"")</f>
        <v>58.841999999999999</v>
      </c>
      <c r="AK120">
        <f ca="1">IFERROR(IF(0=LEN(ReferenceData!$AK$120),"",ReferenceData!$AK$120),"")</f>
        <v>60.314999999999998</v>
      </c>
      <c r="AL120">
        <f ca="1">IFERROR(IF(0=LEN(ReferenceData!$AL$120),"",ReferenceData!$AL$120),"")</f>
        <v>57.811999999999998</v>
      </c>
      <c r="AM120">
        <f ca="1">IFERROR(IF(0=LEN(ReferenceData!$AM$120),"",ReferenceData!$AM$120),"")</f>
        <v>60.094999999999999</v>
      </c>
      <c r="AN120">
        <f ca="1">IFERROR(IF(0=LEN(ReferenceData!$AN$120),"",ReferenceData!$AN$120),"")</f>
        <v>55.595999999999997</v>
      </c>
      <c r="AO120">
        <f ca="1">IFERROR(IF(0=LEN(ReferenceData!$AO$120),"",ReferenceData!$AO$120),"")</f>
        <v>57.366</v>
      </c>
      <c r="AP120">
        <f ca="1">IFERROR(IF(0=LEN(ReferenceData!$AP$120),"",ReferenceData!$AP$120),"")</f>
        <v>37.761000000000003</v>
      </c>
      <c r="AQ120">
        <f ca="1">IFERROR(IF(0=LEN(ReferenceData!$AQ$120),"",ReferenceData!$AQ$120),"")</f>
        <v>58.597000000000001</v>
      </c>
      <c r="AR120">
        <f ca="1">IFERROR(IF(0=LEN(ReferenceData!$AR$120),"",ReferenceData!$AR$120),"")</f>
        <v>57.887999999999998</v>
      </c>
      <c r="AS120">
        <f ca="1">IFERROR(IF(0=LEN(ReferenceData!$AS$120),"",ReferenceData!$AS$120),"")</f>
        <v>56.929000000000002</v>
      </c>
      <c r="AT120">
        <f ca="1">IFERROR(IF(0=LEN(ReferenceData!$AT$120),"",ReferenceData!$AT$120),"")</f>
        <v>55.189</v>
      </c>
      <c r="AU120">
        <f ca="1">IFERROR(IF(0=LEN(ReferenceData!$AU$120),"",ReferenceData!$AU$120),"")</f>
        <v>52.789000000000001</v>
      </c>
      <c r="AV120">
        <f ca="1">IFERROR(IF(0=LEN(ReferenceData!$AV$120),"",ReferenceData!$AV$120),"")</f>
        <v>52.478000000000002</v>
      </c>
      <c r="AW120">
        <f ca="1">IFERROR(IF(0=LEN(ReferenceData!$AW$120),"",ReferenceData!$AW$120),"")</f>
        <v>51.88</v>
      </c>
      <c r="AX120">
        <f ca="1">IFERROR(IF(0=LEN(ReferenceData!$AX$120),"",ReferenceData!$AX$120),"")</f>
        <v>49.625</v>
      </c>
      <c r="AY120">
        <f ca="1">IFERROR(IF(0=LEN(ReferenceData!$AY$120),"",ReferenceData!$AY$120),"")</f>
        <v>43.271000000000001</v>
      </c>
      <c r="AZ120">
        <f ca="1">IFERROR(IF(0=LEN(ReferenceData!$AZ$120),"",ReferenceData!$AZ$120),"")</f>
        <v>45.822000000000003</v>
      </c>
      <c r="BA120">
        <f ca="1">IFERROR(IF(0=LEN(ReferenceData!$BA$120),"",ReferenceData!$BA$120),"")</f>
        <v>44.584000000000003</v>
      </c>
      <c r="BB120">
        <f ca="1">IFERROR(IF(0=LEN(ReferenceData!$BB$120),"",ReferenceData!$BB$120),"")</f>
        <v>43.436</v>
      </c>
      <c r="BC120">
        <f ca="1">IFERROR(IF(0=LEN(ReferenceData!$BC$120),"",ReferenceData!$BC$120),"")</f>
        <v>42.012</v>
      </c>
      <c r="BD120">
        <f ca="1">IFERROR(IF(0=LEN(ReferenceData!$BD$120),"",ReferenceData!$BD$120),"")</f>
        <v>40.994</v>
      </c>
      <c r="BE120">
        <f ca="1">IFERROR(IF(0=LEN(ReferenceData!$BE$120),"",ReferenceData!$BE$120),"")</f>
        <v>41.223999999999997</v>
      </c>
      <c r="BF120">
        <f ca="1">IFERROR(IF(0=LEN(ReferenceData!$BF$120),"",ReferenceData!$BF$120),"")</f>
        <v>39.305</v>
      </c>
      <c r="BG120">
        <f ca="1">IFERROR(IF(0=LEN(ReferenceData!$BG$120),"",ReferenceData!$BG$120),"")</f>
        <v>37.124000549999998</v>
      </c>
      <c r="BH120">
        <f ca="1">IFERROR(IF(0=LEN(ReferenceData!$BH$120),"",ReferenceData!$BH$120),"")</f>
        <v>111.697</v>
      </c>
      <c r="BI120">
        <f ca="1">IFERROR(IF(0=LEN(ReferenceData!$BI$120),"",ReferenceData!$BI$120),"")</f>
        <v>38.638000490000003</v>
      </c>
      <c r="BJ120">
        <f ca="1">IFERROR(IF(0=LEN(ReferenceData!$BJ$120),"",ReferenceData!$BJ$120),"")</f>
        <v>34.779000000000003</v>
      </c>
      <c r="BK120">
        <f ca="1">IFERROR(IF(0=LEN(ReferenceData!$BK$120),"",ReferenceData!$BK$120),"")</f>
        <v>-767.61400000000003</v>
      </c>
      <c r="BL120">
        <f ca="1">IFERROR(IF(0=LEN(ReferenceData!$BL$120),"",ReferenceData!$BL$120),"")</f>
        <v>898.87099999999998</v>
      </c>
      <c r="BM120">
        <f ca="1">IFERROR(IF(0=LEN(ReferenceData!$BM$120),"",ReferenceData!$BM$120),"")</f>
        <v>599.95299999999997</v>
      </c>
    </row>
    <row r="121" spans="1:65">
      <c r="A121" t="str">
        <f>IFERROR(IF(0=LEN(ReferenceData!$A$121),"",ReferenceData!$A$121),"")</f>
        <v xml:space="preserve">    Kimco Realty Corp</v>
      </c>
      <c r="B121" t="str">
        <f>IFERROR(IF(0=LEN(ReferenceData!$B$121),"",ReferenceData!$B$121),"")</f>
        <v>KIM US Equity</v>
      </c>
      <c r="C121" t="str">
        <f>IFERROR(IF(0=LEN(ReferenceData!$C$121),"",ReferenceData!$C$121),"")</f>
        <v>CF039</v>
      </c>
      <c r="D121" t="str">
        <f>IFERROR(IF(0=LEN(ReferenceData!$D$121),"",ReferenceData!$D$121),"")</f>
        <v>CF_FFO</v>
      </c>
      <c r="E121" t="str">
        <f>IFERROR(IF(0=LEN(ReferenceData!$E$121),"",ReferenceData!$E$121),"")</f>
        <v>动态</v>
      </c>
      <c r="F121" t="str">
        <f ca="1">IFERROR(IF(0=LEN(ReferenceData!$F$121),"",ReferenceData!$F$121),"")</f>
        <v/>
      </c>
      <c r="G121">
        <f ca="1">IFERROR(IF(0=LEN(ReferenceData!$G$121),"",ReferenceData!$G$121),"")</f>
        <v>160.13999999999999</v>
      </c>
      <c r="H121">
        <f ca="1">IFERROR(IF(0=LEN(ReferenceData!$H$121),"",ReferenceData!$H$121),"")</f>
        <v>165.286</v>
      </c>
      <c r="I121">
        <f ca="1">IFERROR(IF(0=LEN(ReferenceData!$I$121),"",ReferenceData!$I$121),"")</f>
        <v>174.99600000000001</v>
      </c>
      <c r="J121">
        <f ca="1">IFERROR(IF(0=LEN(ReferenceData!$J$121),"",ReferenceData!$J$121),"")</f>
        <v>155.13999999999999</v>
      </c>
      <c r="K121">
        <f ca="1">IFERROR(IF(0=LEN(ReferenceData!$K$121),"",ReferenceData!$K$121),"")</f>
        <v>162.98400000000001</v>
      </c>
      <c r="L121">
        <f ca="1">IFERROR(IF(0=LEN(ReferenceData!$L$121),"",ReferenceData!$L$121),"")</f>
        <v>76.406000000000006</v>
      </c>
      <c r="M121">
        <f ca="1">IFERROR(IF(0=LEN(ReferenceData!$M$121),"",ReferenceData!$M$121),"")</f>
        <v>158.10300000000001</v>
      </c>
      <c r="N121">
        <f ca="1">IFERROR(IF(0=LEN(ReferenceData!$N$121),"",ReferenceData!$N$121),"")</f>
        <v>158.22200000000001</v>
      </c>
      <c r="O121">
        <f ca="1">IFERROR(IF(0=LEN(ReferenceData!$O$121),"",ReferenceData!$O$121),"")</f>
        <v>143.179</v>
      </c>
      <c r="P121">
        <f ca="1">IFERROR(IF(0=LEN(ReferenceData!$P$121),"",ReferenceData!$P$121),"")</f>
        <v>163.876</v>
      </c>
      <c r="Q121">
        <f ca="1">IFERROR(IF(0=LEN(ReferenceData!$Q$121),"",ReferenceData!$Q$121),"")</f>
        <v>182.714</v>
      </c>
      <c r="R121">
        <f ca="1">IFERROR(IF(0=LEN(ReferenceData!$R$121),"",ReferenceData!$R$121),"")</f>
        <v>153.47800000000001</v>
      </c>
      <c r="S121">
        <f ca="1">IFERROR(IF(0=LEN(ReferenceData!$S$121),"",ReferenceData!$S$121),"")</f>
        <v>156.72200000000001</v>
      </c>
      <c r="T121">
        <f ca="1">IFERROR(IF(0=LEN(ReferenceData!$T$121),"",ReferenceData!$T$121),"")</f>
        <v>159.90799999999999</v>
      </c>
      <c r="U121">
        <f ca="1">IFERROR(IF(0=LEN(ReferenceData!$U$121),"",ReferenceData!$U$121),"")</f>
        <v>141.21</v>
      </c>
      <c r="V121">
        <f ca="1">IFERROR(IF(0=LEN(ReferenceData!$V$121),"",ReferenceData!$V$121),"")</f>
        <v>138.393</v>
      </c>
      <c r="W121">
        <f ca="1">IFERROR(IF(0=LEN(ReferenceData!$W$121),"",ReferenceData!$W$121),"")</f>
        <v>134.66800000000001</v>
      </c>
      <c r="X121">
        <f ca="1">IFERROR(IF(0=LEN(ReferenceData!$X$121),"",ReferenceData!$X$121),"")</f>
        <v>141.35300000000001</v>
      </c>
      <c r="Y121">
        <f ca="1">IFERROR(IF(0=LEN(ReferenceData!$Y$121),"",ReferenceData!$Y$121),"")</f>
        <v>141.642</v>
      </c>
      <c r="Z121">
        <f ca="1">IFERROR(IF(0=LEN(ReferenceData!$Z$121),"",ReferenceData!$Z$121),"")</f>
        <v>134.87899999999999</v>
      </c>
      <c r="AA121">
        <f ca="1">IFERROR(IF(0=LEN(ReferenceData!$AA$121),"",ReferenceData!$AA$121),"")</f>
        <v>127.208</v>
      </c>
      <c r="AB121">
        <f ca="1">IFERROR(IF(0=LEN(ReferenceData!$AB$121),"",ReferenceData!$AB$121),"")</f>
        <v>118.99299999999999</v>
      </c>
      <c r="AC121">
        <f ca="1">IFERROR(IF(0=LEN(ReferenceData!$AC$121),"",ReferenceData!$AC$121),"")</f>
        <v>137.989</v>
      </c>
      <c r="AD121">
        <f ca="1">IFERROR(IF(0=LEN(ReferenceData!$AD$121),"",ReferenceData!$AD$121),"")</f>
        <v>126.249</v>
      </c>
      <c r="AE121">
        <f ca="1">IFERROR(IF(0=LEN(ReferenceData!$AE$121),"",ReferenceData!$AE$121),"")</f>
        <v>135.44300000000001</v>
      </c>
      <c r="AF121">
        <f ca="1">IFERROR(IF(0=LEN(ReferenceData!$AF$121),"",ReferenceData!$AF$121),"")</f>
        <v>134.26300000000001</v>
      </c>
      <c r="AG121">
        <f ca="1">IFERROR(IF(0=LEN(ReferenceData!$AG$121),"",ReferenceData!$AG$121),"")</f>
        <v>121.417</v>
      </c>
      <c r="AH121">
        <f ca="1">IFERROR(IF(0=LEN(ReferenceData!$AH$121),"",ReferenceData!$AH$121),"")</f>
        <v>122.029</v>
      </c>
      <c r="AI121">
        <f ca="1">IFERROR(IF(0=LEN(ReferenceData!$AI$121),"",ReferenceData!$AI$121),"")</f>
        <v>125.333</v>
      </c>
      <c r="AJ121">
        <f ca="1">IFERROR(IF(0=LEN(ReferenceData!$AJ$121),"",ReferenceData!$AJ$121),"")</f>
        <v>110.54900000000001</v>
      </c>
      <c r="AK121">
        <f ca="1">IFERROR(IF(0=LEN(ReferenceData!$AK$121),"",ReferenceData!$AK$121),"")</f>
        <v>105.586</v>
      </c>
      <c r="AL121">
        <f ca="1">IFERROR(IF(0=LEN(ReferenceData!$AL$121),"",ReferenceData!$AL$121),"")</f>
        <v>125.985</v>
      </c>
      <c r="AM121">
        <f ca="1">IFERROR(IF(0=LEN(ReferenceData!$AM$121),"",ReferenceData!$AM$121),"")</f>
        <v>119.456</v>
      </c>
      <c r="AN121">
        <f ca="1">IFERROR(IF(0=LEN(ReferenceData!$AN$121),"",ReferenceData!$AN$121),"")</f>
        <v>112.553</v>
      </c>
      <c r="AO121">
        <f ca="1">IFERROR(IF(0=LEN(ReferenceData!$AO$121),"",ReferenceData!$AO$121),"")</f>
        <v>-62.719000000000001</v>
      </c>
      <c r="AP121">
        <f ca="1">IFERROR(IF(0=LEN(ReferenceData!$AP$121),"",ReferenceData!$AP$121),"")</f>
        <v>117.80500000000001</v>
      </c>
      <c r="AQ121">
        <f ca="1">IFERROR(IF(0=LEN(ReferenceData!$AQ$121),"",ReferenceData!$AQ$121),"")</f>
        <v>10.505000000000001</v>
      </c>
      <c r="AR121">
        <f ca="1">IFERROR(IF(0=LEN(ReferenceData!$AR$121),"",ReferenceData!$AR$121),"")</f>
        <v>176.89400000000001</v>
      </c>
      <c r="AS121">
        <f ca="1">IFERROR(IF(0=LEN(ReferenceData!$AS$121),"",ReferenceData!$AS$121),"")</f>
        <v>171.066</v>
      </c>
      <c r="AT121">
        <f ca="1">IFERROR(IF(0=LEN(ReferenceData!$AT$121),"",ReferenceData!$AT$121),"")</f>
        <v>164.398</v>
      </c>
      <c r="AU121">
        <f ca="1">IFERROR(IF(0=LEN(ReferenceData!$AU$121),"",ReferenceData!$AU$121),"")</f>
        <v>136.21899999999999</v>
      </c>
      <c r="AV121">
        <f ca="1">IFERROR(IF(0=LEN(ReferenceData!$AV$121),"",ReferenceData!$AV$121),"")</f>
        <v>146.642</v>
      </c>
      <c r="AW121">
        <f ca="1">IFERROR(IF(0=LEN(ReferenceData!$AW$121),"",ReferenceData!$AW$121),"")</f>
        <v>184.17699999999999</v>
      </c>
      <c r="AX121">
        <f ca="1">IFERROR(IF(0=LEN(ReferenceData!$AX$121),"",ReferenceData!$AX$121),"")</f>
        <v>202.78399999999999</v>
      </c>
      <c r="AY121">
        <f ca="1">IFERROR(IF(0=LEN(ReferenceData!$AY$121),"",ReferenceData!$AY$121),"")</f>
        <v>147.83099999999999</v>
      </c>
      <c r="AZ121">
        <f ca="1">IFERROR(IF(0=LEN(ReferenceData!$AZ$121),"",ReferenceData!$AZ$121),"")</f>
        <v>138.59899999999999</v>
      </c>
      <c r="BA121">
        <f ca="1">IFERROR(IF(0=LEN(ReferenceData!$BA$121),"",ReferenceData!$BA$121),"")</f>
        <v>133.31</v>
      </c>
      <c r="BB121">
        <f ca="1">IFERROR(IF(0=LEN(ReferenceData!$BB$121),"",ReferenceData!$BB$121),"")</f>
        <v>124.614</v>
      </c>
      <c r="BC121">
        <f ca="1">IFERROR(IF(0=LEN(ReferenceData!$BC$121),"",ReferenceData!$BC$121),"")</f>
        <v>127.45</v>
      </c>
      <c r="BD121">
        <f ca="1">IFERROR(IF(0=LEN(ReferenceData!$BD$121),"",ReferenceData!$BD$121),"")</f>
        <v>116.26600000000001</v>
      </c>
      <c r="BE121">
        <f ca="1">IFERROR(IF(0=LEN(ReferenceData!$BE$121),"",ReferenceData!$BE$121),"")</f>
        <v>112.443</v>
      </c>
      <c r="BF121">
        <f ca="1">IFERROR(IF(0=LEN(ReferenceData!$BF$121),"",ReferenceData!$BF$121),"")</f>
        <v>108.535</v>
      </c>
      <c r="BG121">
        <f ca="1">IFERROR(IF(0=LEN(ReferenceData!$BG$121),"",ReferenceData!$BG$121),"")</f>
        <v>103.607</v>
      </c>
      <c r="BH121">
        <f ca="1">IFERROR(IF(0=LEN(ReferenceData!$BH$121),"",ReferenceData!$BH$121),"")</f>
        <v>101.605</v>
      </c>
      <c r="BI121" t="str">
        <f ca="1">IFERROR(IF(0=LEN(ReferenceData!$BI$121),"",ReferenceData!$BI$121),"")</f>
        <v/>
      </c>
      <c r="BJ121" t="str">
        <f ca="1">IFERROR(IF(0=LEN(ReferenceData!$BJ$121),"",ReferenceData!$BJ$121),"")</f>
        <v/>
      </c>
      <c r="BK121" t="str">
        <f ca="1">IFERROR(IF(0=LEN(ReferenceData!$BK$121),"",ReferenceData!$BK$121),"")</f>
        <v/>
      </c>
      <c r="BL121">
        <f ca="1">IFERROR(IF(0=LEN(ReferenceData!$BL$121),"",ReferenceData!$BL$121),"")</f>
        <v>90.565002440000001</v>
      </c>
      <c r="BM121" t="str">
        <f ca="1">IFERROR(IF(0=LEN(ReferenceData!$BM$121),"",ReferenceData!$BM$121),"")</f>
        <v/>
      </c>
    </row>
    <row r="122" spans="1:65">
      <c r="A122" t="str">
        <f>IFERROR(IF(0=LEN(ReferenceData!$A$122),"",ReferenceData!$A$122),"")</f>
        <v xml:space="preserve">    National Retail Properties Inc</v>
      </c>
      <c r="B122" t="str">
        <f>IFERROR(IF(0=LEN(ReferenceData!$B$122),"",ReferenceData!$B$122),"")</f>
        <v>NNN US Equity</v>
      </c>
      <c r="C122" t="str">
        <f>IFERROR(IF(0=LEN(ReferenceData!$C$122),"",ReferenceData!$C$122),"")</f>
        <v>CF039</v>
      </c>
      <c r="D122" t="str">
        <f>IFERROR(IF(0=LEN(ReferenceData!$D$122),"",ReferenceData!$D$122),"")</f>
        <v>CF_FFO</v>
      </c>
      <c r="E122" t="str">
        <f>IFERROR(IF(0=LEN(ReferenceData!$E$122),"",ReferenceData!$E$122),"")</f>
        <v>动态</v>
      </c>
      <c r="F122" t="str">
        <f ca="1">IFERROR(IF(0=LEN(ReferenceData!$F$122),"",ReferenceData!$F$122),"")</f>
        <v/>
      </c>
      <c r="G122">
        <f ca="1">IFERROR(IF(0=LEN(ReferenceData!$G$122),"",ReferenceData!$G$122),"")</f>
        <v>95.266999999999996</v>
      </c>
      <c r="H122">
        <f ca="1">IFERROR(IF(0=LEN(ReferenceData!$H$122),"",ReferenceData!$H$122),"")</f>
        <v>97.76</v>
      </c>
      <c r="I122">
        <f ca="1">IFERROR(IF(0=LEN(ReferenceData!$I$122),"",ReferenceData!$I$122),"")</f>
        <v>87.884</v>
      </c>
      <c r="J122">
        <f ca="1">IFERROR(IF(0=LEN(ReferenceData!$J$122),"",ReferenceData!$J$122),"")</f>
        <v>78.266999999999996</v>
      </c>
      <c r="K122">
        <f ca="1">IFERROR(IF(0=LEN(ReferenceData!$K$122),"",ReferenceData!$K$122),"")</f>
        <v>88.716999999999999</v>
      </c>
      <c r="L122">
        <f ca="1">IFERROR(IF(0=LEN(ReferenceData!$L$122),"",ReferenceData!$L$122),"")</f>
        <v>81.225999999999999</v>
      </c>
      <c r="M122">
        <f ca="1">IFERROR(IF(0=LEN(ReferenceData!$M$122),"",ReferenceData!$M$122),"")</f>
        <v>80.503</v>
      </c>
      <c r="N122">
        <f ca="1">IFERROR(IF(0=LEN(ReferenceData!$N$122),"",ReferenceData!$N$122),"")</f>
        <v>80.097999999999999</v>
      </c>
      <c r="O122">
        <f ca="1">IFERROR(IF(0=LEN(ReferenceData!$O$122),"",ReferenceData!$O$122),"")</f>
        <v>67.319000000000003</v>
      </c>
      <c r="P122">
        <f ca="1">IFERROR(IF(0=LEN(ReferenceData!$P$122),"",ReferenceData!$P$122),"")</f>
        <v>77.94</v>
      </c>
      <c r="Q122">
        <f ca="1">IFERROR(IF(0=LEN(ReferenceData!$Q$122),"",ReferenceData!$Q$122),"")</f>
        <v>73.061999999999998</v>
      </c>
      <c r="R122">
        <f ca="1">IFERROR(IF(0=LEN(ReferenceData!$R$122),"",ReferenceData!$R$122),"")</f>
        <v>70.870999999999995</v>
      </c>
      <c r="S122">
        <f ca="1">IFERROR(IF(0=LEN(ReferenceData!$S$122),"",ReferenceData!$S$122),"")</f>
        <v>72.277000000000001</v>
      </c>
      <c r="T122">
        <f ca="1">IFERROR(IF(0=LEN(ReferenceData!$T$122),"",ReferenceData!$T$122),"")</f>
        <v>65.369</v>
      </c>
      <c r="U122">
        <f ca="1">IFERROR(IF(0=LEN(ReferenceData!$U$122),"",ReferenceData!$U$122),"")</f>
        <v>61.69</v>
      </c>
      <c r="V122">
        <f ca="1">IFERROR(IF(0=LEN(ReferenceData!$V$122),"",ReferenceData!$V$122),"")</f>
        <v>61.640999999999998</v>
      </c>
      <c r="W122">
        <f ca="1">IFERROR(IF(0=LEN(ReferenceData!$W$122),"",ReferenceData!$W$122),"")</f>
        <v>60.646000000000001</v>
      </c>
      <c r="X122">
        <f ca="1">IFERROR(IF(0=LEN(ReferenceData!$X$122),"",ReferenceData!$X$122),"")</f>
        <v>59.945999999999998</v>
      </c>
      <c r="Y122">
        <f ca="1">IFERROR(IF(0=LEN(ReferenceData!$Y$122),"",ReferenceData!$Y$122),"")</f>
        <v>54.283999999999999</v>
      </c>
      <c r="Z122">
        <f ca="1">IFERROR(IF(0=LEN(ReferenceData!$Z$122),"",ReferenceData!$Z$122),"")</f>
        <v>54.64</v>
      </c>
      <c r="AA122">
        <f ca="1">IFERROR(IF(0=LEN(ReferenceData!$AA$122),"",ReferenceData!$AA$122),"")</f>
        <v>51.012</v>
      </c>
      <c r="AB122">
        <f ca="1">IFERROR(IF(0=LEN(ReferenceData!$AB$122),"",ReferenceData!$AB$122),"")</f>
        <v>57.043999999999997</v>
      </c>
      <c r="AC122">
        <f ca="1">IFERROR(IF(0=LEN(ReferenceData!$AC$122),"",ReferenceData!$AC$122),"")</f>
        <v>43.731000000000002</v>
      </c>
      <c r="AD122">
        <f ca="1">IFERROR(IF(0=LEN(ReferenceData!$AD$122),"",ReferenceData!$AD$122),"")</f>
        <v>41.82</v>
      </c>
      <c r="AE122">
        <f ca="1">IFERROR(IF(0=LEN(ReferenceData!$AE$122),"",ReferenceData!$AE$122),"")</f>
        <v>41.037999999999997</v>
      </c>
      <c r="AF122">
        <f ca="1">IFERROR(IF(0=LEN(ReferenceData!$AF$122),"",ReferenceData!$AF$122),"")</f>
        <v>34.622999999999998</v>
      </c>
      <c r="AG122">
        <f ca="1">IFERROR(IF(0=LEN(ReferenceData!$AG$122),"",ReferenceData!$AG$122),"")</f>
        <v>32.18</v>
      </c>
      <c r="AH122">
        <f ca="1">IFERROR(IF(0=LEN(ReferenceData!$AH$122),"",ReferenceData!$AH$122),"")</f>
        <v>31.393000000000001</v>
      </c>
      <c r="AI122">
        <f ca="1">IFERROR(IF(0=LEN(ReferenceData!$AI$122),"",ReferenceData!$AI$122),"")</f>
        <v>23.99</v>
      </c>
      <c r="AJ122">
        <f ca="1">IFERROR(IF(0=LEN(ReferenceData!$AJ$122),"",ReferenceData!$AJ$122),"")</f>
        <v>29.634</v>
      </c>
      <c r="AK122">
        <f ca="1">IFERROR(IF(0=LEN(ReferenceData!$AK$122),"",ReferenceData!$AK$122),"")</f>
        <v>29.445</v>
      </c>
      <c r="AL122">
        <f ca="1">IFERROR(IF(0=LEN(ReferenceData!$AL$122),"",ReferenceData!$AL$122),"")</f>
        <v>25.259</v>
      </c>
      <c r="AM122">
        <f ca="1">IFERROR(IF(0=LEN(ReferenceData!$AM$122),"",ReferenceData!$AM$122),"")</f>
        <v>-3.5310000000000001</v>
      </c>
      <c r="AN122">
        <f ca="1">IFERROR(IF(0=LEN(ReferenceData!$AN$122),"",ReferenceData!$AN$122),"")</f>
        <v>31.401</v>
      </c>
      <c r="AO122">
        <f ca="1">IFERROR(IF(0=LEN(ReferenceData!$AO$122),"",ReferenceData!$AO$122),"")</f>
        <v>27.126000000000001</v>
      </c>
      <c r="AP122">
        <f ca="1">IFERROR(IF(0=LEN(ReferenceData!$AP$122),"",ReferenceData!$AP$122),"")</f>
        <v>34.51</v>
      </c>
      <c r="AQ122">
        <f ca="1">IFERROR(IF(0=LEN(ReferenceData!$AQ$122),"",ReferenceData!$AQ$122),"")</f>
        <v>35.963999999999999</v>
      </c>
      <c r="AR122">
        <f ca="1">IFERROR(IF(0=LEN(ReferenceData!$AR$122),"",ReferenceData!$AR$122),"")</f>
        <v>36.707000000000001</v>
      </c>
      <c r="AS122">
        <f ca="1">IFERROR(IF(0=LEN(ReferenceData!$AS$122),"",ReferenceData!$AS$122),"")</f>
        <v>36.654000000000003</v>
      </c>
      <c r="AT122">
        <f ca="1">IFERROR(IF(0=LEN(ReferenceData!$AT$122),"",ReferenceData!$AT$122),"")</f>
        <v>36.159999999999997</v>
      </c>
      <c r="AU122">
        <f ca="1">IFERROR(IF(0=LEN(ReferenceData!$AU$122),"",ReferenceData!$AU$122),"")</f>
        <v>32.15</v>
      </c>
      <c r="AV122">
        <f ca="1">IFERROR(IF(0=LEN(ReferenceData!$AV$122),"",ReferenceData!$AV$122),"")</f>
        <v>30.872</v>
      </c>
      <c r="AW122">
        <f ca="1">IFERROR(IF(0=LEN(ReferenceData!$AW$122),"",ReferenceData!$AW$122),"")</f>
        <v>31.481000900000002</v>
      </c>
      <c r="AX122">
        <f ca="1">IFERROR(IF(0=LEN(ReferenceData!$AX$122),"",ReferenceData!$AX$122),"")</f>
        <v>29.61</v>
      </c>
      <c r="AY122">
        <f ca="1">IFERROR(IF(0=LEN(ReferenceData!$AY$122),"",ReferenceData!$AY$122),"")</f>
        <v>27.07299995</v>
      </c>
      <c r="AZ122">
        <f ca="1">IFERROR(IF(0=LEN(ReferenceData!$AZ$122),"",ReferenceData!$AZ$122),"")</f>
        <v>21.917000000000002</v>
      </c>
      <c r="BA122">
        <f ca="1">IFERROR(IF(0=LEN(ReferenceData!$BA$122),"",ReferenceData!$BA$122),"")</f>
        <v>24.503999709999999</v>
      </c>
      <c r="BB122">
        <f ca="1">IFERROR(IF(0=LEN(ReferenceData!$BB$122),"",ReferenceData!$BB$122),"")</f>
        <v>23.626999999999999</v>
      </c>
      <c r="BC122">
        <f ca="1">IFERROR(IF(0=LEN(ReferenceData!$BC$122),"",ReferenceData!$BC$122),"")</f>
        <v>60.428001399999999</v>
      </c>
      <c r="BD122">
        <f ca="1">IFERROR(IF(0=LEN(ReferenceData!$BD$122),"",ReferenceData!$BD$122),"")</f>
        <v>21.375</v>
      </c>
      <c r="BE122">
        <f ca="1">IFERROR(IF(0=LEN(ReferenceData!$BE$122),"",ReferenceData!$BE$122),"")</f>
        <v>-19.596000669999999</v>
      </c>
      <c r="BF122">
        <f ca="1">IFERROR(IF(0=LEN(ReferenceData!$BF$122),"",ReferenceData!$BF$122),"")</f>
        <v>19.596</v>
      </c>
      <c r="BG122">
        <f ca="1">IFERROR(IF(0=LEN(ReferenceData!$BG$122),"",ReferenceData!$BG$122),"")</f>
        <v>20.76</v>
      </c>
      <c r="BH122">
        <f ca="1">IFERROR(IF(0=LEN(ReferenceData!$BH$122),"",ReferenceData!$BH$122),"")</f>
        <v>0</v>
      </c>
      <c r="BI122" t="str">
        <f ca="1">IFERROR(IF(0=LEN(ReferenceData!$BI$122),"",ReferenceData!$BI$122),"")</f>
        <v/>
      </c>
      <c r="BJ122" t="str">
        <f ca="1">IFERROR(IF(0=LEN(ReferenceData!$BJ$122),"",ReferenceData!$BJ$122),"")</f>
        <v/>
      </c>
      <c r="BK122">
        <f ca="1">IFERROR(IF(0=LEN(ReferenceData!$BK$122),"",ReferenceData!$BK$122),"")</f>
        <v>64.162000000000006</v>
      </c>
      <c r="BL122" t="str">
        <f ca="1">IFERROR(IF(0=LEN(ReferenceData!$BL$122),"",ReferenceData!$BL$122),"")</f>
        <v/>
      </c>
      <c r="BM122" t="str">
        <f ca="1">IFERROR(IF(0=LEN(ReferenceData!$BM$122),"",ReferenceData!$BM$122),"")</f>
        <v/>
      </c>
    </row>
    <row r="123" spans="1:65">
      <c r="A123" t="str">
        <f>IFERROR(IF(0=LEN(ReferenceData!$A$123),"",ReferenceData!$A$123),"")</f>
        <v xml:space="preserve">    Realty Income Corp</v>
      </c>
      <c r="B123" t="str">
        <f>IFERROR(IF(0=LEN(ReferenceData!$B$123),"",ReferenceData!$B$123),"")</f>
        <v>O US Equity</v>
      </c>
      <c r="C123" t="str">
        <f>IFERROR(IF(0=LEN(ReferenceData!$C$123),"",ReferenceData!$C$123),"")</f>
        <v>CF039</v>
      </c>
      <c r="D123" t="str">
        <f>IFERROR(IF(0=LEN(ReferenceData!$D$123),"",ReferenceData!$D$123),"")</f>
        <v>CF_FFO</v>
      </c>
      <c r="E123" t="str">
        <f>IFERROR(IF(0=LEN(ReferenceData!$E$123),"",ReferenceData!$E$123),"")</f>
        <v>动态</v>
      </c>
      <c r="F123" t="str">
        <f ca="1">IFERROR(IF(0=LEN(ReferenceData!$F$123),"",ReferenceData!$F$123),"")</f>
        <v/>
      </c>
      <c r="G123">
        <f ca="1">IFERROR(IF(0=LEN(ReferenceData!$G$123),"",ReferenceData!$G$123),"")</f>
        <v>170.988</v>
      </c>
      <c r="H123">
        <f ca="1">IFERROR(IF(0=LEN(ReferenceData!$H$123),"",ReferenceData!$H$123),"")</f>
        <v>211.19200000000001</v>
      </c>
      <c r="I123">
        <f ca="1">IFERROR(IF(0=LEN(ReferenceData!$I$123),"",ReferenceData!$I$123),"")</f>
        <v>203.27199999999999</v>
      </c>
      <c r="J123">
        <f ca="1">IFERROR(IF(0=LEN(ReferenceData!$J$123),"",ReferenceData!$J$123),"")</f>
        <v>187.21299999999999</v>
      </c>
      <c r="K123">
        <f ca="1">IFERROR(IF(0=LEN(ReferenceData!$K$123),"",ReferenceData!$K$123),"")</f>
        <v>199.833</v>
      </c>
      <c r="L123">
        <f ca="1">IFERROR(IF(0=LEN(ReferenceData!$L$123),"",ReferenceData!$L$123),"")</f>
        <v>188.286</v>
      </c>
      <c r="M123">
        <f ca="1">IFERROR(IF(0=LEN(ReferenceData!$M$123),"",ReferenceData!$M$123),"")</f>
        <v>176.648</v>
      </c>
      <c r="N123">
        <f ca="1">IFERROR(IF(0=LEN(ReferenceData!$N$123),"",ReferenceData!$N$123),"")</f>
        <v>170.62899999999999</v>
      </c>
      <c r="O123">
        <f ca="1">IFERROR(IF(0=LEN(ReferenceData!$O$123),"",ReferenceData!$O$123),"")</f>
        <v>177.90799999999999</v>
      </c>
      <c r="P123">
        <f ca="1">IFERROR(IF(0=LEN(ReferenceData!$P$123),"",ReferenceData!$P$123),"")</f>
        <v>162.16</v>
      </c>
      <c r="Q123">
        <f ca="1">IFERROR(IF(0=LEN(ReferenceData!$Q$123),"",ReferenceData!$Q$123),"")</f>
        <v>159.47</v>
      </c>
      <c r="R123">
        <f ca="1">IFERROR(IF(0=LEN(ReferenceData!$R$123),"",ReferenceData!$R$123),"")</f>
        <v>152.9</v>
      </c>
      <c r="S123">
        <f ca="1">IFERROR(IF(0=LEN(ReferenceData!$S$123),"",ReferenceData!$S$123),"")</f>
        <v>143.70599999999999</v>
      </c>
      <c r="T123">
        <f ca="1">IFERROR(IF(0=LEN(ReferenceData!$T$123),"",ReferenceData!$T$123),"")</f>
        <v>142.25899999999999</v>
      </c>
      <c r="U123">
        <f ca="1">IFERROR(IF(0=LEN(ReferenceData!$U$123),"",ReferenceData!$U$123),"")</f>
        <v>142.40899999999999</v>
      </c>
      <c r="V123">
        <f ca="1">IFERROR(IF(0=LEN(ReferenceData!$V$123),"",ReferenceData!$V$123),"")</f>
        <v>134.52000000000001</v>
      </c>
      <c r="W123">
        <f ca="1">IFERROR(IF(0=LEN(ReferenceData!$W$123),"",ReferenceData!$W$123),"")</f>
        <v>124.63</v>
      </c>
      <c r="X123">
        <f ca="1">IFERROR(IF(0=LEN(ReferenceData!$X$123),"",ReferenceData!$X$123),"")</f>
        <v>116.146</v>
      </c>
      <c r="Y123">
        <f ca="1">IFERROR(IF(0=LEN(ReferenceData!$Y$123),"",ReferenceData!$Y$123),"")</f>
        <v>117.565</v>
      </c>
      <c r="Z123">
        <f ca="1">IFERROR(IF(0=LEN(ReferenceData!$Z$123),"",ReferenceData!$Z$123),"")</f>
        <v>103.688</v>
      </c>
      <c r="AA123">
        <f ca="1">IFERROR(IF(0=LEN(ReferenceData!$AA$123),"",ReferenceData!$AA$123),"")</f>
        <v>71.578999999999994</v>
      </c>
      <c r="AB123">
        <f ca="1">IFERROR(IF(0=LEN(ReferenceData!$AB$123),"",ReferenceData!$AB$123),"")</f>
        <v>63.42</v>
      </c>
      <c r="AC123">
        <f ca="1">IFERROR(IF(0=LEN(ReferenceData!$AC$123),"",ReferenceData!$AC$123),"")</f>
        <v>65.167000000000002</v>
      </c>
      <c r="AD123">
        <f ca="1">IFERROR(IF(0=LEN(ReferenceData!$AD$123),"",ReferenceData!$AD$123),"")</f>
        <v>60.695</v>
      </c>
      <c r="AE123">
        <f ca="1">IFERROR(IF(0=LEN(ReferenceData!$AE$123),"",ReferenceData!$AE$123),"")</f>
        <v>68.076999999999998</v>
      </c>
      <c r="AF123">
        <f ca="1">IFERROR(IF(0=LEN(ReferenceData!$AF$123),"",ReferenceData!$AF$123),"")</f>
        <v>63.573999999999998</v>
      </c>
      <c r="AG123">
        <f ca="1">IFERROR(IF(0=LEN(ReferenceData!$AG$123),"",ReferenceData!$AG$123),"")</f>
        <v>60.944000000000003</v>
      </c>
      <c r="AH123">
        <f ca="1">IFERROR(IF(0=LEN(ReferenceData!$AH$123),"",ReferenceData!$AH$123),"")</f>
        <v>56.798000000000002</v>
      </c>
      <c r="AI123">
        <f ca="1">IFERROR(IF(0=LEN(ReferenceData!$AI$123),"",ReferenceData!$AI$123),"")</f>
        <v>52.509</v>
      </c>
      <c r="AJ123">
        <f ca="1">IFERROR(IF(0=LEN(ReferenceData!$AJ$123),"",ReferenceData!$AJ$123),"")</f>
        <v>47.804000000000002</v>
      </c>
      <c r="AK123">
        <f ca="1">IFERROR(IF(0=LEN(ReferenceData!$AK$123),"",ReferenceData!$AK$123),"")</f>
        <v>46.790999999999997</v>
      </c>
      <c r="AL123">
        <f ca="1">IFERROR(IF(0=LEN(ReferenceData!$AL$123),"",ReferenceData!$AL$123),"")</f>
        <v>46.652000000000001</v>
      </c>
      <c r="AM123">
        <f ca="1">IFERROR(IF(0=LEN(ReferenceData!$AM$123),"",ReferenceData!$AM$123),"")</f>
        <v>48.375</v>
      </c>
      <c r="AN123">
        <f ca="1">IFERROR(IF(0=LEN(ReferenceData!$AN$123),"",ReferenceData!$AN$123),"")</f>
        <v>48.154000000000003</v>
      </c>
      <c r="AO123">
        <f ca="1">IFERROR(IF(0=LEN(ReferenceData!$AO$123),"",ReferenceData!$AO$123),"")</f>
        <v>47.18</v>
      </c>
      <c r="AP123">
        <f ca="1">IFERROR(IF(0=LEN(ReferenceData!$AP$123),"",ReferenceData!$AP$123),"")</f>
        <v>46.734000000000002</v>
      </c>
      <c r="AQ123">
        <f ca="1">IFERROR(IF(0=LEN(ReferenceData!$AQ$123),"",ReferenceData!$AQ$123),"")</f>
        <v>47.027000000000001</v>
      </c>
      <c r="AR123">
        <f ca="1">IFERROR(IF(0=LEN(ReferenceData!$AR$123),"",ReferenceData!$AR$123),"")</f>
        <v>45.747999999999998</v>
      </c>
      <c r="AS123">
        <f ca="1">IFERROR(IF(0=LEN(ReferenceData!$AS$123),"",ReferenceData!$AS$123),"")</f>
        <v>46.811999999999998</v>
      </c>
      <c r="AT123">
        <f ca="1">IFERROR(IF(0=LEN(ReferenceData!$AT$123),"",ReferenceData!$AT$123),"")</f>
        <v>45.936999999999998</v>
      </c>
      <c r="AU123">
        <f ca="1">IFERROR(IF(0=LEN(ReferenceData!$AU$123),"",ReferenceData!$AU$123),"")</f>
        <v>47.75</v>
      </c>
      <c r="AV123">
        <f ca="1">IFERROR(IF(0=LEN(ReferenceData!$AV$123),"",ReferenceData!$AV$123),"")</f>
        <v>46.625</v>
      </c>
      <c r="AW123">
        <f ca="1">IFERROR(IF(0=LEN(ReferenceData!$AW$123),"",ReferenceData!$AW$123),"")</f>
        <v>48.759998320000001</v>
      </c>
      <c r="AX123">
        <f ca="1">IFERROR(IF(0=LEN(ReferenceData!$AX$123),"",ReferenceData!$AX$123),"")</f>
        <v>46.539000000000001</v>
      </c>
      <c r="AY123">
        <f ca="1">IFERROR(IF(0=LEN(ReferenceData!$AY$123),"",ReferenceData!$AY$123),"")</f>
        <v>44.901000000000003</v>
      </c>
      <c r="AZ123">
        <f ca="1">IFERROR(IF(0=LEN(ReferenceData!$AZ$123),"",ReferenceData!$AZ$123),"")</f>
        <v>37.975999999999999</v>
      </c>
      <c r="BA123">
        <f ca="1">IFERROR(IF(0=LEN(ReferenceData!$BA$123),"",ReferenceData!$BA$123),"")</f>
        <v>37.622001650000001</v>
      </c>
      <c r="BB123">
        <f ca="1">IFERROR(IF(0=LEN(ReferenceData!$BB$123),"",ReferenceData!$BB$123),"")</f>
        <v>35.299999999999997</v>
      </c>
      <c r="BC123">
        <f ca="1">IFERROR(IF(0=LEN(ReferenceData!$BC$123),"",ReferenceData!$BC$123),"")</f>
        <v>35.863</v>
      </c>
      <c r="BD123">
        <f ca="1">IFERROR(IF(0=LEN(ReferenceData!$BD$123),"",ReferenceData!$BD$123),"")</f>
        <v>31.747999190000002</v>
      </c>
      <c r="BE123">
        <f ca="1">IFERROR(IF(0=LEN(ReferenceData!$BE$123),"",ReferenceData!$BE$123),"")</f>
        <v>30.874000550000002</v>
      </c>
      <c r="BF123">
        <f ca="1">IFERROR(IF(0=LEN(ReferenceData!$BF$123),"",ReferenceData!$BF$123),"")</f>
        <v>31.16200066</v>
      </c>
      <c r="BG123">
        <f ca="1">IFERROR(IF(0=LEN(ReferenceData!$BG$123),"",ReferenceData!$BG$123),"")</f>
        <v>28.52</v>
      </c>
      <c r="BH123">
        <f ca="1">IFERROR(IF(0=LEN(ReferenceData!$BH$123),"",ReferenceData!$BH$123),"")</f>
        <v>29.478000000000002</v>
      </c>
      <c r="BI123">
        <f ca="1">IFERROR(IF(0=LEN(ReferenceData!$BI$123),"",ReferenceData!$BI$123),"")</f>
        <v>60.180999999999997</v>
      </c>
      <c r="BJ123">
        <f ca="1">IFERROR(IF(0=LEN(ReferenceData!$BJ$123),"",ReferenceData!$BJ$123),"")</f>
        <v>30.760000229999999</v>
      </c>
      <c r="BK123">
        <f ca="1">IFERROR(IF(0=LEN(ReferenceData!$BK$123),"",ReferenceData!$BK$123),"")</f>
        <v>31.545000080000001</v>
      </c>
      <c r="BL123">
        <f ca="1">IFERROR(IF(0=LEN(ReferenceData!$BL$123),"",ReferenceData!$BL$123),"")</f>
        <v>25.08799934</v>
      </c>
      <c r="BM123">
        <f ca="1">IFERROR(IF(0=LEN(ReferenceData!$BM$123),"",ReferenceData!$BM$123),"")</f>
        <v>23.902999879999999</v>
      </c>
    </row>
    <row r="124" spans="1:65">
      <c r="A124" t="str">
        <f>IFERROR(IF(0=LEN(ReferenceData!$A$124),"",ReferenceData!$A$124),"")</f>
        <v xml:space="preserve">    Regency Centers Corp</v>
      </c>
      <c r="B124" t="str">
        <f>IFERROR(IF(0=LEN(ReferenceData!$B$124),"",ReferenceData!$B$124),"")</f>
        <v>REG US Equity</v>
      </c>
      <c r="C124" t="str">
        <f>IFERROR(IF(0=LEN(ReferenceData!$C$124),"",ReferenceData!$C$124),"")</f>
        <v>CF039</v>
      </c>
      <c r="D124" t="str">
        <f>IFERROR(IF(0=LEN(ReferenceData!$D$124),"",ReferenceData!$D$124),"")</f>
        <v>CF_FFO</v>
      </c>
      <c r="E124" t="str">
        <f>IFERROR(IF(0=LEN(ReferenceData!$E$124),"",ReferenceData!$E$124),"")</f>
        <v>动态</v>
      </c>
      <c r="F124" t="str">
        <f ca="1">IFERROR(IF(0=LEN(ReferenceData!$F$124),"",ReferenceData!$F$124),"")</f>
        <v/>
      </c>
      <c r="G124">
        <f ca="1">IFERROR(IF(0=LEN(ReferenceData!$G$124),"",ReferenceData!$G$124),"")</f>
        <v>161.357</v>
      </c>
      <c r="H124">
        <f ca="1">IFERROR(IF(0=LEN(ReferenceData!$H$124),"",ReferenceData!$H$124),"")</f>
        <v>155.733</v>
      </c>
      <c r="I124">
        <f ca="1">IFERROR(IF(0=LEN(ReferenceData!$I$124),"",ReferenceData!$I$124),"")</f>
        <v>143.56200000000001</v>
      </c>
      <c r="J124">
        <f ca="1">IFERROR(IF(0=LEN(ReferenceData!$J$124),"",ReferenceData!$J$124),"")</f>
        <v>34.191000000000003</v>
      </c>
      <c r="K124">
        <f ca="1">IFERROR(IF(0=LEN(ReferenceData!$K$124),"",ReferenceData!$K$124),"")</f>
        <v>83.128</v>
      </c>
      <c r="L124">
        <f ca="1">IFERROR(IF(0=LEN(ReferenceData!$L$124),"",ReferenceData!$L$124),"")</f>
        <v>30.081</v>
      </c>
      <c r="M124">
        <f ca="1">IFERROR(IF(0=LEN(ReferenceData!$M$124),"",ReferenceData!$M$124),"")</f>
        <v>79.695999999999998</v>
      </c>
      <c r="N124">
        <f ca="1">IFERROR(IF(0=LEN(ReferenceData!$N$124),"",ReferenceData!$N$124),"")</f>
        <v>84.396000000000001</v>
      </c>
      <c r="O124">
        <f ca="1">IFERROR(IF(0=LEN(ReferenceData!$O$124),"",ReferenceData!$O$124),"")</f>
        <v>64.216999999999999</v>
      </c>
      <c r="P124">
        <f ca="1">IFERROR(IF(0=LEN(ReferenceData!$P$124),"",ReferenceData!$P$124),"")</f>
        <v>71.625</v>
      </c>
      <c r="Q124">
        <f ca="1">IFERROR(IF(0=LEN(ReferenceData!$Q$124),"",ReferenceData!$Q$124),"")</f>
        <v>71.042000000000002</v>
      </c>
      <c r="R124">
        <f ca="1">IFERROR(IF(0=LEN(ReferenceData!$R$124),"",ReferenceData!$R$124),"")</f>
        <v>69.631</v>
      </c>
      <c r="S124">
        <f ca="1">IFERROR(IF(0=LEN(ReferenceData!$S$124),"",ReferenceData!$S$124),"")</f>
        <v>72.915999999999997</v>
      </c>
      <c r="T124">
        <f ca="1">IFERROR(IF(0=LEN(ReferenceData!$T$124),"",ReferenceData!$T$124),"")</f>
        <v>64.715000000000003</v>
      </c>
      <c r="U124">
        <f ca="1">IFERROR(IF(0=LEN(ReferenceData!$U$124),"",ReferenceData!$U$124),"")</f>
        <v>65.739000000000004</v>
      </c>
      <c r="V124">
        <f ca="1">IFERROR(IF(0=LEN(ReferenceData!$V$124),"",ReferenceData!$V$124),"")</f>
        <v>65.275000000000006</v>
      </c>
      <c r="W124">
        <f ca="1">IFERROR(IF(0=LEN(ReferenceData!$W$124),"",ReferenceData!$W$124),"")</f>
        <v>60.109000000000002</v>
      </c>
      <c r="X124">
        <f ca="1">IFERROR(IF(0=LEN(ReferenceData!$X$124),"",ReferenceData!$X$124),"")</f>
        <v>60.277000000000001</v>
      </c>
      <c r="Y124">
        <f ca="1">IFERROR(IF(0=LEN(ReferenceData!$Y$124),"",ReferenceData!$Y$124),"")</f>
        <v>62.122</v>
      </c>
      <c r="Z124">
        <f ca="1">IFERROR(IF(0=LEN(ReferenceData!$Z$124),"",ReferenceData!$Z$124),"")</f>
        <v>57.686</v>
      </c>
      <c r="AA124">
        <f ca="1">IFERROR(IF(0=LEN(ReferenceData!$AA$124),"",ReferenceData!$AA$124),"")</f>
        <v>58.825000000000003</v>
      </c>
      <c r="AB124">
        <f ca="1">IFERROR(IF(0=LEN(ReferenceData!$AB$124),"",ReferenceData!$AB$124),"")</f>
        <v>51.965000000000003</v>
      </c>
      <c r="AC124">
        <f ca="1">IFERROR(IF(0=LEN(ReferenceData!$AC$124),"",ReferenceData!$AC$124),"")</f>
        <v>61.101999999999997</v>
      </c>
      <c r="AD124">
        <f ca="1">IFERROR(IF(0=LEN(ReferenceData!$AD$124),"",ReferenceData!$AD$124),"")</f>
        <v>49.688000000000002</v>
      </c>
      <c r="AE124">
        <f ca="1">IFERROR(IF(0=LEN(ReferenceData!$AE$124),"",ReferenceData!$AE$124),"")</f>
        <v>56.536105999999997</v>
      </c>
      <c r="AF124">
        <f ca="1">IFERROR(IF(0=LEN(ReferenceData!$AF$124),"",ReferenceData!$AF$124),"")</f>
        <v>55.84648</v>
      </c>
      <c r="AG124">
        <f ca="1">IFERROR(IF(0=LEN(ReferenceData!$AG$124),"",ReferenceData!$AG$124),"")</f>
        <v>54.855262000000003</v>
      </c>
      <c r="AH124">
        <f ca="1">IFERROR(IF(0=LEN(ReferenceData!$AH$124),"",ReferenceData!$AH$124),"")</f>
        <v>52.475999999999999</v>
      </c>
      <c r="AI124">
        <f ca="1">IFERROR(IF(0=LEN(ReferenceData!$AI$124),"",ReferenceData!$AI$124),"")</f>
        <v>41.967036999999998</v>
      </c>
      <c r="AJ124">
        <f ca="1">IFERROR(IF(0=LEN(ReferenceData!$AJ$124),"",ReferenceData!$AJ$124),"")</f>
        <v>51.662439999999997</v>
      </c>
      <c r="AK124">
        <f ca="1">IFERROR(IF(0=LEN(ReferenceData!$AK$124),"",ReferenceData!$AK$124),"")</f>
        <v>48.370240000000003</v>
      </c>
      <c r="AL124">
        <f ca="1">IFERROR(IF(0=LEN(ReferenceData!$AL$124),"",ReferenceData!$AL$124),"")</f>
        <v>48.415830999999997</v>
      </c>
      <c r="AM124">
        <f ca="1">IFERROR(IF(0=LEN(ReferenceData!$AM$124),"",ReferenceData!$AM$124),"")</f>
        <v>57.829718999999997</v>
      </c>
      <c r="AN124">
        <f ca="1">IFERROR(IF(0=LEN(ReferenceData!$AN$124),"",ReferenceData!$AN$124),"")</f>
        <v>-46.528553000000002</v>
      </c>
      <c r="AO124">
        <f ca="1">IFERROR(IF(0=LEN(ReferenceData!$AO$124),"",ReferenceData!$AO$124),"")</f>
        <v>19.190085</v>
      </c>
      <c r="AP124">
        <f ca="1">IFERROR(IF(0=LEN(ReferenceData!$AP$124),"",ReferenceData!$AP$124),"")</f>
        <v>54.980885000000001</v>
      </c>
      <c r="AQ124">
        <f ca="1">IFERROR(IF(0=LEN(ReferenceData!$AQ$124),"",ReferenceData!$AQ$124),"")</f>
        <v>50.614372000000003</v>
      </c>
      <c r="AR124">
        <f ca="1">IFERROR(IF(0=LEN(ReferenceData!$AR$124),"",ReferenceData!$AR$124),"")</f>
        <v>83.263104999999996</v>
      </c>
      <c r="AS124">
        <f ca="1">IFERROR(IF(0=LEN(ReferenceData!$AS$124),"",ReferenceData!$AS$124),"")</f>
        <v>67.941355000000001</v>
      </c>
      <c r="AT124">
        <f ca="1">IFERROR(IF(0=LEN(ReferenceData!$AT$124),"",ReferenceData!$AT$124),"")</f>
        <v>60.764384999999997</v>
      </c>
      <c r="AU124">
        <f ca="1">IFERROR(IF(0=LEN(ReferenceData!$AU$124),"",ReferenceData!$AU$124),"")</f>
        <v>81.009023999999997</v>
      </c>
      <c r="AV124">
        <f ca="1">IFERROR(IF(0=LEN(ReferenceData!$AV$124),"",ReferenceData!$AV$124),"")</f>
        <v>67.508081000000004</v>
      </c>
      <c r="AW124">
        <f ca="1">IFERROR(IF(0=LEN(ReferenceData!$AW$124),"",ReferenceData!$AW$124),"")</f>
        <v>65.502374000000003</v>
      </c>
      <c r="AX124">
        <f ca="1">IFERROR(IF(0=LEN(ReferenceData!$AX$124),"",ReferenceData!$AX$124),"")</f>
        <v>78.844945999999993</v>
      </c>
      <c r="AY124">
        <f ca="1">IFERROR(IF(0=LEN(ReferenceData!$AY$124),"",ReferenceData!$AY$124),"")</f>
        <v>76.849205999999995</v>
      </c>
      <c r="AZ124">
        <f ca="1">IFERROR(IF(0=LEN(ReferenceData!$AZ$124),"",ReferenceData!$AZ$124),"")</f>
        <v>69.241491999999994</v>
      </c>
      <c r="BA124">
        <f ca="1">IFERROR(IF(0=LEN(ReferenceData!$BA$124),"",ReferenceData!$BA$124),"")</f>
        <v>64.379822000000004</v>
      </c>
      <c r="BB124">
        <f ca="1">IFERROR(IF(0=LEN(ReferenceData!$BB$124),"",ReferenceData!$BB$124),"")</f>
        <v>58.455013999999998</v>
      </c>
      <c r="BC124">
        <f ca="1">IFERROR(IF(0=LEN(ReferenceData!$BC$124),"",ReferenceData!$BC$124),"")</f>
        <v>64.909346999999997</v>
      </c>
      <c r="BD124">
        <f ca="1">IFERROR(IF(0=LEN(ReferenceData!$BD$124),"",ReferenceData!$BD$124),"")</f>
        <v>54.173825000000001</v>
      </c>
      <c r="BE124">
        <f ca="1">IFERROR(IF(0=LEN(ReferenceData!$BE$124),"",ReferenceData!$BE$124),"")</f>
        <v>66.05</v>
      </c>
      <c r="BF124">
        <f ca="1">IFERROR(IF(0=LEN(ReferenceData!$BF$124),"",ReferenceData!$BF$124),"")</f>
        <v>57.276828000000002</v>
      </c>
      <c r="BG124">
        <f ca="1">IFERROR(IF(0=LEN(ReferenceData!$BG$124),"",ReferenceData!$BG$124),"")</f>
        <v>61.085000000000001</v>
      </c>
      <c r="BH124">
        <f ca="1">IFERROR(IF(0=LEN(ReferenceData!$BH$124),"",ReferenceData!$BH$124),"")</f>
        <v>51.261507999999999</v>
      </c>
      <c r="BI124">
        <f ca="1">IFERROR(IF(0=LEN(ReferenceData!$BI$124),"",ReferenceData!$BI$124),"")</f>
        <v>46.652000000000001</v>
      </c>
      <c r="BJ124">
        <f ca="1">IFERROR(IF(0=LEN(ReferenceData!$BJ$124),"",ReferenceData!$BJ$124),"")</f>
        <v>41.874001</v>
      </c>
      <c r="BK124">
        <f ca="1">IFERROR(IF(0=LEN(ReferenceData!$BK$124),"",ReferenceData!$BK$124),"")</f>
        <v>55.890998840000002</v>
      </c>
      <c r="BL124">
        <f ca="1">IFERROR(IF(0=LEN(ReferenceData!$BL$124),"",ReferenceData!$BL$124),"")</f>
        <v>46.220001000000003</v>
      </c>
      <c r="BM124">
        <f ca="1">IFERROR(IF(0=LEN(ReferenceData!$BM$124),"",ReferenceData!$BM$124),"")</f>
        <v>41.308998000000003</v>
      </c>
    </row>
    <row r="125" spans="1:65">
      <c r="A125" t="str">
        <f>IFERROR(IF(0=LEN(ReferenceData!$A$125),"",ReferenceData!$A$125),"")</f>
        <v xml:space="preserve">    Retail Opportunity Investments</v>
      </c>
      <c r="B125" t="str">
        <f>IFERROR(IF(0=LEN(ReferenceData!$B$125),"",ReferenceData!$B$125),"")</f>
        <v>ROIC US Equity</v>
      </c>
      <c r="C125" t="str">
        <f>IFERROR(IF(0=LEN(ReferenceData!$C$125),"",ReferenceData!$C$125),"")</f>
        <v>CF039</v>
      </c>
      <c r="D125" t="str">
        <f>IFERROR(IF(0=LEN(ReferenceData!$D$125),"",ReferenceData!$D$125),"")</f>
        <v>CF_FFO</v>
      </c>
      <c r="E125" t="str">
        <f>IFERROR(IF(0=LEN(ReferenceData!$E$125),"",ReferenceData!$E$125),"")</f>
        <v>动态</v>
      </c>
      <c r="F125" t="str">
        <f ca="1">IFERROR(IF(0=LEN(ReferenceData!$F$125),"",ReferenceData!$F$125),"")</f>
        <v/>
      </c>
      <c r="G125">
        <f ca="1">IFERROR(IF(0=LEN(ReferenceData!$G$125),"",ReferenceData!$G$125),"")</f>
        <v>37.039000000000001</v>
      </c>
      <c r="H125">
        <f ca="1">IFERROR(IF(0=LEN(ReferenceData!$H$125),"",ReferenceData!$H$125),"")</f>
        <v>34.753999999999998</v>
      </c>
      <c r="I125">
        <f ca="1">IFERROR(IF(0=LEN(ReferenceData!$I$125),"",ReferenceData!$I$125),"")</f>
        <v>32.841999999999999</v>
      </c>
      <c r="J125">
        <f ca="1">IFERROR(IF(0=LEN(ReferenceData!$J$125),"",ReferenceData!$J$125),"")</f>
        <v>34.308999999999997</v>
      </c>
      <c r="K125">
        <f ca="1">IFERROR(IF(0=LEN(ReferenceData!$K$125),"",ReferenceData!$K$125),"")</f>
        <v>33.155000000000001</v>
      </c>
      <c r="L125">
        <f ca="1">IFERROR(IF(0=LEN(ReferenceData!$L$125),"",ReferenceData!$L$125),"")</f>
        <v>31.317</v>
      </c>
      <c r="M125">
        <f ca="1">IFERROR(IF(0=LEN(ReferenceData!$M$125),"",ReferenceData!$M$125),"")</f>
        <v>30.459</v>
      </c>
      <c r="N125">
        <f ca="1">IFERROR(IF(0=LEN(ReferenceData!$N$125),"",ReferenceData!$N$125),"")</f>
        <v>29.858000000000001</v>
      </c>
      <c r="O125">
        <f ca="1">IFERROR(IF(0=LEN(ReferenceData!$O$125),"",ReferenceData!$O$125),"")</f>
        <v>25.858000000000001</v>
      </c>
      <c r="P125">
        <f ca="1">IFERROR(IF(0=LEN(ReferenceData!$P$125),"",ReferenceData!$P$125),"")</f>
        <v>25.896000000000001</v>
      </c>
      <c r="Q125">
        <f ca="1">IFERROR(IF(0=LEN(ReferenceData!$Q$125),"",ReferenceData!$Q$125),"")</f>
        <v>22.285</v>
      </c>
      <c r="R125">
        <f ca="1">IFERROR(IF(0=LEN(ReferenceData!$R$125),"",ReferenceData!$R$125),"")</f>
        <v>22.01</v>
      </c>
      <c r="S125">
        <f ca="1">IFERROR(IF(0=LEN(ReferenceData!$S$125),"",ReferenceData!$S$125),"")</f>
        <v>20.200354000000001</v>
      </c>
      <c r="T125">
        <f ca="1">IFERROR(IF(0=LEN(ReferenceData!$T$125),"",ReferenceData!$T$125),"")</f>
        <v>20.795477000000002</v>
      </c>
      <c r="U125">
        <f ca="1">IFERROR(IF(0=LEN(ReferenceData!$U$125),"",ReferenceData!$U$125),"")</f>
        <v>16.989509999999999</v>
      </c>
      <c r="V125">
        <f ca="1">IFERROR(IF(0=LEN(ReferenceData!$V$125),"",ReferenceData!$V$125),"")</f>
        <v>16.495750999999998</v>
      </c>
      <c r="W125">
        <f ca="1">IFERROR(IF(0=LEN(ReferenceData!$W$125),"",ReferenceData!$W$125),"")</f>
        <v>16.375109999999999</v>
      </c>
      <c r="X125">
        <f ca="1">IFERROR(IF(0=LEN(ReferenceData!$X$125),"",ReferenceData!$X$125),"")</f>
        <v>35.372042999999998</v>
      </c>
      <c r="Y125">
        <f ca="1">IFERROR(IF(0=LEN(ReferenceData!$Y$125),"",ReferenceData!$Y$125),"")</f>
        <v>12.714501</v>
      </c>
      <c r="Z125">
        <f ca="1">IFERROR(IF(0=LEN(ReferenceData!$Z$125),"",ReferenceData!$Z$125),"")</f>
        <v>11.523092</v>
      </c>
      <c r="AA125">
        <f ca="1">IFERROR(IF(0=LEN(ReferenceData!$AA$125),"",ReferenceData!$AA$125),"")</f>
        <v>8.5078379999999996</v>
      </c>
      <c r="AB125">
        <f ca="1">IFERROR(IF(0=LEN(ReferenceData!$AB$125),"",ReferenceData!$AB$125),"")</f>
        <v>10.20261</v>
      </c>
      <c r="AC125">
        <f ca="1">IFERROR(IF(0=LEN(ReferenceData!$AC$125),"",ReferenceData!$AC$125),"")</f>
        <v>12.048266</v>
      </c>
      <c r="AD125">
        <f ca="1">IFERROR(IF(0=LEN(ReferenceData!$AD$125),"",ReferenceData!$AD$125),"")</f>
        <v>8.3834870000000006</v>
      </c>
      <c r="AE125">
        <f ca="1">IFERROR(IF(0=LEN(ReferenceData!$AE$125),"",ReferenceData!$AE$125),"")</f>
        <v>7.4774159999999998</v>
      </c>
      <c r="AF125">
        <f ca="1">IFERROR(IF(0=LEN(ReferenceData!$AF$125),"",ReferenceData!$AF$125),"")</f>
        <v>9.0163589999999996</v>
      </c>
      <c r="AG125">
        <f ca="1">IFERROR(IF(0=LEN(ReferenceData!$AG$125),"",ReferenceData!$AG$125),"")</f>
        <v>5.6767110000000001</v>
      </c>
      <c r="AH125">
        <f ca="1">IFERROR(IF(0=LEN(ReferenceData!$AH$125),"",ReferenceData!$AH$125),"")</f>
        <v>10.871238999999999</v>
      </c>
      <c r="AI125">
        <f ca="1">IFERROR(IF(0=LEN(ReferenceData!$AI$125),"",ReferenceData!$AI$125),"")</f>
        <v>5.6170580000000001</v>
      </c>
      <c r="AJ125">
        <f ca="1">IFERROR(IF(0=LEN(ReferenceData!$AJ$125),"",ReferenceData!$AJ$125),"")</f>
        <v>1.5354559999999999</v>
      </c>
      <c r="AK125">
        <f ca="1">IFERROR(IF(0=LEN(ReferenceData!$AK$125),"",ReferenceData!$AK$125),"")</f>
        <v>-0.25162099999999998</v>
      </c>
      <c r="AL125">
        <f ca="1">IFERROR(IF(0=LEN(ReferenceData!$AL$125),"",ReferenceData!$AL$125),"")</f>
        <v>-1.197425</v>
      </c>
      <c r="AM125" t="str">
        <f ca="1">IFERROR(IF(0=LEN(ReferenceData!$AM$125),"",ReferenceData!$AM$125),"")</f>
        <v/>
      </c>
      <c r="AN125" t="str">
        <f ca="1">IFERROR(IF(0=LEN(ReferenceData!$AN$125),"",ReferenceData!$AN$125),"")</f>
        <v/>
      </c>
      <c r="AO125" t="str">
        <f ca="1">IFERROR(IF(0=LEN(ReferenceData!$AO$125),"",ReferenceData!$AO$125),"")</f>
        <v/>
      </c>
      <c r="AP125" t="str">
        <f ca="1">IFERROR(IF(0=LEN(ReferenceData!$AP$125),"",ReferenceData!$AP$125),"")</f>
        <v/>
      </c>
      <c r="AQ125" t="str">
        <f ca="1">IFERROR(IF(0=LEN(ReferenceData!$AQ$125),"",ReferenceData!$AQ$125),"")</f>
        <v/>
      </c>
      <c r="AR125" t="str">
        <f ca="1">IFERROR(IF(0=LEN(ReferenceData!$AR$125),"",ReferenceData!$AR$125),"")</f>
        <v/>
      </c>
      <c r="AS125" t="str">
        <f ca="1">IFERROR(IF(0=LEN(ReferenceData!$AS$125),"",ReferenceData!$AS$125),"")</f>
        <v/>
      </c>
      <c r="AT125" t="str">
        <f ca="1">IFERROR(IF(0=LEN(ReferenceData!$AT$125),"",ReferenceData!$AT$125),"")</f>
        <v/>
      </c>
      <c r="AU125" t="str">
        <f ca="1">IFERROR(IF(0=LEN(ReferenceData!$AU$125),"",ReferenceData!$AU$125),"")</f>
        <v/>
      </c>
      <c r="AV125" t="str">
        <f ca="1">IFERROR(IF(0=LEN(ReferenceData!$AV$125),"",ReferenceData!$AV$125),"")</f>
        <v/>
      </c>
      <c r="AW125" t="str">
        <f ca="1">IFERROR(IF(0=LEN(ReferenceData!$AW$125),"",ReferenceData!$AW$125),"")</f>
        <v/>
      </c>
      <c r="AX125" t="str">
        <f ca="1">IFERROR(IF(0=LEN(ReferenceData!$AX$125),"",ReferenceData!$AX$125),"")</f>
        <v/>
      </c>
      <c r="AY125" t="str">
        <f ca="1">IFERROR(IF(0=LEN(ReferenceData!$AY$125),"",ReferenceData!$AY$125),"")</f>
        <v/>
      </c>
      <c r="AZ125" t="str">
        <f ca="1">IFERROR(IF(0=LEN(ReferenceData!$AZ$125),"",ReferenceData!$AZ$125),"")</f>
        <v/>
      </c>
      <c r="BA125" t="str">
        <f ca="1">IFERROR(IF(0=LEN(ReferenceData!$BA$125),"",ReferenceData!$BA$125),"")</f>
        <v/>
      </c>
      <c r="BB125" t="str">
        <f ca="1">IFERROR(IF(0=LEN(ReferenceData!$BB$125),"",ReferenceData!$BB$125),"")</f>
        <v/>
      </c>
      <c r="BC125" t="str">
        <f ca="1">IFERROR(IF(0=LEN(ReferenceData!$BC$125),"",ReferenceData!$BC$125),"")</f>
        <v/>
      </c>
      <c r="BD125" t="str">
        <f ca="1">IFERROR(IF(0=LEN(ReferenceData!$BD$125),"",ReferenceData!$BD$125),"")</f>
        <v/>
      </c>
      <c r="BE125" t="str">
        <f ca="1">IFERROR(IF(0=LEN(ReferenceData!$BE$125),"",ReferenceData!$BE$125),"")</f>
        <v/>
      </c>
      <c r="BF125" t="str">
        <f ca="1">IFERROR(IF(0=LEN(ReferenceData!$BF$125),"",ReferenceData!$BF$125),"")</f>
        <v/>
      </c>
      <c r="BG125" t="str">
        <f ca="1">IFERROR(IF(0=LEN(ReferenceData!$BG$125),"",ReferenceData!$BG$125),"")</f>
        <v/>
      </c>
      <c r="BH125" t="str">
        <f ca="1">IFERROR(IF(0=LEN(ReferenceData!$BH$125),"",ReferenceData!$BH$125),"")</f>
        <v/>
      </c>
      <c r="BI125" t="str">
        <f ca="1">IFERROR(IF(0=LEN(ReferenceData!$BI$125),"",ReferenceData!$BI$125),"")</f>
        <v/>
      </c>
      <c r="BJ125" t="str">
        <f ca="1">IFERROR(IF(0=LEN(ReferenceData!$BJ$125),"",ReferenceData!$BJ$125),"")</f>
        <v/>
      </c>
      <c r="BK125" t="str">
        <f ca="1">IFERROR(IF(0=LEN(ReferenceData!$BK$125),"",ReferenceData!$BK$125),"")</f>
        <v/>
      </c>
      <c r="BL125" t="str">
        <f ca="1">IFERROR(IF(0=LEN(ReferenceData!$BL$125),"",ReferenceData!$BL$125),"")</f>
        <v/>
      </c>
      <c r="BM125" t="str">
        <f ca="1">IFERROR(IF(0=LEN(ReferenceData!$BM$125),"",ReferenceData!$BM$125),"")</f>
        <v/>
      </c>
    </row>
    <row r="126" spans="1:65">
      <c r="A126" t="str">
        <f>IFERROR(IF(0=LEN(ReferenceData!$A$126),"",ReferenceData!$A$126),"")</f>
        <v xml:space="preserve">    Retail Properties of America I</v>
      </c>
      <c r="B126" t="str">
        <f>IFERROR(IF(0=LEN(ReferenceData!$B$126),"",ReferenceData!$B$126),"")</f>
        <v>RPAI US Equity</v>
      </c>
      <c r="C126" t="str">
        <f>IFERROR(IF(0=LEN(ReferenceData!$C$126),"",ReferenceData!$C$126),"")</f>
        <v>CF039</v>
      </c>
      <c r="D126" t="str">
        <f>IFERROR(IF(0=LEN(ReferenceData!$D$126),"",ReferenceData!$D$126),"")</f>
        <v>CF_FFO</v>
      </c>
      <c r="E126" t="str">
        <f>IFERROR(IF(0=LEN(ReferenceData!$E$126),"",ReferenceData!$E$126),"")</f>
        <v>动态</v>
      </c>
      <c r="F126" t="str">
        <f ca="1">IFERROR(IF(0=LEN(ReferenceData!$F$126),"",ReferenceData!$F$126),"")</f>
        <v/>
      </c>
      <c r="G126">
        <f ca="1">IFERROR(IF(0=LEN(ReferenceData!$G$126),"",ReferenceData!$G$126),"")</f>
        <v>50.442999999999998</v>
      </c>
      <c r="H126">
        <f ca="1">IFERROR(IF(0=LEN(ReferenceData!$H$126),"",ReferenceData!$H$126),"")</f>
        <v>57.149000000000001</v>
      </c>
      <c r="I126">
        <f ca="1">IFERROR(IF(0=LEN(ReferenceData!$I$126),"",ReferenceData!$I$126),"")</f>
        <v>60.716999999999999</v>
      </c>
      <c r="J126">
        <f ca="1">IFERROR(IF(0=LEN(ReferenceData!$J$126),"",ReferenceData!$J$126),"")</f>
        <v>0.45300000000000001</v>
      </c>
      <c r="K126">
        <f ca="1">IFERROR(IF(0=LEN(ReferenceData!$K$126),"",ReferenceData!$K$126),"")</f>
        <v>52.887999999999998</v>
      </c>
      <c r="L126">
        <f ca="1">IFERROR(IF(0=LEN(ReferenceData!$L$126),"",ReferenceData!$L$126),"")</f>
        <v>64.872</v>
      </c>
      <c r="M126">
        <f ca="1">IFERROR(IF(0=LEN(ReferenceData!$M$126),"",ReferenceData!$M$126),"")</f>
        <v>73.867999999999995</v>
      </c>
      <c r="N126">
        <f ca="1">IFERROR(IF(0=LEN(ReferenceData!$N$126),"",ReferenceData!$N$126),"")</f>
        <v>76.418999999999997</v>
      </c>
      <c r="O126">
        <f ca="1">IFERROR(IF(0=LEN(ReferenceData!$O$126),"",ReferenceData!$O$126),"")</f>
        <v>59.5</v>
      </c>
      <c r="P126">
        <f ca="1">IFERROR(IF(0=LEN(ReferenceData!$P$126),"",ReferenceData!$P$126),"")</f>
        <v>53.731000000000002</v>
      </c>
      <c r="Q126">
        <f ca="1">IFERROR(IF(0=LEN(ReferenceData!$Q$126),"",ReferenceData!$Q$126),"")</f>
        <v>54.146999999999998</v>
      </c>
      <c r="R126">
        <f ca="1">IFERROR(IF(0=LEN(ReferenceData!$R$126),"",ReferenceData!$R$126),"")</f>
        <v>60.542999999999999</v>
      </c>
      <c r="S126">
        <f ca="1">IFERROR(IF(0=LEN(ReferenceData!$S$126),"",ReferenceData!$S$126),"")</f>
        <v>61.210999999999999</v>
      </c>
      <c r="T126">
        <f ca="1">IFERROR(IF(0=LEN(ReferenceData!$T$126),"",ReferenceData!$T$126),"")</f>
        <v>65.009</v>
      </c>
      <c r="U126">
        <f ca="1">IFERROR(IF(0=LEN(ReferenceData!$U$126),"",ReferenceData!$U$126),"")</f>
        <v>63.752000000000002</v>
      </c>
      <c r="V126">
        <f ca="1">IFERROR(IF(0=LEN(ReferenceData!$V$126),"",ReferenceData!$V$126),"")</f>
        <v>65.748000000000005</v>
      </c>
      <c r="W126">
        <f ca="1">IFERROR(IF(0=LEN(ReferenceData!$W$126),"",ReferenceData!$W$126),"")</f>
        <v>71.83</v>
      </c>
      <c r="X126">
        <f ca="1">IFERROR(IF(0=LEN(ReferenceData!$X$126),"",ReferenceData!$X$126),"")</f>
        <v>63.430999999999997</v>
      </c>
      <c r="Y126">
        <f ca="1">IFERROR(IF(0=LEN(ReferenceData!$Y$126),"",ReferenceData!$Y$126),"")</f>
        <v>88.185000000000002</v>
      </c>
      <c r="Z126">
        <f ca="1">IFERROR(IF(0=LEN(ReferenceData!$Z$126),"",ReferenceData!$Z$126),"")</f>
        <v>43.204999999999998</v>
      </c>
      <c r="AA126">
        <f ca="1">IFERROR(IF(0=LEN(ReferenceData!$AA$126),"",ReferenceData!$AA$126),"")</f>
        <v>59.988999999999997</v>
      </c>
      <c r="AB126">
        <f ca="1">IFERROR(IF(0=LEN(ReferenceData!$AB$126),"",ReferenceData!$AB$126),"")</f>
        <v>57.238</v>
      </c>
      <c r="AC126">
        <f ca="1">IFERROR(IF(0=LEN(ReferenceData!$AC$126),"",ReferenceData!$AC$126),"")</f>
        <v>70.16</v>
      </c>
      <c r="AD126">
        <f ca="1">IFERROR(IF(0=LEN(ReferenceData!$AD$126),"",ReferenceData!$AD$126),"")</f>
        <v>48.398000000000003</v>
      </c>
      <c r="AE126">
        <f ca="1">IFERROR(IF(0=LEN(ReferenceData!$AE$126),"",ReferenceData!$AE$126),"")</f>
        <v>48.503999999999998</v>
      </c>
      <c r="AF126">
        <f ca="1">IFERROR(IF(0=LEN(ReferenceData!$AF$126),"",ReferenceData!$AF$126),"")</f>
        <v>46.146999999999998</v>
      </c>
      <c r="AG126">
        <f ca="1">IFERROR(IF(0=LEN(ReferenceData!$AG$126),"",ReferenceData!$AG$126),"")</f>
        <v>48.988</v>
      </c>
      <c r="AH126">
        <f ca="1">IFERROR(IF(0=LEN(ReferenceData!$AH$126),"",ReferenceData!$AH$126),"")</f>
        <v>51.466000000000001</v>
      </c>
      <c r="AI126">
        <f ca="1">IFERROR(IF(0=LEN(ReferenceData!$AI$126),"",ReferenceData!$AI$126),"")</f>
        <v>41.012999999999998</v>
      </c>
      <c r="AJ126" t="str">
        <f ca="1">IFERROR(IF(0=LEN(ReferenceData!$AJ$126),"",ReferenceData!$AJ$126),"")</f>
        <v/>
      </c>
      <c r="AK126" t="str">
        <f ca="1">IFERROR(IF(0=LEN(ReferenceData!$AK$126),"",ReferenceData!$AK$126),"")</f>
        <v/>
      </c>
      <c r="AL126" t="str">
        <f ca="1">IFERROR(IF(0=LEN(ReferenceData!$AL$126),"",ReferenceData!$AL$126),"")</f>
        <v/>
      </c>
      <c r="AM126" t="str">
        <f ca="1">IFERROR(IF(0=LEN(ReferenceData!$AM$126),"",ReferenceData!$AM$126),"")</f>
        <v/>
      </c>
      <c r="AN126">
        <f ca="1">IFERROR(IF(0=LEN(ReferenceData!$AN$126),"",ReferenceData!$AN$126),"")</f>
        <v>79.126000000000005</v>
      </c>
      <c r="AO126" t="str">
        <f ca="1">IFERROR(IF(0=LEN(ReferenceData!$AO$126),"",ReferenceData!$AO$126),"")</f>
        <v/>
      </c>
      <c r="AP126" t="str">
        <f ca="1">IFERROR(IF(0=LEN(ReferenceData!$AP$126),"",ReferenceData!$AP$126),"")</f>
        <v/>
      </c>
      <c r="AQ126" t="str">
        <f ca="1">IFERROR(IF(0=LEN(ReferenceData!$AQ$126),"",ReferenceData!$AQ$126),"")</f>
        <v/>
      </c>
      <c r="AR126" t="str">
        <f ca="1">IFERROR(IF(0=LEN(ReferenceData!$AR$126),"",ReferenceData!$AR$126),"")</f>
        <v/>
      </c>
      <c r="AS126" t="str">
        <f ca="1">IFERROR(IF(0=LEN(ReferenceData!$AS$126),"",ReferenceData!$AS$126),"")</f>
        <v/>
      </c>
      <c r="AT126" t="str">
        <f ca="1">IFERROR(IF(0=LEN(ReferenceData!$AT$126),"",ReferenceData!$AT$126),"")</f>
        <v/>
      </c>
      <c r="AU126" t="str">
        <f ca="1">IFERROR(IF(0=LEN(ReferenceData!$AU$126),"",ReferenceData!$AU$126),"")</f>
        <v/>
      </c>
      <c r="AV126" t="str">
        <f ca="1">IFERROR(IF(0=LEN(ReferenceData!$AV$126),"",ReferenceData!$AV$126),"")</f>
        <v/>
      </c>
      <c r="AW126" t="str">
        <f ca="1">IFERROR(IF(0=LEN(ReferenceData!$AW$126),"",ReferenceData!$AW$126),"")</f>
        <v/>
      </c>
      <c r="AX126" t="str">
        <f ca="1">IFERROR(IF(0=LEN(ReferenceData!$AX$126),"",ReferenceData!$AX$126),"")</f>
        <v/>
      </c>
      <c r="AY126" t="str">
        <f ca="1">IFERROR(IF(0=LEN(ReferenceData!$AY$126),"",ReferenceData!$AY$126),"")</f>
        <v/>
      </c>
      <c r="AZ126" t="str">
        <f ca="1">IFERROR(IF(0=LEN(ReferenceData!$AZ$126),"",ReferenceData!$AZ$126),"")</f>
        <v/>
      </c>
      <c r="BA126" t="str">
        <f ca="1">IFERROR(IF(0=LEN(ReferenceData!$BA$126),"",ReferenceData!$BA$126),"")</f>
        <v/>
      </c>
      <c r="BB126" t="str">
        <f ca="1">IFERROR(IF(0=LEN(ReferenceData!$BB$126),"",ReferenceData!$BB$126),"")</f>
        <v/>
      </c>
      <c r="BC126" t="str">
        <f ca="1">IFERROR(IF(0=LEN(ReferenceData!$BC$126),"",ReferenceData!$BC$126),"")</f>
        <v/>
      </c>
      <c r="BD126" t="str">
        <f ca="1">IFERROR(IF(0=LEN(ReferenceData!$BD$126),"",ReferenceData!$BD$126),"")</f>
        <v/>
      </c>
      <c r="BE126" t="str">
        <f ca="1">IFERROR(IF(0=LEN(ReferenceData!$BE$126),"",ReferenceData!$BE$126),"")</f>
        <v/>
      </c>
      <c r="BF126" t="str">
        <f ca="1">IFERROR(IF(0=LEN(ReferenceData!$BF$126),"",ReferenceData!$BF$126),"")</f>
        <v/>
      </c>
      <c r="BG126" t="str">
        <f ca="1">IFERROR(IF(0=LEN(ReferenceData!$BG$126),"",ReferenceData!$BG$126),"")</f>
        <v/>
      </c>
      <c r="BH126" t="str">
        <f ca="1">IFERROR(IF(0=LEN(ReferenceData!$BH$126),"",ReferenceData!$BH$126),"")</f>
        <v/>
      </c>
      <c r="BI126" t="str">
        <f ca="1">IFERROR(IF(0=LEN(ReferenceData!$BI$126),"",ReferenceData!$BI$126),"")</f>
        <v/>
      </c>
      <c r="BJ126" t="str">
        <f ca="1">IFERROR(IF(0=LEN(ReferenceData!$BJ$126),"",ReferenceData!$BJ$126),"")</f>
        <v/>
      </c>
      <c r="BK126" t="str">
        <f ca="1">IFERROR(IF(0=LEN(ReferenceData!$BK$126),"",ReferenceData!$BK$126),"")</f>
        <v/>
      </c>
      <c r="BL126" t="str">
        <f ca="1">IFERROR(IF(0=LEN(ReferenceData!$BL$126),"",ReferenceData!$BL$126),"")</f>
        <v/>
      </c>
      <c r="BM126" t="str">
        <f ca="1">IFERROR(IF(0=LEN(ReferenceData!$BM$126),"",ReferenceData!$BM$126),"")</f>
        <v/>
      </c>
    </row>
    <row r="127" spans="1:65">
      <c r="A127" t="str">
        <f>IFERROR(IF(0=LEN(ReferenceData!$A$127),"",ReferenceData!$A$127),"")</f>
        <v xml:space="preserve">    Simon Property Group Inc</v>
      </c>
      <c r="B127" t="str">
        <f>IFERROR(IF(0=LEN(ReferenceData!$B$127),"",ReferenceData!$B$127),"")</f>
        <v>SPG US Equity</v>
      </c>
      <c r="C127" t="str">
        <f>IFERROR(IF(0=LEN(ReferenceData!$C$127),"",ReferenceData!$C$127),"")</f>
        <v>CF039</v>
      </c>
      <c r="D127" t="str">
        <f>IFERROR(IF(0=LEN(ReferenceData!$D$127),"",ReferenceData!$D$127),"")</f>
        <v>CF_FFO</v>
      </c>
      <c r="E127" t="str">
        <f>IFERROR(IF(0=LEN(ReferenceData!$E$127),"",ReferenceData!$E$127),"")</f>
        <v>动态</v>
      </c>
      <c r="F127" t="str">
        <f ca="1">IFERROR(IF(0=LEN(ReferenceData!$F$127),"",ReferenceData!$F$127),"")</f>
        <v/>
      </c>
      <c r="G127">
        <f ca="1">IFERROR(IF(0=LEN(ReferenceData!$G$127),"",ReferenceData!$G$127),"")</f>
        <v>1115.2909999999999</v>
      </c>
      <c r="H127">
        <f ca="1">IFERROR(IF(0=LEN(ReferenceData!$H$127),"",ReferenceData!$H$127),"")</f>
        <v>1035.4590000000001</v>
      </c>
      <c r="I127">
        <f ca="1">IFERROR(IF(0=LEN(ReferenceData!$I$127),"",ReferenceData!$I$127),"")</f>
        <v>884.74300000000005</v>
      </c>
      <c r="J127">
        <f ca="1">IFERROR(IF(0=LEN(ReferenceData!$J$127),"",ReferenceData!$J$127),"")</f>
        <v>985.01199999999994</v>
      </c>
      <c r="K127">
        <f ca="1">IFERROR(IF(0=LEN(ReferenceData!$K$127),"",ReferenceData!$K$127),"")</f>
        <v>912.22699999999998</v>
      </c>
      <c r="L127">
        <f ca="1">IFERROR(IF(0=LEN(ReferenceData!$L$127),"",ReferenceData!$L$127),"")</f>
        <v>976.02</v>
      </c>
      <c r="M127">
        <f ca="1">IFERROR(IF(0=LEN(ReferenceData!$M$127),"",ReferenceData!$M$127),"")</f>
        <v>952.87099999999998</v>
      </c>
      <c r="N127">
        <f ca="1">IFERROR(IF(0=LEN(ReferenceData!$N$127),"",ReferenceData!$N$127),"")</f>
        <v>951.83299999999997</v>
      </c>
      <c r="O127">
        <f ca="1">IFERROR(IF(0=LEN(ReferenceData!$O$127),"",ReferenceData!$O$127),"")</f>
        <v>866.46400000000006</v>
      </c>
      <c r="P127">
        <f ca="1">IFERROR(IF(0=LEN(ReferenceData!$P$127),"",ReferenceData!$P$127),"")</f>
        <v>918.68600000000004</v>
      </c>
      <c r="Q127">
        <f ca="1">IFERROR(IF(0=LEN(ReferenceData!$Q$127),"",ReferenceData!$Q$127),"")</f>
        <v>955.35599999999999</v>
      </c>
      <c r="R127">
        <f ca="1">IFERROR(IF(0=LEN(ReferenceData!$R$127),"",ReferenceData!$R$127),"")</f>
        <v>830.73099999999999</v>
      </c>
      <c r="S127">
        <f ca="1">IFERROR(IF(0=LEN(ReferenceData!$S$127),"",ReferenceData!$S$127),"")</f>
        <v>896.74800000000005</v>
      </c>
      <c r="T127">
        <f ca="1">IFERROR(IF(0=LEN(ReferenceData!$T$127),"",ReferenceData!$T$127),"")</f>
        <v>689.38099999999997</v>
      </c>
      <c r="U127">
        <f ca="1">IFERROR(IF(0=LEN(ReferenceData!$U$127),"",ReferenceData!$U$127),"")</f>
        <v>783.83299999999997</v>
      </c>
      <c r="V127">
        <f ca="1">IFERROR(IF(0=LEN(ReferenceData!$V$127),"",ReferenceData!$V$127),"")</f>
        <v>865.33299999999997</v>
      </c>
      <c r="W127">
        <f ca="1">IFERROR(IF(0=LEN(ReferenceData!$W$127),"",ReferenceData!$W$127),"")</f>
        <v>894.76300000000003</v>
      </c>
      <c r="X127">
        <f ca="1">IFERROR(IF(0=LEN(ReferenceData!$X$127),"",ReferenceData!$X$127),"")</f>
        <v>802.75</v>
      </c>
      <c r="Y127">
        <f ca="1">IFERROR(IF(0=LEN(ReferenceData!$Y$127),"",ReferenceData!$Y$127),"")</f>
        <v>766.29300000000001</v>
      </c>
      <c r="Z127">
        <f ca="1">IFERROR(IF(0=LEN(ReferenceData!$Z$127),"",ReferenceData!$Z$127),"")</f>
        <v>741.88800000000003</v>
      </c>
      <c r="AA127">
        <f ca="1">IFERROR(IF(0=LEN(ReferenceData!$AA$127),"",ReferenceData!$AA$127),"")</f>
        <v>827.44200000000001</v>
      </c>
      <c r="AB127">
        <f ca="1">IFERROR(IF(0=LEN(ReferenceData!$AB$127),"",ReferenceData!$AB$127),"")</f>
        <v>720.05200000000002</v>
      </c>
      <c r="AC127">
        <f ca="1">IFERROR(IF(0=LEN(ReferenceData!$AC$127),"",ReferenceData!$AC$127),"")</f>
        <v>688.77</v>
      </c>
      <c r="AD127">
        <f ca="1">IFERROR(IF(0=LEN(ReferenceData!$AD$127),"",ReferenceData!$AD$127),"")</f>
        <v>648.65200000000004</v>
      </c>
      <c r="AE127">
        <f ca="1">IFERROR(IF(0=LEN(ReferenceData!$AE$127),"",ReferenceData!$AE$127),"")</f>
        <v>678.91899999999998</v>
      </c>
      <c r="AF127">
        <f ca="1">IFERROR(IF(0=LEN(ReferenceData!$AF$127),"",ReferenceData!$AF$127),"")</f>
        <v>606.23500000000001</v>
      </c>
      <c r="AG127">
        <f ca="1">IFERROR(IF(0=LEN(ReferenceData!$AG$127),"",ReferenceData!$AG$127),"")</f>
        <v>582.96699999999998</v>
      </c>
      <c r="AH127">
        <f ca="1">IFERROR(IF(0=LEN(ReferenceData!$AH$127),"",ReferenceData!$AH$127),"")</f>
        <v>570.64300000000003</v>
      </c>
      <c r="AI127">
        <f ca="1">IFERROR(IF(0=LEN(ReferenceData!$AI$127),"",ReferenceData!$AI$127),"")</f>
        <v>630.58000000000004</v>
      </c>
      <c r="AJ127">
        <f ca="1">IFERROR(IF(0=LEN(ReferenceData!$AJ$127),"",ReferenceData!$AJ$127),"")</f>
        <v>318.52199999999999</v>
      </c>
      <c r="AK127">
        <f ca="1">IFERROR(IF(0=LEN(ReferenceData!$AK$127),"",ReferenceData!$AK$127),"")</f>
        <v>487.66199999999998</v>
      </c>
      <c r="AL127">
        <f ca="1">IFERROR(IF(0=LEN(ReferenceData!$AL$127),"",ReferenceData!$AL$127),"")</f>
        <v>325.55799999999999</v>
      </c>
      <c r="AM127">
        <f ca="1">IFERROR(IF(0=LEN(ReferenceData!$AM$127),"",ReferenceData!$AM$127),"")</f>
        <v>485.226</v>
      </c>
      <c r="AN127">
        <f ca="1">IFERROR(IF(0=LEN(ReferenceData!$AN$127),"",ReferenceData!$AN$127),"")</f>
        <v>473.07299999999998</v>
      </c>
      <c r="AO127">
        <f ca="1">IFERROR(IF(0=LEN(ReferenceData!$AO$127),"",ReferenceData!$AO$127),"")</f>
        <v>313.149</v>
      </c>
      <c r="AP127">
        <f ca="1">IFERROR(IF(0=LEN(ReferenceData!$AP$127),"",ReferenceData!$AP$127),"")</f>
        <v>476.83199999999999</v>
      </c>
      <c r="AQ127">
        <f ca="1">IFERROR(IF(0=LEN(ReferenceData!$AQ$127),"",ReferenceData!$AQ$127),"")</f>
        <v>540.52700000000004</v>
      </c>
      <c r="AR127">
        <f ca="1">IFERROR(IF(0=LEN(ReferenceData!$AR$127),"",ReferenceData!$AR$127),"")</f>
        <v>463.89699999999999</v>
      </c>
      <c r="AS127">
        <f ca="1">IFERROR(IF(0=LEN(ReferenceData!$AS$127),"",ReferenceData!$AS$127),"")</f>
        <v>427.85500000000002</v>
      </c>
      <c r="AT127">
        <f ca="1">IFERROR(IF(0=LEN(ReferenceData!$AT$127),"",ReferenceData!$AT$127),"")</f>
        <v>420.05200000000002</v>
      </c>
      <c r="AU127">
        <f ca="1">IFERROR(IF(0=LEN(ReferenceData!$AU$127),"",ReferenceData!$AU$127),"")</f>
        <v>507.74200000000002</v>
      </c>
      <c r="AV127">
        <f ca="1">IFERROR(IF(0=LEN(ReferenceData!$AV$127),"",ReferenceData!$AV$127),"")</f>
        <v>418.71</v>
      </c>
      <c r="AW127">
        <f ca="1">IFERROR(IF(0=LEN(ReferenceData!$AW$127),"",ReferenceData!$AW$127),"")</f>
        <v>373.03399999999999</v>
      </c>
      <c r="AX127">
        <f ca="1">IFERROR(IF(0=LEN(ReferenceData!$AX$127),"",ReferenceData!$AX$127),"")</f>
        <v>392.4</v>
      </c>
      <c r="AY127">
        <f ca="1">IFERROR(IF(0=LEN(ReferenceData!$AY$127),"",ReferenceData!$AY$127),"")</f>
        <v>450.42</v>
      </c>
      <c r="AZ127">
        <f ca="1">IFERROR(IF(0=LEN(ReferenceData!$AZ$127),"",ReferenceData!$AZ$127),"")</f>
        <v>369.50599999999997</v>
      </c>
      <c r="BA127">
        <f ca="1">IFERROR(IF(0=LEN(ReferenceData!$BA$127),"",ReferenceData!$BA$127),"")</f>
        <v>358.44</v>
      </c>
      <c r="BB127">
        <f ca="1">IFERROR(IF(0=LEN(ReferenceData!$BB$127),"",ReferenceData!$BB$127),"")</f>
        <v>358.85700000000003</v>
      </c>
      <c r="BC127">
        <f ca="1">IFERROR(IF(0=LEN(ReferenceData!$BC$127),"",ReferenceData!$BC$127),"")</f>
        <v>418.95699999999999</v>
      </c>
      <c r="BD127">
        <f ca="1">IFERROR(IF(0=LEN(ReferenceData!$BD$127),"",ReferenceData!$BD$127),"")</f>
        <v>323.46100000000001</v>
      </c>
      <c r="BE127">
        <f ca="1">IFERROR(IF(0=LEN(ReferenceData!$BE$127),"",ReferenceData!$BE$127),"")</f>
        <v>335.16899999999998</v>
      </c>
      <c r="BF127">
        <f ca="1">IFERROR(IF(0=LEN(ReferenceData!$BF$127),"",ReferenceData!$BF$127),"")</f>
        <v>333.78100000000001</v>
      </c>
      <c r="BG127">
        <f ca="1">IFERROR(IF(0=LEN(ReferenceData!$BG$127),"",ReferenceData!$BG$127),"")</f>
        <v>382.71899999999999</v>
      </c>
      <c r="BH127">
        <f ca="1">IFERROR(IF(0=LEN(ReferenceData!$BH$127),"",ReferenceData!$BH$127),"")</f>
        <v>276.399</v>
      </c>
      <c r="BI127">
        <f ca="1">IFERROR(IF(0=LEN(ReferenceData!$BI$127),"",ReferenceData!$BI$127),"")</f>
        <v>208.55699999999999</v>
      </c>
      <c r="BJ127">
        <f ca="1">IFERROR(IF(0=LEN(ReferenceData!$BJ$127),"",ReferenceData!$BJ$127),"")</f>
        <v>194.60300000000001</v>
      </c>
      <c r="BK127">
        <f ca="1">IFERROR(IF(0=LEN(ReferenceData!$BK$127),"",ReferenceData!$BK$127),"")</f>
        <v>506.73500000000001</v>
      </c>
      <c r="BL127">
        <f ca="1">IFERROR(IF(0=LEN(ReferenceData!$BL$127),"",ReferenceData!$BL$127),"")</f>
        <v>179.345</v>
      </c>
      <c r="BM127">
        <f ca="1">IFERROR(IF(0=LEN(ReferenceData!$BM$127),"",ReferenceData!$BM$127),"")</f>
        <v>186.422</v>
      </c>
    </row>
    <row r="128" spans="1:65">
      <c r="A128" t="str">
        <f>IFERROR(IF(0=LEN(ReferenceData!$A$128),"",ReferenceData!$A$128),"")</f>
        <v xml:space="preserve">    Tanger Factory Outlet Centers</v>
      </c>
      <c r="B128" t="str">
        <f>IFERROR(IF(0=LEN(ReferenceData!$B$128),"",ReferenceData!$B$128),"")</f>
        <v>SKT US Equity</v>
      </c>
      <c r="C128" t="str">
        <f>IFERROR(IF(0=LEN(ReferenceData!$C$128),"",ReferenceData!$C$128),"")</f>
        <v>CF039</v>
      </c>
      <c r="D128" t="str">
        <f>IFERROR(IF(0=LEN(ReferenceData!$D$128),"",ReferenceData!$D$128),"")</f>
        <v>CF_FFO</v>
      </c>
      <c r="E128" t="str">
        <f>IFERROR(IF(0=LEN(ReferenceData!$E$128),"",ReferenceData!$E$128),"")</f>
        <v>动态</v>
      </c>
      <c r="F128" t="str">
        <f ca="1">IFERROR(IF(0=LEN(ReferenceData!$F$128),"",ReferenceData!$F$128),"")</f>
        <v/>
      </c>
      <c r="G128">
        <f ca="1">IFERROR(IF(0=LEN(ReferenceData!$G$128),"",ReferenceData!$G$128),"")</f>
        <v>67.459999999999994</v>
      </c>
      <c r="H128">
        <f ca="1">IFERROR(IF(0=LEN(ReferenceData!$H$128),"",ReferenceData!$H$128),"")</f>
        <v>26.66</v>
      </c>
      <c r="I128">
        <f ca="1">IFERROR(IF(0=LEN(ReferenceData!$I$128),"",ReferenceData!$I$128),"")</f>
        <v>59.408999999999999</v>
      </c>
      <c r="J128">
        <f ca="1">IFERROR(IF(0=LEN(ReferenceData!$J$128),"",ReferenceData!$J$128),"")</f>
        <v>57.695</v>
      </c>
      <c r="K128">
        <f ca="1">IFERROR(IF(0=LEN(ReferenceData!$K$128),"",ReferenceData!$K$128),"")</f>
        <v>60.920999999999999</v>
      </c>
      <c r="L128">
        <f ca="1">IFERROR(IF(0=LEN(ReferenceData!$L$128),"",ReferenceData!$L$128),"")</f>
        <v>62.067999999999998</v>
      </c>
      <c r="M128">
        <f ca="1">IFERROR(IF(0=LEN(ReferenceData!$M$128),"",ReferenceData!$M$128),"")</f>
        <v>59.213000000000001</v>
      </c>
      <c r="N128">
        <f ca="1">IFERROR(IF(0=LEN(ReferenceData!$N$128),"",ReferenceData!$N$128),"")</f>
        <v>54.658000000000001</v>
      </c>
      <c r="O128">
        <f ca="1">IFERROR(IF(0=LEN(ReferenceData!$O$128),"",ReferenceData!$O$128),"")</f>
        <v>58.834000000000003</v>
      </c>
      <c r="P128">
        <f ca="1">IFERROR(IF(0=LEN(ReferenceData!$P$128),"",ReferenceData!$P$128),"")</f>
        <v>59.399000000000001</v>
      </c>
      <c r="Q128">
        <f ca="1">IFERROR(IF(0=LEN(ReferenceData!$Q$128),"",ReferenceData!$Q$128),"")</f>
        <v>54.145000000000003</v>
      </c>
      <c r="R128">
        <f ca="1">IFERROR(IF(0=LEN(ReferenceData!$R$128),"",ReferenceData!$R$128),"")</f>
        <v>49.771000000000001</v>
      </c>
      <c r="S128">
        <f ca="1">IFERROR(IF(0=LEN(ReferenceData!$S$128),"",ReferenceData!$S$128),"")</f>
        <v>39.381999999999998</v>
      </c>
      <c r="T128">
        <f ca="1">IFERROR(IF(0=LEN(ReferenceData!$T$128),"",ReferenceData!$T$128),"")</f>
        <v>51.655000000000001</v>
      </c>
      <c r="U128">
        <f ca="1">IFERROR(IF(0=LEN(ReferenceData!$U$128),"",ReferenceData!$U$128),"")</f>
        <v>46.094000000000001</v>
      </c>
      <c r="V128">
        <f ca="1">IFERROR(IF(0=LEN(ReferenceData!$V$128),"",ReferenceData!$V$128),"")</f>
        <v>42.843000000000004</v>
      </c>
      <c r="W128">
        <f ca="1">IFERROR(IF(0=LEN(ReferenceData!$W$128),"",ReferenceData!$W$128),"")</f>
        <v>52.271000000000001</v>
      </c>
      <c r="X128">
        <f ca="1">IFERROR(IF(0=LEN(ReferenceData!$X$128),"",ReferenceData!$X$128),"")</f>
        <v>56.195999999999998</v>
      </c>
      <c r="Y128">
        <f ca="1">IFERROR(IF(0=LEN(ReferenceData!$Y$128),"",ReferenceData!$Y$128),"")</f>
        <v>42.546999999999997</v>
      </c>
      <c r="Z128">
        <f ca="1">IFERROR(IF(0=LEN(ReferenceData!$Z$128),"",ReferenceData!$Z$128),"")</f>
        <v>41.012999999999998</v>
      </c>
      <c r="AA128">
        <f ca="1">IFERROR(IF(0=LEN(ReferenceData!$AA$128),"",ReferenceData!$AA$128),"")</f>
        <v>44.74</v>
      </c>
      <c r="AB128">
        <f ca="1">IFERROR(IF(0=LEN(ReferenceData!$AB$128),"",ReferenceData!$AB$128),"")</f>
        <v>41.914000000000001</v>
      </c>
      <c r="AC128">
        <f ca="1">IFERROR(IF(0=LEN(ReferenceData!$AC$128),"",ReferenceData!$AC$128),"")</f>
        <v>38.585999999999999</v>
      </c>
      <c r="AD128">
        <f ca="1">IFERROR(IF(0=LEN(ReferenceData!$AD$128),"",ReferenceData!$AD$128),"")</f>
        <v>35.64</v>
      </c>
      <c r="AE128">
        <f ca="1">IFERROR(IF(0=LEN(ReferenceData!$AE$128),"",ReferenceData!$AE$128),"")</f>
        <v>41.347000000000001</v>
      </c>
      <c r="AF128">
        <f ca="1">IFERROR(IF(0=LEN(ReferenceData!$AF$128),"",ReferenceData!$AF$128),"")</f>
        <v>37.896000000000001</v>
      </c>
      <c r="AG128">
        <f ca="1">IFERROR(IF(0=LEN(ReferenceData!$AG$128),"",ReferenceData!$AG$128),"")</f>
        <v>29.602</v>
      </c>
      <c r="AH128">
        <f ca="1">IFERROR(IF(0=LEN(ReferenceData!$AH$128),"",ReferenceData!$AH$128),"")</f>
        <v>29.62</v>
      </c>
      <c r="AI128">
        <f ca="1">IFERROR(IF(0=LEN(ReferenceData!$AI$128),"",ReferenceData!$AI$128),"")</f>
        <v>30.056999999999999</v>
      </c>
      <c r="AJ128">
        <f ca="1">IFERROR(IF(0=LEN(ReferenceData!$AJ$128),"",ReferenceData!$AJ$128),"")</f>
        <v>31.064</v>
      </c>
      <c r="AK128">
        <f ca="1">IFERROR(IF(0=LEN(ReferenceData!$AK$128),"",ReferenceData!$AK$128),"")</f>
        <v>22.106000000000002</v>
      </c>
      <c r="AL128">
        <f ca="1">IFERROR(IF(0=LEN(ReferenceData!$AL$128),"",ReferenceData!$AL$128),"")</f>
        <v>29.006</v>
      </c>
      <c r="AM128">
        <f ca="1">IFERROR(IF(0=LEN(ReferenceData!$AM$128),"",ReferenceData!$AM$128),"")</f>
        <v>32.787999999999997</v>
      </c>
      <c r="AN128">
        <f ca="1">IFERROR(IF(0=LEN(ReferenceData!$AN$128),"",ReferenceData!$AN$128),"")</f>
        <v>23.983000000000001</v>
      </c>
      <c r="AO128">
        <f ca="1">IFERROR(IF(0=LEN(ReferenceData!$AO$128),"",ReferenceData!$AO$128),"")</f>
        <v>32.481000000000002</v>
      </c>
      <c r="AP128">
        <f ca="1">IFERROR(IF(0=LEN(ReferenceData!$AP$128),"",ReferenceData!$AP$128),"")</f>
        <v>24.702999999999999</v>
      </c>
      <c r="AQ128">
        <f ca="1">IFERROR(IF(0=LEN(ReferenceData!$AQ$128),"",ReferenceData!$AQ$128),"")</f>
        <v>26.449000000000002</v>
      </c>
      <c r="AR128">
        <f ca="1">IFERROR(IF(0=LEN(ReferenceData!$AR$128),"",ReferenceData!$AR$128),"")</f>
        <v>25.442</v>
      </c>
      <c r="AS128">
        <f ca="1">IFERROR(IF(0=LEN(ReferenceData!$AS$128),"",ReferenceData!$AS$128),"")</f>
        <v>14.273</v>
      </c>
      <c r="AT128">
        <f ca="1">IFERROR(IF(0=LEN(ReferenceData!$AT$128),"",ReferenceData!$AT$128),"")</f>
        <v>21.905999999999999</v>
      </c>
      <c r="AU128">
        <f ca="1">IFERROR(IF(0=LEN(ReferenceData!$AU$128),"",ReferenceData!$AU$128),"")</f>
        <v>26.335000000000001</v>
      </c>
      <c r="AV128">
        <f ca="1">IFERROR(IF(0=LEN(ReferenceData!$AV$128),"",ReferenceData!$AV$128),"")</f>
        <v>23.928999999999998</v>
      </c>
      <c r="AW128">
        <f ca="1">IFERROR(IF(0=LEN(ReferenceData!$AW$128),"",ReferenceData!$AW$128),"")</f>
        <v>22.146000000000001</v>
      </c>
      <c r="AX128">
        <f ca="1">IFERROR(IF(0=LEN(ReferenceData!$AX$128),"",ReferenceData!$AX$128),"")</f>
        <v>21.311</v>
      </c>
      <c r="AY128">
        <f ca="1">IFERROR(IF(0=LEN(ReferenceData!$AY$128),"",ReferenceData!$AY$128),"")</f>
        <v>23.446000000000002</v>
      </c>
      <c r="AZ128">
        <f ca="1">IFERROR(IF(0=LEN(ReferenceData!$AZ$128),"",ReferenceData!$AZ$128),"")</f>
        <v>21.155000000000001</v>
      </c>
      <c r="BA128">
        <f ca="1">IFERROR(IF(0=LEN(ReferenceData!$BA$128),"",ReferenceData!$BA$128),"")</f>
        <v>19.757000000000001</v>
      </c>
      <c r="BB128">
        <f ca="1">IFERROR(IF(0=LEN(ReferenceData!$BB$128),"",ReferenceData!$BB$128),"")</f>
        <v>18.888000000000002</v>
      </c>
      <c r="BC128">
        <f ca="1">IFERROR(IF(0=LEN(ReferenceData!$BC$128),"",ReferenceData!$BC$128),"")</f>
        <v>12.481999999999999</v>
      </c>
      <c r="BD128">
        <f ca="1">IFERROR(IF(0=LEN(ReferenceData!$BD$128),"",ReferenceData!$BD$128),"")</f>
        <v>17.367000000000001</v>
      </c>
      <c r="BE128">
        <f ca="1">IFERROR(IF(0=LEN(ReferenceData!$BE$128),"",ReferenceData!$BE$128),"")</f>
        <v>15.702999999999999</v>
      </c>
      <c r="BF128">
        <f ca="1">IFERROR(IF(0=LEN(ReferenceData!$BF$128),"",ReferenceData!$BF$128),"")</f>
        <v>14.53</v>
      </c>
      <c r="BG128">
        <f ca="1">IFERROR(IF(0=LEN(ReferenceData!$BG$128),"",ReferenceData!$BG$128),"")</f>
        <v>17.681999999999999</v>
      </c>
      <c r="BH128">
        <f ca="1">IFERROR(IF(0=LEN(ReferenceData!$BH$128),"",ReferenceData!$BH$128),"")</f>
        <v>15.837</v>
      </c>
      <c r="BI128">
        <f ca="1">IFERROR(IF(0=LEN(ReferenceData!$BI$128),"",ReferenceData!$BI$128),"")</f>
        <v>15.606</v>
      </c>
      <c r="BJ128">
        <f ca="1">IFERROR(IF(0=LEN(ReferenceData!$BJ$128),"",ReferenceData!$BJ$128),"")</f>
        <v>13.893000000000001</v>
      </c>
      <c r="BK128">
        <f ca="1">IFERROR(IF(0=LEN(ReferenceData!$BK$128),"",ReferenceData!$BK$128),"")</f>
        <v>13.91800022</v>
      </c>
      <c r="BL128">
        <f ca="1">IFERROR(IF(0=LEN(ReferenceData!$BL$128),"",ReferenceData!$BL$128),"")</f>
        <v>11.853999999999999</v>
      </c>
      <c r="BM128">
        <f ca="1">IFERROR(IF(0=LEN(ReferenceData!$BM$128),"",ReferenceData!$BM$128),"")</f>
        <v>10.989000000000001</v>
      </c>
    </row>
    <row r="129" spans="1:65">
      <c r="A129" t="str">
        <f>IFERROR(IF(0=LEN(ReferenceData!$A$129),"",ReferenceData!$A$129),"")</f>
        <v xml:space="preserve">    VEREIT Inc</v>
      </c>
      <c r="B129" t="str">
        <f>IFERROR(IF(0=LEN(ReferenceData!$B$129),"",ReferenceData!$B$129),"")</f>
        <v>VER US Equity</v>
      </c>
      <c r="C129" t="str">
        <f>IFERROR(IF(0=LEN(ReferenceData!$C$129),"",ReferenceData!$C$129),"")</f>
        <v>CF039</v>
      </c>
      <c r="D129" t="str">
        <f>IFERROR(IF(0=LEN(ReferenceData!$D$129),"",ReferenceData!$D$129),"")</f>
        <v>CF_FFO</v>
      </c>
      <c r="E129" t="str">
        <f>IFERROR(IF(0=LEN(ReferenceData!$E$129),"",ReferenceData!$E$129),"")</f>
        <v>动态</v>
      </c>
      <c r="F129" t="str">
        <f ca="1">IFERROR(IF(0=LEN(ReferenceData!$F$129),"",ReferenceData!$F$129),"")</f>
        <v/>
      </c>
      <c r="G129">
        <f ca="1">IFERROR(IF(0=LEN(ReferenceData!$G$129),"",ReferenceData!$G$129),"")</f>
        <v>133.887</v>
      </c>
      <c r="H129">
        <f ca="1">IFERROR(IF(0=LEN(ReferenceData!$H$129),"",ReferenceData!$H$129),"")</f>
        <v>177.71299999999999</v>
      </c>
      <c r="I129">
        <f ca="1">IFERROR(IF(0=LEN(ReferenceData!$I$129),"",ReferenceData!$I$129),"")</f>
        <v>171.44300000000001</v>
      </c>
      <c r="J129">
        <f ca="1">IFERROR(IF(0=LEN(ReferenceData!$J$129),"",ReferenceData!$J$129),"")</f>
        <v>170.065</v>
      </c>
      <c r="K129">
        <f ca="1">IFERROR(IF(0=LEN(ReferenceData!$K$129),"",ReferenceData!$K$129),"")</f>
        <v>53.540999999999997</v>
      </c>
      <c r="L129">
        <f ca="1">IFERROR(IF(0=LEN(ReferenceData!$L$129),"",ReferenceData!$L$129),"")</f>
        <v>179.47200000000001</v>
      </c>
      <c r="M129">
        <f ca="1">IFERROR(IF(0=LEN(ReferenceData!$M$129),"",ReferenceData!$M$129),"")</f>
        <v>184.17400000000001</v>
      </c>
      <c r="N129">
        <f ca="1">IFERROR(IF(0=LEN(ReferenceData!$N$129),"",ReferenceData!$N$129),"")</f>
        <v>196.22900000000001</v>
      </c>
      <c r="O129">
        <f ca="1">IFERROR(IF(0=LEN(ReferenceData!$O$129),"",ReferenceData!$O$129),"")</f>
        <v>4.6230000000000002</v>
      </c>
      <c r="P129">
        <f ca="1">IFERROR(IF(0=LEN(ReferenceData!$P$129),"",ReferenceData!$P$129),"")</f>
        <v>191.56200000000001</v>
      </c>
      <c r="Q129">
        <f ca="1">IFERROR(IF(0=LEN(ReferenceData!$Q$129),"",ReferenceData!$Q$129),"")</f>
        <v>193.95099999999999</v>
      </c>
      <c r="R129">
        <f ca="1">IFERROR(IF(0=LEN(ReferenceData!$R$129),"",ReferenceData!$R$129),"")</f>
        <v>195.03</v>
      </c>
      <c r="S129">
        <f ca="1">IFERROR(IF(0=LEN(ReferenceData!$S$129),"",ReferenceData!$S$129),"")</f>
        <v>-58.825000000000003</v>
      </c>
      <c r="T129">
        <f ca="1">IFERROR(IF(0=LEN(ReferenceData!$T$129),"",ReferenceData!$T$129),"")</f>
        <v>195.798</v>
      </c>
      <c r="U129">
        <f ca="1">IFERROR(IF(0=LEN(ReferenceData!$U$129),"",ReferenceData!$U$129),"")</f>
        <v>156.96700000000001</v>
      </c>
      <c r="V129">
        <f ca="1">IFERROR(IF(0=LEN(ReferenceData!$V$129),"",ReferenceData!$V$129),"")</f>
        <v>-144.804</v>
      </c>
      <c r="W129">
        <f ca="1">IFERROR(IF(0=LEN(ReferenceData!$W$129),"",ReferenceData!$W$129),"")</f>
        <v>-121.295</v>
      </c>
      <c r="X129">
        <f ca="1">IFERROR(IF(0=LEN(ReferenceData!$X$129),"",ReferenceData!$X$129),"")</f>
        <v>-19.681000000000001</v>
      </c>
      <c r="Y129">
        <f ca="1">IFERROR(IF(0=LEN(ReferenceData!$Y$129),"",ReferenceData!$Y$129),"")</f>
        <v>13.611000000000001</v>
      </c>
      <c r="Z129">
        <f ca="1">IFERROR(IF(0=LEN(ReferenceData!$Z$129),"",ReferenceData!$Z$129),"")</f>
        <v>-114.432</v>
      </c>
      <c r="AA129">
        <f ca="1">IFERROR(IF(0=LEN(ReferenceData!$AA$129),"",ReferenceData!$AA$129),"")</f>
        <v>-0.27400000000000002</v>
      </c>
      <c r="AB129">
        <f ca="1">IFERROR(IF(0=LEN(ReferenceData!$AB$129),"",ReferenceData!$AB$129),"")</f>
        <v>1.851</v>
      </c>
      <c r="AC129">
        <f ca="1">IFERROR(IF(0=LEN(ReferenceData!$AC$129),"",ReferenceData!$AC$129),"")</f>
        <v>-0.308</v>
      </c>
      <c r="AD129">
        <f ca="1">IFERROR(IF(0=LEN(ReferenceData!$AD$129),"",ReferenceData!$AD$129),"")</f>
        <v>-1.17</v>
      </c>
      <c r="AE129">
        <f ca="1">IFERROR(IF(0=LEN(ReferenceData!$AE$129),"",ReferenceData!$AE$129),"")</f>
        <v>7.8E-2</v>
      </c>
      <c r="AF129">
        <f ca="1">IFERROR(IF(0=LEN(ReferenceData!$AF$129),"",ReferenceData!$AF$129),"")</f>
        <v>-0.28299999999999997</v>
      </c>
      <c r="AG129" t="str">
        <f ca="1">IFERROR(IF(0=LEN(ReferenceData!$AG$129),"",ReferenceData!$AG$129),"")</f>
        <v/>
      </c>
      <c r="AH129">
        <f ca="1">IFERROR(IF(0=LEN(ReferenceData!$AH$129),"",ReferenceData!$AH$129),"")</f>
        <v>-0.420873</v>
      </c>
      <c r="AI129" t="str">
        <f ca="1">IFERROR(IF(0=LEN(ReferenceData!$AI$129),"",ReferenceData!$AI$129),"")</f>
        <v/>
      </c>
      <c r="AJ129" t="str">
        <f ca="1">IFERROR(IF(0=LEN(ReferenceData!$AJ$129),"",ReferenceData!$AJ$129),"")</f>
        <v/>
      </c>
      <c r="AK129" t="str">
        <f ca="1">IFERROR(IF(0=LEN(ReferenceData!$AK$129),"",ReferenceData!$AK$129),"")</f>
        <v/>
      </c>
      <c r="AL129" t="str">
        <f ca="1">IFERROR(IF(0=LEN(ReferenceData!$AL$129),"",ReferenceData!$AL$129),"")</f>
        <v/>
      </c>
      <c r="AM129" t="str">
        <f ca="1">IFERROR(IF(0=LEN(ReferenceData!$AM$129),"",ReferenceData!$AM$129),"")</f>
        <v/>
      </c>
      <c r="AN129" t="str">
        <f ca="1">IFERROR(IF(0=LEN(ReferenceData!$AN$129),"",ReferenceData!$AN$129),"")</f>
        <v/>
      </c>
      <c r="AO129" t="str">
        <f ca="1">IFERROR(IF(0=LEN(ReferenceData!$AO$129),"",ReferenceData!$AO$129),"")</f>
        <v/>
      </c>
      <c r="AP129" t="str">
        <f ca="1">IFERROR(IF(0=LEN(ReferenceData!$AP$129),"",ReferenceData!$AP$129),"")</f>
        <v/>
      </c>
      <c r="AQ129" t="str">
        <f ca="1">IFERROR(IF(0=LEN(ReferenceData!$AQ$129),"",ReferenceData!$AQ$129),"")</f>
        <v/>
      </c>
      <c r="AR129" t="str">
        <f ca="1">IFERROR(IF(0=LEN(ReferenceData!$AR$129),"",ReferenceData!$AR$129),"")</f>
        <v/>
      </c>
      <c r="AS129" t="str">
        <f ca="1">IFERROR(IF(0=LEN(ReferenceData!$AS$129),"",ReferenceData!$AS$129),"")</f>
        <v/>
      </c>
      <c r="AT129" t="str">
        <f ca="1">IFERROR(IF(0=LEN(ReferenceData!$AT$129),"",ReferenceData!$AT$129),"")</f>
        <v/>
      </c>
      <c r="AU129" t="str">
        <f ca="1">IFERROR(IF(0=LEN(ReferenceData!$AU$129),"",ReferenceData!$AU$129),"")</f>
        <v/>
      </c>
      <c r="AV129" t="str">
        <f ca="1">IFERROR(IF(0=LEN(ReferenceData!$AV$129),"",ReferenceData!$AV$129),"")</f>
        <v/>
      </c>
      <c r="AW129" t="str">
        <f ca="1">IFERROR(IF(0=LEN(ReferenceData!$AW$129),"",ReferenceData!$AW$129),"")</f>
        <v/>
      </c>
      <c r="AX129" t="str">
        <f ca="1">IFERROR(IF(0=LEN(ReferenceData!$AX$129),"",ReferenceData!$AX$129),"")</f>
        <v/>
      </c>
      <c r="AY129" t="str">
        <f ca="1">IFERROR(IF(0=LEN(ReferenceData!$AY$129),"",ReferenceData!$AY$129),"")</f>
        <v/>
      </c>
      <c r="AZ129" t="str">
        <f ca="1">IFERROR(IF(0=LEN(ReferenceData!$AZ$129),"",ReferenceData!$AZ$129),"")</f>
        <v/>
      </c>
      <c r="BA129" t="str">
        <f ca="1">IFERROR(IF(0=LEN(ReferenceData!$BA$129),"",ReferenceData!$BA$129),"")</f>
        <v/>
      </c>
      <c r="BB129" t="str">
        <f ca="1">IFERROR(IF(0=LEN(ReferenceData!$BB$129),"",ReferenceData!$BB$129),"")</f>
        <v/>
      </c>
      <c r="BC129" t="str">
        <f ca="1">IFERROR(IF(0=LEN(ReferenceData!$BC$129),"",ReferenceData!$BC$129),"")</f>
        <v/>
      </c>
      <c r="BD129" t="str">
        <f ca="1">IFERROR(IF(0=LEN(ReferenceData!$BD$129),"",ReferenceData!$BD$129),"")</f>
        <v/>
      </c>
      <c r="BE129" t="str">
        <f ca="1">IFERROR(IF(0=LEN(ReferenceData!$BE$129),"",ReferenceData!$BE$129),"")</f>
        <v/>
      </c>
      <c r="BF129" t="str">
        <f ca="1">IFERROR(IF(0=LEN(ReferenceData!$BF$129),"",ReferenceData!$BF$129),"")</f>
        <v/>
      </c>
      <c r="BG129" t="str">
        <f ca="1">IFERROR(IF(0=LEN(ReferenceData!$BG$129),"",ReferenceData!$BG$129),"")</f>
        <v/>
      </c>
      <c r="BH129" t="str">
        <f ca="1">IFERROR(IF(0=LEN(ReferenceData!$BH$129),"",ReferenceData!$BH$129),"")</f>
        <v/>
      </c>
      <c r="BI129" t="str">
        <f ca="1">IFERROR(IF(0=LEN(ReferenceData!$BI$129),"",ReferenceData!$BI$129),"")</f>
        <v/>
      </c>
      <c r="BJ129" t="str">
        <f ca="1">IFERROR(IF(0=LEN(ReferenceData!$BJ$129),"",ReferenceData!$BJ$129),"")</f>
        <v/>
      </c>
      <c r="BK129" t="str">
        <f ca="1">IFERROR(IF(0=LEN(ReferenceData!$BK$129),"",ReferenceData!$BK$129),"")</f>
        <v/>
      </c>
      <c r="BL129" t="str">
        <f ca="1">IFERROR(IF(0=LEN(ReferenceData!$BL$129),"",ReferenceData!$BL$129),"")</f>
        <v/>
      </c>
      <c r="BM129" t="str">
        <f ca="1">IFERROR(IF(0=LEN(ReferenceData!$BM$129),"",ReferenceData!$BM$129),"")</f>
        <v/>
      </c>
    </row>
    <row r="130" spans="1:65">
      <c r="A130" t="str">
        <f>IFERROR(IF(0=LEN(ReferenceData!$A$130),"",ReferenceData!$A$130),"")</f>
        <v xml:space="preserve">    Washington Prime Group Inc</v>
      </c>
      <c r="B130" t="str">
        <f>IFERROR(IF(0=LEN(ReferenceData!$B$130),"",ReferenceData!$B$130),"")</f>
        <v>WPG US Equity</v>
      </c>
      <c r="C130" t="str">
        <f>IFERROR(IF(0=LEN(ReferenceData!$C$130),"",ReferenceData!$C$130),"")</f>
        <v>CF039</v>
      </c>
      <c r="D130" t="str">
        <f>IFERROR(IF(0=LEN(ReferenceData!$D$130),"",ReferenceData!$D$130),"")</f>
        <v>CF_FFO</v>
      </c>
      <c r="E130" t="str">
        <f>IFERROR(IF(0=LEN(ReferenceData!$E$130),"",ReferenceData!$E$130),"")</f>
        <v>动态</v>
      </c>
      <c r="F130" t="str">
        <f ca="1">IFERROR(IF(0=LEN(ReferenceData!$F$130),"",ReferenceData!$F$130),"")</f>
        <v/>
      </c>
      <c r="G130">
        <f ca="1">IFERROR(IF(0=LEN(ReferenceData!$G$130),"",ReferenceData!$G$130),"")</f>
        <v>165.96899999999999</v>
      </c>
      <c r="H130">
        <f ca="1">IFERROR(IF(0=LEN(ReferenceData!$H$130),"",ReferenceData!$H$130),"")</f>
        <v>68.784000000000006</v>
      </c>
      <c r="I130">
        <f ca="1">IFERROR(IF(0=LEN(ReferenceData!$I$130),"",ReferenceData!$I$130),"")</f>
        <v>110.626</v>
      </c>
      <c r="J130">
        <f ca="1">IFERROR(IF(0=LEN(ReferenceData!$J$130),"",ReferenceData!$J$130),"")</f>
        <v>94.034999999999997</v>
      </c>
      <c r="K130">
        <f ca="1">IFERROR(IF(0=LEN(ReferenceData!$K$130),"",ReferenceData!$K$130),"")</f>
        <v>107.43</v>
      </c>
      <c r="L130">
        <f ca="1">IFERROR(IF(0=LEN(ReferenceData!$L$130),"",ReferenceData!$L$130),"")</f>
        <v>85.171000000000006</v>
      </c>
      <c r="M130">
        <f ca="1">IFERROR(IF(0=LEN(ReferenceData!$M$130),"",ReferenceData!$M$130),"")</f>
        <v>98.125</v>
      </c>
      <c r="N130">
        <f ca="1">IFERROR(IF(0=LEN(ReferenceData!$N$130),"",ReferenceData!$N$130),"")</f>
        <v>91.700999999999993</v>
      </c>
      <c r="O130">
        <f ca="1">IFERROR(IF(0=LEN(ReferenceData!$O$130),"",ReferenceData!$O$130),"")</f>
        <v>104.477</v>
      </c>
      <c r="P130">
        <f ca="1">IFERROR(IF(0=LEN(ReferenceData!$P$130),"",ReferenceData!$P$130),"")</f>
        <v>83.146000000000001</v>
      </c>
      <c r="Q130">
        <f ca="1">IFERROR(IF(0=LEN(ReferenceData!$Q$130),"",ReferenceData!$Q$130),"")</f>
        <v>95.215999999999994</v>
      </c>
      <c r="R130">
        <f ca="1">IFERROR(IF(0=LEN(ReferenceData!$R$130),"",ReferenceData!$R$130),"")</f>
        <v>77.036000000000001</v>
      </c>
      <c r="S130">
        <f ca="1">IFERROR(IF(0=LEN(ReferenceData!$S$130),"",ReferenceData!$S$130),"")</f>
        <v>85.897999999999996</v>
      </c>
      <c r="T130">
        <f ca="1">IFERROR(IF(0=LEN(ReferenceData!$T$130),"",ReferenceData!$T$130),"")</f>
        <v>79.489999999999995</v>
      </c>
      <c r="U130">
        <f ca="1">IFERROR(IF(0=LEN(ReferenceData!$U$130),"",ReferenceData!$U$130),"")</f>
        <v>41.268999999999998</v>
      </c>
      <c r="V130">
        <f ca="1">IFERROR(IF(0=LEN(ReferenceData!$V$130),"",ReferenceData!$V$130),"")</f>
        <v>88.394000000000005</v>
      </c>
      <c r="W130" t="str">
        <f ca="1">IFERROR(IF(0=LEN(ReferenceData!$W$130),"",ReferenceData!$W$130),"")</f>
        <v/>
      </c>
      <c r="X130" t="str">
        <f ca="1">IFERROR(IF(0=LEN(ReferenceData!$X$130),"",ReferenceData!$X$130),"")</f>
        <v/>
      </c>
      <c r="Y130" t="str">
        <f ca="1">IFERROR(IF(0=LEN(ReferenceData!$Y$130),"",ReferenceData!$Y$130),"")</f>
        <v/>
      </c>
      <c r="Z130" t="str">
        <f ca="1">IFERROR(IF(0=LEN(ReferenceData!$Z$130),"",ReferenceData!$Z$130),"")</f>
        <v/>
      </c>
      <c r="AA130" t="str">
        <f ca="1">IFERROR(IF(0=LEN(ReferenceData!$AA$130),"",ReferenceData!$AA$130),"")</f>
        <v/>
      </c>
      <c r="AB130" t="str">
        <f ca="1">IFERROR(IF(0=LEN(ReferenceData!$AB$130),"",ReferenceData!$AB$130),"")</f>
        <v/>
      </c>
      <c r="AC130" t="str">
        <f ca="1">IFERROR(IF(0=LEN(ReferenceData!$AC$130),"",ReferenceData!$AC$130),"")</f>
        <v/>
      </c>
      <c r="AD130" t="str">
        <f ca="1">IFERROR(IF(0=LEN(ReferenceData!$AD$130),"",ReferenceData!$AD$130),"")</f>
        <v/>
      </c>
      <c r="AE130" t="str">
        <f ca="1">IFERROR(IF(0=LEN(ReferenceData!$AE$130),"",ReferenceData!$AE$130),"")</f>
        <v/>
      </c>
      <c r="AF130" t="str">
        <f ca="1">IFERROR(IF(0=LEN(ReferenceData!$AF$130),"",ReferenceData!$AF$130),"")</f>
        <v/>
      </c>
      <c r="AG130" t="str">
        <f ca="1">IFERROR(IF(0=LEN(ReferenceData!$AG$130),"",ReferenceData!$AG$130),"")</f>
        <v/>
      </c>
      <c r="AH130" t="str">
        <f ca="1">IFERROR(IF(0=LEN(ReferenceData!$AH$130),"",ReferenceData!$AH$130),"")</f>
        <v/>
      </c>
      <c r="AI130" t="str">
        <f ca="1">IFERROR(IF(0=LEN(ReferenceData!$AI$130),"",ReferenceData!$AI$130),"")</f>
        <v/>
      </c>
      <c r="AJ130" t="str">
        <f ca="1">IFERROR(IF(0=LEN(ReferenceData!$AJ$130),"",ReferenceData!$AJ$130),"")</f>
        <v/>
      </c>
      <c r="AK130" t="str">
        <f ca="1">IFERROR(IF(0=LEN(ReferenceData!$AK$130),"",ReferenceData!$AK$130),"")</f>
        <v/>
      </c>
      <c r="AL130" t="str">
        <f ca="1">IFERROR(IF(0=LEN(ReferenceData!$AL$130),"",ReferenceData!$AL$130),"")</f>
        <v/>
      </c>
      <c r="AM130" t="str">
        <f ca="1">IFERROR(IF(0=LEN(ReferenceData!$AM$130),"",ReferenceData!$AM$130),"")</f>
        <v/>
      </c>
      <c r="AN130" t="str">
        <f ca="1">IFERROR(IF(0=LEN(ReferenceData!$AN$130),"",ReferenceData!$AN$130),"")</f>
        <v/>
      </c>
      <c r="AO130" t="str">
        <f ca="1">IFERROR(IF(0=LEN(ReferenceData!$AO$130),"",ReferenceData!$AO$130),"")</f>
        <v/>
      </c>
      <c r="AP130" t="str">
        <f ca="1">IFERROR(IF(0=LEN(ReferenceData!$AP$130),"",ReferenceData!$AP$130),"")</f>
        <v/>
      </c>
      <c r="AQ130" t="str">
        <f ca="1">IFERROR(IF(0=LEN(ReferenceData!$AQ$130),"",ReferenceData!$AQ$130),"")</f>
        <v/>
      </c>
      <c r="AR130" t="str">
        <f ca="1">IFERROR(IF(0=LEN(ReferenceData!$AR$130),"",ReferenceData!$AR$130),"")</f>
        <v/>
      </c>
      <c r="AS130" t="str">
        <f ca="1">IFERROR(IF(0=LEN(ReferenceData!$AS$130),"",ReferenceData!$AS$130),"")</f>
        <v/>
      </c>
      <c r="AT130" t="str">
        <f ca="1">IFERROR(IF(0=LEN(ReferenceData!$AT$130),"",ReferenceData!$AT$130),"")</f>
        <v/>
      </c>
      <c r="AU130" t="str">
        <f ca="1">IFERROR(IF(0=LEN(ReferenceData!$AU$130),"",ReferenceData!$AU$130),"")</f>
        <v/>
      </c>
      <c r="AV130" t="str">
        <f ca="1">IFERROR(IF(0=LEN(ReferenceData!$AV$130),"",ReferenceData!$AV$130),"")</f>
        <v/>
      </c>
      <c r="AW130" t="str">
        <f ca="1">IFERROR(IF(0=LEN(ReferenceData!$AW$130),"",ReferenceData!$AW$130),"")</f>
        <v/>
      </c>
      <c r="AX130" t="str">
        <f ca="1">IFERROR(IF(0=LEN(ReferenceData!$AX$130),"",ReferenceData!$AX$130),"")</f>
        <v/>
      </c>
      <c r="AY130" t="str">
        <f ca="1">IFERROR(IF(0=LEN(ReferenceData!$AY$130),"",ReferenceData!$AY$130),"")</f>
        <v/>
      </c>
      <c r="AZ130" t="str">
        <f ca="1">IFERROR(IF(0=LEN(ReferenceData!$AZ$130),"",ReferenceData!$AZ$130),"")</f>
        <v/>
      </c>
      <c r="BA130" t="str">
        <f ca="1">IFERROR(IF(0=LEN(ReferenceData!$BA$130),"",ReferenceData!$BA$130),"")</f>
        <v/>
      </c>
      <c r="BB130" t="str">
        <f ca="1">IFERROR(IF(0=LEN(ReferenceData!$BB$130),"",ReferenceData!$BB$130),"")</f>
        <v/>
      </c>
      <c r="BC130" t="str">
        <f ca="1">IFERROR(IF(0=LEN(ReferenceData!$BC$130),"",ReferenceData!$BC$130),"")</f>
        <v/>
      </c>
      <c r="BD130" t="str">
        <f ca="1">IFERROR(IF(0=LEN(ReferenceData!$BD$130),"",ReferenceData!$BD$130),"")</f>
        <v/>
      </c>
      <c r="BE130" t="str">
        <f ca="1">IFERROR(IF(0=LEN(ReferenceData!$BE$130),"",ReferenceData!$BE$130),"")</f>
        <v/>
      </c>
      <c r="BF130" t="str">
        <f ca="1">IFERROR(IF(0=LEN(ReferenceData!$BF$130),"",ReferenceData!$BF$130),"")</f>
        <v/>
      </c>
      <c r="BG130" t="str">
        <f ca="1">IFERROR(IF(0=LEN(ReferenceData!$BG$130),"",ReferenceData!$BG$130),"")</f>
        <v/>
      </c>
      <c r="BH130" t="str">
        <f ca="1">IFERROR(IF(0=LEN(ReferenceData!$BH$130),"",ReferenceData!$BH$130),"")</f>
        <v/>
      </c>
      <c r="BI130" t="str">
        <f ca="1">IFERROR(IF(0=LEN(ReferenceData!$BI$130),"",ReferenceData!$BI$130),"")</f>
        <v/>
      </c>
      <c r="BJ130" t="str">
        <f ca="1">IFERROR(IF(0=LEN(ReferenceData!$BJ$130),"",ReferenceData!$BJ$130),"")</f>
        <v/>
      </c>
      <c r="BK130" t="str">
        <f ca="1">IFERROR(IF(0=LEN(ReferenceData!$BK$130),"",ReferenceData!$BK$130),"")</f>
        <v/>
      </c>
      <c r="BL130" t="str">
        <f ca="1">IFERROR(IF(0=LEN(ReferenceData!$BL$130),"",ReferenceData!$BL$130),"")</f>
        <v/>
      </c>
      <c r="BM130" t="str">
        <f ca="1">IFERROR(IF(0=LEN(ReferenceData!$BM$130),"",ReferenceData!$BM$130),"")</f>
        <v/>
      </c>
    </row>
    <row r="131" spans="1:65">
      <c r="A131" t="str">
        <f>IFERROR(IF(0=LEN(ReferenceData!$A$131),"",ReferenceData!$A$131),"")</f>
        <v xml:space="preserve">    Weingarten Realty Investors</v>
      </c>
      <c r="B131" t="str">
        <f>IFERROR(IF(0=LEN(ReferenceData!$B$131),"",ReferenceData!$B$131),"")</f>
        <v>WRI US Equity</v>
      </c>
      <c r="C131" t="str">
        <f>IFERROR(IF(0=LEN(ReferenceData!$C$131),"",ReferenceData!$C$131),"")</f>
        <v>CF039</v>
      </c>
      <c r="D131" t="str">
        <f>IFERROR(IF(0=LEN(ReferenceData!$D$131),"",ReferenceData!$D$131),"")</f>
        <v>CF_FFO</v>
      </c>
      <c r="E131" t="str">
        <f>IFERROR(IF(0=LEN(ReferenceData!$E$131),"",ReferenceData!$E$131),"")</f>
        <v>动态</v>
      </c>
      <c r="F131" t="str">
        <f ca="1">IFERROR(IF(0=LEN(ReferenceData!$F$131),"",ReferenceData!$F$131),"")</f>
        <v/>
      </c>
      <c r="G131">
        <f ca="1">IFERROR(IF(0=LEN(ReferenceData!$G$131),"",ReferenceData!$G$131),"")</f>
        <v>77.415999999999997</v>
      </c>
      <c r="H131">
        <f ca="1">IFERROR(IF(0=LEN(ReferenceData!$H$131),"",ReferenceData!$H$131),"")</f>
        <v>78.881</v>
      </c>
      <c r="I131">
        <f ca="1">IFERROR(IF(0=LEN(ReferenceData!$I$131),"",ReferenceData!$I$131),"")</f>
        <v>79.373999999999995</v>
      </c>
      <c r="J131">
        <f ca="1">IFERROR(IF(0=LEN(ReferenceData!$J$131),"",ReferenceData!$J$131),"")</f>
        <v>74.412999999999997</v>
      </c>
      <c r="K131">
        <f ca="1">IFERROR(IF(0=LEN(ReferenceData!$K$131),"",ReferenceData!$K$131),"")</f>
        <v>78.936999999999998</v>
      </c>
      <c r="L131">
        <f ca="1">IFERROR(IF(0=LEN(ReferenceData!$L$131),"",ReferenceData!$L$131),"")</f>
        <v>73.117000000000004</v>
      </c>
      <c r="M131">
        <f ca="1">IFERROR(IF(0=LEN(ReferenceData!$M$131),"",ReferenceData!$M$131),"")</f>
        <v>75.311999999999998</v>
      </c>
      <c r="N131">
        <f ca="1">IFERROR(IF(0=LEN(ReferenceData!$N$131),"",ReferenceData!$N$131),"")</f>
        <v>66.286000000000001</v>
      </c>
      <c r="O131">
        <f ca="1">IFERROR(IF(0=LEN(ReferenceData!$O$131),"",ReferenceData!$O$131),"")</f>
        <v>70.900000000000006</v>
      </c>
      <c r="P131">
        <f ca="1">IFERROR(IF(0=LEN(ReferenceData!$P$131),"",ReferenceData!$P$131),"")</f>
        <v>69.498000000000005</v>
      </c>
      <c r="Q131">
        <f ca="1">IFERROR(IF(0=LEN(ReferenceData!$Q$131),"",ReferenceData!$Q$131),"")</f>
        <v>57.912999999999997</v>
      </c>
      <c r="R131">
        <f ca="1">IFERROR(IF(0=LEN(ReferenceData!$R$131),"",ReferenceData!$R$131),"")</f>
        <v>60.295999999999999</v>
      </c>
      <c r="S131">
        <f ca="1">IFERROR(IF(0=LEN(ReferenceData!$S$131),"",ReferenceData!$S$131),"")</f>
        <v>62.46</v>
      </c>
      <c r="T131">
        <f ca="1">IFERROR(IF(0=LEN(ReferenceData!$T$131),"",ReferenceData!$T$131),"")</f>
        <v>64.817999999999998</v>
      </c>
      <c r="U131">
        <f ca="1">IFERROR(IF(0=LEN(ReferenceData!$U$131),"",ReferenceData!$U$131),"")</f>
        <v>65.519000000000005</v>
      </c>
      <c r="V131">
        <f ca="1">IFERROR(IF(0=LEN(ReferenceData!$V$131),"",ReferenceData!$V$131),"")</f>
        <v>63.088999999999999</v>
      </c>
      <c r="W131">
        <f ca="1">IFERROR(IF(0=LEN(ReferenceData!$W$131),"",ReferenceData!$W$131),"")</f>
        <v>51.936999999999998</v>
      </c>
      <c r="X131">
        <f ca="1">IFERROR(IF(0=LEN(ReferenceData!$X$131),"",ReferenceData!$X$131),"")</f>
        <v>60.459000000000003</v>
      </c>
      <c r="Y131">
        <f ca="1">IFERROR(IF(0=LEN(ReferenceData!$Y$131),"",ReferenceData!$Y$131),"")</f>
        <v>45.628</v>
      </c>
      <c r="Z131">
        <f ca="1">IFERROR(IF(0=LEN(ReferenceData!$Z$131),"",ReferenceData!$Z$131),"")</f>
        <v>66.042000000000002</v>
      </c>
      <c r="AA131">
        <f ca="1">IFERROR(IF(0=LEN(ReferenceData!$AA$131),"",ReferenceData!$AA$131),"")</f>
        <v>56.981999999999999</v>
      </c>
      <c r="AB131">
        <f ca="1">IFERROR(IF(0=LEN(ReferenceData!$AB$131),"",ReferenceData!$AB$131),"")</f>
        <v>55.058999999999997</v>
      </c>
      <c r="AC131">
        <f ca="1">IFERROR(IF(0=LEN(ReferenceData!$AC$131),"",ReferenceData!$AC$131),"")</f>
        <v>54.716999999999999</v>
      </c>
      <c r="AD131">
        <f ca="1">IFERROR(IF(0=LEN(ReferenceData!$AD$131),"",ReferenceData!$AD$131),"")</f>
        <v>55.796999999999997</v>
      </c>
      <c r="AE131">
        <f ca="1">IFERROR(IF(0=LEN(ReferenceData!$AE$131),"",ReferenceData!$AE$131),"")</f>
        <v>58.112000000000002</v>
      </c>
      <c r="AF131">
        <f ca="1">IFERROR(IF(0=LEN(ReferenceData!$AF$131),"",ReferenceData!$AF$131),"")</f>
        <v>30.684999999999999</v>
      </c>
      <c r="AG131">
        <f ca="1">IFERROR(IF(0=LEN(ReferenceData!$AG$131),"",ReferenceData!$AG$131),"")</f>
        <v>34.286000000000001</v>
      </c>
      <c r="AH131">
        <f ca="1">IFERROR(IF(0=LEN(ReferenceData!$AH$131),"",ReferenceData!$AH$131),"")</f>
        <v>50.241999999999997</v>
      </c>
      <c r="AI131">
        <f ca="1">IFERROR(IF(0=LEN(ReferenceData!$AI$131),"",ReferenceData!$AI$131),"")</f>
        <v>39.033000000000001</v>
      </c>
      <c r="AJ131">
        <f ca="1">IFERROR(IF(0=LEN(ReferenceData!$AJ$131),"",ReferenceData!$AJ$131),"")</f>
        <v>48.656999999999996</v>
      </c>
      <c r="AK131">
        <f ca="1">IFERROR(IF(0=LEN(ReferenceData!$AK$131),"",ReferenceData!$AK$131),"")</f>
        <v>34.470999999999997</v>
      </c>
      <c r="AL131">
        <f ca="1">IFERROR(IF(0=LEN(ReferenceData!$AL$131),"",ReferenceData!$AL$131),"")</f>
        <v>48.875</v>
      </c>
      <c r="AM131">
        <f ca="1">IFERROR(IF(0=LEN(ReferenceData!$AM$131),"",ReferenceData!$AM$131),"")</f>
        <v>51.139000000000003</v>
      </c>
      <c r="AN131">
        <f ca="1">IFERROR(IF(0=LEN(ReferenceData!$AN$131),"",ReferenceData!$AN$131),"")</f>
        <v>29.728999999999999</v>
      </c>
      <c r="AO131">
        <f ca="1">IFERROR(IF(0=LEN(ReferenceData!$AO$131),"",ReferenceData!$AO$131),"")</f>
        <v>69.665000000000006</v>
      </c>
      <c r="AP131">
        <f ca="1">IFERROR(IF(0=LEN(ReferenceData!$AP$131),"",ReferenceData!$AP$131),"")</f>
        <v>67.215999999999994</v>
      </c>
      <c r="AQ131">
        <f ca="1">IFERROR(IF(0=LEN(ReferenceData!$AQ$131),"",ReferenceData!$AQ$131),"")</f>
        <v>12.699</v>
      </c>
      <c r="AR131">
        <f ca="1">IFERROR(IF(0=LEN(ReferenceData!$AR$131),"",ReferenceData!$AR$131),"")</f>
        <v>57.588000000000001</v>
      </c>
      <c r="AS131">
        <f ca="1">IFERROR(IF(0=LEN(ReferenceData!$AS$131),"",ReferenceData!$AS$131),"")</f>
        <v>66.960999999999999</v>
      </c>
      <c r="AT131">
        <f ca="1">IFERROR(IF(0=LEN(ReferenceData!$AT$131),"",ReferenceData!$AT$131),"")</f>
        <v>63.81</v>
      </c>
      <c r="AU131">
        <f ca="1">IFERROR(IF(0=LEN(ReferenceData!$AU$131),"",ReferenceData!$AU$131),"")</f>
        <v>68.25</v>
      </c>
      <c r="AV131">
        <f ca="1">IFERROR(IF(0=LEN(ReferenceData!$AV$131),"",ReferenceData!$AV$131),"")</f>
        <v>69.728999999999999</v>
      </c>
      <c r="AW131">
        <f ca="1">IFERROR(IF(0=LEN(ReferenceData!$AW$131),"",ReferenceData!$AW$131),"")</f>
        <v>67.290000000000006</v>
      </c>
      <c r="AX131">
        <f ca="1">IFERROR(IF(0=LEN(ReferenceData!$AX$131),"",ReferenceData!$AX$131),"")</f>
        <v>66.853999999999999</v>
      </c>
      <c r="AY131">
        <f ca="1">IFERROR(IF(0=LEN(ReferenceData!$AY$131),"",ReferenceData!$AY$131),"")</f>
        <v>64.701999999999998</v>
      </c>
      <c r="AZ131">
        <f ca="1">IFERROR(IF(0=LEN(ReferenceData!$AZ$131),"",ReferenceData!$AZ$131),"")</f>
        <v>64.997</v>
      </c>
      <c r="BA131">
        <f ca="1">IFERROR(IF(0=LEN(ReferenceData!$BA$131),"",ReferenceData!$BA$131),"")</f>
        <v>63.164999999999999</v>
      </c>
      <c r="BB131">
        <f ca="1">IFERROR(IF(0=LEN(ReferenceData!$BB$131),"",ReferenceData!$BB$131),"")</f>
        <v>67.233000000000004</v>
      </c>
      <c r="BC131">
        <f ca="1">IFERROR(IF(0=LEN(ReferenceData!$BC$131),"",ReferenceData!$BC$131),"")</f>
        <v>61.844999999999999</v>
      </c>
      <c r="BD131">
        <f ca="1">IFERROR(IF(0=LEN(ReferenceData!$BD$131),"",ReferenceData!$BD$131),"")</f>
        <v>-64.168999999999997</v>
      </c>
      <c r="BE131">
        <f ca="1">IFERROR(IF(0=LEN(ReferenceData!$BE$131),"",ReferenceData!$BE$131),"")</f>
        <v>64.606999999999999</v>
      </c>
      <c r="BF131">
        <f ca="1">IFERROR(IF(0=LEN(ReferenceData!$BF$131),"",ReferenceData!$BF$131),"")</f>
        <v>61.234999999999999</v>
      </c>
      <c r="BG131">
        <f ca="1">IFERROR(IF(0=LEN(ReferenceData!$BG$131),"",ReferenceData!$BG$131),"")</f>
        <v>61.649000000000001</v>
      </c>
      <c r="BH131">
        <f ca="1">IFERROR(IF(0=LEN(ReferenceData!$BH$131),"",ReferenceData!$BH$131),"")</f>
        <v>-47.963000000000001</v>
      </c>
      <c r="BI131">
        <f ca="1">IFERROR(IF(0=LEN(ReferenceData!$BI$131),"",ReferenceData!$BI$131),"")</f>
        <v>51.645000459999999</v>
      </c>
      <c r="BJ131">
        <f ca="1">IFERROR(IF(0=LEN(ReferenceData!$BJ$131),"",ReferenceData!$BJ$131),"")</f>
        <v>53.567000999999998</v>
      </c>
      <c r="BK131">
        <f ca="1">IFERROR(IF(0=LEN(ReferenceData!$BK$131),"",ReferenceData!$BK$131),"")</f>
        <v>47.914000999999999</v>
      </c>
      <c r="BL131">
        <f ca="1">IFERROR(IF(0=LEN(ReferenceData!$BL$131),"",ReferenceData!$BL$131),"")</f>
        <v>47.407001000000001</v>
      </c>
      <c r="BM131">
        <f ca="1">IFERROR(IF(0=LEN(ReferenceData!$BM$131),"",ReferenceData!$BM$131),"")</f>
        <v>43.514999000000003</v>
      </c>
    </row>
    <row r="132" spans="1:65">
      <c r="A132" t="str">
        <f>IFERROR(IF(0=LEN(ReferenceData!$A$132),"",ReferenceData!$A$132),"")</f>
        <v>可分配资本</v>
      </c>
      <c r="B132" t="str">
        <f>IFERROR(IF(0=LEN(ReferenceData!$B$132),"",ReferenceData!$B$132),"")</f>
        <v/>
      </c>
      <c r="C132" t="str">
        <f>IFERROR(IF(0=LEN(ReferenceData!$C$132),"",ReferenceData!$C$132),"")</f>
        <v/>
      </c>
      <c r="D132" t="str">
        <f>IFERROR(IF(0=LEN(ReferenceData!$D$132),"",ReferenceData!$D$132),"")</f>
        <v/>
      </c>
      <c r="E132" t="str">
        <f>IFERROR(IF(0=LEN(ReferenceData!$E$132),"",ReferenceData!$E$132),"")</f>
        <v>Median</v>
      </c>
      <c r="F132" t="str">
        <f ca="1">IFERROR(IF(0=LEN(ReferenceData!$F$132),"",ReferenceData!$F$132),"")</f>
        <v/>
      </c>
      <c r="G132">
        <f ca="1">IFERROR(IF(0=LEN(ReferenceData!$G$132),"",ReferenceData!$G$132),"")</f>
        <v>95.691999999999993</v>
      </c>
      <c r="H132">
        <f ca="1">IFERROR(IF(0=LEN(ReferenceData!$H$132),"",ReferenceData!$H$132),"")</f>
        <v>87.765000000000001</v>
      </c>
      <c r="I132">
        <f ca="1">IFERROR(IF(0=LEN(ReferenceData!$I$132),"",ReferenceData!$I$132),"")</f>
        <v>84.444999999999993</v>
      </c>
      <c r="J132">
        <f ca="1">IFERROR(IF(0=LEN(ReferenceData!$J$132),"",ReferenceData!$J$132),"")</f>
        <v>89.045000000000002</v>
      </c>
      <c r="K132">
        <f ca="1">IFERROR(IF(0=LEN(ReferenceData!$K$132),"",ReferenceData!$K$132),"")</f>
        <v>90.034999999999997</v>
      </c>
      <c r="L132">
        <f ca="1">IFERROR(IF(0=LEN(ReferenceData!$L$132),"",ReferenceData!$L$132),"")</f>
        <v>84.17</v>
      </c>
      <c r="M132">
        <f ca="1">IFERROR(IF(0=LEN(ReferenceData!$M$132),"",ReferenceData!$M$132),"")</f>
        <v>86.531000000000006</v>
      </c>
      <c r="N132">
        <f ca="1">IFERROR(IF(0=LEN(ReferenceData!$N$132),"",ReferenceData!$N$132),"")</f>
        <v>86.441000000000003</v>
      </c>
      <c r="O132">
        <f ca="1">IFERROR(IF(0=LEN(ReferenceData!$O$132),"",ReferenceData!$O$132),"")</f>
        <v>74.356999999999999</v>
      </c>
      <c r="P132">
        <f ca="1">IFERROR(IF(0=LEN(ReferenceData!$P$132),"",ReferenceData!$P$132),"")</f>
        <v>83.099000000000004</v>
      </c>
      <c r="Q132">
        <f ca="1">IFERROR(IF(0=LEN(ReferenceData!$Q$132),"",ReferenceData!$Q$132),"")</f>
        <v>81.849999999999994</v>
      </c>
      <c r="R132">
        <f ca="1">IFERROR(IF(0=LEN(ReferenceData!$R$132),"",ReferenceData!$R$132),"")</f>
        <v>85.712000000000003</v>
      </c>
      <c r="S132">
        <f ca="1">IFERROR(IF(0=LEN(ReferenceData!$S$132),"",ReferenceData!$S$132),"")</f>
        <v>76.346000000000004</v>
      </c>
      <c r="T132">
        <f ca="1">IFERROR(IF(0=LEN(ReferenceData!$T$132),"",ReferenceData!$T$132),"")</f>
        <v>71.323999999999998</v>
      </c>
      <c r="U132">
        <f ca="1">IFERROR(IF(0=LEN(ReferenceData!$U$132),"",ReferenceData!$U$132),"")</f>
        <v>74.039000000000001</v>
      </c>
      <c r="V132">
        <f ca="1">IFERROR(IF(0=LEN(ReferenceData!$V$132),"",ReferenceData!$V$132),"")</f>
        <v>84.712000000000003</v>
      </c>
      <c r="W132">
        <f ca="1">IFERROR(IF(0=LEN(ReferenceData!$W$132),"",ReferenceData!$W$132),"")</f>
        <v>54.8155</v>
      </c>
      <c r="X132">
        <f ca="1">IFERROR(IF(0=LEN(ReferenceData!$X$132),"",ReferenceData!$X$132),"")</f>
        <v>60.225000000000001</v>
      </c>
      <c r="Y132">
        <f ca="1">IFERROR(IF(0=LEN(ReferenceData!$Y$132),"",ReferenceData!$Y$132),"")</f>
        <v>64.864000000000004</v>
      </c>
      <c r="Z132">
        <f ca="1">IFERROR(IF(0=LEN(ReferenceData!$Z$132),"",ReferenceData!$Z$132),"")</f>
        <v>62.783000000000001</v>
      </c>
      <c r="AA132">
        <f ca="1">IFERROR(IF(0=LEN(ReferenceData!$AA$132),"",ReferenceData!$AA$132),"")</f>
        <v>40.874499999999998</v>
      </c>
      <c r="AB132">
        <f ca="1">IFERROR(IF(0=LEN(ReferenceData!$AB$132),"",ReferenceData!$AB$132),"")</f>
        <v>47.730000000000004</v>
      </c>
      <c r="AC132">
        <f ca="1">IFERROR(IF(0=LEN(ReferenceData!$AC$132),"",ReferenceData!$AC$132),"")</f>
        <v>45.3155</v>
      </c>
      <c r="AD132">
        <f ca="1">IFERROR(IF(0=LEN(ReferenceData!$AD$132),"",ReferenceData!$AD$132),"")</f>
        <v>44.620000000000005</v>
      </c>
      <c r="AE132">
        <f ca="1">IFERROR(IF(0=LEN(ReferenceData!$AE$132),"",ReferenceData!$AE$132),"")</f>
        <v>41.686999999999998</v>
      </c>
      <c r="AF132">
        <f ca="1">IFERROR(IF(0=LEN(ReferenceData!$AF$132),"",ReferenceData!$AF$132),"")</f>
        <v>39.250999999999998</v>
      </c>
      <c r="AG132">
        <f ca="1">IFERROR(IF(0=LEN(ReferenceData!$AG$132),"",ReferenceData!$AG$132),"")</f>
        <v>39.534925999999999</v>
      </c>
      <c r="AH132">
        <f ca="1">IFERROR(IF(0=LEN(ReferenceData!$AH$132),"",ReferenceData!$AH$132),"")</f>
        <v>35.35</v>
      </c>
      <c r="AI132">
        <f ca="1">IFERROR(IF(0=LEN(ReferenceData!$AI$132),"",ReferenceData!$AI$132),"")</f>
        <v>39.9345</v>
      </c>
      <c r="AJ132">
        <f ca="1">IFERROR(IF(0=LEN(ReferenceData!$AJ$132),"",ReferenceData!$AJ$132),"")</f>
        <v>41.353377000000002</v>
      </c>
      <c r="AK132">
        <f ca="1">IFERROR(IF(0=LEN(ReferenceData!$AK$132),"",ReferenceData!$AK$132),"")</f>
        <v>39.548999999999999</v>
      </c>
      <c r="AL132">
        <f ca="1">IFERROR(IF(0=LEN(ReferenceData!$AL$132),"",ReferenceData!$AL$132),"")</f>
        <v>45.033000000000001</v>
      </c>
      <c r="AM132">
        <f ca="1">IFERROR(IF(0=LEN(ReferenceData!$AM$132),"",ReferenceData!$AM$132),"")</f>
        <v>44.233999999999995</v>
      </c>
      <c r="AN132">
        <f ca="1">IFERROR(IF(0=LEN(ReferenceData!$AN$132),"",ReferenceData!$AN$132),"")</f>
        <v>45.95</v>
      </c>
      <c r="AO132">
        <f ca="1">IFERROR(IF(0=LEN(ReferenceData!$AO$132),"",ReferenceData!$AO$132),"")</f>
        <v>45.431397000000004</v>
      </c>
      <c r="AP132">
        <f ca="1">IFERROR(IF(0=LEN(ReferenceData!$AP$132),"",ReferenceData!$AP$132),"")</f>
        <v>47.3061425</v>
      </c>
      <c r="AQ132">
        <f ca="1">IFERROR(IF(0=LEN(ReferenceData!$AQ$132),"",ReferenceData!$AQ$132),"")</f>
        <v>48.075500000000005</v>
      </c>
      <c r="AR132">
        <f ca="1">IFERROR(IF(0=LEN(ReferenceData!$AR$132),"",ReferenceData!$AR$132),"")</f>
        <v>47.865181499999998</v>
      </c>
      <c r="AS132">
        <f ca="1">IFERROR(IF(0=LEN(ReferenceData!$AS$132),"",ReferenceData!$AS$132),"")</f>
        <v>56.063069999999996</v>
      </c>
      <c r="AT132">
        <f ca="1">IFERROR(IF(0=LEN(ReferenceData!$AT$132),"",ReferenceData!$AT$132),"")</f>
        <v>55.141576000000001</v>
      </c>
      <c r="AU132">
        <f ca="1">IFERROR(IF(0=LEN(ReferenceData!$AU$132),"",ReferenceData!$AU$132),"")</f>
        <v>56.125</v>
      </c>
      <c r="AV132">
        <f ca="1">IFERROR(IF(0=LEN(ReferenceData!$AV$132),"",ReferenceData!$AV$132),"")</f>
        <v>52.365527</v>
      </c>
      <c r="AW132">
        <f ca="1">IFERROR(IF(0=LEN(ReferenceData!$AW$132),"",ReferenceData!$AW$132),"")</f>
        <v>53.994856159999998</v>
      </c>
      <c r="AX132">
        <f ca="1">IFERROR(IF(0=LEN(ReferenceData!$AX$132),"",ReferenceData!$AX$132),"")</f>
        <v>56.536999999999999</v>
      </c>
      <c r="AY132">
        <f ca="1">IFERROR(IF(0=LEN(ReferenceData!$AY$132),"",ReferenceData!$AY$132),"")</f>
        <v>53.770499999999998</v>
      </c>
      <c r="AZ132">
        <f ca="1">IFERROR(IF(0=LEN(ReferenceData!$AZ$132),"",ReferenceData!$AZ$132),"")</f>
        <v>50.629242500000004</v>
      </c>
      <c r="BA132">
        <f ca="1">IFERROR(IF(0=LEN(ReferenceData!$BA$132),"",ReferenceData!$BA$132),"")</f>
        <v>48.623414999999994</v>
      </c>
      <c r="BB132">
        <f ca="1">IFERROR(IF(0=LEN(ReferenceData!$BB$132),"",ReferenceData!$BB$132),"")</f>
        <v>48.235223500000004</v>
      </c>
      <c r="BC132">
        <f ca="1">IFERROR(IF(0=LEN(ReferenceData!$BC$132),"",ReferenceData!$BC$132),"")</f>
        <v>61.136500699999999</v>
      </c>
      <c r="BD132">
        <f ca="1">IFERROR(IF(0=LEN(ReferenceData!$BD$132),"",ReferenceData!$BD$132),"")</f>
        <v>47.583912499999997</v>
      </c>
      <c r="BE132">
        <f ca="1">IFERROR(IF(0=LEN(ReferenceData!$BE$132),"",ReferenceData!$BE$132),"")</f>
        <v>65.329018499999989</v>
      </c>
      <c r="BF132">
        <f ca="1">IFERROR(IF(0=LEN(ReferenceData!$BF$132),"",ReferenceData!$BF$132),"")</f>
        <v>59.256535499999998</v>
      </c>
      <c r="BG132">
        <f ca="1">IFERROR(IF(0=LEN(ReferenceData!$BG$132),"",ReferenceData!$BG$132),"")</f>
        <v>61.367000000000004</v>
      </c>
      <c r="BH132">
        <f ca="1">IFERROR(IF(0=LEN(ReferenceData!$BH$132),"",ReferenceData!$BH$132),"")</f>
        <v>63.074253999999996</v>
      </c>
      <c r="BI132">
        <f ca="1">IFERROR(IF(0=LEN(ReferenceData!$BI$132),"",ReferenceData!$BI$132),"")</f>
        <v>49.148500229999996</v>
      </c>
      <c r="BJ132">
        <f ca="1">IFERROR(IF(0=LEN(ReferenceData!$BJ$132),"",ReferenceData!$BJ$132),"")</f>
        <v>47.720500999999999</v>
      </c>
      <c r="BK132">
        <f ca="1">IFERROR(IF(0=LEN(ReferenceData!$BK$132),"",ReferenceData!$BK$132),"")</f>
        <v>55.890998840000002</v>
      </c>
      <c r="BL132">
        <f ca="1">IFERROR(IF(0=LEN(ReferenceData!$BL$132),"",ReferenceData!$BL$132),"")</f>
        <v>47.407001000000001</v>
      </c>
      <c r="BM132">
        <f ca="1">IFERROR(IF(0=LEN(ReferenceData!$BM$132),"",ReferenceData!$BM$132),"")</f>
        <v>42.411998500000003</v>
      </c>
    </row>
    <row r="133" spans="1:65">
      <c r="A133" t="str">
        <f>IFERROR(IF(0=LEN(ReferenceData!$A$133),"",ReferenceData!$A$133),"")</f>
        <v xml:space="preserve">    Brixmor Property Group Inc</v>
      </c>
      <c r="B133" t="str">
        <f>IFERROR(IF(0=LEN(ReferenceData!$B$133),"",ReferenceData!$B$133),"")</f>
        <v>BRX US Equity</v>
      </c>
      <c r="C133" t="str">
        <f>IFERROR(IF(0=LEN(ReferenceData!$C$133),"",ReferenceData!$C$133),"")</f>
        <v>F0578</v>
      </c>
      <c r="D133" t="str">
        <f>IFERROR(IF(0=LEN(ReferenceData!$D$133),"",ReferenceData!$D$133),"")</f>
        <v>FUNDS_AVAILABLE_FOR_DISTRIBUTION</v>
      </c>
      <c r="E133" t="str">
        <f>IFERROR(IF(0=LEN(ReferenceData!$E$133),"",ReferenceData!$E$133),"")</f>
        <v>动态</v>
      </c>
      <c r="F133" t="str">
        <f ca="1">IFERROR(IF(0=LEN(ReferenceData!$F$133),"",ReferenceData!$F$133),"")</f>
        <v/>
      </c>
      <c r="G133">
        <f ca="1">IFERROR(IF(0=LEN(ReferenceData!$G$133),"",ReferenceData!$G$133),"")</f>
        <v>125.199</v>
      </c>
      <c r="H133">
        <f ca="1">IFERROR(IF(0=LEN(ReferenceData!$H$133),"",ReferenceData!$H$133),"")</f>
        <v>136.73599999999999</v>
      </c>
      <c r="I133">
        <f ca="1">IFERROR(IF(0=LEN(ReferenceData!$I$133),"",ReferenceData!$I$133),"")</f>
        <v>125.462</v>
      </c>
      <c r="J133">
        <f ca="1">IFERROR(IF(0=LEN(ReferenceData!$J$133),"",ReferenceData!$J$133),"")</f>
        <v>124.361</v>
      </c>
      <c r="K133">
        <f ca="1">IFERROR(IF(0=LEN(ReferenceData!$K$133),"",ReferenceData!$K$133),"")</f>
        <v>112.533</v>
      </c>
      <c r="L133">
        <f ca="1">IFERROR(IF(0=LEN(ReferenceData!$L$133),"",ReferenceData!$L$133),"")</f>
        <v>120.117</v>
      </c>
      <c r="M133">
        <f ca="1">IFERROR(IF(0=LEN(ReferenceData!$M$133),"",ReferenceData!$M$133),"")</f>
        <v>121.209</v>
      </c>
      <c r="N133">
        <f ca="1">IFERROR(IF(0=LEN(ReferenceData!$N$133),"",ReferenceData!$N$133),"")</f>
        <v>148.60300000000001</v>
      </c>
      <c r="O133">
        <f ca="1">IFERROR(IF(0=LEN(ReferenceData!$O$133),"",ReferenceData!$O$133),"")</f>
        <v>115.316</v>
      </c>
      <c r="P133">
        <f ca="1">IFERROR(IF(0=LEN(ReferenceData!$P$133),"",ReferenceData!$P$133),"")</f>
        <v>125.256</v>
      </c>
      <c r="Q133">
        <f ca="1">IFERROR(IF(0=LEN(ReferenceData!$Q$133),"",ReferenceData!$Q$133),"")</f>
        <v>102.64700000000001</v>
      </c>
      <c r="R133">
        <f ca="1">IFERROR(IF(0=LEN(ReferenceData!$R$133),"",ReferenceData!$R$133),"")</f>
        <v>111.96599999999999</v>
      </c>
      <c r="S133">
        <f ca="1">IFERROR(IF(0=LEN(ReferenceData!$S$133),"",ReferenceData!$S$133),"")</f>
        <v>87.691999999999993</v>
      </c>
      <c r="T133">
        <f ca="1">IFERROR(IF(0=LEN(ReferenceData!$T$133),"",ReferenceData!$T$133),"")</f>
        <v>97.602000000000004</v>
      </c>
      <c r="U133">
        <f ca="1">IFERROR(IF(0=LEN(ReferenceData!$U$133),"",ReferenceData!$U$133),"")</f>
        <v>89.769000000000005</v>
      </c>
      <c r="V133">
        <f ca="1">IFERROR(IF(0=LEN(ReferenceData!$V$133),"",ReferenceData!$V$133),"")</f>
        <v>92.95</v>
      </c>
      <c r="W133">
        <f ca="1">IFERROR(IF(0=LEN(ReferenceData!$W$133),"",ReferenceData!$W$133),"")</f>
        <v>41.027999999999999</v>
      </c>
      <c r="X133">
        <f ca="1">IFERROR(IF(0=LEN(ReferenceData!$X$133),"",ReferenceData!$X$133),"")</f>
        <v>59.055</v>
      </c>
      <c r="Y133">
        <f ca="1">IFERROR(IF(0=LEN(ReferenceData!$Y$133),"",ReferenceData!$Y$133),"")</f>
        <v>103.163</v>
      </c>
      <c r="Z133">
        <f ca="1">IFERROR(IF(0=LEN(ReferenceData!$Z$133),"",ReferenceData!$Z$133),"")</f>
        <v>90.305000000000007</v>
      </c>
      <c r="AA133">
        <f ca="1">IFERROR(IF(0=LEN(ReferenceData!$AA$133),"",ReferenceData!$AA$133),"")</f>
        <v>94.802999999999997</v>
      </c>
      <c r="AB133">
        <f ca="1">IFERROR(IF(0=LEN(ReferenceData!$AB$133),"",ReferenceData!$AB$133),"")</f>
        <v>89.644000000000005</v>
      </c>
      <c r="AC133">
        <f ca="1">IFERROR(IF(0=LEN(ReferenceData!$AC$133),"",ReferenceData!$AC$133),"")</f>
        <v>85.463999999999999</v>
      </c>
      <c r="AD133">
        <f ca="1">IFERROR(IF(0=LEN(ReferenceData!$AD$133),"",ReferenceData!$AD$133),"")</f>
        <v>84.7</v>
      </c>
      <c r="AE133" t="str">
        <f ca="1">IFERROR(IF(0=LEN(ReferenceData!$AE$133),"",ReferenceData!$AE$133),"")</f>
        <v/>
      </c>
      <c r="AF133" t="str">
        <f ca="1">IFERROR(IF(0=LEN(ReferenceData!$AF$133),"",ReferenceData!$AF$133),"")</f>
        <v/>
      </c>
      <c r="AG133" t="str">
        <f ca="1">IFERROR(IF(0=LEN(ReferenceData!$AG$133),"",ReferenceData!$AG$133),"")</f>
        <v/>
      </c>
      <c r="AH133" t="str">
        <f ca="1">IFERROR(IF(0=LEN(ReferenceData!$AH$133),"",ReferenceData!$AH$133),"")</f>
        <v/>
      </c>
      <c r="AI133" t="str">
        <f ca="1">IFERROR(IF(0=LEN(ReferenceData!$AI$133),"",ReferenceData!$AI$133),"")</f>
        <v/>
      </c>
      <c r="AJ133" t="str">
        <f ca="1">IFERROR(IF(0=LEN(ReferenceData!$AJ$133),"",ReferenceData!$AJ$133),"")</f>
        <v/>
      </c>
      <c r="AK133" t="str">
        <f ca="1">IFERROR(IF(0=LEN(ReferenceData!$AK$133),"",ReferenceData!$AK$133),"")</f>
        <v/>
      </c>
      <c r="AL133" t="str">
        <f ca="1">IFERROR(IF(0=LEN(ReferenceData!$AL$133),"",ReferenceData!$AL$133),"")</f>
        <v/>
      </c>
      <c r="AM133" t="str">
        <f ca="1">IFERROR(IF(0=LEN(ReferenceData!$AM$133),"",ReferenceData!$AM$133),"")</f>
        <v/>
      </c>
      <c r="AN133" t="str">
        <f ca="1">IFERROR(IF(0=LEN(ReferenceData!$AN$133),"",ReferenceData!$AN$133),"")</f>
        <v/>
      </c>
      <c r="AO133" t="str">
        <f ca="1">IFERROR(IF(0=LEN(ReferenceData!$AO$133),"",ReferenceData!$AO$133),"")</f>
        <v/>
      </c>
      <c r="AP133" t="str">
        <f ca="1">IFERROR(IF(0=LEN(ReferenceData!$AP$133),"",ReferenceData!$AP$133),"")</f>
        <v/>
      </c>
      <c r="AQ133" t="str">
        <f ca="1">IFERROR(IF(0=LEN(ReferenceData!$AQ$133),"",ReferenceData!$AQ$133),"")</f>
        <v/>
      </c>
      <c r="AR133" t="str">
        <f ca="1">IFERROR(IF(0=LEN(ReferenceData!$AR$133),"",ReferenceData!$AR$133),"")</f>
        <v/>
      </c>
      <c r="AS133" t="str">
        <f ca="1">IFERROR(IF(0=LEN(ReferenceData!$AS$133),"",ReferenceData!$AS$133),"")</f>
        <v/>
      </c>
      <c r="AT133" t="str">
        <f ca="1">IFERROR(IF(0=LEN(ReferenceData!$AT$133),"",ReferenceData!$AT$133),"")</f>
        <v/>
      </c>
      <c r="AU133" t="str">
        <f ca="1">IFERROR(IF(0=LEN(ReferenceData!$AU$133),"",ReferenceData!$AU$133),"")</f>
        <v/>
      </c>
      <c r="AV133" t="str">
        <f ca="1">IFERROR(IF(0=LEN(ReferenceData!$AV$133),"",ReferenceData!$AV$133),"")</f>
        <v/>
      </c>
      <c r="AW133" t="str">
        <f ca="1">IFERROR(IF(0=LEN(ReferenceData!$AW$133),"",ReferenceData!$AW$133),"")</f>
        <v/>
      </c>
      <c r="AX133" t="str">
        <f ca="1">IFERROR(IF(0=LEN(ReferenceData!$AX$133),"",ReferenceData!$AX$133),"")</f>
        <v/>
      </c>
      <c r="AY133" t="str">
        <f ca="1">IFERROR(IF(0=LEN(ReferenceData!$AY$133),"",ReferenceData!$AY$133),"")</f>
        <v/>
      </c>
      <c r="AZ133" t="str">
        <f ca="1">IFERROR(IF(0=LEN(ReferenceData!$AZ$133),"",ReferenceData!$AZ$133),"")</f>
        <v/>
      </c>
      <c r="BA133" t="str">
        <f ca="1">IFERROR(IF(0=LEN(ReferenceData!$BA$133),"",ReferenceData!$BA$133),"")</f>
        <v/>
      </c>
      <c r="BB133" t="str">
        <f ca="1">IFERROR(IF(0=LEN(ReferenceData!$BB$133),"",ReferenceData!$BB$133),"")</f>
        <v/>
      </c>
      <c r="BC133" t="str">
        <f ca="1">IFERROR(IF(0=LEN(ReferenceData!$BC$133),"",ReferenceData!$BC$133),"")</f>
        <v/>
      </c>
      <c r="BD133" t="str">
        <f ca="1">IFERROR(IF(0=LEN(ReferenceData!$BD$133),"",ReferenceData!$BD$133),"")</f>
        <v/>
      </c>
      <c r="BE133" t="str">
        <f ca="1">IFERROR(IF(0=LEN(ReferenceData!$BE$133),"",ReferenceData!$BE$133),"")</f>
        <v/>
      </c>
      <c r="BF133" t="str">
        <f ca="1">IFERROR(IF(0=LEN(ReferenceData!$BF$133),"",ReferenceData!$BF$133),"")</f>
        <v/>
      </c>
      <c r="BG133" t="str">
        <f ca="1">IFERROR(IF(0=LEN(ReferenceData!$BG$133),"",ReferenceData!$BG$133),"")</f>
        <v/>
      </c>
      <c r="BH133" t="str">
        <f ca="1">IFERROR(IF(0=LEN(ReferenceData!$BH$133),"",ReferenceData!$BH$133),"")</f>
        <v/>
      </c>
      <c r="BI133" t="str">
        <f ca="1">IFERROR(IF(0=LEN(ReferenceData!$BI$133),"",ReferenceData!$BI$133),"")</f>
        <v/>
      </c>
      <c r="BJ133" t="str">
        <f ca="1">IFERROR(IF(0=LEN(ReferenceData!$BJ$133),"",ReferenceData!$BJ$133),"")</f>
        <v/>
      </c>
      <c r="BK133" t="str">
        <f ca="1">IFERROR(IF(0=LEN(ReferenceData!$BK$133),"",ReferenceData!$BK$133),"")</f>
        <v/>
      </c>
      <c r="BL133" t="str">
        <f ca="1">IFERROR(IF(0=LEN(ReferenceData!$BL$133),"",ReferenceData!$BL$133),"")</f>
        <v/>
      </c>
      <c r="BM133" t="str">
        <f ca="1">IFERROR(IF(0=LEN(ReferenceData!$BM$133),"",ReferenceData!$BM$133),"")</f>
        <v/>
      </c>
    </row>
    <row r="134" spans="1:65">
      <c r="A134" t="str">
        <f>IFERROR(IF(0=LEN(ReferenceData!$A$134),"",ReferenceData!$A$134),"")</f>
        <v xml:space="preserve">    CBL &amp; Associates Properties In</v>
      </c>
      <c r="B134" t="str">
        <f>IFERROR(IF(0=LEN(ReferenceData!$B$134),"",ReferenceData!$B$134),"")</f>
        <v>CBL US Equity</v>
      </c>
      <c r="C134" t="str">
        <f>IFERROR(IF(0=LEN(ReferenceData!$C$134),"",ReferenceData!$C$134),"")</f>
        <v>F0578</v>
      </c>
      <c r="D134" t="str">
        <f>IFERROR(IF(0=LEN(ReferenceData!$D$134),"",ReferenceData!$D$134),"")</f>
        <v>FUNDS_AVAILABLE_FOR_DISTRIBUTION</v>
      </c>
      <c r="E134" t="str">
        <f>IFERROR(IF(0=LEN(ReferenceData!$E$134),"",ReferenceData!$E$134),"")</f>
        <v>动态</v>
      </c>
      <c r="F134" t="str">
        <f ca="1">IFERROR(IF(0=LEN(ReferenceData!$F$134),"",ReferenceData!$F$134),"")</f>
        <v/>
      </c>
      <c r="G134">
        <f ca="1">IFERROR(IF(0=LEN(ReferenceData!$G$134),"",ReferenceData!$G$134),"")</f>
        <v>113.17700000000001</v>
      </c>
      <c r="H134">
        <f ca="1">IFERROR(IF(0=LEN(ReferenceData!$H$134),"",ReferenceData!$H$134),"")</f>
        <v>78.064999999999998</v>
      </c>
      <c r="I134">
        <f ca="1">IFERROR(IF(0=LEN(ReferenceData!$I$134),"",ReferenceData!$I$134),"")</f>
        <v>80.085999999999999</v>
      </c>
      <c r="J134">
        <f ca="1">IFERROR(IF(0=LEN(ReferenceData!$J$134),"",ReferenceData!$J$134),"")</f>
        <v>87.257000000000005</v>
      </c>
      <c r="K134">
        <f ca="1">IFERROR(IF(0=LEN(ReferenceData!$K$134),"",ReferenceData!$K$134),"")</f>
        <v>113.524</v>
      </c>
      <c r="L134">
        <f ca="1">IFERROR(IF(0=LEN(ReferenceData!$L$134),"",ReferenceData!$L$134),"")</f>
        <v>84.17</v>
      </c>
      <c r="M134">
        <f ca="1">IFERROR(IF(0=LEN(ReferenceData!$M$134),"",ReferenceData!$M$134),"")</f>
        <v>92.33</v>
      </c>
      <c r="N134">
        <f ca="1">IFERROR(IF(0=LEN(ReferenceData!$N$134),"",ReferenceData!$N$134),"")</f>
        <v>94.388000000000005</v>
      </c>
      <c r="O134">
        <f ca="1">IFERROR(IF(0=LEN(ReferenceData!$O$134),"",ReferenceData!$O$134),"")</f>
        <v>116.657</v>
      </c>
      <c r="P134">
        <f ca="1">IFERROR(IF(0=LEN(ReferenceData!$P$134),"",ReferenceData!$P$134),"")</f>
        <v>76.983000000000004</v>
      </c>
      <c r="Q134">
        <f ca="1">IFERROR(IF(0=LEN(ReferenceData!$Q$134),"",ReferenceData!$Q$134),"")</f>
        <v>81.849999999999994</v>
      </c>
      <c r="R134">
        <f ca="1">IFERROR(IF(0=LEN(ReferenceData!$R$134),"",ReferenceData!$R$134),"")</f>
        <v>85.712000000000003</v>
      </c>
      <c r="S134">
        <f ca="1">IFERROR(IF(0=LEN(ReferenceData!$S$134),"",ReferenceData!$S$134),"")</f>
        <v>105.952</v>
      </c>
      <c r="T134">
        <f ca="1">IFERROR(IF(0=LEN(ReferenceData!$T$134),"",ReferenceData!$T$134),"")</f>
        <v>74.173000000000002</v>
      </c>
      <c r="U134">
        <f ca="1">IFERROR(IF(0=LEN(ReferenceData!$U$134),"",ReferenceData!$U$134),"")</f>
        <v>90.463999999999999</v>
      </c>
      <c r="V134">
        <f ca="1">IFERROR(IF(0=LEN(ReferenceData!$V$134),"",ReferenceData!$V$134),"")</f>
        <v>86.834999999999994</v>
      </c>
      <c r="W134">
        <f ca="1">IFERROR(IF(0=LEN(ReferenceData!$W$134),"",ReferenceData!$W$134),"")</f>
        <v>93.614000000000004</v>
      </c>
      <c r="X134">
        <f ca="1">IFERROR(IF(0=LEN(ReferenceData!$X$134),"",ReferenceData!$X$134),"")</f>
        <v>50.427</v>
      </c>
      <c r="Y134">
        <f ca="1">IFERROR(IF(0=LEN(ReferenceData!$Y$134),"",ReferenceData!$Y$134),"")</f>
        <v>77.932000000000002</v>
      </c>
      <c r="Z134">
        <f ca="1">IFERROR(IF(0=LEN(ReferenceData!$Z$134),"",ReferenceData!$Z$134),"")</f>
        <v>74.933000000000007</v>
      </c>
      <c r="AA134">
        <f ca="1">IFERROR(IF(0=LEN(ReferenceData!$AA$134),"",ReferenceData!$AA$134),"")</f>
        <v>28.363</v>
      </c>
      <c r="AB134">
        <f ca="1">IFERROR(IF(0=LEN(ReferenceData!$AB$134),"",ReferenceData!$AB$134),"")</f>
        <v>55.188000000000002</v>
      </c>
      <c r="AC134">
        <f ca="1">IFERROR(IF(0=LEN(ReferenceData!$AC$134),"",ReferenceData!$AC$134),"")</f>
        <v>46.77</v>
      </c>
      <c r="AD134">
        <f ca="1">IFERROR(IF(0=LEN(ReferenceData!$AD$134),"",ReferenceData!$AD$134),"")</f>
        <v>56.984999999999999</v>
      </c>
      <c r="AE134">
        <f ca="1">IFERROR(IF(0=LEN(ReferenceData!$AE$134),"",ReferenceData!$AE$134),"")</f>
        <v>63.63</v>
      </c>
      <c r="AF134">
        <f ca="1">IFERROR(IF(0=LEN(ReferenceData!$AF$134),"",ReferenceData!$AF$134),"")</f>
        <v>49.811999999999998</v>
      </c>
      <c r="AG134">
        <f ca="1">IFERROR(IF(0=LEN(ReferenceData!$AG$134),"",ReferenceData!$AG$134),"")</f>
        <v>53.064999999999998</v>
      </c>
      <c r="AH134">
        <f ca="1">IFERROR(IF(0=LEN(ReferenceData!$AH$134),"",ReferenceData!$AH$134),"")</f>
        <v>27.527000000000001</v>
      </c>
      <c r="AI134">
        <f ca="1">IFERROR(IF(0=LEN(ReferenceData!$AI$134),"",ReferenceData!$AI$134),"")</f>
        <v>84.572000000000003</v>
      </c>
      <c r="AJ134">
        <f ca="1">IFERROR(IF(0=LEN(ReferenceData!$AJ$134),"",ReferenceData!$AJ$134),"")</f>
        <v>40.732999999999997</v>
      </c>
      <c r="AK134">
        <f ca="1">IFERROR(IF(0=LEN(ReferenceData!$AK$134),"",ReferenceData!$AK$134),"")</f>
        <v>73.257000000000005</v>
      </c>
      <c r="AL134">
        <f ca="1">IFERROR(IF(0=LEN(ReferenceData!$AL$134),"",ReferenceData!$AL$134),"")</f>
        <v>56.738</v>
      </c>
      <c r="AM134">
        <f ca="1">IFERROR(IF(0=LEN(ReferenceData!$AM$134),"",ReferenceData!$AM$134),"")</f>
        <v>101.089</v>
      </c>
      <c r="AN134">
        <f ca="1">IFERROR(IF(0=LEN(ReferenceData!$AN$134),"",ReferenceData!$AN$134),"")</f>
        <v>45.95</v>
      </c>
      <c r="AO134">
        <f ca="1">IFERROR(IF(0=LEN(ReferenceData!$AO$134),"",ReferenceData!$AO$134),"")</f>
        <v>42.466000000000001</v>
      </c>
      <c r="AP134">
        <f ca="1">IFERROR(IF(0=LEN(ReferenceData!$AP$134),"",ReferenceData!$AP$134),"")</f>
        <v>43.136000000000003</v>
      </c>
      <c r="AQ134">
        <f ca="1">IFERROR(IF(0=LEN(ReferenceData!$AQ$134),"",ReferenceData!$AQ$134),"")</f>
        <v>41.167000000000002</v>
      </c>
      <c r="AR134">
        <f ca="1">IFERROR(IF(0=LEN(ReferenceData!$AR$134),"",ReferenceData!$AR$134),"")</f>
        <v>40.064</v>
      </c>
      <c r="AS134">
        <f ca="1">IFERROR(IF(0=LEN(ReferenceData!$AS$134),"",ReferenceData!$AS$134),"")</f>
        <v>32.146999999999998</v>
      </c>
      <c r="AT134">
        <f ca="1">IFERROR(IF(0=LEN(ReferenceData!$AT$134),"",ReferenceData!$AT$134),"")</f>
        <v>36.319000000000003</v>
      </c>
      <c r="AU134">
        <f ca="1">IFERROR(IF(0=LEN(ReferenceData!$AU$134),"",ReferenceData!$AU$134),"")</f>
        <v>12.738</v>
      </c>
      <c r="AV134">
        <f ca="1">IFERROR(IF(0=LEN(ReferenceData!$AV$134),"",ReferenceData!$AV$134),"")</f>
        <v>14.132999999999999</v>
      </c>
      <c r="AW134">
        <f ca="1">IFERROR(IF(0=LEN(ReferenceData!$AW$134),"",ReferenceData!$AW$134),"")</f>
        <v>21.773</v>
      </c>
      <c r="AX134">
        <f ca="1">IFERROR(IF(0=LEN(ReferenceData!$AX$134),"",ReferenceData!$AX$134),"")</f>
        <v>29.992000000000001</v>
      </c>
      <c r="AY134">
        <f ca="1">IFERROR(IF(0=LEN(ReferenceData!$AY$134),"",ReferenceData!$AY$134),"")</f>
        <v>19.558</v>
      </c>
      <c r="AZ134">
        <f ca="1">IFERROR(IF(0=LEN(ReferenceData!$AZ$134),"",ReferenceData!$AZ$134),"")</f>
        <v>15.430999999999999</v>
      </c>
      <c r="BA134">
        <f ca="1">IFERROR(IF(0=LEN(ReferenceData!$BA$134),"",ReferenceData!$BA$134),"")</f>
        <v>27.091999999999999</v>
      </c>
      <c r="BB134">
        <f ca="1">IFERROR(IF(0=LEN(ReferenceData!$BB$134),"",ReferenceData!$BB$134),"")</f>
        <v>43.13</v>
      </c>
      <c r="BC134">
        <f ca="1">IFERROR(IF(0=LEN(ReferenceData!$BC$134),"",ReferenceData!$BC$134),"")</f>
        <v>56.606999999999999</v>
      </c>
      <c r="BD134">
        <f ca="1">IFERROR(IF(0=LEN(ReferenceData!$BD$134),"",ReferenceData!$BD$134),"")</f>
        <v>114.41</v>
      </c>
      <c r="BE134">
        <f ca="1">IFERROR(IF(0=LEN(ReferenceData!$BE$134),"",ReferenceData!$BE$134),"")</f>
        <v>83.203000000000003</v>
      </c>
      <c r="BF134">
        <f ca="1">IFERROR(IF(0=LEN(ReferenceData!$BF$134),"",ReferenceData!$BF$134),"")</f>
        <v>88.460999999999999</v>
      </c>
      <c r="BG134">
        <f ca="1">IFERROR(IF(0=LEN(ReferenceData!$BG$134),"",ReferenceData!$BG$134),"")</f>
        <v>96.772000000000006</v>
      </c>
      <c r="BH134">
        <f ca="1">IFERROR(IF(0=LEN(ReferenceData!$BH$134),"",ReferenceData!$BH$134),"")</f>
        <v>75.235000999999997</v>
      </c>
      <c r="BI134">
        <f ca="1">IFERROR(IF(0=LEN(ReferenceData!$BI$134),"",ReferenceData!$BI$134),"")</f>
        <v>68.737999000000002</v>
      </c>
      <c r="BJ134">
        <f ca="1">IFERROR(IF(0=LEN(ReferenceData!$BJ$134),"",ReferenceData!$BJ$134),"")</f>
        <v>69.660004000000001</v>
      </c>
      <c r="BK134">
        <f ca="1">IFERROR(IF(0=LEN(ReferenceData!$BK$134),"",ReferenceData!$BK$134),"")</f>
        <v>71.084998999999996</v>
      </c>
      <c r="BL134">
        <f ca="1">IFERROR(IF(0=LEN(ReferenceData!$BL$134),"",ReferenceData!$BL$134),"")</f>
        <v>65.801002999999994</v>
      </c>
      <c r="BM134">
        <f ca="1">IFERROR(IF(0=LEN(ReferenceData!$BM$134),"",ReferenceData!$BM$134),"")</f>
        <v>67.405997999999997</v>
      </c>
    </row>
    <row r="135" spans="1:65">
      <c r="A135" t="str">
        <f>IFERROR(IF(0=LEN(ReferenceData!$A$135),"",ReferenceData!$A$135),"")</f>
        <v xml:space="preserve">    DDR Corp</v>
      </c>
      <c r="B135" t="str">
        <f>IFERROR(IF(0=LEN(ReferenceData!$B$135),"",ReferenceData!$B$135),"")</f>
        <v>DDR US Equity</v>
      </c>
      <c r="C135" t="str">
        <f>IFERROR(IF(0=LEN(ReferenceData!$C$135),"",ReferenceData!$C$135),"")</f>
        <v>F0578</v>
      </c>
      <c r="D135" t="str">
        <f>IFERROR(IF(0=LEN(ReferenceData!$D$135),"",ReferenceData!$D$135),"")</f>
        <v>FUNDS_AVAILABLE_FOR_DISTRIBUTION</v>
      </c>
      <c r="E135" t="str">
        <f>IFERROR(IF(0=LEN(ReferenceData!$E$135),"",ReferenceData!$E$135),"")</f>
        <v>动态</v>
      </c>
      <c r="F135" t="str">
        <f ca="1">IFERROR(IF(0=LEN(ReferenceData!$F$135),"",ReferenceData!$F$135),"")</f>
        <v/>
      </c>
      <c r="G135">
        <f ca="1">IFERROR(IF(0=LEN(ReferenceData!$G$135),"",ReferenceData!$G$135),"")</f>
        <v>96.277000000000001</v>
      </c>
      <c r="H135">
        <f ca="1">IFERROR(IF(0=LEN(ReferenceData!$H$135),"",ReferenceData!$H$135),"")</f>
        <v>105.334</v>
      </c>
      <c r="I135">
        <f ca="1">IFERROR(IF(0=LEN(ReferenceData!$I$135),"",ReferenceData!$I$135),"")</f>
        <v>97.793000000000006</v>
      </c>
      <c r="J135">
        <f ca="1">IFERROR(IF(0=LEN(ReferenceData!$J$135),"",ReferenceData!$J$135),"")</f>
        <v>95.513999999999996</v>
      </c>
      <c r="K135">
        <f ca="1">IFERROR(IF(0=LEN(ReferenceData!$K$135),"",ReferenceData!$K$135),"")</f>
        <v>99.36</v>
      </c>
      <c r="L135">
        <f ca="1">IFERROR(IF(0=LEN(ReferenceData!$L$135),"",ReferenceData!$L$135),"")</f>
        <v>122.083</v>
      </c>
      <c r="M135">
        <f ca="1">IFERROR(IF(0=LEN(ReferenceData!$M$135),"",ReferenceData!$M$135),"")</f>
        <v>109.16</v>
      </c>
      <c r="N135">
        <f ca="1">IFERROR(IF(0=LEN(ReferenceData!$N$135),"",ReferenceData!$N$135),"")</f>
        <v>108.316</v>
      </c>
      <c r="O135">
        <f ca="1">IFERROR(IF(0=LEN(ReferenceData!$O$135),"",ReferenceData!$O$135),"")</f>
        <v>99.055000000000007</v>
      </c>
      <c r="P135">
        <f ca="1">IFERROR(IF(0=LEN(ReferenceData!$P$135),"",ReferenceData!$P$135),"")</f>
        <v>130.69999999999999</v>
      </c>
      <c r="Q135">
        <f ca="1">IFERROR(IF(0=LEN(ReferenceData!$Q$135),"",ReferenceData!$Q$135),"")</f>
        <v>97.938999999999993</v>
      </c>
      <c r="R135">
        <f ca="1">IFERROR(IF(0=LEN(ReferenceData!$R$135),"",ReferenceData!$R$135),"")</f>
        <v>95.302999999999997</v>
      </c>
      <c r="S135">
        <f ca="1">IFERROR(IF(0=LEN(ReferenceData!$S$135),"",ReferenceData!$S$135),"")</f>
        <v>96.894000000000005</v>
      </c>
      <c r="T135">
        <f ca="1">IFERROR(IF(0=LEN(ReferenceData!$T$135),"",ReferenceData!$T$135),"")</f>
        <v>87.2</v>
      </c>
      <c r="U135">
        <f ca="1">IFERROR(IF(0=LEN(ReferenceData!$U$135),"",ReferenceData!$U$135),"")</f>
        <v>86.825999999999993</v>
      </c>
      <c r="V135">
        <f ca="1">IFERROR(IF(0=LEN(ReferenceData!$V$135),"",ReferenceData!$V$135),"")</f>
        <v>84.712000000000003</v>
      </c>
      <c r="W135">
        <f ca="1">IFERROR(IF(0=LEN(ReferenceData!$W$135),"",ReferenceData!$W$135),"")</f>
        <v>87.962999999999994</v>
      </c>
      <c r="X135">
        <f ca="1">IFERROR(IF(0=LEN(ReferenceData!$X$135),"",ReferenceData!$X$135),"")</f>
        <v>74.977999999999994</v>
      </c>
      <c r="Y135">
        <f ca="1">IFERROR(IF(0=LEN(ReferenceData!$Y$135),"",ReferenceData!$Y$135),"")</f>
        <v>67.194000000000003</v>
      </c>
      <c r="Z135">
        <f ca="1">IFERROR(IF(0=LEN(ReferenceData!$Z$135),"",ReferenceData!$Z$135),"")</f>
        <v>68.552000000000007</v>
      </c>
      <c r="AA135">
        <f ca="1">IFERROR(IF(0=LEN(ReferenceData!$AA$135),"",ReferenceData!$AA$135),"")</f>
        <v>72.397000000000006</v>
      </c>
      <c r="AB135">
        <f ca="1">IFERROR(IF(0=LEN(ReferenceData!$AB$135),"",ReferenceData!$AB$135),"")</f>
        <v>117.122</v>
      </c>
      <c r="AC135">
        <f ca="1">IFERROR(IF(0=LEN(ReferenceData!$AC$135),"",ReferenceData!$AC$135),"")</f>
        <v>61.712000000000003</v>
      </c>
      <c r="AD135">
        <f ca="1">IFERROR(IF(0=LEN(ReferenceData!$AD$135),"",ReferenceData!$AD$135),"")</f>
        <v>55.805999999999997</v>
      </c>
      <c r="AE135">
        <f ca="1">IFERROR(IF(0=LEN(ReferenceData!$AE$135),"",ReferenceData!$AE$135),"")</f>
        <v>62.795000000000002</v>
      </c>
      <c r="AF135">
        <f ca="1">IFERROR(IF(0=LEN(ReferenceData!$AF$135),"",ReferenceData!$AF$135),"")</f>
        <v>57.401000000000003</v>
      </c>
      <c r="AG135">
        <f ca="1">IFERROR(IF(0=LEN(ReferenceData!$AG$135),"",ReferenceData!$AG$135),"")</f>
        <v>55.72</v>
      </c>
      <c r="AH135">
        <f ca="1">IFERROR(IF(0=LEN(ReferenceData!$AH$135),"",ReferenceData!$AH$135),"")</f>
        <v>55.19</v>
      </c>
      <c r="AI135">
        <f ca="1">IFERROR(IF(0=LEN(ReferenceData!$AI$135),"",ReferenceData!$AI$135),"")</f>
        <v>70.195999999999998</v>
      </c>
      <c r="AJ135">
        <f ca="1">IFERROR(IF(0=LEN(ReferenceData!$AJ$135),"",ReferenceData!$AJ$135),"")</f>
        <v>101.143</v>
      </c>
      <c r="AK135">
        <f ca="1">IFERROR(IF(0=LEN(ReferenceData!$AK$135),"",ReferenceData!$AK$135),"")</f>
        <v>15.622999999999999</v>
      </c>
      <c r="AL135">
        <f ca="1">IFERROR(IF(0=LEN(ReferenceData!$AL$135),"",ReferenceData!$AL$135),"")</f>
        <v>63.496000000000002</v>
      </c>
      <c r="AM135">
        <f ca="1">IFERROR(IF(0=LEN(ReferenceData!$AM$135),"",ReferenceData!$AM$135),"")</f>
        <v>67.356999999999999</v>
      </c>
      <c r="AN135">
        <f ca="1">IFERROR(IF(0=LEN(ReferenceData!$AN$135),"",ReferenceData!$AN$135),"")</f>
        <v>-190.33099999999999</v>
      </c>
      <c r="AO135">
        <f ca="1">IFERROR(IF(0=LEN(ReferenceData!$AO$135),"",ReferenceData!$AO$135),"")</f>
        <v>76.974000000000004</v>
      </c>
      <c r="AP135">
        <f ca="1">IFERROR(IF(0=LEN(ReferenceData!$AP$135),"",ReferenceData!$AP$135),"")</f>
        <v>90.076999999999998</v>
      </c>
      <c r="AQ135">
        <f ca="1">IFERROR(IF(0=LEN(ReferenceData!$AQ$135),"",ReferenceData!$AQ$135),"")</f>
        <v>93.257000000000005</v>
      </c>
      <c r="AR135">
        <f ca="1">IFERROR(IF(0=LEN(ReferenceData!$AR$135),"",ReferenceData!$AR$135),"")</f>
        <v>104.72199999999999</v>
      </c>
      <c r="AS135">
        <f ca="1">IFERROR(IF(0=LEN(ReferenceData!$AS$135),"",ReferenceData!$AS$135),"")</f>
        <v>99.921999999999997</v>
      </c>
      <c r="AT135">
        <f ca="1">IFERROR(IF(0=LEN(ReferenceData!$AT$135),"",ReferenceData!$AT$135),"")</f>
        <v>100.47799999999999</v>
      </c>
      <c r="AU135">
        <f ca="1">IFERROR(IF(0=LEN(ReferenceData!$AU$135),"",ReferenceData!$AU$135),"")</f>
        <v>105.61199999999999</v>
      </c>
      <c r="AV135">
        <f ca="1">IFERROR(IF(0=LEN(ReferenceData!$AV$135),"",ReferenceData!$AV$135),"")</f>
        <v>101.422</v>
      </c>
      <c r="AW135">
        <f ca="1">IFERROR(IF(0=LEN(ReferenceData!$AW$135),"",ReferenceData!$AW$135),"")</f>
        <v>164.00700000000001</v>
      </c>
      <c r="AX135">
        <f ca="1">IFERROR(IF(0=LEN(ReferenceData!$AX$135),"",ReferenceData!$AX$135),"")</f>
        <v>113.102</v>
      </c>
      <c r="AY135">
        <f ca="1">IFERROR(IF(0=LEN(ReferenceData!$AY$135),"",ReferenceData!$AY$135),"")</f>
        <v>97.951999999999998</v>
      </c>
      <c r="AZ135">
        <f ca="1">IFERROR(IF(0=LEN(ReferenceData!$AZ$135),"",ReferenceData!$AZ$135),"")</f>
        <v>97.637</v>
      </c>
      <c r="BA135">
        <f ca="1">IFERROR(IF(0=LEN(ReferenceData!$BA$135),"",ReferenceData!$BA$135),"")</f>
        <v>116.82</v>
      </c>
      <c r="BB135">
        <f ca="1">IFERROR(IF(0=LEN(ReferenceData!$BB$135),"",ReferenceData!$BB$135),"")</f>
        <v>90.433000000000007</v>
      </c>
      <c r="BC135">
        <f ca="1">IFERROR(IF(0=LEN(ReferenceData!$BC$135),"",ReferenceData!$BC$135),"")</f>
        <v>95.504000000000005</v>
      </c>
      <c r="BD135">
        <f ca="1">IFERROR(IF(0=LEN(ReferenceData!$BD$135),"",ReferenceData!$BD$135),"")</f>
        <v>81.783000000000001</v>
      </c>
      <c r="BE135">
        <f ca="1">IFERROR(IF(0=LEN(ReferenceData!$BE$135),"",ReferenceData!$BE$135),"")</f>
        <v>92.534999999999997</v>
      </c>
      <c r="BF135">
        <f ca="1">IFERROR(IF(0=LEN(ReferenceData!$BF$135),"",ReferenceData!$BF$135),"")</f>
        <v>112.863</v>
      </c>
      <c r="BG135">
        <f ca="1">IFERROR(IF(0=LEN(ReferenceData!$BG$135),"",ReferenceData!$BG$135),"")</f>
        <v>73.03</v>
      </c>
      <c r="BH135">
        <f ca="1">IFERROR(IF(0=LEN(ReferenceData!$BH$135),"",ReferenceData!$BH$135),"")</f>
        <v>74.887</v>
      </c>
      <c r="BI135">
        <f ca="1">IFERROR(IF(0=LEN(ReferenceData!$BI$135),"",ReferenceData!$BI$135),"")</f>
        <v>20.716999999999999</v>
      </c>
      <c r="BJ135">
        <f ca="1">IFERROR(IF(0=LEN(ReferenceData!$BJ$135),"",ReferenceData!$BJ$135),"")</f>
        <v>73.411000000000001</v>
      </c>
      <c r="BK135">
        <f ca="1">IFERROR(IF(0=LEN(ReferenceData!$BK$135),"",ReferenceData!$BK$135),"")</f>
        <v>60.131000520000001</v>
      </c>
      <c r="BL135">
        <f ca="1">IFERROR(IF(0=LEN(ReferenceData!$BL$135),"",ReferenceData!$BL$135),"")</f>
        <v>10.201000000000001</v>
      </c>
      <c r="BM135">
        <f ca="1">IFERROR(IF(0=LEN(ReferenceData!$BM$135),"",ReferenceData!$BM$135),"")</f>
        <v>9.2769999999999992</v>
      </c>
    </row>
    <row r="136" spans="1:65">
      <c r="A136" t="str">
        <f>IFERROR(IF(0=LEN(ReferenceData!$A$136),"",ReferenceData!$A$136),"")</f>
        <v xml:space="preserve">    Federal Realty Investment Trus</v>
      </c>
      <c r="B136" t="str">
        <f>IFERROR(IF(0=LEN(ReferenceData!$B$136),"",ReferenceData!$B$136),"")</f>
        <v>FRT US Equity</v>
      </c>
      <c r="C136" t="str">
        <f>IFERROR(IF(0=LEN(ReferenceData!$C$136),"",ReferenceData!$C$136),"")</f>
        <v>F0578</v>
      </c>
      <c r="D136" t="str">
        <f>IFERROR(IF(0=LEN(ReferenceData!$D$136),"",ReferenceData!$D$136),"")</f>
        <v>FUNDS_AVAILABLE_FOR_DISTRIBUTION</v>
      </c>
      <c r="E136" t="str">
        <f>IFERROR(IF(0=LEN(ReferenceData!$E$136),"",ReferenceData!$E$136),"")</f>
        <v>动态</v>
      </c>
      <c r="F136" t="str">
        <f ca="1">IFERROR(IF(0=LEN(ReferenceData!$F$136),"",ReferenceData!$F$136),"")</f>
        <v/>
      </c>
      <c r="G136">
        <f ca="1">IFERROR(IF(0=LEN(ReferenceData!$G$136),"",ReferenceData!$G$136),"")</f>
        <v>76.596999999999994</v>
      </c>
      <c r="H136">
        <f ca="1">IFERROR(IF(0=LEN(ReferenceData!$H$136),"",ReferenceData!$H$136),"")</f>
        <v>87.765000000000001</v>
      </c>
      <c r="I136">
        <f ca="1">IFERROR(IF(0=LEN(ReferenceData!$I$136),"",ReferenceData!$I$136),"")</f>
        <v>84.444999999999993</v>
      </c>
      <c r="J136">
        <f ca="1">IFERROR(IF(0=LEN(ReferenceData!$J$136),"",ReferenceData!$J$136),"")</f>
        <v>88.518000000000001</v>
      </c>
      <c r="K136">
        <f ca="1">IFERROR(IF(0=LEN(ReferenceData!$K$136),"",ReferenceData!$K$136),"")</f>
        <v>78.385999999999996</v>
      </c>
      <c r="L136">
        <f ca="1">IFERROR(IF(0=LEN(ReferenceData!$L$136),"",ReferenceData!$L$136),"")</f>
        <v>81.736000000000004</v>
      </c>
      <c r="M136">
        <f ca="1">IFERROR(IF(0=LEN(ReferenceData!$M$136),"",ReferenceData!$M$136),"")</f>
        <v>85.322000000000003</v>
      </c>
      <c r="N136">
        <f ca="1">IFERROR(IF(0=LEN(ReferenceData!$N$136),"",ReferenceData!$N$136),"")</f>
        <v>86.441000000000003</v>
      </c>
      <c r="O136">
        <f ca="1">IFERROR(IF(0=LEN(ReferenceData!$O$136),"",ReferenceData!$O$136),"")</f>
        <v>74.356999999999999</v>
      </c>
      <c r="P136">
        <f ca="1">IFERROR(IF(0=LEN(ReferenceData!$P$136),"",ReferenceData!$P$136),"")</f>
        <v>83.494</v>
      </c>
      <c r="Q136">
        <f ca="1">IFERROR(IF(0=LEN(ReferenceData!$Q$136),"",ReferenceData!$Q$136),"")</f>
        <v>80.741</v>
      </c>
      <c r="R136">
        <f ca="1">IFERROR(IF(0=LEN(ReferenceData!$R$136),"",ReferenceData!$R$136),"")</f>
        <v>79.221999999999994</v>
      </c>
      <c r="S136">
        <f ca="1">IFERROR(IF(0=LEN(ReferenceData!$S$136),"",ReferenceData!$S$136),"")</f>
        <v>70.861999999999995</v>
      </c>
      <c r="T136">
        <f ca="1">IFERROR(IF(0=LEN(ReferenceData!$T$136),"",ReferenceData!$T$136),"")</f>
        <v>71.441999999999993</v>
      </c>
      <c r="U136">
        <f ca="1">IFERROR(IF(0=LEN(ReferenceData!$U$136),"",ReferenceData!$U$136),"")</f>
        <v>69.698999999999998</v>
      </c>
      <c r="V136">
        <f ca="1">IFERROR(IF(0=LEN(ReferenceData!$V$136),"",ReferenceData!$V$136),"")</f>
        <v>73.909000000000006</v>
      </c>
      <c r="W136">
        <f ca="1">IFERROR(IF(0=LEN(ReferenceData!$W$136),"",ReferenceData!$W$136),"")</f>
        <v>61.414999999999999</v>
      </c>
      <c r="X136">
        <f ca="1">IFERROR(IF(0=LEN(ReferenceData!$X$136),"",ReferenceData!$X$136),"")</f>
        <v>62.371000000000002</v>
      </c>
      <c r="Y136">
        <f ca="1">IFERROR(IF(0=LEN(ReferenceData!$Y$136),"",ReferenceData!$Y$136),"")</f>
        <v>62.533999999999999</v>
      </c>
      <c r="Z136">
        <f ca="1">IFERROR(IF(0=LEN(ReferenceData!$Z$136),"",ReferenceData!$Z$136),"")</f>
        <v>69.405000000000001</v>
      </c>
      <c r="AA136">
        <f ca="1">IFERROR(IF(0=LEN(ReferenceData!$AA$136),"",ReferenceData!$AA$136),"")</f>
        <v>13.486000000000001</v>
      </c>
      <c r="AB136">
        <f ca="1">IFERROR(IF(0=LEN(ReferenceData!$AB$136),"",ReferenceData!$AB$136),"")</f>
        <v>11.052</v>
      </c>
      <c r="AC136">
        <f ca="1">IFERROR(IF(0=LEN(ReferenceData!$AC$136),"",ReferenceData!$AC$136),"")</f>
        <v>26.678000000000001</v>
      </c>
      <c r="AD136">
        <f ca="1">IFERROR(IF(0=LEN(ReferenceData!$AD$136),"",ReferenceData!$AD$136),"")</f>
        <v>39.872999999999998</v>
      </c>
      <c r="AE136">
        <f ca="1">IFERROR(IF(0=LEN(ReferenceData!$AE$136),"",ReferenceData!$AE$136),"")</f>
        <v>8.84</v>
      </c>
      <c r="AF136">
        <f ca="1">IFERROR(IF(0=LEN(ReferenceData!$AF$136),"",ReferenceData!$AF$136),"")</f>
        <v>25.849</v>
      </c>
      <c r="AG136">
        <f ca="1">IFERROR(IF(0=LEN(ReferenceData!$AG$136),"",ReferenceData!$AG$136),"")</f>
        <v>35.54</v>
      </c>
      <c r="AH136">
        <f ca="1">IFERROR(IF(0=LEN(ReferenceData!$AH$136),"",ReferenceData!$AH$136),"")</f>
        <v>35.35</v>
      </c>
      <c r="AI136">
        <f ca="1">IFERROR(IF(0=LEN(ReferenceData!$AI$136),"",ReferenceData!$AI$136),"")</f>
        <v>31.861999999999998</v>
      </c>
      <c r="AJ136">
        <f ca="1">IFERROR(IF(0=LEN(ReferenceData!$AJ$136),"",ReferenceData!$AJ$136),"")</f>
        <v>25.314</v>
      </c>
      <c r="AK136">
        <f ca="1">IFERROR(IF(0=LEN(ReferenceData!$AK$136),"",ReferenceData!$AK$136),"")</f>
        <v>39.398000000000003</v>
      </c>
      <c r="AL136">
        <f ca="1">IFERROR(IF(0=LEN(ReferenceData!$AL$136),"",ReferenceData!$AL$136),"")</f>
        <v>45.033000000000001</v>
      </c>
      <c r="AM136">
        <f ca="1">IFERROR(IF(0=LEN(ReferenceData!$AM$136),"",ReferenceData!$AM$136),"")</f>
        <v>39.845999999999997</v>
      </c>
      <c r="AN136">
        <f ca="1">IFERROR(IF(0=LEN(ReferenceData!$AN$136),"",ReferenceData!$AN$136),"")</f>
        <v>33.225999999999999</v>
      </c>
      <c r="AO136">
        <f ca="1">IFERROR(IF(0=LEN(ReferenceData!$AO$136),"",ReferenceData!$AO$136),"")</f>
        <v>34.951000000000001</v>
      </c>
      <c r="AP136">
        <f ca="1">IFERROR(IF(0=LEN(ReferenceData!$AP$136),"",ReferenceData!$AP$136),"")</f>
        <v>32.549999999999997</v>
      </c>
      <c r="AQ136">
        <f ca="1">IFERROR(IF(0=LEN(ReferenceData!$AQ$136),"",ReferenceData!$AQ$136),"")</f>
        <v>49.124000000000002</v>
      </c>
      <c r="AR136">
        <f ca="1">IFERROR(IF(0=LEN(ReferenceData!$AR$136),"",ReferenceData!$AR$136),"")</f>
        <v>48.241999999999997</v>
      </c>
      <c r="AS136">
        <f ca="1">IFERROR(IF(0=LEN(ReferenceData!$AS$136),"",ReferenceData!$AS$136),"")</f>
        <v>49.738</v>
      </c>
      <c r="AT136">
        <f ca="1">IFERROR(IF(0=LEN(ReferenceData!$AT$136),"",ReferenceData!$AT$136),"")</f>
        <v>55.189</v>
      </c>
      <c r="AU136">
        <f ca="1">IFERROR(IF(0=LEN(ReferenceData!$AU$136),"",ReferenceData!$AU$136),"")</f>
        <v>46.613999999999997</v>
      </c>
      <c r="AV136">
        <f ca="1">IFERROR(IF(0=LEN(ReferenceData!$AV$136),"",ReferenceData!$AV$136),"")</f>
        <v>43.686</v>
      </c>
      <c r="AW136">
        <f ca="1">IFERROR(IF(0=LEN(ReferenceData!$AW$136),"",ReferenceData!$AW$136),"")</f>
        <v>42.432000000000002</v>
      </c>
      <c r="AX136">
        <f ca="1">IFERROR(IF(0=LEN(ReferenceData!$AX$136),"",ReferenceData!$AX$136),"")</f>
        <v>42.929000000000002</v>
      </c>
      <c r="AY136">
        <f ca="1">IFERROR(IF(0=LEN(ReferenceData!$AY$136),"",ReferenceData!$AY$136),"")</f>
        <v>35.634</v>
      </c>
      <c r="AZ136">
        <f ca="1">IFERROR(IF(0=LEN(ReferenceData!$AZ$136),"",ReferenceData!$AZ$136),"")</f>
        <v>38.398000000000003</v>
      </c>
      <c r="BA136">
        <f ca="1">IFERROR(IF(0=LEN(ReferenceData!$BA$136),"",ReferenceData!$BA$136),"")</f>
        <v>38.351999999999997</v>
      </c>
      <c r="BB136">
        <f ca="1">IFERROR(IF(0=LEN(ReferenceData!$BB$136),"",ReferenceData!$BB$136),"")</f>
        <v>40.688000000000002</v>
      </c>
      <c r="BC136">
        <f ca="1">IFERROR(IF(0=LEN(ReferenceData!$BC$136),"",ReferenceData!$BC$136),"")</f>
        <v>42.012</v>
      </c>
      <c r="BD136">
        <f ca="1">IFERROR(IF(0=LEN(ReferenceData!$BD$136),"",ReferenceData!$BD$136),"")</f>
        <v>40.994</v>
      </c>
      <c r="BE136">
        <f ca="1">IFERROR(IF(0=LEN(ReferenceData!$BE$136),"",ReferenceData!$BE$136),"")</f>
        <v>41.223999999999997</v>
      </c>
      <c r="BF136">
        <f ca="1">IFERROR(IF(0=LEN(ReferenceData!$BF$136),"",ReferenceData!$BF$136),"")</f>
        <v>39.305</v>
      </c>
      <c r="BG136">
        <f ca="1">IFERROR(IF(0=LEN(ReferenceData!$BG$136),"",ReferenceData!$BG$136),"")</f>
        <v>37.124000549999998</v>
      </c>
      <c r="BH136">
        <f ca="1">IFERROR(IF(0=LEN(ReferenceData!$BH$136),"",ReferenceData!$BH$136),"")</f>
        <v>111.697</v>
      </c>
      <c r="BI136">
        <f ca="1">IFERROR(IF(0=LEN(ReferenceData!$BI$136),"",ReferenceData!$BI$136),"")</f>
        <v>38.638000490000003</v>
      </c>
      <c r="BJ136">
        <f ca="1">IFERROR(IF(0=LEN(ReferenceData!$BJ$136),"",ReferenceData!$BJ$136),"")</f>
        <v>34.779000000000003</v>
      </c>
      <c r="BK136">
        <f ca="1">IFERROR(IF(0=LEN(ReferenceData!$BK$136),"",ReferenceData!$BK$136),"")</f>
        <v>-767.61400000000003</v>
      </c>
      <c r="BL136">
        <f ca="1">IFERROR(IF(0=LEN(ReferenceData!$BL$136),"",ReferenceData!$BL$136),"")</f>
        <v>898.87099999999998</v>
      </c>
      <c r="BM136">
        <f ca="1">IFERROR(IF(0=LEN(ReferenceData!$BM$136),"",ReferenceData!$BM$136),"")</f>
        <v>599.95299999999997</v>
      </c>
    </row>
    <row r="137" spans="1:65">
      <c r="A137" t="str">
        <f>IFERROR(IF(0=LEN(ReferenceData!$A$137),"",ReferenceData!$A$137),"")</f>
        <v xml:space="preserve">    Kimco Realty Corp</v>
      </c>
      <c r="B137" t="str">
        <f>IFERROR(IF(0=LEN(ReferenceData!$B$137),"",ReferenceData!$B$137),"")</f>
        <v>KIM US Equity</v>
      </c>
      <c r="C137" t="str">
        <f>IFERROR(IF(0=LEN(ReferenceData!$C$137),"",ReferenceData!$C$137),"")</f>
        <v>F0578</v>
      </c>
      <c r="D137" t="str">
        <f>IFERROR(IF(0=LEN(ReferenceData!$D$137),"",ReferenceData!$D$137),"")</f>
        <v>FUNDS_AVAILABLE_FOR_DISTRIBUTION</v>
      </c>
      <c r="E137" t="str">
        <f>IFERROR(IF(0=LEN(ReferenceData!$E$137),"",ReferenceData!$E$137),"")</f>
        <v>动态</v>
      </c>
      <c r="F137" t="str">
        <f ca="1">IFERROR(IF(0=LEN(ReferenceData!$F$137),"",ReferenceData!$F$137),"")</f>
        <v/>
      </c>
      <c r="G137">
        <f ca="1">IFERROR(IF(0=LEN(ReferenceData!$G$137),"",ReferenceData!$G$137),"")</f>
        <v>62.317</v>
      </c>
      <c r="H137">
        <f ca="1">IFERROR(IF(0=LEN(ReferenceData!$H$137),"",ReferenceData!$H$137),"")</f>
        <v>71.387</v>
      </c>
      <c r="I137">
        <f ca="1">IFERROR(IF(0=LEN(ReferenceData!$I$137),"",ReferenceData!$I$137),"")</f>
        <v>73.718000000000004</v>
      </c>
      <c r="J137">
        <f ca="1">IFERROR(IF(0=LEN(ReferenceData!$J$137),"",ReferenceData!$J$137),"")</f>
        <v>108.408</v>
      </c>
      <c r="K137">
        <f ca="1">IFERROR(IF(0=LEN(ReferenceData!$K$137),"",ReferenceData!$K$137),"")</f>
        <v>83.188000000000002</v>
      </c>
      <c r="L137">
        <f ca="1">IFERROR(IF(0=LEN(ReferenceData!$L$137),"",ReferenceData!$L$137),"")</f>
        <v>96.221999999999994</v>
      </c>
      <c r="M137">
        <f ca="1">IFERROR(IF(0=LEN(ReferenceData!$M$137),"",ReferenceData!$M$137),"")</f>
        <v>93.042000000000002</v>
      </c>
      <c r="N137">
        <f ca="1">IFERROR(IF(0=LEN(ReferenceData!$N$137),"",ReferenceData!$N$137),"")</f>
        <v>99.63</v>
      </c>
      <c r="O137">
        <f ca="1">IFERROR(IF(0=LEN(ReferenceData!$O$137),"",ReferenceData!$O$137),"")</f>
        <v>58.726999999999997</v>
      </c>
      <c r="P137">
        <f ca="1">IFERROR(IF(0=LEN(ReferenceData!$P$137),"",ReferenceData!$P$137),"")</f>
        <v>83.099000000000004</v>
      </c>
      <c r="Q137">
        <f ca="1">IFERROR(IF(0=LEN(ReferenceData!$Q$137),"",ReferenceData!$Q$137),"")</f>
        <v>83.694000000000003</v>
      </c>
      <c r="R137">
        <f ca="1">IFERROR(IF(0=LEN(ReferenceData!$R$137),"",ReferenceData!$R$137),"")</f>
        <v>101.133</v>
      </c>
      <c r="S137">
        <f ca="1">IFERROR(IF(0=LEN(ReferenceData!$S$137),"",ReferenceData!$S$137),"")</f>
        <v>80.218000000000004</v>
      </c>
      <c r="T137">
        <f ca="1">IFERROR(IF(0=LEN(ReferenceData!$T$137),"",ReferenceData!$T$137),"")</f>
        <v>71.323999999999998</v>
      </c>
      <c r="U137">
        <f ca="1">IFERROR(IF(0=LEN(ReferenceData!$U$137),"",ReferenceData!$U$137),"")</f>
        <v>90.9</v>
      </c>
      <c r="V137">
        <f ca="1">IFERROR(IF(0=LEN(ReferenceData!$V$137),"",ReferenceData!$V$137),"")</f>
        <v>104.434</v>
      </c>
      <c r="W137">
        <f ca="1">IFERROR(IF(0=LEN(ReferenceData!$W$137),"",ReferenceData!$W$137),"")</f>
        <v>80.908000000000001</v>
      </c>
      <c r="X137">
        <f ca="1">IFERROR(IF(0=LEN(ReferenceData!$X$137),"",ReferenceData!$X$137),"")</f>
        <v>98.016000000000005</v>
      </c>
      <c r="Y137">
        <f ca="1">IFERROR(IF(0=LEN(ReferenceData!$Y$137),"",ReferenceData!$Y$137),"")</f>
        <v>98.97</v>
      </c>
      <c r="Z137">
        <f ca="1">IFERROR(IF(0=LEN(ReferenceData!$Z$137),"",ReferenceData!$Z$137),"")</f>
        <v>106.881</v>
      </c>
      <c r="AA137">
        <f ca="1">IFERROR(IF(0=LEN(ReferenceData!$AA$137),"",ReferenceData!$AA$137),"")</f>
        <v>89.853999999999999</v>
      </c>
      <c r="AB137">
        <f ca="1">IFERROR(IF(0=LEN(ReferenceData!$AB$137),"",ReferenceData!$AB$137),"")</f>
        <v>101.85599999999999</v>
      </c>
      <c r="AC137">
        <f ca="1">IFERROR(IF(0=LEN(ReferenceData!$AC$137),"",ReferenceData!$AC$137),"")</f>
        <v>94.38</v>
      </c>
      <c r="AD137">
        <f ca="1">IFERROR(IF(0=LEN(ReferenceData!$AD$137),"",ReferenceData!$AD$137),"")</f>
        <v>89.099000000000004</v>
      </c>
      <c r="AE137">
        <f ca="1">IFERROR(IF(0=LEN(ReferenceData!$AE$137),"",ReferenceData!$AE$137),"")</f>
        <v>76.587999999999994</v>
      </c>
      <c r="AF137">
        <f ca="1">IFERROR(IF(0=LEN(ReferenceData!$AF$137),"",ReferenceData!$AF$137),"")</f>
        <v>91.441000000000003</v>
      </c>
      <c r="AG137">
        <f ca="1">IFERROR(IF(0=LEN(ReferenceData!$AG$137),"",ReferenceData!$AG$137),"")</f>
        <v>86.373000000000005</v>
      </c>
      <c r="AH137">
        <f ca="1">IFERROR(IF(0=LEN(ReferenceData!$AH$137),"",ReferenceData!$AH$137),"")</f>
        <v>94.295000000000002</v>
      </c>
      <c r="AI137">
        <f ca="1">IFERROR(IF(0=LEN(ReferenceData!$AI$137),"",ReferenceData!$AI$137),"")</f>
        <v>71.495999999999995</v>
      </c>
      <c r="AJ137">
        <f ca="1">IFERROR(IF(0=LEN(ReferenceData!$AJ$137),"",ReferenceData!$AJ$137),"")</f>
        <v>90.596999999999994</v>
      </c>
      <c r="AK137">
        <f ca="1">IFERROR(IF(0=LEN(ReferenceData!$AK$137),"",ReferenceData!$AK$137),"")</f>
        <v>93.215999999999994</v>
      </c>
      <c r="AL137">
        <f ca="1">IFERROR(IF(0=LEN(ReferenceData!$AL$137),"",ReferenceData!$AL$137),"")</f>
        <v>86.903999999999996</v>
      </c>
      <c r="AM137">
        <f ca="1">IFERROR(IF(0=LEN(ReferenceData!$AM$137),"",ReferenceData!$AM$137),"")</f>
        <v>83.991</v>
      </c>
      <c r="AN137">
        <f ca="1">IFERROR(IF(0=LEN(ReferenceData!$AN$137),"",ReferenceData!$AN$137),"")</f>
        <v>81.040999999999997</v>
      </c>
      <c r="AO137">
        <f ca="1">IFERROR(IF(0=LEN(ReferenceData!$AO$137),"",ReferenceData!$AO$137),"")</f>
        <v>89.400999999999996</v>
      </c>
      <c r="AP137">
        <f ca="1">IFERROR(IF(0=LEN(ReferenceData!$AP$137),"",ReferenceData!$AP$137),"")</f>
        <v>94.704999999999998</v>
      </c>
      <c r="AQ137">
        <f ca="1">IFERROR(IF(0=LEN(ReferenceData!$AQ$137),"",ReferenceData!$AQ$137),"")</f>
        <v>89.944999999999993</v>
      </c>
      <c r="AR137">
        <f ca="1">IFERROR(IF(0=LEN(ReferenceData!$AR$137),"",ReferenceData!$AR$137),"")</f>
        <v>154.54</v>
      </c>
      <c r="AS137">
        <f ca="1">IFERROR(IF(0=LEN(ReferenceData!$AS$137),"",ReferenceData!$AS$137),"")</f>
        <v>146.29499999999999</v>
      </c>
      <c r="AT137">
        <f ca="1">IFERROR(IF(0=LEN(ReferenceData!$AT$137),"",ReferenceData!$AT$137),"")</f>
        <v>136.435</v>
      </c>
      <c r="AU137">
        <f ca="1">IFERROR(IF(0=LEN(ReferenceData!$AU$137),"",ReferenceData!$AU$137),"")</f>
        <v>108.71899999999999</v>
      </c>
      <c r="AV137">
        <f ca="1">IFERROR(IF(0=LEN(ReferenceData!$AV$137),"",ReferenceData!$AV$137),"")</f>
        <v>120.342</v>
      </c>
      <c r="AW137">
        <f ca="1">IFERROR(IF(0=LEN(ReferenceData!$AW$137),"",ReferenceData!$AW$137),"")</f>
        <v>161.97200000000001</v>
      </c>
      <c r="AX137">
        <f ca="1">IFERROR(IF(0=LEN(ReferenceData!$AX$137),"",ReferenceData!$AX$137),"")</f>
        <v>183.852</v>
      </c>
      <c r="AY137">
        <f ca="1">IFERROR(IF(0=LEN(ReferenceData!$AY$137),"",ReferenceData!$AY$137),"")</f>
        <v>123.53100000000001</v>
      </c>
      <c r="AZ137">
        <f ca="1">IFERROR(IF(0=LEN(ReferenceData!$AZ$137),"",ReferenceData!$AZ$137),"")</f>
        <v>119.999</v>
      </c>
      <c r="BA137">
        <f ca="1">IFERROR(IF(0=LEN(ReferenceData!$BA$137),"",ReferenceData!$BA$137),"")</f>
        <v>119.41</v>
      </c>
      <c r="BB137">
        <f ca="1">IFERROR(IF(0=LEN(ReferenceData!$BB$137),"",ReferenceData!$BB$137),"")</f>
        <v>111.614</v>
      </c>
      <c r="BC137">
        <f ca="1">IFERROR(IF(0=LEN(ReferenceData!$BC$137),"",ReferenceData!$BC$137),"")</f>
        <v>127.45</v>
      </c>
      <c r="BD137">
        <f ca="1">IFERROR(IF(0=LEN(ReferenceData!$BD$137),"",ReferenceData!$BD$137),"")</f>
        <v>116.26600000000001</v>
      </c>
      <c r="BE137">
        <f ca="1">IFERROR(IF(0=LEN(ReferenceData!$BE$137),"",ReferenceData!$BE$137),"")</f>
        <v>112.443</v>
      </c>
      <c r="BF137">
        <f ca="1">IFERROR(IF(0=LEN(ReferenceData!$BF$137),"",ReferenceData!$BF$137),"")</f>
        <v>108.535</v>
      </c>
      <c r="BG137">
        <f ca="1">IFERROR(IF(0=LEN(ReferenceData!$BG$137),"",ReferenceData!$BG$137),"")</f>
        <v>103.607</v>
      </c>
      <c r="BH137">
        <f ca="1">IFERROR(IF(0=LEN(ReferenceData!$BH$137),"",ReferenceData!$BH$137),"")</f>
        <v>101.605</v>
      </c>
      <c r="BI137" t="str">
        <f ca="1">IFERROR(IF(0=LEN(ReferenceData!$BI$137),"",ReferenceData!$BI$137),"")</f>
        <v/>
      </c>
      <c r="BJ137" t="str">
        <f ca="1">IFERROR(IF(0=LEN(ReferenceData!$BJ$137),"",ReferenceData!$BJ$137),"")</f>
        <v/>
      </c>
      <c r="BK137" t="str">
        <f ca="1">IFERROR(IF(0=LEN(ReferenceData!$BK$137),"",ReferenceData!$BK$137),"")</f>
        <v/>
      </c>
      <c r="BL137">
        <f ca="1">IFERROR(IF(0=LEN(ReferenceData!$BL$137),"",ReferenceData!$BL$137),"")</f>
        <v>90.565002440000001</v>
      </c>
      <c r="BM137" t="str">
        <f ca="1">IFERROR(IF(0=LEN(ReferenceData!$BM$137),"",ReferenceData!$BM$137),"")</f>
        <v/>
      </c>
    </row>
    <row r="138" spans="1:65">
      <c r="A138" t="str">
        <f>IFERROR(IF(0=LEN(ReferenceData!$A$138),"",ReferenceData!$A$138),"")</f>
        <v xml:space="preserve">    National Retail Properties Inc</v>
      </c>
      <c r="B138" t="str">
        <f>IFERROR(IF(0=LEN(ReferenceData!$B$138),"",ReferenceData!$B$138),"")</f>
        <v>NNN US Equity</v>
      </c>
      <c r="C138" t="str">
        <f>IFERROR(IF(0=LEN(ReferenceData!$C$138),"",ReferenceData!$C$138),"")</f>
        <v>F0578</v>
      </c>
      <c r="D138" t="str">
        <f>IFERROR(IF(0=LEN(ReferenceData!$D$138),"",ReferenceData!$D$138),"")</f>
        <v>FUNDS_AVAILABLE_FOR_DISTRIBUTION</v>
      </c>
      <c r="E138" t="str">
        <f>IFERROR(IF(0=LEN(ReferenceData!$E$138),"",ReferenceData!$E$138),"")</f>
        <v>动态</v>
      </c>
      <c r="F138" t="str">
        <f ca="1">IFERROR(IF(0=LEN(ReferenceData!$F$138),"",ReferenceData!$F$138),"")</f>
        <v/>
      </c>
      <c r="G138">
        <f ca="1">IFERROR(IF(0=LEN(ReferenceData!$G$138),"",ReferenceData!$G$138),"")</f>
        <v>95.691999999999993</v>
      </c>
      <c r="H138">
        <f ca="1">IFERROR(IF(0=LEN(ReferenceData!$H$138),"",ReferenceData!$H$138),"")</f>
        <v>97.933999999999997</v>
      </c>
      <c r="I138">
        <f ca="1">IFERROR(IF(0=LEN(ReferenceData!$I$138),"",ReferenceData!$I$138),"")</f>
        <v>96.412000000000006</v>
      </c>
      <c r="J138">
        <f ca="1">IFERROR(IF(0=LEN(ReferenceData!$J$138),"",ReferenceData!$J$138),"")</f>
        <v>89.045000000000002</v>
      </c>
      <c r="K138">
        <f ca="1">IFERROR(IF(0=LEN(ReferenceData!$K$138),"",ReferenceData!$K$138),"")</f>
        <v>90.284999999999997</v>
      </c>
      <c r="L138">
        <f ca="1">IFERROR(IF(0=LEN(ReferenceData!$L$138),"",ReferenceData!$L$138),"")</f>
        <v>89.367000000000004</v>
      </c>
      <c r="M138">
        <f ca="1">IFERROR(IF(0=LEN(ReferenceData!$M$138),"",ReferenceData!$M$138),"")</f>
        <v>86.531000000000006</v>
      </c>
      <c r="N138">
        <f ca="1">IFERROR(IF(0=LEN(ReferenceData!$N$138),"",ReferenceData!$N$138),"")</f>
        <v>81.748999999999995</v>
      </c>
      <c r="O138">
        <f ca="1">IFERROR(IF(0=LEN(ReferenceData!$O$138),"",ReferenceData!$O$138),"")</f>
        <v>67.623000000000005</v>
      </c>
      <c r="P138">
        <f ca="1">IFERROR(IF(0=LEN(ReferenceData!$P$138),"",ReferenceData!$P$138),"")</f>
        <v>79.516000000000005</v>
      </c>
      <c r="Q138">
        <f ca="1">IFERROR(IF(0=LEN(ReferenceData!$Q$138),"",ReferenceData!$Q$138),"")</f>
        <v>75.153000000000006</v>
      </c>
      <c r="R138">
        <f ca="1">IFERROR(IF(0=LEN(ReferenceData!$R$138),"",ReferenceData!$R$138),"")</f>
        <v>72.150999999999996</v>
      </c>
      <c r="S138">
        <f ca="1">IFERROR(IF(0=LEN(ReferenceData!$S$138),"",ReferenceData!$S$138),"")</f>
        <v>71.97</v>
      </c>
      <c r="T138">
        <f ca="1">IFERROR(IF(0=LEN(ReferenceData!$T$138),"",ReferenceData!$T$138),"")</f>
        <v>66.644000000000005</v>
      </c>
      <c r="U138">
        <f ca="1">IFERROR(IF(0=LEN(ReferenceData!$U$138),"",ReferenceData!$U$138),"")</f>
        <v>62.71</v>
      </c>
      <c r="V138">
        <f ca="1">IFERROR(IF(0=LEN(ReferenceData!$V$138),"",ReferenceData!$V$138),"")</f>
        <v>63.186</v>
      </c>
      <c r="W138">
        <f ca="1">IFERROR(IF(0=LEN(ReferenceData!$W$138),"",ReferenceData!$W$138),"")</f>
        <v>63.603000000000002</v>
      </c>
      <c r="X138">
        <f ca="1">IFERROR(IF(0=LEN(ReferenceData!$X$138),"",ReferenceData!$X$138),"")</f>
        <v>61.395000000000003</v>
      </c>
      <c r="Y138">
        <f ca="1">IFERROR(IF(0=LEN(ReferenceData!$Y$138),"",ReferenceData!$Y$138),"")</f>
        <v>57.634999999999998</v>
      </c>
      <c r="Z138">
        <f ca="1">IFERROR(IF(0=LEN(ReferenceData!$Z$138),"",ReferenceData!$Z$138),"")</f>
        <v>57.014000000000003</v>
      </c>
      <c r="AA138">
        <f ca="1">IFERROR(IF(0=LEN(ReferenceData!$AA$138),"",ReferenceData!$AA$138),"")</f>
        <v>54.182000000000002</v>
      </c>
      <c r="AB138">
        <f ca="1">IFERROR(IF(0=LEN(ReferenceData!$AB$138),"",ReferenceData!$AB$138),"")</f>
        <v>51.365000000000002</v>
      </c>
      <c r="AC138">
        <f ca="1">IFERROR(IF(0=LEN(ReferenceData!$AC$138),"",ReferenceData!$AC$138),"")</f>
        <v>43.860999999999997</v>
      </c>
      <c r="AD138">
        <f ca="1">IFERROR(IF(0=LEN(ReferenceData!$AD$138),"",ReferenceData!$AD$138),"")</f>
        <v>43.161999999999999</v>
      </c>
      <c r="AE138">
        <f ca="1">IFERROR(IF(0=LEN(ReferenceData!$AE$138),"",ReferenceData!$AE$138),"")</f>
        <v>42.728999999999999</v>
      </c>
      <c r="AF138">
        <f ca="1">IFERROR(IF(0=LEN(ReferenceData!$AF$138),"",ReferenceData!$AF$138),"")</f>
        <v>38.25</v>
      </c>
      <c r="AG138">
        <f ca="1">IFERROR(IF(0=LEN(ReferenceData!$AG$138),"",ReferenceData!$AG$138),"")</f>
        <v>35.064</v>
      </c>
      <c r="AH138">
        <f ca="1">IFERROR(IF(0=LEN(ReferenceData!$AH$138),"",ReferenceData!$AH$138),"")</f>
        <v>34.515999999999998</v>
      </c>
      <c r="AI138">
        <f ca="1">IFERROR(IF(0=LEN(ReferenceData!$AI$138),"",ReferenceData!$AI$138),"")</f>
        <v>34.850999999999999</v>
      </c>
      <c r="AJ138">
        <f ca="1">IFERROR(IF(0=LEN(ReferenceData!$AJ$138),"",ReferenceData!$AJ$138),"")</f>
        <v>32.597000000000001</v>
      </c>
      <c r="AK138">
        <f ca="1">IFERROR(IF(0=LEN(ReferenceData!$AK$138),"",ReferenceData!$AK$138),"")</f>
        <v>32.831000000000003</v>
      </c>
      <c r="AL138">
        <f ca="1">IFERROR(IF(0=LEN(ReferenceData!$AL$138),"",ReferenceData!$AL$138),"")</f>
        <v>31.443999999999999</v>
      </c>
      <c r="AM138">
        <f ca="1">IFERROR(IF(0=LEN(ReferenceData!$AM$138),"",ReferenceData!$AM$138),"")</f>
        <v>31.321999999999999</v>
      </c>
      <c r="AN138">
        <f ca="1">IFERROR(IF(0=LEN(ReferenceData!$AN$138),"",ReferenceData!$AN$138),"")</f>
        <v>33.322000000000003</v>
      </c>
      <c r="AO138">
        <f ca="1">IFERROR(IF(0=LEN(ReferenceData!$AO$138),"",ReferenceData!$AO$138),"")</f>
        <v>37.433</v>
      </c>
      <c r="AP138">
        <f ca="1">IFERROR(IF(0=LEN(ReferenceData!$AP$138),"",ReferenceData!$AP$138),"")</f>
        <v>36.826999999999998</v>
      </c>
      <c r="AQ138">
        <f ca="1">IFERROR(IF(0=LEN(ReferenceData!$AQ$138),"",ReferenceData!$AQ$138),"")</f>
        <v>35.963999999999999</v>
      </c>
      <c r="AR138">
        <f ca="1">IFERROR(IF(0=LEN(ReferenceData!$AR$138),"",ReferenceData!$AR$138),"")</f>
        <v>36.707000000000001</v>
      </c>
      <c r="AS138">
        <f ca="1">IFERROR(IF(0=LEN(ReferenceData!$AS$138),"",ReferenceData!$AS$138),"")</f>
        <v>36.654000000000003</v>
      </c>
      <c r="AT138">
        <f ca="1">IFERROR(IF(0=LEN(ReferenceData!$AT$138),"",ReferenceData!$AT$138),"")</f>
        <v>35.581000000000003</v>
      </c>
      <c r="AU138">
        <f ca="1">IFERROR(IF(0=LEN(ReferenceData!$AU$138),"",ReferenceData!$AU$138),"")</f>
        <v>32.15</v>
      </c>
      <c r="AV138">
        <f ca="1">IFERROR(IF(0=LEN(ReferenceData!$AV$138),"",ReferenceData!$AV$138),"")</f>
        <v>30.872</v>
      </c>
      <c r="AW138">
        <f ca="1">IFERROR(IF(0=LEN(ReferenceData!$AW$138),"",ReferenceData!$AW$138),"")</f>
        <v>31.481000900000002</v>
      </c>
      <c r="AX138">
        <f ca="1">IFERROR(IF(0=LEN(ReferenceData!$AX$138),"",ReferenceData!$AX$138),"")</f>
        <v>29.61</v>
      </c>
      <c r="AY138">
        <f ca="1">IFERROR(IF(0=LEN(ReferenceData!$AY$138),"",ReferenceData!$AY$138),"")</f>
        <v>27.07299995</v>
      </c>
      <c r="AZ138">
        <f ca="1">IFERROR(IF(0=LEN(ReferenceData!$AZ$138),"",ReferenceData!$AZ$138),"")</f>
        <v>21.917000000000002</v>
      </c>
      <c r="BA138">
        <f ca="1">IFERROR(IF(0=LEN(ReferenceData!$BA$138),"",ReferenceData!$BA$138),"")</f>
        <v>24.503999709999999</v>
      </c>
      <c r="BB138">
        <f ca="1">IFERROR(IF(0=LEN(ReferenceData!$BB$138),"",ReferenceData!$BB$138),"")</f>
        <v>23.626999999999999</v>
      </c>
      <c r="BC138">
        <f ca="1">IFERROR(IF(0=LEN(ReferenceData!$BC$138),"",ReferenceData!$BC$138),"")</f>
        <v>60.428001399999999</v>
      </c>
      <c r="BD138">
        <f ca="1">IFERROR(IF(0=LEN(ReferenceData!$BD$138),"",ReferenceData!$BD$138),"")</f>
        <v>21.375</v>
      </c>
      <c r="BE138">
        <f ca="1">IFERROR(IF(0=LEN(ReferenceData!$BE$138),"",ReferenceData!$BE$138),"")</f>
        <v>-19.596000669999999</v>
      </c>
      <c r="BF138">
        <f ca="1">IFERROR(IF(0=LEN(ReferenceData!$BF$138),"",ReferenceData!$BF$138),"")</f>
        <v>19.596</v>
      </c>
      <c r="BG138">
        <f ca="1">IFERROR(IF(0=LEN(ReferenceData!$BG$138),"",ReferenceData!$BG$138),"")</f>
        <v>20.76</v>
      </c>
      <c r="BH138">
        <f ca="1">IFERROR(IF(0=LEN(ReferenceData!$BH$138),"",ReferenceData!$BH$138),"")</f>
        <v>0</v>
      </c>
      <c r="BI138" t="str">
        <f ca="1">IFERROR(IF(0=LEN(ReferenceData!$BI$138),"",ReferenceData!$BI$138),"")</f>
        <v/>
      </c>
      <c r="BJ138" t="str">
        <f ca="1">IFERROR(IF(0=LEN(ReferenceData!$BJ$138),"",ReferenceData!$BJ$138),"")</f>
        <v/>
      </c>
      <c r="BK138">
        <f ca="1">IFERROR(IF(0=LEN(ReferenceData!$BK$138),"",ReferenceData!$BK$138),"")</f>
        <v>64.162000000000006</v>
      </c>
      <c r="BL138" t="str">
        <f ca="1">IFERROR(IF(0=LEN(ReferenceData!$BL$138),"",ReferenceData!$BL$138),"")</f>
        <v/>
      </c>
      <c r="BM138" t="str">
        <f ca="1">IFERROR(IF(0=LEN(ReferenceData!$BM$138),"",ReferenceData!$BM$138),"")</f>
        <v/>
      </c>
    </row>
    <row r="139" spans="1:65">
      <c r="A139" t="str">
        <f>IFERROR(IF(0=LEN(ReferenceData!$A$139),"",ReferenceData!$A$139),"")</f>
        <v xml:space="preserve">    Realty Income Corp</v>
      </c>
      <c r="B139" t="str">
        <f>IFERROR(IF(0=LEN(ReferenceData!$B$139),"",ReferenceData!$B$139),"")</f>
        <v>O US Equity</v>
      </c>
      <c r="C139" t="str">
        <f>IFERROR(IF(0=LEN(ReferenceData!$C$139),"",ReferenceData!$C$139),"")</f>
        <v>F0578</v>
      </c>
      <c r="D139" t="str">
        <f>IFERROR(IF(0=LEN(ReferenceData!$D$139),"",ReferenceData!$D$139),"")</f>
        <v>FUNDS_AVAILABLE_FOR_DISTRIBUTION</v>
      </c>
      <c r="E139" t="str">
        <f>IFERROR(IF(0=LEN(ReferenceData!$E$139),"",ReferenceData!$E$139),"")</f>
        <v>动态</v>
      </c>
      <c r="F139" t="str">
        <f ca="1">IFERROR(IF(0=LEN(ReferenceData!$F$139),"",ReferenceData!$F$139),"")</f>
        <v/>
      </c>
      <c r="G139">
        <f ca="1">IFERROR(IF(0=LEN(ReferenceData!$G$139),"",ReferenceData!$G$139),"")</f>
        <v>215.31200000000001</v>
      </c>
      <c r="H139">
        <f ca="1">IFERROR(IF(0=LEN(ReferenceData!$H$139),"",ReferenceData!$H$139),"")</f>
        <v>213.601</v>
      </c>
      <c r="I139">
        <f ca="1">IFERROR(IF(0=LEN(ReferenceData!$I$139),"",ReferenceData!$I$139),"")</f>
        <v>208.38800000000001</v>
      </c>
      <c r="J139">
        <f ca="1">IFERROR(IF(0=LEN(ReferenceData!$J$139),"",ReferenceData!$J$139),"")</f>
        <v>201.33600000000001</v>
      </c>
      <c r="K139">
        <f ca="1">IFERROR(IF(0=LEN(ReferenceData!$K$139),"",ReferenceData!$K$139),"")</f>
        <v>192.964</v>
      </c>
      <c r="L139">
        <f ca="1">IFERROR(IF(0=LEN(ReferenceData!$L$139),"",ReferenceData!$L$139),"")</f>
        <v>186.57499999999999</v>
      </c>
      <c r="M139">
        <f ca="1">IFERROR(IF(0=LEN(ReferenceData!$M$139),"",ReferenceData!$M$139),"")</f>
        <v>180.876</v>
      </c>
      <c r="N139">
        <f ca="1">IFERROR(IF(0=LEN(ReferenceData!$N$139),"",ReferenceData!$N$139),"")</f>
        <v>175.91800000000001</v>
      </c>
      <c r="O139">
        <f ca="1">IFERROR(IF(0=LEN(ReferenceData!$O$139),"",ReferenceData!$O$139),"")</f>
        <v>170.023</v>
      </c>
      <c r="P139">
        <f ca="1">IFERROR(IF(0=LEN(ReferenceData!$P$139),"",ReferenceData!$P$139),"")</f>
        <v>165.79</v>
      </c>
      <c r="Q139">
        <f ca="1">IFERROR(IF(0=LEN(ReferenceData!$Q$139),"",ReferenceData!$Q$139),"")</f>
        <v>159.06</v>
      </c>
      <c r="R139">
        <f ca="1">IFERROR(IF(0=LEN(ReferenceData!$R$139),"",ReferenceData!$R$139),"")</f>
        <v>152.12100000000001</v>
      </c>
      <c r="S139">
        <f ca="1">IFERROR(IF(0=LEN(ReferenceData!$S$139),"",ReferenceData!$S$139),"")</f>
        <v>145.39400000000001</v>
      </c>
      <c r="T139">
        <f ca="1">IFERROR(IF(0=LEN(ReferenceData!$T$139),"",ReferenceData!$T$139),"")</f>
        <v>142.429</v>
      </c>
      <c r="U139">
        <f ca="1">IFERROR(IF(0=LEN(ReferenceData!$U$139),"",ReferenceData!$U$139),"")</f>
        <v>141.178</v>
      </c>
      <c r="V139">
        <f ca="1">IFERROR(IF(0=LEN(ReferenceData!$V$139),"",ReferenceData!$V$139),"")</f>
        <v>132.66</v>
      </c>
      <c r="W139">
        <f ca="1">IFERROR(IF(0=LEN(ReferenceData!$W$139),"",ReferenceData!$W$139),"")</f>
        <v>125.7</v>
      </c>
      <c r="X139">
        <f ca="1">IFERROR(IF(0=LEN(ReferenceData!$X$139),"",ReferenceData!$X$139),"")</f>
        <v>117.919</v>
      </c>
      <c r="Y139">
        <f ca="1">IFERROR(IF(0=LEN(ReferenceData!$Y$139),"",ReferenceData!$Y$139),"")</f>
        <v>115.584</v>
      </c>
      <c r="Z139">
        <f ca="1">IFERROR(IF(0=LEN(ReferenceData!$Z$139),"",ReferenceData!$Z$139),"")</f>
        <v>103.97199999999999</v>
      </c>
      <c r="AA139">
        <f ca="1">IFERROR(IF(0=LEN(ReferenceData!$AA$139),"",ReferenceData!$AA$139),"")</f>
        <v>72.891999999999996</v>
      </c>
      <c r="AB139">
        <f ca="1">IFERROR(IF(0=LEN(ReferenceData!$AB$139),"",ReferenceData!$AB$139),"")</f>
        <v>68.495999999999995</v>
      </c>
      <c r="AC139">
        <f ca="1">IFERROR(IF(0=LEN(ReferenceData!$AC$139),"",ReferenceData!$AC$139),"")</f>
        <v>66.498999999999995</v>
      </c>
      <c r="AD139">
        <f ca="1">IFERROR(IF(0=LEN(ReferenceData!$AD$139),"",ReferenceData!$AD$139),"")</f>
        <v>66.293999999999997</v>
      </c>
      <c r="AE139">
        <f ca="1">IFERROR(IF(0=LEN(ReferenceData!$AE$139),"",ReferenceData!$AE$139),"")</f>
        <v>68.524000000000001</v>
      </c>
      <c r="AF139">
        <f ca="1">IFERROR(IF(0=LEN(ReferenceData!$AF$139),"",ReferenceData!$AF$139),"")</f>
        <v>64.239000000000004</v>
      </c>
      <c r="AG139">
        <f ca="1">IFERROR(IF(0=LEN(ReferenceData!$AG$139),"",ReferenceData!$AG$139),"")</f>
        <v>62.37</v>
      </c>
      <c r="AH139">
        <f ca="1">IFERROR(IF(0=LEN(ReferenceData!$AH$139),"",ReferenceData!$AH$139),"")</f>
        <v>58.238999999999997</v>
      </c>
      <c r="AI139">
        <f ca="1">IFERROR(IF(0=LEN(ReferenceData!$AI$139),"",ReferenceData!$AI$139),"")</f>
        <v>53.534999999999997</v>
      </c>
      <c r="AJ139">
        <f ca="1">IFERROR(IF(0=LEN(ReferenceData!$AJ$139),"",ReferenceData!$AJ$139),"")</f>
        <v>48.585000000000001</v>
      </c>
      <c r="AK139">
        <f ca="1">IFERROR(IF(0=LEN(ReferenceData!$AK$139),"",ReferenceData!$AK$139),"")</f>
        <v>47.73</v>
      </c>
      <c r="AL139">
        <f ca="1">IFERROR(IF(0=LEN(ReferenceData!$AL$139),"",ReferenceData!$AL$139),"")</f>
        <v>47.615000000000002</v>
      </c>
      <c r="AM139">
        <f ca="1">IFERROR(IF(0=LEN(ReferenceData!$AM$139),"",ReferenceData!$AM$139),"")</f>
        <v>48.622</v>
      </c>
      <c r="AN139">
        <f ca="1">IFERROR(IF(0=LEN(ReferenceData!$AN$139),"",ReferenceData!$AN$139),"")</f>
        <v>48.499000000000002</v>
      </c>
      <c r="AO139">
        <f ca="1">IFERROR(IF(0=LEN(ReferenceData!$AO$139),"",ReferenceData!$AO$139),"")</f>
        <v>47.942999999999998</v>
      </c>
      <c r="AP139">
        <f ca="1">IFERROR(IF(0=LEN(ReferenceData!$AP$139),"",ReferenceData!$AP$139),"")</f>
        <v>47.674999999999997</v>
      </c>
      <c r="AQ139">
        <f ca="1">IFERROR(IF(0=LEN(ReferenceData!$AQ$139),"",ReferenceData!$AQ$139),"")</f>
        <v>47.027000000000001</v>
      </c>
      <c r="AR139">
        <f ca="1">IFERROR(IF(0=LEN(ReferenceData!$AR$139),"",ReferenceData!$AR$139),"")</f>
        <v>45.747999999999998</v>
      </c>
      <c r="AS139">
        <f ca="1">IFERROR(IF(0=LEN(ReferenceData!$AS$139),"",ReferenceData!$AS$139),"")</f>
        <v>46.811999999999998</v>
      </c>
      <c r="AT139">
        <f ca="1">IFERROR(IF(0=LEN(ReferenceData!$AT$139),"",ReferenceData!$AT$139),"")</f>
        <v>45.936999999999998</v>
      </c>
      <c r="AU139">
        <f ca="1">IFERROR(IF(0=LEN(ReferenceData!$AU$139),"",ReferenceData!$AU$139),"")</f>
        <v>47.75</v>
      </c>
      <c r="AV139">
        <f ca="1">IFERROR(IF(0=LEN(ReferenceData!$AV$139),"",ReferenceData!$AV$139),"")</f>
        <v>46.625</v>
      </c>
      <c r="AW139">
        <f ca="1">IFERROR(IF(0=LEN(ReferenceData!$AW$139),"",ReferenceData!$AW$139),"")</f>
        <v>48.759998320000001</v>
      </c>
      <c r="AX139">
        <f ca="1">IFERROR(IF(0=LEN(ReferenceData!$AX$139),"",ReferenceData!$AX$139),"")</f>
        <v>46.539000000000001</v>
      </c>
      <c r="AY139">
        <f ca="1">IFERROR(IF(0=LEN(ReferenceData!$AY$139),"",ReferenceData!$AY$139),"")</f>
        <v>44.901000000000003</v>
      </c>
      <c r="AZ139">
        <f ca="1">IFERROR(IF(0=LEN(ReferenceData!$AZ$139),"",ReferenceData!$AZ$139),"")</f>
        <v>37.975999999999999</v>
      </c>
      <c r="BA139">
        <f ca="1">IFERROR(IF(0=LEN(ReferenceData!$BA$139),"",ReferenceData!$BA$139),"")</f>
        <v>37.622001650000001</v>
      </c>
      <c r="BB139">
        <f ca="1">IFERROR(IF(0=LEN(ReferenceData!$BB$139),"",ReferenceData!$BB$139),"")</f>
        <v>35.299999999999997</v>
      </c>
      <c r="BC139">
        <f ca="1">IFERROR(IF(0=LEN(ReferenceData!$BC$139),"",ReferenceData!$BC$139),"")</f>
        <v>35.863</v>
      </c>
      <c r="BD139">
        <f ca="1">IFERROR(IF(0=LEN(ReferenceData!$BD$139),"",ReferenceData!$BD$139),"")</f>
        <v>31.747999190000002</v>
      </c>
      <c r="BE139">
        <f ca="1">IFERROR(IF(0=LEN(ReferenceData!$BE$139),"",ReferenceData!$BE$139),"")</f>
        <v>30.874000550000002</v>
      </c>
      <c r="BF139">
        <f ca="1">IFERROR(IF(0=LEN(ReferenceData!$BF$139),"",ReferenceData!$BF$139),"")</f>
        <v>31.16200066</v>
      </c>
      <c r="BG139">
        <f ca="1">IFERROR(IF(0=LEN(ReferenceData!$BG$139),"",ReferenceData!$BG$139),"")</f>
        <v>28.52</v>
      </c>
      <c r="BH139">
        <f ca="1">IFERROR(IF(0=LEN(ReferenceData!$BH$139),"",ReferenceData!$BH$139),"")</f>
        <v>29.478000000000002</v>
      </c>
      <c r="BI139">
        <f ca="1">IFERROR(IF(0=LEN(ReferenceData!$BI$139),"",ReferenceData!$BI$139),"")</f>
        <v>60.180999999999997</v>
      </c>
      <c r="BJ139">
        <f ca="1">IFERROR(IF(0=LEN(ReferenceData!$BJ$139),"",ReferenceData!$BJ$139),"")</f>
        <v>30.760000229999999</v>
      </c>
      <c r="BK139">
        <f ca="1">IFERROR(IF(0=LEN(ReferenceData!$BK$139),"",ReferenceData!$BK$139),"")</f>
        <v>31.545000080000001</v>
      </c>
      <c r="BL139">
        <f ca="1">IFERROR(IF(0=LEN(ReferenceData!$BL$139),"",ReferenceData!$BL$139),"")</f>
        <v>25.08799934</v>
      </c>
      <c r="BM139">
        <f ca="1">IFERROR(IF(0=LEN(ReferenceData!$BM$139),"",ReferenceData!$BM$139),"")</f>
        <v>23.902999879999999</v>
      </c>
    </row>
    <row r="140" spans="1:65">
      <c r="A140" t="str">
        <f>IFERROR(IF(0=LEN(ReferenceData!$A$140),"",ReferenceData!$A$140),"")</f>
        <v xml:space="preserve">    Regency Centers Corp</v>
      </c>
      <c r="B140" t="str">
        <f>IFERROR(IF(0=LEN(ReferenceData!$B$140),"",ReferenceData!$B$140),"")</f>
        <v>REG US Equity</v>
      </c>
      <c r="C140" t="str">
        <f>IFERROR(IF(0=LEN(ReferenceData!$C$140),"",ReferenceData!$C$140),"")</f>
        <v>F0578</v>
      </c>
      <c r="D140" t="str">
        <f>IFERROR(IF(0=LEN(ReferenceData!$D$140),"",ReferenceData!$D$140),"")</f>
        <v>FUNDS_AVAILABLE_FOR_DISTRIBUTION</v>
      </c>
      <c r="E140" t="str">
        <f>IFERROR(IF(0=LEN(ReferenceData!$E$140),"",ReferenceData!$E$140),"")</f>
        <v>动态</v>
      </c>
      <c r="F140" t="str">
        <f ca="1">IFERROR(IF(0=LEN(ReferenceData!$F$140),"",ReferenceData!$F$140),"")</f>
        <v/>
      </c>
      <c r="G140">
        <f ca="1">IFERROR(IF(0=LEN(ReferenceData!$G$140),"",ReferenceData!$G$140),"")</f>
        <v>123.259</v>
      </c>
      <c r="H140">
        <f ca="1">IFERROR(IF(0=LEN(ReferenceData!$H$140),"",ReferenceData!$H$140),"")</f>
        <v>136.636</v>
      </c>
      <c r="I140">
        <f ca="1">IFERROR(IF(0=LEN(ReferenceData!$I$140),"",ReferenceData!$I$140),"")</f>
        <v>132.32300000000001</v>
      </c>
      <c r="J140">
        <f ca="1">IFERROR(IF(0=LEN(ReferenceData!$J$140),"",ReferenceData!$J$140),"")</f>
        <v>102.376</v>
      </c>
      <c r="K140">
        <f ca="1">IFERROR(IF(0=LEN(ReferenceData!$K$140),"",ReferenceData!$K$140),"")</f>
        <v>74.072000000000003</v>
      </c>
      <c r="L140">
        <f ca="1">IFERROR(IF(0=LEN(ReferenceData!$L$140),"",ReferenceData!$L$140),"")</f>
        <v>75.414000000000001</v>
      </c>
      <c r="M140">
        <f ca="1">IFERROR(IF(0=LEN(ReferenceData!$M$140),"",ReferenceData!$M$140),"")</f>
        <v>73.373000000000005</v>
      </c>
      <c r="N140">
        <f ca="1">IFERROR(IF(0=LEN(ReferenceData!$N$140),"",ReferenceData!$N$140),"")</f>
        <v>72.322999999999993</v>
      </c>
      <c r="O140">
        <f ca="1">IFERROR(IF(0=LEN(ReferenceData!$O$140),"",ReferenceData!$O$140),"")</f>
        <v>63.997999999999998</v>
      </c>
      <c r="P140">
        <f ca="1">IFERROR(IF(0=LEN(ReferenceData!$P$140),"",ReferenceData!$P$140),"")</f>
        <v>62.389000000000003</v>
      </c>
      <c r="Q140">
        <f ca="1">IFERROR(IF(0=LEN(ReferenceData!$Q$140),"",ReferenceData!$Q$140),"")</f>
        <v>64.978999999999999</v>
      </c>
      <c r="R140">
        <f ca="1">IFERROR(IF(0=LEN(ReferenceData!$R$140),"",ReferenceData!$R$140),"")</f>
        <v>63.645000000000003</v>
      </c>
      <c r="S140">
        <f ca="1">IFERROR(IF(0=LEN(ReferenceData!$S$140),"",ReferenceData!$S$140),"")</f>
        <v>51.848999999999997</v>
      </c>
      <c r="T140">
        <f ca="1">IFERROR(IF(0=LEN(ReferenceData!$T$140),"",ReferenceData!$T$140),"")</f>
        <v>52.156999999999996</v>
      </c>
      <c r="U140">
        <f ca="1">IFERROR(IF(0=LEN(ReferenceData!$U$140),"",ReferenceData!$U$140),"")</f>
        <v>54.704000000000001</v>
      </c>
      <c r="V140">
        <f ca="1">IFERROR(IF(0=LEN(ReferenceData!$V$140),"",ReferenceData!$V$140),"")</f>
        <v>54.703000000000003</v>
      </c>
      <c r="W140">
        <f ca="1">IFERROR(IF(0=LEN(ReferenceData!$W$140),"",ReferenceData!$W$140),"")</f>
        <v>44.024999999999999</v>
      </c>
      <c r="X140">
        <f ca="1">IFERROR(IF(0=LEN(ReferenceData!$X$140),"",ReferenceData!$X$140),"")</f>
        <v>46.085999999999999</v>
      </c>
      <c r="Y140">
        <f ca="1">IFERROR(IF(0=LEN(ReferenceData!$Y$140),"",ReferenceData!$Y$140),"")</f>
        <v>51.665999999999997</v>
      </c>
      <c r="Z140">
        <f ca="1">IFERROR(IF(0=LEN(ReferenceData!$Z$140),"",ReferenceData!$Z$140),"")</f>
        <v>48.801000000000002</v>
      </c>
      <c r="AA140">
        <f ca="1">IFERROR(IF(0=LEN(ReferenceData!$AA$140),"",ReferenceData!$AA$140),"")</f>
        <v>38.594000000000001</v>
      </c>
      <c r="AB140">
        <f ca="1">IFERROR(IF(0=LEN(ReferenceData!$AB$140),"",ReferenceData!$AB$140),"")</f>
        <v>42.593000000000004</v>
      </c>
      <c r="AC140">
        <f ca="1">IFERROR(IF(0=LEN(ReferenceData!$AC$140),"",ReferenceData!$AC$140),"")</f>
        <v>47.951000000000001</v>
      </c>
      <c r="AD140">
        <f ca="1">IFERROR(IF(0=LEN(ReferenceData!$AD$140),"",ReferenceData!$AD$140),"")</f>
        <v>44.661000000000001</v>
      </c>
      <c r="AE140">
        <f ca="1">IFERROR(IF(0=LEN(ReferenceData!$AE$140),"",ReferenceData!$AE$140),"")</f>
        <v>39.437446999999999</v>
      </c>
      <c r="AF140">
        <f ca="1">IFERROR(IF(0=LEN(ReferenceData!$AF$140),"",ReferenceData!$AF$140),"")</f>
        <v>40.86448</v>
      </c>
      <c r="AG140">
        <f ca="1">IFERROR(IF(0=LEN(ReferenceData!$AG$140),"",ReferenceData!$AG$140),"")</f>
        <v>40.166851999999999</v>
      </c>
      <c r="AH140">
        <f ca="1">IFERROR(IF(0=LEN(ReferenceData!$AH$140),"",ReferenceData!$AH$140),"")</f>
        <v>43.658000000000001</v>
      </c>
      <c r="AI140">
        <f ca="1">IFERROR(IF(0=LEN(ReferenceData!$AI$140),"",ReferenceData!$AI$140),"")</f>
        <v>33.648085999999999</v>
      </c>
      <c r="AJ140">
        <f ca="1">IFERROR(IF(0=LEN(ReferenceData!$AJ$140),"",ReferenceData!$AJ$140),"")</f>
        <v>41.353377000000002</v>
      </c>
      <c r="AK140">
        <f ca="1">IFERROR(IF(0=LEN(ReferenceData!$AK$140),"",ReferenceData!$AK$140),"")</f>
        <v>40.684373000000001</v>
      </c>
      <c r="AL140">
        <f ca="1">IFERROR(IF(0=LEN(ReferenceData!$AL$140),"",ReferenceData!$AL$140),"")</f>
        <v>44.473135999999997</v>
      </c>
      <c r="AM140">
        <f ca="1">IFERROR(IF(0=LEN(ReferenceData!$AM$140),"",ReferenceData!$AM$140),"")</f>
        <v>34.787936000000002</v>
      </c>
      <c r="AN140">
        <f ca="1">IFERROR(IF(0=LEN(ReferenceData!$AN$140),"",ReferenceData!$AN$140),"")</f>
        <v>48.266190000000002</v>
      </c>
      <c r="AO140">
        <f ca="1">IFERROR(IF(0=LEN(ReferenceData!$AO$140),"",ReferenceData!$AO$140),"")</f>
        <v>42.919794000000003</v>
      </c>
      <c r="AP140">
        <f ca="1">IFERROR(IF(0=LEN(ReferenceData!$AP$140),"",ReferenceData!$AP$140),"")</f>
        <v>46.937285000000003</v>
      </c>
      <c r="AQ140">
        <f ca="1">IFERROR(IF(0=LEN(ReferenceData!$AQ$140),"",ReferenceData!$AQ$140),"")</f>
        <v>49.484648999999997</v>
      </c>
      <c r="AR140">
        <f ca="1">IFERROR(IF(0=LEN(ReferenceData!$AR$140),"",ReferenceData!$AR$140),"")</f>
        <v>47.488363</v>
      </c>
      <c r="AS140">
        <f ca="1">IFERROR(IF(0=LEN(ReferenceData!$AS$140),"",ReferenceData!$AS$140),"")</f>
        <v>62.38814</v>
      </c>
      <c r="AT140">
        <f ca="1">IFERROR(IF(0=LEN(ReferenceData!$AT$140),"",ReferenceData!$AT$140),"")</f>
        <v>55.094152000000001</v>
      </c>
      <c r="AU140">
        <f ca="1">IFERROR(IF(0=LEN(ReferenceData!$AU$140),"",ReferenceData!$AU$140),"")</f>
        <v>72.258463000000006</v>
      </c>
      <c r="AV140">
        <f ca="1">IFERROR(IF(0=LEN(ReferenceData!$AV$140),"",ReferenceData!$AV$140),"")</f>
        <v>58.106054</v>
      </c>
      <c r="AW140">
        <f ca="1">IFERROR(IF(0=LEN(ReferenceData!$AW$140),"",ReferenceData!$AW$140),"")</f>
        <v>59.229714000000001</v>
      </c>
      <c r="AX140">
        <f ca="1">IFERROR(IF(0=LEN(ReferenceData!$AX$140),"",ReferenceData!$AX$140),"")</f>
        <v>73.653593000000001</v>
      </c>
      <c r="AY140">
        <f ca="1">IFERROR(IF(0=LEN(ReferenceData!$AY$140),"",ReferenceData!$AY$140),"")</f>
        <v>74.014010999999996</v>
      </c>
      <c r="AZ140">
        <f ca="1">IFERROR(IF(0=LEN(ReferenceData!$AZ$140),"",ReferenceData!$AZ$140),"")</f>
        <v>62.860484999999997</v>
      </c>
      <c r="BA140">
        <f ca="1">IFERROR(IF(0=LEN(ReferenceData!$BA$140),"",ReferenceData!$BA$140),"")</f>
        <v>58.894829999999999</v>
      </c>
      <c r="BB140">
        <f ca="1">IFERROR(IF(0=LEN(ReferenceData!$BB$140),"",ReferenceData!$BB$140),"")</f>
        <v>53.340446999999998</v>
      </c>
      <c r="BC140">
        <f ca="1">IFERROR(IF(0=LEN(ReferenceData!$BC$140),"",ReferenceData!$BC$140),"")</f>
        <v>64.909346999999997</v>
      </c>
      <c r="BD140">
        <f ca="1">IFERROR(IF(0=LEN(ReferenceData!$BD$140),"",ReferenceData!$BD$140),"")</f>
        <v>54.173825000000001</v>
      </c>
      <c r="BE140">
        <f ca="1">IFERROR(IF(0=LEN(ReferenceData!$BE$140),"",ReferenceData!$BE$140),"")</f>
        <v>66.05</v>
      </c>
      <c r="BF140">
        <f ca="1">IFERROR(IF(0=LEN(ReferenceData!$BF$140),"",ReferenceData!$BF$140),"")</f>
        <v>57.276828000000002</v>
      </c>
      <c r="BG140">
        <f ca="1">IFERROR(IF(0=LEN(ReferenceData!$BG$140),"",ReferenceData!$BG$140),"")</f>
        <v>61.085000000000001</v>
      </c>
      <c r="BH140">
        <f ca="1">IFERROR(IF(0=LEN(ReferenceData!$BH$140),"",ReferenceData!$BH$140),"")</f>
        <v>51.261507999999999</v>
      </c>
      <c r="BI140">
        <f ca="1">IFERROR(IF(0=LEN(ReferenceData!$BI$140),"",ReferenceData!$BI$140),"")</f>
        <v>46.652000000000001</v>
      </c>
      <c r="BJ140">
        <f ca="1">IFERROR(IF(0=LEN(ReferenceData!$BJ$140),"",ReferenceData!$BJ$140),"")</f>
        <v>41.874001</v>
      </c>
      <c r="BK140">
        <f ca="1">IFERROR(IF(0=LEN(ReferenceData!$BK$140),"",ReferenceData!$BK$140),"")</f>
        <v>55.890998840000002</v>
      </c>
      <c r="BL140">
        <f ca="1">IFERROR(IF(0=LEN(ReferenceData!$BL$140),"",ReferenceData!$BL$140),"")</f>
        <v>46.220001000000003</v>
      </c>
      <c r="BM140">
        <f ca="1">IFERROR(IF(0=LEN(ReferenceData!$BM$140),"",ReferenceData!$BM$140),"")</f>
        <v>41.308998000000003</v>
      </c>
    </row>
    <row r="141" spans="1:65">
      <c r="A141" t="str">
        <f>IFERROR(IF(0=LEN(ReferenceData!$A$141),"",ReferenceData!$A$141),"")</f>
        <v xml:space="preserve">    Retail Opportunity Investments</v>
      </c>
      <c r="B141" t="str">
        <f>IFERROR(IF(0=LEN(ReferenceData!$B$141),"",ReferenceData!$B$141),"")</f>
        <v>ROIC US Equity</v>
      </c>
      <c r="C141" t="str">
        <f>IFERROR(IF(0=LEN(ReferenceData!$C$141),"",ReferenceData!$C$141),"")</f>
        <v>F0578</v>
      </c>
      <c r="D141" t="str">
        <f>IFERROR(IF(0=LEN(ReferenceData!$D$141),"",ReferenceData!$D$141),"")</f>
        <v>FUNDS_AVAILABLE_FOR_DISTRIBUTION</v>
      </c>
      <c r="E141" t="str">
        <f>IFERROR(IF(0=LEN(ReferenceData!$E$141),"",ReferenceData!$E$141),"")</f>
        <v>动态</v>
      </c>
      <c r="F141" t="str">
        <f ca="1">IFERROR(IF(0=LEN(ReferenceData!$F$141),"",ReferenceData!$F$141),"")</f>
        <v/>
      </c>
      <c r="G141">
        <f ca="1">IFERROR(IF(0=LEN(ReferenceData!$G$141),"",ReferenceData!$G$141),"")</f>
        <v>18.829000000000001</v>
      </c>
      <c r="H141">
        <f ca="1">IFERROR(IF(0=LEN(ReferenceData!$H$141),"",ReferenceData!$H$141),"")</f>
        <v>10.308</v>
      </c>
      <c r="I141">
        <f ca="1">IFERROR(IF(0=LEN(ReferenceData!$I$141),"",ReferenceData!$I$141),"")</f>
        <v>19.065999999999999</v>
      </c>
      <c r="J141">
        <f ca="1">IFERROR(IF(0=LEN(ReferenceData!$J$141),"",ReferenceData!$J$141),"")</f>
        <v>21.606000000000002</v>
      </c>
      <c r="K141">
        <f ca="1">IFERROR(IF(0=LEN(ReferenceData!$K$141),"",ReferenceData!$K$141),"")</f>
        <v>21.786999999999999</v>
      </c>
      <c r="L141">
        <f ca="1">IFERROR(IF(0=LEN(ReferenceData!$L$141),"",ReferenceData!$L$141),"")</f>
        <v>17.088000000000001</v>
      </c>
      <c r="M141">
        <f ca="1">IFERROR(IF(0=LEN(ReferenceData!$M$141),"",ReferenceData!$M$141),"")</f>
        <v>16.437000000000001</v>
      </c>
      <c r="N141">
        <f ca="1">IFERROR(IF(0=LEN(ReferenceData!$N$141),"",ReferenceData!$N$141),"")</f>
        <v>17.315999999999999</v>
      </c>
      <c r="O141">
        <f ca="1">IFERROR(IF(0=LEN(ReferenceData!$O$141),"",ReferenceData!$O$141),"")</f>
        <v>15.648</v>
      </c>
      <c r="P141">
        <f ca="1">IFERROR(IF(0=LEN(ReferenceData!$P$141),"",ReferenceData!$P$141),"")</f>
        <v>16.315999999999999</v>
      </c>
      <c r="Q141">
        <f ca="1">IFERROR(IF(0=LEN(ReferenceData!$Q$141),"",ReferenceData!$Q$141),"")</f>
        <v>13.582000000000001</v>
      </c>
      <c r="R141">
        <f ca="1">IFERROR(IF(0=LEN(ReferenceData!$R$141),"",ReferenceData!$R$141),"")</f>
        <v>13.430999999999999</v>
      </c>
      <c r="S141">
        <f ca="1">IFERROR(IF(0=LEN(ReferenceData!$S$141),"",ReferenceData!$S$141),"")</f>
        <v>7.6141420000000002</v>
      </c>
      <c r="T141">
        <f ca="1">IFERROR(IF(0=LEN(ReferenceData!$T$141),"",ReferenceData!$T$141),"")</f>
        <v>8.8307470000000006</v>
      </c>
      <c r="U141">
        <f ca="1">IFERROR(IF(0=LEN(ReferenceData!$U$141),"",ReferenceData!$U$141),"")</f>
        <v>12.7125</v>
      </c>
      <c r="V141">
        <f ca="1">IFERROR(IF(0=LEN(ReferenceData!$V$141),"",ReferenceData!$V$141),"")</f>
        <v>11.671555</v>
      </c>
      <c r="W141">
        <f ca="1">IFERROR(IF(0=LEN(ReferenceData!$W$141),"",ReferenceData!$W$141),"")</f>
        <v>-10.739157000000001</v>
      </c>
      <c r="X141">
        <f ca="1">IFERROR(IF(0=LEN(ReferenceData!$X$141),"",ReferenceData!$X$141),"")</f>
        <v>28.331175999999999</v>
      </c>
      <c r="Y141">
        <f ca="1">IFERROR(IF(0=LEN(ReferenceData!$Y$141),"",ReferenceData!$Y$141),"")</f>
        <v>6.4414579999999999</v>
      </c>
      <c r="Z141">
        <f ca="1">IFERROR(IF(0=LEN(ReferenceData!$Z$141),"",ReferenceData!$Z$141),"")</f>
        <v>7.0369429999999999</v>
      </c>
      <c r="AA141">
        <f ca="1">IFERROR(IF(0=LEN(ReferenceData!$AA$141),"",ReferenceData!$AA$141),"")</f>
        <v>2.5994440000000001</v>
      </c>
      <c r="AB141">
        <f ca="1">IFERROR(IF(0=LEN(ReferenceData!$AB$141),"",ReferenceData!$AB$141),"")</f>
        <v>5.5326139999999997</v>
      </c>
      <c r="AC141">
        <f ca="1">IFERROR(IF(0=LEN(ReferenceData!$AC$141),"",ReferenceData!$AC$141),"")</f>
        <v>6.272437</v>
      </c>
      <c r="AD141">
        <f ca="1">IFERROR(IF(0=LEN(ReferenceData!$AD$141),"",ReferenceData!$AD$141),"")</f>
        <v>5.8611389999999997</v>
      </c>
      <c r="AE141">
        <f ca="1">IFERROR(IF(0=LEN(ReferenceData!$AE$141),"",ReferenceData!$AE$141),"")</f>
        <v>7.9927200000000003</v>
      </c>
      <c r="AF141">
        <f ca="1">IFERROR(IF(0=LEN(ReferenceData!$AF$141),"",ReferenceData!$AF$141),"")</f>
        <v>10.36321</v>
      </c>
      <c r="AG141">
        <f ca="1">IFERROR(IF(0=LEN(ReferenceData!$AG$141),"",ReferenceData!$AG$141),"")</f>
        <v>5.9302789999999996</v>
      </c>
      <c r="AH141">
        <f ca="1">IFERROR(IF(0=LEN(ReferenceData!$AH$141),"",ReferenceData!$AH$141),"")</f>
        <v>11.046353999999999</v>
      </c>
      <c r="AI141">
        <f ca="1">IFERROR(IF(0=LEN(ReferenceData!$AI$141),"",ReferenceData!$AI$141),"")</f>
        <v>6.7741470000000001</v>
      </c>
      <c r="AJ141">
        <f ca="1">IFERROR(IF(0=LEN(ReferenceData!$AJ$141),"",ReferenceData!$AJ$141),"")</f>
        <v>2.0110610000000002</v>
      </c>
      <c r="AK141">
        <f ca="1">IFERROR(IF(0=LEN(ReferenceData!$AK$141),"",ReferenceData!$AK$141),"")</f>
        <v>0.26489000000000001</v>
      </c>
      <c r="AL141">
        <f ca="1">IFERROR(IF(0=LEN(ReferenceData!$AL$141),"",ReferenceData!$AL$141),"")</f>
        <v>-1.197425</v>
      </c>
      <c r="AM141" t="str">
        <f ca="1">IFERROR(IF(0=LEN(ReferenceData!$AM$141),"",ReferenceData!$AM$141),"")</f>
        <v/>
      </c>
      <c r="AN141" t="str">
        <f ca="1">IFERROR(IF(0=LEN(ReferenceData!$AN$141),"",ReferenceData!$AN$141),"")</f>
        <v/>
      </c>
      <c r="AO141" t="str">
        <f ca="1">IFERROR(IF(0=LEN(ReferenceData!$AO$141),"",ReferenceData!$AO$141),"")</f>
        <v/>
      </c>
      <c r="AP141" t="str">
        <f ca="1">IFERROR(IF(0=LEN(ReferenceData!$AP$141),"",ReferenceData!$AP$141),"")</f>
        <v/>
      </c>
      <c r="AQ141" t="str">
        <f ca="1">IFERROR(IF(0=LEN(ReferenceData!$AQ$141),"",ReferenceData!$AQ$141),"")</f>
        <v/>
      </c>
      <c r="AR141" t="str">
        <f ca="1">IFERROR(IF(0=LEN(ReferenceData!$AR$141),"",ReferenceData!$AR$141),"")</f>
        <v/>
      </c>
      <c r="AS141" t="str">
        <f ca="1">IFERROR(IF(0=LEN(ReferenceData!$AS$141),"",ReferenceData!$AS$141),"")</f>
        <v/>
      </c>
      <c r="AT141" t="str">
        <f ca="1">IFERROR(IF(0=LEN(ReferenceData!$AT$141),"",ReferenceData!$AT$141),"")</f>
        <v/>
      </c>
      <c r="AU141" t="str">
        <f ca="1">IFERROR(IF(0=LEN(ReferenceData!$AU$141),"",ReferenceData!$AU$141),"")</f>
        <v/>
      </c>
      <c r="AV141" t="str">
        <f ca="1">IFERROR(IF(0=LEN(ReferenceData!$AV$141),"",ReferenceData!$AV$141),"")</f>
        <v/>
      </c>
      <c r="AW141" t="str">
        <f ca="1">IFERROR(IF(0=LEN(ReferenceData!$AW$141),"",ReferenceData!$AW$141),"")</f>
        <v/>
      </c>
      <c r="AX141" t="str">
        <f ca="1">IFERROR(IF(0=LEN(ReferenceData!$AX$141),"",ReferenceData!$AX$141),"")</f>
        <v/>
      </c>
      <c r="AY141" t="str">
        <f ca="1">IFERROR(IF(0=LEN(ReferenceData!$AY$141),"",ReferenceData!$AY$141),"")</f>
        <v/>
      </c>
      <c r="AZ141" t="str">
        <f ca="1">IFERROR(IF(0=LEN(ReferenceData!$AZ$141),"",ReferenceData!$AZ$141),"")</f>
        <v/>
      </c>
      <c r="BA141" t="str">
        <f ca="1">IFERROR(IF(0=LEN(ReferenceData!$BA$141),"",ReferenceData!$BA$141),"")</f>
        <v/>
      </c>
      <c r="BB141" t="str">
        <f ca="1">IFERROR(IF(0=LEN(ReferenceData!$BB$141),"",ReferenceData!$BB$141),"")</f>
        <v/>
      </c>
      <c r="BC141" t="str">
        <f ca="1">IFERROR(IF(0=LEN(ReferenceData!$BC$141),"",ReferenceData!$BC$141),"")</f>
        <v/>
      </c>
      <c r="BD141" t="str">
        <f ca="1">IFERROR(IF(0=LEN(ReferenceData!$BD$141),"",ReferenceData!$BD$141),"")</f>
        <v/>
      </c>
      <c r="BE141" t="str">
        <f ca="1">IFERROR(IF(0=LEN(ReferenceData!$BE$141),"",ReferenceData!$BE$141),"")</f>
        <v/>
      </c>
      <c r="BF141" t="str">
        <f ca="1">IFERROR(IF(0=LEN(ReferenceData!$BF$141),"",ReferenceData!$BF$141),"")</f>
        <v/>
      </c>
      <c r="BG141" t="str">
        <f ca="1">IFERROR(IF(0=LEN(ReferenceData!$BG$141),"",ReferenceData!$BG$141),"")</f>
        <v/>
      </c>
      <c r="BH141" t="str">
        <f ca="1">IFERROR(IF(0=LEN(ReferenceData!$BH$141),"",ReferenceData!$BH$141),"")</f>
        <v/>
      </c>
      <c r="BI141" t="str">
        <f ca="1">IFERROR(IF(0=LEN(ReferenceData!$BI$141),"",ReferenceData!$BI$141),"")</f>
        <v/>
      </c>
      <c r="BJ141" t="str">
        <f ca="1">IFERROR(IF(0=LEN(ReferenceData!$BJ$141),"",ReferenceData!$BJ$141),"")</f>
        <v/>
      </c>
      <c r="BK141" t="str">
        <f ca="1">IFERROR(IF(0=LEN(ReferenceData!$BK$141),"",ReferenceData!$BK$141),"")</f>
        <v/>
      </c>
      <c r="BL141" t="str">
        <f ca="1">IFERROR(IF(0=LEN(ReferenceData!$BL$141),"",ReferenceData!$BL$141),"")</f>
        <v/>
      </c>
      <c r="BM141" t="str">
        <f ca="1">IFERROR(IF(0=LEN(ReferenceData!$BM$141),"",ReferenceData!$BM$141),"")</f>
        <v/>
      </c>
    </row>
    <row r="142" spans="1:65">
      <c r="A142" t="str">
        <f>IFERROR(IF(0=LEN(ReferenceData!$A$142),"",ReferenceData!$A$142),"")</f>
        <v xml:space="preserve">    Retail Properties of America I</v>
      </c>
      <c r="B142" t="str">
        <f>IFERROR(IF(0=LEN(ReferenceData!$B$142),"",ReferenceData!$B$142),"")</f>
        <v>RPAI US Equity</v>
      </c>
      <c r="C142" t="str">
        <f>IFERROR(IF(0=LEN(ReferenceData!$C$142),"",ReferenceData!$C$142),"")</f>
        <v>F0578</v>
      </c>
      <c r="D142" t="str">
        <f>IFERROR(IF(0=LEN(ReferenceData!$D$142),"",ReferenceData!$D$142),"")</f>
        <v>FUNDS_AVAILABLE_FOR_DISTRIBUTION</v>
      </c>
      <c r="E142" t="str">
        <f>IFERROR(IF(0=LEN(ReferenceData!$E$142),"",ReferenceData!$E$142),"")</f>
        <v>动态</v>
      </c>
      <c r="F142" t="str">
        <f ca="1">IFERROR(IF(0=LEN(ReferenceData!$F$142),"",ReferenceData!$F$142),"")</f>
        <v/>
      </c>
      <c r="G142">
        <f ca="1">IFERROR(IF(0=LEN(ReferenceData!$G$142),"",ReferenceData!$G$142),"")</f>
        <v>43.540999999999997</v>
      </c>
      <c r="H142">
        <f ca="1">IFERROR(IF(0=LEN(ReferenceData!$H$142),"",ReferenceData!$H$142),"")</f>
        <v>32.418999999999997</v>
      </c>
      <c r="I142">
        <f ca="1">IFERROR(IF(0=LEN(ReferenceData!$I$142),"",ReferenceData!$I$142),"")</f>
        <v>34.917000000000002</v>
      </c>
      <c r="J142">
        <f ca="1">IFERROR(IF(0=LEN(ReferenceData!$J$142),"",ReferenceData!$J$142),"")</f>
        <v>51.883000000000003</v>
      </c>
      <c r="K142">
        <f ca="1">IFERROR(IF(0=LEN(ReferenceData!$K$142),"",ReferenceData!$K$142),"")</f>
        <v>47.484000000000002</v>
      </c>
      <c r="L142">
        <f ca="1">IFERROR(IF(0=LEN(ReferenceData!$L$142),"",ReferenceData!$L$142),"")</f>
        <v>49.472999999999999</v>
      </c>
      <c r="M142">
        <f ca="1">IFERROR(IF(0=LEN(ReferenceData!$M$142),"",ReferenceData!$M$142),"")</f>
        <v>40.756</v>
      </c>
      <c r="N142">
        <f ca="1">IFERROR(IF(0=LEN(ReferenceData!$N$142),"",ReferenceData!$N$142),"")</f>
        <v>52.701999999999998</v>
      </c>
      <c r="O142">
        <f ca="1">IFERROR(IF(0=LEN(ReferenceData!$O$142),"",ReferenceData!$O$142),"")</f>
        <v>50.567999999999998</v>
      </c>
      <c r="P142">
        <f ca="1">IFERROR(IF(0=LEN(ReferenceData!$P$142),"",ReferenceData!$P$142),"")</f>
        <v>48.579000000000001</v>
      </c>
      <c r="Q142">
        <f ca="1">IFERROR(IF(0=LEN(ReferenceData!$Q$142),"",ReferenceData!$Q$142),"")</f>
        <v>46.125</v>
      </c>
      <c r="R142">
        <f ca="1">IFERROR(IF(0=LEN(ReferenceData!$R$142),"",ReferenceData!$R$142),"")</f>
        <v>48.274999999999999</v>
      </c>
      <c r="S142">
        <f ca="1">IFERROR(IF(0=LEN(ReferenceData!$S$142),"",ReferenceData!$S$142),"")</f>
        <v>46.906999999999996</v>
      </c>
      <c r="T142">
        <f ca="1">IFERROR(IF(0=LEN(ReferenceData!$T$142),"",ReferenceData!$T$142),"")</f>
        <v>51.691000000000003</v>
      </c>
      <c r="U142">
        <f ca="1">IFERROR(IF(0=LEN(ReferenceData!$U$142),"",ReferenceData!$U$142),"")</f>
        <v>50.118000000000002</v>
      </c>
      <c r="V142">
        <f ca="1">IFERROR(IF(0=LEN(ReferenceData!$V$142),"",ReferenceData!$V$142),"")</f>
        <v>48.755000000000003</v>
      </c>
      <c r="W142">
        <f ca="1">IFERROR(IF(0=LEN(ReferenceData!$W$142),"",ReferenceData!$W$142),"")</f>
        <v>45.933999999999997</v>
      </c>
      <c r="X142">
        <f ca="1">IFERROR(IF(0=LEN(ReferenceData!$X$142),"",ReferenceData!$X$142),"")</f>
        <v>51.750999999999998</v>
      </c>
      <c r="Y142">
        <f ca="1">IFERROR(IF(0=LEN(ReferenceData!$Y$142),"",ReferenceData!$Y$142),"")</f>
        <v>50.320999999999998</v>
      </c>
      <c r="Z142">
        <f ca="1">IFERROR(IF(0=LEN(ReferenceData!$Z$142),"",ReferenceData!$Z$142),"")</f>
        <v>39.401000000000003</v>
      </c>
      <c r="AA142">
        <f ca="1">IFERROR(IF(0=LEN(ReferenceData!$AA$142),"",ReferenceData!$AA$142),"")</f>
        <v>31.558</v>
      </c>
      <c r="AB142">
        <f ca="1">IFERROR(IF(0=LEN(ReferenceData!$AB$142),"",ReferenceData!$AB$142),"")</f>
        <v>6.3289999999999997</v>
      </c>
      <c r="AC142">
        <f ca="1">IFERROR(IF(0=LEN(ReferenceData!$AC$142),"",ReferenceData!$AC$142),"")</f>
        <v>39.597000000000001</v>
      </c>
      <c r="AD142">
        <f ca="1">IFERROR(IF(0=LEN(ReferenceData!$AD$142),"",ReferenceData!$AD$142),"")</f>
        <v>35.146000000000001</v>
      </c>
      <c r="AE142">
        <f ca="1">IFERROR(IF(0=LEN(ReferenceData!$AE$142),"",ReferenceData!$AE$142),"")</f>
        <v>29.922000000000001</v>
      </c>
      <c r="AF142">
        <f ca="1">IFERROR(IF(0=LEN(ReferenceData!$AF$142),"",ReferenceData!$AF$142),"")</f>
        <v>34.765000000000001</v>
      </c>
      <c r="AG142">
        <f ca="1">IFERROR(IF(0=LEN(ReferenceData!$AG$142),"",ReferenceData!$AG$142),"")</f>
        <v>36.267000000000003</v>
      </c>
      <c r="AH142">
        <f ca="1">IFERROR(IF(0=LEN(ReferenceData!$AH$142),"",ReferenceData!$AH$142),"")</f>
        <v>30.27</v>
      </c>
      <c r="AI142">
        <f ca="1">IFERROR(IF(0=LEN(ReferenceData!$AI$142),"",ReferenceData!$AI$142),"")</f>
        <v>41.012999999999998</v>
      </c>
      <c r="AJ142" t="str">
        <f ca="1">IFERROR(IF(0=LEN(ReferenceData!$AJ$142),"",ReferenceData!$AJ$142),"")</f>
        <v/>
      </c>
      <c r="AK142" t="str">
        <f ca="1">IFERROR(IF(0=LEN(ReferenceData!$AK$142),"",ReferenceData!$AK$142),"")</f>
        <v/>
      </c>
      <c r="AL142" t="str">
        <f ca="1">IFERROR(IF(0=LEN(ReferenceData!$AL$142),"",ReferenceData!$AL$142),"")</f>
        <v/>
      </c>
      <c r="AM142" t="str">
        <f ca="1">IFERROR(IF(0=LEN(ReferenceData!$AM$142),"",ReferenceData!$AM$142),"")</f>
        <v/>
      </c>
      <c r="AN142">
        <f ca="1">IFERROR(IF(0=LEN(ReferenceData!$AN$142),"",ReferenceData!$AN$142),"")</f>
        <v>79.126000000000005</v>
      </c>
      <c r="AO142" t="str">
        <f ca="1">IFERROR(IF(0=LEN(ReferenceData!$AO$142),"",ReferenceData!$AO$142),"")</f>
        <v/>
      </c>
      <c r="AP142" t="str">
        <f ca="1">IFERROR(IF(0=LEN(ReferenceData!$AP$142),"",ReferenceData!$AP$142),"")</f>
        <v/>
      </c>
      <c r="AQ142" t="str">
        <f ca="1">IFERROR(IF(0=LEN(ReferenceData!$AQ$142),"",ReferenceData!$AQ$142),"")</f>
        <v/>
      </c>
      <c r="AR142" t="str">
        <f ca="1">IFERROR(IF(0=LEN(ReferenceData!$AR$142),"",ReferenceData!$AR$142),"")</f>
        <v/>
      </c>
      <c r="AS142" t="str">
        <f ca="1">IFERROR(IF(0=LEN(ReferenceData!$AS$142),"",ReferenceData!$AS$142),"")</f>
        <v/>
      </c>
      <c r="AT142" t="str">
        <f ca="1">IFERROR(IF(0=LEN(ReferenceData!$AT$142),"",ReferenceData!$AT$142),"")</f>
        <v/>
      </c>
      <c r="AU142" t="str">
        <f ca="1">IFERROR(IF(0=LEN(ReferenceData!$AU$142),"",ReferenceData!$AU$142),"")</f>
        <v/>
      </c>
      <c r="AV142" t="str">
        <f ca="1">IFERROR(IF(0=LEN(ReferenceData!$AV$142),"",ReferenceData!$AV$142),"")</f>
        <v/>
      </c>
      <c r="AW142" t="str">
        <f ca="1">IFERROR(IF(0=LEN(ReferenceData!$AW$142),"",ReferenceData!$AW$142),"")</f>
        <v/>
      </c>
      <c r="AX142" t="str">
        <f ca="1">IFERROR(IF(0=LEN(ReferenceData!$AX$142),"",ReferenceData!$AX$142),"")</f>
        <v/>
      </c>
      <c r="AY142" t="str">
        <f ca="1">IFERROR(IF(0=LEN(ReferenceData!$AY$142),"",ReferenceData!$AY$142),"")</f>
        <v/>
      </c>
      <c r="AZ142" t="str">
        <f ca="1">IFERROR(IF(0=LEN(ReferenceData!$AZ$142),"",ReferenceData!$AZ$142),"")</f>
        <v/>
      </c>
      <c r="BA142" t="str">
        <f ca="1">IFERROR(IF(0=LEN(ReferenceData!$BA$142),"",ReferenceData!$BA$142),"")</f>
        <v/>
      </c>
      <c r="BB142" t="str">
        <f ca="1">IFERROR(IF(0=LEN(ReferenceData!$BB$142),"",ReferenceData!$BB$142),"")</f>
        <v/>
      </c>
      <c r="BC142" t="str">
        <f ca="1">IFERROR(IF(0=LEN(ReferenceData!$BC$142),"",ReferenceData!$BC$142),"")</f>
        <v/>
      </c>
      <c r="BD142" t="str">
        <f ca="1">IFERROR(IF(0=LEN(ReferenceData!$BD$142),"",ReferenceData!$BD$142),"")</f>
        <v/>
      </c>
      <c r="BE142" t="str">
        <f ca="1">IFERROR(IF(0=LEN(ReferenceData!$BE$142),"",ReferenceData!$BE$142),"")</f>
        <v/>
      </c>
      <c r="BF142" t="str">
        <f ca="1">IFERROR(IF(0=LEN(ReferenceData!$BF$142),"",ReferenceData!$BF$142),"")</f>
        <v/>
      </c>
      <c r="BG142" t="str">
        <f ca="1">IFERROR(IF(0=LEN(ReferenceData!$BG$142),"",ReferenceData!$BG$142),"")</f>
        <v/>
      </c>
      <c r="BH142" t="str">
        <f ca="1">IFERROR(IF(0=LEN(ReferenceData!$BH$142),"",ReferenceData!$BH$142),"")</f>
        <v/>
      </c>
      <c r="BI142" t="str">
        <f ca="1">IFERROR(IF(0=LEN(ReferenceData!$BI$142),"",ReferenceData!$BI$142),"")</f>
        <v/>
      </c>
      <c r="BJ142" t="str">
        <f ca="1">IFERROR(IF(0=LEN(ReferenceData!$BJ$142),"",ReferenceData!$BJ$142),"")</f>
        <v/>
      </c>
      <c r="BK142" t="str">
        <f ca="1">IFERROR(IF(0=LEN(ReferenceData!$BK$142),"",ReferenceData!$BK$142),"")</f>
        <v/>
      </c>
      <c r="BL142" t="str">
        <f ca="1">IFERROR(IF(0=LEN(ReferenceData!$BL$142),"",ReferenceData!$BL$142),"")</f>
        <v/>
      </c>
      <c r="BM142" t="str">
        <f ca="1">IFERROR(IF(0=LEN(ReferenceData!$BM$142),"",ReferenceData!$BM$142),"")</f>
        <v/>
      </c>
    </row>
    <row r="143" spans="1:65">
      <c r="A143" t="str">
        <f>IFERROR(IF(0=LEN(ReferenceData!$A$143),"",ReferenceData!$A$143),"")</f>
        <v xml:space="preserve">    Simon Property Group Inc</v>
      </c>
      <c r="B143" t="str">
        <f>IFERROR(IF(0=LEN(ReferenceData!$B$143),"",ReferenceData!$B$143),"")</f>
        <v>SPG US Equity</v>
      </c>
      <c r="C143" t="str">
        <f>IFERROR(IF(0=LEN(ReferenceData!$C$143),"",ReferenceData!$C$143),"")</f>
        <v>F0578</v>
      </c>
      <c r="D143" t="str">
        <f>IFERROR(IF(0=LEN(ReferenceData!$D$143),"",ReferenceData!$D$143),"")</f>
        <v>FUNDS_AVAILABLE_FOR_DISTRIBUTION</v>
      </c>
      <c r="E143" t="str">
        <f>IFERROR(IF(0=LEN(ReferenceData!$E$143),"",ReferenceData!$E$143),"")</f>
        <v>动态</v>
      </c>
      <c r="F143" t="str">
        <f ca="1">IFERROR(IF(0=LEN(ReferenceData!$F$143),"",ReferenceData!$F$143),"")</f>
        <v/>
      </c>
      <c r="G143">
        <f ca="1">IFERROR(IF(0=LEN(ReferenceData!$G$143),"",ReferenceData!$G$143),"")</f>
        <v>878.55600000000004</v>
      </c>
      <c r="H143">
        <f ca="1">IFERROR(IF(0=LEN(ReferenceData!$H$143),"",ReferenceData!$H$143),"")</f>
        <v>841.76099999999997</v>
      </c>
      <c r="I143">
        <f ca="1">IFERROR(IF(0=LEN(ReferenceData!$I$143),"",ReferenceData!$I$143),"")</f>
        <v>725.94500000000005</v>
      </c>
      <c r="J143">
        <f ca="1">IFERROR(IF(0=LEN(ReferenceData!$J$143),"",ReferenceData!$J$143),"")</f>
        <v>795.86300000000006</v>
      </c>
      <c r="K143">
        <f ca="1">IFERROR(IF(0=LEN(ReferenceData!$K$143),"",ReferenceData!$K$143),"")</f>
        <v>730.46299999999997</v>
      </c>
      <c r="L143">
        <f ca="1">IFERROR(IF(0=LEN(ReferenceData!$L$143),"",ReferenceData!$L$143),"")</f>
        <v>847.72500000000002</v>
      </c>
      <c r="M143">
        <f ca="1">IFERROR(IF(0=LEN(ReferenceData!$M$143),"",ReferenceData!$M$143),"")</f>
        <v>786.26400000000001</v>
      </c>
      <c r="N143">
        <f ca="1">IFERROR(IF(0=LEN(ReferenceData!$N$143),"",ReferenceData!$N$143),"")</f>
        <v>778.02</v>
      </c>
      <c r="O143">
        <f ca="1">IFERROR(IF(0=LEN(ReferenceData!$O$143),"",ReferenceData!$O$143),"")</f>
        <v>678.64099999999996</v>
      </c>
      <c r="P143">
        <f ca="1">IFERROR(IF(0=LEN(ReferenceData!$P$143),"",ReferenceData!$P$143),"")</f>
        <v>731.14400000000001</v>
      </c>
      <c r="Q143">
        <f ca="1">IFERROR(IF(0=LEN(ReferenceData!$Q$143),"",ReferenceData!$Q$143),"")</f>
        <v>688.71100000000001</v>
      </c>
      <c r="R143">
        <f ca="1">IFERROR(IF(0=LEN(ReferenceData!$R$143),"",ReferenceData!$R$143),"")</f>
        <v>681.71699999999998</v>
      </c>
      <c r="S143">
        <f ca="1">IFERROR(IF(0=LEN(ReferenceData!$S$143),"",ReferenceData!$S$143),"")</f>
        <v>704.3</v>
      </c>
      <c r="T143">
        <f ca="1">IFERROR(IF(0=LEN(ReferenceData!$T$143),"",ReferenceData!$T$143),"")</f>
        <v>659.47</v>
      </c>
      <c r="U143">
        <f ca="1">IFERROR(IF(0=LEN(ReferenceData!$U$143),"",ReferenceData!$U$143),"")</f>
        <v>621.58399999999995</v>
      </c>
      <c r="V143">
        <f ca="1">IFERROR(IF(0=LEN(ReferenceData!$V$143),"",ReferenceData!$V$143),"")</f>
        <v>731.33600000000001</v>
      </c>
      <c r="W143">
        <f ca="1">IFERROR(IF(0=LEN(ReferenceData!$W$143),"",ReferenceData!$W$143),"")</f>
        <v>681.94899999999996</v>
      </c>
      <c r="X143">
        <f ca="1">IFERROR(IF(0=LEN(ReferenceData!$X$143),"",ReferenceData!$X$143),"")</f>
        <v>630.947</v>
      </c>
      <c r="Y143">
        <f ca="1">IFERROR(IF(0=LEN(ReferenceData!$Y$143),"",ReferenceData!$Y$143),"")</f>
        <v>612.995</v>
      </c>
      <c r="Z143">
        <f ca="1">IFERROR(IF(0=LEN(ReferenceData!$Z$143),"",ReferenceData!$Z$143),"")</f>
        <v>628.18299999999999</v>
      </c>
      <c r="AA143">
        <f ca="1">IFERROR(IF(0=LEN(ReferenceData!$AA$143),"",ReferenceData!$AA$143),"")</f>
        <v>576.69000000000005</v>
      </c>
      <c r="AB143">
        <f ca="1">IFERROR(IF(0=LEN(ReferenceData!$AB$143),"",ReferenceData!$AB$143),"")</f>
        <v>539.18799999999999</v>
      </c>
      <c r="AC143">
        <f ca="1">IFERROR(IF(0=LEN(ReferenceData!$AC$143),"",ReferenceData!$AC$143),"")</f>
        <v>495.46899999999999</v>
      </c>
      <c r="AD143">
        <f ca="1">IFERROR(IF(0=LEN(ReferenceData!$AD$143),"",ReferenceData!$AD$143),"")</f>
        <v>490.29500000000002</v>
      </c>
      <c r="AE143">
        <f ca="1">IFERROR(IF(0=LEN(ReferenceData!$AE$143),"",ReferenceData!$AE$143),"")</f>
        <v>457.62400000000002</v>
      </c>
      <c r="AF143">
        <f ca="1">IFERROR(IF(0=LEN(ReferenceData!$AF$143),"",ReferenceData!$AF$143),"")</f>
        <v>436.37700000000001</v>
      </c>
      <c r="AG143">
        <f ca="1">IFERROR(IF(0=LEN(ReferenceData!$AG$143),"",ReferenceData!$AG$143),"")</f>
        <v>406.30799999999999</v>
      </c>
      <c r="AH143">
        <f ca="1">IFERROR(IF(0=LEN(ReferenceData!$AH$143),"",ReferenceData!$AH$143),"")</f>
        <v>430.03199999999998</v>
      </c>
      <c r="AI143">
        <f ca="1">IFERROR(IF(0=LEN(ReferenceData!$AI$143),"",ReferenceData!$AI$143),"")</f>
        <v>467.392</v>
      </c>
      <c r="AJ143">
        <f ca="1">IFERROR(IF(0=LEN(ReferenceData!$AJ$143),"",ReferenceData!$AJ$143),"")</f>
        <v>410.84</v>
      </c>
      <c r="AK143">
        <f ca="1">IFERROR(IF(0=LEN(ReferenceData!$AK$143),"",ReferenceData!$AK$143),"")</f>
        <v>355.58499999999998</v>
      </c>
      <c r="AL143">
        <f ca="1">IFERROR(IF(0=LEN(ReferenceData!$AL$143),"",ReferenceData!$AL$143),"")</f>
        <v>399.64699999999999</v>
      </c>
      <c r="AM143">
        <f ca="1">IFERROR(IF(0=LEN(ReferenceData!$AM$143),"",ReferenceData!$AM$143),"")</f>
        <v>473.53640000000001</v>
      </c>
      <c r="AN143">
        <f ca="1">IFERROR(IF(0=LEN(ReferenceData!$AN$143),"",ReferenceData!$AN$143),"")</f>
        <v>358.565</v>
      </c>
      <c r="AO143">
        <f ca="1">IFERROR(IF(0=LEN(ReferenceData!$AO$143),"",ReferenceData!$AO$143),"")</f>
        <v>389.28500000000003</v>
      </c>
      <c r="AP143">
        <f ca="1">IFERROR(IF(0=LEN(ReferenceData!$AP$143),"",ReferenceData!$AP$143),"")</f>
        <v>382.99849999999998</v>
      </c>
      <c r="AQ143">
        <f ca="1">IFERROR(IF(0=LEN(ReferenceData!$AQ$143),"",ReferenceData!$AQ$143),"")</f>
        <v>373.62599999999998</v>
      </c>
      <c r="AR143">
        <f ca="1">IFERROR(IF(0=LEN(ReferenceData!$AR$143),"",ReferenceData!$AR$143),"")</f>
        <v>320.88200000000001</v>
      </c>
      <c r="AS143">
        <f ca="1">IFERROR(IF(0=LEN(ReferenceData!$AS$143),"",ReferenceData!$AS$143),"")</f>
        <v>299.85000000000002</v>
      </c>
      <c r="AT143">
        <f ca="1">IFERROR(IF(0=LEN(ReferenceData!$AT$143),"",ReferenceData!$AT$143),"")</f>
        <v>314.78899999999999</v>
      </c>
      <c r="AU143">
        <f ca="1">IFERROR(IF(0=LEN(ReferenceData!$AU$143),"",ReferenceData!$AU$143),"")</f>
        <v>285.11700000000002</v>
      </c>
      <c r="AV143">
        <f ca="1">IFERROR(IF(0=LEN(ReferenceData!$AV$143),"",ReferenceData!$AV$143),"")</f>
        <v>247.40899999999999</v>
      </c>
      <c r="AW143">
        <f ca="1">IFERROR(IF(0=LEN(ReferenceData!$AW$143),"",ReferenceData!$AW$143),"")</f>
        <v>270.72300000000001</v>
      </c>
      <c r="AX143">
        <f ca="1">IFERROR(IF(0=LEN(ReferenceData!$AX$143),"",ReferenceData!$AX$143),"")</f>
        <v>292.51499999999999</v>
      </c>
      <c r="AY143">
        <f ca="1">IFERROR(IF(0=LEN(ReferenceData!$AY$143),"",ReferenceData!$AY$143),"")</f>
        <v>219.79499999999999</v>
      </c>
      <c r="AZ143">
        <f ca="1">IFERROR(IF(0=LEN(ReferenceData!$AZ$143),"",ReferenceData!$AZ$143),"")</f>
        <v>336.16</v>
      </c>
      <c r="BA143">
        <f ca="1">IFERROR(IF(0=LEN(ReferenceData!$BA$143),"",ReferenceData!$BA$143),"")</f>
        <v>269.428</v>
      </c>
      <c r="BB143">
        <f ca="1">IFERROR(IF(0=LEN(ReferenceData!$BB$143),"",ReferenceData!$BB$143),"")</f>
        <v>278.90899999999999</v>
      </c>
      <c r="BC143">
        <f ca="1">IFERROR(IF(0=LEN(ReferenceData!$BC$143),"",ReferenceData!$BC$143),"")</f>
        <v>418.95699999999999</v>
      </c>
      <c r="BD143">
        <f ca="1">IFERROR(IF(0=LEN(ReferenceData!$BD$143),"",ReferenceData!$BD$143),"")</f>
        <v>323.46100000000001</v>
      </c>
      <c r="BE143">
        <f ca="1">IFERROR(IF(0=LEN(ReferenceData!$BE$143),"",ReferenceData!$BE$143),"")</f>
        <v>335.16899999999998</v>
      </c>
      <c r="BF143">
        <f ca="1">IFERROR(IF(0=LEN(ReferenceData!$BF$143),"",ReferenceData!$BF$143),"")</f>
        <v>333.78100000000001</v>
      </c>
      <c r="BG143">
        <f ca="1">IFERROR(IF(0=LEN(ReferenceData!$BG$143),"",ReferenceData!$BG$143),"")</f>
        <v>382.71899999999999</v>
      </c>
      <c r="BH143">
        <f ca="1">IFERROR(IF(0=LEN(ReferenceData!$BH$143),"",ReferenceData!$BH$143),"")</f>
        <v>276.399</v>
      </c>
      <c r="BI143">
        <f ca="1">IFERROR(IF(0=LEN(ReferenceData!$BI$143),"",ReferenceData!$BI$143),"")</f>
        <v>208.55699999999999</v>
      </c>
      <c r="BJ143">
        <f ca="1">IFERROR(IF(0=LEN(ReferenceData!$BJ$143),"",ReferenceData!$BJ$143),"")</f>
        <v>194.60300000000001</v>
      </c>
      <c r="BK143">
        <f ca="1">IFERROR(IF(0=LEN(ReferenceData!$BK$143),"",ReferenceData!$BK$143),"")</f>
        <v>506.73500000000001</v>
      </c>
      <c r="BL143">
        <f ca="1">IFERROR(IF(0=LEN(ReferenceData!$BL$143),"",ReferenceData!$BL$143),"")</f>
        <v>179.345</v>
      </c>
      <c r="BM143">
        <f ca="1">IFERROR(IF(0=LEN(ReferenceData!$BM$143),"",ReferenceData!$BM$143),"")</f>
        <v>186.422</v>
      </c>
    </row>
    <row r="144" spans="1:65">
      <c r="A144" t="str">
        <f>IFERROR(IF(0=LEN(ReferenceData!$A$144),"",ReferenceData!$A$144),"")</f>
        <v xml:space="preserve">    Tanger Factory Outlet Centers</v>
      </c>
      <c r="B144" t="str">
        <f>IFERROR(IF(0=LEN(ReferenceData!$B$144),"",ReferenceData!$B$144),"")</f>
        <v>SKT US Equity</v>
      </c>
      <c r="C144" t="str">
        <f>IFERROR(IF(0=LEN(ReferenceData!$C$144),"",ReferenceData!$C$144),"")</f>
        <v>F0578</v>
      </c>
      <c r="D144" t="str">
        <f>IFERROR(IF(0=LEN(ReferenceData!$D$144),"",ReferenceData!$D$144),"")</f>
        <v>FUNDS_AVAILABLE_FOR_DISTRIBUTION</v>
      </c>
      <c r="E144" t="str">
        <f>IFERROR(IF(0=LEN(ReferenceData!$E$144),"",ReferenceData!$E$144),"")</f>
        <v>动态</v>
      </c>
      <c r="F144" t="str">
        <f ca="1">IFERROR(IF(0=LEN(ReferenceData!$F$144),"",ReferenceData!$F$144),"")</f>
        <v/>
      </c>
      <c r="G144">
        <f ca="1">IFERROR(IF(0=LEN(ReferenceData!$G$144),"",ReferenceData!$G$144),"")</f>
        <v>53.988</v>
      </c>
      <c r="H144">
        <f ca="1">IFERROR(IF(0=LEN(ReferenceData!$H$144),"",ReferenceData!$H$144),"")</f>
        <v>51.878999999999998</v>
      </c>
      <c r="I144">
        <f ca="1">IFERROR(IF(0=LEN(ReferenceData!$I$144),"",ReferenceData!$I$144),"")</f>
        <v>41.921999999999997</v>
      </c>
      <c r="J144">
        <f ca="1">IFERROR(IF(0=LEN(ReferenceData!$J$144),"",ReferenceData!$J$144),"")</f>
        <v>52.255000000000003</v>
      </c>
      <c r="K144">
        <f ca="1">IFERROR(IF(0=LEN(ReferenceData!$K$144),"",ReferenceData!$K$144),"")</f>
        <v>53.106999999999999</v>
      </c>
      <c r="L144">
        <f ca="1">IFERROR(IF(0=LEN(ReferenceData!$L$144),"",ReferenceData!$L$144),"")</f>
        <v>52.265999999999998</v>
      </c>
      <c r="M144">
        <f ca="1">IFERROR(IF(0=LEN(ReferenceData!$M$144),"",ReferenceData!$M$144),"")</f>
        <v>51.524000000000001</v>
      </c>
      <c r="N144">
        <f ca="1">IFERROR(IF(0=LEN(ReferenceData!$N$144),"",ReferenceData!$N$144),"")</f>
        <v>55.844999999999999</v>
      </c>
      <c r="O144">
        <f ca="1">IFERROR(IF(0=LEN(ReferenceData!$O$144),"",ReferenceData!$O$144),"")</f>
        <v>55.993000000000002</v>
      </c>
      <c r="P144">
        <f ca="1">IFERROR(IF(0=LEN(ReferenceData!$P$144),"",ReferenceData!$P$144),"")</f>
        <v>57.994999999999997</v>
      </c>
      <c r="Q144">
        <f ca="1">IFERROR(IF(0=LEN(ReferenceData!$Q$144),"",ReferenceData!$Q$144),"")</f>
        <v>48.715000000000003</v>
      </c>
      <c r="R144">
        <f ca="1">IFERROR(IF(0=LEN(ReferenceData!$R$144),"",ReferenceData!$R$144),"")</f>
        <v>49.823</v>
      </c>
      <c r="S144">
        <f ca="1">IFERROR(IF(0=LEN(ReferenceData!$S$144),"",ReferenceData!$S$144),"")</f>
        <v>42.014000000000003</v>
      </c>
      <c r="T144">
        <f ca="1">IFERROR(IF(0=LEN(ReferenceData!$T$144),"",ReferenceData!$T$144),"")</f>
        <v>39.691000000000003</v>
      </c>
      <c r="U144">
        <f ca="1">IFERROR(IF(0=LEN(ReferenceData!$U$144),"",ReferenceData!$U$144),"")</f>
        <v>34.81</v>
      </c>
      <c r="V144">
        <f ca="1">IFERROR(IF(0=LEN(ReferenceData!$V$144),"",ReferenceData!$V$144),"")</f>
        <v>39.613</v>
      </c>
      <c r="W144">
        <f ca="1">IFERROR(IF(0=LEN(ReferenceData!$W$144),"",ReferenceData!$W$144),"")</f>
        <v>48.216000000000001</v>
      </c>
      <c r="X144">
        <f ca="1">IFERROR(IF(0=LEN(ReferenceData!$X$144),"",ReferenceData!$X$144),"")</f>
        <v>38.683999999999997</v>
      </c>
      <c r="Y144">
        <f ca="1">IFERROR(IF(0=LEN(ReferenceData!$Y$144),"",ReferenceData!$Y$144),"")</f>
        <v>33.103000000000002</v>
      </c>
      <c r="Z144">
        <f ca="1">IFERROR(IF(0=LEN(ReferenceData!$Z$144),"",ReferenceData!$Z$144),"")</f>
        <v>38.539000000000001</v>
      </c>
      <c r="AA144">
        <f ca="1">IFERROR(IF(0=LEN(ReferenceData!$AA$144),"",ReferenceData!$AA$144),"")</f>
        <v>39.814999999999998</v>
      </c>
      <c r="AB144">
        <f ca="1">IFERROR(IF(0=LEN(ReferenceData!$AB$144),"",ReferenceData!$AB$144),"")</f>
        <v>39.792999999999999</v>
      </c>
      <c r="AC144">
        <f ca="1">IFERROR(IF(0=LEN(ReferenceData!$AC$144),"",ReferenceData!$AC$144),"")</f>
        <v>34.993000000000002</v>
      </c>
      <c r="AD144">
        <f ca="1">IFERROR(IF(0=LEN(ReferenceData!$AD$144),"",ReferenceData!$AD$144),"")</f>
        <v>32.661999999999999</v>
      </c>
      <c r="AE144">
        <f ca="1">IFERROR(IF(0=LEN(ReferenceData!$AE$144),"",ReferenceData!$AE$144),"")</f>
        <v>38.713000000000001</v>
      </c>
      <c r="AF144">
        <f ca="1">IFERROR(IF(0=LEN(ReferenceData!$AF$144),"",ReferenceData!$AF$144),"")</f>
        <v>30.364000000000001</v>
      </c>
      <c r="AG144">
        <f ca="1">IFERROR(IF(0=LEN(ReferenceData!$AG$144),"",ReferenceData!$AG$144),"")</f>
        <v>23.138000000000002</v>
      </c>
      <c r="AH144">
        <f ca="1">IFERROR(IF(0=LEN(ReferenceData!$AH$144),"",ReferenceData!$AH$144),"")</f>
        <v>27.076000000000001</v>
      </c>
      <c r="AI144">
        <f ca="1">IFERROR(IF(0=LEN(ReferenceData!$AI$144),"",ReferenceData!$AI$144),"")</f>
        <v>25.747</v>
      </c>
      <c r="AJ144">
        <f ca="1">IFERROR(IF(0=LEN(ReferenceData!$AJ$144),"",ReferenceData!$AJ$144),"")</f>
        <v>24.579000000000001</v>
      </c>
      <c r="AK144">
        <f ca="1">IFERROR(IF(0=LEN(ReferenceData!$AK$144),"",ReferenceData!$AK$144),"")</f>
        <v>27.096</v>
      </c>
      <c r="AL144">
        <f ca="1">IFERROR(IF(0=LEN(ReferenceData!$AL$144),"",ReferenceData!$AL$144),"")</f>
        <v>27.332000000000001</v>
      </c>
      <c r="AM144">
        <f ca="1">IFERROR(IF(0=LEN(ReferenceData!$AM$144),"",ReferenceData!$AM$144),"")</f>
        <v>30.83</v>
      </c>
      <c r="AN144">
        <f ca="1">IFERROR(IF(0=LEN(ReferenceData!$AN$144),"",ReferenceData!$AN$144),"")</f>
        <v>29.056000000000001</v>
      </c>
      <c r="AO144">
        <f ca="1">IFERROR(IF(0=LEN(ReferenceData!$AO$144),"",ReferenceData!$AO$144),"")</f>
        <v>22.39</v>
      </c>
      <c r="AP144">
        <f ca="1">IFERROR(IF(0=LEN(ReferenceData!$AP$144),"",ReferenceData!$AP$144),"")</f>
        <v>21.823</v>
      </c>
      <c r="AQ144">
        <f ca="1">IFERROR(IF(0=LEN(ReferenceData!$AQ$144),"",ReferenceData!$AQ$144),"")</f>
        <v>18.75</v>
      </c>
      <c r="AR144">
        <f ca="1">IFERROR(IF(0=LEN(ReferenceData!$AR$144),"",ReferenceData!$AR$144),"")</f>
        <v>11.436999999999999</v>
      </c>
      <c r="AS144">
        <f ca="1">IFERROR(IF(0=LEN(ReferenceData!$AS$144),"",ReferenceData!$AS$144),"")</f>
        <v>11.826000000000001</v>
      </c>
      <c r="AT144">
        <f ca="1">IFERROR(IF(0=LEN(ReferenceData!$AT$144),"",ReferenceData!$AT$144),"")</f>
        <v>25.183</v>
      </c>
      <c r="AU144">
        <f ca="1">IFERROR(IF(0=LEN(ReferenceData!$AU$144),"",ReferenceData!$AU$144),"")</f>
        <v>19.178999999999998</v>
      </c>
      <c r="AV144">
        <f ca="1">IFERROR(IF(0=LEN(ReferenceData!$AV$144),"",ReferenceData!$AV$144),"")</f>
        <v>19.734999999999999</v>
      </c>
      <c r="AW144">
        <f ca="1">IFERROR(IF(0=LEN(ReferenceData!$AW$144),"",ReferenceData!$AW$144),"")</f>
        <v>14.523999999999999</v>
      </c>
      <c r="AX144">
        <f ca="1">IFERROR(IF(0=LEN(ReferenceData!$AX$144),"",ReferenceData!$AX$144),"")</f>
        <v>13.689</v>
      </c>
      <c r="AY144">
        <f ca="1">IFERROR(IF(0=LEN(ReferenceData!$AY$144),"",ReferenceData!$AY$144),"")</f>
        <v>16.739999999999998</v>
      </c>
      <c r="AZ144">
        <f ca="1">IFERROR(IF(0=LEN(ReferenceData!$AZ$144),"",ReferenceData!$AZ$144),"")</f>
        <v>15.502000000000001</v>
      </c>
      <c r="BA144">
        <f ca="1">IFERROR(IF(0=LEN(ReferenceData!$BA$144),"",ReferenceData!$BA$144),"")</f>
        <v>14.321999999999999</v>
      </c>
      <c r="BB144">
        <f ca="1">IFERROR(IF(0=LEN(ReferenceData!$BB$144),"",ReferenceData!$BB$144),"")</f>
        <v>14.167999999999999</v>
      </c>
      <c r="BC144">
        <f ca="1">IFERROR(IF(0=LEN(ReferenceData!$BC$144),"",ReferenceData!$BC$144),"")</f>
        <v>12.481999999999999</v>
      </c>
      <c r="BD144">
        <f ca="1">IFERROR(IF(0=LEN(ReferenceData!$BD$144),"",ReferenceData!$BD$144),"")</f>
        <v>17.363402000000001</v>
      </c>
      <c r="BE144">
        <f ca="1">IFERROR(IF(0=LEN(ReferenceData!$BE$144),"",ReferenceData!$BE$144),"")</f>
        <v>11.2</v>
      </c>
      <c r="BF144">
        <f ca="1">IFERROR(IF(0=LEN(ReferenceData!$BF$144),"",ReferenceData!$BF$144),"")</f>
        <v>8.9809999999999999</v>
      </c>
      <c r="BG144">
        <f ca="1">IFERROR(IF(0=LEN(ReferenceData!$BG$144),"",ReferenceData!$BG$144),"")</f>
        <v>17.681999999999999</v>
      </c>
      <c r="BH144">
        <f ca="1">IFERROR(IF(0=LEN(ReferenceData!$BH$144),"",ReferenceData!$BH$144),"")</f>
        <v>15.837</v>
      </c>
      <c r="BI144">
        <f ca="1">IFERROR(IF(0=LEN(ReferenceData!$BI$144),"",ReferenceData!$BI$144),"")</f>
        <v>15.606</v>
      </c>
      <c r="BJ144">
        <f ca="1">IFERROR(IF(0=LEN(ReferenceData!$BJ$144),"",ReferenceData!$BJ$144),"")</f>
        <v>13.893000000000001</v>
      </c>
      <c r="BK144">
        <f ca="1">IFERROR(IF(0=LEN(ReferenceData!$BK$144),"",ReferenceData!$BK$144),"")</f>
        <v>13.91800022</v>
      </c>
      <c r="BL144">
        <f ca="1">IFERROR(IF(0=LEN(ReferenceData!$BL$144),"",ReferenceData!$BL$144),"")</f>
        <v>11.853999999999999</v>
      </c>
      <c r="BM144">
        <f ca="1">IFERROR(IF(0=LEN(ReferenceData!$BM$144),"",ReferenceData!$BM$144),"")</f>
        <v>10.989000000000001</v>
      </c>
    </row>
    <row r="145" spans="1:65">
      <c r="A145" t="str">
        <f>IFERROR(IF(0=LEN(ReferenceData!$A$145),"",ReferenceData!$A$145),"")</f>
        <v xml:space="preserve">    VEREIT Inc</v>
      </c>
      <c r="B145" t="str">
        <f>IFERROR(IF(0=LEN(ReferenceData!$B$145),"",ReferenceData!$B$145),"")</f>
        <v>VER US Equity</v>
      </c>
      <c r="C145" t="str">
        <f>IFERROR(IF(0=LEN(ReferenceData!$C$145),"",ReferenceData!$C$145),"")</f>
        <v>F0578</v>
      </c>
      <c r="D145" t="str">
        <f>IFERROR(IF(0=LEN(ReferenceData!$D$145),"",ReferenceData!$D$145),"")</f>
        <v>FUNDS_AVAILABLE_FOR_DISTRIBUTION</v>
      </c>
      <c r="E145" t="str">
        <f>IFERROR(IF(0=LEN(ReferenceData!$E$145),"",ReferenceData!$E$145),"")</f>
        <v>动态</v>
      </c>
      <c r="F145" t="str">
        <f ca="1">IFERROR(IF(0=LEN(ReferenceData!$F$145),"",ReferenceData!$F$145),"")</f>
        <v/>
      </c>
      <c r="G145">
        <f ca="1">IFERROR(IF(0=LEN(ReferenceData!$G$145),"",ReferenceData!$G$145),"")</f>
        <v>178.57400000000001</v>
      </c>
      <c r="H145">
        <f ca="1">IFERROR(IF(0=LEN(ReferenceData!$H$145),"",ReferenceData!$H$145),"")</f>
        <v>192.524</v>
      </c>
      <c r="I145">
        <f ca="1">IFERROR(IF(0=LEN(ReferenceData!$I$145),"",ReferenceData!$I$145),"")</f>
        <v>180.86799999999999</v>
      </c>
      <c r="J145">
        <f ca="1">IFERROR(IF(0=LEN(ReferenceData!$J$145),"",ReferenceData!$J$145),"")</f>
        <v>185.874</v>
      </c>
      <c r="K145">
        <f ca="1">IFERROR(IF(0=LEN(ReferenceData!$K$145),"",ReferenceData!$K$145),"")</f>
        <v>169.09</v>
      </c>
      <c r="L145">
        <f ca="1">IFERROR(IF(0=LEN(ReferenceData!$L$145),"",ReferenceData!$L$145),"")</f>
        <v>198.108</v>
      </c>
      <c r="M145">
        <f ca="1">IFERROR(IF(0=LEN(ReferenceData!$M$145),"",ReferenceData!$M$145),"")</f>
        <v>180.107</v>
      </c>
      <c r="N145">
        <f ca="1">IFERROR(IF(0=LEN(ReferenceData!$N$145),"",ReferenceData!$N$145),"")</f>
        <v>192.892</v>
      </c>
      <c r="O145">
        <f ca="1">IFERROR(IF(0=LEN(ReferenceData!$O$145),"",ReferenceData!$O$145),"")</f>
        <v>184.434</v>
      </c>
      <c r="P145">
        <f ca="1">IFERROR(IF(0=LEN(ReferenceData!$P$145),"",ReferenceData!$P$145),"")</f>
        <v>196.428</v>
      </c>
      <c r="Q145">
        <f ca="1">IFERROR(IF(0=LEN(ReferenceData!$Q$145),"",ReferenceData!$Q$145),"")</f>
        <v>202.33799999999999</v>
      </c>
      <c r="R145">
        <f ca="1">IFERROR(IF(0=LEN(ReferenceData!$R$145),"",ReferenceData!$R$145),"")</f>
        <v>207.393</v>
      </c>
      <c r="S145">
        <f ca="1">IFERROR(IF(0=LEN(ReferenceData!$S$145),"",ReferenceData!$S$145),"")</f>
        <v>207.999</v>
      </c>
      <c r="T145">
        <f ca="1">IFERROR(IF(0=LEN(ReferenceData!$T$145),"",ReferenceData!$T$145),"")</f>
        <v>231.00200000000001</v>
      </c>
      <c r="U145">
        <f ca="1">IFERROR(IF(0=LEN(ReferenceData!$U$145),"",ReferenceData!$U$145),"")</f>
        <v>178.08799999999999</v>
      </c>
      <c r="V145">
        <f ca="1">IFERROR(IF(0=LEN(ReferenceData!$V$145),"",ReferenceData!$V$145),"")</f>
        <v>114.77200000000001</v>
      </c>
      <c r="W145">
        <f ca="1">IFERROR(IF(0=LEN(ReferenceData!$W$145),"",ReferenceData!$W$145),"")</f>
        <v>27.7</v>
      </c>
      <c r="X145">
        <f ca="1">IFERROR(IF(0=LEN(ReferenceData!$X$145),"",ReferenceData!$X$145),"")</f>
        <v>71.608000000000004</v>
      </c>
      <c r="Y145">
        <f ca="1">IFERROR(IF(0=LEN(ReferenceData!$Y$145),"",ReferenceData!$Y$145),"")</f>
        <v>91.034999999999997</v>
      </c>
      <c r="Z145">
        <f ca="1">IFERROR(IF(0=LEN(ReferenceData!$Z$145),"",ReferenceData!$Z$145),"")</f>
        <v>33.921999999999997</v>
      </c>
      <c r="AA145">
        <f ca="1">IFERROR(IF(0=LEN(ReferenceData!$AA$145),"",ReferenceData!$AA$145),"")</f>
        <v>18.050999999999998</v>
      </c>
      <c r="AB145">
        <f ca="1">IFERROR(IF(0=LEN(ReferenceData!$AB$145),"",ReferenceData!$AB$145),"")</f>
        <v>16.771000000000001</v>
      </c>
      <c r="AC145">
        <f ca="1">IFERROR(IF(0=LEN(ReferenceData!$AC$145),"",ReferenceData!$AC$145),"")</f>
        <v>7.7069999999999999</v>
      </c>
      <c r="AD145">
        <f ca="1">IFERROR(IF(0=LEN(ReferenceData!$AD$145),"",ReferenceData!$AD$145),"")</f>
        <v>3.7509999999999999</v>
      </c>
      <c r="AE145">
        <f ca="1">IFERROR(IF(0=LEN(ReferenceData!$AE$145),"",ReferenceData!$AE$145),"")</f>
        <v>1.4910000000000001</v>
      </c>
      <c r="AF145">
        <f ca="1">IFERROR(IF(0=LEN(ReferenceData!$AF$145),"",ReferenceData!$AF$145),"")</f>
        <v>0.28699999999999998</v>
      </c>
      <c r="AG145" t="str">
        <f ca="1">IFERROR(IF(0=LEN(ReferenceData!$AG$145),"",ReferenceData!$AG$145),"")</f>
        <v/>
      </c>
      <c r="AH145">
        <f ca="1">IFERROR(IF(0=LEN(ReferenceData!$AH$145),"",ReferenceData!$AH$145),"")</f>
        <v>-0.420873</v>
      </c>
      <c r="AI145" t="str">
        <f ca="1">IFERROR(IF(0=LEN(ReferenceData!$AI$145),"",ReferenceData!$AI$145),"")</f>
        <v/>
      </c>
      <c r="AJ145" t="str">
        <f ca="1">IFERROR(IF(0=LEN(ReferenceData!$AJ$145),"",ReferenceData!$AJ$145),"")</f>
        <v/>
      </c>
      <c r="AK145" t="str">
        <f ca="1">IFERROR(IF(0=LEN(ReferenceData!$AK$145),"",ReferenceData!$AK$145),"")</f>
        <v/>
      </c>
      <c r="AL145" t="str">
        <f ca="1">IFERROR(IF(0=LEN(ReferenceData!$AL$145),"",ReferenceData!$AL$145),"")</f>
        <v/>
      </c>
      <c r="AM145" t="str">
        <f ca="1">IFERROR(IF(0=LEN(ReferenceData!$AM$145),"",ReferenceData!$AM$145),"")</f>
        <v/>
      </c>
      <c r="AN145" t="str">
        <f ca="1">IFERROR(IF(0=LEN(ReferenceData!$AN$145),"",ReferenceData!$AN$145),"")</f>
        <v/>
      </c>
      <c r="AO145" t="str">
        <f ca="1">IFERROR(IF(0=LEN(ReferenceData!$AO$145),"",ReferenceData!$AO$145),"")</f>
        <v/>
      </c>
      <c r="AP145" t="str">
        <f ca="1">IFERROR(IF(0=LEN(ReferenceData!$AP$145),"",ReferenceData!$AP$145),"")</f>
        <v/>
      </c>
      <c r="AQ145" t="str">
        <f ca="1">IFERROR(IF(0=LEN(ReferenceData!$AQ$145),"",ReferenceData!$AQ$145),"")</f>
        <v/>
      </c>
      <c r="AR145" t="str">
        <f ca="1">IFERROR(IF(0=LEN(ReferenceData!$AR$145),"",ReferenceData!$AR$145),"")</f>
        <v/>
      </c>
      <c r="AS145" t="str">
        <f ca="1">IFERROR(IF(0=LEN(ReferenceData!$AS$145),"",ReferenceData!$AS$145),"")</f>
        <v/>
      </c>
      <c r="AT145" t="str">
        <f ca="1">IFERROR(IF(0=LEN(ReferenceData!$AT$145),"",ReferenceData!$AT$145),"")</f>
        <v/>
      </c>
      <c r="AU145" t="str">
        <f ca="1">IFERROR(IF(0=LEN(ReferenceData!$AU$145),"",ReferenceData!$AU$145),"")</f>
        <v/>
      </c>
      <c r="AV145" t="str">
        <f ca="1">IFERROR(IF(0=LEN(ReferenceData!$AV$145),"",ReferenceData!$AV$145),"")</f>
        <v/>
      </c>
      <c r="AW145" t="str">
        <f ca="1">IFERROR(IF(0=LEN(ReferenceData!$AW$145),"",ReferenceData!$AW$145),"")</f>
        <v/>
      </c>
      <c r="AX145" t="str">
        <f ca="1">IFERROR(IF(0=LEN(ReferenceData!$AX$145),"",ReferenceData!$AX$145),"")</f>
        <v/>
      </c>
      <c r="AY145" t="str">
        <f ca="1">IFERROR(IF(0=LEN(ReferenceData!$AY$145),"",ReferenceData!$AY$145),"")</f>
        <v/>
      </c>
      <c r="AZ145" t="str">
        <f ca="1">IFERROR(IF(0=LEN(ReferenceData!$AZ$145),"",ReferenceData!$AZ$145),"")</f>
        <v/>
      </c>
      <c r="BA145" t="str">
        <f ca="1">IFERROR(IF(0=LEN(ReferenceData!$BA$145),"",ReferenceData!$BA$145),"")</f>
        <v/>
      </c>
      <c r="BB145" t="str">
        <f ca="1">IFERROR(IF(0=LEN(ReferenceData!$BB$145),"",ReferenceData!$BB$145),"")</f>
        <v/>
      </c>
      <c r="BC145" t="str">
        <f ca="1">IFERROR(IF(0=LEN(ReferenceData!$BC$145),"",ReferenceData!$BC$145),"")</f>
        <v/>
      </c>
      <c r="BD145" t="str">
        <f ca="1">IFERROR(IF(0=LEN(ReferenceData!$BD$145),"",ReferenceData!$BD$145),"")</f>
        <v/>
      </c>
      <c r="BE145" t="str">
        <f ca="1">IFERROR(IF(0=LEN(ReferenceData!$BE$145),"",ReferenceData!$BE$145),"")</f>
        <v/>
      </c>
      <c r="BF145" t="str">
        <f ca="1">IFERROR(IF(0=LEN(ReferenceData!$BF$145),"",ReferenceData!$BF$145),"")</f>
        <v/>
      </c>
      <c r="BG145" t="str">
        <f ca="1">IFERROR(IF(0=LEN(ReferenceData!$BG$145),"",ReferenceData!$BG$145),"")</f>
        <v/>
      </c>
      <c r="BH145" t="str">
        <f ca="1">IFERROR(IF(0=LEN(ReferenceData!$BH$145),"",ReferenceData!$BH$145),"")</f>
        <v/>
      </c>
      <c r="BI145" t="str">
        <f ca="1">IFERROR(IF(0=LEN(ReferenceData!$BI$145),"",ReferenceData!$BI$145),"")</f>
        <v/>
      </c>
      <c r="BJ145" t="str">
        <f ca="1">IFERROR(IF(0=LEN(ReferenceData!$BJ$145),"",ReferenceData!$BJ$145),"")</f>
        <v/>
      </c>
      <c r="BK145" t="str">
        <f ca="1">IFERROR(IF(0=LEN(ReferenceData!$BK$145),"",ReferenceData!$BK$145),"")</f>
        <v/>
      </c>
      <c r="BL145" t="str">
        <f ca="1">IFERROR(IF(0=LEN(ReferenceData!$BL$145),"",ReferenceData!$BL$145),"")</f>
        <v/>
      </c>
      <c r="BM145" t="str">
        <f ca="1">IFERROR(IF(0=LEN(ReferenceData!$BM$145),"",ReferenceData!$BM$145),"")</f>
        <v/>
      </c>
    </row>
    <row r="146" spans="1:65">
      <c r="A146" t="str">
        <f>IFERROR(IF(0=LEN(ReferenceData!$A$146),"",ReferenceData!$A$146),"")</f>
        <v xml:space="preserve">    Washington Prime Group Inc</v>
      </c>
      <c r="B146" t="str">
        <f>IFERROR(IF(0=LEN(ReferenceData!$B$146),"",ReferenceData!$B$146),"")</f>
        <v>WPG US Equity</v>
      </c>
      <c r="C146" t="str">
        <f>IFERROR(IF(0=LEN(ReferenceData!$C$146),"",ReferenceData!$C$146),"")</f>
        <v>F0578</v>
      </c>
      <c r="D146" t="str">
        <f>IFERROR(IF(0=LEN(ReferenceData!$D$146),"",ReferenceData!$D$146),"")</f>
        <v>FUNDS_AVAILABLE_FOR_DISTRIBUTION</v>
      </c>
      <c r="E146" t="str">
        <f>IFERROR(IF(0=LEN(ReferenceData!$E$146),"",ReferenceData!$E$146),"")</f>
        <v>动态</v>
      </c>
      <c r="F146" t="str">
        <f ca="1">IFERROR(IF(0=LEN(ReferenceData!$F$146),"",ReferenceData!$F$146),"")</f>
        <v/>
      </c>
      <c r="G146">
        <f ca="1">IFERROR(IF(0=LEN(ReferenceData!$G$146),"",ReferenceData!$G$146),"")</f>
        <v>95.488</v>
      </c>
      <c r="H146">
        <f ca="1">IFERROR(IF(0=LEN(ReferenceData!$H$146),"",ReferenceData!$H$146),"")</f>
        <v>68.616</v>
      </c>
      <c r="I146">
        <f ca="1">IFERROR(IF(0=LEN(ReferenceData!$I$146),"",ReferenceData!$I$146),"")</f>
        <v>71.66</v>
      </c>
      <c r="J146">
        <f ca="1">IFERROR(IF(0=LEN(ReferenceData!$J$146),"",ReferenceData!$J$146),"")</f>
        <v>78.747</v>
      </c>
      <c r="K146">
        <f ca="1">IFERROR(IF(0=LEN(ReferenceData!$K$146),"",ReferenceData!$K$146),"")</f>
        <v>90.034999999999997</v>
      </c>
      <c r="L146">
        <f ca="1">IFERROR(IF(0=LEN(ReferenceData!$L$146),"",ReferenceData!$L$146),"")</f>
        <v>84.046000000000006</v>
      </c>
      <c r="M146">
        <f ca="1">IFERROR(IF(0=LEN(ReferenceData!$M$146),"",ReferenceData!$M$146),"")</f>
        <v>78.546999999999997</v>
      </c>
      <c r="N146">
        <f ca="1">IFERROR(IF(0=LEN(ReferenceData!$N$146),"",ReferenceData!$N$146),"")</f>
        <v>77.665000000000006</v>
      </c>
      <c r="O146">
        <f ca="1">IFERROR(IF(0=LEN(ReferenceData!$O$146),"",ReferenceData!$O$146),"")</f>
        <v>171.30699999999999</v>
      </c>
      <c r="P146">
        <f ca="1">IFERROR(IF(0=LEN(ReferenceData!$P$146),"",ReferenceData!$P$146),"")</f>
        <v>85.593999999999994</v>
      </c>
      <c r="Q146">
        <f ca="1">IFERROR(IF(0=LEN(ReferenceData!$Q$146),"",ReferenceData!$Q$146),"")</f>
        <v>89.831000000000003</v>
      </c>
      <c r="R146">
        <f ca="1">IFERROR(IF(0=LEN(ReferenceData!$R$146),"",ReferenceData!$R$146),"")</f>
        <v>92.168000000000006</v>
      </c>
      <c r="S146">
        <f ca="1">IFERROR(IF(0=LEN(ReferenceData!$S$146),"",ReferenceData!$S$146),"")</f>
        <v>76.346000000000004</v>
      </c>
      <c r="T146">
        <f ca="1">IFERROR(IF(0=LEN(ReferenceData!$T$146),"",ReferenceData!$T$146),"")</f>
        <v>67.840999999999994</v>
      </c>
      <c r="U146">
        <f ca="1">IFERROR(IF(0=LEN(ReferenceData!$U$146),"",ReferenceData!$U$146),"")</f>
        <v>74.039000000000001</v>
      </c>
      <c r="V146">
        <f ca="1">IFERROR(IF(0=LEN(ReferenceData!$V$146),"",ReferenceData!$V$146),"")</f>
        <v>88.218000000000004</v>
      </c>
      <c r="W146" t="str">
        <f ca="1">IFERROR(IF(0=LEN(ReferenceData!$W$146),"",ReferenceData!$W$146),"")</f>
        <v/>
      </c>
      <c r="X146" t="str">
        <f ca="1">IFERROR(IF(0=LEN(ReferenceData!$X$146),"",ReferenceData!$X$146),"")</f>
        <v/>
      </c>
      <c r="Y146" t="str">
        <f ca="1">IFERROR(IF(0=LEN(ReferenceData!$Y$146),"",ReferenceData!$Y$146),"")</f>
        <v/>
      </c>
      <c r="Z146" t="str">
        <f ca="1">IFERROR(IF(0=LEN(ReferenceData!$Z$146),"",ReferenceData!$Z$146),"")</f>
        <v/>
      </c>
      <c r="AA146" t="str">
        <f ca="1">IFERROR(IF(0=LEN(ReferenceData!$AA$146),"",ReferenceData!$AA$146),"")</f>
        <v/>
      </c>
      <c r="AB146" t="str">
        <f ca="1">IFERROR(IF(0=LEN(ReferenceData!$AB$146),"",ReferenceData!$AB$146),"")</f>
        <v/>
      </c>
      <c r="AC146" t="str">
        <f ca="1">IFERROR(IF(0=LEN(ReferenceData!$AC$146),"",ReferenceData!$AC$146),"")</f>
        <v/>
      </c>
      <c r="AD146" t="str">
        <f ca="1">IFERROR(IF(0=LEN(ReferenceData!$AD$146),"",ReferenceData!$AD$146),"")</f>
        <v/>
      </c>
      <c r="AE146" t="str">
        <f ca="1">IFERROR(IF(0=LEN(ReferenceData!$AE$146),"",ReferenceData!$AE$146),"")</f>
        <v/>
      </c>
      <c r="AF146" t="str">
        <f ca="1">IFERROR(IF(0=LEN(ReferenceData!$AF$146),"",ReferenceData!$AF$146),"")</f>
        <v/>
      </c>
      <c r="AG146" t="str">
        <f ca="1">IFERROR(IF(0=LEN(ReferenceData!$AG$146),"",ReferenceData!$AG$146),"")</f>
        <v/>
      </c>
      <c r="AH146" t="str">
        <f ca="1">IFERROR(IF(0=LEN(ReferenceData!$AH$146),"",ReferenceData!$AH$146),"")</f>
        <v/>
      </c>
      <c r="AI146" t="str">
        <f ca="1">IFERROR(IF(0=LEN(ReferenceData!$AI$146),"",ReferenceData!$AI$146),"")</f>
        <v/>
      </c>
      <c r="AJ146" t="str">
        <f ca="1">IFERROR(IF(0=LEN(ReferenceData!$AJ$146),"",ReferenceData!$AJ$146),"")</f>
        <v/>
      </c>
      <c r="AK146" t="str">
        <f ca="1">IFERROR(IF(0=LEN(ReferenceData!$AK$146),"",ReferenceData!$AK$146),"")</f>
        <v/>
      </c>
      <c r="AL146" t="str">
        <f ca="1">IFERROR(IF(0=LEN(ReferenceData!$AL$146),"",ReferenceData!$AL$146),"")</f>
        <v/>
      </c>
      <c r="AM146" t="str">
        <f ca="1">IFERROR(IF(0=LEN(ReferenceData!$AM$146),"",ReferenceData!$AM$146),"")</f>
        <v/>
      </c>
      <c r="AN146" t="str">
        <f ca="1">IFERROR(IF(0=LEN(ReferenceData!$AN$146),"",ReferenceData!$AN$146),"")</f>
        <v/>
      </c>
      <c r="AO146" t="str">
        <f ca="1">IFERROR(IF(0=LEN(ReferenceData!$AO$146),"",ReferenceData!$AO$146),"")</f>
        <v/>
      </c>
      <c r="AP146" t="str">
        <f ca="1">IFERROR(IF(0=LEN(ReferenceData!$AP$146),"",ReferenceData!$AP$146),"")</f>
        <v/>
      </c>
      <c r="AQ146" t="str">
        <f ca="1">IFERROR(IF(0=LEN(ReferenceData!$AQ$146),"",ReferenceData!$AQ$146),"")</f>
        <v/>
      </c>
      <c r="AR146" t="str">
        <f ca="1">IFERROR(IF(0=LEN(ReferenceData!$AR$146),"",ReferenceData!$AR$146),"")</f>
        <v/>
      </c>
      <c r="AS146" t="str">
        <f ca="1">IFERROR(IF(0=LEN(ReferenceData!$AS$146),"",ReferenceData!$AS$146),"")</f>
        <v/>
      </c>
      <c r="AT146" t="str">
        <f ca="1">IFERROR(IF(0=LEN(ReferenceData!$AT$146),"",ReferenceData!$AT$146),"")</f>
        <v/>
      </c>
      <c r="AU146" t="str">
        <f ca="1">IFERROR(IF(0=LEN(ReferenceData!$AU$146),"",ReferenceData!$AU$146),"")</f>
        <v/>
      </c>
      <c r="AV146" t="str">
        <f ca="1">IFERROR(IF(0=LEN(ReferenceData!$AV$146),"",ReferenceData!$AV$146),"")</f>
        <v/>
      </c>
      <c r="AW146" t="str">
        <f ca="1">IFERROR(IF(0=LEN(ReferenceData!$AW$146),"",ReferenceData!$AW$146),"")</f>
        <v/>
      </c>
      <c r="AX146" t="str">
        <f ca="1">IFERROR(IF(0=LEN(ReferenceData!$AX$146),"",ReferenceData!$AX$146),"")</f>
        <v/>
      </c>
      <c r="AY146" t="str">
        <f ca="1">IFERROR(IF(0=LEN(ReferenceData!$AY$146),"",ReferenceData!$AY$146),"")</f>
        <v/>
      </c>
      <c r="AZ146" t="str">
        <f ca="1">IFERROR(IF(0=LEN(ReferenceData!$AZ$146),"",ReferenceData!$AZ$146),"")</f>
        <v/>
      </c>
      <c r="BA146" t="str">
        <f ca="1">IFERROR(IF(0=LEN(ReferenceData!$BA$146),"",ReferenceData!$BA$146),"")</f>
        <v/>
      </c>
      <c r="BB146" t="str">
        <f ca="1">IFERROR(IF(0=LEN(ReferenceData!$BB$146),"",ReferenceData!$BB$146),"")</f>
        <v/>
      </c>
      <c r="BC146" t="str">
        <f ca="1">IFERROR(IF(0=LEN(ReferenceData!$BC$146),"",ReferenceData!$BC$146),"")</f>
        <v/>
      </c>
      <c r="BD146" t="str">
        <f ca="1">IFERROR(IF(0=LEN(ReferenceData!$BD$146),"",ReferenceData!$BD$146),"")</f>
        <v/>
      </c>
      <c r="BE146" t="str">
        <f ca="1">IFERROR(IF(0=LEN(ReferenceData!$BE$146),"",ReferenceData!$BE$146),"")</f>
        <v/>
      </c>
      <c r="BF146" t="str">
        <f ca="1">IFERROR(IF(0=LEN(ReferenceData!$BF$146),"",ReferenceData!$BF$146),"")</f>
        <v/>
      </c>
      <c r="BG146" t="str">
        <f ca="1">IFERROR(IF(0=LEN(ReferenceData!$BG$146),"",ReferenceData!$BG$146),"")</f>
        <v/>
      </c>
      <c r="BH146" t="str">
        <f ca="1">IFERROR(IF(0=LEN(ReferenceData!$BH$146),"",ReferenceData!$BH$146),"")</f>
        <v/>
      </c>
      <c r="BI146" t="str">
        <f ca="1">IFERROR(IF(0=LEN(ReferenceData!$BI$146),"",ReferenceData!$BI$146),"")</f>
        <v/>
      </c>
      <c r="BJ146" t="str">
        <f ca="1">IFERROR(IF(0=LEN(ReferenceData!$BJ$146),"",ReferenceData!$BJ$146),"")</f>
        <v/>
      </c>
      <c r="BK146" t="str">
        <f ca="1">IFERROR(IF(0=LEN(ReferenceData!$BK$146),"",ReferenceData!$BK$146),"")</f>
        <v/>
      </c>
      <c r="BL146" t="str">
        <f ca="1">IFERROR(IF(0=LEN(ReferenceData!$BL$146),"",ReferenceData!$BL$146),"")</f>
        <v/>
      </c>
      <c r="BM146" t="str">
        <f ca="1">IFERROR(IF(0=LEN(ReferenceData!$BM$146),"",ReferenceData!$BM$146),"")</f>
        <v/>
      </c>
    </row>
    <row r="147" spans="1:65">
      <c r="A147" t="str">
        <f>IFERROR(IF(0=LEN(ReferenceData!$A$147),"",ReferenceData!$A$147),"")</f>
        <v xml:space="preserve">    Weingarten Realty Investors</v>
      </c>
      <c r="B147" t="str">
        <f>IFERROR(IF(0=LEN(ReferenceData!$B$147),"",ReferenceData!$B$147),"")</f>
        <v>WRI US Equity</v>
      </c>
      <c r="C147" t="str">
        <f>IFERROR(IF(0=LEN(ReferenceData!$C$147),"",ReferenceData!$C$147),"")</f>
        <v>F0578</v>
      </c>
      <c r="D147" t="str">
        <f>IFERROR(IF(0=LEN(ReferenceData!$D$147),"",ReferenceData!$D$147),"")</f>
        <v>FUNDS_AVAILABLE_FOR_DISTRIBUTION</v>
      </c>
      <c r="E147" t="str">
        <f>IFERROR(IF(0=LEN(ReferenceData!$E$147),"",ReferenceData!$E$147),"")</f>
        <v>动态</v>
      </c>
      <c r="F147" t="str">
        <f ca="1">IFERROR(IF(0=LEN(ReferenceData!$F$147),"",ReferenceData!$F$147),"")</f>
        <v/>
      </c>
      <c r="G147">
        <f ca="1">IFERROR(IF(0=LEN(ReferenceData!$G$147),"",ReferenceData!$G$147),"")</f>
        <v>64.459000000000003</v>
      </c>
      <c r="H147">
        <f ca="1">IFERROR(IF(0=LEN(ReferenceData!$H$147),"",ReferenceData!$H$147),"")</f>
        <v>64.543999999999997</v>
      </c>
      <c r="I147">
        <f ca="1">IFERROR(IF(0=LEN(ReferenceData!$I$147),"",ReferenceData!$I$147),"")</f>
        <v>66.355000000000004</v>
      </c>
      <c r="J147">
        <f ca="1">IFERROR(IF(0=LEN(ReferenceData!$J$147),"",ReferenceData!$J$147),"")</f>
        <v>62.771999999999998</v>
      </c>
      <c r="K147">
        <f ca="1">IFERROR(IF(0=LEN(ReferenceData!$K$147),"",ReferenceData!$K$147),"")</f>
        <v>62.926000000000002</v>
      </c>
      <c r="L147">
        <f ca="1">IFERROR(IF(0=LEN(ReferenceData!$L$147),"",ReferenceData!$L$147),"")</f>
        <v>62.862000000000002</v>
      </c>
      <c r="M147">
        <f ca="1">IFERROR(IF(0=LEN(ReferenceData!$M$147),"",ReferenceData!$M$147),"")</f>
        <v>62.618000000000002</v>
      </c>
      <c r="N147">
        <f ca="1">IFERROR(IF(0=LEN(ReferenceData!$N$147),"",ReferenceData!$N$147),"")</f>
        <v>62.834000000000003</v>
      </c>
      <c r="O147">
        <f ca="1">IFERROR(IF(0=LEN(ReferenceData!$O$147),"",ReferenceData!$O$147),"")</f>
        <v>56.811</v>
      </c>
      <c r="P147">
        <f ca="1">IFERROR(IF(0=LEN(ReferenceData!$P$147),"",ReferenceData!$P$147),"")</f>
        <v>61.805</v>
      </c>
      <c r="Q147">
        <f ca="1">IFERROR(IF(0=LEN(ReferenceData!$Q$147),"",ReferenceData!$Q$147),"")</f>
        <v>59.844999999999999</v>
      </c>
      <c r="R147">
        <f ca="1">IFERROR(IF(0=LEN(ReferenceData!$R$147),"",ReferenceData!$R$147),"")</f>
        <v>59.1</v>
      </c>
      <c r="S147">
        <f ca="1">IFERROR(IF(0=LEN(ReferenceData!$S$147),"",ReferenceData!$S$147),"")</f>
        <v>49.298000000000002</v>
      </c>
      <c r="T147">
        <f ca="1">IFERROR(IF(0=LEN(ReferenceData!$T$147),"",ReferenceData!$T$147),"")</f>
        <v>54.063000000000002</v>
      </c>
      <c r="U147">
        <f ca="1">IFERROR(IF(0=LEN(ReferenceData!$U$147),"",ReferenceData!$U$147),"")</f>
        <v>55.292999999999999</v>
      </c>
      <c r="V147">
        <f ca="1">IFERROR(IF(0=LEN(ReferenceData!$V$147),"",ReferenceData!$V$147),"")</f>
        <v>52.198</v>
      </c>
      <c r="W147">
        <f ca="1">IFERROR(IF(0=LEN(ReferenceData!$W$147),"",ReferenceData!$W$147),"")</f>
        <v>43.305999999999997</v>
      </c>
      <c r="X147">
        <f ca="1">IFERROR(IF(0=LEN(ReferenceData!$X$147),"",ReferenceData!$X$147),"")</f>
        <v>48.295000000000002</v>
      </c>
      <c r="Y147">
        <f ca="1">IFERROR(IF(0=LEN(ReferenceData!$Y$147),"",ReferenceData!$Y$147),"")</f>
        <v>52.594999999999999</v>
      </c>
      <c r="Z147">
        <f ca="1">IFERROR(IF(0=LEN(ReferenceData!$Z$147),"",ReferenceData!$Z$147),"")</f>
        <v>50.838999999999999</v>
      </c>
      <c r="AA147">
        <f ca="1">IFERROR(IF(0=LEN(ReferenceData!$AA$147),"",ReferenceData!$AA$147),"")</f>
        <v>41.933999999999997</v>
      </c>
      <c r="AB147">
        <f ca="1">IFERROR(IF(0=LEN(ReferenceData!$AB$147),"",ReferenceData!$AB$147),"")</f>
        <v>44.094999999999999</v>
      </c>
      <c r="AC147">
        <f ca="1">IFERROR(IF(0=LEN(ReferenceData!$AC$147),"",ReferenceData!$AC$147),"")</f>
        <v>43.58</v>
      </c>
      <c r="AD147">
        <f ca="1">IFERROR(IF(0=LEN(ReferenceData!$AD$147),"",ReferenceData!$AD$147),"")</f>
        <v>44.579000000000001</v>
      </c>
      <c r="AE147">
        <f ca="1">IFERROR(IF(0=LEN(ReferenceData!$AE$147),"",ReferenceData!$AE$147),"")</f>
        <v>41.686999999999998</v>
      </c>
      <c r="AF147">
        <f ca="1">IFERROR(IF(0=LEN(ReferenceData!$AF$147),"",ReferenceData!$AF$147),"")</f>
        <v>39.250999999999998</v>
      </c>
      <c r="AG147">
        <f ca="1">IFERROR(IF(0=LEN(ReferenceData!$AG$147),"",ReferenceData!$AG$147),"")</f>
        <v>38.902999999999999</v>
      </c>
      <c r="AH147">
        <f ca="1">IFERROR(IF(0=LEN(ReferenceData!$AH$147),"",ReferenceData!$AH$147),"")</f>
        <v>38.435000000000002</v>
      </c>
      <c r="AI147">
        <f ca="1">IFERROR(IF(0=LEN(ReferenceData!$AI$147),"",ReferenceData!$AI$147),"")</f>
        <v>38.856000000000002</v>
      </c>
      <c r="AJ147">
        <f ca="1">IFERROR(IF(0=LEN(ReferenceData!$AJ$147),"",ReferenceData!$AJ$147),"")</f>
        <v>45.423000000000002</v>
      </c>
      <c r="AK147">
        <f ca="1">IFERROR(IF(0=LEN(ReferenceData!$AK$147),"",ReferenceData!$AK$147),"")</f>
        <v>39.548999999999999</v>
      </c>
      <c r="AL147">
        <f ca="1">IFERROR(IF(0=LEN(ReferenceData!$AL$147),"",ReferenceData!$AL$147),"")</f>
        <v>36.72</v>
      </c>
      <c r="AM147">
        <f ca="1">IFERROR(IF(0=LEN(ReferenceData!$AM$147),"",ReferenceData!$AM$147),"")</f>
        <v>37.186999999999998</v>
      </c>
      <c r="AN147">
        <f ca="1">IFERROR(IF(0=LEN(ReferenceData!$AN$147),"",ReferenceData!$AN$147),"")</f>
        <v>23.795999999999999</v>
      </c>
      <c r="AO147">
        <f ca="1">IFERROR(IF(0=LEN(ReferenceData!$AO$147),"",ReferenceData!$AO$147),"")</f>
        <v>62.51</v>
      </c>
      <c r="AP147">
        <f ca="1">IFERROR(IF(0=LEN(ReferenceData!$AP$147),"",ReferenceData!$AP$147),"")</f>
        <v>61.616</v>
      </c>
      <c r="AQ147">
        <f ca="1">IFERROR(IF(0=LEN(ReferenceData!$AQ$147),"",ReferenceData!$AQ$147),"")</f>
        <v>-29.292000000000002</v>
      </c>
      <c r="AR147">
        <f ca="1">IFERROR(IF(0=LEN(ReferenceData!$AR$147),"",ReferenceData!$AR$147),"")</f>
        <v>69.736999999999995</v>
      </c>
      <c r="AS147">
        <f ca="1">IFERROR(IF(0=LEN(ReferenceData!$AS$147),"",ReferenceData!$AS$147),"")</f>
        <v>82.927000000000007</v>
      </c>
      <c r="AT147">
        <f ca="1">IFERROR(IF(0=LEN(ReferenceData!$AT$147),"",ReferenceData!$AT$147),"")</f>
        <v>71.403999999999996</v>
      </c>
      <c r="AU147">
        <f ca="1">IFERROR(IF(0=LEN(ReferenceData!$AU$147),"",ReferenceData!$AU$147),"")</f>
        <v>64.5</v>
      </c>
      <c r="AV147">
        <f ca="1">IFERROR(IF(0=LEN(ReferenceData!$AV$147),"",ReferenceData!$AV$147),"")</f>
        <v>70.656999999999996</v>
      </c>
      <c r="AW147">
        <f ca="1">IFERROR(IF(0=LEN(ReferenceData!$AW$147),"",ReferenceData!$AW$147),"")</f>
        <v>65.994</v>
      </c>
      <c r="AX147">
        <f ca="1">IFERROR(IF(0=LEN(ReferenceData!$AX$147),"",ReferenceData!$AX$147),"")</f>
        <v>66.534999999999997</v>
      </c>
      <c r="AY147">
        <f ca="1">IFERROR(IF(0=LEN(ReferenceData!$AY$147),"",ReferenceData!$AY$147),"")</f>
        <v>62.64</v>
      </c>
      <c r="AZ147">
        <f ca="1">IFERROR(IF(0=LEN(ReferenceData!$AZ$147),"",ReferenceData!$AZ$147),"")</f>
        <v>63.3</v>
      </c>
      <c r="BA147">
        <f ca="1">IFERROR(IF(0=LEN(ReferenceData!$BA$147),"",ReferenceData!$BA$147),"")</f>
        <v>61.87</v>
      </c>
      <c r="BB147">
        <f ca="1">IFERROR(IF(0=LEN(ReferenceData!$BB$147),"",ReferenceData!$BB$147),"")</f>
        <v>66.03</v>
      </c>
      <c r="BC147">
        <f ca="1">IFERROR(IF(0=LEN(ReferenceData!$BC$147),"",ReferenceData!$BC$147),"")</f>
        <v>61.844999999999999</v>
      </c>
      <c r="BD147">
        <f ca="1">IFERROR(IF(0=LEN(ReferenceData!$BD$147),"",ReferenceData!$BD$147),"")</f>
        <v>-64.167570999999995</v>
      </c>
      <c r="BE147">
        <f ca="1">IFERROR(IF(0=LEN(ReferenceData!$BE$147),"",ReferenceData!$BE$147),"")</f>
        <v>64.608036999999996</v>
      </c>
      <c r="BF147">
        <f ca="1">IFERROR(IF(0=LEN(ReferenceData!$BF$147),"",ReferenceData!$BF$147),"")</f>
        <v>61.236243000000002</v>
      </c>
      <c r="BG147">
        <f ca="1">IFERROR(IF(0=LEN(ReferenceData!$BG$147),"",ReferenceData!$BG$147),"")</f>
        <v>61.649000000000001</v>
      </c>
      <c r="BH147">
        <f ca="1">IFERROR(IF(0=LEN(ReferenceData!$BH$147),"",ReferenceData!$BH$147),"")</f>
        <v>-47.963000000000001</v>
      </c>
      <c r="BI147">
        <f ca="1">IFERROR(IF(0=LEN(ReferenceData!$BI$147),"",ReferenceData!$BI$147),"")</f>
        <v>51.645000459999999</v>
      </c>
      <c r="BJ147">
        <f ca="1">IFERROR(IF(0=LEN(ReferenceData!$BJ$147),"",ReferenceData!$BJ$147),"")</f>
        <v>53.567000999999998</v>
      </c>
      <c r="BK147">
        <f ca="1">IFERROR(IF(0=LEN(ReferenceData!$BK$147),"",ReferenceData!$BK$147),"")</f>
        <v>47.914000999999999</v>
      </c>
      <c r="BL147">
        <f ca="1">IFERROR(IF(0=LEN(ReferenceData!$BL$147),"",ReferenceData!$BL$147),"")</f>
        <v>47.407001000000001</v>
      </c>
      <c r="BM147">
        <f ca="1">IFERROR(IF(0=LEN(ReferenceData!$BM$147),"",ReferenceData!$BM$147),"")</f>
        <v>43.514999000000003</v>
      </c>
    </row>
    <row r="148" spans="1:65">
      <c r="A148" t="str">
        <f>IFERROR(IF(0=LEN(ReferenceData!$A$148),"",ReferenceData!$A$148),"")</f>
        <v>收入增长同比(%)</v>
      </c>
      <c r="B148" t="str">
        <f>IFERROR(IF(0=LEN(ReferenceData!$B$148),"",ReferenceData!$B$148),"")</f>
        <v/>
      </c>
      <c r="C148" t="str">
        <f>IFERROR(IF(0=LEN(ReferenceData!$C$148),"",ReferenceData!$C$148),"")</f>
        <v/>
      </c>
      <c r="D148" t="str">
        <f>IFERROR(IF(0=LEN(ReferenceData!$D$148),"",ReferenceData!$D$148),"")</f>
        <v/>
      </c>
      <c r="E148" t="str">
        <f>IFERROR(IF(0=LEN(ReferenceData!$E$148),"",ReferenceData!$E$148),"")</f>
        <v>Median</v>
      </c>
      <c r="F148" t="str">
        <f ca="1">IFERROR(IF(0=LEN(ReferenceData!$F$148),"",ReferenceData!$F$148),"")</f>
        <v/>
      </c>
      <c r="G148">
        <f ca="1">IFERROR(IF(0=LEN(ReferenceData!$G$148),"",ReferenceData!$G$148),"")</f>
        <v>0.121040754</v>
      </c>
      <c r="H148">
        <f ca="1">IFERROR(IF(0=LEN(ReferenceData!$H$148),"",ReferenceData!$H$148),"")</f>
        <v>3.424041828</v>
      </c>
      <c r="I148">
        <f ca="1">IFERROR(IF(0=LEN(ReferenceData!$I$148),"",ReferenceData!$I$148),"")</f>
        <v>4.1156948560000002</v>
      </c>
      <c r="J148">
        <f ca="1">IFERROR(IF(0=LEN(ReferenceData!$J$148),"",ReferenceData!$J$148),"")</f>
        <v>0.83626324699999999</v>
      </c>
      <c r="K148">
        <f ca="1">IFERROR(IF(0=LEN(ReferenceData!$K$148),"",ReferenceData!$K$148),"")</f>
        <v>3.2843915890000002</v>
      </c>
      <c r="L148">
        <f ca="1">IFERROR(IF(0=LEN(ReferenceData!$L$148),"",ReferenceData!$L$148),"")</f>
        <v>2.8050876539999998</v>
      </c>
      <c r="M148">
        <f ca="1">IFERROR(IF(0=LEN(ReferenceData!$M$148),"",ReferenceData!$M$148),"")</f>
        <v>0.442005492</v>
      </c>
      <c r="N148">
        <f ca="1">IFERROR(IF(0=LEN(ReferenceData!$N$148),"",ReferenceData!$N$148),"")</f>
        <v>4.849429894</v>
      </c>
      <c r="O148">
        <f ca="1">IFERROR(IF(0=LEN(ReferenceData!$O$148),"",ReferenceData!$O$148),"")</f>
        <v>6.437415197</v>
      </c>
      <c r="P148">
        <f ca="1">IFERROR(IF(0=LEN(ReferenceData!$P$148),"",ReferenceData!$P$148),"")</f>
        <v>6.9201761729999998</v>
      </c>
      <c r="Q148">
        <f ca="1">IFERROR(IF(0=LEN(ReferenceData!$Q$148),"",ReferenceData!$Q$148),"")</f>
        <v>6.3142455789999996</v>
      </c>
      <c r="R148">
        <f ca="1">IFERROR(IF(0=LEN(ReferenceData!$R$148),"",ReferenceData!$R$148),"")</f>
        <v>7.168587896</v>
      </c>
      <c r="S148">
        <f ca="1">IFERROR(IF(0=LEN(ReferenceData!$S$148),"",ReferenceData!$S$148),"")</f>
        <v>7.2314238089999998</v>
      </c>
      <c r="T148">
        <f ca="1">IFERROR(IF(0=LEN(ReferenceData!$T$148),"",ReferenceData!$T$148),"")</f>
        <v>10.091504000500001</v>
      </c>
      <c r="U148">
        <f ca="1">IFERROR(IF(0=LEN(ReferenceData!$U$148),"",ReferenceData!$U$148),"")</f>
        <v>10.482657850000001</v>
      </c>
      <c r="V148">
        <f ca="1">IFERROR(IF(0=LEN(ReferenceData!$V$148),"",ReferenceData!$V$148),"")</f>
        <v>11.728001135</v>
      </c>
      <c r="W148">
        <f ca="1">IFERROR(IF(0=LEN(ReferenceData!$W$148),"",ReferenceData!$W$148),"")</f>
        <v>10.032720340499999</v>
      </c>
      <c r="X148">
        <f ca="1">IFERROR(IF(0=LEN(ReferenceData!$X$148),"",ReferenceData!$X$148),"")</f>
        <v>3.723673652</v>
      </c>
      <c r="Y148">
        <f ca="1">IFERROR(IF(0=LEN(ReferenceData!$Y$148),"",ReferenceData!$Y$148),"")</f>
        <v>5.4370008004999999</v>
      </c>
      <c r="Z148">
        <f ca="1">IFERROR(IF(0=LEN(ReferenceData!$Z$148),"",ReferenceData!$Z$148),"")</f>
        <v>4.9878641994999997</v>
      </c>
      <c r="AA148">
        <f ca="1">IFERROR(IF(0=LEN(ReferenceData!$AA$148),"",ReferenceData!$AA$148),"")</f>
        <v>6.502131479</v>
      </c>
      <c r="AB148">
        <f ca="1">IFERROR(IF(0=LEN(ReferenceData!$AB$148),"",ReferenceData!$AB$148),"")</f>
        <v>6.7862023589999998</v>
      </c>
      <c r="AC148">
        <f ca="1">IFERROR(IF(0=LEN(ReferenceData!$AC$148),"",ReferenceData!$AC$148),"")</f>
        <v>5.6028184999999997</v>
      </c>
      <c r="AD148">
        <f ca="1">IFERROR(IF(0=LEN(ReferenceData!$AD$148),"",ReferenceData!$AD$148),"")</f>
        <v>6.2768345569999999</v>
      </c>
      <c r="AE148">
        <f ca="1">IFERROR(IF(0=LEN(ReferenceData!$AE$148),"",ReferenceData!$AE$148),"")</f>
        <v>3.8093616385</v>
      </c>
      <c r="AF148">
        <f ca="1">IFERROR(IF(0=LEN(ReferenceData!$AF$148),"",ReferenceData!$AF$148),"")</f>
        <v>2.8450403215</v>
      </c>
      <c r="AG148">
        <f ca="1">IFERROR(IF(0=LEN(ReferenceData!$AG$148),"",ReferenceData!$AG$148),"")</f>
        <v>2.5487633609999998</v>
      </c>
      <c r="AH148">
        <f ca="1">IFERROR(IF(0=LEN(ReferenceData!$AH$148),"",ReferenceData!$AH$148),"")</f>
        <v>0.201486162</v>
      </c>
      <c r="AI148">
        <f ca="1">IFERROR(IF(0=LEN(ReferenceData!$AI$148),"",ReferenceData!$AI$148),"")</f>
        <v>-0.49167369599999999</v>
      </c>
      <c r="AJ148">
        <f ca="1">IFERROR(IF(0=LEN(ReferenceData!$AJ$148),"",ReferenceData!$AJ$148),"")</f>
        <v>9.1823455999999998E-2</v>
      </c>
      <c r="AK148">
        <f ca="1">IFERROR(IF(0=LEN(ReferenceData!$AK$148),"",ReferenceData!$AK$148),"")</f>
        <v>1.7989283169999999</v>
      </c>
      <c r="AL148">
        <f ca="1">IFERROR(IF(0=LEN(ReferenceData!$AL$148),"",ReferenceData!$AL$148),"")</f>
        <v>1.0364924735000001</v>
      </c>
      <c r="AM148">
        <f ca="1">IFERROR(IF(0=LEN(ReferenceData!$AM$148),"",ReferenceData!$AM$148),"")</f>
        <v>-0.61294780799999993</v>
      </c>
      <c r="AN148">
        <f ca="1">IFERROR(IF(0=LEN(ReferenceData!$AN$148),"",ReferenceData!$AN$148),"")</f>
        <v>-1.0319562284999999</v>
      </c>
      <c r="AO148">
        <f ca="1">IFERROR(IF(0=LEN(ReferenceData!$AO$148),"",ReferenceData!$AO$148),"")</f>
        <v>-2.1409226415</v>
      </c>
      <c r="AP148">
        <f ca="1">IFERROR(IF(0=LEN(ReferenceData!$AP$148),"",ReferenceData!$AP$148),"")</f>
        <v>1.2003888679999999</v>
      </c>
      <c r="AQ148">
        <f ca="1">IFERROR(IF(0=LEN(ReferenceData!$AQ$148),"",ReferenceData!$AQ$148),"")</f>
        <v>4.2034921315</v>
      </c>
      <c r="AR148">
        <f ca="1">IFERROR(IF(0=LEN(ReferenceData!$AR$148),"",ReferenceData!$AR$148),"")</f>
        <v>7.0519473515</v>
      </c>
      <c r="AS148">
        <f ca="1">IFERROR(IF(0=LEN(ReferenceData!$AS$148),"",ReferenceData!$AS$148),"")</f>
        <v>7.9223417129999998</v>
      </c>
      <c r="AT148">
        <f ca="1">IFERROR(IF(0=LEN(ReferenceData!$AT$148),"",ReferenceData!$AT$148),"")</f>
        <v>8.9829134844999992</v>
      </c>
      <c r="AU148">
        <f ca="1">IFERROR(IF(0=LEN(ReferenceData!$AU$148),"",ReferenceData!$AU$148),"")</f>
        <v>9.0908678584999993</v>
      </c>
      <c r="AV148">
        <f ca="1">IFERROR(IF(0=LEN(ReferenceData!$AV$148),"",ReferenceData!$AV$148),"")</f>
        <v>11.28654128</v>
      </c>
      <c r="AW148">
        <f ca="1">IFERROR(IF(0=LEN(ReferenceData!$AW$148),"",ReferenceData!$AW$148),"")</f>
        <v>9.4795447604999996</v>
      </c>
      <c r="AX148">
        <f ca="1">IFERROR(IF(0=LEN(ReferenceData!$AX$148),"",ReferenceData!$AX$148),"")</f>
        <v>9.3355883189999993</v>
      </c>
      <c r="AY148">
        <f ca="1">IFERROR(IF(0=LEN(ReferenceData!$AY$148),"",ReferenceData!$AY$148),"")</f>
        <v>14.616969694999998</v>
      </c>
      <c r="AZ148">
        <f ca="1">IFERROR(IF(0=LEN(ReferenceData!$AZ$148),"",ReferenceData!$AZ$148),"")</f>
        <v>7.8710598204999993</v>
      </c>
      <c r="BA148">
        <f ca="1">IFERROR(IF(0=LEN(ReferenceData!$BA$148),"",ReferenceData!$BA$148),"")</f>
        <v>7.7546534109999996</v>
      </c>
      <c r="BB148">
        <f ca="1">IFERROR(IF(0=LEN(ReferenceData!$BB$148),"",ReferenceData!$BB$148),"")</f>
        <v>6.6170503015</v>
      </c>
      <c r="BC148">
        <f ca="1">IFERROR(IF(0=LEN(ReferenceData!$BC$148),"",ReferenceData!$BC$148),"")</f>
        <v>4.9845568010000001</v>
      </c>
      <c r="BD148">
        <f ca="1">IFERROR(IF(0=LEN(ReferenceData!$BD$148),"",ReferenceData!$BD$148),"")</f>
        <v>3.5806893139999998</v>
      </c>
      <c r="BE148">
        <f ca="1">IFERROR(IF(0=LEN(ReferenceData!$BE$148),"",ReferenceData!$BE$148),"")</f>
        <v>10.9035363825</v>
      </c>
      <c r="BF148">
        <f ca="1">IFERROR(IF(0=LEN(ReferenceData!$BF$148),"",ReferenceData!$BF$148),"")</f>
        <v>7.8847128840000007</v>
      </c>
      <c r="BG148">
        <f ca="1">IFERROR(IF(0=LEN(ReferenceData!$BG$148),"",ReferenceData!$BG$148),"")</f>
        <v>17.878359379999999</v>
      </c>
      <c r="BH148">
        <f ca="1">IFERROR(IF(0=LEN(ReferenceData!$BH$148),"",ReferenceData!$BH$148),"")</f>
        <v>16.387418194999999</v>
      </c>
      <c r="BI148">
        <f ca="1">IFERROR(IF(0=LEN(ReferenceData!$BI$148),"",ReferenceData!$BI$148),"")</f>
        <v>17.388684545</v>
      </c>
      <c r="BJ148">
        <f ca="1">IFERROR(IF(0=LEN(ReferenceData!$BJ$148),"",ReferenceData!$BJ$148),"")</f>
        <v>17.72530077</v>
      </c>
      <c r="BK148">
        <f ca="1">IFERROR(IF(0=LEN(ReferenceData!$BK$148),"",ReferenceData!$BK$148),"")</f>
        <v>13.324835934999999</v>
      </c>
      <c r="BL148">
        <f ca="1">IFERROR(IF(0=LEN(ReferenceData!$BL$148),"",ReferenceData!$BL$148),"")</f>
        <v>11.18265527</v>
      </c>
      <c r="BM148">
        <f ca="1">IFERROR(IF(0=LEN(ReferenceData!$BM$148),"",ReferenceData!$BM$148),"")</f>
        <v>8.6572832965000011</v>
      </c>
    </row>
    <row r="149" spans="1:65">
      <c r="A149" t="str">
        <f>IFERROR(IF(0=LEN(ReferenceData!$A$149),"",ReferenceData!$A$149),"")</f>
        <v xml:space="preserve">    Brixmor Property Group Inc</v>
      </c>
      <c r="B149" t="str">
        <f>IFERROR(IF(0=LEN(ReferenceData!$B$149),"",ReferenceData!$B$149),"")</f>
        <v>BRX US Equity</v>
      </c>
      <c r="C149" t="str">
        <f>IFERROR(IF(0=LEN(ReferenceData!$C$149),"",ReferenceData!$C$149),"")</f>
        <v>RR033</v>
      </c>
      <c r="D149" t="str">
        <f>IFERROR(IF(0=LEN(ReferenceData!$D$149),"",ReferenceData!$D$149),"")</f>
        <v>SALES_GROWTH</v>
      </c>
      <c r="E149" t="str">
        <f>IFERROR(IF(0=LEN(ReferenceData!$E$149),"",ReferenceData!$E$149),"")</f>
        <v>动态</v>
      </c>
      <c r="F149" t="str">
        <f ca="1">IFERROR(IF(0=LEN(ReferenceData!$F$149),"",ReferenceData!$F$149),"")</f>
        <v/>
      </c>
      <c r="G149">
        <f ca="1">IFERROR(IF(0=LEN(ReferenceData!$G$149),"",ReferenceData!$G$149),"")</f>
        <v>-1.2264145120000001</v>
      </c>
      <c r="H149">
        <f ca="1">IFERROR(IF(0=LEN(ReferenceData!$H$149),"",ReferenceData!$H$149),"")</f>
        <v>-1.2810089870000001</v>
      </c>
      <c r="I149">
        <f ca="1">IFERROR(IF(0=LEN(ReferenceData!$I$149),"",ReferenceData!$I$149),"")</f>
        <v>4.1156948560000002</v>
      </c>
      <c r="J149">
        <f ca="1">IFERROR(IF(0=LEN(ReferenceData!$J$149),"",ReferenceData!$J$149),"")</f>
        <v>0.83626324699999999</v>
      </c>
      <c r="K149">
        <f ca="1">IFERROR(IF(0=LEN(ReferenceData!$K$149),"",ReferenceData!$K$149),"")</f>
        <v>-0.465979217</v>
      </c>
      <c r="L149">
        <f ca="1">IFERROR(IF(0=LEN(ReferenceData!$L$149),"",ReferenceData!$L$149),"")</f>
        <v>1.7736602509999999</v>
      </c>
      <c r="M149">
        <f ca="1">IFERROR(IF(0=LEN(ReferenceData!$M$149),"",ReferenceData!$M$149),"")</f>
        <v>-0.65809920200000005</v>
      </c>
      <c r="N149">
        <f ca="1">IFERROR(IF(0=LEN(ReferenceData!$N$149),"",ReferenceData!$N$149),"")</f>
        <v>2.4773781850000001</v>
      </c>
      <c r="O149">
        <f ca="1">IFERROR(IF(0=LEN(ReferenceData!$O$149),"",ReferenceData!$O$149),"")</f>
        <v>3.479283546</v>
      </c>
      <c r="P149">
        <f ca="1">IFERROR(IF(0=LEN(ReferenceData!$P$149),"",ReferenceData!$P$149),"")</f>
        <v>2.1392049439999998</v>
      </c>
      <c r="Q149">
        <f ca="1">IFERROR(IF(0=LEN(ReferenceData!$Q$149),"",ReferenceData!$Q$149),"")</f>
        <v>1.351522492</v>
      </c>
      <c r="R149">
        <f ca="1">IFERROR(IF(0=LEN(ReferenceData!$R$149),"",ReferenceData!$R$149),"")</f>
        <v>2.5093066730000002</v>
      </c>
      <c r="S149">
        <f ca="1">IFERROR(IF(0=LEN(ReferenceData!$S$149),"",ReferenceData!$S$149),"")</f>
        <v>3.1008412449999998</v>
      </c>
      <c r="T149">
        <f ca="1">IFERROR(IF(0=LEN(ReferenceData!$T$149),"",ReferenceData!$T$149),"")</f>
        <v>7.1232828829999999</v>
      </c>
      <c r="U149">
        <f ca="1">IFERROR(IF(0=LEN(ReferenceData!$U$149),"",ReferenceData!$U$149),"")</f>
        <v>10.6854288</v>
      </c>
      <c r="V149">
        <f ca="1">IFERROR(IF(0=LEN(ReferenceData!$V$149),"",ReferenceData!$V$149),"")</f>
        <v>10.91057919</v>
      </c>
      <c r="W149">
        <f ca="1">IFERROR(IF(0=LEN(ReferenceData!$W$149),"",ReferenceData!$W$149),"")</f>
        <v>6.9367686590000002</v>
      </c>
      <c r="X149">
        <f ca="1">IFERROR(IF(0=LEN(ReferenceData!$X$149),"",ReferenceData!$X$149),"")</f>
        <v>1.9957788460000001</v>
      </c>
      <c r="Y149">
        <f ca="1">IFERROR(IF(0=LEN(ReferenceData!$Y$149),"",ReferenceData!$Y$149),"")</f>
        <v>0.53043880399999999</v>
      </c>
      <c r="Z149">
        <f ca="1">IFERROR(IF(0=LEN(ReferenceData!$Z$149),"",ReferenceData!$Z$149),"")</f>
        <v>-1.1721019079999999</v>
      </c>
      <c r="AA149" t="str">
        <f ca="1">IFERROR(IF(0=LEN(ReferenceData!$AA$149),"",ReferenceData!$AA$149),"")</f>
        <v/>
      </c>
      <c r="AB149" t="str">
        <f ca="1">IFERROR(IF(0=LEN(ReferenceData!$AB$149),"",ReferenceData!$AB$149),"")</f>
        <v/>
      </c>
      <c r="AC149" t="str">
        <f ca="1">IFERROR(IF(0=LEN(ReferenceData!$AC$149),"",ReferenceData!$AC$149),"")</f>
        <v/>
      </c>
      <c r="AD149" t="str">
        <f ca="1">IFERROR(IF(0=LEN(ReferenceData!$AD$149),"",ReferenceData!$AD$149),"")</f>
        <v/>
      </c>
      <c r="AE149" t="str">
        <f ca="1">IFERROR(IF(0=LEN(ReferenceData!$AE$149),"",ReferenceData!$AE$149),"")</f>
        <v/>
      </c>
      <c r="AF149" t="str">
        <f ca="1">IFERROR(IF(0=LEN(ReferenceData!$AF$149),"",ReferenceData!$AF$149),"")</f>
        <v/>
      </c>
      <c r="AG149" t="str">
        <f ca="1">IFERROR(IF(0=LEN(ReferenceData!$AG$149),"",ReferenceData!$AG$149),"")</f>
        <v/>
      </c>
      <c r="AH149" t="str">
        <f ca="1">IFERROR(IF(0=LEN(ReferenceData!$AH$149),"",ReferenceData!$AH$149),"")</f>
        <v/>
      </c>
      <c r="AI149" t="str">
        <f ca="1">IFERROR(IF(0=LEN(ReferenceData!$AI$149),"",ReferenceData!$AI$149),"")</f>
        <v/>
      </c>
      <c r="AJ149" t="str">
        <f ca="1">IFERROR(IF(0=LEN(ReferenceData!$AJ$149),"",ReferenceData!$AJ$149),"")</f>
        <v/>
      </c>
      <c r="AK149" t="str">
        <f ca="1">IFERROR(IF(0=LEN(ReferenceData!$AK$149),"",ReferenceData!$AK$149),"")</f>
        <v/>
      </c>
      <c r="AL149" t="str">
        <f ca="1">IFERROR(IF(0=LEN(ReferenceData!$AL$149),"",ReferenceData!$AL$149),"")</f>
        <v/>
      </c>
      <c r="AM149" t="str">
        <f ca="1">IFERROR(IF(0=LEN(ReferenceData!$AM$149),"",ReferenceData!$AM$149),"")</f>
        <v/>
      </c>
      <c r="AN149" t="str">
        <f ca="1">IFERROR(IF(0=LEN(ReferenceData!$AN$149),"",ReferenceData!$AN$149),"")</f>
        <v/>
      </c>
      <c r="AO149" t="str">
        <f ca="1">IFERROR(IF(0=LEN(ReferenceData!$AO$149),"",ReferenceData!$AO$149),"")</f>
        <v/>
      </c>
      <c r="AP149" t="str">
        <f ca="1">IFERROR(IF(0=LEN(ReferenceData!$AP$149),"",ReferenceData!$AP$149),"")</f>
        <v/>
      </c>
      <c r="AQ149" t="str">
        <f ca="1">IFERROR(IF(0=LEN(ReferenceData!$AQ$149),"",ReferenceData!$AQ$149),"")</f>
        <v/>
      </c>
      <c r="AR149" t="str">
        <f ca="1">IFERROR(IF(0=LEN(ReferenceData!$AR$149),"",ReferenceData!$AR$149),"")</f>
        <v/>
      </c>
      <c r="AS149" t="str">
        <f ca="1">IFERROR(IF(0=LEN(ReferenceData!$AS$149),"",ReferenceData!$AS$149),"")</f>
        <v/>
      </c>
      <c r="AT149" t="str">
        <f ca="1">IFERROR(IF(0=LEN(ReferenceData!$AT$149),"",ReferenceData!$AT$149),"")</f>
        <v/>
      </c>
      <c r="AU149" t="str">
        <f ca="1">IFERROR(IF(0=LEN(ReferenceData!$AU$149),"",ReferenceData!$AU$149),"")</f>
        <v/>
      </c>
      <c r="AV149" t="str">
        <f ca="1">IFERROR(IF(0=LEN(ReferenceData!$AV$149),"",ReferenceData!$AV$149),"")</f>
        <v/>
      </c>
      <c r="AW149" t="str">
        <f ca="1">IFERROR(IF(0=LEN(ReferenceData!$AW$149),"",ReferenceData!$AW$149),"")</f>
        <v/>
      </c>
      <c r="AX149" t="str">
        <f ca="1">IFERROR(IF(0=LEN(ReferenceData!$AX$149),"",ReferenceData!$AX$149),"")</f>
        <v/>
      </c>
      <c r="AY149" t="str">
        <f ca="1">IFERROR(IF(0=LEN(ReferenceData!$AY$149),"",ReferenceData!$AY$149),"")</f>
        <v/>
      </c>
      <c r="AZ149" t="str">
        <f ca="1">IFERROR(IF(0=LEN(ReferenceData!$AZ$149),"",ReferenceData!$AZ$149),"")</f>
        <v/>
      </c>
      <c r="BA149" t="str">
        <f ca="1">IFERROR(IF(0=LEN(ReferenceData!$BA$149),"",ReferenceData!$BA$149),"")</f>
        <v/>
      </c>
      <c r="BB149" t="str">
        <f ca="1">IFERROR(IF(0=LEN(ReferenceData!$BB$149),"",ReferenceData!$BB$149),"")</f>
        <v/>
      </c>
      <c r="BC149" t="str">
        <f ca="1">IFERROR(IF(0=LEN(ReferenceData!$BC$149),"",ReferenceData!$BC$149),"")</f>
        <v/>
      </c>
      <c r="BD149" t="str">
        <f ca="1">IFERROR(IF(0=LEN(ReferenceData!$BD$149),"",ReferenceData!$BD$149),"")</f>
        <v/>
      </c>
      <c r="BE149" t="str">
        <f ca="1">IFERROR(IF(0=LEN(ReferenceData!$BE$149),"",ReferenceData!$BE$149),"")</f>
        <v/>
      </c>
      <c r="BF149" t="str">
        <f ca="1">IFERROR(IF(0=LEN(ReferenceData!$BF$149),"",ReferenceData!$BF$149),"")</f>
        <v/>
      </c>
      <c r="BG149" t="str">
        <f ca="1">IFERROR(IF(0=LEN(ReferenceData!$BG$149),"",ReferenceData!$BG$149),"")</f>
        <v/>
      </c>
      <c r="BH149" t="str">
        <f ca="1">IFERROR(IF(0=LEN(ReferenceData!$BH$149),"",ReferenceData!$BH$149),"")</f>
        <v/>
      </c>
      <c r="BI149" t="str">
        <f ca="1">IFERROR(IF(0=LEN(ReferenceData!$BI$149),"",ReferenceData!$BI$149),"")</f>
        <v/>
      </c>
      <c r="BJ149" t="str">
        <f ca="1">IFERROR(IF(0=LEN(ReferenceData!$BJ$149),"",ReferenceData!$BJ$149),"")</f>
        <v/>
      </c>
      <c r="BK149" t="str">
        <f ca="1">IFERROR(IF(0=LEN(ReferenceData!$BK$149),"",ReferenceData!$BK$149),"")</f>
        <v/>
      </c>
      <c r="BL149" t="str">
        <f ca="1">IFERROR(IF(0=LEN(ReferenceData!$BL$149),"",ReferenceData!$BL$149),"")</f>
        <v/>
      </c>
      <c r="BM149" t="str">
        <f ca="1">IFERROR(IF(0=LEN(ReferenceData!$BM$149),"",ReferenceData!$BM$149),"")</f>
        <v/>
      </c>
    </row>
    <row r="150" spans="1:65">
      <c r="A150" t="str">
        <f>IFERROR(IF(0=LEN(ReferenceData!$A$150),"",ReferenceData!$A$150),"")</f>
        <v xml:space="preserve">    CBL &amp; Associates Properties In</v>
      </c>
      <c r="B150" t="str">
        <f>IFERROR(IF(0=LEN(ReferenceData!$B$150),"",ReferenceData!$B$150),"")</f>
        <v>CBL US Equity</v>
      </c>
      <c r="C150" t="str">
        <f>IFERROR(IF(0=LEN(ReferenceData!$C$150),"",ReferenceData!$C$150),"")</f>
        <v>RR033</v>
      </c>
      <c r="D150" t="str">
        <f>IFERROR(IF(0=LEN(ReferenceData!$D$150),"",ReferenceData!$D$150),"")</f>
        <v>SALES_GROWTH</v>
      </c>
      <c r="E150" t="str">
        <f>IFERROR(IF(0=LEN(ReferenceData!$E$150),"",ReferenceData!$E$150),"")</f>
        <v>动态</v>
      </c>
      <c r="F150" t="str">
        <f ca="1">IFERROR(IF(0=LEN(ReferenceData!$F$150),"",ReferenceData!$F$150),"")</f>
        <v/>
      </c>
      <c r="G150">
        <f ca="1">IFERROR(IF(0=LEN(ReferenceData!$G$150),"",ReferenceData!$G$150),"")</f>
        <v>-8.9507259379999997</v>
      </c>
      <c r="H150">
        <f ca="1">IFERROR(IF(0=LEN(ReferenceData!$H$150),"",ReferenceData!$H$150),"")</f>
        <v>-10.754366940000001</v>
      </c>
      <c r="I150">
        <f ca="1">IFERROR(IF(0=LEN(ReferenceData!$I$150),"",ReferenceData!$I$150),"")</f>
        <v>-10.092365620000001</v>
      </c>
      <c r="J150">
        <f ca="1">IFERROR(IF(0=LEN(ReferenceData!$J$150),"",ReferenceData!$J$150),"")</f>
        <v>-9.5275925770000001</v>
      </c>
      <c r="K150">
        <f ca="1">IFERROR(IF(0=LEN(ReferenceData!$K$150),"",ReferenceData!$K$150),"")</f>
        <v>-6.8929870690000001</v>
      </c>
      <c r="L150">
        <f ca="1">IFERROR(IF(0=LEN(ReferenceData!$L$150),"",ReferenceData!$L$150),"")</f>
        <v>-4.1559420640000004</v>
      </c>
      <c r="M150">
        <f ca="1">IFERROR(IF(0=LEN(ReferenceData!$M$150),"",ReferenceData!$M$150),"")</f>
        <v>0.442005492</v>
      </c>
      <c r="N150">
        <f ca="1">IFERROR(IF(0=LEN(ReferenceData!$N$150),"",ReferenceData!$N$150),"")</f>
        <v>0.831324332</v>
      </c>
      <c r="O150">
        <f ca="1">IFERROR(IF(0=LEN(ReferenceData!$O$150),"",ReferenceData!$O$150),"")</f>
        <v>-2.1909536410000001</v>
      </c>
      <c r="P150">
        <f ca="1">IFERROR(IF(0=LEN(ReferenceData!$P$150),"",ReferenceData!$P$150),"")</f>
        <v>1.515959708</v>
      </c>
      <c r="Q150">
        <f ca="1">IFERROR(IF(0=LEN(ReferenceData!$Q$150),"",ReferenceData!$Q$150),"")</f>
        <v>-1.2026481609999999</v>
      </c>
      <c r="R150">
        <f ca="1">IFERROR(IF(0=LEN(ReferenceData!$R$150),"",ReferenceData!$R$150),"")</f>
        <v>-0.12785031599999999</v>
      </c>
      <c r="S150">
        <f ca="1">IFERROR(IF(0=LEN(ReferenceData!$S$150),"",ReferenceData!$S$150),"")</f>
        <v>0.652461446</v>
      </c>
      <c r="T150">
        <f ca="1">IFERROR(IF(0=LEN(ReferenceData!$T$150),"",ReferenceData!$T$150),"")</f>
        <v>0.45234110799999999</v>
      </c>
      <c r="U150">
        <f ca="1">IFERROR(IF(0=LEN(ReferenceData!$U$150),"",ReferenceData!$U$150),"")</f>
        <v>0.52741749299999996</v>
      </c>
      <c r="V150">
        <f ca="1">IFERROR(IF(0=LEN(ReferenceData!$V$150),"",ReferenceData!$V$150),"")</f>
        <v>1.068159485</v>
      </c>
      <c r="W150">
        <f ca="1">IFERROR(IF(0=LEN(ReferenceData!$W$150),"",ReferenceData!$W$150),"")</f>
        <v>4.3519285989999998</v>
      </c>
      <c r="X150">
        <f ca="1">IFERROR(IF(0=LEN(ReferenceData!$X$150),"",ReferenceData!$X$150),"")</f>
        <v>3.3561275510000002</v>
      </c>
      <c r="Y150">
        <f ca="1">IFERROR(IF(0=LEN(ReferenceData!$Y$150),"",ReferenceData!$Y$150),"")</f>
        <v>1.48544337</v>
      </c>
      <c r="Z150">
        <f ca="1">IFERROR(IF(0=LEN(ReferenceData!$Z$150),"",ReferenceData!$Z$150),"")</f>
        <v>4.8740409539999998</v>
      </c>
      <c r="AA150">
        <f ca="1">IFERROR(IF(0=LEN(ReferenceData!$AA$150),"",ReferenceData!$AA$150),"")</f>
        <v>2.0408317380000001</v>
      </c>
      <c r="AB150">
        <f ca="1">IFERROR(IF(0=LEN(ReferenceData!$AB$150),"",ReferenceData!$AB$150),"")</f>
        <v>-6.7637495650000004</v>
      </c>
      <c r="AC150">
        <f ca="1">IFERROR(IF(0=LEN(ReferenceData!$AC$150),"",ReferenceData!$AC$150),"")</f>
        <v>-3.9199752779999999</v>
      </c>
      <c r="AD150">
        <f ca="1">IFERROR(IF(0=LEN(ReferenceData!$AD$150),"",ReferenceData!$AD$150),"")</f>
        <v>-7.7479048840000004</v>
      </c>
      <c r="AE150">
        <f ca="1">IFERROR(IF(0=LEN(ReferenceData!$AE$150),"",ReferenceData!$AE$150),"")</f>
        <v>-7.4658206710000004</v>
      </c>
      <c r="AF150">
        <f ca="1">IFERROR(IF(0=LEN(ReferenceData!$AF$150),"",ReferenceData!$AF$150),"")</f>
        <v>2.5292515440000001</v>
      </c>
      <c r="AG150">
        <f ca="1">IFERROR(IF(0=LEN(ReferenceData!$AG$150),"",ReferenceData!$AG$150),"")</f>
        <v>1.7333390259999999</v>
      </c>
      <c r="AH150">
        <f ca="1">IFERROR(IF(0=LEN(ReferenceData!$AH$150),"",ReferenceData!$AH$150),"")</f>
        <v>2.078095748</v>
      </c>
      <c r="AI150">
        <f ca="1">IFERROR(IF(0=LEN(ReferenceData!$AI$150),"",ReferenceData!$AI$150),"")</f>
        <v>-0.198061922</v>
      </c>
      <c r="AJ150">
        <f ca="1">IFERROR(IF(0=LEN(ReferenceData!$AJ$150),"",ReferenceData!$AJ$150),"")</f>
        <v>-0.68163027399999998</v>
      </c>
      <c r="AK150">
        <f ca="1">IFERROR(IF(0=LEN(ReferenceData!$AK$150),"",ReferenceData!$AK$150),"")</f>
        <v>-3.328405697</v>
      </c>
      <c r="AL150">
        <f ca="1">IFERROR(IF(0=LEN(ReferenceData!$AL$150),"",ReferenceData!$AL$150),"")</f>
        <v>-3.4420423520000001</v>
      </c>
      <c r="AM150">
        <f ca="1">IFERROR(IF(0=LEN(ReferenceData!$AM$150),"",ReferenceData!$AM$150),"")</f>
        <v>-4.2147910140000002</v>
      </c>
      <c r="AN150">
        <f ca="1">IFERROR(IF(0=LEN(ReferenceData!$AN$150),"",ReferenceData!$AN$150),"")</f>
        <v>-8.0398030869999992</v>
      </c>
      <c r="AO150">
        <f ca="1">IFERROR(IF(0=LEN(ReferenceData!$AO$150),"",ReferenceData!$AO$150),"")</f>
        <v>-2.1869254229999999</v>
      </c>
      <c r="AP150">
        <f ca="1">IFERROR(IF(0=LEN(ReferenceData!$AP$150),"",ReferenceData!$AP$150),"")</f>
        <v>-3.5136741759999999</v>
      </c>
      <c r="AQ150">
        <f ca="1">IFERROR(IF(0=LEN(ReferenceData!$AQ$150),"",ReferenceData!$AQ$150),"")</f>
        <v>2.9237554700000001</v>
      </c>
      <c r="AR150">
        <f ca="1">IFERROR(IF(0=LEN(ReferenceData!$AR$150),"",ReferenceData!$AR$150),"")</f>
        <v>13.70762433</v>
      </c>
      <c r="AS150">
        <f ca="1">IFERROR(IF(0=LEN(ReferenceData!$AS$150),"",ReferenceData!$AS$150),"")</f>
        <v>10.63547296</v>
      </c>
      <c r="AT150">
        <f ca="1">IFERROR(IF(0=LEN(ReferenceData!$AT$150),"",ReferenceData!$AT$150),"")</f>
        <v>11.58549906</v>
      </c>
      <c r="AU150">
        <f ca="1">IFERROR(IF(0=LEN(ReferenceData!$AU$150),"",ReferenceData!$AU$150),"")</f>
        <v>6.4723106770000003</v>
      </c>
      <c r="AV150">
        <f ca="1">IFERROR(IF(0=LEN(ReferenceData!$AV$150),"",ReferenceData!$AV$150),"")</f>
        <v>1.597228125</v>
      </c>
      <c r="AW150">
        <f ca="1">IFERROR(IF(0=LEN(ReferenceData!$AW$150),"",ReferenceData!$AW$150),"")</f>
        <v>3.8002798480000002</v>
      </c>
      <c r="AX150">
        <f ca="1">IFERROR(IF(0=LEN(ReferenceData!$AX$150),"",ReferenceData!$AX$150),"")</f>
        <v>1.9072984930000001</v>
      </c>
      <c r="AY150">
        <f ca="1">IFERROR(IF(0=LEN(ReferenceData!$AY$150),"",ReferenceData!$AY$150),"")</f>
        <v>4.058989994</v>
      </c>
      <c r="AZ150">
        <f ca="1">IFERROR(IF(0=LEN(ReferenceData!$AZ$150),"",ReferenceData!$AZ$150),"")</f>
        <v>7.5466769979999997</v>
      </c>
      <c r="BA150">
        <f ca="1">IFERROR(IF(0=LEN(ReferenceData!$BA$150),"",ReferenceData!$BA$150),"")</f>
        <v>15.38951597</v>
      </c>
      <c r="BB150">
        <f ca="1">IFERROR(IF(0=LEN(ReferenceData!$BB$150),"",ReferenceData!$BB$150),"")</f>
        <v>14.16721351</v>
      </c>
      <c r="BC150">
        <f ca="1">IFERROR(IF(0=LEN(ReferenceData!$BC$150),"",ReferenceData!$BC$150),"")</f>
        <v>16.362854720000001</v>
      </c>
      <c r="BD150">
        <f ca="1">IFERROR(IF(0=LEN(ReferenceData!$BD$150),"",ReferenceData!$BD$150),"")</f>
        <v>18.123431650000001</v>
      </c>
      <c r="BE150">
        <f ca="1">IFERROR(IF(0=LEN(ReferenceData!$BE$150),"",ReferenceData!$BE$150),"")</f>
        <v>16.69494748</v>
      </c>
      <c r="BF150">
        <f ca="1">IFERROR(IF(0=LEN(ReferenceData!$BF$150),"",ReferenceData!$BF$150),"")</f>
        <v>24.46952525</v>
      </c>
      <c r="BG150">
        <f ca="1">IFERROR(IF(0=LEN(ReferenceData!$BG$150),"",ReferenceData!$BG$150),"")</f>
        <v>26.437628929999999</v>
      </c>
      <c r="BH150">
        <f ca="1">IFERROR(IF(0=LEN(ReferenceData!$BH$150),"",ReferenceData!$BH$150),"")</f>
        <v>18.944573519999999</v>
      </c>
      <c r="BI150">
        <f ca="1">IFERROR(IF(0=LEN(ReferenceData!$BI$150),"",ReferenceData!$BI$150),"")</f>
        <v>8.1109781410000004</v>
      </c>
      <c r="BJ150">
        <f ca="1">IFERROR(IF(0=LEN(ReferenceData!$BJ$150),"",ReferenceData!$BJ$150),"")</f>
        <v>5.8987937099999996</v>
      </c>
      <c r="BK150">
        <f ca="1">IFERROR(IF(0=LEN(ReferenceData!$BK$150),"",ReferenceData!$BK$150),"")</f>
        <v>14.658183080000001</v>
      </c>
      <c r="BL150">
        <f ca="1">IFERROR(IF(0=LEN(ReferenceData!$BL$150),"",ReferenceData!$BL$150),"")</f>
        <v>11.00866647</v>
      </c>
      <c r="BM150">
        <f ca="1">IFERROR(IF(0=LEN(ReferenceData!$BM$150),"",ReferenceData!$BM$150),"")</f>
        <v>10.166409959999999</v>
      </c>
    </row>
    <row r="151" spans="1:65">
      <c r="A151" t="str">
        <f>IFERROR(IF(0=LEN(ReferenceData!$A$151),"",ReferenceData!$A$151),"")</f>
        <v xml:space="preserve">    DDR Corp</v>
      </c>
      <c r="B151" t="str">
        <f>IFERROR(IF(0=LEN(ReferenceData!$B$151),"",ReferenceData!$B$151),"")</f>
        <v>DDR US Equity</v>
      </c>
      <c r="C151" t="str">
        <f>IFERROR(IF(0=LEN(ReferenceData!$C$151),"",ReferenceData!$C$151),"")</f>
        <v>RR033</v>
      </c>
      <c r="D151" t="str">
        <f>IFERROR(IF(0=LEN(ReferenceData!$D$151),"",ReferenceData!$D$151),"")</f>
        <v>SALES_GROWTH</v>
      </c>
      <c r="E151" t="str">
        <f>IFERROR(IF(0=LEN(ReferenceData!$E$151),"",ReferenceData!$E$151),"")</f>
        <v>动态</v>
      </c>
      <c r="F151" t="str">
        <f ca="1">IFERROR(IF(0=LEN(ReferenceData!$F$151),"",ReferenceData!$F$151),"")</f>
        <v/>
      </c>
      <c r="G151">
        <f ca="1">IFERROR(IF(0=LEN(ReferenceData!$G$151),"",ReferenceData!$G$151),"")</f>
        <v>-9.7929085829999991</v>
      </c>
      <c r="H151">
        <f ca="1">IFERROR(IF(0=LEN(ReferenceData!$H$151),"",ReferenceData!$H$151),"")</f>
        <v>-10.39243499</v>
      </c>
      <c r="I151">
        <f ca="1">IFERROR(IF(0=LEN(ReferenceData!$I$151),"",ReferenceData!$I$151),"")</f>
        <v>-8.2130879330000006</v>
      </c>
      <c r="J151">
        <f ca="1">IFERROR(IF(0=LEN(ReferenceData!$J$151),"",ReferenceData!$J$151),"")</f>
        <v>-5.5034332590000004</v>
      </c>
      <c r="K151">
        <f ca="1">IFERROR(IF(0=LEN(ReferenceData!$K$151),"",ReferenceData!$K$151),"")</f>
        <v>-5.8256601630000002</v>
      </c>
      <c r="L151">
        <f ca="1">IFERROR(IF(0=LEN(ReferenceData!$L$151),"",ReferenceData!$L$151),"")</f>
        <v>-1.2969840749999999</v>
      </c>
      <c r="M151">
        <f ca="1">IFERROR(IF(0=LEN(ReferenceData!$M$151),"",ReferenceData!$M$151),"")</f>
        <v>-7.77233E-4</v>
      </c>
      <c r="N151">
        <f ca="1">IFERROR(IF(0=LEN(ReferenceData!$N$151),"",ReferenceData!$N$151),"")</f>
        <v>-1.700763064</v>
      </c>
      <c r="O151">
        <f ca="1">IFERROR(IF(0=LEN(ReferenceData!$O$151),"",ReferenceData!$O$151),"")</f>
        <v>-0.81550710699999995</v>
      </c>
      <c r="P151">
        <f ca="1">IFERROR(IF(0=LEN(ReferenceData!$P$151),"",ReferenceData!$P$151),"")</f>
        <v>4.8012064150000002</v>
      </c>
      <c r="Q151">
        <f ca="1">IFERROR(IF(0=LEN(ReferenceData!$Q$151),"",ReferenceData!$Q$151),"")</f>
        <v>6.3142455789999996</v>
      </c>
      <c r="R151">
        <f ca="1">IFERROR(IF(0=LEN(ReferenceData!$R$151),"",ReferenceData!$R$151),"")</f>
        <v>7.168587896</v>
      </c>
      <c r="S151">
        <f ca="1">IFERROR(IF(0=LEN(ReferenceData!$S$151),"",ReferenceData!$S$151),"")</f>
        <v>6.8148122679999998</v>
      </c>
      <c r="T151">
        <f ca="1">IFERROR(IF(0=LEN(ReferenceData!$T$151),"",ReferenceData!$T$151),"")</f>
        <v>18.873546510000001</v>
      </c>
      <c r="U151">
        <f ca="1">IFERROR(IF(0=LEN(ReferenceData!$U$151),"",ReferenceData!$U$151),"")</f>
        <v>16.533461719999998</v>
      </c>
      <c r="V151">
        <f ca="1">IFERROR(IF(0=LEN(ReferenceData!$V$151),"",ReferenceData!$V$151),"")</f>
        <v>20.570923629999999</v>
      </c>
      <c r="W151">
        <f ca="1">IFERROR(IF(0=LEN(ReferenceData!$W$151),"",ReferenceData!$W$151),"")</f>
        <v>14.771393339999999</v>
      </c>
      <c r="X151">
        <f ca="1">IFERROR(IF(0=LEN(ReferenceData!$X$151),"",ReferenceData!$X$151),"")</f>
        <v>4.6244620510000001</v>
      </c>
      <c r="Y151">
        <f ca="1">IFERROR(IF(0=LEN(ReferenceData!$Y$151),"",ReferenceData!$Y$151),"")</f>
        <v>8.9179523219999997</v>
      </c>
      <c r="Z151">
        <f ca="1">IFERROR(IF(0=LEN(ReferenceData!$Z$151),"",ReferenceData!$Z$151),"")</f>
        <v>5.1016874449999996</v>
      </c>
      <c r="AA151">
        <f ca="1">IFERROR(IF(0=LEN(ReferenceData!$AA$151),"",ReferenceData!$AA$151),"")</f>
        <v>7.0728834950000001</v>
      </c>
      <c r="AB151">
        <f ca="1">IFERROR(IF(0=LEN(ReferenceData!$AB$151),"",ReferenceData!$AB$151),"")</f>
        <v>5.444409405</v>
      </c>
      <c r="AC151">
        <f ca="1">IFERROR(IF(0=LEN(ReferenceData!$AC$151),"",ReferenceData!$AC$151),"")</f>
        <v>2.015770947</v>
      </c>
      <c r="AD151">
        <f ca="1">IFERROR(IF(0=LEN(ReferenceData!$AD$151),"",ReferenceData!$AD$151),"")</f>
        <v>-0.87740740900000003</v>
      </c>
      <c r="AE151">
        <f ca="1">IFERROR(IF(0=LEN(ReferenceData!$AE$151),"",ReferenceData!$AE$151),"")</f>
        <v>-2.1198399650000002</v>
      </c>
      <c r="AF151">
        <f ca="1">IFERROR(IF(0=LEN(ReferenceData!$AF$151),"",ReferenceData!$AF$151),"")</f>
        <v>-3.0576396950000002</v>
      </c>
      <c r="AG151">
        <f ca="1">IFERROR(IF(0=LEN(ReferenceData!$AG$151),"",ReferenceData!$AG$151),"")</f>
        <v>-4.9206510679999997</v>
      </c>
      <c r="AH151">
        <f ca="1">IFERROR(IF(0=LEN(ReferenceData!$AH$151),"",ReferenceData!$AH$151),"")</f>
        <v>-4.8780246470000002</v>
      </c>
      <c r="AI151">
        <f ca="1">IFERROR(IF(0=LEN(ReferenceData!$AI$151),"",ReferenceData!$AI$151),"")</f>
        <v>-4.9883358299999996</v>
      </c>
      <c r="AJ151">
        <f ca="1">IFERROR(IF(0=LEN(ReferenceData!$AJ$151),"",ReferenceData!$AJ$151),"")</f>
        <v>-4.5841078990000002</v>
      </c>
      <c r="AK151">
        <f ca="1">IFERROR(IF(0=LEN(ReferenceData!$AK$151),"",ReferenceData!$AK$151),"")</f>
        <v>-0.44359820900000002</v>
      </c>
      <c r="AL151">
        <f ca="1">IFERROR(IF(0=LEN(ReferenceData!$AL$151),"",ReferenceData!$AL$151),"")</f>
        <v>-2.6653376089999998</v>
      </c>
      <c r="AM151">
        <f ca="1">IFERROR(IF(0=LEN(ReferenceData!$AM$151),"",ReferenceData!$AM$151),"")</f>
        <v>-6.8221651730000001</v>
      </c>
      <c r="AN151">
        <f ca="1">IFERROR(IF(0=LEN(ReferenceData!$AN$151),"",ReferenceData!$AN$151),"")</f>
        <v>-9.2416763890000002</v>
      </c>
      <c r="AO151">
        <f ca="1">IFERROR(IF(0=LEN(ReferenceData!$AO$151),"",ReferenceData!$AO$151),"")</f>
        <v>-11.3001608</v>
      </c>
      <c r="AP151">
        <f ca="1">IFERROR(IF(0=LEN(ReferenceData!$AP$151),"",ReferenceData!$AP$151),"")</f>
        <v>-12.04171185</v>
      </c>
      <c r="AQ151">
        <f ca="1">IFERROR(IF(0=LEN(ReferenceData!$AQ$151),"",ReferenceData!$AQ$151),"")</f>
        <v>-7.2266445900000003</v>
      </c>
      <c r="AR151">
        <f ca="1">IFERROR(IF(0=LEN(ReferenceData!$AR$151),"",ReferenceData!$AR$151),"")</f>
        <v>-3.751722113</v>
      </c>
      <c r="AS151">
        <f ca="1">IFERROR(IF(0=LEN(ReferenceData!$AS$151),"",ReferenceData!$AS$151),"")</f>
        <v>-11.68926986</v>
      </c>
      <c r="AT151">
        <f ca="1">IFERROR(IF(0=LEN(ReferenceData!$AT$151),"",ReferenceData!$AT$151),"")</f>
        <v>7.7842452460000002</v>
      </c>
      <c r="AU151">
        <f ca="1">IFERROR(IF(0=LEN(ReferenceData!$AU$151),"",ReferenceData!$AU$151),"")</f>
        <v>21.24994852</v>
      </c>
      <c r="AV151">
        <f ca="1">IFERROR(IF(0=LEN(ReferenceData!$AV$151),"",ReferenceData!$AV$151),"")</f>
        <v>19.231204940000001</v>
      </c>
      <c r="AW151">
        <f ca="1">IFERROR(IF(0=LEN(ReferenceData!$AW$151),"",ReferenceData!$AW$151),"")</f>
        <v>33.36877801</v>
      </c>
      <c r="AX151">
        <f ca="1">IFERROR(IF(0=LEN(ReferenceData!$AX$151),"",ReferenceData!$AX$151),"")</f>
        <v>9.8911849249999992</v>
      </c>
      <c r="AY151">
        <f ca="1">IFERROR(IF(0=LEN(ReferenceData!$AY$151),"",ReferenceData!$AY$151),"")</f>
        <v>-0.66829949200000005</v>
      </c>
      <c r="AZ151">
        <f ca="1">IFERROR(IF(0=LEN(ReferenceData!$AZ$151),"",ReferenceData!$AZ$151),"")</f>
        <v>8.1954426429999998</v>
      </c>
      <c r="BA151">
        <f ca="1">IFERROR(IF(0=LEN(ReferenceData!$BA$151),"",ReferenceData!$BA$151),"")</f>
        <v>7.2341511839999999</v>
      </c>
      <c r="BB151">
        <f ca="1">IFERROR(IF(0=LEN(ReferenceData!$BB$151),"",ReferenceData!$BB$151),"")</f>
        <v>15.948275860000001</v>
      </c>
      <c r="BC151">
        <f ca="1">IFERROR(IF(0=LEN(ReferenceData!$BC$151),"",ReferenceData!$BC$151),"")</f>
        <v>23.445498560000001</v>
      </c>
      <c r="BD151">
        <f ca="1">IFERROR(IF(0=LEN(ReferenceData!$BD$151),"",ReferenceData!$BD$151),"")</f>
        <v>14.228801259999999</v>
      </c>
      <c r="BE151">
        <f ca="1">IFERROR(IF(0=LEN(ReferenceData!$BE$151),"",ReferenceData!$BE$151),"")</f>
        <v>18.524121699999998</v>
      </c>
      <c r="BF151">
        <f ca="1">IFERROR(IF(0=LEN(ReferenceData!$BF$151),"",ReferenceData!$BF$151),"")</f>
        <v>36.082768010000002</v>
      </c>
      <c r="BG151">
        <f ca="1">IFERROR(IF(0=LEN(ReferenceData!$BG$151),"",ReferenceData!$BG$151),"")</f>
        <v>26.28998842</v>
      </c>
      <c r="BH151">
        <f ca="1">IFERROR(IF(0=LEN(ReferenceData!$BH$151),"",ReferenceData!$BH$151),"")</f>
        <v>28.591186220000001</v>
      </c>
      <c r="BI151">
        <f ca="1">IFERROR(IF(0=LEN(ReferenceData!$BI$151),"",ReferenceData!$BI$151),"")</f>
        <v>21.878764539999999</v>
      </c>
      <c r="BJ151">
        <f ca="1">IFERROR(IF(0=LEN(ReferenceData!$BJ$151),"",ReferenceData!$BJ$151),"")</f>
        <v>23.21775177</v>
      </c>
      <c r="BK151">
        <f ca="1">IFERROR(IF(0=LEN(ReferenceData!$BK$151),"",ReferenceData!$BK$151),"")</f>
        <v>33.837256189999998</v>
      </c>
      <c r="BL151">
        <f ca="1">IFERROR(IF(0=LEN(ReferenceData!$BL$151),"",ReferenceData!$BL$151),"")</f>
        <v>33.367167629999997</v>
      </c>
      <c r="BM151">
        <f ca="1">IFERROR(IF(0=LEN(ReferenceData!$BM$151),"",ReferenceData!$BM$151),"")</f>
        <v>43.943897890000002</v>
      </c>
    </row>
    <row r="152" spans="1:65">
      <c r="A152" t="str">
        <f>IFERROR(IF(0=LEN(ReferenceData!$A$152),"",ReferenceData!$A$152),"")</f>
        <v xml:space="preserve">    Federal Realty Investment Trus</v>
      </c>
      <c r="B152" t="str">
        <f>IFERROR(IF(0=LEN(ReferenceData!$B$152),"",ReferenceData!$B$152),"")</f>
        <v>FRT US Equity</v>
      </c>
      <c r="C152" t="str">
        <f>IFERROR(IF(0=LEN(ReferenceData!$C$152),"",ReferenceData!$C$152),"")</f>
        <v>RR033</v>
      </c>
      <c r="D152" t="str">
        <f>IFERROR(IF(0=LEN(ReferenceData!$D$152),"",ReferenceData!$D$152),"")</f>
        <v>SALES_GROWTH</v>
      </c>
      <c r="E152" t="str">
        <f>IFERROR(IF(0=LEN(ReferenceData!$E$152),"",ReferenceData!$E$152),"")</f>
        <v>动态</v>
      </c>
      <c r="F152" t="str">
        <f ca="1">IFERROR(IF(0=LEN(ReferenceData!$F$152),"",ReferenceData!$F$152),"")</f>
        <v/>
      </c>
      <c r="G152">
        <f ca="1">IFERROR(IF(0=LEN(ReferenceData!$G$152),"",ReferenceData!$G$152),"")</f>
        <v>9.7242159830000006</v>
      </c>
      <c r="H152">
        <f ca="1">IFERROR(IF(0=LEN(ReferenceData!$H$152),"",ReferenceData!$H$152),"")</f>
        <v>8.3496970029999993</v>
      </c>
      <c r="I152">
        <f ca="1">IFERROR(IF(0=LEN(ReferenceData!$I$152),"",ReferenceData!$I$152),"")</f>
        <v>5.0853364719999998</v>
      </c>
      <c r="J152">
        <f ca="1">IFERROR(IF(0=LEN(ReferenceData!$J$152),"",ReferenceData!$J$152),"")</f>
        <v>4.5602589440000001</v>
      </c>
      <c r="K152">
        <f ca="1">IFERROR(IF(0=LEN(ReferenceData!$K$152),"",ReferenceData!$K$152),"")</f>
        <v>6.026793831</v>
      </c>
      <c r="L152">
        <f ca="1">IFERROR(IF(0=LEN(ReferenceData!$L$152),"",ReferenceData!$L$152),"")</f>
        <v>8.5856023149999992</v>
      </c>
      <c r="M152">
        <f ca="1">IFERROR(IF(0=LEN(ReferenceData!$M$152),"",ReferenceData!$M$152),"")</f>
        <v>9.1038845810000009</v>
      </c>
      <c r="N152">
        <f ca="1">IFERROR(IF(0=LEN(ReferenceData!$N$152),"",ReferenceData!$N$152),"")</f>
        <v>7.3336508069999997</v>
      </c>
      <c r="O152">
        <f ca="1">IFERROR(IF(0=LEN(ReferenceData!$O$152),"",ReferenceData!$O$152),"")</f>
        <v>9.145183329</v>
      </c>
      <c r="P152">
        <f ca="1">IFERROR(IF(0=LEN(ReferenceData!$P$152),"",ReferenceData!$P$152),"")</f>
        <v>8.3737963470000008</v>
      </c>
      <c r="Q152">
        <f ca="1">IFERROR(IF(0=LEN(ReferenceData!$Q$152),"",ReferenceData!$Q$152),"")</f>
        <v>8.0465861249999993</v>
      </c>
      <c r="R152">
        <f ca="1">IFERROR(IF(0=LEN(ReferenceData!$R$152),"",ReferenceData!$R$152),"")</f>
        <v>8.1743039779999993</v>
      </c>
      <c r="S152">
        <f ca="1">IFERROR(IF(0=LEN(ReferenceData!$S$152),"",ReferenceData!$S$152),"")</f>
        <v>7.6480353499999998</v>
      </c>
      <c r="T152">
        <f ca="1">IFERROR(IF(0=LEN(ReferenceData!$T$152),"",ReferenceData!$T$152),"")</f>
        <v>7.4878953660000001</v>
      </c>
      <c r="U152">
        <f ca="1">IFERROR(IF(0=LEN(ReferenceData!$U$152),"",ReferenceData!$U$152),"")</f>
        <v>6.7088977559999998</v>
      </c>
      <c r="V152">
        <f ca="1">IFERROR(IF(0=LEN(ReferenceData!$V$152),"",ReferenceData!$V$152),"")</f>
        <v>8.7044779160000001</v>
      </c>
      <c r="W152">
        <f ca="1">IFERROR(IF(0=LEN(ReferenceData!$W$152),"",ReferenceData!$W$152),"")</f>
        <v>5.1744391309999997</v>
      </c>
      <c r="X152">
        <f ca="1">IFERROR(IF(0=LEN(ReferenceData!$X$152),"",ReferenceData!$X$152),"")</f>
        <v>1.1435331230000001</v>
      </c>
      <c r="Y152">
        <f ca="1">IFERROR(IF(0=LEN(ReferenceData!$Y$152),"",ReferenceData!$Y$152),"")</f>
        <v>6.6603415559999997</v>
      </c>
      <c r="Z152">
        <f ca="1">IFERROR(IF(0=LEN(ReferenceData!$Z$152),"",ReferenceData!$Z$152),"")</f>
        <v>7.4236613829999998</v>
      </c>
      <c r="AA152">
        <f ca="1">IFERROR(IF(0=LEN(ReferenceData!$AA$152),"",ReferenceData!$AA$152),"")</f>
        <v>10.12186674</v>
      </c>
      <c r="AB152">
        <f ca="1">IFERROR(IF(0=LEN(ReferenceData!$AB$152),"",ReferenceData!$AB$152),"")</f>
        <v>14.21431892</v>
      </c>
      <c r="AC152">
        <f ca="1">IFERROR(IF(0=LEN(ReferenceData!$AC$152),"",ReferenceData!$AC$152),"")</f>
        <v>8.2770766069999997</v>
      </c>
      <c r="AD152">
        <f ca="1">IFERROR(IF(0=LEN(ReferenceData!$AD$152),"",ReferenceData!$AD$152),"")</f>
        <v>6.2768345569999999</v>
      </c>
      <c r="AE152">
        <f ca="1">IFERROR(IF(0=LEN(ReferenceData!$AE$152),"",ReferenceData!$AE$152),"")</f>
        <v>3.0087232589999999</v>
      </c>
      <c r="AF152">
        <f ca="1">IFERROR(IF(0=LEN(ReferenceData!$AF$152),"",ReferenceData!$AF$152),"")</f>
        <v>3.1608290989999999</v>
      </c>
      <c r="AG152">
        <f ca="1">IFERROR(IF(0=LEN(ReferenceData!$AG$152),"",ReferenceData!$AG$152),"")</f>
        <v>2.300024021</v>
      </c>
      <c r="AH152">
        <f ca="1">IFERROR(IF(0=LEN(ReferenceData!$AH$152),"",ReferenceData!$AH$152),"")</f>
        <v>-0.487984731</v>
      </c>
      <c r="AI152">
        <f ca="1">IFERROR(IF(0=LEN(ReferenceData!$AI$152),"",ReferenceData!$AI$152),"")</f>
        <v>-0.78528547000000004</v>
      </c>
      <c r="AJ152">
        <f ca="1">IFERROR(IF(0=LEN(ReferenceData!$AJ$152),"",ReferenceData!$AJ$152),"")</f>
        <v>1.8733968489999999</v>
      </c>
      <c r="AK152">
        <f ca="1">IFERROR(IF(0=LEN(ReferenceData!$AK$152),"",ReferenceData!$AK$152),"")</f>
        <v>2.2081050809999998</v>
      </c>
      <c r="AL152">
        <f ca="1">IFERROR(IF(0=LEN(ReferenceData!$AL$152),"",ReferenceData!$AL$152),"")</f>
        <v>5.5296164059999997</v>
      </c>
      <c r="AM152">
        <f ca="1">IFERROR(IF(0=LEN(ReferenceData!$AM$152),"",ReferenceData!$AM$152),"")</f>
        <v>3.6651763310000001</v>
      </c>
      <c r="AN152">
        <f ca="1">IFERROR(IF(0=LEN(ReferenceData!$AN$152),"",ReferenceData!$AN$152),"")</f>
        <v>-0.54287167700000005</v>
      </c>
      <c r="AO152">
        <f ca="1">IFERROR(IF(0=LEN(ReferenceData!$AO$152),"",ReferenceData!$AO$152),"")</f>
        <v>1.263285475</v>
      </c>
      <c r="AP152">
        <f ca="1">IFERROR(IF(0=LEN(ReferenceData!$AP$152),"",ReferenceData!$AP$152),"")</f>
        <v>3.7248059260000002</v>
      </c>
      <c r="AQ152">
        <f ca="1">IFERROR(IF(0=LEN(ReferenceData!$AQ$152),"",ReferenceData!$AQ$152),"")</f>
        <v>5.4832287930000003</v>
      </c>
      <c r="AR152">
        <f ca="1">IFERROR(IF(0=LEN(ReferenceData!$AR$152),"",ReferenceData!$AR$152),"")</f>
        <v>6.5901071509999998</v>
      </c>
      <c r="AS152">
        <f ca="1">IFERROR(IF(0=LEN(ReferenceData!$AS$152),"",ReferenceData!$AS$152),"")</f>
        <v>8.0152063180000006</v>
      </c>
      <c r="AT152">
        <f ca="1">IFERROR(IF(0=LEN(ReferenceData!$AT$152),"",ReferenceData!$AT$152),"")</f>
        <v>9.4217581050000003</v>
      </c>
      <c r="AU152">
        <f ca="1">IFERROR(IF(0=LEN(ReferenceData!$AU$152),"",ReferenceData!$AU$152),"")</f>
        <v>26.84730545</v>
      </c>
      <c r="AV152">
        <f ca="1">IFERROR(IF(0=LEN(ReferenceData!$AV$152),"",ReferenceData!$AV$152),"")</f>
        <v>10.06457934</v>
      </c>
      <c r="AW152">
        <f ca="1">IFERROR(IF(0=LEN(ReferenceData!$AW$152),"",ReferenceData!$AW$152),"")</f>
        <v>9.4475315729999991</v>
      </c>
      <c r="AX152">
        <f ca="1">IFERROR(IF(0=LEN(ReferenceData!$AX$152),"",ReferenceData!$AX$152),"")</f>
        <v>6.3004519390000002</v>
      </c>
      <c r="AY152">
        <f ca="1">IFERROR(IF(0=LEN(ReferenceData!$AY$152),"",ReferenceData!$AY$152),"")</f>
        <v>-7.1234457600000001</v>
      </c>
      <c r="AZ152">
        <f ca="1">IFERROR(IF(0=LEN(ReferenceData!$AZ$152),"",ReferenceData!$AZ$152),"")</f>
        <v>11.403848249999999</v>
      </c>
      <c r="BA152">
        <f ca="1">IFERROR(IF(0=LEN(ReferenceData!$BA$152),"",ReferenceData!$BA$152),"")</f>
        <v>8.2751556379999993</v>
      </c>
      <c r="BB152">
        <f ca="1">IFERROR(IF(0=LEN(ReferenceData!$BB$152),"",ReferenceData!$BB$152),"")</f>
        <v>6.6078560279999996</v>
      </c>
      <c r="BC152">
        <f ca="1">IFERROR(IF(0=LEN(ReferenceData!$BC$152),"",ReferenceData!$BC$152),"")</f>
        <v>6.2631679470000003</v>
      </c>
      <c r="BD152">
        <f ca="1">IFERROR(IF(0=LEN(ReferenceData!$BD$152),"",ReferenceData!$BD$152),"")</f>
        <v>1.4905381040000001</v>
      </c>
      <c r="BE152">
        <f ca="1">IFERROR(IF(0=LEN(ReferenceData!$BE$152),"",ReferenceData!$BE$152),"")</f>
        <v>0.28423821500000002</v>
      </c>
      <c r="BF152">
        <f ca="1">IFERROR(IF(0=LEN(ReferenceData!$BF$152),"",ReferenceData!$BF$152),"")</f>
        <v>5.9642519209999998</v>
      </c>
      <c r="BG152">
        <f ca="1">IFERROR(IF(0=LEN(ReferenceData!$BG$152),"",ReferenceData!$BG$152),"")</f>
        <v>2.2065639670000001</v>
      </c>
      <c r="BH152">
        <f ca="1">IFERROR(IF(0=LEN(ReferenceData!$BH$152),"",ReferenceData!$BH$152),"")</f>
        <v>13.83026287</v>
      </c>
      <c r="BI152">
        <f ca="1">IFERROR(IF(0=LEN(ReferenceData!$BI$152),"",ReferenceData!$BI$152),"")</f>
        <v>16.03999258</v>
      </c>
      <c r="BJ152">
        <f ca="1">IFERROR(IF(0=LEN(ReferenceData!$BJ$152),"",ReferenceData!$BJ$152),"")</f>
        <v>12.73884604</v>
      </c>
      <c r="BK152">
        <f ca="1">IFERROR(IF(0=LEN(ReferenceData!$BK$152),"",ReferenceData!$BK$152),"")</f>
        <v>16.170543299999999</v>
      </c>
      <c r="BL152">
        <f ca="1">IFERROR(IF(0=LEN(ReferenceData!$BL$152),"",ReferenceData!$BL$152),"")</f>
        <v>11.35664407</v>
      </c>
      <c r="BM152">
        <f ca="1">IFERROR(IF(0=LEN(ReferenceData!$BM$152),"",ReferenceData!$BM$152),"")</f>
        <v>13.953948410000001</v>
      </c>
    </row>
    <row r="153" spans="1:65">
      <c r="A153" t="str">
        <f>IFERROR(IF(0=LEN(ReferenceData!$A$153),"",ReferenceData!$A$153),"")</f>
        <v xml:space="preserve">    Kimco Realty Corp</v>
      </c>
      <c r="B153" t="str">
        <f>IFERROR(IF(0=LEN(ReferenceData!$B$153),"",ReferenceData!$B$153),"")</f>
        <v>KIM US Equity</v>
      </c>
      <c r="C153" t="str">
        <f>IFERROR(IF(0=LEN(ReferenceData!$C$153),"",ReferenceData!$C$153),"")</f>
        <v>RR033</v>
      </c>
      <c r="D153" t="str">
        <f>IFERROR(IF(0=LEN(ReferenceData!$D$153),"",ReferenceData!$D$153),"")</f>
        <v>SALES_GROWTH</v>
      </c>
      <c r="E153" t="str">
        <f>IFERROR(IF(0=LEN(ReferenceData!$E$153),"",ReferenceData!$E$153),"")</f>
        <v>动态</v>
      </c>
      <c r="F153" t="str">
        <f ca="1">IFERROR(IF(0=LEN(ReferenceData!$F$153),"",ReferenceData!$F$153),"")</f>
        <v/>
      </c>
      <c r="G153">
        <f ca="1">IFERROR(IF(0=LEN(ReferenceData!$G$153),"",ReferenceData!$G$153),"")</f>
        <v>6.127073051</v>
      </c>
      <c r="H153">
        <f ca="1">IFERROR(IF(0=LEN(ReferenceData!$H$153),"",ReferenceData!$H$153),"")</f>
        <v>3.4268054829999999</v>
      </c>
      <c r="I153">
        <f ca="1">IFERROR(IF(0=LEN(ReferenceData!$I$153),"",ReferenceData!$I$153),"")</f>
        <v>1.9513667800000001</v>
      </c>
      <c r="J153">
        <f ca="1">IFERROR(IF(0=LEN(ReferenceData!$J$153),"",ReferenceData!$J$153),"")</f>
        <v>-1.216007968</v>
      </c>
      <c r="K153">
        <f ca="1">IFERROR(IF(0=LEN(ReferenceData!$K$153),"",ReferenceData!$K$153),"")</f>
        <v>-1.277628212</v>
      </c>
      <c r="L153">
        <f ca="1">IFERROR(IF(0=LEN(ReferenceData!$L$153),"",ReferenceData!$L$153),"")</f>
        <v>-1.1463961</v>
      </c>
      <c r="M153">
        <f ca="1">IFERROR(IF(0=LEN(ReferenceData!$M$153),"",ReferenceData!$M$153),"")</f>
        <v>-0.87498852299999996</v>
      </c>
      <c r="N153">
        <f ca="1">IFERROR(IF(0=LEN(ReferenceData!$N$153),"",ReferenceData!$N$153),"")</f>
        <v>4.849429894</v>
      </c>
      <c r="O153">
        <f ca="1">IFERROR(IF(0=LEN(ReferenceData!$O$153),"",ReferenceData!$O$153),"")</f>
        <v>13.745312119999999</v>
      </c>
      <c r="P153">
        <f ca="1">IFERROR(IF(0=LEN(ReferenceData!$P$153),"",ReferenceData!$P$153),"")</f>
        <v>12.98729793</v>
      </c>
      <c r="Q153">
        <f ca="1">IFERROR(IF(0=LEN(ReferenceData!$Q$153),"",ReferenceData!$Q$153),"")</f>
        <v>19.55740411</v>
      </c>
      <c r="R153">
        <f ca="1">IFERROR(IF(0=LEN(ReferenceData!$R$153),"",ReferenceData!$R$153),"")</f>
        <v>24.217657859999999</v>
      </c>
      <c r="S153">
        <f ca="1">IFERROR(IF(0=LEN(ReferenceData!$S$153),"",ReferenceData!$S$153),"")</f>
        <v>16.56259502</v>
      </c>
      <c r="T153">
        <f ca="1">IFERROR(IF(0=LEN(ReferenceData!$T$153),"",ReferenceData!$T$153),"")</f>
        <v>15.249048370000001</v>
      </c>
      <c r="U153">
        <f ca="1">IFERROR(IF(0=LEN(ReferenceData!$U$153),"",ReferenceData!$U$153),"")</f>
        <v>-6.9069751999999998E-2</v>
      </c>
      <c r="V153">
        <f ca="1">IFERROR(IF(0=LEN(ReferenceData!$V$153),"",ReferenceData!$V$153),"")</f>
        <v>0.51890844199999997</v>
      </c>
      <c r="W153">
        <f ca="1">IFERROR(IF(0=LEN(ReferenceData!$W$153),"",ReferenceData!$W$153),"")</f>
        <v>-0.19264178700000001</v>
      </c>
      <c r="X153">
        <f ca="1">IFERROR(IF(0=LEN(ReferenceData!$X$153),"",ReferenceData!$X$153),"")</f>
        <v>-0.62818861800000003</v>
      </c>
      <c r="Y153">
        <f ca="1">IFERROR(IF(0=LEN(ReferenceData!$Y$153),"",ReferenceData!$Y$153),"")</f>
        <v>8.6566689770000007</v>
      </c>
      <c r="Z153">
        <f ca="1">IFERROR(IF(0=LEN(ReferenceData!$Z$153),"",ReferenceData!$Z$153),"")</f>
        <v>1.3509591990000001</v>
      </c>
      <c r="AA153">
        <f ca="1">IFERROR(IF(0=LEN(ReferenceData!$AA$153),"",ReferenceData!$AA$153),"")</f>
        <v>2.9001117860000001</v>
      </c>
      <c r="AB153">
        <f ca="1">IFERROR(IF(0=LEN(ReferenceData!$AB$153),"",ReferenceData!$AB$153),"")</f>
        <v>4.6182372960000002</v>
      </c>
      <c r="AC153">
        <f ca="1">IFERROR(IF(0=LEN(ReferenceData!$AC$153),"",ReferenceData!$AC$153),"")</f>
        <v>2.9285603930000002</v>
      </c>
      <c r="AD153">
        <f ca="1">IFERROR(IF(0=LEN(ReferenceData!$AD$153),"",ReferenceData!$AD$153),"")</f>
        <v>-0.50946983199999996</v>
      </c>
      <c r="AE153">
        <f ca="1">IFERROR(IF(0=LEN(ReferenceData!$AE$153),"",ReferenceData!$AE$153),"")</f>
        <v>-0.90725625600000004</v>
      </c>
      <c r="AF153">
        <f ca="1">IFERROR(IF(0=LEN(ReferenceData!$AF$153),"",ReferenceData!$AF$153),"")</f>
        <v>-3.1836567740000001</v>
      </c>
      <c r="AG153">
        <f ca="1">IFERROR(IF(0=LEN(ReferenceData!$AG$153),"",ReferenceData!$AG$153),"")</f>
        <v>-1.105449055</v>
      </c>
      <c r="AH153">
        <f ca="1">IFERROR(IF(0=LEN(ReferenceData!$AH$153),"",ReferenceData!$AH$153),"")</f>
        <v>-0.78049597400000004</v>
      </c>
      <c r="AI153">
        <f ca="1">IFERROR(IF(0=LEN(ReferenceData!$AI$153),"",ReferenceData!$AI$153),"")</f>
        <v>-2.2733348819999999</v>
      </c>
      <c r="AJ153">
        <f ca="1">IFERROR(IF(0=LEN(ReferenceData!$AJ$153),"",ReferenceData!$AJ$153),"")</f>
        <v>3.1585659160000001</v>
      </c>
      <c r="AK153">
        <f ca="1">IFERROR(IF(0=LEN(ReferenceData!$AK$153),"",ReferenceData!$AK$153),"")</f>
        <v>5.2274693939999999</v>
      </c>
      <c r="AL153">
        <f ca="1">IFERROR(IF(0=LEN(ReferenceData!$AL$153),"",ReferenceData!$AL$153),"")</f>
        <v>5.019392582</v>
      </c>
      <c r="AM153">
        <f ca="1">IFERROR(IF(0=LEN(ReferenceData!$AM$153),"",ReferenceData!$AM$153),"")</f>
        <v>2.4231378690000001</v>
      </c>
      <c r="AN153">
        <f ca="1">IFERROR(IF(0=LEN(ReferenceData!$AN$153),"",ReferenceData!$AN$153),"")</f>
        <v>-8.0946574229999992</v>
      </c>
      <c r="AO153">
        <f ca="1">IFERROR(IF(0=LEN(ReferenceData!$AO$153),"",ReferenceData!$AO$153),"")</f>
        <v>-8.5001622500000007</v>
      </c>
      <c r="AP153">
        <f ca="1">IFERROR(IF(0=LEN(ReferenceData!$AP$153),"",ReferenceData!$AP$153),"")</f>
        <v>-4.131798699</v>
      </c>
      <c r="AQ153">
        <f ca="1">IFERROR(IF(0=LEN(ReferenceData!$AQ$153),"",ReferenceData!$AQ$153),"")</f>
        <v>14.84299685</v>
      </c>
      <c r="AR153">
        <f ca="1">IFERROR(IF(0=LEN(ReferenceData!$AR$153),"",ReferenceData!$AR$153),"")</f>
        <v>11.113292189999999</v>
      </c>
      <c r="AS153">
        <f ca="1">IFERROR(IF(0=LEN(ReferenceData!$AS$153),"",ReferenceData!$AS$153),"")</f>
        <v>5.0415394119999997</v>
      </c>
      <c r="AT153">
        <f ca="1">IFERROR(IF(0=LEN(ReferenceData!$AT$153),"",ReferenceData!$AT$153),"")</f>
        <v>16.786195459999998</v>
      </c>
      <c r="AU153">
        <f ca="1">IFERROR(IF(0=LEN(ReferenceData!$AU$153),"",ReferenceData!$AU$153),"")</f>
        <v>-3.545376342</v>
      </c>
      <c r="AV153">
        <f ca="1">IFERROR(IF(0=LEN(ReferenceData!$AV$153),"",ReferenceData!$AV$153),"")</f>
        <v>40.062632440000002</v>
      </c>
      <c r="AW153">
        <f ca="1">IFERROR(IF(0=LEN(ReferenceData!$AW$153),"",ReferenceData!$AW$153),"")</f>
        <v>13.11187193</v>
      </c>
      <c r="AX153">
        <f ca="1">IFERROR(IF(0=LEN(ReferenceData!$AX$153),"",ReferenceData!$AX$153),"")</f>
        <v>15.514000790000001</v>
      </c>
      <c r="AY153">
        <f ca="1">IFERROR(IF(0=LEN(ReferenceData!$AY$153),"",ReferenceData!$AY$153),"")</f>
        <v>30.42804332</v>
      </c>
      <c r="AZ153">
        <f ca="1">IFERROR(IF(0=LEN(ReferenceData!$AZ$153),"",ReferenceData!$AZ$153),"")</f>
        <v>2.2209426670000001</v>
      </c>
      <c r="BA153">
        <f ca="1">IFERROR(IF(0=LEN(ReferenceData!$BA$153),"",ReferenceData!$BA$153),"")</f>
        <v>21.167537670000002</v>
      </c>
      <c r="BB153">
        <f ca="1">IFERROR(IF(0=LEN(ReferenceData!$BB$153),"",ReferenceData!$BB$153),"")</f>
        <v>6.6262445750000003</v>
      </c>
      <c r="BC153">
        <f ca="1">IFERROR(IF(0=LEN(ReferenceData!$BC$153),"",ReferenceData!$BC$153),"")</f>
        <v>3.7059456549999998</v>
      </c>
      <c r="BD153">
        <f ca="1">IFERROR(IF(0=LEN(ReferenceData!$BD$153),"",ReferenceData!$BD$153),"")</f>
        <v>2.0867447619999999</v>
      </c>
      <c r="BE153">
        <f ca="1">IFERROR(IF(0=LEN(ReferenceData!$BE$153),"",ReferenceData!$BE$153),"")</f>
        <v>13.86674421</v>
      </c>
      <c r="BF153">
        <f ca="1">IFERROR(IF(0=LEN(ReferenceData!$BF$153),"",ReferenceData!$BF$153),"")</f>
        <v>4.9796312179999997</v>
      </c>
      <c r="BG153">
        <f ca="1">IFERROR(IF(0=LEN(ReferenceData!$BG$153),"",ReferenceData!$BG$153),"")</f>
        <v>6.666284042</v>
      </c>
      <c r="BH153">
        <f ca="1">IFERROR(IF(0=LEN(ReferenceData!$BH$153),"",ReferenceData!$BH$153),"")</f>
        <v>4.0990758359999999</v>
      </c>
      <c r="BI153">
        <f ca="1">IFERROR(IF(0=LEN(ReferenceData!$BI$153),"",ReferenceData!$BI$153),"")</f>
        <v>12.80984462</v>
      </c>
      <c r="BJ153">
        <f ca="1">IFERROR(IF(0=LEN(ReferenceData!$BJ$153),"",ReferenceData!$BJ$153),"")</f>
        <v>16.649211390000001</v>
      </c>
      <c r="BK153">
        <f ca="1">IFERROR(IF(0=LEN(ReferenceData!$BK$153),"",ReferenceData!$BK$153),"")</f>
        <v>10.217763059999999</v>
      </c>
      <c r="BL153">
        <f ca="1">IFERROR(IF(0=LEN(ReferenceData!$BL$153),"",ReferenceData!$BL$153),"")</f>
        <v>20.123728010000001</v>
      </c>
      <c r="BM153">
        <f ca="1">IFERROR(IF(0=LEN(ReferenceData!$BM$153),"",ReferenceData!$BM$153),"")</f>
        <v>8.5770878039999996</v>
      </c>
    </row>
    <row r="154" spans="1:65">
      <c r="A154" t="str">
        <f>IFERROR(IF(0=LEN(ReferenceData!$A$154),"",ReferenceData!$A$154),"")</f>
        <v xml:space="preserve">    National Retail Properties Inc</v>
      </c>
      <c r="B154" t="str">
        <f>IFERROR(IF(0=LEN(ReferenceData!$B$154),"",ReferenceData!$B$154),"")</f>
        <v>NNN US Equity</v>
      </c>
      <c r="C154" t="str">
        <f>IFERROR(IF(0=LEN(ReferenceData!$C$154),"",ReferenceData!$C$154),"")</f>
        <v>RR033</v>
      </c>
      <c r="D154" t="str">
        <f>IFERROR(IF(0=LEN(ReferenceData!$D$154),"",ReferenceData!$D$154),"")</f>
        <v>SALES_GROWTH</v>
      </c>
      <c r="E154" t="str">
        <f>IFERROR(IF(0=LEN(ReferenceData!$E$154),"",ReferenceData!$E$154),"")</f>
        <v>动态</v>
      </c>
      <c r="F154" t="str">
        <f ca="1">IFERROR(IF(0=LEN(ReferenceData!$F$154),"",ReferenceData!$F$154),"")</f>
        <v/>
      </c>
      <c r="G154">
        <f ca="1">IFERROR(IF(0=LEN(ReferenceData!$G$154),"",ReferenceData!$G$154),"")</f>
        <v>6.4079773940000004</v>
      </c>
      <c r="H154">
        <f ca="1">IFERROR(IF(0=LEN(ReferenceData!$H$154),"",ReferenceData!$H$154),"")</f>
        <v>9.7843779959999999</v>
      </c>
      <c r="I154">
        <f ca="1">IFERROR(IF(0=LEN(ReferenceData!$I$154),"",ReferenceData!$I$154),"")</f>
        <v>11.169668359999999</v>
      </c>
      <c r="J154">
        <f ca="1">IFERROR(IF(0=LEN(ReferenceData!$J$154),"",ReferenceData!$J$154),"")</f>
        <v>11.38131989</v>
      </c>
      <c r="K154">
        <f ca="1">IFERROR(IF(0=LEN(ReferenceData!$K$154),"",ReferenceData!$K$154),"")</f>
        <v>11.72839995</v>
      </c>
      <c r="L154">
        <f ca="1">IFERROR(IF(0=LEN(ReferenceData!$L$154),"",ReferenceData!$L$154),"")</f>
        <v>9.2559057360000008</v>
      </c>
      <c r="M154">
        <f ca="1">IFERROR(IF(0=LEN(ReferenceData!$M$154),"",ReferenceData!$M$154),"")</f>
        <v>11.70397925</v>
      </c>
      <c r="N154">
        <f ca="1">IFERROR(IF(0=LEN(ReferenceData!$N$154),"",ReferenceData!$N$154),"")</f>
        <v>9.2893352960000009</v>
      </c>
      <c r="O154">
        <f ca="1">IFERROR(IF(0=LEN(ReferenceData!$O$154),"",ReferenceData!$O$154),"")</f>
        <v>9.5928543550000001</v>
      </c>
      <c r="P154">
        <f ca="1">IFERROR(IF(0=LEN(ReferenceData!$P$154),"",ReferenceData!$P$154),"")</f>
        <v>12.094924260000001</v>
      </c>
      <c r="Q154">
        <f ca="1">IFERROR(IF(0=LEN(ReferenceData!$Q$154),"",ReferenceData!$Q$154),"")</f>
        <v>10.978762079999999</v>
      </c>
      <c r="R154">
        <f ca="1">IFERROR(IF(0=LEN(ReferenceData!$R$154),"",ReferenceData!$R$154),"")</f>
        <v>11.64956181</v>
      </c>
      <c r="S154">
        <f ca="1">IFERROR(IF(0=LEN(ReferenceData!$S$154),"",ReferenceData!$S$154),"")</f>
        <v>10.88833756</v>
      </c>
      <c r="T154">
        <f ca="1">IFERROR(IF(0=LEN(ReferenceData!$T$154),"",ReferenceData!$T$154),"")</f>
        <v>9.1780045910000005</v>
      </c>
      <c r="U154">
        <f ca="1">IFERROR(IF(0=LEN(ReferenceData!$U$154),"",ReferenceData!$U$154),"")</f>
        <v>9.6765148760000006</v>
      </c>
      <c r="V154">
        <f ca="1">IFERROR(IF(0=LEN(ReferenceData!$V$154),"",ReferenceData!$V$154),"")</f>
        <v>12.545423080000001</v>
      </c>
      <c r="W154">
        <f ca="1">IFERROR(IF(0=LEN(ReferenceData!$W$154),"",ReferenceData!$W$154),"")</f>
        <v>16.76753613</v>
      </c>
      <c r="X154">
        <f ca="1">IFERROR(IF(0=LEN(ReferenceData!$X$154),"",ReferenceData!$X$154),"")</f>
        <v>19.231908619999999</v>
      </c>
      <c r="Y154">
        <f ca="1">IFERROR(IF(0=LEN(ReferenceData!$Y$154),"",ReferenceData!$Y$154),"")</f>
        <v>8.208787504</v>
      </c>
      <c r="Z154">
        <f ca="1">IFERROR(IF(0=LEN(ReferenceData!$Z$154),"",ReferenceData!$Z$154),"")</f>
        <v>4.3505738689999998</v>
      </c>
      <c r="AA154">
        <f ca="1">IFERROR(IF(0=LEN(ReferenceData!$AA$154),"",ReferenceData!$AA$154),"")</f>
        <v>5.5263937439999999</v>
      </c>
      <c r="AB154">
        <f ca="1">IFERROR(IF(0=LEN(ReferenceData!$AB$154),"",ReferenceData!$AB$154),"")</f>
        <v>6.7862023589999998</v>
      </c>
      <c r="AC154">
        <f ca="1">IFERROR(IF(0=LEN(ReferenceData!$AC$154),"",ReferenceData!$AC$154),"")</f>
        <v>19.747022810000001</v>
      </c>
      <c r="AD154">
        <f ca="1">IFERROR(IF(0=LEN(ReferenceData!$AD$154),"",ReferenceData!$AD$154),"")</f>
        <v>25.902612999999999</v>
      </c>
      <c r="AE154">
        <f ca="1">IFERROR(IF(0=LEN(ReferenceData!$AE$154),"",ReferenceData!$AE$154),"")</f>
        <v>24.081098570000002</v>
      </c>
      <c r="AF154">
        <f ca="1">IFERROR(IF(0=LEN(ReferenceData!$AF$154),"",ReferenceData!$AF$154),"")</f>
        <v>20.60188011</v>
      </c>
      <c r="AG154">
        <f ca="1">IFERROR(IF(0=LEN(ReferenceData!$AG$154),"",ReferenceData!$AG$154),"")</f>
        <v>14.14111937</v>
      </c>
      <c r="AH154">
        <f ca="1">IFERROR(IF(0=LEN(ReferenceData!$AH$154),"",ReferenceData!$AH$154),"")</f>
        <v>11.65952721</v>
      </c>
      <c r="AI154">
        <f ca="1">IFERROR(IF(0=LEN(ReferenceData!$AI$154),"",ReferenceData!$AI$154),"")</f>
        <v>3.3913506120000001</v>
      </c>
      <c r="AJ154">
        <f ca="1">IFERROR(IF(0=LEN(ReferenceData!$AJ$154),"",ReferenceData!$AJ$154),"")</f>
        <v>1.6915484649999999</v>
      </c>
      <c r="AK154">
        <f ca="1">IFERROR(IF(0=LEN(ReferenceData!$AK$154),"",ReferenceData!$AK$154),"")</f>
        <v>11.898255560000001</v>
      </c>
      <c r="AL154">
        <f ca="1">IFERROR(IF(0=LEN(ReferenceData!$AL$154),"",ReferenceData!$AL$154),"")</f>
        <v>8.3175803399999992</v>
      </c>
      <c r="AM154">
        <f ca="1">IFERROR(IF(0=LEN(ReferenceData!$AM$154),"",ReferenceData!$AM$154),"")</f>
        <v>14.50029589</v>
      </c>
      <c r="AN154">
        <f ca="1">IFERROR(IF(0=LEN(ReferenceData!$AN$154),"",ReferenceData!$AN$154),"")</f>
        <v>10.15795952</v>
      </c>
      <c r="AO154">
        <f ca="1">IFERROR(IF(0=LEN(ReferenceData!$AO$154),"",ReferenceData!$AO$154),"")</f>
        <v>3.2216289100000002</v>
      </c>
      <c r="AP154">
        <f ca="1">IFERROR(IF(0=LEN(ReferenceData!$AP$154),"",ReferenceData!$AP$154),"")</f>
        <v>7.7413023760000002</v>
      </c>
      <c r="AQ154">
        <f ca="1">IFERROR(IF(0=LEN(ReferenceData!$AQ$154),"",ReferenceData!$AQ$154),"")</f>
        <v>22.62870315</v>
      </c>
      <c r="AR154">
        <f ca="1">IFERROR(IF(0=LEN(ReferenceData!$AR$154),"",ReferenceData!$AR$154),"")</f>
        <v>25.624946309999999</v>
      </c>
      <c r="AS154">
        <f ca="1">IFERROR(IF(0=LEN(ReferenceData!$AS$154),"",ReferenceData!$AS$154),"")</f>
        <v>22.482727359999998</v>
      </c>
      <c r="AT154">
        <f ca="1">IFERROR(IF(0=LEN(ReferenceData!$AT$154),"",ReferenceData!$AT$154),"")</f>
        <v>30.34003427</v>
      </c>
      <c r="AU154">
        <f ca="1">IFERROR(IF(0=LEN(ReferenceData!$AU$154),"",ReferenceData!$AU$154),"")</f>
        <v>26.047894289999999</v>
      </c>
      <c r="AV154">
        <f ca="1">IFERROR(IF(0=LEN(ReferenceData!$AV$154),"",ReferenceData!$AV$154),"")</f>
        <v>29.6325167</v>
      </c>
      <c r="AW154">
        <f ca="1">IFERROR(IF(0=LEN(ReferenceData!$AW$154),"",ReferenceData!$AW$154),"")</f>
        <v>29.41341602</v>
      </c>
      <c r="AX154">
        <f ca="1">IFERROR(IF(0=LEN(ReferenceData!$AX$154),"",ReferenceData!$AX$154),"")</f>
        <v>14.088656390000001</v>
      </c>
      <c r="AY154">
        <f ca="1">IFERROR(IF(0=LEN(ReferenceData!$AY$154),"",ReferenceData!$AY$154),"")</f>
        <v>25.47258128</v>
      </c>
      <c r="AZ154">
        <f ca="1">IFERROR(IF(0=LEN(ReferenceData!$AZ$154),"",ReferenceData!$AZ$154),"")</f>
        <v>11.587454279999999</v>
      </c>
      <c r="BA154">
        <f ca="1">IFERROR(IF(0=LEN(ReferenceData!$BA$154),"",ReferenceData!$BA$154),"")</f>
        <v>14.1087734</v>
      </c>
      <c r="BB154">
        <f ca="1">IFERROR(IF(0=LEN(ReferenceData!$BB$154),"",ReferenceData!$BB$154),"")</f>
        <v>32.159231499999997</v>
      </c>
      <c r="BC154">
        <f ca="1">IFERROR(IF(0=LEN(ReferenceData!$BC$154),"",ReferenceData!$BC$154),"")</f>
        <v>-8.9892456240000005</v>
      </c>
      <c r="BD154">
        <f ca="1">IFERROR(IF(0=LEN(ReferenceData!$BD$154),"",ReferenceData!$BD$154),"")</f>
        <v>2.0058897450000002</v>
      </c>
      <c r="BE154">
        <f ca="1">IFERROR(IF(0=LEN(ReferenceData!$BE$154),"",ReferenceData!$BE$154),"")</f>
        <v>-3.5288626669999998</v>
      </c>
      <c r="BF154">
        <f ca="1">IFERROR(IF(0=LEN(ReferenceData!$BF$154),"",ReferenceData!$BF$154),"")</f>
        <v>-15.46861062</v>
      </c>
      <c r="BG154">
        <f ca="1">IFERROR(IF(0=LEN(ReferenceData!$BG$154),"",ReferenceData!$BG$154),"")</f>
        <v>16.378848009999999</v>
      </c>
      <c r="BH154">
        <f ca="1">IFERROR(IF(0=LEN(ReferenceData!$BH$154),"",ReferenceData!$BH$154),"")</f>
        <v>11.300388979999999</v>
      </c>
      <c r="BI154">
        <f ca="1">IFERROR(IF(0=LEN(ReferenceData!$BI$154),"",ReferenceData!$BI$154),"")</f>
        <v>40.468736409999998</v>
      </c>
      <c r="BJ154">
        <f ca="1">IFERROR(IF(0=LEN(ReferenceData!$BJ$154),"",ReferenceData!$BJ$154),"")</f>
        <v>32.871505640000002</v>
      </c>
      <c r="BK154">
        <f ca="1">IFERROR(IF(0=LEN(ReferenceData!$BK$154),"",ReferenceData!$BK$154),"")</f>
        <v>29.1632031</v>
      </c>
      <c r="BL154">
        <f ca="1">IFERROR(IF(0=LEN(ReferenceData!$BL$154),"",ReferenceData!$BL$154),"")</f>
        <v>21.59798142</v>
      </c>
      <c r="BM154">
        <f ca="1">IFERROR(IF(0=LEN(ReferenceData!$BM$154),"",ReferenceData!$BM$154),"")</f>
        <v>2.5277528880000002</v>
      </c>
    </row>
    <row r="155" spans="1:65">
      <c r="A155" t="str">
        <f>IFERROR(IF(0=LEN(ReferenceData!$A$155),"",ReferenceData!$A$155),"")</f>
        <v xml:space="preserve">    Realty Income Corp</v>
      </c>
      <c r="B155" t="str">
        <f>IFERROR(IF(0=LEN(ReferenceData!$B$155),"",ReferenceData!$B$155),"")</f>
        <v>O US Equity</v>
      </c>
      <c r="C155" t="str">
        <f>IFERROR(IF(0=LEN(ReferenceData!$C$155),"",ReferenceData!$C$155),"")</f>
        <v>RR033</v>
      </c>
      <c r="D155" t="str">
        <f>IFERROR(IF(0=LEN(ReferenceData!$D$155),"",ReferenceData!$D$155),"")</f>
        <v>SALES_GROWTH</v>
      </c>
      <c r="E155" t="str">
        <f>IFERROR(IF(0=LEN(ReferenceData!$E$155),"",ReferenceData!$E$155),"")</f>
        <v>动态</v>
      </c>
      <c r="F155" t="str">
        <f ca="1">IFERROR(IF(0=LEN(ReferenceData!$F$155),"",ReferenceData!$F$155),"")</f>
        <v/>
      </c>
      <c r="G155">
        <f ca="1">IFERROR(IF(0=LEN(ReferenceData!$G$155),"",ReferenceData!$G$155),"")</f>
        <v>7.9248062309999998</v>
      </c>
      <c r="H155">
        <f ca="1">IFERROR(IF(0=LEN(ReferenceData!$H$155),"",ReferenceData!$H$155),"")</f>
        <v>10.731886830000001</v>
      </c>
      <c r="I155">
        <f ca="1">IFERROR(IF(0=LEN(ReferenceData!$I$155),"",ReferenceData!$I$155),"")</f>
        <v>10.74789975</v>
      </c>
      <c r="J155">
        <f ca="1">IFERROR(IF(0=LEN(ReferenceData!$J$155),"",ReferenceData!$J$155),"")</f>
        <v>11.57137723</v>
      </c>
      <c r="K155">
        <f ca="1">IFERROR(IF(0=LEN(ReferenceData!$K$155),"",ReferenceData!$K$155),"")</f>
        <v>9.1687273390000001</v>
      </c>
      <c r="L155">
        <f ca="1">IFERROR(IF(0=LEN(ReferenceData!$L$155),"",ReferenceData!$L$155),"")</f>
        <v>7.0628725049999996</v>
      </c>
      <c r="M155">
        <f ca="1">IFERROR(IF(0=LEN(ReferenceData!$M$155),"",ReferenceData!$M$155),"")</f>
        <v>6.7671157329999998</v>
      </c>
      <c r="N155">
        <f ca="1">IFERROR(IF(0=LEN(ReferenceData!$N$155),"",ReferenceData!$N$155),"")</f>
        <v>8.2023923809999992</v>
      </c>
      <c r="O155">
        <f ca="1">IFERROR(IF(0=LEN(ReferenceData!$O$155),"",ReferenceData!$O$155),"")</f>
        <v>6.5011128029999998</v>
      </c>
      <c r="P155">
        <f ca="1">IFERROR(IF(0=LEN(ReferenceData!$P$155),"",ReferenceData!$P$155),"")</f>
        <v>9.8322960550000005</v>
      </c>
      <c r="Q155">
        <f ca="1">IFERROR(IF(0=LEN(ReferenceData!$Q$155),"",ReferenceData!$Q$155),"")</f>
        <v>11.02752727</v>
      </c>
      <c r="R155">
        <f ca="1">IFERROR(IF(0=LEN(ReferenceData!$R$155),"",ReferenceData!$R$155),"")</f>
        <v>11.41615367</v>
      </c>
      <c r="S155">
        <f ca="1">IFERROR(IF(0=LEN(ReferenceData!$S$155),"",ReferenceData!$S$155),"")</f>
        <v>14.530701369999999</v>
      </c>
      <c r="T155">
        <f ca="1">IFERROR(IF(0=LEN(ReferenceData!$T$155),"",ReferenceData!$T$155),"")</f>
        <v>16.642831340000001</v>
      </c>
      <c r="U155">
        <f ca="1">IFERROR(IF(0=LEN(ReferenceData!$U$155),"",ReferenceData!$U$155),"")</f>
        <v>22.635872630000001</v>
      </c>
      <c r="V155">
        <f ca="1">IFERROR(IF(0=LEN(ReferenceData!$V$155),"",ReferenceData!$V$155),"")</f>
        <v>26.23602739</v>
      </c>
      <c r="W155">
        <f ca="1">IFERROR(IF(0=LEN(ReferenceData!$W$155),"",ReferenceData!$W$155),"")</f>
        <v>62.769666350000001</v>
      </c>
      <c r="X155">
        <f ca="1">IFERROR(IF(0=LEN(ReferenceData!$X$155),"",ReferenceData!$X$155),"")</f>
        <v>72.499125050000004</v>
      </c>
      <c r="Y155">
        <f ca="1">IFERROR(IF(0=LEN(ReferenceData!$Y$155),"",ReferenceData!$Y$155),"")</f>
        <v>64.799837359999998</v>
      </c>
      <c r="Z155">
        <f ca="1">IFERROR(IF(0=LEN(ReferenceData!$Z$155),"",ReferenceData!$Z$155),"")</f>
        <v>56.29045902</v>
      </c>
      <c r="AA155">
        <f ca="1">IFERROR(IF(0=LEN(ReferenceData!$AA$155),"",ReferenceData!$AA$155),"")</f>
        <v>18.83405664</v>
      </c>
      <c r="AB155">
        <f ca="1">IFERROR(IF(0=LEN(ReferenceData!$AB$155),"",ReferenceData!$AB$155),"")</f>
        <v>10.27864069</v>
      </c>
      <c r="AC155">
        <f ca="1">IFERROR(IF(0=LEN(ReferenceData!$AC$155),"",ReferenceData!$AC$155),"")</f>
        <v>11.329462700000001</v>
      </c>
      <c r="AD155">
        <f ca="1">IFERROR(IF(0=LEN(ReferenceData!$AD$155),"",ReferenceData!$AD$155),"")</f>
        <v>15.440360180000001</v>
      </c>
      <c r="AE155">
        <f ca="1">IFERROR(IF(0=LEN(ReferenceData!$AE$155),"",ReferenceData!$AE$155),"")</f>
        <v>21.150197840000001</v>
      </c>
      <c r="AF155">
        <f ca="1">IFERROR(IF(0=LEN(ReferenceData!$AF$155),"",ReferenceData!$AF$155),"")</f>
        <v>22.33828153</v>
      </c>
      <c r="AG155">
        <f ca="1">IFERROR(IF(0=LEN(ReferenceData!$AG$155),"",ReferenceData!$AG$155),"")</f>
        <v>23.329732880000002</v>
      </c>
      <c r="AH155">
        <f ca="1">IFERROR(IF(0=LEN(ReferenceData!$AH$155),"",ReferenceData!$AH$155),"")</f>
        <v>17.75157956</v>
      </c>
      <c r="AI155">
        <f ca="1">IFERROR(IF(0=LEN(ReferenceData!$AI$155),"",ReferenceData!$AI$155),"")</f>
        <v>13.482026429999999</v>
      </c>
      <c r="AJ155">
        <f ca="1">IFERROR(IF(0=LEN(ReferenceData!$AJ$155),"",ReferenceData!$AJ$155),"")</f>
        <v>6.5919497199999997</v>
      </c>
      <c r="AK155">
        <f ca="1">IFERROR(IF(0=LEN(ReferenceData!$AK$155),"",ReferenceData!$AK$155),"")</f>
        <v>1.3480768990000001</v>
      </c>
      <c r="AL155">
        <f ca="1">IFERROR(IF(0=LEN(ReferenceData!$AL$155),"",ReferenceData!$AL$155),"")</f>
        <v>0.104202007</v>
      </c>
      <c r="AM155">
        <f ca="1">IFERROR(IF(0=LEN(ReferenceData!$AM$155),"",ReferenceData!$AM$155),"")</f>
        <v>-1.1155310629999999</v>
      </c>
      <c r="AN155">
        <f ca="1">IFERROR(IF(0=LEN(ReferenceData!$AN$155),"",ReferenceData!$AN$155),"")</f>
        <v>-0.924315581</v>
      </c>
      <c r="AO155">
        <f ca="1">IFERROR(IF(0=LEN(ReferenceData!$AO$155),"",ReferenceData!$AO$155),"")</f>
        <v>-0.92734761499999996</v>
      </c>
      <c r="AP155">
        <f ca="1">IFERROR(IF(0=LEN(ReferenceData!$AP$155),"",ReferenceData!$AP$155),"")</f>
        <v>-0.18986806000000001</v>
      </c>
      <c r="AQ155">
        <f ca="1">IFERROR(IF(0=LEN(ReferenceData!$AQ$155),"",ReferenceData!$AQ$155),"")</f>
        <v>2.6062535109999998</v>
      </c>
      <c r="AR155">
        <f ca="1">IFERROR(IF(0=LEN(ReferenceData!$AR$155),"",ReferenceData!$AR$155),"")</f>
        <v>11.834548099999999</v>
      </c>
      <c r="AS155">
        <f ca="1">IFERROR(IF(0=LEN(ReferenceData!$AS$155),"",ReferenceData!$AS$155),"")</f>
        <v>16.689660239999998</v>
      </c>
      <c r="AT155">
        <f ca="1">IFERROR(IF(0=LEN(ReferenceData!$AT$155),"",ReferenceData!$AT$155),"")</f>
        <v>15.92457591</v>
      </c>
      <c r="AU155">
        <f ca="1">IFERROR(IF(0=LEN(ReferenceData!$AU$155),"",ReferenceData!$AU$155),"")</f>
        <v>16.483468550000001</v>
      </c>
      <c r="AV155">
        <f ca="1">IFERROR(IF(0=LEN(ReferenceData!$AV$155),"",ReferenceData!$AV$155),"")</f>
        <v>24.26814139</v>
      </c>
      <c r="AW155">
        <f ca="1">IFERROR(IF(0=LEN(ReferenceData!$AW$155),"",ReferenceData!$AW$155),"")</f>
        <v>24.53734747</v>
      </c>
      <c r="AX155">
        <f ca="1">IFERROR(IF(0=LEN(ReferenceData!$AX$155),"",ReferenceData!$AX$155),"")</f>
        <v>29.41325883</v>
      </c>
      <c r="AY155">
        <f ca="1">IFERROR(IF(0=LEN(ReferenceData!$AY$155),"",ReferenceData!$AY$155),"")</f>
        <v>28.88222618</v>
      </c>
      <c r="AZ155">
        <f ca="1">IFERROR(IF(0=LEN(ReferenceData!$AZ$155),"",ReferenceData!$AZ$155),"")</f>
        <v>21.021946010000001</v>
      </c>
      <c r="BA155">
        <f ca="1">IFERROR(IF(0=LEN(ReferenceData!$BA$155),"",ReferenceData!$BA$155),"")</f>
        <v>19.59970685</v>
      </c>
      <c r="BB155">
        <f ca="1">IFERROR(IF(0=LEN(ReferenceData!$BB$155),"",ReferenceData!$BB$155),"")</f>
        <v>18.398381069999999</v>
      </c>
      <c r="BC155">
        <f ca="1">IFERROR(IF(0=LEN(ReferenceData!$BC$155),"",ReferenceData!$BC$155),"")</f>
        <v>23.656038559999999</v>
      </c>
      <c r="BD155">
        <f ca="1">IFERROR(IF(0=LEN(ReferenceData!$BD$155),"",ReferenceData!$BD$155),"")</f>
        <v>11.984883829999999</v>
      </c>
      <c r="BE155">
        <f ca="1">IFERROR(IF(0=LEN(ReferenceData!$BE$155),"",ReferenceData!$BE$155),"")</f>
        <v>7.7156483759999999</v>
      </c>
      <c r="BF155">
        <f ca="1">IFERROR(IF(0=LEN(ReferenceData!$BF$155),"",ReferenceData!$BF$155),"")</f>
        <v>9.8051738470000007</v>
      </c>
      <c r="BG155">
        <f ca="1">IFERROR(IF(0=LEN(ReferenceData!$BG$155),"",ReferenceData!$BG$155),"")</f>
        <v>7.9277745560000001</v>
      </c>
      <c r="BH155">
        <f ca="1">IFERROR(IF(0=LEN(ReferenceData!$BH$155),"",ReferenceData!$BH$155),"")</f>
        <v>20.357861960000001</v>
      </c>
      <c r="BI155">
        <f ca="1">IFERROR(IF(0=LEN(ReferenceData!$BI$155),"",ReferenceData!$BI$155),"")</f>
        <v>23.787066329999998</v>
      </c>
      <c r="BJ155">
        <f ca="1">IFERROR(IF(0=LEN(ReferenceData!$BJ$155),"",ReferenceData!$BJ$155),"")</f>
        <v>22.178671399999999</v>
      </c>
      <c r="BK155">
        <f ca="1">IFERROR(IF(0=LEN(ReferenceData!$BK$155),"",ReferenceData!$BK$155),"")</f>
        <v>12.2666126</v>
      </c>
      <c r="BL155">
        <f ca="1">IFERROR(IF(0=LEN(ReferenceData!$BL$155),"",ReferenceData!$BL$155),"")</f>
        <v>5.4113734500000001</v>
      </c>
      <c r="BM155">
        <f ca="1">IFERROR(IF(0=LEN(ReferenceData!$BM$155),"",ReferenceData!$BM$155),"")</f>
        <v>8.4333714069999992</v>
      </c>
    </row>
    <row r="156" spans="1:65">
      <c r="A156" t="str">
        <f>IFERROR(IF(0=LEN(ReferenceData!$A$156),"",ReferenceData!$A$156),"")</f>
        <v xml:space="preserve">    Regency Centers Corp</v>
      </c>
      <c r="B156" t="str">
        <f>IFERROR(IF(0=LEN(ReferenceData!$B$156),"",ReferenceData!$B$156),"")</f>
        <v>REG US Equity</v>
      </c>
      <c r="C156" t="str">
        <f>IFERROR(IF(0=LEN(ReferenceData!$C$156),"",ReferenceData!$C$156),"")</f>
        <v>RR033</v>
      </c>
      <c r="D156" t="str">
        <f>IFERROR(IF(0=LEN(ReferenceData!$D$156),"",ReferenceData!$D$156),"")</f>
        <v>SALES_GROWTH</v>
      </c>
      <c r="E156" t="str">
        <f>IFERROR(IF(0=LEN(ReferenceData!$E$156),"",ReferenceData!$E$156),"")</f>
        <v>动态</v>
      </c>
      <c r="F156" t="str">
        <f ca="1">IFERROR(IF(0=LEN(ReferenceData!$F$156),"",ReferenceData!$F$156),"")</f>
        <v/>
      </c>
      <c r="G156">
        <f ca="1">IFERROR(IF(0=LEN(ReferenceData!$G$156),"",ReferenceData!$G$156),"")</f>
        <v>65.924630710000002</v>
      </c>
      <c r="H156">
        <f ca="1">IFERROR(IF(0=LEN(ReferenceData!$H$156),"",ReferenceData!$H$156),"")</f>
        <v>71.594182029999999</v>
      </c>
      <c r="I156">
        <f ca="1">IFERROR(IF(0=LEN(ReferenceData!$I$156),"",ReferenceData!$I$156),"")</f>
        <v>71.446474030000005</v>
      </c>
      <c r="J156">
        <f ca="1">IFERROR(IF(0=LEN(ReferenceData!$J$156),"",ReferenceData!$J$156),"")</f>
        <v>31.079076109999999</v>
      </c>
      <c r="K156">
        <f ca="1">IFERROR(IF(0=LEN(ReferenceData!$K$156),"",ReferenceData!$K$156),"")</f>
        <v>9.1627442400000003</v>
      </c>
      <c r="L156">
        <f ca="1">IFERROR(IF(0=LEN(ReferenceData!$L$156),"",ReferenceData!$L$156),"")</f>
        <v>7.5316045840000001</v>
      </c>
      <c r="M156">
        <f ca="1">IFERROR(IF(0=LEN(ReferenceData!$M$156),"",ReferenceData!$M$156),"")</f>
        <v>7.9948132559999996</v>
      </c>
      <c r="N156">
        <f ca="1">IFERROR(IF(0=LEN(ReferenceData!$N$156),"",ReferenceData!$N$156),"")</f>
        <v>6.5734086429999996</v>
      </c>
      <c r="O156">
        <f ca="1">IFERROR(IF(0=LEN(ReferenceData!$O$156),"",ReferenceData!$O$156),"")</f>
        <v>7.3462343480000003</v>
      </c>
      <c r="P156">
        <f ca="1">IFERROR(IF(0=LEN(ReferenceData!$P$156),"",ReferenceData!$P$156),"")</f>
        <v>6.3709671380000001</v>
      </c>
      <c r="Q156">
        <f ca="1">IFERROR(IF(0=LEN(ReferenceData!$Q$156),"",ReferenceData!$Q$156),"")</f>
        <v>4.6236989590000004</v>
      </c>
      <c r="R156">
        <f ca="1">IFERROR(IF(0=LEN(ReferenceData!$R$156),"",ReferenceData!$R$156),"")</f>
        <v>5.3413865549999997</v>
      </c>
      <c r="S156">
        <f ca="1">IFERROR(IF(0=LEN(ReferenceData!$S$156),"",ReferenceData!$S$156),"")</f>
        <v>8.0631720960000006</v>
      </c>
      <c r="T156">
        <f ca="1">IFERROR(IF(0=LEN(ReferenceData!$T$156),"",ReferenceData!$T$156),"")</f>
        <v>11.00500341</v>
      </c>
      <c r="U156">
        <f ca="1">IFERROR(IF(0=LEN(ReferenceData!$U$156),"",ReferenceData!$U$156),"")</f>
        <v>10.289680880000001</v>
      </c>
      <c r="V156">
        <f ca="1">IFERROR(IF(0=LEN(ReferenceData!$V$156),"",ReferenceData!$V$156),"")</f>
        <v>10.717905269999999</v>
      </c>
      <c r="W156">
        <f ca="1">IFERROR(IF(0=LEN(ReferenceData!$W$156),"",ReferenceData!$W$156),"")</f>
        <v>8.4100490410000006</v>
      </c>
      <c r="X156">
        <f ca="1">IFERROR(IF(0=LEN(ReferenceData!$X$156),"",ReferenceData!$X$156),"")</f>
        <v>4.0912197529999998</v>
      </c>
      <c r="Y156">
        <f ca="1">IFERROR(IF(0=LEN(ReferenceData!$Y$156),"",ReferenceData!$Y$156),"")</f>
        <v>-3.5167435810000001</v>
      </c>
      <c r="Z156">
        <f ca="1">IFERROR(IF(0=LEN(ReferenceData!$Z$156),"",ReferenceData!$Z$156),"")</f>
        <v>-4.6458021430000001</v>
      </c>
      <c r="AA156">
        <f ca="1">IFERROR(IF(0=LEN(ReferenceData!$AA$156),"",ReferenceData!$AA$156),"")</f>
        <v>-5.960500659</v>
      </c>
      <c r="AB156">
        <f ca="1">IFERROR(IF(0=LEN(ReferenceData!$AB$156),"",ReferenceData!$AB$156),"")</f>
        <v>-6.0404812229999996</v>
      </c>
      <c r="AC156">
        <f ca="1">IFERROR(IF(0=LEN(ReferenceData!$AC$156),"",ReferenceData!$AC$156),"")</f>
        <v>1.702462232</v>
      </c>
      <c r="AD156">
        <f ca="1">IFERROR(IF(0=LEN(ReferenceData!$AD$156),"",ReferenceData!$AD$156),"")</f>
        <v>1.5402805479999999</v>
      </c>
      <c r="AE156">
        <f ca="1">IFERROR(IF(0=LEN(ReferenceData!$AE$156),"",ReferenceData!$AE$156),"")</f>
        <v>5.1131124909999999</v>
      </c>
      <c r="AF156">
        <f ca="1">IFERROR(IF(0=LEN(ReferenceData!$AF$156),"",ReferenceData!$AF$156),"")</f>
        <v>1.8436498800000001</v>
      </c>
      <c r="AG156">
        <f ca="1">IFERROR(IF(0=LEN(ReferenceData!$AG$156),"",ReferenceData!$AG$156),"")</f>
        <v>2.797502701</v>
      </c>
      <c r="AH156">
        <f ca="1">IFERROR(IF(0=LEN(ReferenceData!$AH$156),"",ReferenceData!$AH$156),"")</f>
        <v>0.201486162</v>
      </c>
      <c r="AI156">
        <f ca="1">IFERROR(IF(0=LEN(ReferenceData!$AI$156),"",ReferenceData!$AI$156),"")</f>
        <v>-3.0964579350000001</v>
      </c>
      <c r="AJ156">
        <f ca="1">IFERROR(IF(0=LEN(ReferenceData!$AJ$156),"",ReferenceData!$AJ$156),"")</f>
        <v>-8.7121469759999997</v>
      </c>
      <c r="AK156">
        <f ca="1">IFERROR(IF(0=LEN(ReferenceData!$AK$156),"",ReferenceData!$AK$156),"")</f>
        <v>5.1667909869999997</v>
      </c>
      <c r="AL156">
        <f ca="1">IFERROR(IF(0=LEN(ReferenceData!$AL$156),"",ReferenceData!$AL$156),"")</f>
        <v>3.6453547620000002</v>
      </c>
      <c r="AM156">
        <f ca="1">IFERROR(IF(0=LEN(ReferenceData!$AM$156),"",ReferenceData!$AM$156),"")</f>
        <v>-13.72763376</v>
      </c>
      <c r="AN156">
        <f ca="1">IFERROR(IF(0=LEN(ReferenceData!$AN$156),"",ReferenceData!$AN$156),"")</f>
        <v>9.0938321890000005</v>
      </c>
      <c r="AO156">
        <f ca="1">IFERROR(IF(0=LEN(ReferenceData!$AO$156),"",ReferenceData!$AO$156),"")</f>
        <v>-4.6526629179999999</v>
      </c>
      <c r="AP156">
        <f ca="1">IFERROR(IF(0=LEN(ReferenceData!$AP$156),"",ReferenceData!$AP$156),"")</f>
        <v>3.6439980950000002</v>
      </c>
      <c r="AQ156">
        <f ca="1">IFERROR(IF(0=LEN(ReferenceData!$AQ$156),"",ReferenceData!$AQ$156),"")</f>
        <v>30.679159160000001</v>
      </c>
      <c r="AR156">
        <f ca="1">IFERROR(IF(0=LEN(ReferenceData!$AR$156),"",ReferenceData!$AR$156),"")</f>
        <v>5.7462946820000003</v>
      </c>
      <c r="AS156">
        <f ca="1">IFERROR(IF(0=LEN(ReferenceData!$AS$156),"",ReferenceData!$AS$156),"")</f>
        <v>12.1301199</v>
      </c>
      <c r="AT156">
        <f ca="1">IFERROR(IF(0=LEN(ReferenceData!$AT$156),"",ReferenceData!$AT$156),"")</f>
        <v>8.5440688639999998</v>
      </c>
      <c r="AU156">
        <f ca="1">IFERROR(IF(0=LEN(ReferenceData!$AU$156),"",ReferenceData!$AU$156),"")</f>
        <v>-1.384447641</v>
      </c>
      <c r="AV156">
        <f ca="1">IFERROR(IF(0=LEN(ReferenceData!$AV$156),"",ReferenceData!$AV$156),"")</f>
        <v>11.77485212</v>
      </c>
      <c r="AW156">
        <f ca="1">IFERROR(IF(0=LEN(ReferenceData!$AW$156),"",ReferenceData!$AW$156),"")</f>
        <v>2.314041746</v>
      </c>
      <c r="AX156">
        <f ca="1">IFERROR(IF(0=LEN(ReferenceData!$AX$156),"",ReferenceData!$AX$156),"")</f>
        <v>6.615569582</v>
      </c>
      <c r="AY156">
        <f ca="1">IFERROR(IF(0=LEN(ReferenceData!$AY$156),"",ReferenceData!$AY$156),"")</f>
        <v>22.845662059999999</v>
      </c>
      <c r="AZ156">
        <f ca="1">IFERROR(IF(0=LEN(ReferenceData!$AZ$156),"",ReferenceData!$AZ$156),"")</f>
        <v>13.62750526</v>
      </c>
      <c r="BA156">
        <f ca="1">IFERROR(IF(0=LEN(ReferenceData!$BA$156),"",ReferenceData!$BA$156),"")</f>
        <v>-1.392111369</v>
      </c>
      <c r="BB156">
        <f ca="1">IFERROR(IF(0=LEN(ReferenceData!$BB$156),"",ReferenceData!$BB$156),"")</f>
        <v>4.0337711069999997</v>
      </c>
      <c r="BC156">
        <f ca="1">IFERROR(IF(0=LEN(ReferenceData!$BC$156),"",ReferenceData!$BC$156),"")</f>
        <v>-14.34163461</v>
      </c>
      <c r="BD156">
        <f ca="1">IFERROR(IF(0=LEN(ReferenceData!$BD$156),"",ReferenceData!$BD$156),"")</f>
        <v>-2.3654565500000002</v>
      </c>
      <c r="BE156">
        <f ca="1">IFERROR(IF(0=LEN(ReferenceData!$BE$156),"",ReferenceData!$BE$156),"")</f>
        <v>13.72153016</v>
      </c>
      <c r="BF156">
        <f ca="1">IFERROR(IF(0=LEN(ReferenceData!$BF$156),"",ReferenceData!$BF$156),"")</f>
        <v>5.9583655850000001</v>
      </c>
      <c r="BG156">
        <f ca="1">IFERROR(IF(0=LEN(ReferenceData!$BG$156),"",ReferenceData!$BG$156),"")</f>
        <v>14.913909329999999</v>
      </c>
      <c r="BH156">
        <f ca="1">IFERROR(IF(0=LEN(ReferenceData!$BH$156),"",ReferenceData!$BH$156),"")</f>
        <v>4.2465872559999998</v>
      </c>
      <c r="BI156">
        <f ca="1">IFERROR(IF(0=LEN(ReferenceData!$BI$156),"",ReferenceData!$BI$156),"")</f>
        <v>5.3545409470000003</v>
      </c>
      <c r="BJ156">
        <f ca="1">IFERROR(IF(0=LEN(ReferenceData!$BJ$156),"",ReferenceData!$BJ$156),"")</f>
        <v>1.597823148</v>
      </c>
      <c r="BK156">
        <f ca="1">IFERROR(IF(0=LEN(ReferenceData!$BK$156),"",ReferenceData!$BK$156),"")</f>
        <v>-1.041571754</v>
      </c>
      <c r="BL156">
        <f ca="1">IFERROR(IF(0=LEN(ReferenceData!$BL$156),"",ReferenceData!$BL$156),"")</f>
        <v>-9.2424729380000006</v>
      </c>
      <c r="BM156">
        <f ca="1">IFERROR(IF(0=LEN(ReferenceData!$BM$156),"",ReferenceData!$BM$156),"")</f>
        <v>2.1549901280000001</v>
      </c>
    </row>
    <row r="157" spans="1:65">
      <c r="A157" t="str">
        <f>IFERROR(IF(0=LEN(ReferenceData!$A$157),"",ReferenceData!$A$157),"")</f>
        <v xml:space="preserve">    Retail Opportunity Investments</v>
      </c>
      <c r="B157" t="str">
        <f>IFERROR(IF(0=LEN(ReferenceData!$B$157),"",ReferenceData!$B$157),"")</f>
        <v>ROIC US Equity</v>
      </c>
      <c r="C157" t="str">
        <f>IFERROR(IF(0=LEN(ReferenceData!$C$157),"",ReferenceData!$C$157),"")</f>
        <v>RR033</v>
      </c>
      <c r="D157" t="str">
        <f>IFERROR(IF(0=LEN(ReferenceData!$D$157),"",ReferenceData!$D$157),"")</f>
        <v>SALES_GROWTH</v>
      </c>
      <c r="E157" t="str">
        <f>IFERROR(IF(0=LEN(ReferenceData!$E$157),"",ReferenceData!$E$157),"")</f>
        <v>动态</v>
      </c>
      <c r="F157" t="str">
        <f ca="1">IFERROR(IF(0=LEN(ReferenceData!$F$157),"",ReferenceData!$F$157),"")</f>
        <v/>
      </c>
      <c r="G157">
        <f ca="1">IFERROR(IF(0=LEN(ReferenceData!$G$157),"",ReferenceData!$G$157),"")</f>
        <v>15.35436816</v>
      </c>
      <c r="H157">
        <f ca="1">IFERROR(IF(0=LEN(ReferenceData!$H$157),"",ReferenceData!$H$157),"")</f>
        <v>14.50955285</v>
      </c>
      <c r="I157">
        <f ca="1">IFERROR(IF(0=LEN(ReferenceData!$I$157),"",ReferenceData!$I$157),"")</f>
        <v>13.582519469999999</v>
      </c>
      <c r="J157">
        <f ca="1">IFERROR(IF(0=LEN(ReferenceData!$J$157),"",ReferenceData!$J$157),"")</f>
        <v>17.481370559999998</v>
      </c>
      <c r="K157">
        <f ca="1">IFERROR(IF(0=LEN(ReferenceData!$K$157),"",ReferenceData!$K$157),"")</f>
        <v>22.979428680000002</v>
      </c>
      <c r="L157">
        <f ca="1">IFERROR(IF(0=LEN(ReferenceData!$L$157),"",ReferenceData!$L$157),"")</f>
        <v>18.525470779999999</v>
      </c>
      <c r="M157">
        <f ca="1">IFERROR(IF(0=LEN(ReferenceData!$M$157),"",ReferenceData!$M$157),"")</f>
        <v>26.95228822</v>
      </c>
      <c r="N157">
        <f ca="1">IFERROR(IF(0=LEN(ReferenceData!$N$157),"",ReferenceData!$N$157),"")</f>
        <v>24.31629804</v>
      </c>
      <c r="O157">
        <f ca="1">IFERROR(IF(0=LEN(ReferenceData!$O$157),"",ReferenceData!$O$157),"")</f>
        <v>22.85989373</v>
      </c>
      <c r="P157">
        <f ca="1">IFERROR(IF(0=LEN(ReferenceData!$P$157),"",ReferenceData!$P$157),"")</f>
        <v>22.56989944</v>
      </c>
      <c r="Q157">
        <f ca="1">IFERROR(IF(0=LEN(ReferenceData!$Q$157),"",ReferenceData!$Q$157),"")</f>
        <v>25.19357394</v>
      </c>
      <c r="R157">
        <f ca="1">IFERROR(IF(0=LEN(ReferenceData!$R$157),"",ReferenceData!$R$157),"")</f>
        <v>24.132049519999999</v>
      </c>
      <c r="S157">
        <f ca="1">IFERROR(IF(0=LEN(ReferenceData!$S$157),"",ReferenceData!$S$157),"")</f>
        <v>24.09938197</v>
      </c>
      <c r="T157">
        <f ca="1">IFERROR(IF(0=LEN(ReferenceData!$T$157),"",ReferenceData!$T$157),"")</f>
        <v>50.495161070000002</v>
      </c>
      <c r="U157">
        <f ca="1">IFERROR(IF(0=LEN(ReferenceData!$U$157),"",ReferenceData!$U$157),"")</f>
        <v>41.634401199999999</v>
      </c>
      <c r="V157">
        <f ca="1">IFERROR(IF(0=LEN(ReferenceData!$V$157),"",ReferenceData!$V$157),"")</f>
        <v>49.07041779</v>
      </c>
      <c r="W157">
        <f ca="1">IFERROR(IF(0=LEN(ReferenceData!$W$157),"",ReferenceData!$W$157),"")</f>
        <v>56.883978190000001</v>
      </c>
      <c r="X157">
        <f ca="1">IFERROR(IF(0=LEN(ReferenceData!$X$157),"",ReferenceData!$X$157),"")</f>
        <v>43.71982216</v>
      </c>
      <c r="Y157">
        <f ca="1">IFERROR(IF(0=LEN(ReferenceData!$Y$157),"",ReferenceData!$Y$157),"")</f>
        <v>43.851036950000001</v>
      </c>
      <c r="Z157">
        <f ca="1">IFERROR(IF(0=LEN(ReferenceData!$Z$157),"",ReferenceData!$Z$157),"")</f>
        <v>46.473521480000002</v>
      </c>
      <c r="AA157">
        <f ca="1">IFERROR(IF(0=LEN(ReferenceData!$AA$157),"",ReferenceData!$AA$157),"")</f>
        <v>28.791712969999999</v>
      </c>
      <c r="AB157">
        <f ca="1">IFERROR(IF(0=LEN(ReferenceData!$AB$157),"",ReferenceData!$AB$157),"")</f>
        <v>39.34907244</v>
      </c>
      <c r="AC157">
        <f ca="1">IFERROR(IF(0=LEN(ReferenceData!$AC$157),"",ReferenceData!$AC$157),"")</f>
        <v>57.634456350000001</v>
      </c>
      <c r="AD157">
        <f ca="1">IFERROR(IF(0=LEN(ReferenceData!$AD$157),"",ReferenceData!$AD$157),"")</f>
        <v>65.79837646</v>
      </c>
      <c r="AE157">
        <f ca="1">IFERROR(IF(0=LEN(ReferenceData!$AE$157),"",ReferenceData!$AE$157),"")</f>
        <v>138.81119380000001</v>
      </c>
      <c r="AF157">
        <f ca="1">IFERROR(IF(0=LEN(ReferenceData!$AF$157),"",ReferenceData!$AF$157),"")</f>
        <v>179.93607180000001</v>
      </c>
      <c r="AG157">
        <f ca="1">IFERROR(IF(0=LEN(ReferenceData!$AG$157),"",ReferenceData!$AG$157),"")</f>
        <v>297.1333219</v>
      </c>
      <c r="AH157">
        <f ca="1">IFERROR(IF(0=LEN(ReferenceData!$AH$157),"",ReferenceData!$AH$157),"")</f>
        <v>633.27147839999998</v>
      </c>
      <c r="AI157">
        <f ca="1">IFERROR(IF(0=LEN(ReferenceData!$AI$157),"",ReferenceData!$AI$157),"")</f>
        <v>15054.15</v>
      </c>
      <c r="AJ157" t="str">
        <f ca="1">IFERROR(IF(0=LEN(ReferenceData!$AJ$157),"",ReferenceData!$AJ$157),"")</f>
        <v/>
      </c>
      <c r="AK157" t="str">
        <f ca="1">IFERROR(IF(0=LEN(ReferenceData!$AK$157),"",ReferenceData!$AK$157),"")</f>
        <v/>
      </c>
      <c r="AL157" t="str">
        <f ca="1">IFERROR(IF(0=LEN(ReferenceData!$AL$157),"",ReferenceData!$AL$157),"")</f>
        <v/>
      </c>
      <c r="AM157" t="str">
        <f ca="1">IFERROR(IF(0=LEN(ReferenceData!$AM$157),"",ReferenceData!$AM$157),"")</f>
        <v/>
      </c>
      <c r="AN157" t="str">
        <f ca="1">IFERROR(IF(0=LEN(ReferenceData!$AN$157),"",ReferenceData!$AN$157),"")</f>
        <v/>
      </c>
      <c r="AO157" t="str">
        <f ca="1">IFERROR(IF(0=LEN(ReferenceData!$AO$157),"",ReferenceData!$AO$157),"")</f>
        <v/>
      </c>
      <c r="AP157" t="str">
        <f ca="1">IFERROR(IF(0=LEN(ReferenceData!$AP$157),"",ReferenceData!$AP$157),"")</f>
        <v/>
      </c>
      <c r="AQ157" t="str">
        <f ca="1">IFERROR(IF(0=LEN(ReferenceData!$AQ$157),"",ReferenceData!$AQ$157),"")</f>
        <v/>
      </c>
      <c r="AR157" t="str">
        <f ca="1">IFERROR(IF(0=LEN(ReferenceData!$AR$157),"",ReferenceData!$AR$157),"")</f>
        <v/>
      </c>
      <c r="AS157" t="str">
        <f ca="1">IFERROR(IF(0=LEN(ReferenceData!$AS$157),"",ReferenceData!$AS$157),"")</f>
        <v/>
      </c>
      <c r="AT157" t="str">
        <f ca="1">IFERROR(IF(0=LEN(ReferenceData!$AT$157),"",ReferenceData!$AT$157),"")</f>
        <v/>
      </c>
      <c r="AU157" t="str">
        <f ca="1">IFERROR(IF(0=LEN(ReferenceData!$AU$157),"",ReferenceData!$AU$157),"")</f>
        <v/>
      </c>
      <c r="AV157" t="str">
        <f ca="1">IFERROR(IF(0=LEN(ReferenceData!$AV$157),"",ReferenceData!$AV$157),"")</f>
        <v/>
      </c>
      <c r="AW157" t="str">
        <f ca="1">IFERROR(IF(0=LEN(ReferenceData!$AW$157),"",ReferenceData!$AW$157),"")</f>
        <v/>
      </c>
      <c r="AX157" t="str">
        <f ca="1">IFERROR(IF(0=LEN(ReferenceData!$AX$157),"",ReferenceData!$AX$157),"")</f>
        <v/>
      </c>
      <c r="AY157" t="str">
        <f ca="1">IFERROR(IF(0=LEN(ReferenceData!$AY$157),"",ReferenceData!$AY$157),"")</f>
        <v/>
      </c>
      <c r="AZ157" t="str">
        <f ca="1">IFERROR(IF(0=LEN(ReferenceData!$AZ$157),"",ReferenceData!$AZ$157),"")</f>
        <v/>
      </c>
      <c r="BA157" t="str">
        <f ca="1">IFERROR(IF(0=LEN(ReferenceData!$BA$157),"",ReferenceData!$BA$157),"")</f>
        <v/>
      </c>
      <c r="BB157" t="str">
        <f ca="1">IFERROR(IF(0=LEN(ReferenceData!$BB$157),"",ReferenceData!$BB$157),"")</f>
        <v/>
      </c>
      <c r="BC157" t="str">
        <f ca="1">IFERROR(IF(0=LEN(ReferenceData!$BC$157),"",ReferenceData!$BC$157),"")</f>
        <v/>
      </c>
      <c r="BD157" t="str">
        <f ca="1">IFERROR(IF(0=LEN(ReferenceData!$BD$157),"",ReferenceData!$BD$157),"")</f>
        <v/>
      </c>
      <c r="BE157" t="str">
        <f ca="1">IFERROR(IF(0=LEN(ReferenceData!$BE$157),"",ReferenceData!$BE$157),"")</f>
        <v/>
      </c>
      <c r="BF157" t="str">
        <f ca="1">IFERROR(IF(0=LEN(ReferenceData!$BF$157),"",ReferenceData!$BF$157),"")</f>
        <v/>
      </c>
      <c r="BG157" t="str">
        <f ca="1">IFERROR(IF(0=LEN(ReferenceData!$BG$157),"",ReferenceData!$BG$157),"")</f>
        <v/>
      </c>
      <c r="BH157" t="str">
        <f ca="1">IFERROR(IF(0=LEN(ReferenceData!$BH$157),"",ReferenceData!$BH$157),"")</f>
        <v/>
      </c>
      <c r="BI157" t="str">
        <f ca="1">IFERROR(IF(0=LEN(ReferenceData!$BI$157),"",ReferenceData!$BI$157),"")</f>
        <v/>
      </c>
      <c r="BJ157" t="str">
        <f ca="1">IFERROR(IF(0=LEN(ReferenceData!$BJ$157),"",ReferenceData!$BJ$157),"")</f>
        <v/>
      </c>
      <c r="BK157" t="str">
        <f ca="1">IFERROR(IF(0=LEN(ReferenceData!$BK$157),"",ReferenceData!$BK$157),"")</f>
        <v/>
      </c>
      <c r="BL157" t="str">
        <f ca="1">IFERROR(IF(0=LEN(ReferenceData!$BL$157),"",ReferenceData!$BL$157),"")</f>
        <v/>
      </c>
      <c r="BM157" t="str">
        <f ca="1">IFERROR(IF(0=LEN(ReferenceData!$BM$157),"",ReferenceData!$BM$157),"")</f>
        <v/>
      </c>
    </row>
    <row r="158" spans="1:65">
      <c r="A158" t="str">
        <f>IFERROR(IF(0=LEN(ReferenceData!$A$158),"",ReferenceData!$A$158),"")</f>
        <v xml:space="preserve">    Retail Properties of America I</v>
      </c>
      <c r="B158" t="str">
        <f>IFERROR(IF(0=LEN(ReferenceData!$B$158),"",ReferenceData!$B$158),"")</f>
        <v>RPAI US Equity</v>
      </c>
      <c r="C158" t="str">
        <f>IFERROR(IF(0=LEN(ReferenceData!$C$158),"",ReferenceData!$C$158),"")</f>
        <v>RR033</v>
      </c>
      <c r="D158" t="str">
        <f>IFERROR(IF(0=LEN(ReferenceData!$D$158),"",ReferenceData!$D$158),"")</f>
        <v>SALES_GROWTH</v>
      </c>
      <c r="E158" t="str">
        <f>IFERROR(IF(0=LEN(ReferenceData!$E$158),"",ReferenceData!$E$158),"")</f>
        <v>动态</v>
      </c>
      <c r="F158" t="str">
        <f ca="1">IFERROR(IF(0=LEN(ReferenceData!$F$158),"",ReferenceData!$F$158),"")</f>
        <v/>
      </c>
      <c r="G158">
        <f ca="1">IFERROR(IF(0=LEN(ReferenceData!$G$158),"",ReferenceData!$G$158),"")</f>
        <v>-11.32313383</v>
      </c>
      <c r="H158">
        <f ca="1">IFERROR(IF(0=LEN(ReferenceData!$H$158),"",ReferenceData!$H$158),"")</f>
        <v>-9.6916817739999992</v>
      </c>
      <c r="I158">
        <f ca="1">IFERROR(IF(0=LEN(ReferenceData!$I$158),"",ReferenceData!$I$158),"")</f>
        <v>-6.7155257900000001</v>
      </c>
      <c r="J158">
        <f ca="1">IFERROR(IF(0=LEN(ReferenceData!$J$158),"",ReferenceData!$J$158),"")</f>
        <v>-3.3275250779999999</v>
      </c>
      <c r="K158">
        <f ca="1">IFERROR(IF(0=LEN(ReferenceData!$K$158),"",ReferenceData!$K$158),"")</f>
        <v>-4.1418211119999997</v>
      </c>
      <c r="L158">
        <f ca="1">IFERROR(IF(0=LEN(ReferenceData!$L$158),"",ReferenceData!$L$158),"")</f>
        <v>-4.2588850980000004</v>
      </c>
      <c r="M158">
        <f ca="1">IFERROR(IF(0=LEN(ReferenceData!$M$158),"",ReferenceData!$M$158),"")</f>
        <v>-2.4269656959999999</v>
      </c>
      <c r="N158">
        <f ca="1">IFERROR(IF(0=LEN(ReferenceData!$N$158),"",ReferenceData!$N$158),"")</f>
        <v>-2.975254085</v>
      </c>
      <c r="O158">
        <f ca="1">IFERROR(IF(0=LEN(ReferenceData!$O$158),"",ReferenceData!$O$158),"")</f>
        <v>-3.0033022649999999</v>
      </c>
      <c r="P158">
        <f ca="1">IFERROR(IF(0=LEN(ReferenceData!$P$158),"",ReferenceData!$P$158),"")</f>
        <v>-0.32486612500000001</v>
      </c>
      <c r="Q158">
        <f ca="1">IFERROR(IF(0=LEN(ReferenceData!$Q$158),"",ReferenceData!$Q$158),"")</f>
        <v>3.0331999509999998</v>
      </c>
      <c r="R158">
        <f ca="1">IFERROR(IF(0=LEN(ReferenceData!$R$158),"",ReferenceData!$R$158),"")</f>
        <v>2.6851485679999998</v>
      </c>
      <c r="S158">
        <f ca="1">IFERROR(IF(0=LEN(ReferenceData!$S$158),"",ReferenceData!$S$158),"")</f>
        <v>1.8860036229999999</v>
      </c>
      <c r="T158">
        <f ca="1">IFERROR(IF(0=LEN(ReferenceData!$T$158),"",ReferenceData!$T$158),"")</f>
        <v>11.25583104</v>
      </c>
      <c r="U158">
        <f ca="1">IFERROR(IF(0=LEN(ReferenceData!$U$158),"",ReferenceData!$U$158),"")</f>
        <v>10.675634820000001</v>
      </c>
      <c r="V158">
        <f ca="1">IFERROR(IF(0=LEN(ReferenceData!$V$158),"",ReferenceData!$V$158),"")</f>
        <v>12.971278420000001</v>
      </c>
      <c r="W158">
        <f ca="1">IFERROR(IF(0=LEN(ReferenceData!$W$158),"",ReferenceData!$W$158),"")</f>
        <v>11.655391639999999</v>
      </c>
      <c r="X158">
        <f ca="1">IFERROR(IF(0=LEN(ReferenceData!$X$158),"",ReferenceData!$X$158),"")</f>
        <v>-1.962549514</v>
      </c>
      <c r="Y158">
        <f ca="1">IFERROR(IF(0=LEN(ReferenceData!$Y$158),"",ReferenceData!$Y$158),"")</f>
        <v>-4.7968515040000002</v>
      </c>
      <c r="Z158">
        <f ca="1">IFERROR(IF(0=LEN(ReferenceData!$Z$158),"",ReferenceData!$Z$158),"")</f>
        <v>-7.5759696539999997</v>
      </c>
      <c r="AA158">
        <f ca="1">IFERROR(IF(0=LEN(ReferenceData!$AA$158),"",ReferenceData!$AA$158),"")</f>
        <v>-5.5471183120000003</v>
      </c>
      <c r="AB158">
        <f ca="1">IFERROR(IF(0=LEN(ReferenceData!$AB$158),"",ReferenceData!$AB$158),"")</f>
        <v>-4.9265637299999998</v>
      </c>
      <c r="AC158">
        <f ca="1">IFERROR(IF(0=LEN(ReferenceData!$AC$158),"",ReferenceData!$AC$158),"")</f>
        <v>-5.682643305</v>
      </c>
      <c r="AD158">
        <f ca="1">IFERROR(IF(0=LEN(ReferenceData!$AD$158),"",ReferenceData!$AD$158),"")</f>
        <v>-6.1953874329999996</v>
      </c>
      <c r="AE158">
        <f ca="1">IFERROR(IF(0=LEN(ReferenceData!$AE$158),"",ReferenceData!$AE$158),"")</f>
        <v>1.595551795</v>
      </c>
      <c r="AF158">
        <f ca="1">IFERROR(IF(0=LEN(ReferenceData!$AF$158),"",ReferenceData!$AF$158),"")</f>
        <v>-11.271165330000001</v>
      </c>
      <c r="AG158">
        <f ca="1">IFERROR(IF(0=LEN(ReferenceData!$AG$158),"",ReferenceData!$AG$158),"")</f>
        <v>-9.0364197530000006</v>
      </c>
      <c r="AH158">
        <f ca="1">IFERROR(IF(0=LEN(ReferenceData!$AH$158),"",ReferenceData!$AH$158),"")</f>
        <v>-8.0230662400000003</v>
      </c>
      <c r="AI158">
        <f ca="1">IFERROR(IF(0=LEN(ReferenceData!$AI$158),"",ReferenceData!$AI$158),"")</f>
        <v>-14.286149610000001</v>
      </c>
      <c r="AJ158">
        <f ca="1">IFERROR(IF(0=LEN(ReferenceData!$AJ$158),"",ReferenceData!$AJ$158),"")</f>
        <v>9.1823455999999998E-2</v>
      </c>
      <c r="AK158" t="str">
        <f ca="1">IFERROR(IF(0=LEN(ReferenceData!$AK$158),"",ReferenceData!$AK$158),"")</f>
        <v/>
      </c>
      <c r="AL158" t="str">
        <f ca="1">IFERROR(IF(0=LEN(ReferenceData!$AL$158),"",ReferenceData!$AL$158),"")</f>
        <v/>
      </c>
      <c r="AM158" t="str">
        <f ca="1">IFERROR(IF(0=LEN(ReferenceData!$AM$158),"",ReferenceData!$AM$158),"")</f>
        <v/>
      </c>
      <c r="AN158" t="str">
        <f ca="1">IFERROR(IF(0=LEN(ReferenceData!$AN$158),"",ReferenceData!$AN$158),"")</f>
        <v/>
      </c>
      <c r="AO158" t="str">
        <f ca="1">IFERROR(IF(0=LEN(ReferenceData!$AO$158),"",ReferenceData!$AO$158),"")</f>
        <v/>
      </c>
      <c r="AP158" t="str">
        <f ca="1">IFERROR(IF(0=LEN(ReferenceData!$AP$158),"",ReferenceData!$AP$158),"")</f>
        <v/>
      </c>
      <c r="AQ158" t="str">
        <f ca="1">IFERROR(IF(0=LEN(ReferenceData!$AQ$158),"",ReferenceData!$AQ$158),"")</f>
        <v/>
      </c>
      <c r="AR158" t="str">
        <f ca="1">IFERROR(IF(0=LEN(ReferenceData!$AR$158),"",ReferenceData!$AR$158),"")</f>
        <v/>
      </c>
      <c r="AS158" t="str">
        <f ca="1">IFERROR(IF(0=LEN(ReferenceData!$AS$158),"",ReferenceData!$AS$158),"")</f>
        <v/>
      </c>
      <c r="AT158" t="str">
        <f ca="1">IFERROR(IF(0=LEN(ReferenceData!$AT$158),"",ReferenceData!$AT$158),"")</f>
        <v/>
      </c>
      <c r="AU158" t="str">
        <f ca="1">IFERROR(IF(0=LEN(ReferenceData!$AU$158),"",ReferenceData!$AU$158),"")</f>
        <v/>
      </c>
      <c r="AV158" t="str">
        <f ca="1">IFERROR(IF(0=LEN(ReferenceData!$AV$158),"",ReferenceData!$AV$158),"")</f>
        <v/>
      </c>
      <c r="AW158" t="str">
        <f ca="1">IFERROR(IF(0=LEN(ReferenceData!$AW$158),"",ReferenceData!$AW$158),"")</f>
        <v/>
      </c>
      <c r="AX158" t="str">
        <f ca="1">IFERROR(IF(0=LEN(ReferenceData!$AX$158),"",ReferenceData!$AX$158),"")</f>
        <v/>
      </c>
      <c r="AY158" t="str">
        <f ca="1">IFERROR(IF(0=LEN(ReferenceData!$AY$158),"",ReferenceData!$AY$158),"")</f>
        <v/>
      </c>
      <c r="AZ158" t="str">
        <f ca="1">IFERROR(IF(0=LEN(ReferenceData!$AZ$158),"",ReferenceData!$AZ$158),"")</f>
        <v/>
      </c>
      <c r="BA158" t="str">
        <f ca="1">IFERROR(IF(0=LEN(ReferenceData!$BA$158),"",ReferenceData!$BA$158),"")</f>
        <v/>
      </c>
      <c r="BB158" t="str">
        <f ca="1">IFERROR(IF(0=LEN(ReferenceData!$BB$158),"",ReferenceData!$BB$158),"")</f>
        <v/>
      </c>
      <c r="BC158" t="str">
        <f ca="1">IFERROR(IF(0=LEN(ReferenceData!$BC$158),"",ReferenceData!$BC$158),"")</f>
        <v/>
      </c>
      <c r="BD158" t="str">
        <f ca="1">IFERROR(IF(0=LEN(ReferenceData!$BD$158),"",ReferenceData!$BD$158),"")</f>
        <v/>
      </c>
      <c r="BE158" t="str">
        <f ca="1">IFERROR(IF(0=LEN(ReferenceData!$BE$158),"",ReferenceData!$BE$158),"")</f>
        <v/>
      </c>
      <c r="BF158" t="str">
        <f ca="1">IFERROR(IF(0=LEN(ReferenceData!$BF$158),"",ReferenceData!$BF$158),"")</f>
        <v/>
      </c>
      <c r="BG158" t="str">
        <f ca="1">IFERROR(IF(0=LEN(ReferenceData!$BG$158),"",ReferenceData!$BG$158),"")</f>
        <v/>
      </c>
      <c r="BH158" t="str">
        <f ca="1">IFERROR(IF(0=LEN(ReferenceData!$BH$158),"",ReferenceData!$BH$158),"")</f>
        <v/>
      </c>
      <c r="BI158" t="str">
        <f ca="1">IFERROR(IF(0=LEN(ReferenceData!$BI$158),"",ReferenceData!$BI$158),"")</f>
        <v/>
      </c>
      <c r="BJ158" t="str">
        <f ca="1">IFERROR(IF(0=LEN(ReferenceData!$BJ$158),"",ReferenceData!$BJ$158),"")</f>
        <v/>
      </c>
      <c r="BK158" t="str">
        <f ca="1">IFERROR(IF(0=LEN(ReferenceData!$BK$158),"",ReferenceData!$BK$158),"")</f>
        <v/>
      </c>
      <c r="BL158" t="str">
        <f ca="1">IFERROR(IF(0=LEN(ReferenceData!$BL$158),"",ReferenceData!$BL$158),"")</f>
        <v/>
      </c>
      <c r="BM158" t="str">
        <f ca="1">IFERROR(IF(0=LEN(ReferenceData!$BM$158),"",ReferenceData!$BM$158),"")</f>
        <v/>
      </c>
    </row>
    <row r="159" spans="1:65">
      <c r="A159" t="str">
        <f>IFERROR(IF(0=LEN(ReferenceData!$A$159),"",ReferenceData!$A$159),"")</f>
        <v xml:space="preserve">    Simon Property Group Inc</v>
      </c>
      <c r="B159" t="str">
        <f>IFERROR(IF(0=LEN(ReferenceData!$B$159),"",ReferenceData!$B$159),"")</f>
        <v>SPG US Equity</v>
      </c>
      <c r="C159" t="str">
        <f>IFERROR(IF(0=LEN(ReferenceData!$C$159),"",ReferenceData!$C$159),"")</f>
        <v>RR033</v>
      </c>
      <c r="D159" t="str">
        <f>IFERROR(IF(0=LEN(ReferenceData!$D$159),"",ReferenceData!$D$159),"")</f>
        <v>SALES_GROWTH</v>
      </c>
      <c r="E159" t="str">
        <f>IFERROR(IF(0=LEN(ReferenceData!$E$159),"",ReferenceData!$E$159),"")</f>
        <v>动态</v>
      </c>
      <c r="F159" t="str">
        <f ca="1">IFERROR(IF(0=LEN(ReferenceData!$F$159),"",ReferenceData!$F$159),"")</f>
        <v/>
      </c>
      <c r="G159">
        <f ca="1">IFERROR(IF(0=LEN(ReferenceData!$G$159),"",ReferenceData!$G$159),"")</f>
        <v>0.121040754</v>
      </c>
      <c r="H159">
        <f ca="1">IFERROR(IF(0=LEN(ReferenceData!$H$159),"",ReferenceData!$H$159),"")</f>
        <v>3.424041828</v>
      </c>
      <c r="I159">
        <f ca="1">IFERROR(IF(0=LEN(ReferenceData!$I$159),"",ReferenceData!$I$159),"")</f>
        <v>3.5098602689999998</v>
      </c>
      <c r="J159">
        <f ca="1">IFERROR(IF(0=LEN(ReferenceData!$J$159),"",ReferenceData!$J$159),"")</f>
        <v>0.67688325500000002</v>
      </c>
      <c r="K159">
        <f ca="1">IFERROR(IF(0=LEN(ReferenceData!$K$159),"",ReferenceData!$K$159),"")</f>
        <v>3.2843915890000002</v>
      </c>
      <c r="L159">
        <f ca="1">IFERROR(IF(0=LEN(ReferenceData!$L$159),"",ReferenceData!$L$159),"")</f>
        <v>2.8050876539999998</v>
      </c>
      <c r="M159">
        <f ca="1">IFERROR(IF(0=LEN(ReferenceData!$M$159),"",ReferenceData!$M$159),"")</f>
        <v>-2.500166777</v>
      </c>
      <c r="N159">
        <f ca="1">IFERROR(IF(0=LEN(ReferenceData!$N$159),"",ReferenceData!$N$159),"")</f>
        <v>9.9059803409999994</v>
      </c>
      <c r="O159">
        <f ca="1">IFERROR(IF(0=LEN(ReferenceData!$O$159),"",ReferenceData!$O$159),"")</f>
        <v>6.437415197</v>
      </c>
      <c r="P159">
        <f ca="1">IFERROR(IF(0=LEN(ReferenceData!$P$159),"",ReferenceData!$P$159),"")</f>
        <v>6.9201761729999998</v>
      </c>
      <c r="Q159">
        <f ca="1">IFERROR(IF(0=LEN(ReferenceData!$Q$159),"",ReferenceData!$Q$159),"")</f>
        <v>14.139640030000001</v>
      </c>
      <c r="R159">
        <f ca="1">IFERROR(IF(0=LEN(ReferenceData!$R$159),"",ReferenceData!$R$159),"")</f>
        <v>5.1177073560000004</v>
      </c>
      <c r="S159">
        <f ca="1">IFERROR(IF(0=LEN(ReferenceData!$S$159),"",ReferenceData!$S$159),"")</f>
        <v>3.6738054039999999</v>
      </c>
      <c r="T159">
        <f ca="1">IFERROR(IF(0=LEN(ReferenceData!$T$159),"",ReferenceData!$T$159),"")</f>
        <v>7.657054767</v>
      </c>
      <c r="U159">
        <f ca="1">IFERROR(IF(0=LEN(ReferenceData!$U$159),"",ReferenceData!$U$159),"")</f>
        <v>8.9391360130000006</v>
      </c>
      <c r="V159">
        <f ca="1">IFERROR(IF(0=LEN(ReferenceData!$V$159),"",ReferenceData!$V$159),"")</f>
        <v>-4.7763975050000003</v>
      </c>
      <c r="W159">
        <f ca="1">IFERROR(IF(0=LEN(ReferenceData!$W$159),"",ReferenceData!$W$159),"")</f>
        <v>-6.9379536770000003</v>
      </c>
      <c r="X159">
        <f ca="1">IFERROR(IF(0=LEN(ReferenceData!$X$159),"",ReferenceData!$X$159),"")</f>
        <v>-6.6530090340000001</v>
      </c>
      <c r="Y159">
        <f ca="1">IFERROR(IF(0=LEN(ReferenceData!$Y$159),"",ReferenceData!$Y$159),"")</f>
        <v>-8.6756964679999999</v>
      </c>
      <c r="Z159">
        <f ca="1">IFERROR(IF(0=LEN(ReferenceData!$Z$159),"",ReferenceData!$Z$159),"")</f>
        <v>8.5872798980000002</v>
      </c>
      <c r="AA159">
        <f ca="1">IFERROR(IF(0=LEN(ReferenceData!$AA$159),"",ReferenceData!$AA$159),"")</f>
        <v>14.77747224</v>
      </c>
      <c r="AB159">
        <f ca="1">IFERROR(IF(0=LEN(ReferenceData!$AB$159),"",ReferenceData!$AB$159),"")</f>
        <v>14.35803641</v>
      </c>
      <c r="AC159">
        <f ca="1">IFERROR(IF(0=LEN(ReferenceData!$AC$159),"",ReferenceData!$AC$159),"")</f>
        <v>14.14261847</v>
      </c>
      <c r="AD159">
        <f ca="1">IFERROR(IF(0=LEN(ReferenceData!$AD$159),"",ReferenceData!$AD$159),"")</f>
        <v>9.7163963389999992</v>
      </c>
      <c r="AE159">
        <f ca="1">IFERROR(IF(0=LEN(ReferenceData!$AE$159),"",ReferenceData!$AE$159),"")</f>
        <v>4.610000018</v>
      </c>
      <c r="AF159">
        <f ca="1">IFERROR(IF(0=LEN(ReferenceData!$AF$159),"",ReferenceData!$AF$159),"")</f>
        <v>9.7097342419999997</v>
      </c>
      <c r="AG159">
        <f ca="1">IFERROR(IF(0=LEN(ReferenceData!$AG$159),"",ReferenceData!$AG$159),"")</f>
        <v>11.493027809999999</v>
      </c>
      <c r="AH159">
        <f ca="1">IFERROR(IF(0=LEN(ReferenceData!$AH$159),"",ReferenceData!$AH$159),"")</f>
        <v>10.24818636</v>
      </c>
      <c r="AI159">
        <f ca="1">IFERROR(IF(0=LEN(ReferenceData!$AI$159),"",ReferenceData!$AI$159),"")</f>
        <v>8.9029158319999997</v>
      </c>
      <c r="AJ159">
        <f ca="1">IFERROR(IF(0=LEN(ReferenceData!$AJ$159),"",ReferenceData!$AJ$159),"")</f>
        <v>5.875350837</v>
      </c>
      <c r="AK159">
        <f ca="1">IFERROR(IF(0=LEN(ReferenceData!$AK$159),"",ReferenceData!$AK$159),"")</f>
        <v>3.3149183500000001</v>
      </c>
      <c r="AL159">
        <f ca="1">IFERROR(IF(0=LEN(ReferenceData!$AL$159),"",ReferenceData!$AL$159),"")</f>
        <v>0.71628277699999998</v>
      </c>
      <c r="AM159">
        <f ca="1">IFERROR(IF(0=LEN(ReferenceData!$AM$159),"",ReferenceData!$AM$159),"")</f>
        <v>-0.110364553</v>
      </c>
      <c r="AN159">
        <f ca="1">IFERROR(IF(0=LEN(ReferenceData!$AN$159),"",ReferenceData!$AN$159),"")</f>
        <v>-1.1395968759999999</v>
      </c>
      <c r="AO159">
        <f ca="1">IFERROR(IF(0=LEN(ReferenceData!$AO$159),"",ReferenceData!$AO$159),"")</f>
        <v>-2.0949198600000001</v>
      </c>
      <c r="AP159">
        <f ca="1">IFERROR(IF(0=LEN(ReferenceData!$AP$159),"",ReferenceData!$AP$159),"")</f>
        <v>2.590645796</v>
      </c>
      <c r="AQ159">
        <f ca="1">IFERROR(IF(0=LEN(ReferenceData!$AQ$159),"",ReferenceData!$AQ$159),"")</f>
        <v>-0.60497440599999996</v>
      </c>
      <c r="AR159">
        <f ca="1">IFERROR(IF(0=LEN(ReferenceData!$AR$159),"",ReferenceData!$AR$159),"")</f>
        <v>3.1361028279999998</v>
      </c>
      <c r="AS159">
        <f ca="1">IFERROR(IF(0=LEN(ReferenceData!$AS$159),"",ReferenceData!$AS$159),"")</f>
        <v>7.8294771079999999</v>
      </c>
      <c r="AT159">
        <f ca="1">IFERROR(IF(0=LEN(ReferenceData!$AT$159),"",ReferenceData!$AT$159),"")</f>
        <v>5.0645374419999998</v>
      </c>
      <c r="AU159">
        <f ca="1">IFERROR(IF(0=LEN(ReferenceData!$AU$159),"",ReferenceData!$AU$159),"")</f>
        <v>11.709425039999999</v>
      </c>
      <c r="AV159">
        <f ca="1">IFERROR(IF(0=LEN(ReferenceData!$AV$159),"",ReferenceData!$AV$159),"")</f>
        <v>10.798230439999999</v>
      </c>
      <c r="AW159">
        <f ca="1">IFERROR(IF(0=LEN(ReferenceData!$AW$159),"",ReferenceData!$AW$159),"")</f>
        <v>7.1605457609999998</v>
      </c>
      <c r="AX159">
        <f ca="1">IFERROR(IF(0=LEN(ReferenceData!$AX$159),"",ReferenceData!$AX$159),"")</f>
        <v>8.1879111130000002</v>
      </c>
      <c r="AY159">
        <f ca="1">IFERROR(IF(0=LEN(ReferenceData!$AY$159),"",ReferenceData!$AY$159),"")</f>
        <v>4.1853695819999999</v>
      </c>
      <c r="AZ159">
        <f ca="1">IFERROR(IF(0=LEN(ReferenceData!$AZ$159),"",ReferenceData!$AZ$159),"")</f>
        <v>4.5627828030000002</v>
      </c>
      <c r="BA159">
        <f ca="1">IFERROR(IF(0=LEN(ReferenceData!$BA$159),"",ReferenceData!$BA$159),"")</f>
        <v>6.2032964399999999</v>
      </c>
      <c r="BB159">
        <f ca="1">IFERROR(IF(0=LEN(ReferenceData!$BB$159),"",ReferenceData!$BB$159),"")</f>
        <v>6.156448374</v>
      </c>
      <c r="BC159">
        <f ca="1">IFERROR(IF(0=LEN(ReferenceData!$BC$159),"",ReferenceData!$BC$159),"")</f>
        <v>8.3290620509999993</v>
      </c>
      <c r="BD159">
        <f ca="1">IFERROR(IF(0=LEN(ReferenceData!$BD$159),"",ReferenceData!$BD$159),"")</f>
        <v>27.66603731</v>
      </c>
      <c r="BE159">
        <f ca="1">IFERROR(IF(0=LEN(ReferenceData!$BE$159),"",ReferenceData!$BE$159),"")</f>
        <v>25.01749551</v>
      </c>
      <c r="BF159">
        <f ca="1">IFERROR(IF(0=LEN(ReferenceData!$BF$159),"",ReferenceData!$BF$159),"")</f>
        <v>26.981600610000001</v>
      </c>
      <c r="BG159">
        <f ca="1">IFERROR(IF(0=LEN(ReferenceData!$BG$159),"",ReferenceData!$BG$159),"")</f>
        <v>29.76636976</v>
      </c>
      <c r="BH159">
        <f ca="1">IFERROR(IF(0=LEN(ReferenceData!$BH$159),"",ReferenceData!$BH$159),"")</f>
        <v>9.6097963740000001</v>
      </c>
      <c r="BI159">
        <f ca="1">IFERROR(IF(0=LEN(ReferenceData!$BI$159),"",ReferenceData!$BI$159),"")</f>
        <v>8.154224804</v>
      </c>
      <c r="BJ159">
        <f ca="1">IFERROR(IF(0=LEN(ReferenceData!$BJ$159),"",ReferenceData!$BJ$159),"")</f>
        <v>9.2453581570000001</v>
      </c>
      <c r="BK159">
        <f ca="1">IFERROR(IF(0=LEN(ReferenceData!$BK$159),"",ReferenceData!$BK$159),"")</f>
        <v>9.7753906080000004</v>
      </c>
      <c r="BL159">
        <f ca="1">IFERROR(IF(0=LEN(ReferenceData!$BL$159),"",ReferenceData!$BL$159),"")</f>
        <v>3.4158115740000001</v>
      </c>
      <c r="BM159">
        <f ca="1">IFERROR(IF(0=LEN(ReferenceData!$BM$159),"",ReferenceData!$BM$159),"")</f>
        <v>8.7374787890000007</v>
      </c>
    </row>
    <row r="160" spans="1:65">
      <c r="A160" t="str">
        <f>IFERROR(IF(0=LEN(ReferenceData!$A$160),"",ReferenceData!$A$160),"")</f>
        <v xml:space="preserve">    Tanger Factory Outlet Centers</v>
      </c>
      <c r="B160" t="str">
        <f>IFERROR(IF(0=LEN(ReferenceData!$B$160),"",ReferenceData!$B$160),"")</f>
        <v>SKT US Equity</v>
      </c>
      <c r="C160" t="str">
        <f>IFERROR(IF(0=LEN(ReferenceData!$C$160),"",ReferenceData!$C$160),"")</f>
        <v>RR033</v>
      </c>
      <c r="D160" t="str">
        <f>IFERROR(IF(0=LEN(ReferenceData!$D$160),"",ReferenceData!$D$160),"")</f>
        <v>SALES_GROWTH</v>
      </c>
      <c r="E160" t="str">
        <f>IFERROR(IF(0=LEN(ReferenceData!$E$160),"",ReferenceData!$E$160),"")</f>
        <v>动态</v>
      </c>
      <c r="F160" t="str">
        <f ca="1">IFERROR(IF(0=LEN(ReferenceData!$F$160),"",ReferenceData!$F$160),"")</f>
        <v/>
      </c>
      <c r="G160">
        <f ca="1">IFERROR(IF(0=LEN(ReferenceData!$G$160),"",ReferenceData!$G$160),"")</f>
        <v>1.547860853</v>
      </c>
      <c r="H160">
        <f ca="1">IFERROR(IF(0=LEN(ReferenceData!$H$160),"",ReferenceData!$H$160),"")</f>
        <v>1.366494036</v>
      </c>
      <c r="I160">
        <f ca="1">IFERROR(IF(0=LEN(ReferenceData!$I$160),"",ReferenceData!$I$160),"")</f>
        <v>7.4380462219999997</v>
      </c>
      <c r="J160">
        <f ca="1">IFERROR(IF(0=LEN(ReferenceData!$J$160),"",ReferenceData!$J$160),"")</f>
        <v>9.5329633139999999</v>
      </c>
      <c r="K160">
        <f ca="1">IFERROR(IF(0=LEN(ReferenceData!$K$160),"",ReferenceData!$K$160),"")</f>
        <v>10.42366646</v>
      </c>
      <c r="L160">
        <f ca="1">IFERROR(IF(0=LEN(ReferenceData!$L$160),"",ReferenceData!$L$160),"")</f>
        <v>5.5187501110000001</v>
      </c>
      <c r="M160">
        <f ca="1">IFERROR(IF(0=LEN(ReferenceData!$M$160),"",ReferenceData!$M$160),"")</f>
        <v>3.3387168630000001</v>
      </c>
      <c r="N160">
        <f ca="1">IFERROR(IF(0=LEN(ReferenceData!$N$160),"",ReferenceData!$N$160),"")</f>
        <v>4.6060457299999999</v>
      </c>
      <c r="O160">
        <f ca="1">IFERROR(IF(0=LEN(ReferenceData!$O$160),"",ReferenceData!$O$160),"")</f>
        <v>4.0849281189999997</v>
      </c>
      <c r="P160">
        <f ca="1">IFERROR(IF(0=LEN(ReferenceData!$P$160),"",ReferenceData!$P$160),"")</f>
        <v>7.336318436</v>
      </c>
      <c r="Q160">
        <f ca="1">IFERROR(IF(0=LEN(ReferenceData!$Q$160),"",ReferenceData!$Q$160),"")</f>
        <v>5.4044534889999998</v>
      </c>
      <c r="R160">
        <f ca="1">IFERROR(IF(0=LEN(ReferenceData!$R$160),"",ReferenceData!$R$160),"")</f>
        <v>3.058901364</v>
      </c>
      <c r="S160">
        <f ca="1">IFERROR(IF(0=LEN(ReferenceData!$S$160),"",ReferenceData!$S$160),"")</f>
        <v>0.97740507799999998</v>
      </c>
      <c r="T160">
        <f ca="1">IFERROR(IF(0=LEN(ReferenceData!$T$160),"",ReferenceData!$T$160),"")</f>
        <v>7.4420599980000004</v>
      </c>
      <c r="U160">
        <f ca="1">IFERROR(IF(0=LEN(ReferenceData!$U$160),"",ReferenceData!$U$160),"")</f>
        <v>12.302367739999999</v>
      </c>
      <c r="V160">
        <f ca="1">IFERROR(IF(0=LEN(ReferenceData!$V$160),"",ReferenceData!$V$160),"")</f>
        <v>15.89035844</v>
      </c>
      <c r="W160">
        <f ca="1">IFERROR(IF(0=LEN(ReferenceData!$W$160),"",ReferenceData!$W$160),"")</f>
        <v>13.04984411</v>
      </c>
      <c r="X160">
        <f ca="1">IFERROR(IF(0=LEN(ReferenceData!$X$160),"",ReferenceData!$X$160),"")</f>
        <v>8.2004354409999998</v>
      </c>
      <c r="Y160">
        <f ca="1">IFERROR(IF(0=LEN(ReferenceData!$Y$160),"",ReferenceData!$Y$160),"")</f>
        <v>4.2136600450000001</v>
      </c>
      <c r="Z160">
        <f ca="1">IFERROR(IF(0=LEN(ReferenceData!$Z$160),"",ReferenceData!$Z$160),"")</f>
        <v>5.2775898290000001</v>
      </c>
      <c r="AA160">
        <f ca="1">IFERROR(IF(0=LEN(ReferenceData!$AA$160),"",ReferenceData!$AA$160),"")</f>
        <v>6.502131479</v>
      </c>
      <c r="AB160">
        <f ca="1">IFERROR(IF(0=LEN(ReferenceData!$AB$160),"",ReferenceData!$AB$160),"")</f>
        <v>8.6974280119999996</v>
      </c>
      <c r="AC160">
        <f ca="1">IFERROR(IF(0=LEN(ReferenceData!$AC$160),"",ReferenceData!$AC$160),"")</f>
        <v>21.128694469999999</v>
      </c>
      <c r="AD160">
        <f ca="1">IFERROR(IF(0=LEN(ReferenceData!$AD$160),"",ReferenceData!$AD$160),"")</f>
        <v>19.089893839999998</v>
      </c>
      <c r="AE160">
        <f ca="1">IFERROR(IF(0=LEN(ReferenceData!$AE$160),"",ReferenceData!$AE$160),"")</f>
        <v>18.07717272</v>
      </c>
      <c r="AF160">
        <f ca="1">IFERROR(IF(0=LEN(ReferenceData!$AF$160),"",ReferenceData!$AF$160),"")</f>
        <v>19.820649750000001</v>
      </c>
      <c r="AG160">
        <f ca="1">IFERROR(IF(0=LEN(ReferenceData!$AG$160),"",ReferenceData!$AG$160),"")</f>
        <v>10.423462750000001</v>
      </c>
      <c r="AH160">
        <f ca="1">IFERROR(IF(0=LEN(ReferenceData!$AH$160),"",ReferenceData!$AH$160),"")</f>
        <v>7.1121407589999999</v>
      </c>
      <c r="AI160">
        <f ca="1">IFERROR(IF(0=LEN(ReferenceData!$AI$160),"",ReferenceData!$AI$160),"")</f>
        <v>5.8867257630000003</v>
      </c>
      <c r="AJ160">
        <f ca="1">IFERROR(IF(0=LEN(ReferenceData!$AJ$160),"",ReferenceData!$AJ$160),"")</f>
        <v>-0.82086569200000004</v>
      </c>
      <c r="AK160">
        <f ca="1">IFERROR(IF(0=LEN(ReferenceData!$AK$160),"",ReferenceData!$AK$160),"")</f>
        <v>1.389751553</v>
      </c>
      <c r="AL160">
        <f ca="1">IFERROR(IF(0=LEN(ReferenceData!$AL$160),"",ReferenceData!$AL$160),"")</f>
        <v>1.3567021699999999</v>
      </c>
      <c r="AM160">
        <f ca="1">IFERROR(IF(0=LEN(ReferenceData!$AM$160),"",ReferenceData!$AM$160),"")</f>
        <v>4.33001156</v>
      </c>
      <c r="AN160">
        <f ca="1">IFERROR(IF(0=LEN(ReferenceData!$AN$160),"",ReferenceData!$AN$160),"")</f>
        <v>11.589377600000001</v>
      </c>
      <c r="AO160">
        <f ca="1">IFERROR(IF(0=LEN(ReferenceData!$AO$160),"",ReferenceData!$AO$160),"")</f>
        <v>12.97254627</v>
      </c>
      <c r="AP160">
        <f ca="1">IFERROR(IF(0=LEN(ReferenceData!$AP$160),"",ReferenceData!$AP$160),"")</f>
        <v>13.76143585</v>
      </c>
      <c r="AQ160">
        <f ca="1">IFERROR(IF(0=LEN(ReferenceData!$AQ$160),"",ReferenceData!$AQ$160),"")</f>
        <v>10.260092289999999</v>
      </c>
      <c r="AR160">
        <f ca="1">IFERROR(IF(0=LEN(ReferenceData!$AR$160),"",ReferenceData!$AR$160),"")</f>
        <v>7.5137875520000001</v>
      </c>
      <c r="AS160">
        <f ca="1">IFERROR(IF(0=LEN(ReferenceData!$AS$160),"",ReferenceData!$AS$160),"")</f>
        <v>3.0198431339999998</v>
      </c>
      <c r="AT160">
        <f ca="1">IFERROR(IF(0=LEN(ReferenceData!$AT$160),"",ReferenceData!$AT$160),"")</f>
        <v>7.9314828420000003</v>
      </c>
      <c r="AU160">
        <f ca="1">IFERROR(IF(0=LEN(ReferenceData!$AU$160),"",ReferenceData!$AU$160),"")</f>
        <v>6.2449644299999996</v>
      </c>
      <c r="AV160">
        <f ca="1">IFERROR(IF(0=LEN(ReferenceData!$AV$160),"",ReferenceData!$AV$160),"")</f>
        <v>7.6001621760000004</v>
      </c>
      <c r="AW160">
        <f ca="1">IFERROR(IF(0=LEN(ReferenceData!$AW$160),"",ReferenceData!$AW$160),"")</f>
        <v>9.5115579480000001</v>
      </c>
      <c r="AX160">
        <f ca="1">IFERROR(IF(0=LEN(ReferenceData!$AX$160),"",ReferenceData!$AX$160),"")</f>
        <v>10.10207892</v>
      </c>
      <c r="AY160">
        <f ca="1">IFERROR(IF(0=LEN(ReferenceData!$AY$160),"",ReferenceData!$AY$160),"")</f>
        <v>8.7811882299999997</v>
      </c>
      <c r="AZ160">
        <f ca="1">IFERROR(IF(0=LEN(ReferenceData!$AZ$160),"",ReferenceData!$AZ$160),"")</f>
        <v>7.2519913819999999</v>
      </c>
      <c r="BA160">
        <f ca="1">IFERROR(IF(0=LEN(ReferenceData!$BA$160),"",ReferenceData!$BA$160),"")</f>
        <v>6.2025768750000001</v>
      </c>
      <c r="BB160">
        <f ca="1">IFERROR(IF(0=LEN(ReferenceData!$BB$160),"",ReferenceData!$BB$160),"")</f>
        <v>2.6253593099999999</v>
      </c>
      <c r="BC160">
        <f ca="1">IFERROR(IF(0=LEN(ReferenceData!$BC$160),"",ReferenceData!$BC$160),"")</f>
        <v>3.5111085370000001</v>
      </c>
      <c r="BD160">
        <f ca="1">IFERROR(IF(0=LEN(ReferenceData!$BD$160),"",ReferenceData!$BD$160),"")</f>
        <v>3.1583883859999999</v>
      </c>
      <c r="BE160">
        <f ca="1">IFERROR(IF(0=LEN(ReferenceData!$BE$160),"",ReferenceData!$BE$160),"")</f>
        <v>-2.834677831</v>
      </c>
      <c r="BF160">
        <f ca="1">IFERROR(IF(0=LEN(ReferenceData!$BF$160),"",ReferenceData!$BF$160),"")</f>
        <v>2.59070753</v>
      </c>
      <c r="BG160">
        <f ca="1">IFERROR(IF(0=LEN(ReferenceData!$BG$160),"",ReferenceData!$BG$160),"")</f>
        <v>51.62876541</v>
      </c>
      <c r="BH160">
        <f ca="1">IFERROR(IF(0=LEN(ReferenceData!$BH$160),"",ReferenceData!$BH$160),"")</f>
        <v>69.315749499999995</v>
      </c>
      <c r="BI160">
        <f ca="1">IFERROR(IF(0=LEN(ReferenceData!$BI$160),"",ReferenceData!$BI$160),"")</f>
        <v>69.593377669999995</v>
      </c>
      <c r="BJ160">
        <f ca="1">IFERROR(IF(0=LEN(ReferenceData!$BJ$160),"",ReferenceData!$BJ$160),"")</f>
        <v>59.759204330000003</v>
      </c>
      <c r="BK160">
        <f ca="1">IFERROR(IF(0=LEN(ReferenceData!$BK$160),"",ReferenceData!$BK$160),"")</f>
        <v>9.2330335059999999</v>
      </c>
      <c r="BL160">
        <f ca="1">IFERROR(IF(0=LEN(ReferenceData!$BL$160),"",ReferenceData!$BL$160),"")</f>
        <v>3.9847788629999998</v>
      </c>
      <c r="BM160">
        <f ca="1">IFERROR(IF(0=LEN(ReferenceData!$BM$160),"",ReferenceData!$BM$160),"")</f>
        <v>7.7192851549999997</v>
      </c>
    </row>
    <row r="161" spans="1:65">
      <c r="A161" t="str">
        <f>IFERROR(IF(0=LEN(ReferenceData!$A$161),"",ReferenceData!$A$161),"")</f>
        <v xml:space="preserve">    VEREIT Inc</v>
      </c>
      <c r="B161" t="str">
        <f>IFERROR(IF(0=LEN(ReferenceData!$B$161),"",ReferenceData!$B$161),"")</f>
        <v>VER US Equity</v>
      </c>
      <c r="C161" t="str">
        <f>IFERROR(IF(0=LEN(ReferenceData!$C$161),"",ReferenceData!$C$161),"")</f>
        <v>RR033</v>
      </c>
      <c r="D161" t="str">
        <f>IFERROR(IF(0=LEN(ReferenceData!$D$161),"",ReferenceData!$D$161),"")</f>
        <v>SALES_GROWTH</v>
      </c>
      <c r="E161" t="str">
        <f>IFERROR(IF(0=LEN(ReferenceData!$E$161),"",ReferenceData!$E$161),"")</f>
        <v>动态</v>
      </c>
      <c r="F161" t="str">
        <f ca="1">IFERROR(IF(0=LEN(ReferenceData!$F$161),"",ReferenceData!$F$161),"")</f>
        <v/>
      </c>
      <c r="G161">
        <f ca="1">IFERROR(IF(0=LEN(ReferenceData!$G$161),"",ReferenceData!$G$161),"")</f>
        <v>-10.02361674</v>
      </c>
      <c r="H161">
        <f ca="1">IFERROR(IF(0=LEN(ReferenceData!$H$161),"",ReferenceData!$H$161),"")</f>
        <v>-8.0423790690000008</v>
      </c>
      <c r="I161">
        <f ca="1">IFERROR(IF(0=LEN(ReferenceData!$I$161),"",ReferenceData!$I$161),"")</f>
        <v>-9.1879391619999993</v>
      </c>
      <c r="J161">
        <f ca="1">IFERROR(IF(0=LEN(ReferenceData!$J$161),"",ReferenceData!$J$161),"")</f>
        <v>-5.6883095770000001</v>
      </c>
      <c r="K161">
        <f ca="1">IFERROR(IF(0=LEN(ReferenceData!$K$161),"",ReferenceData!$K$161),"")</f>
        <v>-8.2178238480000001</v>
      </c>
      <c r="L161">
        <f ca="1">IFERROR(IF(0=LEN(ReferenceData!$L$161),"",ReferenceData!$L$161),"")</f>
        <v>-5.7250996220000001</v>
      </c>
      <c r="M161">
        <f ca="1">IFERROR(IF(0=LEN(ReferenceData!$M$161),"",ReferenceData!$M$161),"")</f>
        <v>-5.7660119730000003</v>
      </c>
      <c r="N161">
        <f ca="1">IFERROR(IF(0=LEN(ReferenceData!$N$161),"",ReferenceData!$N$161),"")</f>
        <v>-6.3324940099999996</v>
      </c>
      <c r="O161">
        <f ca="1">IFERROR(IF(0=LEN(ReferenceData!$O$161),"",ReferenceData!$O$161),"")</f>
        <v>-8.460460307</v>
      </c>
      <c r="P161">
        <f ca="1">IFERROR(IF(0=LEN(ReferenceData!$P$161),"",ReferenceData!$P$161),"")</f>
        <v>-15.786733399999999</v>
      </c>
      <c r="Q161">
        <f ca="1">IFERROR(IF(0=LEN(ReferenceData!$Q$161),"",ReferenceData!$Q$161),"")</f>
        <v>3.0203203740000002</v>
      </c>
      <c r="R161">
        <f ca="1">IFERROR(IF(0=LEN(ReferenceData!$R$161),"",ReferenceData!$R$161),"")</f>
        <v>22.672611889999999</v>
      </c>
      <c r="S161">
        <f ca="1">IFERROR(IF(0=LEN(ReferenceData!$S$161),"",ReferenceData!$S$161),"")</f>
        <v>344.99495300000001</v>
      </c>
      <c r="T161">
        <f ca="1">IFERROR(IF(0=LEN(ReferenceData!$T$161),"",ReferenceData!$T$161),"")</f>
        <v>379.88871979999999</v>
      </c>
      <c r="U161">
        <f ca="1">IFERROR(IF(0=LEN(ReferenceData!$U$161),"",ReferenceData!$U$161),"")</f>
        <v>595.56465560000004</v>
      </c>
      <c r="V161">
        <f ca="1">IFERROR(IF(0=LEN(ReferenceData!$V$161),"",ReferenceData!$V$161),"")</f>
        <v>648.66307670000003</v>
      </c>
      <c r="W161">
        <f ca="1">IFERROR(IF(0=LEN(ReferenceData!$W$161),"",ReferenceData!$W$161),"")</f>
        <v>212.94473629999999</v>
      </c>
      <c r="X161">
        <f ca="1">IFERROR(IF(0=LEN(ReferenceData!$X$161),"",ReferenceData!$X$161),"")</f>
        <v>406.24468539999998</v>
      </c>
      <c r="Y161">
        <f ca="1">IFERROR(IF(0=LEN(ReferenceData!$Y$161),"",ReferenceData!$Y$161),"")</f>
        <v>380.70866139999998</v>
      </c>
      <c r="Z161">
        <f ca="1">IFERROR(IF(0=LEN(ReferenceData!$Z$161),"",ReferenceData!$Z$161),"")</f>
        <v>587.45192310000004</v>
      </c>
      <c r="AA161">
        <f ca="1">IFERROR(IF(0=LEN(ReferenceData!$AA$161),"",ReferenceData!$AA$161),"")</f>
        <v>3227.3735499999998</v>
      </c>
      <c r="AB161">
        <f ca="1">IFERROR(IF(0=LEN(ReferenceData!$AB$161),"",ReferenceData!$AB$161),"")</f>
        <v>3166.666667</v>
      </c>
      <c r="AC161" t="str">
        <f ca="1">IFERROR(IF(0=LEN(ReferenceData!$AC$161),"",ReferenceData!$AC$161),"")</f>
        <v/>
      </c>
      <c r="AD161">
        <f ca="1">IFERROR(IF(0=LEN(ReferenceData!$AD$161),"",ReferenceData!$AD$161),"")</f>
        <v>268.10597680000001</v>
      </c>
      <c r="AE161" t="str">
        <f ca="1">IFERROR(IF(0=LEN(ReferenceData!$AE$161),"",ReferenceData!$AE$161),"")</f>
        <v/>
      </c>
      <c r="AF161" t="str">
        <f ca="1">IFERROR(IF(0=LEN(ReferenceData!$AF$161),"",ReferenceData!$AF$161),"")</f>
        <v/>
      </c>
      <c r="AG161" t="str">
        <f ca="1">IFERROR(IF(0=LEN(ReferenceData!$AG$161),"",ReferenceData!$AG$161),"")</f>
        <v/>
      </c>
      <c r="AH161">
        <f ca="1">IFERROR(IF(0=LEN(ReferenceData!$AH$161),"",ReferenceData!$AH$161),"")</f>
        <v>-3.1261786599999999</v>
      </c>
      <c r="AI161" t="str">
        <f ca="1">IFERROR(IF(0=LEN(ReferenceData!$AI$161),"",ReferenceData!$AI$161),"")</f>
        <v/>
      </c>
      <c r="AJ161" t="str">
        <f ca="1">IFERROR(IF(0=LEN(ReferenceData!$AJ$161),"",ReferenceData!$AJ$161),"")</f>
        <v/>
      </c>
      <c r="AK161" t="str">
        <f ca="1">IFERROR(IF(0=LEN(ReferenceData!$AK$161),"",ReferenceData!$AK$161),"")</f>
        <v/>
      </c>
      <c r="AL161" t="str">
        <f ca="1">IFERROR(IF(0=LEN(ReferenceData!$AL$161),"",ReferenceData!$AL$161),"")</f>
        <v/>
      </c>
      <c r="AM161" t="str">
        <f ca="1">IFERROR(IF(0=LEN(ReferenceData!$AM$161),"",ReferenceData!$AM$161),"")</f>
        <v/>
      </c>
      <c r="AN161" t="str">
        <f ca="1">IFERROR(IF(0=LEN(ReferenceData!$AN$161),"",ReferenceData!$AN$161),"")</f>
        <v/>
      </c>
      <c r="AO161" t="str">
        <f ca="1">IFERROR(IF(0=LEN(ReferenceData!$AO$161),"",ReferenceData!$AO$161),"")</f>
        <v/>
      </c>
      <c r="AP161" t="str">
        <f ca="1">IFERROR(IF(0=LEN(ReferenceData!$AP$161),"",ReferenceData!$AP$161),"")</f>
        <v/>
      </c>
      <c r="AQ161" t="str">
        <f ca="1">IFERROR(IF(0=LEN(ReferenceData!$AQ$161),"",ReferenceData!$AQ$161),"")</f>
        <v/>
      </c>
      <c r="AR161" t="str">
        <f ca="1">IFERROR(IF(0=LEN(ReferenceData!$AR$161),"",ReferenceData!$AR$161),"")</f>
        <v/>
      </c>
      <c r="AS161" t="str">
        <f ca="1">IFERROR(IF(0=LEN(ReferenceData!$AS$161),"",ReferenceData!$AS$161),"")</f>
        <v/>
      </c>
      <c r="AT161" t="str">
        <f ca="1">IFERROR(IF(0=LEN(ReferenceData!$AT$161),"",ReferenceData!$AT$161),"")</f>
        <v/>
      </c>
      <c r="AU161" t="str">
        <f ca="1">IFERROR(IF(0=LEN(ReferenceData!$AU$161),"",ReferenceData!$AU$161),"")</f>
        <v/>
      </c>
      <c r="AV161" t="str">
        <f ca="1">IFERROR(IF(0=LEN(ReferenceData!$AV$161),"",ReferenceData!$AV$161),"")</f>
        <v/>
      </c>
      <c r="AW161" t="str">
        <f ca="1">IFERROR(IF(0=LEN(ReferenceData!$AW$161),"",ReferenceData!$AW$161),"")</f>
        <v/>
      </c>
      <c r="AX161" t="str">
        <f ca="1">IFERROR(IF(0=LEN(ReferenceData!$AX$161),"",ReferenceData!$AX$161),"")</f>
        <v/>
      </c>
      <c r="AY161" t="str">
        <f ca="1">IFERROR(IF(0=LEN(ReferenceData!$AY$161),"",ReferenceData!$AY$161),"")</f>
        <v/>
      </c>
      <c r="AZ161" t="str">
        <f ca="1">IFERROR(IF(0=LEN(ReferenceData!$AZ$161),"",ReferenceData!$AZ$161),"")</f>
        <v/>
      </c>
      <c r="BA161" t="str">
        <f ca="1">IFERROR(IF(0=LEN(ReferenceData!$BA$161),"",ReferenceData!$BA$161),"")</f>
        <v/>
      </c>
      <c r="BB161" t="str">
        <f ca="1">IFERROR(IF(0=LEN(ReferenceData!$BB$161),"",ReferenceData!$BB$161),"")</f>
        <v/>
      </c>
      <c r="BC161" t="str">
        <f ca="1">IFERROR(IF(0=LEN(ReferenceData!$BC$161),"",ReferenceData!$BC$161),"")</f>
        <v/>
      </c>
      <c r="BD161" t="str">
        <f ca="1">IFERROR(IF(0=LEN(ReferenceData!$BD$161),"",ReferenceData!$BD$161),"")</f>
        <v/>
      </c>
      <c r="BE161" t="str">
        <f ca="1">IFERROR(IF(0=LEN(ReferenceData!$BE$161),"",ReferenceData!$BE$161),"")</f>
        <v/>
      </c>
      <c r="BF161" t="str">
        <f ca="1">IFERROR(IF(0=LEN(ReferenceData!$BF$161),"",ReferenceData!$BF$161),"")</f>
        <v/>
      </c>
      <c r="BG161" t="str">
        <f ca="1">IFERROR(IF(0=LEN(ReferenceData!$BG$161),"",ReferenceData!$BG$161),"")</f>
        <v/>
      </c>
      <c r="BH161" t="str">
        <f ca="1">IFERROR(IF(0=LEN(ReferenceData!$BH$161),"",ReferenceData!$BH$161),"")</f>
        <v/>
      </c>
      <c r="BI161" t="str">
        <f ca="1">IFERROR(IF(0=LEN(ReferenceData!$BI$161),"",ReferenceData!$BI$161),"")</f>
        <v/>
      </c>
      <c r="BJ161" t="str">
        <f ca="1">IFERROR(IF(0=LEN(ReferenceData!$BJ$161),"",ReferenceData!$BJ$161),"")</f>
        <v/>
      </c>
      <c r="BK161" t="str">
        <f ca="1">IFERROR(IF(0=LEN(ReferenceData!$BK$161),"",ReferenceData!$BK$161),"")</f>
        <v/>
      </c>
      <c r="BL161" t="str">
        <f ca="1">IFERROR(IF(0=LEN(ReferenceData!$BL$161),"",ReferenceData!$BL$161),"")</f>
        <v/>
      </c>
      <c r="BM161" t="str">
        <f ca="1">IFERROR(IF(0=LEN(ReferenceData!$BM$161),"",ReferenceData!$BM$161),"")</f>
        <v/>
      </c>
    </row>
    <row r="162" spans="1:65">
      <c r="A162" t="str">
        <f>IFERROR(IF(0=LEN(ReferenceData!$A$162),"",ReferenceData!$A$162),"")</f>
        <v xml:space="preserve">    Washington Prime Group Inc</v>
      </c>
      <c r="B162" t="str">
        <f>IFERROR(IF(0=LEN(ReferenceData!$B$162),"",ReferenceData!$B$162),"")</f>
        <v>WPG US Equity</v>
      </c>
      <c r="C162" t="str">
        <f>IFERROR(IF(0=LEN(ReferenceData!$C$162),"",ReferenceData!$C$162),"")</f>
        <v>RR033</v>
      </c>
      <c r="D162" t="str">
        <f>IFERROR(IF(0=LEN(ReferenceData!$D$162),"",ReferenceData!$D$162),"")</f>
        <v>SALES_GROWTH</v>
      </c>
      <c r="E162" t="str">
        <f>IFERROR(IF(0=LEN(ReferenceData!$E$162),"",ReferenceData!$E$162),"")</f>
        <v>动态</v>
      </c>
      <c r="F162" t="str">
        <f ca="1">IFERROR(IF(0=LEN(ReferenceData!$F$162),"",ReferenceData!$F$162),"")</f>
        <v/>
      </c>
      <c r="G162">
        <f ca="1">IFERROR(IF(0=LEN(ReferenceData!$G$162),"",ReferenceData!$G$162),"")</f>
        <v>-14.02667769</v>
      </c>
      <c r="H162">
        <f ca="1">IFERROR(IF(0=LEN(ReferenceData!$H$162),"",ReferenceData!$H$162),"")</f>
        <v>-14.57779556</v>
      </c>
      <c r="I162">
        <f ca="1">IFERROR(IF(0=LEN(ReferenceData!$I$162),"",ReferenceData!$I$162),"")</f>
        <v>-8.0524745059999994</v>
      </c>
      <c r="J162">
        <f ca="1">IFERROR(IF(0=LEN(ReferenceData!$J$162),"",ReferenceData!$J$162),"")</f>
        <v>-3.6361299050000002</v>
      </c>
      <c r="K162">
        <f ca="1">IFERROR(IF(0=LEN(ReferenceData!$K$162),"",ReferenceData!$K$162),"")</f>
        <v>-5.0536889049999996</v>
      </c>
      <c r="L162">
        <f ca="1">IFERROR(IF(0=LEN(ReferenceData!$L$162),"",ReferenceData!$L$162),"")</f>
        <v>-3.14525766</v>
      </c>
      <c r="M162">
        <f ca="1">IFERROR(IF(0=LEN(ReferenceData!$M$162),"",ReferenceData!$M$162),"")</f>
        <v>-13.383685290000001</v>
      </c>
      <c r="N162">
        <f ca="1">IFERROR(IF(0=LEN(ReferenceData!$N$162),"",ReferenceData!$N$162),"")</f>
        <v>-11.646993500000001</v>
      </c>
      <c r="O162">
        <f ca="1">IFERROR(IF(0=LEN(ReferenceData!$O$162),"",ReferenceData!$O$162),"")</f>
        <v>29.3737098</v>
      </c>
      <c r="P162">
        <f ca="1">IFERROR(IF(0=LEN(ReferenceData!$P$162),"",ReferenceData!$P$162),"")</f>
        <v>29.25443095</v>
      </c>
      <c r="Q162">
        <f ca="1">IFERROR(IF(0=LEN(ReferenceData!$Q$162),"",ReferenceData!$Q$162),"")</f>
        <v>50.167852060000001</v>
      </c>
      <c r="R162">
        <f ca="1">IFERROR(IF(0=LEN(ReferenceData!$R$162),"",ReferenceData!$R$162),"")</f>
        <v>50.483955709999996</v>
      </c>
      <c r="S162" t="str">
        <f ca="1">IFERROR(IF(0=LEN(ReferenceData!$S$162),"",ReferenceData!$S$162),"")</f>
        <v/>
      </c>
      <c r="T162" t="str">
        <f ca="1">IFERROR(IF(0=LEN(ReferenceData!$T$162),"",ReferenceData!$T$162),"")</f>
        <v/>
      </c>
      <c r="U162" t="str">
        <f ca="1">IFERROR(IF(0=LEN(ReferenceData!$U$162),"",ReferenceData!$U$162),"")</f>
        <v/>
      </c>
      <c r="V162" t="str">
        <f ca="1">IFERROR(IF(0=LEN(ReferenceData!$V$162),"",ReferenceData!$V$162),"")</f>
        <v/>
      </c>
      <c r="W162" t="str">
        <f ca="1">IFERROR(IF(0=LEN(ReferenceData!$W$162),"",ReferenceData!$W$162),"")</f>
        <v/>
      </c>
      <c r="X162" t="str">
        <f ca="1">IFERROR(IF(0=LEN(ReferenceData!$X$162),"",ReferenceData!$X$162),"")</f>
        <v/>
      </c>
      <c r="Y162" t="str">
        <f ca="1">IFERROR(IF(0=LEN(ReferenceData!$Y$162),"",ReferenceData!$Y$162),"")</f>
        <v/>
      </c>
      <c r="Z162" t="str">
        <f ca="1">IFERROR(IF(0=LEN(ReferenceData!$Z$162),"",ReferenceData!$Z$162),"")</f>
        <v/>
      </c>
      <c r="AA162" t="str">
        <f ca="1">IFERROR(IF(0=LEN(ReferenceData!$AA$162),"",ReferenceData!$AA$162),"")</f>
        <v/>
      </c>
      <c r="AB162" t="str">
        <f ca="1">IFERROR(IF(0=LEN(ReferenceData!$AB$162),"",ReferenceData!$AB$162),"")</f>
        <v/>
      </c>
      <c r="AC162" t="str">
        <f ca="1">IFERROR(IF(0=LEN(ReferenceData!$AC$162),"",ReferenceData!$AC$162),"")</f>
        <v/>
      </c>
      <c r="AD162" t="str">
        <f ca="1">IFERROR(IF(0=LEN(ReferenceData!$AD$162),"",ReferenceData!$AD$162),"")</f>
        <v/>
      </c>
      <c r="AE162" t="str">
        <f ca="1">IFERROR(IF(0=LEN(ReferenceData!$AE$162),"",ReferenceData!$AE$162),"")</f>
        <v/>
      </c>
      <c r="AF162" t="str">
        <f ca="1">IFERROR(IF(0=LEN(ReferenceData!$AF$162),"",ReferenceData!$AF$162),"")</f>
        <v/>
      </c>
      <c r="AG162" t="str">
        <f ca="1">IFERROR(IF(0=LEN(ReferenceData!$AG$162),"",ReferenceData!$AG$162),"")</f>
        <v/>
      </c>
      <c r="AH162" t="str">
        <f ca="1">IFERROR(IF(0=LEN(ReferenceData!$AH$162),"",ReferenceData!$AH$162),"")</f>
        <v/>
      </c>
      <c r="AI162" t="str">
        <f ca="1">IFERROR(IF(0=LEN(ReferenceData!$AI$162),"",ReferenceData!$AI$162),"")</f>
        <v/>
      </c>
      <c r="AJ162" t="str">
        <f ca="1">IFERROR(IF(0=LEN(ReferenceData!$AJ$162),"",ReferenceData!$AJ$162),"")</f>
        <v/>
      </c>
      <c r="AK162" t="str">
        <f ca="1">IFERROR(IF(0=LEN(ReferenceData!$AK$162),"",ReferenceData!$AK$162),"")</f>
        <v/>
      </c>
      <c r="AL162" t="str">
        <f ca="1">IFERROR(IF(0=LEN(ReferenceData!$AL$162),"",ReferenceData!$AL$162),"")</f>
        <v/>
      </c>
      <c r="AM162" t="str">
        <f ca="1">IFERROR(IF(0=LEN(ReferenceData!$AM$162),"",ReferenceData!$AM$162),"")</f>
        <v/>
      </c>
      <c r="AN162" t="str">
        <f ca="1">IFERROR(IF(0=LEN(ReferenceData!$AN$162),"",ReferenceData!$AN$162),"")</f>
        <v/>
      </c>
      <c r="AO162" t="str">
        <f ca="1">IFERROR(IF(0=LEN(ReferenceData!$AO$162),"",ReferenceData!$AO$162),"")</f>
        <v/>
      </c>
      <c r="AP162" t="str">
        <f ca="1">IFERROR(IF(0=LEN(ReferenceData!$AP$162),"",ReferenceData!$AP$162),"")</f>
        <v/>
      </c>
      <c r="AQ162" t="str">
        <f ca="1">IFERROR(IF(0=LEN(ReferenceData!$AQ$162),"",ReferenceData!$AQ$162),"")</f>
        <v/>
      </c>
      <c r="AR162" t="str">
        <f ca="1">IFERROR(IF(0=LEN(ReferenceData!$AR$162),"",ReferenceData!$AR$162),"")</f>
        <v/>
      </c>
      <c r="AS162" t="str">
        <f ca="1">IFERROR(IF(0=LEN(ReferenceData!$AS$162),"",ReferenceData!$AS$162),"")</f>
        <v/>
      </c>
      <c r="AT162" t="str">
        <f ca="1">IFERROR(IF(0=LEN(ReferenceData!$AT$162),"",ReferenceData!$AT$162),"")</f>
        <v/>
      </c>
      <c r="AU162" t="str">
        <f ca="1">IFERROR(IF(0=LEN(ReferenceData!$AU$162),"",ReferenceData!$AU$162),"")</f>
        <v/>
      </c>
      <c r="AV162" t="str">
        <f ca="1">IFERROR(IF(0=LEN(ReferenceData!$AV$162),"",ReferenceData!$AV$162),"")</f>
        <v/>
      </c>
      <c r="AW162" t="str">
        <f ca="1">IFERROR(IF(0=LEN(ReferenceData!$AW$162),"",ReferenceData!$AW$162),"")</f>
        <v/>
      </c>
      <c r="AX162" t="str">
        <f ca="1">IFERROR(IF(0=LEN(ReferenceData!$AX$162),"",ReferenceData!$AX$162),"")</f>
        <v/>
      </c>
      <c r="AY162" t="str">
        <f ca="1">IFERROR(IF(0=LEN(ReferenceData!$AY$162),"",ReferenceData!$AY$162),"")</f>
        <v/>
      </c>
      <c r="AZ162" t="str">
        <f ca="1">IFERROR(IF(0=LEN(ReferenceData!$AZ$162),"",ReferenceData!$AZ$162),"")</f>
        <v/>
      </c>
      <c r="BA162" t="str">
        <f ca="1">IFERROR(IF(0=LEN(ReferenceData!$BA$162),"",ReferenceData!$BA$162),"")</f>
        <v/>
      </c>
      <c r="BB162" t="str">
        <f ca="1">IFERROR(IF(0=LEN(ReferenceData!$BB$162),"",ReferenceData!$BB$162),"")</f>
        <v/>
      </c>
      <c r="BC162" t="str">
        <f ca="1">IFERROR(IF(0=LEN(ReferenceData!$BC$162),"",ReferenceData!$BC$162),"")</f>
        <v/>
      </c>
      <c r="BD162" t="str">
        <f ca="1">IFERROR(IF(0=LEN(ReferenceData!$BD$162),"",ReferenceData!$BD$162),"")</f>
        <v/>
      </c>
      <c r="BE162" t="str">
        <f ca="1">IFERROR(IF(0=LEN(ReferenceData!$BE$162),"",ReferenceData!$BE$162),"")</f>
        <v/>
      </c>
      <c r="BF162" t="str">
        <f ca="1">IFERROR(IF(0=LEN(ReferenceData!$BF$162),"",ReferenceData!$BF$162),"")</f>
        <v/>
      </c>
      <c r="BG162" t="str">
        <f ca="1">IFERROR(IF(0=LEN(ReferenceData!$BG$162),"",ReferenceData!$BG$162),"")</f>
        <v/>
      </c>
      <c r="BH162" t="str">
        <f ca="1">IFERROR(IF(0=LEN(ReferenceData!$BH$162),"",ReferenceData!$BH$162),"")</f>
        <v/>
      </c>
      <c r="BI162" t="str">
        <f ca="1">IFERROR(IF(0=LEN(ReferenceData!$BI$162),"",ReferenceData!$BI$162),"")</f>
        <v/>
      </c>
      <c r="BJ162" t="str">
        <f ca="1">IFERROR(IF(0=LEN(ReferenceData!$BJ$162),"",ReferenceData!$BJ$162),"")</f>
        <v/>
      </c>
      <c r="BK162" t="str">
        <f ca="1">IFERROR(IF(0=LEN(ReferenceData!$BK$162),"",ReferenceData!$BK$162),"")</f>
        <v/>
      </c>
      <c r="BL162" t="str">
        <f ca="1">IFERROR(IF(0=LEN(ReferenceData!$BL$162),"",ReferenceData!$BL$162),"")</f>
        <v/>
      </c>
      <c r="BM162" t="str">
        <f ca="1">IFERROR(IF(0=LEN(ReferenceData!$BM$162),"",ReferenceData!$BM$162),"")</f>
        <v/>
      </c>
    </row>
    <row r="163" spans="1:65">
      <c r="A163" t="str">
        <f>IFERROR(IF(0=LEN(ReferenceData!$A$163),"",ReferenceData!$A$163),"")</f>
        <v xml:space="preserve">    Weingarten Realty Investors</v>
      </c>
      <c r="B163" t="str">
        <f>IFERROR(IF(0=LEN(ReferenceData!$B$163),"",ReferenceData!$B$163),"")</f>
        <v>WRI US Equity</v>
      </c>
      <c r="C163" t="str">
        <f>IFERROR(IF(0=LEN(ReferenceData!$C$163),"",ReferenceData!$C$163),"")</f>
        <v>RR033</v>
      </c>
      <c r="D163" t="str">
        <f>IFERROR(IF(0=LEN(ReferenceData!$D$163),"",ReferenceData!$D$163),"")</f>
        <v>SALES_GROWTH</v>
      </c>
      <c r="E163" t="str">
        <f>IFERROR(IF(0=LEN(ReferenceData!$E$163),"",ReferenceData!$E$163),"")</f>
        <v>动态</v>
      </c>
      <c r="F163" t="str">
        <f ca="1">IFERROR(IF(0=LEN(ReferenceData!$F$163),"",ReferenceData!$F$163),"")</f>
        <v/>
      </c>
      <c r="G163">
        <f ca="1">IFERROR(IF(0=LEN(ReferenceData!$G$163),"",ReferenceData!$G$163),"")</f>
        <v>-2.447099669</v>
      </c>
      <c r="H163">
        <f ca="1">IFERROR(IF(0=LEN(ReferenceData!$H$163),"",ReferenceData!$H$163),"")</f>
        <v>3.9762191649999998</v>
      </c>
      <c r="I163">
        <f ca="1">IFERROR(IF(0=LEN(ReferenceData!$I$163),"",ReferenceData!$I$163),"")</f>
        <v>7.6262566700000001</v>
      </c>
      <c r="J163">
        <f ca="1">IFERROR(IF(0=LEN(ReferenceData!$J$163),"",ReferenceData!$J$163),"")</f>
        <v>8.4928672299999999</v>
      </c>
      <c r="K163">
        <f ca="1">IFERROR(IF(0=LEN(ReferenceData!$K$163),"",ReferenceData!$K$163),"")</f>
        <v>10.18788468</v>
      </c>
      <c r="L163">
        <f ca="1">IFERROR(IF(0=LEN(ReferenceData!$L$163),"",ReferenceData!$L$163),"")</f>
        <v>5.9730707179999998</v>
      </c>
      <c r="M163">
        <f ca="1">IFERROR(IF(0=LEN(ReferenceData!$M$163),"",ReferenceData!$M$163),"")</f>
        <v>6.996624712</v>
      </c>
      <c r="N163">
        <f ca="1">IFERROR(IF(0=LEN(ReferenceData!$N$163),"",ReferenceData!$N$163),"")</f>
        <v>5.4283871689999996</v>
      </c>
      <c r="O163">
        <f ca="1">IFERROR(IF(0=LEN(ReferenceData!$O$163),"",ReferenceData!$O$163),"")</f>
        <v>2.8167673789999998</v>
      </c>
      <c r="P163">
        <f ca="1">IFERROR(IF(0=LEN(ReferenceData!$P$163),"",ReferenceData!$P$163),"")</f>
        <v>0.20379862200000001</v>
      </c>
      <c r="Q163">
        <f ca="1">IFERROR(IF(0=LEN(ReferenceData!$Q$163),"",ReferenceData!$Q$163),"")</f>
        <v>-2.6015623200000002</v>
      </c>
      <c r="R163">
        <f ca="1">IFERROR(IF(0=LEN(ReferenceData!$R$163),"",ReferenceData!$R$163),"")</f>
        <v>-1.562010157</v>
      </c>
      <c r="S163">
        <f ca="1">IFERROR(IF(0=LEN(ReferenceData!$S$163),"",ReferenceData!$S$163),"")</f>
        <v>2.4589318999999998E-2</v>
      </c>
      <c r="T163">
        <f ca="1">IFERROR(IF(0=LEN(ReferenceData!$T$163),"",ReferenceData!$T$163),"")</f>
        <v>5.8547306609999996</v>
      </c>
      <c r="U163">
        <f ca="1">IFERROR(IF(0=LEN(ReferenceData!$U$163),"",ReferenceData!$U$163),"")</f>
        <v>6.7183081270000002</v>
      </c>
      <c r="V163">
        <f ca="1">IFERROR(IF(0=LEN(ReferenceData!$V$163),"",ReferenceData!$V$163),"")</f>
        <v>8.2875741549999997</v>
      </c>
      <c r="W163">
        <f ca="1">IFERROR(IF(0=LEN(ReferenceData!$W$163),"",ReferenceData!$W$163),"")</f>
        <v>5.4572678530000003</v>
      </c>
      <c r="X163">
        <f ca="1">IFERROR(IF(0=LEN(ReferenceData!$X$163),"",ReferenceData!$X$163),"")</f>
        <v>0.803636393</v>
      </c>
      <c r="Y163">
        <f ca="1">IFERROR(IF(0=LEN(ReferenceData!$Y$163),"",ReferenceData!$Y$163),"")</f>
        <v>2.865165223</v>
      </c>
      <c r="Z163">
        <f ca="1">IFERROR(IF(0=LEN(ReferenceData!$Z$163),"",ReferenceData!$Z$163),"")</f>
        <v>-0.82069325400000004</v>
      </c>
      <c r="AA163">
        <f ca="1">IFERROR(IF(0=LEN(ReferenceData!$AA$163),"",ReferenceData!$AA$163),"")</f>
        <v>-0.152009956</v>
      </c>
      <c r="AB163">
        <f ca="1">IFERROR(IF(0=LEN(ReferenceData!$AB$163),"",ReferenceData!$AB$163),"")</f>
        <v>-0.44763121700000003</v>
      </c>
      <c r="AC163">
        <f ca="1">IFERROR(IF(0=LEN(ReferenceData!$AC$163),"",ReferenceData!$AC$163),"")</f>
        <v>-3.8337725520000001</v>
      </c>
      <c r="AD163">
        <f ca="1">IFERROR(IF(0=LEN(ReferenceData!$AD$163),"",ReferenceData!$AD$163),"")</f>
        <v>0.58844945699999995</v>
      </c>
      <c r="AE163">
        <f ca="1">IFERROR(IF(0=LEN(ReferenceData!$AE$163),"",ReferenceData!$AE$163),"")</f>
        <v>-11.19871243</v>
      </c>
      <c r="AF163">
        <f ca="1">IFERROR(IF(0=LEN(ReferenceData!$AF$163),"",ReferenceData!$AF$163),"")</f>
        <v>-8.3873902089999994</v>
      </c>
      <c r="AG163">
        <f ca="1">IFERROR(IF(0=LEN(ReferenceData!$AG$163),"",ReferenceData!$AG$163),"")</f>
        <v>-10.49850861</v>
      </c>
      <c r="AH163">
        <f ca="1">IFERROR(IF(0=LEN(ReferenceData!$AH$163),"",ReferenceData!$AH$163),"")</f>
        <v>-13.85653331</v>
      </c>
      <c r="AI163">
        <f ca="1">IFERROR(IF(0=LEN(ReferenceData!$AI$163),"",ReferenceData!$AI$163),"")</f>
        <v>-5.1615716840000001</v>
      </c>
      <c r="AJ163">
        <f ca="1">IFERROR(IF(0=LEN(ReferenceData!$AJ$163),"",ReferenceData!$AJ$163),"")</f>
        <v>-6.2590425869999997</v>
      </c>
      <c r="AK163">
        <f ca="1">IFERROR(IF(0=LEN(ReferenceData!$AK$163),"",ReferenceData!$AK$163),"")</f>
        <v>-3.2468489979999999</v>
      </c>
      <c r="AL163">
        <f ca="1">IFERROR(IF(0=LEN(ReferenceData!$AL$163),"",ReferenceData!$AL$163),"")</f>
        <v>-5.0401019519999997</v>
      </c>
      <c r="AM163">
        <f ca="1">IFERROR(IF(0=LEN(ReferenceData!$AM$163),"",ReferenceData!$AM$163),"")</f>
        <v>-2.4000768899999998</v>
      </c>
      <c r="AN163">
        <f ca="1">IFERROR(IF(0=LEN(ReferenceData!$AN$163),"",ReferenceData!$AN$163),"")</f>
        <v>-7.0755421619999996</v>
      </c>
      <c r="AO163">
        <f ca="1">IFERROR(IF(0=LEN(ReferenceData!$AO$163),"",ReferenceData!$AO$163),"")</f>
        <v>-6.4806545660000001</v>
      </c>
      <c r="AP163">
        <f ca="1">IFERROR(IF(0=LEN(ReferenceData!$AP$163),"",ReferenceData!$AP$163),"")</f>
        <v>-4.6996079259999997</v>
      </c>
      <c r="AQ163">
        <f ca="1">IFERROR(IF(0=LEN(ReferenceData!$AQ$163),"",ReferenceData!$AQ$163),"")</f>
        <v>-3.2036841370000002</v>
      </c>
      <c r="AR163">
        <f ca="1">IFERROR(IF(0=LEN(ReferenceData!$AR$163),"",ReferenceData!$AR$163),"")</f>
        <v>0.67874634599999994</v>
      </c>
      <c r="AS163">
        <f ca="1">IFERROR(IF(0=LEN(ReferenceData!$AS$163),"",ReferenceData!$AS$163),"")</f>
        <v>7.079372223</v>
      </c>
      <c r="AT163">
        <f ca="1">IFERROR(IF(0=LEN(ReferenceData!$AT$163),"",ReferenceData!$AT$163),"")</f>
        <v>4.9182825479999996</v>
      </c>
      <c r="AU163">
        <f ca="1">IFERROR(IF(0=LEN(ReferenceData!$AU$163),"",ReferenceData!$AU$163),"")</f>
        <v>3.8229084740000001</v>
      </c>
      <c r="AV163">
        <f ca="1">IFERROR(IF(0=LEN(ReferenceData!$AV$163),"",ReferenceData!$AV$163),"")</f>
        <v>9.9868386040000008</v>
      </c>
      <c r="AW163">
        <f ca="1">IFERROR(IF(0=LEN(ReferenceData!$AW$163),"",ReferenceData!$AW$163),"")</f>
        <v>7.3069145559999997</v>
      </c>
      <c r="AX163">
        <f ca="1">IFERROR(IF(0=LEN(ReferenceData!$AX$163),"",ReferenceData!$AX$163),"")</f>
        <v>8.7799917129999994</v>
      </c>
      <c r="AY163">
        <f ca="1">IFERROR(IF(0=LEN(ReferenceData!$AY$163),"",ReferenceData!$AY$163),"")</f>
        <v>20.452751159999998</v>
      </c>
      <c r="AZ163">
        <f ca="1">IFERROR(IF(0=LEN(ReferenceData!$AZ$163),"",ReferenceData!$AZ$163),"")</f>
        <v>5.2025089470000001</v>
      </c>
      <c r="BA163">
        <f ca="1">IFERROR(IF(0=LEN(ReferenceData!$BA$163),"",ReferenceData!$BA$163),"")</f>
        <v>1.249073699</v>
      </c>
      <c r="BB163">
        <f ca="1">IFERROR(IF(0=LEN(ReferenceData!$BB$163),"",ReferenceData!$BB$163),"")</f>
        <v>2.2113911279999998</v>
      </c>
      <c r="BC163">
        <f ca="1">IFERROR(IF(0=LEN(ReferenceData!$BC$163),"",ReferenceData!$BC$163),"")</f>
        <v>-8.3192380949999993</v>
      </c>
      <c r="BD163">
        <f ca="1">IFERROR(IF(0=LEN(ReferenceData!$BD$163),"",ReferenceData!$BD$163),"")</f>
        <v>4.0029902420000001</v>
      </c>
      <c r="BE163">
        <f ca="1">IFERROR(IF(0=LEN(ReferenceData!$BE$163),"",ReferenceData!$BE$163),"")</f>
        <v>8.0855426050000005</v>
      </c>
      <c r="BF163">
        <f ca="1">IFERROR(IF(0=LEN(ReferenceData!$BF$163),"",ReferenceData!$BF$163),"")</f>
        <v>11.953694949999999</v>
      </c>
      <c r="BG163">
        <f ca="1">IFERROR(IF(0=LEN(ReferenceData!$BG$163),"",ReferenceData!$BG$163),"")</f>
        <v>19.37787075</v>
      </c>
      <c r="BH163">
        <f ca="1">IFERROR(IF(0=LEN(ReferenceData!$BH$163),"",ReferenceData!$BH$163),"")</f>
        <v>19.459670039999999</v>
      </c>
      <c r="BI163">
        <f ca="1">IFERROR(IF(0=LEN(ReferenceData!$BI$163),"",ReferenceData!$BI$163),"")</f>
        <v>18.737376510000001</v>
      </c>
      <c r="BJ163">
        <f ca="1">IFERROR(IF(0=LEN(ReferenceData!$BJ$163),"",ReferenceData!$BJ$163),"")</f>
        <v>18.80139015</v>
      </c>
      <c r="BK163">
        <f ca="1">IFERROR(IF(0=LEN(ReferenceData!$BK$163),"",ReferenceData!$BK$163),"")</f>
        <v>14.38305927</v>
      </c>
      <c r="BL163">
        <f ca="1">IFERROR(IF(0=LEN(ReferenceData!$BL$163),"",ReferenceData!$BL$163),"")</f>
        <v>14.653548000000001</v>
      </c>
      <c r="BM163">
        <f ca="1">IFERROR(IF(0=LEN(ReferenceData!$BM$163),"",ReferenceData!$BM$163),"")</f>
        <v>12.69059047</v>
      </c>
    </row>
    <row r="164" spans="1:65">
      <c r="A164" t="str">
        <f>IFERROR(IF(0=LEN(ReferenceData!$A$164),"",ReferenceData!$A$164),"")</f>
        <v>NOI增长(%)</v>
      </c>
      <c r="B164" t="str">
        <f>IFERROR(IF(0=LEN(ReferenceData!$B$164),"",ReferenceData!$B$164),"")</f>
        <v/>
      </c>
      <c r="C164" t="str">
        <f>IFERROR(IF(0=LEN(ReferenceData!$C$164),"",ReferenceData!$C$164),"")</f>
        <v/>
      </c>
      <c r="D164" t="str">
        <f>IFERROR(IF(0=LEN(ReferenceData!$D$164),"",ReferenceData!$D$164),"")</f>
        <v/>
      </c>
      <c r="E164" t="str">
        <f>IFERROR(IF(0=LEN(ReferenceData!$E$164),"",ReferenceData!$E$164),"")</f>
        <v>Median</v>
      </c>
      <c r="F164" t="str">
        <f ca="1">IFERROR(IF(0=LEN(ReferenceData!$F$164),"",ReferenceData!$F$164),"")</f>
        <v/>
      </c>
      <c r="G164">
        <f ca="1">IFERROR(IF(0=LEN(ReferenceData!$G$164),"",ReferenceData!$G$164),"")</f>
        <v>-0.38415363899999999</v>
      </c>
      <c r="H164">
        <f ca="1">IFERROR(IF(0=LEN(ReferenceData!$H$164),"",ReferenceData!$H$164),"")</f>
        <v>0.91493025900000002</v>
      </c>
      <c r="I164">
        <f ca="1">IFERROR(IF(0=LEN(ReferenceData!$I$164),"",ReferenceData!$I$164),"")</f>
        <v>3.0139025890000002</v>
      </c>
      <c r="J164">
        <f ca="1">IFERROR(IF(0=LEN(ReferenceData!$J$164),"",ReferenceData!$J$164),"")</f>
        <v>3.4048130570000001</v>
      </c>
      <c r="K164">
        <f ca="1">IFERROR(IF(0=LEN(ReferenceData!$K$164),"",ReferenceData!$K$164),"")</f>
        <v>2.9964922039999999</v>
      </c>
      <c r="L164">
        <f ca="1">IFERROR(IF(0=LEN(ReferenceData!$L$164),"",ReferenceData!$L$164),"")</f>
        <v>5.6821575429999998</v>
      </c>
      <c r="M164">
        <f ca="1">IFERROR(IF(0=LEN(ReferenceData!$M$164),"",ReferenceData!$M$164),"")</f>
        <v>4.720685724</v>
      </c>
      <c r="N164">
        <f ca="1">IFERROR(IF(0=LEN(ReferenceData!$N$164),"",ReferenceData!$N$164),"")</f>
        <v>6.7024669540000001</v>
      </c>
      <c r="O164">
        <f ca="1">IFERROR(IF(0=LEN(ReferenceData!$O$164),"",ReferenceData!$O$164),"")</f>
        <v>6.3478490279999997</v>
      </c>
      <c r="P164">
        <f ca="1">IFERROR(IF(0=LEN(ReferenceData!$P$164),"",ReferenceData!$P$164),"")</f>
        <v>5.6523295349999998</v>
      </c>
      <c r="Q164">
        <f ca="1">IFERROR(IF(0=LEN(ReferenceData!$Q$164),"",ReferenceData!$Q$164),"")</f>
        <v>9.2657519159999993</v>
      </c>
      <c r="R164">
        <f ca="1">IFERROR(IF(0=LEN(ReferenceData!$R$164),"",ReferenceData!$R$164),"")</f>
        <v>8.1277239649999995</v>
      </c>
      <c r="S164">
        <f ca="1">IFERROR(IF(0=LEN(ReferenceData!$S$164),"",ReferenceData!$S$164),"")</f>
        <v>8.7414597900000004</v>
      </c>
      <c r="T164">
        <f ca="1">IFERROR(IF(0=LEN(ReferenceData!$T$164),"",ReferenceData!$T$164),"")</f>
        <v>10.619571072500001</v>
      </c>
      <c r="U164">
        <f ca="1">IFERROR(IF(0=LEN(ReferenceData!$U$164),"",ReferenceData!$U$164),"")</f>
        <v>10.807188875000001</v>
      </c>
      <c r="V164">
        <f ca="1">IFERROR(IF(0=LEN(ReferenceData!$V$164),"",ReferenceData!$V$164),"")</f>
        <v>11.949003975</v>
      </c>
      <c r="W164">
        <f ca="1">IFERROR(IF(0=LEN(ReferenceData!$W$164),"",ReferenceData!$W$164),"")</f>
        <v>7.9642273914999997</v>
      </c>
      <c r="X164">
        <f ca="1">IFERROR(IF(0=LEN(ReferenceData!$X$164),"",ReferenceData!$X$164),"")</f>
        <v>4.6846678024999999</v>
      </c>
      <c r="Y164">
        <f ca="1">IFERROR(IF(0=LEN(ReferenceData!$Y$164),"",ReferenceData!$Y$164),"")</f>
        <v>5.2248777820000001</v>
      </c>
      <c r="Z164">
        <f ca="1">IFERROR(IF(0=LEN(ReferenceData!$Z$164),"",ReferenceData!$Z$164),"")</f>
        <v>6.1129638479999997</v>
      </c>
      <c r="AA164">
        <f ca="1">IFERROR(IF(0=LEN(ReferenceData!$AA$164),"",ReferenceData!$AA$164),"")</f>
        <v>6.9339273629999996</v>
      </c>
      <c r="AB164">
        <f ca="1">IFERROR(IF(0=LEN(ReferenceData!$AB$164),"",ReferenceData!$AB$164),"")</f>
        <v>8.3239509809999994</v>
      </c>
      <c r="AC164">
        <f ca="1">IFERROR(IF(0=LEN(ReferenceData!$AC$164),"",ReferenceData!$AC$164),"")</f>
        <v>6.8771706815</v>
      </c>
      <c r="AD164">
        <f ca="1">IFERROR(IF(0=LEN(ReferenceData!$AD$164),"",ReferenceData!$AD$164),"")</f>
        <v>9.8907719600000004</v>
      </c>
      <c r="AE164">
        <f ca="1">IFERROR(IF(0=LEN(ReferenceData!$AE$164),"",ReferenceData!$AE$164),"")</f>
        <v>3.9475561524999998</v>
      </c>
      <c r="AF164">
        <f ca="1">IFERROR(IF(0=LEN(ReferenceData!$AF$164),"",ReferenceData!$AF$164),"")</f>
        <v>4.2040929844999999</v>
      </c>
      <c r="AG164">
        <f ca="1">IFERROR(IF(0=LEN(ReferenceData!$AG$164),"",ReferenceData!$AG$164),"")</f>
        <v>4.5141212690000003</v>
      </c>
      <c r="AH164">
        <f ca="1">IFERROR(IF(0=LEN(ReferenceData!$AH$164),"",ReferenceData!$AH$164),"")</f>
        <v>2.0663652734999998</v>
      </c>
      <c r="AI164">
        <f ca="1">IFERROR(IF(0=LEN(ReferenceData!$AI$164),"",ReferenceData!$AI$164),"")</f>
        <v>3.127917209</v>
      </c>
      <c r="AJ164">
        <f ca="1">IFERROR(IF(0=LEN(ReferenceData!$AJ$164),"",ReferenceData!$AJ$164),"")</f>
        <v>1.6811607420000001</v>
      </c>
      <c r="AK164">
        <f ca="1">IFERROR(IF(0=LEN(ReferenceData!$AK$164),"",ReferenceData!$AK$164),"")</f>
        <v>2.0476554155</v>
      </c>
      <c r="AL164">
        <f ca="1">IFERROR(IF(0=LEN(ReferenceData!$AL$164),"",ReferenceData!$AL$164),"")</f>
        <v>0.34994108099999999</v>
      </c>
      <c r="AM164">
        <f ca="1">IFERROR(IF(0=LEN(ReferenceData!$AM$164),"",ReferenceData!$AM$164),"")</f>
        <v>-0.67918240549999997</v>
      </c>
      <c r="AN164">
        <f ca="1">IFERROR(IF(0=LEN(ReferenceData!$AN$164),"",ReferenceData!$AN$164),"")</f>
        <v>-2.4766702899999999</v>
      </c>
      <c r="AO164">
        <f ca="1">IFERROR(IF(0=LEN(ReferenceData!$AO$164),"",ReferenceData!$AO$164),"")</f>
        <v>-0.2588988445</v>
      </c>
      <c r="AP164">
        <f ca="1">IFERROR(IF(0=LEN(ReferenceData!$AP$164),"",ReferenceData!$AP$164),"")</f>
        <v>0.44991579049999997</v>
      </c>
      <c r="AQ164">
        <f ca="1">IFERROR(IF(0=LEN(ReferenceData!$AQ$164),"",ReferenceData!$AQ$164),"")</f>
        <v>5.3919074115000001</v>
      </c>
      <c r="AR164">
        <f ca="1">IFERROR(IF(0=LEN(ReferenceData!$AR$164),"",ReferenceData!$AR$164),"")</f>
        <v>6.1434184594999994</v>
      </c>
      <c r="AS164">
        <f ca="1">IFERROR(IF(0=LEN(ReferenceData!$AS$164),"",ReferenceData!$AS$164),"")</f>
        <v>8.4420689145000001</v>
      </c>
      <c r="AT164">
        <f ca="1">IFERROR(IF(0=LEN(ReferenceData!$AT$164),"",ReferenceData!$AT$164),"")</f>
        <v>9.1360030375000001</v>
      </c>
      <c r="AU164">
        <f ca="1">IFERROR(IF(0=LEN(ReferenceData!$AU$164),"",ReferenceData!$AU$164),"")</f>
        <v>11.874399321999999</v>
      </c>
      <c r="AV164">
        <f ca="1">IFERROR(IF(0=LEN(ReferenceData!$AV$164),"",ReferenceData!$AV$164),"")</f>
        <v>12.673689339999999</v>
      </c>
      <c r="AW164">
        <f ca="1">IFERROR(IF(0=LEN(ReferenceData!$AW$164),"",ReferenceData!$AW$164),"")</f>
        <v>8.4347174485000007</v>
      </c>
      <c r="AX164">
        <f ca="1">IFERROR(IF(0=LEN(ReferenceData!$AX$164),"",ReferenceData!$AX$164),"")</f>
        <v>7.2821448244999996</v>
      </c>
      <c r="AY164">
        <f ca="1">IFERROR(IF(0=LEN(ReferenceData!$AY$164),"",ReferenceData!$AY$164),"")</f>
        <v>9.9902483844999992</v>
      </c>
      <c r="AZ164">
        <f ca="1">IFERROR(IF(0=LEN(ReferenceData!$AZ$164),"",ReferenceData!$AZ$164),"")</f>
        <v>8.018738184</v>
      </c>
      <c r="BA164">
        <f ca="1">IFERROR(IF(0=LEN(ReferenceData!$BA$164),"",ReferenceData!$BA$164),"")</f>
        <v>7.7132934185000002</v>
      </c>
      <c r="BB164">
        <f ca="1">IFERROR(IF(0=LEN(ReferenceData!$BB$164),"",ReferenceData!$BB$164),"")</f>
        <v>10.176433984500001</v>
      </c>
      <c r="BC164">
        <f ca="1">IFERROR(IF(0=LEN(ReferenceData!$BC$164),"",ReferenceData!$BC$164),"")</f>
        <v>6.2282682114999997</v>
      </c>
      <c r="BD164">
        <f ca="1">IFERROR(IF(0=LEN(ReferenceData!$BD$164),"",ReferenceData!$BD$164),"")</f>
        <v>6.6540198134999997</v>
      </c>
      <c r="BE164">
        <f ca="1">IFERROR(IF(0=LEN(ReferenceData!$BE$164),"",ReferenceData!$BE$164),"")</f>
        <v>10.571471929499999</v>
      </c>
      <c r="BF164">
        <f ca="1">IFERROR(IF(0=LEN(ReferenceData!$BF$164),"",ReferenceData!$BF$164),"")</f>
        <v>11.935368714999999</v>
      </c>
      <c r="BG164">
        <f ca="1">IFERROR(IF(0=LEN(ReferenceData!$BG$164),"",ReferenceData!$BG$164),"")</f>
        <v>18.067864865000001</v>
      </c>
      <c r="BH164">
        <f ca="1">IFERROR(IF(0=LEN(ReferenceData!$BH$164),"",ReferenceData!$BH$164),"")</f>
        <v>19.260881875000003</v>
      </c>
      <c r="BI164">
        <f ca="1">IFERROR(IF(0=LEN(ReferenceData!$BI$164),"",ReferenceData!$BI$164),"")</f>
        <v>18.438711755</v>
      </c>
      <c r="BJ164">
        <f ca="1">IFERROR(IF(0=LEN(ReferenceData!$BJ$164),"",ReferenceData!$BJ$164),"")</f>
        <v>17.741440345000001</v>
      </c>
      <c r="BK164">
        <f ca="1">IFERROR(IF(0=LEN(ReferenceData!$BK$164),"",ReferenceData!$BK$164),"")</f>
        <v>15.822116805</v>
      </c>
      <c r="BL164">
        <f ca="1">IFERROR(IF(0=LEN(ReferenceData!$BL$164),"",ReferenceData!$BL$164),"")</f>
        <v>13.310207125000002</v>
      </c>
      <c r="BM164">
        <f ca="1">IFERROR(IF(0=LEN(ReferenceData!$BM$164),"",ReferenceData!$BM$164),"")</f>
        <v>10.630959165</v>
      </c>
    </row>
    <row r="165" spans="1:65">
      <c r="A165" t="str">
        <f>IFERROR(IF(0=LEN(ReferenceData!$A$165),"",ReferenceData!$A$165),"")</f>
        <v xml:space="preserve">    Brixmor Property Group Inc</v>
      </c>
      <c r="B165" t="str">
        <f>IFERROR(IF(0=LEN(ReferenceData!$B$165),"",ReferenceData!$B$165),"")</f>
        <v>BRX US Equity</v>
      </c>
      <c r="C165" t="str">
        <f>IFERROR(IF(0=LEN(ReferenceData!$C$165),"",ReferenceData!$C$165),"")</f>
        <v>RR551</v>
      </c>
      <c r="D165" t="str">
        <f>IFERROR(IF(0=LEN(ReferenceData!$D$165),"",ReferenceData!$D$165),"")</f>
        <v>NOI_GROWTH</v>
      </c>
      <c r="E165" t="str">
        <f>IFERROR(IF(0=LEN(ReferenceData!$E$165),"",ReferenceData!$E$165),"")</f>
        <v>动态</v>
      </c>
      <c r="F165" t="str">
        <f ca="1">IFERROR(IF(0=LEN(ReferenceData!$F$165),"",ReferenceData!$F$165),"")</f>
        <v/>
      </c>
      <c r="G165">
        <f ca="1">IFERROR(IF(0=LEN(ReferenceData!$G$165),"",ReferenceData!$G$165),"")</f>
        <v>-1.4309171110000001</v>
      </c>
      <c r="H165">
        <f ca="1">IFERROR(IF(0=LEN(ReferenceData!$H$165),"",ReferenceData!$H$165),"")</f>
        <v>-0.56582911599999997</v>
      </c>
      <c r="I165">
        <f ca="1">IFERROR(IF(0=LEN(ReferenceData!$I$165),"",ReferenceData!$I$165),"")</f>
        <v>3.0139025890000002</v>
      </c>
      <c r="J165">
        <f ca="1">IFERROR(IF(0=LEN(ReferenceData!$J$165),"",ReferenceData!$J$165),"")</f>
        <v>-4.4489938999999999E-2</v>
      </c>
      <c r="K165">
        <f ca="1">IFERROR(IF(0=LEN(ReferenceData!$K$165),"",ReferenceData!$K$165),"")</f>
        <v>8.4495444000000003E-2</v>
      </c>
      <c r="L165">
        <f ca="1">IFERROR(IF(0=LEN(ReferenceData!$L$165),"",ReferenceData!$L$165),"")</f>
        <v>1.4510974510000001</v>
      </c>
      <c r="M165">
        <f ca="1">IFERROR(IF(0=LEN(ReferenceData!$M$165),"",ReferenceData!$M$165),"")</f>
        <v>1.1624141459999999</v>
      </c>
      <c r="N165">
        <f ca="1">IFERROR(IF(0=LEN(ReferenceData!$N$165),"",ReferenceData!$N$165),"")</f>
        <v>2.724283352</v>
      </c>
      <c r="O165">
        <f ca="1">IFERROR(IF(0=LEN(ReferenceData!$O$165),"",ReferenceData!$O$165),"")</f>
        <v>4.9486163039999997</v>
      </c>
      <c r="P165">
        <f ca="1">IFERROR(IF(0=LEN(ReferenceData!$P$165),"",ReferenceData!$P$165),"")</f>
        <v>2.195781545</v>
      </c>
      <c r="Q165">
        <f ca="1">IFERROR(IF(0=LEN(ReferenceData!$Q$165),"",ReferenceData!$Q$165),"")</f>
        <v>1.427643891</v>
      </c>
      <c r="R165">
        <f ca="1">IFERROR(IF(0=LEN(ReferenceData!$R$165),"",ReferenceData!$R$165),"")</f>
        <v>2.9874334170000001</v>
      </c>
      <c r="S165">
        <f ca="1">IFERROR(IF(0=LEN(ReferenceData!$S$165),"",ReferenceData!$S$165),"")</f>
        <v>5.1119308669999999</v>
      </c>
      <c r="T165">
        <f ca="1">IFERROR(IF(0=LEN(ReferenceData!$T$165),"",ReferenceData!$T$165),"")</f>
        <v>7.4945519349999996</v>
      </c>
      <c r="U165">
        <f ca="1">IFERROR(IF(0=LEN(ReferenceData!$U$165),"",ReferenceData!$U$165),"")</f>
        <v>11.60128212</v>
      </c>
      <c r="V165">
        <f ca="1">IFERROR(IF(0=LEN(ReferenceData!$V$165),"",ReferenceData!$V$165),"")</f>
        <v>12.417997</v>
      </c>
      <c r="W165">
        <f ca="1">IFERROR(IF(0=LEN(ReferenceData!$W$165),"",ReferenceData!$W$165),"")</f>
        <v>4.8201400129999996</v>
      </c>
      <c r="X165">
        <f ca="1">IFERROR(IF(0=LEN(ReferenceData!$X$165),"",ReferenceData!$X$165),"")</f>
        <v>1.562309698</v>
      </c>
      <c r="Y165">
        <f ca="1">IFERROR(IF(0=LEN(ReferenceData!$Y$165),"",ReferenceData!$Y$165),"")</f>
        <v>0.36104171699999998</v>
      </c>
      <c r="Z165">
        <f ca="1">IFERROR(IF(0=LEN(ReferenceData!$Z$165),"",ReferenceData!$Z$165),"")</f>
        <v>-1.464086641</v>
      </c>
      <c r="AA165" t="str">
        <f ca="1">IFERROR(IF(0=LEN(ReferenceData!$AA$165),"",ReferenceData!$AA$165),"")</f>
        <v/>
      </c>
      <c r="AB165" t="str">
        <f ca="1">IFERROR(IF(0=LEN(ReferenceData!$AB$165),"",ReferenceData!$AB$165),"")</f>
        <v/>
      </c>
      <c r="AC165" t="str">
        <f ca="1">IFERROR(IF(0=LEN(ReferenceData!$AC$165),"",ReferenceData!$AC$165),"")</f>
        <v/>
      </c>
      <c r="AD165" t="str">
        <f ca="1">IFERROR(IF(0=LEN(ReferenceData!$AD$165),"",ReferenceData!$AD$165),"")</f>
        <v/>
      </c>
      <c r="AE165" t="str">
        <f ca="1">IFERROR(IF(0=LEN(ReferenceData!$AE$165),"",ReferenceData!$AE$165),"")</f>
        <v/>
      </c>
      <c r="AF165" t="str">
        <f ca="1">IFERROR(IF(0=LEN(ReferenceData!$AF$165),"",ReferenceData!$AF$165),"")</f>
        <v/>
      </c>
      <c r="AG165" t="str">
        <f ca="1">IFERROR(IF(0=LEN(ReferenceData!$AG$165),"",ReferenceData!$AG$165),"")</f>
        <v/>
      </c>
      <c r="AH165" t="str">
        <f ca="1">IFERROR(IF(0=LEN(ReferenceData!$AH$165),"",ReferenceData!$AH$165),"")</f>
        <v/>
      </c>
      <c r="AI165" t="str">
        <f ca="1">IFERROR(IF(0=LEN(ReferenceData!$AI$165),"",ReferenceData!$AI$165),"")</f>
        <v/>
      </c>
      <c r="AJ165" t="str">
        <f ca="1">IFERROR(IF(0=LEN(ReferenceData!$AJ$165),"",ReferenceData!$AJ$165),"")</f>
        <v/>
      </c>
      <c r="AK165" t="str">
        <f ca="1">IFERROR(IF(0=LEN(ReferenceData!$AK$165),"",ReferenceData!$AK$165),"")</f>
        <v/>
      </c>
      <c r="AL165" t="str">
        <f ca="1">IFERROR(IF(0=LEN(ReferenceData!$AL$165),"",ReferenceData!$AL$165),"")</f>
        <v/>
      </c>
      <c r="AM165" t="str">
        <f ca="1">IFERROR(IF(0=LEN(ReferenceData!$AM$165),"",ReferenceData!$AM$165),"")</f>
        <v/>
      </c>
      <c r="AN165" t="str">
        <f ca="1">IFERROR(IF(0=LEN(ReferenceData!$AN$165),"",ReferenceData!$AN$165),"")</f>
        <v/>
      </c>
      <c r="AO165" t="str">
        <f ca="1">IFERROR(IF(0=LEN(ReferenceData!$AO$165),"",ReferenceData!$AO$165),"")</f>
        <v/>
      </c>
      <c r="AP165" t="str">
        <f ca="1">IFERROR(IF(0=LEN(ReferenceData!$AP$165),"",ReferenceData!$AP$165),"")</f>
        <v/>
      </c>
      <c r="AQ165" t="str">
        <f ca="1">IFERROR(IF(0=LEN(ReferenceData!$AQ$165),"",ReferenceData!$AQ$165),"")</f>
        <v/>
      </c>
      <c r="AR165" t="str">
        <f ca="1">IFERROR(IF(0=LEN(ReferenceData!$AR$165),"",ReferenceData!$AR$165),"")</f>
        <v/>
      </c>
      <c r="AS165" t="str">
        <f ca="1">IFERROR(IF(0=LEN(ReferenceData!$AS$165),"",ReferenceData!$AS$165),"")</f>
        <v/>
      </c>
      <c r="AT165" t="str">
        <f ca="1">IFERROR(IF(0=LEN(ReferenceData!$AT$165),"",ReferenceData!$AT$165),"")</f>
        <v/>
      </c>
      <c r="AU165" t="str">
        <f ca="1">IFERROR(IF(0=LEN(ReferenceData!$AU$165),"",ReferenceData!$AU$165),"")</f>
        <v/>
      </c>
      <c r="AV165" t="str">
        <f ca="1">IFERROR(IF(0=LEN(ReferenceData!$AV$165),"",ReferenceData!$AV$165),"")</f>
        <v/>
      </c>
      <c r="AW165" t="str">
        <f ca="1">IFERROR(IF(0=LEN(ReferenceData!$AW$165),"",ReferenceData!$AW$165),"")</f>
        <v/>
      </c>
      <c r="AX165" t="str">
        <f ca="1">IFERROR(IF(0=LEN(ReferenceData!$AX$165),"",ReferenceData!$AX$165),"")</f>
        <v/>
      </c>
      <c r="AY165" t="str">
        <f ca="1">IFERROR(IF(0=LEN(ReferenceData!$AY$165),"",ReferenceData!$AY$165),"")</f>
        <v/>
      </c>
      <c r="AZ165" t="str">
        <f ca="1">IFERROR(IF(0=LEN(ReferenceData!$AZ$165),"",ReferenceData!$AZ$165),"")</f>
        <v/>
      </c>
      <c r="BA165" t="str">
        <f ca="1">IFERROR(IF(0=LEN(ReferenceData!$BA$165),"",ReferenceData!$BA$165),"")</f>
        <v/>
      </c>
      <c r="BB165" t="str">
        <f ca="1">IFERROR(IF(0=LEN(ReferenceData!$BB$165),"",ReferenceData!$BB$165),"")</f>
        <v/>
      </c>
      <c r="BC165" t="str">
        <f ca="1">IFERROR(IF(0=LEN(ReferenceData!$BC$165),"",ReferenceData!$BC$165),"")</f>
        <v/>
      </c>
      <c r="BD165" t="str">
        <f ca="1">IFERROR(IF(0=LEN(ReferenceData!$BD$165),"",ReferenceData!$BD$165),"")</f>
        <v/>
      </c>
      <c r="BE165" t="str">
        <f ca="1">IFERROR(IF(0=LEN(ReferenceData!$BE$165),"",ReferenceData!$BE$165),"")</f>
        <v/>
      </c>
      <c r="BF165" t="str">
        <f ca="1">IFERROR(IF(0=LEN(ReferenceData!$BF$165),"",ReferenceData!$BF$165),"")</f>
        <v/>
      </c>
      <c r="BG165" t="str">
        <f ca="1">IFERROR(IF(0=LEN(ReferenceData!$BG$165),"",ReferenceData!$BG$165),"")</f>
        <v/>
      </c>
      <c r="BH165" t="str">
        <f ca="1">IFERROR(IF(0=LEN(ReferenceData!$BH$165),"",ReferenceData!$BH$165),"")</f>
        <v/>
      </c>
      <c r="BI165" t="str">
        <f ca="1">IFERROR(IF(0=LEN(ReferenceData!$BI$165),"",ReferenceData!$BI$165),"")</f>
        <v/>
      </c>
      <c r="BJ165" t="str">
        <f ca="1">IFERROR(IF(0=LEN(ReferenceData!$BJ$165),"",ReferenceData!$BJ$165),"")</f>
        <v/>
      </c>
      <c r="BK165" t="str">
        <f ca="1">IFERROR(IF(0=LEN(ReferenceData!$BK$165),"",ReferenceData!$BK$165),"")</f>
        <v/>
      </c>
      <c r="BL165" t="str">
        <f ca="1">IFERROR(IF(0=LEN(ReferenceData!$BL$165),"",ReferenceData!$BL$165),"")</f>
        <v/>
      </c>
      <c r="BM165" t="str">
        <f ca="1">IFERROR(IF(0=LEN(ReferenceData!$BM$165),"",ReferenceData!$BM$165),"")</f>
        <v/>
      </c>
    </row>
    <row r="166" spans="1:65">
      <c r="A166" t="str">
        <f>IFERROR(IF(0=LEN(ReferenceData!$A$166),"",ReferenceData!$A$166),"")</f>
        <v xml:space="preserve">    CBL &amp; Associates Properties In</v>
      </c>
      <c r="B166" t="str">
        <f>IFERROR(IF(0=LEN(ReferenceData!$B$166),"",ReferenceData!$B$166),"")</f>
        <v>CBL US Equity</v>
      </c>
      <c r="C166" t="str">
        <f>IFERROR(IF(0=LEN(ReferenceData!$C$166),"",ReferenceData!$C$166),"")</f>
        <v>RR551</v>
      </c>
      <c r="D166" t="str">
        <f>IFERROR(IF(0=LEN(ReferenceData!$D$166),"",ReferenceData!$D$166),"")</f>
        <v>NOI_GROWTH</v>
      </c>
      <c r="E166" t="str">
        <f>IFERROR(IF(0=LEN(ReferenceData!$E$166),"",ReferenceData!$E$166),"")</f>
        <v>动态</v>
      </c>
      <c r="F166" t="str">
        <f ca="1">IFERROR(IF(0=LEN(ReferenceData!$F$166),"",ReferenceData!$F$166),"")</f>
        <v/>
      </c>
      <c r="G166">
        <f ca="1">IFERROR(IF(0=LEN(ReferenceData!$G$166),"",ReferenceData!$G$166),"")</f>
        <v>-10.43763152</v>
      </c>
      <c r="H166">
        <f ca="1">IFERROR(IF(0=LEN(ReferenceData!$H$166),"",ReferenceData!$H$166),"")</f>
        <v>-8.6489214659999991</v>
      </c>
      <c r="I166">
        <f ca="1">IFERROR(IF(0=LEN(ReferenceData!$I$166),"",ReferenceData!$I$166),"")</f>
        <v>-8.6056133530000007</v>
      </c>
      <c r="J166">
        <f ca="1">IFERROR(IF(0=LEN(ReferenceData!$J$166),"",ReferenceData!$J$166),"")</f>
        <v>-7.7298494780000002</v>
      </c>
      <c r="K166">
        <f ca="1">IFERROR(IF(0=LEN(ReferenceData!$K$166),"",ReferenceData!$K$166),"")</f>
        <v>-7.4054891280000001</v>
      </c>
      <c r="L166">
        <f ca="1">IFERROR(IF(0=LEN(ReferenceData!$L$166),"",ReferenceData!$L$166),"")</f>
        <v>-4.0645083189999998</v>
      </c>
      <c r="M166">
        <f ca="1">IFERROR(IF(0=LEN(ReferenceData!$M$166),"",ReferenceData!$M$166),"")</f>
        <v>2.7365611300000001</v>
      </c>
      <c r="N166">
        <f ca="1">IFERROR(IF(0=LEN(ReferenceData!$N$166),"",ReferenceData!$N$166),"")</f>
        <v>1.5287916800000001</v>
      </c>
      <c r="O166">
        <f ca="1">IFERROR(IF(0=LEN(ReferenceData!$O$166),"",ReferenceData!$O$166),"")</f>
        <v>1.8948722849999999</v>
      </c>
      <c r="P166">
        <f ca="1">IFERROR(IF(0=LEN(ReferenceData!$P$166),"",ReferenceData!$P$166),"")</f>
        <v>1.501773198</v>
      </c>
      <c r="Q166">
        <f ca="1">IFERROR(IF(0=LEN(ReferenceData!$Q$166),"",ReferenceData!$Q$166),"")</f>
        <v>0.51291878999999996</v>
      </c>
      <c r="R166">
        <f ca="1">IFERROR(IF(0=LEN(ReferenceData!$R$166),"",ReferenceData!$R$166),"")</f>
        <v>0.79547714400000002</v>
      </c>
      <c r="S166">
        <f ca="1">IFERROR(IF(0=LEN(ReferenceData!$S$166),"",ReferenceData!$S$166),"")</f>
        <v>1.207626256</v>
      </c>
      <c r="T166">
        <f ca="1">IFERROR(IF(0=LEN(ReferenceData!$T$166),"",ReferenceData!$T$166),"")</f>
        <v>3.1054577280000002</v>
      </c>
      <c r="U166">
        <f ca="1">IFERROR(IF(0=LEN(ReferenceData!$U$166),"",ReferenceData!$U$166),"")</f>
        <v>-0.105291014</v>
      </c>
      <c r="V166">
        <f ca="1">IFERROR(IF(0=LEN(ReferenceData!$V$166),"",ReferenceData!$V$166),"")</f>
        <v>0.62837343300000004</v>
      </c>
      <c r="W166">
        <f ca="1">IFERROR(IF(0=LEN(ReferenceData!$W$166),"",ReferenceData!$W$166),"")</f>
        <v>0.83764638300000005</v>
      </c>
      <c r="X166">
        <f ca="1">IFERROR(IF(0=LEN(ReferenceData!$X$166),"",ReferenceData!$X$166),"")</f>
        <v>1.877848892</v>
      </c>
      <c r="Y166">
        <f ca="1">IFERROR(IF(0=LEN(ReferenceData!$Y$166),"",ReferenceData!$Y$166),"")</f>
        <v>3.102903784</v>
      </c>
      <c r="Z166">
        <f ca="1">IFERROR(IF(0=LEN(ReferenceData!$Z$166),"",ReferenceData!$Z$166),"")</f>
        <v>5.0691465720000002</v>
      </c>
      <c r="AA166">
        <f ca="1">IFERROR(IF(0=LEN(ReferenceData!$AA$166),"",ReferenceData!$AA$166),"")</f>
        <v>4.7785660539999997</v>
      </c>
      <c r="AB166">
        <f ca="1">IFERROR(IF(0=LEN(ReferenceData!$AB$166),"",ReferenceData!$AB$166),"")</f>
        <v>-6.8956665170000004</v>
      </c>
      <c r="AC166">
        <f ca="1">IFERROR(IF(0=LEN(ReferenceData!$AC$166),"",ReferenceData!$AC$166),"")</f>
        <v>-3.4265851879999998</v>
      </c>
      <c r="AD166">
        <f ca="1">IFERROR(IF(0=LEN(ReferenceData!$AD$166),"",ReferenceData!$AD$166),"")</f>
        <v>-6.1235308709999998</v>
      </c>
      <c r="AE166">
        <f ca="1">IFERROR(IF(0=LEN(ReferenceData!$AE$166),"",ReferenceData!$AE$166),"")</f>
        <v>-8.3376029640000002</v>
      </c>
      <c r="AF166">
        <f ca="1">IFERROR(IF(0=LEN(ReferenceData!$AF$166),"",ReferenceData!$AF$166),"")</f>
        <v>2.6128771909999999</v>
      </c>
      <c r="AG166">
        <f ca="1">IFERROR(IF(0=LEN(ReferenceData!$AG$166),"",ReferenceData!$AG$166),"")</f>
        <v>1.20054013</v>
      </c>
      <c r="AH166">
        <f ca="1">IFERROR(IF(0=LEN(ReferenceData!$AH$166),"",ReferenceData!$AH$166),"")</f>
        <v>0.34123126199999998</v>
      </c>
      <c r="AI166">
        <f ca="1">IFERROR(IF(0=LEN(ReferenceData!$AI$166),"",ReferenceData!$AI$166),"")</f>
        <v>-0.52924572700000005</v>
      </c>
      <c r="AJ166">
        <f ca="1">IFERROR(IF(0=LEN(ReferenceData!$AJ$166),"",ReferenceData!$AJ$166),"")</f>
        <v>1.6811607420000001</v>
      </c>
      <c r="AK166">
        <f ca="1">IFERROR(IF(0=LEN(ReferenceData!$AK$166),"",ReferenceData!$AK$166),"")</f>
        <v>-3.3308286759999999</v>
      </c>
      <c r="AL166">
        <f ca="1">IFERROR(IF(0=LEN(ReferenceData!$AL$166),"",ReferenceData!$AL$166),"")</f>
        <v>-2.2632117470000002</v>
      </c>
      <c r="AM166">
        <f ca="1">IFERROR(IF(0=LEN(ReferenceData!$AM$166),"",ReferenceData!$AM$166),"")</f>
        <v>0.211655282</v>
      </c>
      <c r="AN166">
        <f ca="1">IFERROR(IF(0=LEN(ReferenceData!$AN$166),"",ReferenceData!$AN$166),"")</f>
        <v>-8.5568074040000006</v>
      </c>
      <c r="AO166">
        <f ca="1">IFERROR(IF(0=LEN(ReferenceData!$AO$166),"",ReferenceData!$AO$166),"")</f>
        <v>-0.47544187199999999</v>
      </c>
      <c r="AP166">
        <f ca="1">IFERROR(IF(0=LEN(ReferenceData!$AP$166),"",ReferenceData!$AP$166),"")</f>
        <v>-1.476718524</v>
      </c>
      <c r="AQ166">
        <f ca="1">IFERROR(IF(0=LEN(ReferenceData!$AQ$166),"",ReferenceData!$AQ$166),"")</f>
        <v>0.39292827699999999</v>
      </c>
      <c r="AR166">
        <f ca="1">IFERROR(IF(0=LEN(ReferenceData!$AR$166),"",ReferenceData!$AR$166),"")</f>
        <v>14.16146112</v>
      </c>
      <c r="AS166">
        <f ca="1">IFERROR(IF(0=LEN(ReferenceData!$AS$166),"",ReferenceData!$AS$166),"")</f>
        <v>9.7191112180000001</v>
      </c>
      <c r="AT166">
        <f ca="1">IFERROR(IF(0=LEN(ReferenceData!$AT$166),"",ReferenceData!$AT$166),"")</f>
        <v>11.19695097</v>
      </c>
      <c r="AU166">
        <f ca="1">IFERROR(IF(0=LEN(ReferenceData!$AU$166),"",ReferenceData!$AU$166),"")</f>
        <v>8.3878828040000002</v>
      </c>
      <c r="AV166">
        <f ca="1">IFERROR(IF(0=LEN(ReferenceData!$AV$166),"",ReferenceData!$AV$166),"")</f>
        <v>2.1277371380000001</v>
      </c>
      <c r="AW166">
        <f ca="1">IFERROR(IF(0=LEN(ReferenceData!$AW$166),"",ReferenceData!$AW$166),"")</f>
        <v>4.7779813750000004</v>
      </c>
      <c r="AX166">
        <f ca="1">IFERROR(IF(0=LEN(ReferenceData!$AX$166),"",ReferenceData!$AX$166),"")</f>
        <v>-1.032634117</v>
      </c>
      <c r="AY166">
        <f ca="1">IFERROR(IF(0=LEN(ReferenceData!$AY$166),"",ReferenceData!$AY$166),"")</f>
        <v>4.6913897950000001</v>
      </c>
      <c r="AZ166">
        <f ca="1">IFERROR(IF(0=LEN(ReferenceData!$AZ$166),"",ReferenceData!$AZ$166),"")</f>
        <v>6.6060405859999998</v>
      </c>
      <c r="BA166">
        <f ca="1">IFERROR(IF(0=LEN(ReferenceData!$BA$166),"",ReferenceData!$BA$166),"")</f>
        <v>15.02028207</v>
      </c>
      <c r="BB166">
        <f ca="1">IFERROR(IF(0=LEN(ReferenceData!$BB$166),"",ReferenceData!$BB$166),"")</f>
        <v>13.669702259999999</v>
      </c>
      <c r="BC166">
        <f ca="1">IFERROR(IF(0=LEN(ReferenceData!$BC$166),"",ReferenceData!$BC$166),"")</f>
        <v>14.924135270000001</v>
      </c>
      <c r="BD166">
        <f ca="1">IFERROR(IF(0=LEN(ReferenceData!$BD$166),"",ReferenceData!$BD$166),"")</f>
        <v>18.942843280000002</v>
      </c>
      <c r="BE166">
        <f ca="1">IFERROR(IF(0=LEN(ReferenceData!$BE$166),"",ReferenceData!$BE$166),"")</f>
        <v>16.390972550000001</v>
      </c>
      <c r="BF166">
        <f ca="1">IFERROR(IF(0=LEN(ReferenceData!$BF$166),"",ReferenceData!$BF$166),"")</f>
        <v>25.06521201</v>
      </c>
      <c r="BG166">
        <f ca="1">IFERROR(IF(0=LEN(ReferenceData!$BG$166),"",ReferenceData!$BG$166),"")</f>
        <v>23.798152470000002</v>
      </c>
      <c r="BH166">
        <f ca="1">IFERROR(IF(0=LEN(ReferenceData!$BH$166),"",ReferenceData!$BH$166),"")</f>
        <v>15.67375917</v>
      </c>
      <c r="BI166">
        <f ca="1">IFERROR(IF(0=LEN(ReferenceData!$BI$166),"",ReferenceData!$BI$166),"")</f>
        <v>7.7854446130000001</v>
      </c>
      <c r="BJ166">
        <f ca="1">IFERROR(IF(0=LEN(ReferenceData!$BJ$166),"",ReferenceData!$BJ$166),"")</f>
        <v>7.054730545</v>
      </c>
      <c r="BK166">
        <f ca="1">IFERROR(IF(0=LEN(ReferenceData!$BK$166),"",ReferenceData!$BK$166),"")</f>
        <v>17.521603899999999</v>
      </c>
      <c r="BL166">
        <f ca="1">IFERROR(IF(0=LEN(ReferenceData!$BL$166),"",ReferenceData!$BL$166),"")</f>
        <v>15.170582250000001</v>
      </c>
      <c r="BM166">
        <f ca="1">IFERROR(IF(0=LEN(ReferenceData!$BM$166),"",ReferenceData!$BM$166),"")</f>
        <v>13.43509141</v>
      </c>
    </row>
    <row r="167" spans="1:65">
      <c r="A167" t="str">
        <f>IFERROR(IF(0=LEN(ReferenceData!$A$167),"",ReferenceData!$A$167),"")</f>
        <v xml:space="preserve">    DDR Corp</v>
      </c>
      <c r="B167" t="str">
        <f>IFERROR(IF(0=LEN(ReferenceData!$B$167),"",ReferenceData!$B$167),"")</f>
        <v>DDR US Equity</v>
      </c>
      <c r="C167" t="str">
        <f>IFERROR(IF(0=LEN(ReferenceData!$C$167),"",ReferenceData!$C$167),"")</f>
        <v>RR551</v>
      </c>
      <c r="D167" t="str">
        <f>IFERROR(IF(0=LEN(ReferenceData!$D$167),"",ReferenceData!$D$167),"")</f>
        <v>NOI_GROWTH</v>
      </c>
      <c r="E167" t="str">
        <f>IFERROR(IF(0=LEN(ReferenceData!$E$167),"",ReferenceData!$E$167),"")</f>
        <v>动态</v>
      </c>
      <c r="F167" t="str">
        <f ca="1">IFERROR(IF(0=LEN(ReferenceData!$F$167),"",ReferenceData!$F$167),"")</f>
        <v/>
      </c>
      <c r="G167">
        <f ca="1">IFERROR(IF(0=LEN(ReferenceData!$G$167),"",ReferenceData!$G$167),"")</f>
        <v>-14.42025952</v>
      </c>
      <c r="H167">
        <f ca="1">IFERROR(IF(0=LEN(ReferenceData!$H$167),"",ReferenceData!$H$167),"")</f>
        <v>-14.031690040000001</v>
      </c>
      <c r="I167">
        <f ca="1">IFERROR(IF(0=LEN(ReferenceData!$I$167),"",ReferenceData!$I$167),"")</f>
        <v>-8.7014029169999993</v>
      </c>
      <c r="J167">
        <f ca="1">IFERROR(IF(0=LEN(ReferenceData!$J$167),"",ReferenceData!$J$167),"")</f>
        <v>-4.3030784960000004</v>
      </c>
      <c r="K167">
        <f ca="1">IFERROR(IF(0=LEN(ReferenceData!$K$167),"",ReferenceData!$K$167),"")</f>
        <v>-4.6464124719999997</v>
      </c>
      <c r="L167">
        <f ca="1">IFERROR(IF(0=LEN(ReferenceData!$L$167),"",ReferenceData!$L$167),"")</f>
        <v>0.58835087699999999</v>
      </c>
      <c r="M167">
        <f ca="1">IFERROR(IF(0=LEN(ReferenceData!$M$167),"",ReferenceData!$M$167),"")</f>
        <v>-1.527000441</v>
      </c>
      <c r="N167">
        <f ca="1">IFERROR(IF(0=LEN(ReferenceData!$N$167),"",ReferenceData!$N$167),"")</f>
        <v>-3.5129062310000001</v>
      </c>
      <c r="O167">
        <f ca="1">IFERROR(IF(0=LEN(ReferenceData!$O$167),"",ReferenceData!$O$167),"")</f>
        <v>-1.2336517950000001</v>
      </c>
      <c r="P167">
        <f ca="1">IFERROR(IF(0=LEN(ReferenceData!$P$167),"",ReferenceData!$P$167),"")</f>
        <v>6.8337621679999998</v>
      </c>
      <c r="Q167">
        <f ca="1">IFERROR(IF(0=LEN(ReferenceData!$Q$167),"",ReferenceData!$Q$167),"")</f>
        <v>11.294617130000001</v>
      </c>
      <c r="R167">
        <f ca="1">IFERROR(IF(0=LEN(ReferenceData!$R$167),"",ReferenceData!$R$167),"")</f>
        <v>11.763084559999999</v>
      </c>
      <c r="S167">
        <f ca="1">IFERROR(IF(0=LEN(ReferenceData!$S$167),"",ReferenceData!$S$167),"")</f>
        <v>10.863599260000001</v>
      </c>
      <c r="T167">
        <f ca="1">IFERROR(IF(0=LEN(ReferenceData!$T$167),"",ReferenceData!$T$167),"")</f>
        <v>21.078392220000001</v>
      </c>
      <c r="U167">
        <f ca="1">IFERROR(IF(0=LEN(ReferenceData!$U$167),"",ReferenceData!$U$167),"")</f>
        <v>20.99052623</v>
      </c>
      <c r="V167">
        <f ca="1">IFERROR(IF(0=LEN(ReferenceData!$V$167),"",ReferenceData!$V$167),"")</f>
        <v>20.060153249999999</v>
      </c>
      <c r="W167">
        <f ca="1">IFERROR(IF(0=LEN(ReferenceData!$W$167),"",ReferenceData!$W$167),"")</f>
        <v>14.532097670000001</v>
      </c>
      <c r="X167">
        <f ca="1">IFERROR(IF(0=LEN(ReferenceData!$X$167),"",ReferenceData!$X$167),"")</f>
        <v>5.5809424500000002</v>
      </c>
      <c r="Y167">
        <f ca="1">IFERROR(IF(0=LEN(ReferenceData!$Y$167),"",ReferenceData!$Y$167),"")</f>
        <v>5.746279081</v>
      </c>
      <c r="Z167">
        <f ca="1">IFERROR(IF(0=LEN(ReferenceData!$Z$167),"",ReferenceData!$Z$167),"")</f>
        <v>7.7594814330000004</v>
      </c>
      <c r="AA167">
        <f ca="1">IFERROR(IF(0=LEN(ReferenceData!$AA$167),"",ReferenceData!$AA$167),"")</f>
        <v>6.9339273629999996</v>
      </c>
      <c r="AB167">
        <f ca="1">IFERROR(IF(0=LEN(ReferenceData!$AB$167),"",ReferenceData!$AB$167),"")</f>
        <v>8.4993636079999995</v>
      </c>
      <c r="AC167">
        <f ca="1">IFERROR(IF(0=LEN(ReferenceData!$AC$167),"",ReferenceData!$AC$167),"")</f>
        <v>7.2194626800000004</v>
      </c>
      <c r="AD167">
        <f ca="1">IFERROR(IF(0=LEN(ReferenceData!$AD$167),"",ReferenceData!$AD$167),"")</f>
        <v>1.7677134240000001</v>
      </c>
      <c r="AE167">
        <f ca="1">IFERROR(IF(0=LEN(ReferenceData!$AE$167),"",ReferenceData!$AE$167),"")</f>
        <v>0.69352524800000004</v>
      </c>
      <c r="AF167">
        <f ca="1">IFERROR(IF(0=LEN(ReferenceData!$AF$167),"",ReferenceData!$AF$167),"")</f>
        <v>-4.0829516620000001</v>
      </c>
      <c r="AG167">
        <f ca="1">IFERROR(IF(0=LEN(ReferenceData!$AG$167),"",ReferenceData!$AG$167),"")</f>
        <v>-11.59388309</v>
      </c>
      <c r="AH167">
        <f ca="1">IFERROR(IF(0=LEN(ReferenceData!$AH$167),"",ReferenceData!$AH$167),"")</f>
        <v>-7.4418535219999997</v>
      </c>
      <c r="AI167">
        <f ca="1">IFERROR(IF(0=LEN(ReferenceData!$AI$167),"",ReferenceData!$AI$167),"")</f>
        <v>-5.6638901769999999</v>
      </c>
      <c r="AJ167">
        <f ca="1">IFERROR(IF(0=LEN(ReferenceData!$AJ$167),"",ReferenceData!$AJ$167),"")</f>
        <v>-2.655637112</v>
      </c>
      <c r="AK167">
        <f ca="1">IFERROR(IF(0=LEN(ReferenceData!$AK$167),"",ReferenceData!$AK$167),"")</f>
        <v>3.7287126900000001</v>
      </c>
      <c r="AL167">
        <f ca="1">IFERROR(IF(0=LEN(ReferenceData!$AL$167),"",ReferenceData!$AL$167),"")</f>
        <v>-2.8491454009999999</v>
      </c>
      <c r="AM167">
        <f ca="1">IFERROR(IF(0=LEN(ReferenceData!$AM$167),"",ReferenceData!$AM$167),"")</f>
        <v>-8.7620918779999997</v>
      </c>
      <c r="AN167">
        <f ca="1">IFERROR(IF(0=LEN(ReferenceData!$AN$167),"",ReferenceData!$AN$167),"")</f>
        <v>-16.32926282</v>
      </c>
      <c r="AO167">
        <f ca="1">IFERROR(IF(0=LEN(ReferenceData!$AO$167),"",ReferenceData!$AO$167),"")</f>
        <v>-15.130479830000001</v>
      </c>
      <c r="AP167">
        <f ca="1">IFERROR(IF(0=LEN(ReferenceData!$AP$167),"",ReferenceData!$AP$167),"")</f>
        <v>-16.574812909999999</v>
      </c>
      <c r="AQ167">
        <f ca="1">IFERROR(IF(0=LEN(ReferenceData!$AQ$167),"",ReferenceData!$AQ$167),"")</f>
        <v>-11.945552409999999</v>
      </c>
      <c r="AR167">
        <f ca="1">IFERROR(IF(0=LEN(ReferenceData!$AR$167),"",ReferenceData!$AR$167),"")</f>
        <v>-6.8662046419999996</v>
      </c>
      <c r="AS167">
        <f ca="1">IFERROR(IF(0=LEN(ReferenceData!$AS$167),"",ReferenceData!$AS$167),"")</f>
        <v>-13.84417975</v>
      </c>
      <c r="AT167">
        <f ca="1">IFERROR(IF(0=LEN(ReferenceData!$AT$167),"",ReferenceData!$AT$167),"")</f>
        <v>7.6992741819999999</v>
      </c>
      <c r="AU167">
        <f ca="1">IFERROR(IF(0=LEN(ReferenceData!$AU$167),"",ReferenceData!$AU$167),"")</f>
        <v>26.075991550000001</v>
      </c>
      <c r="AV167">
        <f ca="1">IFERROR(IF(0=LEN(ReferenceData!$AV$167),"",ReferenceData!$AV$167),"")</f>
        <v>19.419005559999999</v>
      </c>
      <c r="AW167">
        <f ca="1">IFERROR(IF(0=LEN(ReferenceData!$AW$167),"",ReferenceData!$AW$167),"")</f>
        <v>33.406519799999998</v>
      </c>
      <c r="AX167">
        <f ca="1">IFERROR(IF(0=LEN(ReferenceData!$AX$167),"",ReferenceData!$AX$167),"")</f>
        <v>10.37265026</v>
      </c>
      <c r="AY167">
        <f ca="1">IFERROR(IF(0=LEN(ReferenceData!$AY$167),"",ReferenceData!$AY$167),"")</f>
        <v>-2.2613548880000001</v>
      </c>
      <c r="AZ167">
        <f ca="1">IFERROR(IF(0=LEN(ReferenceData!$AZ$167),"",ReferenceData!$AZ$167),"")</f>
        <v>8.7016986969999994</v>
      </c>
      <c r="BA167">
        <f ca="1">IFERROR(IF(0=LEN(ReferenceData!$BA$167),"",ReferenceData!$BA$167),"")</f>
        <v>4.7551477069999999</v>
      </c>
      <c r="BB167">
        <f ca="1">IFERROR(IF(0=LEN(ReferenceData!$BB$167),"",ReferenceData!$BB$167),"")</f>
        <v>13.191482430000001</v>
      </c>
      <c r="BC167">
        <f ca="1">IFERROR(IF(0=LEN(ReferenceData!$BC$167),"",ReferenceData!$BC$167),"")</f>
        <v>19.2458426</v>
      </c>
      <c r="BD167">
        <f ca="1">IFERROR(IF(0=LEN(ReferenceData!$BD$167),"",ReferenceData!$BD$167),"")</f>
        <v>9.2490064289999996</v>
      </c>
      <c r="BE167">
        <f ca="1">IFERROR(IF(0=LEN(ReferenceData!$BE$167),"",ReferenceData!$BE$167),"")</f>
        <v>21.399500249999999</v>
      </c>
      <c r="BF167">
        <f ca="1">IFERROR(IF(0=LEN(ReferenceData!$BF$167),"",ReferenceData!$BF$167),"")</f>
        <v>38.735869719999997</v>
      </c>
      <c r="BG167">
        <f ca="1">IFERROR(IF(0=LEN(ReferenceData!$BG$167),"",ReferenceData!$BG$167),"")</f>
        <v>33.696806379999998</v>
      </c>
      <c r="BH167">
        <f ca="1">IFERROR(IF(0=LEN(ReferenceData!$BH$167),"",ReferenceData!$BH$167),"")</f>
        <v>33.524739539999999</v>
      </c>
      <c r="BI167">
        <f ca="1">IFERROR(IF(0=LEN(ReferenceData!$BI$167),"",ReferenceData!$BI$167),"")</f>
        <v>18.182936789999999</v>
      </c>
      <c r="BJ167">
        <f ca="1">IFERROR(IF(0=LEN(ReferenceData!$BJ$167),"",ReferenceData!$BJ$167),"")</f>
        <v>22.17807028</v>
      </c>
      <c r="BK167">
        <f ca="1">IFERROR(IF(0=LEN(ReferenceData!$BK$167),"",ReferenceData!$BK$167),"")</f>
        <v>28.710736000000001</v>
      </c>
      <c r="BL167">
        <f ca="1">IFERROR(IF(0=LEN(ReferenceData!$BL$167),"",ReferenceData!$BL$167),"")</f>
        <v>29.514888819999999</v>
      </c>
      <c r="BM167">
        <f ca="1">IFERROR(IF(0=LEN(ReferenceData!$BM$167),"",ReferenceData!$BM$167),"")</f>
        <v>46.776232620000002</v>
      </c>
    </row>
    <row r="168" spans="1:65">
      <c r="A168" t="str">
        <f>IFERROR(IF(0=LEN(ReferenceData!$A$168),"",ReferenceData!$A$168),"")</f>
        <v xml:space="preserve">    Federal Realty Investment Trus</v>
      </c>
      <c r="B168" t="str">
        <f>IFERROR(IF(0=LEN(ReferenceData!$B$168),"",ReferenceData!$B$168),"")</f>
        <v>FRT US Equity</v>
      </c>
      <c r="C168" t="str">
        <f>IFERROR(IF(0=LEN(ReferenceData!$C$168),"",ReferenceData!$C$168),"")</f>
        <v>RR551</v>
      </c>
      <c r="D168" t="str">
        <f>IFERROR(IF(0=LEN(ReferenceData!$D$168),"",ReferenceData!$D$168),"")</f>
        <v>NOI_GROWTH</v>
      </c>
      <c r="E168" t="str">
        <f>IFERROR(IF(0=LEN(ReferenceData!$E$168),"",ReferenceData!$E$168),"")</f>
        <v>动态</v>
      </c>
      <c r="F168" t="str">
        <f ca="1">IFERROR(IF(0=LEN(ReferenceData!$F$168),"",ReferenceData!$F$168),"")</f>
        <v/>
      </c>
      <c r="G168">
        <f ca="1">IFERROR(IF(0=LEN(ReferenceData!$G$168),"",ReferenceData!$G$168),"")</f>
        <v>7.1443190459999997</v>
      </c>
      <c r="H168">
        <f ca="1">IFERROR(IF(0=LEN(ReferenceData!$H$168),"",ReferenceData!$H$168),"")</f>
        <v>7.0182513369999997</v>
      </c>
      <c r="I168">
        <f ca="1">IFERROR(IF(0=LEN(ReferenceData!$I$168),"",ReferenceData!$I$168),"")</f>
        <v>6.062160531</v>
      </c>
      <c r="J168">
        <f ca="1">IFERROR(IF(0=LEN(ReferenceData!$J$168),"",ReferenceData!$J$168),"")</f>
        <v>6.594702957</v>
      </c>
      <c r="K168">
        <f ca="1">IFERROR(IF(0=LEN(ReferenceData!$K$168),"",ReferenceData!$K$168),"")</f>
        <v>7.596599265</v>
      </c>
      <c r="L168">
        <f ca="1">IFERROR(IF(0=LEN(ReferenceData!$L$168),"",ReferenceData!$L$168),"")</f>
        <v>6.8537093340000004</v>
      </c>
      <c r="M168">
        <f ca="1">IFERROR(IF(0=LEN(ReferenceData!$M$168),"",ReferenceData!$M$168),"")</f>
        <v>8.1292722319999999</v>
      </c>
      <c r="N168">
        <f ca="1">IFERROR(IF(0=LEN(ReferenceData!$N$168),"",ReferenceData!$N$168),"")</f>
        <v>8.6832644779999999</v>
      </c>
      <c r="O168">
        <f ca="1">IFERROR(IF(0=LEN(ReferenceData!$O$168),"",ReferenceData!$O$168),"")</f>
        <v>7.3966146359999998</v>
      </c>
      <c r="P168">
        <f ca="1">IFERROR(IF(0=LEN(ReferenceData!$P$168),"",ReferenceData!$P$168),"")</f>
        <v>10.09312132</v>
      </c>
      <c r="Q168">
        <f ca="1">IFERROR(IF(0=LEN(ReferenceData!$Q$168),"",ReferenceData!$Q$168),"")</f>
        <v>9.6410109649999995</v>
      </c>
      <c r="R168">
        <f ca="1">IFERROR(IF(0=LEN(ReferenceData!$R$168),"",ReferenceData!$R$168),"")</f>
        <v>8.1277239649999995</v>
      </c>
      <c r="S168">
        <f ca="1">IFERROR(IF(0=LEN(ReferenceData!$S$168),"",ReferenceData!$S$168),"")</f>
        <v>7.7682098709999998</v>
      </c>
      <c r="T168">
        <f ca="1">IFERROR(IF(0=LEN(ReferenceData!$T$168),"",ReferenceData!$T$168),"")</f>
        <v>6.5195624299999997</v>
      </c>
      <c r="U168">
        <f ca="1">IFERROR(IF(0=LEN(ReferenceData!$U$168),"",ReferenceData!$U$168),"")</f>
        <v>4.1379888420000004</v>
      </c>
      <c r="V168">
        <f ca="1">IFERROR(IF(0=LEN(ReferenceData!$V$168),"",ReferenceData!$V$168),"")</f>
        <v>4.5668590050000004</v>
      </c>
      <c r="W168">
        <f ca="1">IFERROR(IF(0=LEN(ReferenceData!$W$168),"",ReferenceData!$W$168),"")</f>
        <v>4.6236774189999998</v>
      </c>
      <c r="X168">
        <f ca="1">IFERROR(IF(0=LEN(ReferenceData!$X$168),"",ReferenceData!$X$168),"")</f>
        <v>6.7978533089999997</v>
      </c>
      <c r="Y168">
        <f ca="1">IFERROR(IF(0=LEN(ReferenceData!$Y$168),"",ReferenceData!$Y$168),"")</f>
        <v>9.1690136550000005</v>
      </c>
      <c r="Z168">
        <f ca="1">IFERROR(IF(0=LEN(ReferenceData!$Z$168),"",ReferenceData!$Z$168),"")</f>
        <v>7.1567811240000001</v>
      </c>
      <c r="AA168">
        <f ca="1">IFERROR(IF(0=LEN(ReferenceData!$AA$168),"",ReferenceData!$AA$168),"")</f>
        <v>11.45513794</v>
      </c>
      <c r="AB168">
        <f ca="1">IFERROR(IF(0=LEN(ReferenceData!$AB$168),"",ReferenceData!$AB$168),"")</f>
        <v>8.3239509809999994</v>
      </c>
      <c r="AC168">
        <f ca="1">IFERROR(IF(0=LEN(ReferenceData!$AC$168),"",ReferenceData!$AC$168),"")</f>
        <v>6.5348786829999996</v>
      </c>
      <c r="AD168">
        <f ca="1">IFERROR(IF(0=LEN(ReferenceData!$AD$168),"",ReferenceData!$AD$168),"")</f>
        <v>9.8907719600000004</v>
      </c>
      <c r="AE168">
        <f ca="1">IFERROR(IF(0=LEN(ReferenceData!$AE$168),"",ReferenceData!$AE$168),"")</f>
        <v>3.69379781</v>
      </c>
      <c r="AF168">
        <f ca="1">IFERROR(IF(0=LEN(ReferenceData!$AF$168),"",ReferenceData!$AF$168),"")</f>
        <v>5.7953087779999999</v>
      </c>
      <c r="AG168">
        <f ca="1">IFERROR(IF(0=LEN(ReferenceData!$AG$168),"",ReferenceData!$AG$168),"")</f>
        <v>3.3853320939999998</v>
      </c>
      <c r="AH168">
        <f ca="1">IFERROR(IF(0=LEN(ReferenceData!$AH$168),"",ReferenceData!$AH$168),"")</f>
        <v>3.7901246</v>
      </c>
      <c r="AI168">
        <f ca="1">IFERROR(IF(0=LEN(ReferenceData!$AI$168),"",ReferenceData!$AI$168),"")</f>
        <v>3.2748311999999999</v>
      </c>
      <c r="AJ168">
        <f ca="1">IFERROR(IF(0=LEN(ReferenceData!$AJ$168),"",ReferenceData!$AJ$168),"")</f>
        <v>-5.7262620000000002E-3</v>
      </c>
      <c r="AK168">
        <f ca="1">IFERROR(IF(0=LEN(ReferenceData!$AK$168),"",ReferenceData!$AK$168),"")</f>
        <v>3.6060286119999998</v>
      </c>
      <c r="AL168">
        <f ca="1">IFERROR(IF(0=LEN(ReferenceData!$AL$168),"",ReferenceData!$AL$168),"")</f>
        <v>1.9828288670000001</v>
      </c>
      <c r="AM168">
        <f ca="1">IFERROR(IF(0=LEN(ReferenceData!$AM$168),"",ReferenceData!$AM$168),"")</f>
        <v>0.82979942699999998</v>
      </c>
      <c r="AN168">
        <f ca="1">IFERROR(IF(0=LEN(ReferenceData!$AN$168),"",ReferenceData!$AN$168),"")</f>
        <v>3.5113508389999999</v>
      </c>
      <c r="AO168">
        <f ca="1">IFERROR(IF(0=LEN(ReferenceData!$AO$168),"",ReferenceData!$AO$168),"")</f>
        <v>4.2503779860000002</v>
      </c>
      <c r="AP168">
        <f ca="1">IFERROR(IF(0=LEN(ReferenceData!$AP$168),"",ReferenceData!$AP$168),"")</f>
        <v>2.9933346310000002</v>
      </c>
      <c r="AQ168">
        <f ca="1">IFERROR(IF(0=LEN(ReferenceData!$AQ$168),"",ReferenceData!$AQ$168),"")</f>
        <v>5.6039699829999998</v>
      </c>
      <c r="AR168">
        <f ca="1">IFERROR(IF(0=LEN(ReferenceData!$AR$168),"",ReferenceData!$AR$168),"")</f>
        <v>4.7289747469999996</v>
      </c>
      <c r="AS168">
        <f ca="1">IFERROR(IF(0=LEN(ReferenceData!$AS$168),"",ReferenceData!$AS$168),"")</f>
        <v>2.6190032890000001</v>
      </c>
      <c r="AT168">
        <f ca="1">IFERROR(IF(0=LEN(ReferenceData!$AT$168),"",ReferenceData!$AT$168),"")</f>
        <v>6.9170448779999996</v>
      </c>
      <c r="AU168">
        <f ca="1">IFERROR(IF(0=LEN(ReferenceData!$AU$168),"",ReferenceData!$AU$168),"")</f>
        <v>26.81893535</v>
      </c>
      <c r="AV168">
        <f ca="1">IFERROR(IF(0=LEN(ReferenceData!$AV$168),"",ReferenceData!$AV$168),"")</f>
        <v>4.6038363139999996</v>
      </c>
      <c r="AW168">
        <f ca="1">IFERROR(IF(0=LEN(ReferenceData!$AW$168),"",ReferenceData!$AW$168),"")</f>
        <v>8.1104655060000006</v>
      </c>
      <c r="AX168">
        <f ca="1">IFERROR(IF(0=LEN(ReferenceData!$AX$168),"",ReferenceData!$AX$168),"")</f>
        <v>6.2876651739999998</v>
      </c>
      <c r="AY168">
        <f ca="1">IFERROR(IF(0=LEN(ReferenceData!$AY$168),"",ReferenceData!$AY$168),"")</f>
        <v>-2.4380016769999999</v>
      </c>
      <c r="AZ168">
        <f ca="1">IFERROR(IF(0=LEN(ReferenceData!$AZ$168),"",ReferenceData!$AZ$168),"")</f>
        <v>10.800777030000001</v>
      </c>
      <c r="BA168">
        <f ca="1">IFERROR(IF(0=LEN(ReferenceData!$BA$168),"",ReferenceData!$BA$168),"")</f>
        <v>10.146919710000001</v>
      </c>
      <c r="BB168">
        <f ca="1">IFERROR(IF(0=LEN(ReferenceData!$BB$168),"",ReferenceData!$BB$168),"")</f>
        <v>10.43304382</v>
      </c>
      <c r="BC168">
        <f ca="1">IFERROR(IF(0=LEN(ReferenceData!$BC$168),"",ReferenceData!$BC$168),"")</f>
        <v>11.622623709999999</v>
      </c>
      <c r="BD168">
        <f ca="1">IFERROR(IF(0=LEN(ReferenceData!$BD$168),"",ReferenceData!$BD$168),"")</f>
        <v>6.1332640999999999</v>
      </c>
      <c r="BE168">
        <f ca="1">IFERROR(IF(0=LEN(ReferenceData!$BE$168),"",ReferenceData!$BE$168),"")</f>
        <v>12.553657640000001</v>
      </c>
      <c r="BF168">
        <f ca="1">IFERROR(IF(0=LEN(ReferenceData!$BF$168),"",ReferenceData!$BF$168),"")</f>
        <v>12.9164584</v>
      </c>
      <c r="BG168">
        <f ca="1">IFERROR(IF(0=LEN(ReferenceData!$BG$168),"",ReferenceData!$BG$168),"")</f>
        <v>-1.2153469400000001</v>
      </c>
      <c r="BH168">
        <f ca="1">IFERROR(IF(0=LEN(ReferenceData!$BH$168),"",ReferenceData!$BH$168),"")</f>
        <v>22.935245859999998</v>
      </c>
      <c r="BI168">
        <f ca="1">IFERROR(IF(0=LEN(ReferenceData!$BI$168),"",ReferenceData!$BI$168),"")</f>
        <v>14.72687101</v>
      </c>
      <c r="BJ168">
        <f ca="1">IFERROR(IF(0=LEN(ReferenceData!$BJ$168),"",ReferenceData!$BJ$168),"")</f>
        <v>15.030334270000001</v>
      </c>
      <c r="BK168">
        <f ca="1">IFERROR(IF(0=LEN(ReferenceData!$BK$168),"",ReferenceData!$BK$168),"")</f>
        <v>24.274580220000001</v>
      </c>
      <c r="BL168">
        <f ca="1">IFERROR(IF(0=LEN(ReferenceData!$BL$168),"",ReferenceData!$BL$168),"")</f>
        <v>13.530853670000001</v>
      </c>
      <c r="BM168">
        <f ca="1">IFERROR(IF(0=LEN(ReferenceData!$BM$168),"",ReferenceData!$BM$168),"")</f>
        <v>10.13389948</v>
      </c>
    </row>
    <row r="169" spans="1:65">
      <c r="A169" t="str">
        <f>IFERROR(IF(0=LEN(ReferenceData!$A$169),"",ReferenceData!$A$169),"")</f>
        <v xml:space="preserve">    Kimco Realty Corp</v>
      </c>
      <c r="B169" t="str">
        <f>IFERROR(IF(0=LEN(ReferenceData!$B$169),"",ReferenceData!$B$169),"")</f>
        <v>KIM US Equity</v>
      </c>
      <c r="C169" t="str">
        <f>IFERROR(IF(0=LEN(ReferenceData!$C$169),"",ReferenceData!$C$169),"")</f>
        <v>RR551</v>
      </c>
      <c r="D169" t="str">
        <f>IFERROR(IF(0=LEN(ReferenceData!$D$169),"",ReferenceData!$D$169),"")</f>
        <v>NOI_GROWTH</v>
      </c>
      <c r="E169" t="str">
        <f>IFERROR(IF(0=LEN(ReferenceData!$E$169),"",ReferenceData!$E$169),"")</f>
        <v>动态</v>
      </c>
      <c r="F169" t="str">
        <f ca="1">IFERROR(IF(0=LEN(ReferenceData!$F$169),"",ReferenceData!$F$169),"")</f>
        <v/>
      </c>
      <c r="G169">
        <f ca="1">IFERROR(IF(0=LEN(ReferenceData!$G$169),"",ReferenceData!$G$169),"")</f>
        <v>7.2222170569999999</v>
      </c>
      <c r="H169">
        <f ca="1">IFERROR(IF(0=LEN(ReferenceData!$H$169),"",ReferenceData!$H$169),"")</f>
        <v>3.9923604730000002</v>
      </c>
      <c r="I169">
        <f ca="1">IFERROR(IF(0=LEN(ReferenceData!$I$169),"",ReferenceData!$I$169),"")</f>
        <v>0.21979922299999999</v>
      </c>
      <c r="J169">
        <f ca="1">IFERROR(IF(0=LEN(ReferenceData!$J$169),"",ReferenceData!$J$169),"")</f>
        <v>-3.1296730990000001</v>
      </c>
      <c r="K169">
        <f ca="1">IFERROR(IF(0=LEN(ReferenceData!$K$169),"",ReferenceData!$K$169),"")</f>
        <v>-2.2835364610000002</v>
      </c>
      <c r="L169">
        <f ca="1">IFERROR(IF(0=LEN(ReferenceData!$L$169),"",ReferenceData!$L$169),"")</f>
        <v>-0.90100615500000003</v>
      </c>
      <c r="M169">
        <f ca="1">IFERROR(IF(0=LEN(ReferenceData!$M$169),"",ReferenceData!$M$169),"")</f>
        <v>0.69006598200000002</v>
      </c>
      <c r="N169">
        <f ca="1">IFERROR(IF(0=LEN(ReferenceData!$N$169),"",ReferenceData!$N$169),"")</f>
        <v>7.3506154490000002</v>
      </c>
      <c r="O169">
        <f ca="1">IFERROR(IF(0=LEN(ReferenceData!$O$169),"",ReferenceData!$O$169),"")</f>
        <v>13.816779289999999</v>
      </c>
      <c r="P169">
        <f ca="1">IFERROR(IF(0=LEN(ReferenceData!$P$169),"",ReferenceData!$P$169),"")</f>
        <v>12.834046949999999</v>
      </c>
      <c r="Q169">
        <f ca="1">IFERROR(IF(0=LEN(ReferenceData!$Q$169),"",ReferenceData!$Q$169),"")</f>
        <v>19.415398589999999</v>
      </c>
      <c r="R169">
        <f ca="1">IFERROR(IF(0=LEN(ReferenceData!$R$169),"",ReferenceData!$R$169),"")</f>
        <v>23.879099740000001</v>
      </c>
      <c r="S169">
        <f ca="1">IFERROR(IF(0=LEN(ReferenceData!$S$169),"",ReferenceData!$S$169),"")</f>
        <v>17.27359818</v>
      </c>
      <c r="T169">
        <f ca="1">IFERROR(IF(0=LEN(ReferenceData!$T$169),"",ReferenceData!$T$169),"")</f>
        <v>14.08873515</v>
      </c>
      <c r="U169">
        <f ca="1">IFERROR(IF(0=LEN(ReferenceData!$U$169),"",ReferenceData!$U$169),"")</f>
        <v>0.17101044200000001</v>
      </c>
      <c r="V169">
        <f ca="1">IFERROR(IF(0=LEN(ReferenceData!$V$169),"",ReferenceData!$V$169),"")</f>
        <v>-6.4279858999999995E-2</v>
      </c>
      <c r="W169">
        <f ca="1">IFERROR(IF(0=LEN(ReferenceData!$W$169),"",ReferenceData!$W$169),"")</f>
        <v>2.4206669559999998</v>
      </c>
      <c r="X169">
        <f ca="1">IFERROR(IF(0=LEN(ReferenceData!$X$169),"",ReferenceData!$X$169),"")</f>
        <v>0.47631424700000002</v>
      </c>
      <c r="Y169">
        <f ca="1">IFERROR(IF(0=LEN(ReferenceData!$Y$169),"",ReferenceData!$Y$169),"")</f>
        <v>8.0489653780000001</v>
      </c>
      <c r="Z169">
        <f ca="1">IFERROR(IF(0=LEN(ReferenceData!$Z$169),"",ReferenceData!$Z$169),"")</f>
        <v>2.053454823</v>
      </c>
      <c r="AA169">
        <f ca="1">IFERROR(IF(0=LEN(ReferenceData!$AA$169),"",ReferenceData!$AA$169),"")</f>
        <v>0.99407319100000002</v>
      </c>
      <c r="AB169">
        <f ca="1">IFERROR(IF(0=LEN(ReferenceData!$AB$169),"",ReferenceData!$AB$169),"")</f>
        <v>7.1288885439999996</v>
      </c>
      <c r="AC169">
        <f ca="1">IFERROR(IF(0=LEN(ReferenceData!$AC$169),"",ReferenceData!$AC$169),"")</f>
        <v>4.7104639769999999</v>
      </c>
      <c r="AD169">
        <f ca="1">IFERROR(IF(0=LEN(ReferenceData!$AD$169),"",ReferenceData!$AD$169),"")</f>
        <v>4.2880365539999996</v>
      </c>
      <c r="AE169">
        <f ca="1">IFERROR(IF(0=LEN(ReferenceData!$AE$169),"",ReferenceData!$AE$169),"")</f>
        <v>1.2831507069999999</v>
      </c>
      <c r="AF169">
        <f ca="1">IFERROR(IF(0=LEN(ReferenceData!$AF$169),"",ReferenceData!$AF$169),"")</f>
        <v>-0.50511558400000001</v>
      </c>
      <c r="AG169">
        <f ca="1">IFERROR(IF(0=LEN(ReferenceData!$AG$169),"",ReferenceData!$AG$169),"")</f>
        <v>1.793368136</v>
      </c>
      <c r="AH169">
        <f ca="1">IFERROR(IF(0=LEN(ReferenceData!$AH$169),"",ReferenceData!$AH$169),"")</f>
        <v>0.34260594700000002</v>
      </c>
      <c r="AI169">
        <f ca="1">IFERROR(IF(0=LEN(ReferenceData!$AI$169),"",ReferenceData!$AI$169),"")</f>
        <v>2.9810032180000001</v>
      </c>
      <c r="AJ169">
        <f ca="1">IFERROR(IF(0=LEN(ReferenceData!$AJ$169),"",ReferenceData!$AJ$169),"")</f>
        <v>8.8061689449999996</v>
      </c>
      <c r="AK169">
        <f ca="1">IFERROR(IF(0=LEN(ReferenceData!$AK$169),"",ReferenceData!$AK$169),"")</f>
        <v>10.04466612</v>
      </c>
      <c r="AL169">
        <f ca="1">IFERROR(IF(0=LEN(ReferenceData!$AL$169),"",ReferenceData!$AL$169),"")</f>
        <v>9.5576515719999993</v>
      </c>
      <c r="AM169">
        <f ca="1">IFERROR(IF(0=LEN(ReferenceData!$AM$169),"",ReferenceData!$AM$169),"")</f>
        <v>1.2578741330000001</v>
      </c>
      <c r="AN169">
        <f ca="1">IFERROR(IF(0=LEN(ReferenceData!$AN$169),"",ReferenceData!$AN$169),"")</f>
        <v>-4.134353033</v>
      </c>
      <c r="AO169">
        <f ca="1">IFERROR(IF(0=LEN(ReferenceData!$AO$169),"",ReferenceData!$AO$169),"")</f>
        <v>-4.2355816999999997E-2</v>
      </c>
      <c r="AP169">
        <f ca="1">IFERROR(IF(0=LEN(ReferenceData!$AP$169),"",ReferenceData!$AP$169),"")</f>
        <v>-1.0811179740000001</v>
      </c>
      <c r="AQ169">
        <f ca="1">IFERROR(IF(0=LEN(ReferenceData!$AQ$169),"",ReferenceData!$AQ$169),"")</f>
        <v>9.5852327170000002</v>
      </c>
      <c r="AR169">
        <f ca="1">IFERROR(IF(0=LEN(ReferenceData!$AR$169),"",ReferenceData!$AR$169),"")</f>
        <v>7.5578621720000001</v>
      </c>
      <c r="AS169">
        <f ca="1">IFERROR(IF(0=LEN(ReferenceData!$AS$169),"",ReferenceData!$AS$169),"")</f>
        <v>5.2832423190000002</v>
      </c>
      <c r="AT169">
        <f ca="1">IFERROR(IF(0=LEN(ReferenceData!$AT$169),"",ReferenceData!$AT$169),"")</f>
        <v>10.377429559999999</v>
      </c>
      <c r="AU169">
        <f ca="1">IFERROR(IF(0=LEN(ReferenceData!$AU$169),"",ReferenceData!$AU$169),"")</f>
        <v>2.937242683</v>
      </c>
      <c r="AV169">
        <f ca="1">IFERROR(IF(0=LEN(ReferenceData!$AV$169),"",ReferenceData!$AV$169),"")</f>
        <v>27.104847299999999</v>
      </c>
      <c r="AW169">
        <f ca="1">IFERROR(IF(0=LEN(ReferenceData!$AW$169),"",ReferenceData!$AW$169),"")</f>
        <v>14.79607251</v>
      </c>
      <c r="AX169">
        <f ca="1">IFERROR(IF(0=LEN(ReferenceData!$AX$169),"",ReferenceData!$AX$169),"")</f>
        <v>23.41592674</v>
      </c>
      <c r="AY169">
        <f ca="1">IFERROR(IF(0=LEN(ReferenceData!$AY$169),"",ReferenceData!$AY$169),"")</f>
        <v>36.961193659999999</v>
      </c>
      <c r="AZ169">
        <f ca="1">IFERROR(IF(0=LEN(ReferenceData!$AZ$169),"",ReferenceData!$AZ$169),"")</f>
        <v>6.03203055</v>
      </c>
      <c r="BA169">
        <f ca="1">IFERROR(IF(0=LEN(ReferenceData!$BA$169),"",ReferenceData!$BA$169),"")</f>
        <v>18.008239580000001</v>
      </c>
      <c r="BB169">
        <f ca="1">IFERROR(IF(0=LEN(ReferenceData!$BB$169),"",ReferenceData!$BB$169),"")</f>
        <v>6.5175193609999997</v>
      </c>
      <c r="BC169">
        <f ca="1">IFERROR(IF(0=LEN(ReferenceData!$BC$169),"",ReferenceData!$BC$169),"")</f>
        <v>1.404065876</v>
      </c>
      <c r="BD169">
        <f ca="1">IFERROR(IF(0=LEN(ReferenceData!$BD$169),"",ReferenceData!$BD$169),"")</f>
        <v>7.1747755270000004</v>
      </c>
      <c r="BE169">
        <f ca="1">IFERROR(IF(0=LEN(ReferenceData!$BE$169),"",ReferenceData!$BE$169),"")</f>
        <v>-3.373173462</v>
      </c>
      <c r="BF169">
        <f ca="1">IFERROR(IF(0=LEN(ReferenceData!$BF$169),"",ReferenceData!$BF$169),"")</f>
        <v>-7.4821330399999999</v>
      </c>
      <c r="BG169">
        <f ca="1">IFERROR(IF(0=LEN(ReferenceData!$BG$169),"",ReferenceData!$BG$169),"")</f>
        <v>-1.223899874</v>
      </c>
      <c r="BH169">
        <f ca="1">IFERROR(IF(0=LEN(ReferenceData!$BH$169),"",ReferenceData!$BH$169),"")</f>
        <v>4.2707737090000002</v>
      </c>
      <c r="BI169">
        <f ca="1">IFERROR(IF(0=LEN(ReferenceData!$BI$169),"",ReferenceData!$BI$169),"")</f>
        <v>18.69448672</v>
      </c>
      <c r="BJ169">
        <f ca="1">IFERROR(IF(0=LEN(ReferenceData!$BJ$169),"",ReferenceData!$BJ$169),"")</f>
        <v>21.786288160000002</v>
      </c>
      <c r="BK169">
        <f ca="1">IFERROR(IF(0=LEN(ReferenceData!$BK$169),"",ReferenceData!$BK$169),"")</f>
        <v>16.47762045</v>
      </c>
      <c r="BL169">
        <f ca="1">IFERROR(IF(0=LEN(ReferenceData!$BL$169),"",ReferenceData!$BL$169),"")</f>
        <v>13.089560580000001</v>
      </c>
      <c r="BM169">
        <f ca="1">IFERROR(IF(0=LEN(ReferenceData!$BM$169),"",ReferenceData!$BM$169),"")</f>
        <v>3.4522466629999999</v>
      </c>
    </row>
    <row r="170" spans="1:65">
      <c r="A170" t="str">
        <f>IFERROR(IF(0=LEN(ReferenceData!$A$170),"",ReferenceData!$A$170),"")</f>
        <v xml:space="preserve">    National Retail Properties Inc</v>
      </c>
      <c r="B170" t="str">
        <f>IFERROR(IF(0=LEN(ReferenceData!$B$170),"",ReferenceData!$B$170),"")</f>
        <v>NNN US Equity</v>
      </c>
      <c r="C170" t="str">
        <f>IFERROR(IF(0=LEN(ReferenceData!$C$170),"",ReferenceData!$C$170),"")</f>
        <v>RR551</v>
      </c>
      <c r="D170" t="str">
        <f>IFERROR(IF(0=LEN(ReferenceData!$D$170),"",ReferenceData!$D$170),"")</f>
        <v>NOI_GROWTH</v>
      </c>
      <c r="E170" t="str">
        <f>IFERROR(IF(0=LEN(ReferenceData!$E$170),"",ReferenceData!$E$170),"")</f>
        <v>动态</v>
      </c>
      <c r="F170" t="str">
        <f ca="1">IFERROR(IF(0=LEN(ReferenceData!$F$170),"",ReferenceData!$F$170),"")</f>
        <v/>
      </c>
      <c r="G170">
        <f ca="1">IFERROR(IF(0=LEN(ReferenceData!$G$170),"",ReferenceData!$G$170),"")</f>
        <v>6.6624914259999999</v>
      </c>
      <c r="H170">
        <f ca="1">IFERROR(IF(0=LEN(ReferenceData!$H$170),"",ReferenceData!$H$170),"")</f>
        <v>10.05157842</v>
      </c>
      <c r="I170">
        <f ca="1">IFERROR(IF(0=LEN(ReferenceData!$I$170),"",ReferenceData!$I$170),"")</f>
        <v>11.58282973</v>
      </c>
      <c r="J170">
        <f ca="1">IFERROR(IF(0=LEN(ReferenceData!$J$170),"",ReferenceData!$J$170),"")</f>
        <v>11.83903673</v>
      </c>
      <c r="K170">
        <f ca="1">IFERROR(IF(0=LEN(ReferenceData!$K$170),"",ReferenceData!$K$170),"")</f>
        <v>11.68437531</v>
      </c>
      <c r="L170">
        <f ca="1">IFERROR(IF(0=LEN(ReferenceData!$L$170),"",ReferenceData!$L$170),"")</f>
        <v>9.8092736019999993</v>
      </c>
      <c r="M170">
        <f ca="1">IFERROR(IF(0=LEN(ReferenceData!$M$170),"",ReferenceData!$M$170),"")</f>
        <v>12.35055116</v>
      </c>
      <c r="N170">
        <f ca="1">IFERROR(IF(0=LEN(ReferenceData!$N$170),"",ReferenceData!$N$170),"")</f>
        <v>9.5159172210000005</v>
      </c>
      <c r="O170">
        <f ca="1">IFERROR(IF(0=LEN(ReferenceData!$O$170),"",ReferenceData!$O$170),"")</f>
        <v>10.070115940000001</v>
      </c>
      <c r="P170">
        <f ca="1">IFERROR(IF(0=LEN(ReferenceData!$P$170),"",ReferenceData!$P$170),"")</f>
        <v>12.80284807</v>
      </c>
      <c r="Q170">
        <f ca="1">IFERROR(IF(0=LEN(ReferenceData!$Q$170),"",ReferenceData!$Q$170),"")</f>
        <v>12.12651481</v>
      </c>
      <c r="R170">
        <f ca="1">IFERROR(IF(0=LEN(ReferenceData!$R$170),"",ReferenceData!$R$170),"")</f>
        <v>12.62584534</v>
      </c>
      <c r="S170">
        <f ca="1">IFERROR(IF(0=LEN(ReferenceData!$S$170),"",ReferenceData!$S$170),"")</f>
        <v>11.91289452</v>
      </c>
      <c r="T170">
        <f ca="1">IFERROR(IF(0=LEN(ReferenceData!$T$170),"",ReferenceData!$T$170),"")</f>
        <v>9.7094962630000001</v>
      </c>
      <c r="U170">
        <f ca="1">IFERROR(IF(0=LEN(ReferenceData!$U$170),"",ReferenceData!$U$170),"")</f>
        <v>9.9045029509999996</v>
      </c>
      <c r="V170">
        <f ca="1">IFERROR(IF(0=LEN(ReferenceData!$V$170),"",ReferenceData!$V$170),"")</f>
        <v>12.68361647</v>
      </c>
      <c r="W170">
        <f ca="1">IFERROR(IF(0=LEN(ReferenceData!$W$170),"",ReferenceData!$W$170),"")</f>
        <v>16.950372479999999</v>
      </c>
      <c r="X170">
        <f ca="1">IFERROR(IF(0=LEN(ReferenceData!$X$170),"",ReferenceData!$X$170),"")</f>
        <v>20.107007469999999</v>
      </c>
      <c r="Y170">
        <f ca="1">IFERROR(IF(0=LEN(ReferenceData!$Y$170),"",ReferenceData!$Y$170),"")</f>
        <v>20.21205921</v>
      </c>
      <c r="Z170">
        <f ca="1">IFERROR(IF(0=LEN(ReferenceData!$Z$170),"",ReferenceData!$Z$170),"")</f>
        <v>23.024929650000001</v>
      </c>
      <c r="AA170">
        <f ca="1">IFERROR(IF(0=LEN(ReferenceData!$AA$170),"",ReferenceData!$AA$170),"")</f>
        <v>24.889135249999999</v>
      </c>
      <c r="AB170">
        <f ca="1">IFERROR(IF(0=LEN(ReferenceData!$AB$170),"",ReferenceData!$AB$170),"")</f>
        <v>30.60606061</v>
      </c>
      <c r="AC170">
        <f ca="1">IFERROR(IF(0=LEN(ReferenceData!$AC$170),"",ReferenceData!$AC$170),"")</f>
        <v>34.557416910000001</v>
      </c>
      <c r="AD170">
        <f ca="1">IFERROR(IF(0=LEN(ReferenceData!$AD$170),"",ReferenceData!$AD$170),"")</f>
        <v>26.850224220000001</v>
      </c>
      <c r="AE170">
        <f ca="1">IFERROR(IF(0=LEN(ReferenceData!$AE$170),"",ReferenceData!$AE$170),"")</f>
        <v>22.678233380000002</v>
      </c>
      <c r="AF170">
        <f ca="1">IFERROR(IF(0=LEN(ReferenceData!$AF$170),"",ReferenceData!$AF$170),"")</f>
        <v>17.83414634</v>
      </c>
      <c r="AG170">
        <f ca="1">IFERROR(IF(0=LEN(ReferenceData!$AG$170),"",ReferenceData!$AG$170),"")</f>
        <v>10.358502850000001</v>
      </c>
      <c r="AH170">
        <f ca="1">IFERROR(IF(0=LEN(ReferenceData!$AH$170),"",ReferenceData!$AH$170),"")</f>
        <v>10.925406389999999</v>
      </c>
      <c r="AI170">
        <f ca="1">IFERROR(IF(0=LEN(ReferenceData!$AI$170),"",ReferenceData!$AI$170),"")</f>
        <v>5.3560017809999998</v>
      </c>
      <c r="AJ170">
        <f ca="1">IFERROR(IF(0=LEN(ReferenceData!$AJ$170),"",ReferenceData!$AJ$170),"")</f>
        <v>0.92953641300000001</v>
      </c>
      <c r="AK170">
        <f ca="1">IFERROR(IF(0=LEN(ReferenceData!$AK$170),"",ReferenceData!$AK$170),"")</f>
        <v>-2.5926353010000001</v>
      </c>
      <c r="AL170">
        <f ca="1">IFERROR(IF(0=LEN(ReferenceData!$AL$170),"",ReferenceData!$AL$170),"")</f>
        <v>-3.031063091</v>
      </c>
      <c r="AM170">
        <f ca="1">IFERROR(IF(0=LEN(ReferenceData!$AM$170),"",ReferenceData!$AM$170),"")</f>
        <v>-1.0518853459999999</v>
      </c>
      <c r="AN170">
        <f ca="1">IFERROR(IF(0=LEN(ReferenceData!$AN$170),"",ReferenceData!$AN$170),"")</f>
        <v>-5.4994137680000001</v>
      </c>
      <c r="AO170">
        <f ca="1">IFERROR(IF(0=LEN(ReferenceData!$AO$170),"",ReferenceData!$AO$170),"")</f>
        <v>2.4978331100000002</v>
      </c>
      <c r="AP170">
        <f ca="1">IFERROR(IF(0=LEN(ReferenceData!$AP$170),"",ReferenceData!$AP$170),"")</f>
        <v>5.7151015750000003</v>
      </c>
      <c r="AQ170">
        <f ca="1">IFERROR(IF(0=LEN(ReferenceData!$AQ$170),"",ReferenceData!$AQ$170),"")</f>
        <v>20.83159698</v>
      </c>
      <c r="AR170">
        <f ca="1">IFERROR(IF(0=LEN(ReferenceData!$AR$170),"",ReferenceData!$AR$170),"")</f>
        <v>29.602026049999999</v>
      </c>
      <c r="AS170">
        <f ca="1">IFERROR(IF(0=LEN(ReferenceData!$AS$170),"",ReferenceData!$AS$170),"")</f>
        <v>26.426414829999999</v>
      </c>
      <c r="AT170">
        <f ca="1">IFERROR(IF(0=LEN(ReferenceData!$AT$170),"",ReferenceData!$AT$170),"")</f>
        <v>39.964029799999999</v>
      </c>
      <c r="AU170">
        <f ca="1">IFERROR(IF(0=LEN(ReferenceData!$AU$170),"",ReferenceData!$AU$170),"")</f>
        <v>35.196713209999999</v>
      </c>
      <c r="AV170">
        <f ca="1">IFERROR(IF(0=LEN(ReferenceData!$AV$170),"",ReferenceData!$AV$170),"")</f>
        <v>36.976344650000001</v>
      </c>
      <c r="AW170">
        <f ca="1">IFERROR(IF(0=LEN(ReferenceData!$AW$170),"",ReferenceData!$AW$170),"")</f>
        <v>40.95201608</v>
      </c>
      <c r="AX170">
        <f ca="1">IFERROR(IF(0=LEN(ReferenceData!$AX$170),"",ReferenceData!$AX$170),"")</f>
        <v>22.573308140000002</v>
      </c>
      <c r="AY170">
        <f ca="1">IFERROR(IF(0=LEN(ReferenceData!$AY$170),"",ReferenceData!$AY$170),"")</f>
        <v>41.042742169999997</v>
      </c>
      <c r="AZ170">
        <f ca="1">IFERROR(IF(0=LEN(ReferenceData!$AZ$170),"",ReferenceData!$AZ$170),"")</f>
        <v>26.979061009999999</v>
      </c>
      <c r="BA170">
        <f ca="1">IFERROR(IF(0=LEN(ReferenceData!$BA$170),"",ReferenceData!$BA$170),"")</f>
        <v>24.294250179999999</v>
      </c>
      <c r="BB170">
        <f ca="1">IFERROR(IF(0=LEN(ReferenceData!$BB$170),"",ReferenceData!$BB$170),"")</f>
        <v>30.45740893</v>
      </c>
      <c r="BC170">
        <f ca="1">IFERROR(IF(0=LEN(ReferenceData!$BC$170),"",ReferenceData!$BC$170),"")</f>
        <v>-14.643154300000001</v>
      </c>
      <c r="BD170">
        <f ca="1">IFERROR(IF(0=LEN(ReferenceData!$BD$170),"",ReferenceData!$BD$170),"")</f>
        <v>-7.0392287419999997</v>
      </c>
      <c r="BE170">
        <f ca="1">IFERROR(IF(0=LEN(ReferenceData!$BE$170),"",ReferenceData!$BE$170),"")</f>
        <v>-13.343160449999999</v>
      </c>
      <c r="BF170">
        <f ca="1">IFERROR(IF(0=LEN(ReferenceData!$BF$170),"",ReferenceData!$BF$170),"")</f>
        <v>-17.575347099999998</v>
      </c>
      <c r="BG170">
        <f ca="1">IFERROR(IF(0=LEN(ReferenceData!$BG$170),"",ReferenceData!$BG$170),"")</f>
        <v>20.545082900000001</v>
      </c>
      <c r="BH170">
        <f ca="1">IFERROR(IF(0=LEN(ReferenceData!$BH$170),"",ReferenceData!$BH$170),"")</f>
        <v>17.38154785</v>
      </c>
      <c r="BI170">
        <f ca="1">IFERROR(IF(0=LEN(ReferenceData!$BI$170),"",ReferenceData!$BI$170),"")</f>
        <v>26.303724930000001</v>
      </c>
      <c r="BJ170">
        <f ca="1">IFERROR(IF(0=LEN(ReferenceData!$BJ$170),"",ReferenceData!$BJ$170),"")</f>
        <v>18.430551220000002</v>
      </c>
      <c r="BK170">
        <f ca="1">IFERROR(IF(0=LEN(ReferenceData!$BK$170),"",ReferenceData!$BK$170),"")</f>
        <v>31.221314899999999</v>
      </c>
      <c r="BL170">
        <f ca="1">IFERROR(IF(0=LEN(ReferenceData!$BL$170),"",ReferenceData!$BL$170),"")</f>
        <v>18.994450820000001</v>
      </c>
      <c r="BM170">
        <f ca="1">IFERROR(IF(0=LEN(ReferenceData!$BM$170),"",ReferenceData!$BM$170),"")</f>
        <v>21.567482640000001</v>
      </c>
    </row>
    <row r="171" spans="1:65">
      <c r="A171" t="str">
        <f>IFERROR(IF(0=LEN(ReferenceData!$A$171),"",ReferenceData!$A$171),"")</f>
        <v xml:space="preserve">    Realty Income Corp</v>
      </c>
      <c r="B171" t="str">
        <f>IFERROR(IF(0=LEN(ReferenceData!$B$171),"",ReferenceData!$B$171),"")</f>
        <v>O US Equity</v>
      </c>
      <c r="C171" t="str">
        <f>IFERROR(IF(0=LEN(ReferenceData!$C$171),"",ReferenceData!$C$171),"")</f>
        <v>RR551</v>
      </c>
      <c r="D171" t="str">
        <f>IFERROR(IF(0=LEN(ReferenceData!$D$171),"",ReferenceData!$D$171),"")</f>
        <v>NOI_GROWTH</v>
      </c>
      <c r="E171" t="str">
        <f>IFERROR(IF(0=LEN(ReferenceData!$E$171),"",ReferenceData!$E$171),"")</f>
        <v>动态</v>
      </c>
      <c r="F171" t="str">
        <f ca="1">IFERROR(IF(0=LEN(ReferenceData!$F$171),"",ReferenceData!$F$171),"")</f>
        <v/>
      </c>
      <c r="G171">
        <f ca="1">IFERROR(IF(0=LEN(ReferenceData!$G$171),"",ReferenceData!$G$171),"")</f>
        <v>9.0037744820000007</v>
      </c>
      <c r="H171">
        <f ca="1">IFERROR(IF(0=LEN(ReferenceData!$H$171),"",ReferenceData!$H$171),"")</f>
        <v>10.3159531</v>
      </c>
      <c r="I171">
        <f ca="1">IFERROR(IF(0=LEN(ReferenceData!$I$171),"",ReferenceData!$I$171),"")</f>
        <v>10.457042380000001</v>
      </c>
      <c r="J171">
        <f ca="1">IFERROR(IF(0=LEN(ReferenceData!$J$171),"",ReferenceData!$J$171),"")</f>
        <v>10.834885030000001</v>
      </c>
      <c r="K171">
        <f ca="1">IFERROR(IF(0=LEN(ReferenceData!$K$171),"",ReferenceData!$K$171),"")</f>
        <v>7.6295007899999998</v>
      </c>
      <c r="L171">
        <f ca="1">IFERROR(IF(0=LEN(ReferenceData!$L$171),"",ReferenceData!$L$171),"")</f>
        <v>6.9424255700000002</v>
      </c>
      <c r="M171">
        <f ca="1">IFERROR(IF(0=LEN(ReferenceData!$M$171),"",ReferenceData!$M$171),"")</f>
        <v>7.7261330279999996</v>
      </c>
      <c r="N171">
        <f ca="1">IFERROR(IF(0=LEN(ReferenceData!$N$171),"",ReferenceData!$N$171),"")</f>
        <v>8.5206547560000008</v>
      </c>
      <c r="O171">
        <f ca="1">IFERROR(IF(0=LEN(ReferenceData!$O$171),"",ReferenceData!$O$171),"")</f>
        <v>10.42501899</v>
      </c>
      <c r="P171">
        <f ca="1">IFERROR(IF(0=LEN(ReferenceData!$P$171),"",ReferenceData!$P$171),"")</f>
        <v>9.8436157719999997</v>
      </c>
      <c r="Q171">
        <f ca="1">IFERROR(IF(0=LEN(ReferenceData!$Q$171),"",ReferenceData!$Q$171),"")</f>
        <v>9.2657519159999993</v>
      </c>
      <c r="R171">
        <f ca="1">IFERROR(IF(0=LEN(ReferenceData!$R$171),"",ReferenceData!$R$171),"")</f>
        <v>10.066580310000001</v>
      </c>
      <c r="S171">
        <f ca="1">IFERROR(IF(0=LEN(ReferenceData!$S$171),"",ReferenceData!$S$171),"")</f>
        <v>12.53080531</v>
      </c>
      <c r="T171">
        <f ca="1">IFERROR(IF(0=LEN(ReferenceData!$T$171),"",ReferenceData!$T$171),"")</f>
        <v>15.81680757</v>
      </c>
      <c r="U171">
        <f ca="1">IFERROR(IF(0=LEN(ReferenceData!$U$171),"",ReferenceData!$U$171),"")</f>
        <v>23.238321460000002</v>
      </c>
      <c r="V171">
        <f ca="1">IFERROR(IF(0=LEN(ReferenceData!$V$171),"",ReferenceData!$V$171),"")</f>
        <v>27.834499220000001</v>
      </c>
      <c r="W171">
        <f ca="1">IFERROR(IF(0=LEN(ReferenceData!$W$171),"",ReferenceData!$W$171),"")</f>
        <v>59.44102479</v>
      </c>
      <c r="X171">
        <f ca="1">IFERROR(IF(0=LEN(ReferenceData!$X$171),"",ReferenceData!$X$171),"")</f>
        <v>66.552145960000004</v>
      </c>
      <c r="Y171">
        <f ca="1">IFERROR(IF(0=LEN(ReferenceData!$Y$171),"",ReferenceData!$Y$171),"")</f>
        <v>59.610767090000003</v>
      </c>
      <c r="Z171">
        <f ca="1">IFERROR(IF(0=LEN(ReferenceData!$Z$171),"",ReferenceData!$Z$171),"")</f>
        <v>49.459498809999999</v>
      </c>
      <c r="AA171">
        <f ca="1">IFERROR(IF(0=LEN(ReferenceData!$AA$171),"",ReferenceData!$AA$171),"")</f>
        <v>15.778515609999999</v>
      </c>
      <c r="AB171">
        <f ca="1">IFERROR(IF(0=LEN(ReferenceData!$AB$171),"",ReferenceData!$AB$171),"")</f>
        <v>10.73929961</v>
      </c>
      <c r="AC171">
        <f ca="1">IFERROR(IF(0=LEN(ReferenceData!$AC$171),"",ReferenceData!$AC$171),"")</f>
        <v>11.04406399</v>
      </c>
      <c r="AD171">
        <f ca="1">IFERROR(IF(0=LEN(ReferenceData!$AD$171),"",ReferenceData!$AD$171),"")</f>
        <v>15.148784579999999</v>
      </c>
      <c r="AE171">
        <f ca="1">IFERROR(IF(0=LEN(ReferenceData!$AE$171),"",ReferenceData!$AE$171),"")</f>
        <v>20.866914250000001</v>
      </c>
      <c r="AF171">
        <f ca="1">IFERROR(IF(0=LEN(ReferenceData!$AF$171),"",ReferenceData!$AF$171),"")</f>
        <v>22.442857650000001</v>
      </c>
      <c r="AG171">
        <f ca="1">IFERROR(IF(0=LEN(ReferenceData!$AG$171),"",ReferenceData!$AG$171),"")</f>
        <v>23.844282239999998</v>
      </c>
      <c r="AH171">
        <f ca="1">IFERROR(IF(0=LEN(ReferenceData!$AH$171),"",ReferenceData!$AH$171),"")</f>
        <v>18.49865286</v>
      </c>
      <c r="AI171">
        <f ca="1">IFERROR(IF(0=LEN(ReferenceData!$AI$171),"",ReferenceData!$AI$171),"")</f>
        <v>13.004860689999999</v>
      </c>
      <c r="AJ171">
        <f ca="1">IFERROR(IF(0=LEN(ReferenceData!$AJ$171),"",ReferenceData!$AJ$171),"")</f>
        <v>6.8410336330000003</v>
      </c>
      <c r="AK171">
        <f ca="1">IFERROR(IF(0=LEN(ReferenceData!$AK$171),"",ReferenceData!$AK$171),"")</f>
        <v>1.417600403</v>
      </c>
      <c r="AL171">
        <f ca="1">IFERROR(IF(0=LEN(ReferenceData!$AL$171),"",ReferenceData!$AL$171),"")</f>
        <v>1.133880811</v>
      </c>
      <c r="AM171">
        <f ca="1">IFERROR(IF(0=LEN(ReferenceData!$AM$171),"",ReferenceData!$AM$171),"")</f>
        <v>-0.87915362799999996</v>
      </c>
      <c r="AN171">
        <f ca="1">IFERROR(IF(0=LEN(ReferenceData!$AN$171),"",ReferenceData!$AN$171),"")</f>
        <v>-0.81898754699999998</v>
      </c>
      <c r="AO171">
        <f ca="1">IFERROR(IF(0=LEN(ReferenceData!$AO$171),"",ReferenceData!$AO$171),"")</f>
        <v>-1.8122033230000001</v>
      </c>
      <c r="AP171">
        <f ca="1">IFERROR(IF(0=LEN(ReferenceData!$AP$171),"",ReferenceData!$AP$171),"")</f>
        <v>-0.48359887499999998</v>
      </c>
      <c r="AQ171">
        <f ca="1">IFERROR(IF(0=LEN(ReferenceData!$AQ$171),"",ReferenceData!$AQ$171),"")</f>
        <v>5.1798448400000003</v>
      </c>
      <c r="AR171">
        <f ca="1">IFERROR(IF(0=LEN(ReferenceData!$AR$171),"",ReferenceData!$AR$171),"")</f>
        <v>12.332321650000001</v>
      </c>
      <c r="AS171">
        <f ca="1">IFERROR(IF(0=LEN(ReferenceData!$AS$171),"",ReferenceData!$AS$171),"")</f>
        <v>16.979495870000001</v>
      </c>
      <c r="AT171">
        <f ca="1">IFERROR(IF(0=LEN(ReferenceData!$AT$171),"",ReferenceData!$AT$171),"")</f>
        <v>17.137754879999999</v>
      </c>
      <c r="AU171">
        <f ca="1">IFERROR(IF(0=LEN(ReferenceData!$AU$171),"",ReferenceData!$AU$171),"")</f>
        <v>14.542598549999999</v>
      </c>
      <c r="AV171">
        <f ca="1">IFERROR(IF(0=LEN(ReferenceData!$AV$171),"",ReferenceData!$AV$171),"")</f>
        <v>22.847994700000001</v>
      </c>
      <c r="AW171">
        <f ca="1">IFERROR(IF(0=LEN(ReferenceData!$AW$171),"",ReferenceData!$AW$171),"")</f>
        <v>25.691127269999999</v>
      </c>
      <c r="AX171">
        <f ca="1">IFERROR(IF(0=LEN(ReferenceData!$AX$171),"",ReferenceData!$AX$171),"")</f>
        <v>26.111275200000001</v>
      </c>
      <c r="AY171">
        <f ca="1">IFERROR(IF(0=LEN(ReferenceData!$AY$171),"",ReferenceData!$AY$171),"")</f>
        <v>27.46219705</v>
      </c>
      <c r="AZ171">
        <f ca="1">IFERROR(IF(0=LEN(ReferenceData!$AZ$171),"",ReferenceData!$AZ$171),"")</f>
        <v>21.744959340000001</v>
      </c>
      <c r="BA171">
        <f ca="1">IFERROR(IF(0=LEN(ReferenceData!$BA$171),"",ReferenceData!$BA$171),"")</f>
        <v>19.41959628</v>
      </c>
      <c r="BB171">
        <f ca="1">IFERROR(IF(0=LEN(ReferenceData!$BB$171),"",ReferenceData!$BB$171),"")</f>
        <v>18.613565300000001</v>
      </c>
      <c r="BC171">
        <f ca="1">IFERROR(IF(0=LEN(ReferenceData!$BC$171),"",ReferenceData!$BC$171),"")</f>
        <v>24.384516860000002</v>
      </c>
      <c r="BD171">
        <f ca="1">IFERROR(IF(0=LEN(ReferenceData!$BD$171),"",ReferenceData!$BD$171),"")</f>
        <v>11.354942810000001</v>
      </c>
      <c r="BE171">
        <f ca="1">IFERROR(IF(0=LEN(ReferenceData!$BE$171),"",ReferenceData!$BE$171),"")</f>
        <v>7.6800865119999999</v>
      </c>
      <c r="BF171">
        <f ca="1">IFERROR(IF(0=LEN(ReferenceData!$BF$171),"",ReferenceData!$BF$171),"")</f>
        <v>10.95427903</v>
      </c>
      <c r="BG171">
        <f ca="1">IFERROR(IF(0=LEN(ReferenceData!$BG$171),"",ReferenceData!$BG$171),"")</f>
        <v>8.0467469479999991</v>
      </c>
      <c r="BH171">
        <f ca="1">IFERROR(IF(0=LEN(ReferenceData!$BH$171),"",ReferenceData!$BH$171),"")</f>
        <v>21.140215900000001</v>
      </c>
      <c r="BI171">
        <f ca="1">IFERROR(IF(0=LEN(ReferenceData!$BI$171),"",ReferenceData!$BI$171),"")</f>
        <v>22.84590261</v>
      </c>
      <c r="BJ171">
        <f ca="1">IFERROR(IF(0=LEN(ReferenceData!$BJ$171),"",ReferenceData!$BJ$171),"")</f>
        <v>21.029104879999998</v>
      </c>
      <c r="BK171">
        <f ca="1">IFERROR(IF(0=LEN(ReferenceData!$BK$171),"",ReferenceData!$BK$171),"")</f>
        <v>11.615795589999999</v>
      </c>
      <c r="BL171">
        <f ca="1">IFERROR(IF(0=LEN(ReferenceData!$BL$171),"",ReferenceData!$BL$171),"")</f>
        <v>7.4851163229999997</v>
      </c>
      <c r="BM171">
        <f ca="1">IFERROR(IF(0=LEN(ReferenceData!$BM$171),"",ReferenceData!$BM$171),"")</f>
        <v>10.634987450000001</v>
      </c>
    </row>
    <row r="172" spans="1:65">
      <c r="A172" t="str">
        <f>IFERROR(IF(0=LEN(ReferenceData!$A$172),"",ReferenceData!$A$172),"")</f>
        <v xml:space="preserve">    Regency Centers Corp</v>
      </c>
      <c r="B172" t="str">
        <f>IFERROR(IF(0=LEN(ReferenceData!$B$172),"",ReferenceData!$B$172),"")</f>
        <v>REG US Equity</v>
      </c>
      <c r="C172" t="str">
        <f>IFERROR(IF(0=LEN(ReferenceData!$C$172),"",ReferenceData!$C$172),"")</f>
        <v>RR551</v>
      </c>
      <c r="D172" t="str">
        <f>IFERROR(IF(0=LEN(ReferenceData!$D$172),"",ReferenceData!$D$172),"")</f>
        <v>NOI_GROWTH</v>
      </c>
      <c r="E172" t="str">
        <f>IFERROR(IF(0=LEN(ReferenceData!$E$172),"",ReferenceData!$E$172),"")</f>
        <v>动态</v>
      </c>
      <c r="F172" t="str">
        <f ca="1">IFERROR(IF(0=LEN(ReferenceData!$F$172),"",ReferenceData!$F$172),"")</f>
        <v/>
      </c>
      <c r="G172">
        <f ca="1">IFERROR(IF(0=LEN(ReferenceData!$G$172),"",ReferenceData!$G$172),"")</f>
        <v>65.434880579999998</v>
      </c>
      <c r="H172">
        <f ca="1">IFERROR(IF(0=LEN(ReferenceData!$H$172),"",ReferenceData!$H$172),"")</f>
        <v>73.412143819999997</v>
      </c>
      <c r="I172">
        <f ca="1">IFERROR(IF(0=LEN(ReferenceData!$I$172),"",ReferenceData!$I$172),"")</f>
        <v>75.397109009999994</v>
      </c>
      <c r="J172">
        <f ca="1">IFERROR(IF(0=LEN(ReferenceData!$J$172),"",ReferenceData!$J$172),"")</f>
        <v>30.470951540000002</v>
      </c>
      <c r="K172">
        <f ca="1">IFERROR(IF(0=LEN(ReferenceData!$K$172),"",ReferenceData!$K$172),"")</f>
        <v>7.6051054489999999</v>
      </c>
      <c r="L172">
        <f ca="1">IFERROR(IF(0=LEN(ReferenceData!$L$172),"",ReferenceData!$L$172),"")</f>
        <v>5.7160065119999999</v>
      </c>
      <c r="M172">
        <f ca="1">IFERROR(IF(0=LEN(ReferenceData!$M$172),"",ReferenceData!$M$172),"")</f>
        <v>6.3233184839999996</v>
      </c>
      <c r="N172">
        <f ca="1">IFERROR(IF(0=LEN(ReferenceData!$N$172),"",ReferenceData!$N$172),"")</f>
        <v>6.7024669540000001</v>
      </c>
      <c r="O172">
        <f ca="1">IFERROR(IF(0=LEN(ReferenceData!$O$172),"",ReferenceData!$O$172),"")</f>
        <v>7.1236045360000002</v>
      </c>
      <c r="P172">
        <f ca="1">IFERROR(IF(0=LEN(ReferenceData!$P$172),"",ReferenceData!$P$172),"")</f>
        <v>5.6523295349999998</v>
      </c>
      <c r="Q172">
        <f ca="1">IFERROR(IF(0=LEN(ReferenceData!$Q$172),"",ReferenceData!$Q$172),"")</f>
        <v>4.7574032800000001</v>
      </c>
      <c r="R172">
        <f ca="1">IFERROR(IF(0=LEN(ReferenceData!$R$172),"",ReferenceData!$R$172),"")</f>
        <v>6.2464276969999997</v>
      </c>
      <c r="S172">
        <f ca="1">IFERROR(IF(0=LEN(ReferenceData!$S$172),"",ReferenceData!$S$172),"")</f>
        <v>9.7147097089999992</v>
      </c>
      <c r="T172">
        <f ca="1">IFERROR(IF(0=LEN(ReferenceData!$T$172),"",ReferenceData!$T$172),"")</f>
        <v>11.51914313</v>
      </c>
      <c r="U172">
        <f ca="1">IFERROR(IF(0=LEN(ReferenceData!$U$172),"",ReferenceData!$U$172),"")</f>
        <v>10.343010230000001</v>
      </c>
      <c r="V172">
        <f ca="1">IFERROR(IF(0=LEN(ReferenceData!$V$172),"",ReferenceData!$V$172),"")</f>
        <v>8.8549652250000008</v>
      </c>
      <c r="W172">
        <f ca="1">IFERROR(IF(0=LEN(ReferenceData!$W$172),"",ReferenceData!$W$172),"")</f>
        <v>6.4638739740000002</v>
      </c>
      <c r="X172">
        <f ca="1">IFERROR(IF(0=LEN(ReferenceData!$X$172),"",ReferenceData!$X$172),"")</f>
        <v>3.7883931550000001</v>
      </c>
      <c r="Y172">
        <f ca="1">IFERROR(IF(0=LEN(ReferenceData!$Y$172),"",ReferenceData!$Y$172),"")</f>
        <v>-4.677377152</v>
      </c>
      <c r="Z172">
        <f ca="1">IFERROR(IF(0=LEN(ReferenceData!$Z$172),"",ReferenceData!$Z$172),"")</f>
        <v>-2.8159889429999998</v>
      </c>
      <c r="AA172">
        <f ca="1">IFERROR(IF(0=LEN(ReferenceData!$AA$172),"",ReferenceData!$AA$172),"")</f>
        <v>-4.9470579910000003</v>
      </c>
      <c r="AB172">
        <f ca="1">IFERROR(IF(0=LEN(ReferenceData!$AB$172),"",ReferenceData!$AB$172),"")</f>
        <v>-5.6963948520000001</v>
      </c>
      <c r="AC172">
        <f ca="1">IFERROR(IF(0=LEN(ReferenceData!$AC$172),"",ReferenceData!$AC$172),"")</f>
        <v>1.970138422</v>
      </c>
      <c r="AD172">
        <f ca="1">IFERROR(IF(0=LEN(ReferenceData!$AD$172),"",ReferenceData!$AD$172),"")</f>
        <v>1.7881675400000001</v>
      </c>
      <c r="AE172">
        <f ca="1">IFERROR(IF(0=LEN(ReferenceData!$AE$172),"",ReferenceData!$AE$172),"")</f>
        <v>4.2013144950000001</v>
      </c>
      <c r="AF172">
        <f ca="1">IFERROR(IF(0=LEN(ReferenceData!$AF$172),"",ReferenceData!$AF$172),"")</f>
        <v>2.546239623</v>
      </c>
      <c r="AG172">
        <f ca="1">IFERROR(IF(0=LEN(ReferenceData!$AG$172),"",ReferenceData!$AG$172),"")</f>
        <v>4.5141212690000003</v>
      </c>
      <c r="AH172">
        <f ca="1">IFERROR(IF(0=LEN(ReferenceData!$AH$172),"",ReferenceData!$AH$172),"")</f>
        <v>-1.0871101350000001</v>
      </c>
      <c r="AI172">
        <f ca="1">IFERROR(IF(0=LEN(ReferenceData!$AI$172),"",ReferenceData!$AI$172),"")</f>
        <v>-3.6988622260000001</v>
      </c>
      <c r="AJ172">
        <f ca="1">IFERROR(IF(0=LEN(ReferenceData!$AJ$172),"",ReferenceData!$AJ$172),"")</f>
        <v>-11.64926356</v>
      </c>
      <c r="AK172">
        <f ca="1">IFERROR(IF(0=LEN(ReferenceData!$AK$172),"",ReferenceData!$AK$172),"")</f>
        <v>4.3763752580000004</v>
      </c>
      <c r="AL172">
        <f ca="1">IFERROR(IF(0=LEN(ReferenceData!$AL$172),"",ReferenceData!$AL$172),"")</f>
        <v>2.466220356</v>
      </c>
      <c r="AM172">
        <f ca="1">IFERROR(IF(0=LEN(ReferenceData!$AM$172),"",ReferenceData!$AM$172),"")</f>
        <v>-19.115704470000001</v>
      </c>
      <c r="AN172">
        <f ca="1">IFERROR(IF(0=LEN(ReferenceData!$AN$172),"",ReferenceData!$AN$172),"")</f>
        <v>8.4447572130000008</v>
      </c>
      <c r="AO172">
        <f ca="1">IFERROR(IF(0=LEN(ReferenceData!$AO$172),"",ReferenceData!$AO$172),"")</f>
        <v>-8.9354438569999992</v>
      </c>
      <c r="AP172">
        <f ca="1">IFERROR(IF(0=LEN(ReferenceData!$AP$172),"",ReferenceData!$AP$172),"")</f>
        <v>1.3834304559999999</v>
      </c>
      <c r="AQ172">
        <f ca="1">IFERROR(IF(0=LEN(ReferenceData!$AQ$172),"",ReferenceData!$AQ$172),"")</f>
        <v>34.998106499999999</v>
      </c>
      <c r="AR172">
        <f ca="1">IFERROR(IF(0=LEN(ReferenceData!$AR$172),"",ReferenceData!$AR$172),"")</f>
        <v>4.3283831140000002</v>
      </c>
      <c r="AS172">
        <f ca="1">IFERROR(IF(0=LEN(ReferenceData!$AS$172),"",ReferenceData!$AS$172),"")</f>
        <v>13.479793539999999</v>
      </c>
      <c r="AT172">
        <f ca="1">IFERROR(IF(0=LEN(ReferenceData!$AT$172),"",ReferenceData!$AT$172),"")</f>
        <v>7.8945765149999998</v>
      </c>
      <c r="AU172">
        <f ca="1">IFERROR(IF(0=LEN(ReferenceData!$AU$172),"",ReferenceData!$AU$172),"")</f>
        <v>1.135979933</v>
      </c>
      <c r="AV172">
        <f ca="1">IFERROR(IF(0=LEN(ReferenceData!$AV$172),"",ReferenceData!$AV$172),"")</f>
        <v>12.63484983</v>
      </c>
      <c r="AW172">
        <f ca="1">IFERROR(IF(0=LEN(ReferenceData!$AW$172),"",ReferenceData!$AW$172),"")</f>
        <v>0.81264327400000003</v>
      </c>
      <c r="AX172">
        <f ca="1">IFERROR(IF(0=LEN(ReferenceData!$AX$172),"",ReferenceData!$AX$172),"")</f>
        <v>5.2045276830000002</v>
      </c>
      <c r="AY172">
        <f ca="1">IFERROR(IF(0=LEN(ReferenceData!$AY$172),"",ReferenceData!$AY$172),"")</f>
        <v>21.548451400000001</v>
      </c>
      <c r="AZ172">
        <f ca="1">IFERROR(IF(0=LEN(ReferenceData!$AZ$172),"",ReferenceData!$AZ$172),"")</f>
        <v>11.25034848</v>
      </c>
      <c r="BA172">
        <f ca="1">IFERROR(IF(0=LEN(ReferenceData!$BA$172),"",ReferenceData!$BA$172),"")</f>
        <v>-2.4872856300000001</v>
      </c>
      <c r="BB172">
        <f ca="1">IFERROR(IF(0=LEN(ReferenceData!$BB$172),"",ReferenceData!$BB$172),"")</f>
        <v>9.9198241490000001</v>
      </c>
      <c r="BC172">
        <f ca="1">IFERROR(IF(0=LEN(ReferenceData!$BC$172),"",ReferenceData!$BC$172),"")</f>
        <v>-7.5518998320000001</v>
      </c>
      <c r="BD172">
        <f ca="1">IFERROR(IF(0=LEN(ReferenceData!$BD$172),"",ReferenceData!$BD$172),"")</f>
        <v>3.795014251</v>
      </c>
      <c r="BE172">
        <f ca="1">IFERROR(IF(0=LEN(ReferenceData!$BE$172),"",ReferenceData!$BE$172),"")</f>
        <v>20.542909869999999</v>
      </c>
      <c r="BF172">
        <f ca="1">IFERROR(IF(0=LEN(ReferenceData!$BF$172),"",ReferenceData!$BF$172),"")</f>
        <v>6.1933263500000004</v>
      </c>
      <c r="BG172">
        <f ca="1">IFERROR(IF(0=LEN(ReferenceData!$BG$172),"",ReferenceData!$BG$172),"")</f>
        <v>9.2642747589999992</v>
      </c>
      <c r="BH172">
        <f ca="1">IFERROR(IF(0=LEN(ReferenceData!$BH$172),"",ReferenceData!$BH$172),"")</f>
        <v>4.4284321279999999</v>
      </c>
      <c r="BI172">
        <f ca="1">IFERROR(IF(0=LEN(ReferenceData!$BI$172),"",ReferenceData!$BI$172),"")</f>
        <v>6.2822878619999996</v>
      </c>
      <c r="BJ172">
        <f ca="1">IFERROR(IF(0=LEN(ReferenceData!$BJ$172),"",ReferenceData!$BJ$172),"")</f>
        <v>1.17173767</v>
      </c>
      <c r="BK172">
        <f ca="1">IFERROR(IF(0=LEN(ReferenceData!$BK$172),"",ReferenceData!$BK$172),"")</f>
        <v>1.7291505300000001</v>
      </c>
      <c r="BL172">
        <f ca="1">IFERROR(IF(0=LEN(ReferenceData!$BL$172),"",ReferenceData!$BL$172),"")</f>
        <v>-1.1145625910000001</v>
      </c>
      <c r="BM172">
        <f ca="1">IFERROR(IF(0=LEN(ReferenceData!$BM$172),"",ReferenceData!$BM$172),"")</f>
        <v>4.3712717950000002</v>
      </c>
    </row>
    <row r="173" spans="1:65">
      <c r="A173" t="str">
        <f>IFERROR(IF(0=LEN(ReferenceData!$A$173),"",ReferenceData!$A$173),"")</f>
        <v xml:space="preserve">    Retail Opportunity Investments</v>
      </c>
      <c r="B173" t="str">
        <f>IFERROR(IF(0=LEN(ReferenceData!$B$173),"",ReferenceData!$B$173),"")</f>
        <v>ROIC US Equity</v>
      </c>
      <c r="C173" t="str">
        <f>IFERROR(IF(0=LEN(ReferenceData!$C$173),"",ReferenceData!$C$173),"")</f>
        <v>RR551</v>
      </c>
      <c r="D173" t="str">
        <f>IFERROR(IF(0=LEN(ReferenceData!$D$173),"",ReferenceData!$D$173),"")</f>
        <v>NOI_GROWTH</v>
      </c>
      <c r="E173" t="str">
        <f>IFERROR(IF(0=LEN(ReferenceData!$E$173),"",ReferenceData!$E$173),"")</f>
        <v>动态</v>
      </c>
      <c r="F173" t="str">
        <f ca="1">IFERROR(IF(0=LEN(ReferenceData!$F$173),"",ReferenceData!$F$173),"")</f>
        <v/>
      </c>
      <c r="G173">
        <f ca="1">IFERROR(IF(0=LEN(ReferenceData!$G$173),"",ReferenceData!$G$173),"")</f>
        <v>12.769849199999999</v>
      </c>
      <c r="H173">
        <f ca="1">IFERROR(IF(0=LEN(ReferenceData!$H$173),"",ReferenceData!$H$173),"")</f>
        <v>14.164756089999999</v>
      </c>
      <c r="I173">
        <f ca="1">IFERROR(IF(0=LEN(ReferenceData!$I$173),"",ReferenceData!$I$173),"")</f>
        <v>10.4214123</v>
      </c>
      <c r="J173">
        <f ca="1">IFERROR(IF(0=LEN(ReferenceData!$J$173),"",ReferenceData!$J$173),"")</f>
        <v>14.6257784</v>
      </c>
      <c r="K173">
        <f ca="1">IFERROR(IF(0=LEN(ReferenceData!$K$173),"",ReferenceData!$K$173),"")</f>
        <v>24.578045100000001</v>
      </c>
      <c r="L173">
        <f ca="1">IFERROR(IF(0=LEN(ReferenceData!$L$173),"",ReferenceData!$L$173),"")</f>
        <v>23.345933079999998</v>
      </c>
      <c r="M173">
        <f ca="1">IFERROR(IF(0=LEN(ReferenceData!$M$173),"",ReferenceData!$M$173),"")</f>
        <v>27.880217890000001</v>
      </c>
      <c r="N173">
        <f ca="1">IFERROR(IF(0=LEN(ReferenceData!$N$173),"",ReferenceData!$N$173),"")</f>
        <v>28.046578799999999</v>
      </c>
      <c r="O173">
        <f ca="1">IFERROR(IF(0=LEN(ReferenceData!$O$173),"",ReferenceData!$O$173),"")</f>
        <v>25.560257050000001</v>
      </c>
      <c r="P173">
        <f ca="1">IFERROR(IF(0=LEN(ReferenceData!$P$173),"",ReferenceData!$P$173),"")</f>
        <v>20.345422190000001</v>
      </c>
      <c r="Q173">
        <f ca="1">IFERROR(IF(0=LEN(ReferenceData!$Q$173),"",ReferenceData!$Q$173),"")</f>
        <v>28.273795440000001</v>
      </c>
      <c r="R173">
        <f ca="1">IFERROR(IF(0=LEN(ReferenceData!$R$173),"",ReferenceData!$R$173),"")</f>
        <v>31.354491920000001</v>
      </c>
      <c r="S173">
        <f ca="1">IFERROR(IF(0=LEN(ReferenceData!$S$173),"",ReferenceData!$S$173),"")</f>
        <v>30.427693510000001</v>
      </c>
      <c r="T173">
        <f ca="1">IFERROR(IF(0=LEN(ReferenceData!$T$173),"",ReferenceData!$T$173),"")</f>
        <v>62.545078119999999</v>
      </c>
      <c r="U173">
        <f ca="1">IFERROR(IF(0=LEN(ReferenceData!$U$173),"",ReferenceData!$U$173),"")</f>
        <v>42.572525980000002</v>
      </c>
      <c r="V173">
        <f ca="1">IFERROR(IF(0=LEN(ReferenceData!$V$173),"",ReferenceData!$V$173),"")</f>
        <v>42.892392559999998</v>
      </c>
      <c r="W173">
        <f ca="1">IFERROR(IF(0=LEN(ReferenceData!$W$173),"",ReferenceData!$W$173),"")</f>
        <v>47.592706319999998</v>
      </c>
      <c r="X173">
        <f ca="1">IFERROR(IF(0=LEN(ReferenceData!$X$173),"",ReferenceData!$X$173),"")</f>
        <v>31.8728029</v>
      </c>
      <c r="Y173">
        <f ca="1">IFERROR(IF(0=LEN(ReferenceData!$Y$173),"",ReferenceData!$Y$173),"")</f>
        <v>49.067721110000001</v>
      </c>
      <c r="Z173">
        <f ca="1">IFERROR(IF(0=LEN(ReferenceData!$Z$173),"",ReferenceData!$Z$173),"")</f>
        <v>49.081401759999999</v>
      </c>
      <c r="AA173">
        <f ca="1">IFERROR(IF(0=LEN(ReferenceData!$AA$173),"",ReferenceData!$AA$173),"")</f>
        <v>31.63856788</v>
      </c>
      <c r="AB173">
        <f ca="1">IFERROR(IF(0=LEN(ReferenceData!$AB$173),"",ReferenceData!$AB$173),"")</f>
        <v>43.162257940000003</v>
      </c>
      <c r="AC173">
        <f ca="1">IFERROR(IF(0=LEN(ReferenceData!$AC$173),"",ReferenceData!$AC$173),"")</f>
        <v>58.760278479999997</v>
      </c>
      <c r="AD173">
        <f ca="1">IFERROR(IF(0=LEN(ReferenceData!$AD$173),"",ReferenceData!$AD$173),"")</f>
        <v>71.174776210000005</v>
      </c>
      <c r="AE173">
        <f ca="1">IFERROR(IF(0=LEN(ReferenceData!$AE$173),"",ReferenceData!$AE$173),"")</f>
        <v>175.93597940000001</v>
      </c>
      <c r="AF173">
        <f ca="1">IFERROR(IF(0=LEN(ReferenceData!$AF$173),"",ReferenceData!$AF$173),"")</f>
        <v>187.0938132</v>
      </c>
      <c r="AG173">
        <f ca="1">IFERROR(IF(0=LEN(ReferenceData!$AG$173),"",ReferenceData!$AG$173),"")</f>
        <v>292.7526436</v>
      </c>
      <c r="AH173">
        <f ca="1">IFERROR(IF(0=LEN(ReferenceData!$AH$173),"",ReferenceData!$AH$173),"")</f>
        <v>574.68188759999998</v>
      </c>
      <c r="AI173" t="str">
        <f ca="1">IFERROR(IF(0=LEN(ReferenceData!$AI$173),"",ReferenceData!$AI$173),"")</f>
        <v/>
      </c>
      <c r="AJ173" t="str">
        <f ca="1">IFERROR(IF(0=LEN(ReferenceData!$AJ$173),"",ReferenceData!$AJ$173),"")</f>
        <v/>
      </c>
      <c r="AK173" t="str">
        <f ca="1">IFERROR(IF(0=LEN(ReferenceData!$AK$173),"",ReferenceData!$AK$173),"")</f>
        <v/>
      </c>
      <c r="AL173" t="str">
        <f ca="1">IFERROR(IF(0=LEN(ReferenceData!$AL$173),"",ReferenceData!$AL$173),"")</f>
        <v/>
      </c>
      <c r="AM173" t="str">
        <f ca="1">IFERROR(IF(0=LEN(ReferenceData!$AM$173),"",ReferenceData!$AM$173),"")</f>
        <v/>
      </c>
      <c r="AN173" t="str">
        <f ca="1">IFERROR(IF(0=LEN(ReferenceData!$AN$173),"",ReferenceData!$AN$173),"")</f>
        <v/>
      </c>
      <c r="AO173" t="str">
        <f ca="1">IFERROR(IF(0=LEN(ReferenceData!$AO$173),"",ReferenceData!$AO$173),"")</f>
        <v/>
      </c>
      <c r="AP173" t="str">
        <f ca="1">IFERROR(IF(0=LEN(ReferenceData!$AP$173),"",ReferenceData!$AP$173),"")</f>
        <v/>
      </c>
      <c r="AQ173" t="str">
        <f ca="1">IFERROR(IF(0=LEN(ReferenceData!$AQ$173),"",ReferenceData!$AQ$173),"")</f>
        <v/>
      </c>
      <c r="AR173" t="str">
        <f ca="1">IFERROR(IF(0=LEN(ReferenceData!$AR$173),"",ReferenceData!$AR$173),"")</f>
        <v/>
      </c>
      <c r="AS173" t="str">
        <f ca="1">IFERROR(IF(0=LEN(ReferenceData!$AS$173),"",ReferenceData!$AS$173),"")</f>
        <v/>
      </c>
      <c r="AT173" t="str">
        <f ca="1">IFERROR(IF(0=LEN(ReferenceData!$AT$173),"",ReferenceData!$AT$173),"")</f>
        <v/>
      </c>
      <c r="AU173" t="str">
        <f ca="1">IFERROR(IF(0=LEN(ReferenceData!$AU$173),"",ReferenceData!$AU$173),"")</f>
        <v/>
      </c>
      <c r="AV173" t="str">
        <f ca="1">IFERROR(IF(0=LEN(ReferenceData!$AV$173),"",ReferenceData!$AV$173),"")</f>
        <v/>
      </c>
      <c r="AW173" t="str">
        <f ca="1">IFERROR(IF(0=LEN(ReferenceData!$AW$173),"",ReferenceData!$AW$173),"")</f>
        <v/>
      </c>
      <c r="AX173" t="str">
        <f ca="1">IFERROR(IF(0=LEN(ReferenceData!$AX$173),"",ReferenceData!$AX$173),"")</f>
        <v/>
      </c>
      <c r="AY173" t="str">
        <f ca="1">IFERROR(IF(0=LEN(ReferenceData!$AY$173),"",ReferenceData!$AY$173),"")</f>
        <v/>
      </c>
      <c r="AZ173" t="str">
        <f ca="1">IFERROR(IF(0=LEN(ReferenceData!$AZ$173),"",ReferenceData!$AZ$173),"")</f>
        <v/>
      </c>
      <c r="BA173" t="str">
        <f ca="1">IFERROR(IF(0=LEN(ReferenceData!$BA$173),"",ReferenceData!$BA$173),"")</f>
        <v/>
      </c>
      <c r="BB173" t="str">
        <f ca="1">IFERROR(IF(0=LEN(ReferenceData!$BB$173),"",ReferenceData!$BB$173),"")</f>
        <v/>
      </c>
      <c r="BC173" t="str">
        <f ca="1">IFERROR(IF(0=LEN(ReferenceData!$BC$173),"",ReferenceData!$BC$173),"")</f>
        <v/>
      </c>
      <c r="BD173" t="str">
        <f ca="1">IFERROR(IF(0=LEN(ReferenceData!$BD$173),"",ReferenceData!$BD$173),"")</f>
        <v/>
      </c>
      <c r="BE173" t="str">
        <f ca="1">IFERROR(IF(0=LEN(ReferenceData!$BE$173),"",ReferenceData!$BE$173),"")</f>
        <v/>
      </c>
      <c r="BF173" t="str">
        <f ca="1">IFERROR(IF(0=LEN(ReferenceData!$BF$173),"",ReferenceData!$BF$173),"")</f>
        <v/>
      </c>
      <c r="BG173" t="str">
        <f ca="1">IFERROR(IF(0=LEN(ReferenceData!$BG$173),"",ReferenceData!$BG$173),"")</f>
        <v/>
      </c>
      <c r="BH173" t="str">
        <f ca="1">IFERROR(IF(0=LEN(ReferenceData!$BH$173),"",ReferenceData!$BH$173),"")</f>
        <v/>
      </c>
      <c r="BI173" t="str">
        <f ca="1">IFERROR(IF(0=LEN(ReferenceData!$BI$173),"",ReferenceData!$BI$173),"")</f>
        <v/>
      </c>
      <c r="BJ173" t="str">
        <f ca="1">IFERROR(IF(0=LEN(ReferenceData!$BJ$173),"",ReferenceData!$BJ$173),"")</f>
        <v/>
      </c>
      <c r="BK173" t="str">
        <f ca="1">IFERROR(IF(0=LEN(ReferenceData!$BK$173),"",ReferenceData!$BK$173),"")</f>
        <v/>
      </c>
      <c r="BL173" t="str">
        <f ca="1">IFERROR(IF(0=LEN(ReferenceData!$BL$173),"",ReferenceData!$BL$173),"")</f>
        <v/>
      </c>
      <c r="BM173" t="str">
        <f ca="1">IFERROR(IF(0=LEN(ReferenceData!$BM$173),"",ReferenceData!$BM$173),"")</f>
        <v/>
      </c>
    </row>
    <row r="174" spans="1:65">
      <c r="A174" t="str">
        <f>IFERROR(IF(0=LEN(ReferenceData!$A$174),"",ReferenceData!$A$174),"")</f>
        <v xml:space="preserve">    Retail Properties of America I</v>
      </c>
      <c r="B174" t="str">
        <f>IFERROR(IF(0=LEN(ReferenceData!$B$174),"",ReferenceData!$B$174),"")</f>
        <v>RPAI US Equity</v>
      </c>
      <c r="C174" t="str">
        <f>IFERROR(IF(0=LEN(ReferenceData!$C$174),"",ReferenceData!$C$174),"")</f>
        <v>RR551</v>
      </c>
      <c r="D174" t="str">
        <f>IFERROR(IF(0=LEN(ReferenceData!$D$174),"",ReferenceData!$D$174),"")</f>
        <v>NOI_GROWTH</v>
      </c>
      <c r="E174" t="str">
        <f>IFERROR(IF(0=LEN(ReferenceData!$E$174),"",ReferenceData!$E$174),"")</f>
        <v>动态</v>
      </c>
      <c r="F174" t="str">
        <f ca="1">IFERROR(IF(0=LEN(ReferenceData!$F$174),"",ReferenceData!$F$174),"")</f>
        <v/>
      </c>
      <c r="G174">
        <f ca="1">IFERROR(IF(0=LEN(ReferenceData!$G$174),"",ReferenceData!$G$174),"")</f>
        <v>-12.21288917</v>
      </c>
      <c r="H174">
        <f ca="1">IFERROR(IF(0=LEN(ReferenceData!$H$174),"",ReferenceData!$H$174),"")</f>
        <v>-14.598917439999999</v>
      </c>
      <c r="I174">
        <f ca="1">IFERROR(IF(0=LEN(ReferenceData!$I$174),"",ReferenceData!$I$174),"")</f>
        <v>-10.24058033</v>
      </c>
      <c r="J174">
        <f ca="1">IFERROR(IF(0=LEN(ReferenceData!$J$174),"",ReferenceData!$J$174),"")</f>
        <v>-5.4562641300000001</v>
      </c>
      <c r="K174">
        <f ca="1">IFERROR(IF(0=LEN(ReferenceData!$K$174),"",ReferenceData!$K$174),"")</f>
        <v>-4.8230665860000004</v>
      </c>
      <c r="L174">
        <f ca="1">IFERROR(IF(0=LEN(ReferenceData!$L$174),"",ReferenceData!$L$174),"")</f>
        <v>0.60933728399999998</v>
      </c>
      <c r="M174">
        <f ca="1">IFERROR(IF(0=LEN(ReferenceData!$M$174),"",ReferenceData!$M$174),"")</f>
        <v>-1.081117186</v>
      </c>
      <c r="N174">
        <f ca="1">IFERROR(IF(0=LEN(ReferenceData!$N$174),"",ReferenceData!$N$174),"")</f>
        <v>-2.161456099</v>
      </c>
      <c r="O174">
        <f ca="1">IFERROR(IF(0=LEN(ReferenceData!$O$174),"",ReferenceData!$O$174),"")</f>
        <v>-1.2700091330000001</v>
      </c>
      <c r="P174">
        <f ca="1">IFERROR(IF(0=LEN(ReferenceData!$P$174),"",ReferenceData!$P$174),"")</f>
        <v>-3.0876465610000001</v>
      </c>
      <c r="Q174">
        <f ca="1">IFERROR(IF(0=LEN(ReferenceData!$Q$174),"",ReferenceData!$Q$174),"")</f>
        <v>1.43343851</v>
      </c>
      <c r="R174">
        <f ca="1">IFERROR(IF(0=LEN(ReferenceData!$R$174),"",ReferenceData!$R$174),"")</f>
        <v>2.4858558319999999</v>
      </c>
      <c r="S174">
        <f ca="1">IFERROR(IF(0=LEN(ReferenceData!$S$174),"",ReferenceData!$S$174),"")</f>
        <v>4.6839303149999996</v>
      </c>
      <c r="T174">
        <f ca="1">IFERROR(IF(0=LEN(ReferenceData!$T$174),"",ReferenceData!$T$174),"")</f>
        <v>11.9675046</v>
      </c>
      <c r="U174">
        <f ca="1">IFERROR(IF(0=LEN(ReferenceData!$U$174),"",ReferenceData!$U$174),"")</f>
        <v>12.94423735</v>
      </c>
      <c r="V174">
        <f ca="1">IFERROR(IF(0=LEN(ReferenceData!$V$174),"",ReferenceData!$V$174),"")</f>
        <v>13.428948269999999</v>
      </c>
      <c r="W174">
        <f ca="1">IFERROR(IF(0=LEN(ReferenceData!$W$174),"",ReferenceData!$W$174),"")</f>
        <v>9.4645808089999992</v>
      </c>
      <c r="X174">
        <f ca="1">IFERROR(IF(0=LEN(ReferenceData!$X$174),"",ReferenceData!$X$174),"")</f>
        <v>-1.1805182919999999</v>
      </c>
      <c r="Y174">
        <f ca="1">IFERROR(IF(0=LEN(ReferenceData!$Y$174),"",ReferenceData!$Y$174),"")</f>
        <v>-3.169226535</v>
      </c>
      <c r="Z174">
        <f ca="1">IFERROR(IF(0=LEN(ReferenceData!$Z$174),"",ReferenceData!$Z$174),"")</f>
        <v>-6.5811408279999997</v>
      </c>
      <c r="AA174">
        <f ca="1">IFERROR(IF(0=LEN(ReferenceData!$AA$174),"",ReferenceData!$AA$174),"")</f>
        <v>-4.668382083</v>
      </c>
      <c r="AB174">
        <f ca="1">IFERROR(IF(0=LEN(ReferenceData!$AB$174),"",ReferenceData!$AB$174),"")</f>
        <v>-6.2830942170000004</v>
      </c>
      <c r="AC174">
        <f ca="1">IFERROR(IF(0=LEN(ReferenceData!$AC$174),"",ReferenceData!$AC$174),"")</f>
        <v>-5.8978803089999996</v>
      </c>
      <c r="AD174">
        <f ca="1">IFERROR(IF(0=LEN(ReferenceData!$AD$174),"",ReferenceData!$AD$174),"")</f>
        <v>-5.4953764859999996</v>
      </c>
      <c r="AE174">
        <f ca="1">IFERROR(IF(0=LEN(ReferenceData!$AE$174),"",ReferenceData!$AE$174),"")</f>
        <v>-1.5977511600000001</v>
      </c>
      <c r="AF174">
        <f ca="1">IFERROR(IF(0=LEN(ReferenceData!$AF$174),"",ReferenceData!$AF$174),"")</f>
        <v>-7.9259158379999999</v>
      </c>
      <c r="AG174" t="str">
        <f ca="1">IFERROR(IF(0=LEN(ReferenceData!$AG$174),"",ReferenceData!$AG$174),"")</f>
        <v/>
      </c>
      <c r="AH174" t="str">
        <f ca="1">IFERROR(IF(0=LEN(ReferenceData!$AH$174),"",ReferenceData!$AH$174),"")</f>
        <v/>
      </c>
      <c r="AI174" t="str">
        <f ca="1">IFERROR(IF(0=LEN(ReferenceData!$AI$174),"",ReferenceData!$AI$174),"")</f>
        <v/>
      </c>
      <c r="AJ174">
        <f ca="1">IFERROR(IF(0=LEN(ReferenceData!$AJ$174),"",ReferenceData!$AJ$174),"")</f>
        <v>4.2753410519999999</v>
      </c>
      <c r="AK174" t="str">
        <f ca="1">IFERROR(IF(0=LEN(ReferenceData!$AK$174),"",ReferenceData!$AK$174),"")</f>
        <v/>
      </c>
      <c r="AL174" t="str">
        <f ca="1">IFERROR(IF(0=LEN(ReferenceData!$AL$174),"",ReferenceData!$AL$174),"")</f>
        <v/>
      </c>
      <c r="AM174" t="str">
        <f ca="1">IFERROR(IF(0=LEN(ReferenceData!$AM$174),"",ReferenceData!$AM$174),"")</f>
        <v/>
      </c>
      <c r="AN174" t="str">
        <f ca="1">IFERROR(IF(0=LEN(ReferenceData!$AN$174),"",ReferenceData!$AN$174),"")</f>
        <v/>
      </c>
      <c r="AO174" t="str">
        <f ca="1">IFERROR(IF(0=LEN(ReferenceData!$AO$174),"",ReferenceData!$AO$174),"")</f>
        <v/>
      </c>
      <c r="AP174" t="str">
        <f ca="1">IFERROR(IF(0=LEN(ReferenceData!$AP$174),"",ReferenceData!$AP$174),"")</f>
        <v/>
      </c>
      <c r="AQ174" t="str">
        <f ca="1">IFERROR(IF(0=LEN(ReferenceData!$AQ$174),"",ReferenceData!$AQ$174),"")</f>
        <v/>
      </c>
      <c r="AR174" t="str">
        <f ca="1">IFERROR(IF(0=LEN(ReferenceData!$AR$174),"",ReferenceData!$AR$174),"")</f>
        <v/>
      </c>
      <c r="AS174" t="str">
        <f ca="1">IFERROR(IF(0=LEN(ReferenceData!$AS$174),"",ReferenceData!$AS$174),"")</f>
        <v/>
      </c>
      <c r="AT174" t="str">
        <f ca="1">IFERROR(IF(0=LEN(ReferenceData!$AT$174),"",ReferenceData!$AT$174),"")</f>
        <v/>
      </c>
      <c r="AU174" t="str">
        <f ca="1">IFERROR(IF(0=LEN(ReferenceData!$AU$174),"",ReferenceData!$AU$174),"")</f>
        <v/>
      </c>
      <c r="AV174" t="str">
        <f ca="1">IFERROR(IF(0=LEN(ReferenceData!$AV$174),"",ReferenceData!$AV$174),"")</f>
        <v/>
      </c>
      <c r="AW174" t="str">
        <f ca="1">IFERROR(IF(0=LEN(ReferenceData!$AW$174),"",ReferenceData!$AW$174),"")</f>
        <v/>
      </c>
      <c r="AX174" t="str">
        <f ca="1">IFERROR(IF(0=LEN(ReferenceData!$AX$174),"",ReferenceData!$AX$174),"")</f>
        <v/>
      </c>
      <c r="AY174" t="str">
        <f ca="1">IFERROR(IF(0=LEN(ReferenceData!$AY$174),"",ReferenceData!$AY$174),"")</f>
        <v/>
      </c>
      <c r="AZ174" t="str">
        <f ca="1">IFERROR(IF(0=LEN(ReferenceData!$AZ$174),"",ReferenceData!$AZ$174),"")</f>
        <v/>
      </c>
      <c r="BA174" t="str">
        <f ca="1">IFERROR(IF(0=LEN(ReferenceData!$BA$174),"",ReferenceData!$BA$174),"")</f>
        <v/>
      </c>
      <c r="BB174" t="str">
        <f ca="1">IFERROR(IF(0=LEN(ReferenceData!$BB$174),"",ReferenceData!$BB$174),"")</f>
        <v/>
      </c>
      <c r="BC174" t="str">
        <f ca="1">IFERROR(IF(0=LEN(ReferenceData!$BC$174),"",ReferenceData!$BC$174),"")</f>
        <v/>
      </c>
      <c r="BD174" t="str">
        <f ca="1">IFERROR(IF(0=LEN(ReferenceData!$BD$174),"",ReferenceData!$BD$174),"")</f>
        <v/>
      </c>
      <c r="BE174" t="str">
        <f ca="1">IFERROR(IF(0=LEN(ReferenceData!$BE$174),"",ReferenceData!$BE$174),"")</f>
        <v/>
      </c>
      <c r="BF174" t="str">
        <f ca="1">IFERROR(IF(0=LEN(ReferenceData!$BF$174),"",ReferenceData!$BF$174),"")</f>
        <v/>
      </c>
      <c r="BG174" t="str">
        <f ca="1">IFERROR(IF(0=LEN(ReferenceData!$BG$174),"",ReferenceData!$BG$174),"")</f>
        <v/>
      </c>
      <c r="BH174" t="str">
        <f ca="1">IFERROR(IF(0=LEN(ReferenceData!$BH$174),"",ReferenceData!$BH$174),"")</f>
        <v/>
      </c>
      <c r="BI174" t="str">
        <f ca="1">IFERROR(IF(0=LEN(ReferenceData!$BI$174),"",ReferenceData!$BI$174),"")</f>
        <v/>
      </c>
      <c r="BJ174" t="str">
        <f ca="1">IFERROR(IF(0=LEN(ReferenceData!$BJ$174),"",ReferenceData!$BJ$174),"")</f>
        <v/>
      </c>
      <c r="BK174" t="str">
        <f ca="1">IFERROR(IF(0=LEN(ReferenceData!$BK$174),"",ReferenceData!$BK$174),"")</f>
        <v/>
      </c>
      <c r="BL174" t="str">
        <f ca="1">IFERROR(IF(0=LEN(ReferenceData!$BL$174),"",ReferenceData!$BL$174),"")</f>
        <v/>
      </c>
      <c r="BM174" t="str">
        <f ca="1">IFERROR(IF(0=LEN(ReferenceData!$BM$174),"",ReferenceData!$BM$174),"")</f>
        <v/>
      </c>
    </row>
    <row r="175" spans="1:65">
      <c r="A175" t="str">
        <f>IFERROR(IF(0=LEN(ReferenceData!$A$175),"",ReferenceData!$A$175),"")</f>
        <v xml:space="preserve">    Simon Property Group Inc</v>
      </c>
      <c r="B175" t="str">
        <f>IFERROR(IF(0=LEN(ReferenceData!$B$175),"",ReferenceData!$B$175),"")</f>
        <v>SPG US Equity</v>
      </c>
      <c r="C175" t="str">
        <f>IFERROR(IF(0=LEN(ReferenceData!$C$175),"",ReferenceData!$C$175),"")</f>
        <v>RR551</v>
      </c>
      <c r="D175" t="str">
        <f>IFERROR(IF(0=LEN(ReferenceData!$D$175),"",ReferenceData!$D$175),"")</f>
        <v>NOI_GROWTH</v>
      </c>
      <c r="E175" t="str">
        <f>IFERROR(IF(0=LEN(ReferenceData!$E$175),"",ReferenceData!$E$175),"")</f>
        <v>动态</v>
      </c>
      <c r="F175" t="str">
        <f ca="1">IFERROR(IF(0=LEN(ReferenceData!$F$175),"",ReferenceData!$F$175),"")</f>
        <v/>
      </c>
      <c r="G175">
        <f ca="1">IFERROR(IF(0=LEN(ReferenceData!$G$175),"",ReferenceData!$G$175),"")</f>
        <v>-0.38415363899999999</v>
      </c>
      <c r="H175">
        <f ca="1">IFERROR(IF(0=LEN(ReferenceData!$H$175),"",ReferenceData!$H$175),"")</f>
        <v>0.91493025900000002</v>
      </c>
      <c r="I175">
        <f ca="1">IFERROR(IF(0=LEN(ReferenceData!$I$175),"",ReferenceData!$I$175),"")</f>
        <v>2.7858430649999999</v>
      </c>
      <c r="J175">
        <f ca="1">IFERROR(IF(0=LEN(ReferenceData!$J$175),"",ReferenceData!$J$175),"")</f>
        <v>3.4048130570000001</v>
      </c>
      <c r="K175">
        <f ca="1">IFERROR(IF(0=LEN(ReferenceData!$K$175),"",ReferenceData!$K$175),"")</f>
        <v>2.9964922039999999</v>
      </c>
      <c r="L175">
        <f ca="1">IFERROR(IF(0=LEN(ReferenceData!$L$175),"",ReferenceData!$L$175),"")</f>
        <v>5.6821575429999998</v>
      </c>
      <c r="M175">
        <f ca="1">IFERROR(IF(0=LEN(ReferenceData!$M$175),"",ReferenceData!$M$175),"")</f>
        <v>5.052252567</v>
      </c>
      <c r="N175">
        <f ca="1">IFERROR(IF(0=LEN(ReferenceData!$N$175),"",ReferenceData!$N$175),"")</f>
        <v>7.2726475730000004</v>
      </c>
      <c r="O175">
        <f ca="1">IFERROR(IF(0=LEN(ReferenceData!$O$175),"",ReferenceData!$O$175),"")</f>
        <v>6.3478490279999997</v>
      </c>
      <c r="P175">
        <f ca="1">IFERROR(IF(0=LEN(ReferenceData!$P$175),"",ReferenceData!$P$175),"")</f>
        <v>4.5697295679999996</v>
      </c>
      <c r="Q175">
        <f ca="1">IFERROR(IF(0=LEN(ReferenceData!$Q$175),"",ReferenceData!$Q$175),"")</f>
        <v>5.2764661119999996</v>
      </c>
      <c r="R175">
        <f ca="1">IFERROR(IF(0=LEN(ReferenceData!$R$175),"",ReferenceData!$R$175),"")</f>
        <v>5.0802742519999997</v>
      </c>
      <c r="S175">
        <f ca="1">IFERROR(IF(0=LEN(ReferenceData!$S$175),"",ReferenceData!$S$175),"")</f>
        <v>4.7605374490000001</v>
      </c>
      <c r="T175">
        <f ca="1">IFERROR(IF(0=LEN(ReferenceData!$T$175),"",ReferenceData!$T$175),"")</f>
        <v>6.9126656520000003</v>
      </c>
      <c r="U175">
        <f ca="1">IFERROR(IF(0=LEN(ReferenceData!$U$175),"",ReferenceData!$U$175),"")</f>
        <v>8.7116033680000005</v>
      </c>
      <c r="V175">
        <f ca="1">IFERROR(IF(0=LEN(ReferenceData!$V$175),"",ReferenceData!$V$175),"")</f>
        <v>-4.958602612</v>
      </c>
      <c r="W175">
        <f ca="1">IFERROR(IF(0=LEN(ReferenceData!$W$175),"",ReferenceData!$W$175),"")</f>
        <v>-5.8240047639999997</v>
      </c>
      <c r="X175">
        <f ca="1">IFERROR(IF(0=LEN(ReferenceData!$X$175),"",ReferenceData!$X$175),"")</f>
        <v>-3.988773868</v>
      </c>
      <c r="Y175">
        <f ca="1">IFERROR(IF(0=LEN(ReferenceData!$Y$175),"",ReferenceData!$Y$175),"")</f>
        <v>-4.3944023589999999</v>
      </c>
      <c r="Z175">
        <f ca="1">IFERROR(IF(0=LEN(ReferenceData!$Z$175),"",ReferenceData!$Z$175),"")</f>
        <v>11.66274784</v>
      </c>
      <c r="AA175">
        <f ca="1">IFERROR(IF(0=LEN(ReferenceData!$AA$175),"",ReferenceData!$AA$175),"")</f>
        <v>15.779753469999999</v>
      </c>
      <c r="AB175">
        <f ca="1">IFERROR(IF(0=LEN(ReferenceData!$AB$175),"",ReferenceData!$AB$175),"")</f>
        <v>16.326437479999999</v>
      </c>
      <c r="AC175">
        <f ca="1">IFERROR(IF(0=LEN(ReferenceData!$AC$175),"",ReferenceData!$AC$175),"")</f>
        <v>16.576630160000001</v>
      </c>
      <c r="AD175">
        <f ca="1">IFERROR(IF(0=LEN(ReferenceData!$AD$175),"",ReferenceData!$AD$175),"")</f>
        <v>12.421156180000001</v>
      </c>
      <c r="AE175">
        <f ca="1">IFERROR(IF(0=LEN(ReferenceData!$AE$175),"",ReferenceData!$AE$175),"")</f>
        <v>6.6401902699999997</v>
      </c>
      <c r="AF175">
        <f ca="1">IFERROR(IF(0=LEN(ReferenceData!$AF$175),"",ReferenceData!$AF$175),"")</f>
        <v>10.925139059999999</v>
      </c>
      <c r="AG175">
        <f ca="1">IFERROR(IF(0=LEN(ReferenceData!$AG$175),"",ReferenceData!$AG$175),"")</f>
        <v>12.26884709</v>
      </c>
      <c r="AH175">
        <f ca="1">IFERROR(IF(0=LEN(ReferenceData!$AH$175),"",ReferenceData!$AH$175),"")</f>
        <v>14.04238851</v>
      </c>
      <c r="AI175">
        <f ca="1">IFERROR(IF(0=LEN(ReferenceData!$AI$175),"",ReferenceData!$AI$175),"")</f>
        <v>12.00505328</v>
      </c>
      <c r="AJ175">
        <f ca="1">IFERROR(IF(0=LEN(ReferenceData!$AJ$175),"",ReferenceData!$AJ$175),"")</f>
        <v>5.974781557</v>
      </c>
      <c r="AK175">
        <f ca="1">IFERROR(IF(0=LEN(ReferenceData!$AK$175),"",ReferenceData!$AK$175),"")</f>
        <v>2.6777104280000001</v>
      </c>
      <c r="AL175">
        <f ca="1">IFERROR(IF(0=LEN(ReferenceData!$AL$175),"",ReferenceData!$AL$175),"")</f>
        <v>6.2084242999999997E-2</v>
      </c>
      <c r="AM175">
        <f ca="1">IFERROR(IF(0=LEN(ReferenceData!$AM$175),"",ReferenceData!$AM$175),"")</f>
        <v>-0.47921118299999999</v>
      </c>
      <c r="AN175">
        <f ca="1">IFERROR(IF(0=LEN(ReferenceData!$AN$175),"",ReferenceData!$AN$175),"")</f>
        <v>2.0664873940000001</v>
      </c>
      <c r="AO175">
        <f ca="1">IFERROR(IF(0=LEN(ReferenceData!$AO$175),"",ReferenceData!$AO$175),"")</f>
        <v>0.79208295699999998</v>
      </c>
      <c r="AP175">
        <f ca="1">IFERROR(IF(0=LEN(ReferenceData!$AP$175),"",ReferenceData!$AP$175),"")</f>
        <v>5.4414920169999998</v>
      </c>
      <c r="AQ175">
        <f ca="1">IFERROR(IF(0=LEN(ReferenceData!$AQ$175),"",ReferenceData!$AQ$175),"")</f>
        <v>1.478981517</v>
      </c>
      <c r="AR175">
        <f ca="1">IFERROR(IF(0=LEN(ReferenceData!$AR$175),"",ReferenceData!$AR$175),"")</f>
        <v>4.3825215130000004</v>
      </c>
      <c r="AS175">
        <f ca="1">IFERROR(IF(0=LEN(ReferenceData!$AS$175),"",ReferenceData!$AS$175),"")</f>
        <v>14.00683927</v>
      </c>
      <c r="AT175">
        <f ca="1">IFERROR(IF(0=LEN(ReferenceData!$AT$175),"",ReferenceData!$AT$175),"")</f>
        <v>11.2108761</v>
      </c>
      <c r="AU175">
        <f ca="1">IFERROR(IF(0=LEN(ReferenceData!$AU$175),"",ReferenceData!$AU$175),"")</f>
        <v>18.990177469999999</v>
      </c>
      <c r="AV175">
        <f ca="1">IFERROR(IF(0=LEN(ReferenceData!$AV$175),"",ReferenceData!$AV$175),"")</f>
        <v>12.71252885</v>
      </c>
      <c r="AW175">
        <f ca="1">IFERROR(IF(0=LEN(ReferenceData!$AW$175),"",ReferenceData!$AW$175),"")</f>
        <v>6.0369131229999997</v>
      </c>
      <c r="AX175">
        <f ca="1">IFERROR(IF(0=LEN(ReferenceData!$AX$175),"",ReferenceData!$AX$175),"")</f>
        <v>5.7760743000000003</v>
      </c>
      <c r="AY175">
        <f ca="1">IFERROR(IF(0=LEN(ReferenceData!$AY$175),"",ReferenceData!$AY$175),"")</f>
        <v>5.647198983</v>
      </c>
      <c r="AZ175">
        <f ca="1">IFERROR(IF(0=LEN(ReferenceData!$AZ$175),"",ReferenceData!$AZ$175),"")</f>
        <v>7.3357776709999998</v>
      </c>
      <c r="BA175">
        <f ca="1">IFERROR(IF(0=LEN(ReferenceData!$BA$175),"",ReferenceData!$BA$175),"")</f>
        <v>5.2796671269999997</v>
      </c>
      <c r="BB175">
        <f ca="1">IFERROR(IF(0=LEN(ReferenceData!$BB$175),"",ReferenceData!$BB$175),"")</f>
        <v>5.2836098969999998</v>
      </c>
      <c r="BC175">
        <f ca="1">IFERROR(IF(0=LEN(ReferenceData!$BC$175),"",ReferenceData!$BC$175),"")</f>
        <v>10.905688209999999</v>
      </c>
      <c r="BD175">
        <f ca="1">IFERROR(IF(0=LEN(ReferenceData!$BD$175),"",ReferenceData!$BD$175),"")</f>
        <v>30.037300009999999</v>
      </c>
      <c r="BE175">
        <f ca="1">IFERROR(IF(0=LEN(ReferenceData!$BE$175),"",ReferenceData!$BE$175),"")</f>
        <v>28.675970880000001</v>
      </c>
      <c r="BF175">
        <f ca="1">IFERROR(IF(0=LEN(ReferenceData!$BF$175),"",ReferenceData!$BF$175),"")</f>
        <v>29.73971573</v>
      </c>
      <c r="BG175">
        <f ca="1">IFERROR(IF(0=LEN(ReferenceData!$BG$175),"",ReferenceData!$BG$175),"")</f>
        <v>57.502492599999997</v>
      </c>
      <c r="BH175">
        <f ca="1">IFERROR(IF(0=LEN(ReferenceData!$BH$175),"",ReferenceData!$BH$175),"")</f>
        <v>7.8739241040000003</v>
      </c>
      <c r="BI175">
        <f ca="1">IFERROR(IF(0=LEN(ReferenceData!$BI$175),"",ReferenceData!$BI$175),"")</f>
        <v>9.1646356600000001</v>
      </c>
      <c r="BJ175">
        <f ca="1">IFERROR(IF(0=LEN(ReferenceData!$BJ$175),"",ReferenceData!$BJ$175),"")</f>
        <v>7.3612616209999997</v>
      </c>
      <c r="BK175">
        <f ca="1">IFERROR(IF(0=LEN(ReferenceData!$BK$175),"",ReferenceData!$BK$175),"")</f>
        <v>-11.345812820000001</v>
      </c>
      <c r="BL175">
        <f ca="1">IFERROR(IF(0=LEN(ReferenceData!$BL$175),"",ReferenceData!$BL$175),"")</f>
        <v>9.9210458979999991</v>
      </c>
      <c r="BM175">
        <f ca="1">IFERROR(IF(0=LEN(ReferenceData!$BM$175),"",ReferenceData!$BM$175),"")</f>
        <v>10.62693088</v>
      </c>
    </row>
    <row r="176" spans="1:65">
      <c r="A176" t="str">
        <f>IFERROR(IF(0=LEN(ReferenceData!$A$176),"",ReferenceData!$A$176),"")</f>
        <v xml:space="preserve">    Tanger Factory Outlet Centers</v>
      </c>
      <c r="B176" t="str">
        <f>IFERROR(IF(0=LEN(ReferenceData!$B$176),"",ReferenceData!$B$176),"")</f>
        <v>SKT US Equity</v>
      </c>
      <c r="C176" t="str">
        <f>IFERROR(IF(0=LEN(ReferenceData!$C$176),"",ReferenceData!$C$176),"")</f>
        <v>RR551</v>
      </c>
      <c r="D176" t="str">
        <f>IFERROR(IF(0=LEN(ReferenceData!$D$176),"",ReferenceData!$D$176),"")</f>
        <v>NOI_GROWTH</v>
      </c>
      <c r="E176" t="str">
        <f>IFERROR(IF(0=LEN(ReferenceData!$E$176),"",ReferenceData!$E$176),"")</f>
        <v>动态</v>
      </c>
      <c r="F176" t="str">
        <f ca="1">IFERROR(IF(0=LEN(ReferenceData!$F$176),"",ReferenceData!$F$176),"")</f>
        <v/>
      </c>
      <c r="G176">
        <f ca="1">IFERROR(IF(0=LEN(ReferenceData!$G$176),"",ReferenceData!$G$176),"")</f>
        <v>4.4718274869999997</v>
      </c>
      <c r="H176">
        <f ca="1">IFERROR(IF(0=LEN(ReferenceData!$H$176),"",ReferenceData!$H$176),"")</f>
        <v>2.063172808</v>
      </c>
      <c r="I176">
        <f ca="1">IFERROR(IF(0=LEN(ReferenceData!$I$176),"",ReferenceData!$I$176),"")</f>
        <v>7.6690456029999998</v>
      </c>
      <c r="J176">
        <f ca="1">IFERROR(IF(0=LEN(ReferenceData!$J$176),"",ReferenceData!$J$176),"")</f>
        <v>10.82344026</v>
      </c>
      <c r="K176">
        <f ca="1">IFERROR(IF(0=LEN(ReferenceData!$K$176),"",ReferenceData!$K$176),"")</f>
        <v>9.7023874410000008</v>
      </c>
      <c r="L176">
        <f ca="1">IFERROR(IF(0=LEN(ReferenceData!$L$176),"",ReferenceData!$L$176),"")</f>
        <v>6.7850871269999997</v>
      </c>
      <c r="M176">
        <f ca="1">IFERROR(IF(0=LEN(ReferenceData!$M$176),"",ReferenceData!$M$176),"")</f>
        <v>4.720685724</v>
      </c>
      <c r="N176">
        <f ca="1">IFERROR(IF(0=LEN(ReferenceData!$N$176),"",ReferenceData!$N$176),"")</f>
        <v>6.7227771699999996</v>
      </c>
      <c r="O176">
        <f ca="1">IFERROR(IF(0=LEN(ReferenceData!$O$176),"",ReferenceData!$O$176),"")</f>
        <v>2.5532093300000001</v>
      </c>
      <c r="P176">
        <f ca="1">IFERROR(IF(0=LEN(ReferenceData!$P$176),"",ReferenceData!$P$176),"")</f>
        <v>5.5520702630000001</v>
      </c>
      <c r="Q176">
        <f ca="1">IFERROR(IF(0=LEN(ReferenceData!$Q$176),"",ReferenceData!$Q$176),"")</f>
        <v>6.5905544889999996</v>
      </c>
      <c r="R176">
        <f ca="1">IFERROR(IF(0=LEN(ReferenceData!$R$176),"",ReferenceData!$R$176),"")</f>
        <v>2.5069081980000001</v>
      </c>
      <c r="S176">
        <f ca="1">IFERROR(IF(0=LEN(ReferenceData!$S$176),"",ReferenceData!$S$176),"")</f>
        <v>0.454845367</v>
      </c>
      <c r="T176">
        <f ca="1">IFERROR(IF(0=LEN(ReferenceData!$T$176),"",ReferenceData!$T$176),"")</f>
        <v>8.0078846860000006</v>
      </c>
      <c r="U176">
        <f ca="1">IFERROR(IF(0=LEN(ReferenceData!$U$176),"",ReferenceData!$U$176),"")</f>
        <v>11.27136752</v>
      </c>
      <c r="V176">
        <f ca="1">IFERROR(IF(0=LEN(ReferenceData!$V$176),"",ReferenceData!$V$176),"")</f>
        <v>11.48001095</v>
      </c>
      <c r="W176">
        <f ca="1">IFERROR(IF(0=LEN(ReferenceData!$W$176),"",ReferenceData!$W$176),"")</f>
        <v>14.428683879999999</v>
      </c>
      <c r="X176">
        <f ca="1">IFERROR(IF(0=LEN(ReferenceData!$X$176),"",ReferenceData!$X$176),"")</f>
        <v>8.4544209509999995</v>
      </c>
      <c r="Y176">
        <f ca="1">IFERROR(IF(0=LEN(ReferenceData!$Y$176),"",ReferenceData!$Y$176),"")</f>
        <v>4.7034764830000002</v>
      </c>
      <c r="Z176">
        <f ca="1">IFERROR(IF(0=LEN(ReferenceData!$Z$176),"",ReferenceData!$Z$176),"")</f>
        <v>3.6929247040000002</v>
      </c>
      <c r="AA176">
        <f ca="1">IFERROR(IF(0=LEN(ReferenceData!$AA$176),"",ReferenceData!$AA$176),"")</f>
        <v>4.6006754829999998</v>
      </c>
      <c r="AB176">
        <f ca="1">IFERROR(IF(0=LEN(ReferenceData!$AB$176),"",ReferenceData!$AB$176),"")</f>
        <v>7.8927451619999998</v>
      </c>
      <c r="AC176">
        <f ca="1">IFERROR(IF(0=LEN(ReferenceData!$AC$176),"",ReferenceData!$AC$176),"")</f>
        <v>23.354390810000002</v>
      </c>
      <c r="AD176">
        <f ca="1">IFERROR(IF(0=LEN(ReferenceData!$AD$176),"",ReferenceData!$AD$176),"")</f>
        <v>26.045138349999998</v>
      </c>
      <c r="AE176">
        <f ca="1">IFERROR(IF(0=LEN(ReferenceData!$AE$176),"",ReferenceData!$AE$176),"")</f>
        <v>27.6527745</v>
      </c>
      <c r="AF176">
        <f ca="1">IFERROR(IF(0=LEN(ReferenceData!$AF$176),"",ReferenceData!$AF$176),"")</f>
        <v>25.158438400000001</v>
      </c>
      <c r="AG176">
        <f ca="1">IFERROR(IF(0=LEN(ReferenceData!$AG$176),"",ReferenceData!$AG$176),"")</f>
        <v>12.24287305</v>
      </c>
      <c r="AH176">
        <f ca="1">IFERROR(IF(0=LEN(ReferenceData!$AH$176),"",ReferenceData!$AH$176),"")</f>
        <v>6.5162489280000004</v>
      </c>
      <c r="AI176">
        <f ca="1">IFERROR(IF(0=LEN(ReferenceData!$AI$176),"",ReferenceData!$AI$176),"")</f>
        <v>4.3979667239999998</v>
      </c>
      <c r="AJ176">
        <f ca="1">IFERROR(IF(0=LEN(ReferenceData!$AJ$176),"",ReferenceData!$AJ$176),"")</f>
        <v>2.6555843669999999</v>
      </c>
      <c r="AK176">
        <f ca="1">IFERROR(IF(0=LEN(ReferenceData!$AK$176),"",ReferenceData!$AK$176),"")</f>
        <v>-1.188455008</v>
      </c>
      <c r="AL176">
        <f ca="1">IFERROR(IF(0=LEN(ReferenceData!$AL$176),"",ReferenceData!$AL$176),"")</f>
        <v>0.63779791900000005</v>
      </c>
      <c r="AM176">
        <f ca="1">IFERROR(IF(0=LEN(ReferenceData!$AM$176),"",ReferenceData!$AM$176),"")</f>
        <v>-0.89656243800000002</v>
      </c>
      <c r="AN176">
        <f ca="1">IFERROR(IF(0=LEN(ReferenceData!$AN$176),"",ReferenceData!$AN$176),"")</f>
        <v>8.1720053089999993</v>
      </c>
      <c r="AO176">
        <f ca="1">IFERROR(IF(0=LEN(ReferenceData!$AO$176),"",ReferenceData!$AO$176),"")</f>
        <v>10.311263520000001</v>
      </c>
      <c r="AP176">
        <f ca="1">IFERROR(IF(0=LEN(ReferenceData!$AP$176),"",ReferenceData!$AP$176),"")</f>
        <v>13.73639859</v>
      </c>
      <c r="AQ176">
        <f ca="1">IFERROR(IF(0=LEN(ReferenceData!$AQ$176),"",ReferenceData!$AQ$176),"")</f>
        <v>14.006325110000001</v>
      </c>
      <c r="AR176">
        <f ca="1">IFERROR(IF(0=LEN(ReferenceData!$AR$176),"",ReferenceData!$AR$176),"")</f>
        <v>7.7037196879999996</v>
      </c>
      <c r="AS176">
        <f ca="1">IFERROR(IF(0=LEN(ReferenceData!$AS$176),"",ReferenceData!$AS$176),"")</f>
        <v>5.5342130169999999</v>
      </c>
      <c r="AT176">
        <f ca="1">IFERROR(IF(0=LEN(ReferenceData!$AT$176),"",ReferenceData!$AT$176),"")</f>
        <v>5.8085180059999999</v>
      </c>
      <c r="AU176">
        <f ca="1">IFERROR(IF(0=LEN(ReferenceData!$AU$176),"",ReferenceData!$AU$176),"")</f>
        <v>9.2062000939999997</v>
      </c>
      <c r="AV176">
        <f ca="1">IFERROR(IF(0=LEN(ReferenceData!$AV$176),"",ReferenceData!$AV$176),"")</f>
        <v>8.2549786839999992</v>
      </c>
      <c r="AW176">
        <f ca="1">IFERROR(IF(0=LEN(ReferenceData!$AW$176),"",ReferenceData!$AW$176),"")</f>
        <v>8.7589693910000008</v>
      </c>
      <c r="AX176">
        <f ca="1">IFERROR(IF(0=LEN(ReferenceData!$AX$176),"",ReferenceData!$AX$176),"")</f>
        <v>8.0366606399999991</v>
      </c>
      <c r="AY176">
        <f ca="1">IFERROR(IF(0=LEN(ReferenceData!$AY$176),"",ReferenceData!$AY$176),"")</f>
        <v>5.8863111090000002</v>
      </c>
      <c r="AZ176">
        <f ca="1">IFERROR(IF(0=LEN(ReferenceData!$AZ$176),"",ReferenceData!$AZ$176),"")</f>
        <v>2.3001553349999999</v>
      </c>
      <c r="BA176">
        <f ca="1">IFERROR(IF(0=LEN(ReferenceData!$BA$176),"",ReferenceData!$BA$176),"")</f>
        <v>2.409152921</v>
      </c>
      <c r="BB176">
        <f ca="1">IFERROR(IF(0=LEN(ReferenceData!$BB$176),"",ReferenceData!$BB$176),"")</f>
        <v>5.7458381410000001</v>
      </c>
      <c r="BC176">
        <f ca="1">IFERROR(IF(0=LEN(ReferenceData!$BC$176),"",ReferenceData!$BC$176),"")</f>
        <v>1.5508482130000001</v>
      </c>
      <c r="BD176">
        <f ca="1">IFERROR(IF(0=LEN(ReferenceData!$BD$176),"",ReferenceData!$BD$176),"")</f>
        <v>3.7211463980000001</v>
      </c>
      <c r="BE176">
        <f ca="1">IFERROR(IF(0=LEN(ReferenceData!$BE$176),"",ReferenceData!$BE$176),"")</f>
        <v>1.9213753</v>
      </c>
      <c r="BF176">
        <f ca="1">IFERROR(IF(0=LEN(ReferenceData!$BF$176),"",ReferenceData!$BF$176),"")</f>
        <v>-2.8035885930000002</v>
      </c>
      <c r="BG176">
        <f ca="1">IFERROR(IF(0=LEN(ReferenceData!$BG$176),"",ReferenceData!$BG$176),"")</f>
        <v>50.856033289999999</v>
      </c>
      <c r="BH176">
        <f ca="1">IFERROR(IF(0=LEN(ReferenceData!$BH$176),"",ReferenceData!$BH$176),"")</f>
        <v>75.417142240000004</v>
      </c>
      <c r="BI176">
        <f ca="1">IFERROR(IF(0=LEN(ReferenceData!$BI$176),"",ReferenceData!$BI$176),"")</f>
        <v>72.616190270000004</v>
      </c>
      <c r="BJ176">
        <f ca="1">IFERROR(IF(0=LEN(ReferenceData!$BJ$176),"",ReferenceData!$BJ$176),"")</f>
        <v>70.630364659999998</v>
      </c>
      <c r="BK176">
        <f ca="1">IFERROR(IF(0=LEN(ReferenceData!$BK$176),"",ReferenceData!$BK$176),"")</f>
        <v>9.9817642170000003</v>
      </c>
      <c r="BL176">
        <f ca="1">IFERROR(IF(0=LEN(ReferenceData!$BL$176),"",ReferenceData!$BL$176),"")</f>
        <v>0.92704333500000002</v>
      </c>
      <c r="BM176">
        <f ca="1">IFERROR(IF(0=LEN(ReferenceData!$BM$176),"",ReferenceData!$BM$176),"")</f>
        <v>3.9523674510000002</v>
      </c>
    </row>
    <row r="177" spans="1:65">
      <c r="A177" t="str">
        <f>IFERROR(IF(0=LEN(ReferenceData!$A$177),"",ReferenceData!$A$177),"")</f>
        <v xml:space="preserve">    VEREIT Inc</v>
      </c>
      <c r="B177" t="str">
        <f>IFERROR(IF(0=LEN(ReferenceData!$B$177),"",ReferenceData!$B$177),"")</f>
        <v>VER US Equity</v>
      </c>
      <c r="C177" t="str">
        <f>IFERROR(IF(0=LEN(ReferenceData!$C$177),"",ReferenceData!$C$177),"")</f>
        <v>RR551</v>
      </c>
      <c r="D177" t="str">
        <f>IFERROR(IF(0=LEN(ReferenceData!$D$177),"",ReferenceData!$D$177),"")</f>
        <v>NOI_GROWTH</v>
      </c>
      <c r="E177" t="str">
        <f>IFERROR(IF(0=LEN(ReferenceData!$E$177),"",ReferenceData!$E$177),"")</f>
        <v>动态</v>
      </c>
      <c r="F177" t="str">
        <f ca="1">IFERROR(IF(0=LEN(ReferenceData!$F$177),"",ReferenceData!$F$177),"")</f>
        <v/>
      </c>
      <c r="G177">
        <f ca="1">IFERROR(IF(0=LEN(ReferenceData!$G$177),"",ReferenceData!$G$177),"")</f>
        <v>-0.87019635100000003</v>
      </c>
      <c r="H177">
        <f ca="1">IFERROR(IF(0=LEN(ReferenceData!$H$177),"",ReferenceData!$H$177),"")</f>
        <v>-5.0798352280000003</v>
      </c>
      <c r="I177">
        <f ca="1">IFERROR(IF(0=LEN(ReferenceData!$I$177),"",ReferenceData!$I$177),"")</f>
        <v>-5.4054054049999998</v>
      </c>
      <c r="J177">
        <f ca="1">IFERROR(IF(0=LEN(ReferenceData!$J$177),"",ReferenceData!$J$177),"")</f>
        <v>-5.1742963590000004</v>
      </c>
      <c r="K177">
        <f ca="1">IFERROR(IF(0=LEN(ReferenceData!$K$177),"",ReferenceData!$K$177),"")</f>
        <v>-7.0703357799999997</v>
      </c>
      <c r="L177">
        <f ca="1">IFERROR(IF(0=LEN(ReferenceData!$L$177),"",ReferenceData!$L$177),"")</f>
        <v>-11.83337809</v>
      </c>
      <c r="M177">
        <f ca="1">IFERROR(IF(0=LEN(ReferenceData!$M$177),"",ReferenceData!$M$177),"")</f>
        <v>-12.69274293</v>
      </c>
      <c r="N177">
        <f ca="1">IFERROR(IF(0=LEN(ReferenceData!$N$177),"",ReferenceData!$N$177),"")</f>
        <v>-12.475099200000001</v>
      </c>
      <c r="O177">
        <f ca="1">IFERROR(IF(0=LEN(ReferenceData!$O$177),"",ReferenceData!$O$177),"")</f>
        <v>-9.5734141390000005</v>
      </c>
      <c r="P177">
        <f ca="1">IFERROR(IF(0=LEN(ReferenceData!$P$177),"",ReferenceData!$P$177),"")</f>
        <v>-3.6907967689999999</v>
      </c>
      <c r="Q177">
        <f ca="1">IFERROR(IF(0=LEN(ReferenceData!$Q$177),"",ReferenceData!$Q$177),"")</f>
        <v>13.689333059999999</v>
      </c>
      <c r="R177">
        <f ca="1">IFERROR(IF(0=LEN(ReferenceData!$R$177),"",ReferenceData!$R$177),"")</f>
        <v>65.316644870000005</v>
      </c>
      <c r="S177">
        <f ca="1">IFERROR(IF(0=LEN(ReferenceData!$S$177),"",ReferenceData!$S$177),"")</f>
        <v>316.35853059999999</v>
      </c>
      <c r="T177">
        <f ca="1">IFERROR(IF(0=LEN(ReferenceData!$T$177),"",ReferenceData!$T$177),"")</f>
        <v>266.95215839999997</v>
      </c>
      <c r="U177">
        <f ca="1">IFERROR(IF(0=LEN(ReferenceData!$U$177),"",ReferenceData!$U$177),"")</f>
        <v>440.89515510000001</v>
      </c>
      <c r="V177">
        <f ca="1">IFERROR(IF(0=LEN(ReferenceData!$V$177),"",ReferenceData!$V$177),"")</f>
        <v>387.42130179999998</v>
      </c>
      <c r="W177">
        <f ca="1">IFERROR(IF(0=LEN(ReferenceData!$W$177),"",ReferenceData!$W$177),"")</f>
        <v>175.46820640000001</v>
      </c>
      <c r="X177">
        <f ca="1">IFERROR(IF(0=LEN(ReferenceData!$X$177),"",ReferenceData!$X$177),"")</f>
        <v>389.3991292</v>
      </c>
      <c r="Y177">
        <f ca="1">IFERROR(IF(0=LEN(ReferenceData!$Y$177),"",ReferenceData!$Y$177),"")</f>
        <v>349.0354135</v>
      </c>
      <c r="Z177">
        <f ca="1">IFERROR(IF(0=LEN(ReferenceData!$Z$177),"",ReferenceData!$Z$177),"")</f>
        <v>563.75410120000004</v>
      </c>
      <c r="AA177">
        <f ca="1">IFERROR(IF(0=LEN(ReferenceData!$AA$177),"",ReferenceData!$AA$177),"")</f>
        <v>4419.2996069999999</v>
      </c>
      <c r="AB177">
        <f ca="1">IFERROR(IF(0=LEN(ReferenceData!$AB$177),"",ReferenceData!$AB$177),"")</f>
        <v>2890.4513889999998</v>
      </c>
      <c r="AC177" t="str">
        <f ca="1">IFERROR(IF(0=LEN(ReferenceData!$AC$177),"",ReferenceData!$AC$177),"")</f>
        <v/>
      </c>
      <c r="AD177">
        <f ca="1">IFERROR(IF(0=LEN(ReferenceData!$AD$177),"",ReferenceData!$AD$177),"")</f>
        <v>241.618864</v>
      </c>
      <c r="AE177" t="str">
        <f ca="1">IFERROR(IF(0=LEN(ReferenceData!$AE$177),"",ReferenceData!$AE$177),"")</f>
        <v/>
      </c>
      <c r="AF177" t="str">
        <f ca="1">IFERROR(IF(0=LEN(ReferenceData!$AF$177),"",ReferenceData!$AF$177),"")</f>
        <v/>
      </c>
      <c r="AG177" t="str">
        <f ca="1">IFERROR(IF(0=LEN(ReferenceData!$AG$177),"",ReferenceData!$AG$177),"")</f>
        <v/>
      </c>
      <c r="AH177">
        <f ca="1">IFERROR(IF(0=LEN(ReferenceData!$AH$177),"",ReferenceData!$AH$177),"")</f>
        <v>-3.1261786599999999</v>
      </c>
      <c r="AI177" t="str">
        <f ca="1">IFERROR(IF(0=LEN(ReferenceData!$AI$177),"",ReferenceData!$AI$177),"")</f>
        <v/>
      </c>
      <c r="AJ177" t="str">
        <f ca="1">IFERROR(IF(0=LEN(ReferenceData!$AJ$177),"",ReferenceData!$AJ$177),"")</f>
        <v/>
      </c>
      <c r="AK177" t="str">
        <f ca="1">IFERROR(IF(0=LEN(ReferenceData!$AK$177),"",ReferenceData!$AK$177),"")</f>
        <v/>
      </c>
      <c r="AL177" t="str">
        <f ca="1">IFERROR(IF(0=LEN(ReferenceData!$AL$177),"",ReferenceData!$AL$177),"")</f>
        <v/>
      </c>
      <c r="AM177" t="str">
        <f ca="1">IFERROR(IF(0=LEN(ReferenceData!$AM$177),"",ReferenceData!$AM$177),"")</f>
        <v/>
      </c>
      <c r="AN177" t="str">
        <f ca="1">IFERROR(IF(0=LEN(ReferenceData!$AN$177),"",ReferenceData!$AN$177),"")</f>
        <v/>
      </c>
      <c r="AO177" t="str">
        <f ca="1">IFERROR(IF(0=LEN(ReferenceData!$AO$177),"",ReferenceData!$AO$177),"")</f>
        <v/>
      </c>
      <c r="AP177" t="str">
        <f ca="1">IFERROR(IF(0=LEN(ReferenceData!$AP$177),"",ReferenceData!$AP$177),"")</f>
        <v/>
      </c>
      <c r="AQ177" t="str">
        <f ca="1">IFERROR(IF(0=LEN(ReferenceData!$AQ$177),"",ReferenceData!$AQ$177),"")</f>
        <v/>
      </c>
      <c r="AR177" t="str">
        <f ca="1">IFERROR(IF(0=LEN(ReferenceData!$AR$177),"",ReferenceData!$AR$177),"")</f>
        <v/>
      </c>
      <c r="AS177" t="str">
        <f ca="1">IFERROR(IF(0=LEN(ReferenceData!$AS$177),"",ReferenceData!$AS$177),"")</f>
        <v/>
      </c>
      <c r="AT177" t="str">
        <f ca="1">IFERROR(IF(0=LEN(ReferenceData!$AT$177),"",ReferenceData!$AT$177),"")</f>
        <v/>
      </c>
      <c r="AU177" t="str">
        <f ca="1">IFERROR(IF(0=LEN(ReferenceData!$AU$177),"",ReferenceData!$AU$177),"")</f>
        <v/>
      </c>
      <c r="AV177" t="str">
        <f ca="1">IFERROR(IF(0=LEN(ReferenceData!$AV$177),"",ReferenceData!$AV$177),"")</f>
        <v/>
      </c>
      <c r="AW177" t="str">
        <f ca="1">IFERROR(IF(0=LEN(ReferenceData!$AW$177),"",ReferenceData!$AW$177),"")</f>
        <v/>
      </c>
      <c r="AX177" t="str">
        <f ca="1">IFERROR(IF(0=LEN(ReferenceData!$AX$177),"",ReferenceData!$AX$177),"")</f>
        <v/>
      </c>
      <c r="AY177" t="str">
        <f ca="1">IFERROR(IF(0=LEN(ReferenceData!$AY$177),"",ReferenceData!$AY$177),"")</f>
        <v/>
      </c>
      <c r="AZ177" t="str">
        <f ca="1">IFERROR(IF(0=LEN(ReferenceData!$AZ$177),"",ReferenceData!$AZ$177),"")</f>
        <v/>
      </c>
      <c r="BA177" t="str">
        <f ca="1">IFERROR(IF(0=LEN(ReferenceData!$BA$177),"",ReferenceData!$BA$177),"")</f>
        <v/>
      </c>
      <c r="BB177" t="str">
        <f ca="1">IFERROR(IF(0=LEN(ReferenceData!$BB$177),"",ReferenceData!$BB$177),"")</f>
        <v/>
      </c>
      <c r="BC177" t="str">
        <f ca="1">IFERROR(IF(0=LEN(ReferenceData!$BC$177),"",ReferenceData!$BC$177),"")</f>
        <v/>
      </c>
      <c r="BD177" t="str">
        <f ca="1">IFERROR(IF(0=LEN(ReferenceData!$BD$177),"",ReferenceData!$BD$177),"")</f>
        <v/>
      </c>
      <c r="BE177" t="str">
        <f ca="1">IFERROR(IF(0=LEN(ReferenceData!$BE$177),"",ReferenceData!$BE$177),"")</f>
        <v/>
      </c>
      <c r="BF177" t="str">
        <f ca="1">IFERROR(IF(0=LEN(ReferenceData!$BF$177),"",ReferenceData!$BF$177),"")</f>
        <v/>
      </c>
      <c r="BG177" t="str">
        <f ca="1">IFERROR(IF(0=LEN(ReferenceData!$BG$177),"",ReferenceData!$BG$177),"")</f>
        <v/>
      </c>
      <c r="BH177" t="str">
        <f ca="1">IFERROR(IF(0=LEN(ReferenceData!$BH$177),"",ReferenceData!$BH$177),"")</f>
        <v/>
      </c>
      <c r="BI177" t="str">
        <f ca="1">IFERROR(IF(0=LEN(ReferenceData!$BI$177),"",ReferenceData!$BI$177),"")</f>
        <v/>
      </c>
      <c r="BJ177" t="str">
        <f ca="1">IFERROR(IF(0=LEN(ReferenceData!$BJ$177),"",ReferenceData!$BJ$177),"")</f>
        <v/>
      </c>
      <c r="BK177" t="str">
        <f ca="1">IFERROR(IF(0=LEN(ReferenceData!$BK$177),"",ReferenceData!$BK$177),"")</f>
        <v/>
      </c>
      <c r="BL177" t="str">
        <f ca="1">IFERROR(IF(0=LEN(ReferenceData!$BL$177),"",ReferenceData!$BL$177),"")</f>
        <v/>
      </c>
      <c r="BM177" t="str">
        <f ca="1">IFERROR(IF(0=LEN(ReferenceData!$BM$177),"",ReferenceData!$BM$177),"")</f>
        <v/>
      </c>
    </row>
    <row r="178" spans="1:65">
      <c r="A178" t="str">
        <f>IFERROR(IF(0=LEN(ReferenceData!$A$178),"",ReferenceData!$A$178),"")</f>
        <v xml:space="preserve">    Washington Prime Group Inc</v>
      </c>
      <c r="B178" t="str">
        <f>IFERROR(IF(0=LEN(ReferenceData!$B$178),"",ReferenceData!$B$178),"")</f>
        <v>WPG US Equity</v>
      </c>
      <c r="C178" t="str">
        <f>IFERROR(IF(0=LEN(ReferenceData!$C$178),"",ReferenceData!$C$178),"")</f>
        <v>RR551</v>
      </c>
      <c r="D178" t="str">
        <f>IFERROR(IF(0=LEN(ReferenceData!$D$178),"",ReferenceData!$D$178),"")</f>
        <v>NOI_GROWTH</v>
      </c>
      <c r="E178" t="str">
        <f>IFERROR(IF(0=LEN(ReferenceData!$E$178),"",ReferenceData!$E$178),"")</f>
        <v>动态</v>
      </c>
      <c r="F178" t="str">
        <f ca="1">IFERROR(IF(0=LEN(ReferenceData!$F$178),"",ReferenceData!$F$178),"")</f>
        <v/>
      </c>
      <c r="G178">
        <f ca="1">IFERROR(IF(0=LEN(ReferenceData!$G$178),"",ReferenceData!$G$178),"")</f>
        <v>-12.90485623</v>
      </c>
      <c r="H178">
        <f ca="1">IFERROR(IF(0=LEN(ReferenceData!$H$178),"",ReferenceData!$H$178),"")</f>
        <v>-13.770380579999999</v>
      </c>
      <c r="I178">
        <f ca="1">IFERROR(IF(0=LEN(ReferenceData!$I$178),"",ReferenceData!$I$178),"")</f>
        <v>-6.3836505700000004</v>
      </c>
      <c r="J178">
        <f ca="1">IFERROR(IF(0=LEN(ReferenceData!$J$178),"",ReferenceData!$J$178),"")</f>
        <v>-1.7040566239999999</v>
      </c>
      <c r="K178">
        <f ca="1">IFERROR(IF(0=LEN(ReferenceData!$K$178),"",ReferenceData!$K$178),"")</f>
        <v>-2.4817498800000002</v>
      </c>
      <c r="L178">
        <f ca="1">IFERROR(IF(0=LEN(ReferenceData!$L$178),"",ReferenceData!$L$178),"")</f>
        <v>-1.511263391</v>
      </c>
      <c r="M178">
        <f ca="1">IFERROR(IF(0=LEN(ReferenceData!$M$178),"",ReferenceData!$M$178),"")</f>
        <v>-11.536112879999999</v>
      </c>
      <c r="N178">
        <f ca="1">IFERROR(IF(0=LEN(ReferenceData!$N$178),"",ReferenceData!$N$178),"")</f>
        <v>-8.4211711119999997</v>
      </c>
      <c r="O178">
        <f ca="1">IFERROR(IF(0=LEN(ReferenceData!$O$178),"",ReferenceData!$O$178),"")</f>
        <v>24.207652530000001</v>
      </c>
      <c r="P178">
        <f ca="1">IFERROR(IF(0=LEN(ReferenceData!$P$178),"",ReferenceData!$P$178),"")</f>
        <v>28.17365951</v>
      </c>
      <c r="Q178">
        <f ca="1">IFERROR(IF(0=LEN(ReferenceData!$Q$178),"",ReferenceData!$Q$178),"")</f>
        <v>46.524267780000002</v>
      </c>
      <c r="R178">
        <f ca="1">IFERROR(IF(0=LEN(ReferenceData!$R$178),"",ReferenceData!$R$178),"")</f>
        <v>46.950768629999999</v>
      </c>
      <c r="S178" t="str">
        <f ca="1">IFERROR(IF(0=LEN(ReferenceData!$S$178),"",ReferenceData!$S$178),"")</f>
        <v/>
      </c>
      <c r="T178" t="str">
        <f ca="1">IFERROR(IF(0=LEN(ReferenceData!$T$178),"",ReferenceData!$T$178),"")</f>
        <v/>
      </c>
      <c r="U178" t="str">
        <f ca="1">IFERROR(IF(0=LEN(ReferenceData!$U$178),"",ReferenceData!$U$178),"")</f>
        <v/>
      </c>
      <c r="V178" t="str">
        <f ca="1">IFERROR(IF(0=LEN(ReferenceData!$V$178),"",ReferenceData!$V$178),"")</f>
        <v/>
      </c>
      <c r="W178" t="str">
        <f ca="1">IFERROR(IF(0=LEN(ReferenceData!$W$178),"",ReferenceData!$W$178),"")</f>
        <v/>
      </c>
      <c r="X178" t="str">
        <f ca="1">IFERROR(IF(0=LEN(ReferenceData!$X$178),"",ReferenceData!$X$178),"")</f>
        <v/>
      </c>
      <c r="Y178" t="str">
        <f ca="1">IFERROR(IF(0=LEN(ReferenceData!$Y$178),"",ReferenceData!$Y$178),"")</f>
        <v/>
      </c>
      <c r="Z178" t="str">
        <f ca="1">IFERROR(IF(0=LEN(ReferenceData!$Z$178),"",ReferenceData!$Z$178),"")</f>
        <v/>
      </c>
      <c r="AA178" t="str">
        <f ca="1">IFERROR(IF(0=LEN(ReferenceData!$AA$178),"",ReferenceData!$AA$178),"")</f>
        <v/>
      </c>
      <c r="AB178" t="str">
        <f ca="1">IFERROR(IF(0=LEN(ReferenceData!$AB$178),"",ReferenceData!$AB$178),"")</f>
        <v/>
      </c>
      <c r="AC178" t="str">
        <f ca="1">IFERROR(IF(0=LEN(ReferenceData!$AC$178),"",ReferenceData!$AC$178),"")</f>
        <v/>
      </c>
      <c r="AD178" t="str">
        <f ca="1">IFERROR(IF(0=LEN(ReferenceData!$AD$178),"",ReferenceData!$AD$178),"")</f>
        <v/>
      </c>
      <c r="AE178" t="str">
        <f ca="1">IFERROR(IF(0=LEN(ReferenceData!$AE$178),"",ReferenceData!$AE$178),"")</f>
        <v/>
      </c>
      <c r="AF178" t="str">
        <f ca="1">IFERROR(IF(0=LEN(ReferenceData!$AF$178),"",ReferenceData!$AF$178),"")</f>
        <v/>
      </c>
      <c r="AG178" t="str">
        <f ca="1">IFERROR(IF(0=LEN(ReferenceData!$AG$178),"",ReferenceData!$AG$178),"")</f>
        <v/>
      </c>
      <c r="AH178" t="str">
        <f ca="1">IFERROR(IF(0=LEN(ReferenceData!$AH$178),"",ReferenceData!$AH$178),"")</f>
        <v/>
      </c>
      <c r="AI178" t="str">
        <f ca="1">IFERROR(IF(0=LEN(ReferenceData!$AI$178),"",ReferenceData!$AI$178),"")</f>
        <v/>
      </c>
      <c r="AJ178" t="str">
        <f ca="1">IFERROR(IF(0=LEN(ReferenceData!$AJ$178),"",ReferenceData!$AJ$178),"")</f>
        <v/>
      </c>
      <c r="AK178" t="str">
        <f ca="1">IFERROR(IF(0=LEN(ReferenceData!$AK$178),"",ReferenceData!$AK$178),"")</f>
        <v/>
      </c>
      <c r="AL178" t="str">
        <f ca="1">IFERROR(IF(0=LEN(ReferenceData!$AL$178),"",ReferenceData!$AL$178),"")</f>
        <v/>
      </c>
      <c r="AM178" t="str">
        <f ca="1">IFERROR(IF(0=LEN(ReferenceData!$AM$178),"",ReferenceData!$AM$178),"")</f>
        <v/>
      </c>
      <c r="AN178" t="str">
        <f ca="1">IFERROR(IF(0=LEN(ReferenceData!$AN$178),"",ReferenceData!$AN$178),"")</f>
        <v/>
      </c>
      <c r="AO178" t="str">
        <f ca="1">IFERROR(IF(0=LEN(ReferenceData!$AO$178),"",ReferenceData!$AO$178),"")</f>
        <v/>
      </c>
      <c r="AP178" t="str">
        <f ca="1">IFERROR(IF(0=LEN(ReferenceData!$AP$178),"",ReferenceData!$AP$178),"")</f>
        <v/>
      </c>
      <c r="AQ178" t="str">
        <f ca="1">IFERROR(IF(0=LEN(ReferenceData!$AQ$178),"",ReferenceData!$AQ$178),"")</f>
        <v/>
      </c>
      <c r="AR178" t="str">
        <f ca="1">IFERROR(IF(0=LEN(ReferenceData!$AR$178),"",ReferenceData!$AR$178),"")</f>
        <v/>
      </c>
      <c r="AS178" t="str">
        <f ca="1">IFERROR(IF(0=LEN(ReferenceData!$AS$178),"",ReferenceData!$AS$178),"")</f>
        <v/>
      </c>
      <c r="AT178" t="str">
        <f ca="1">IFERROR(IF(0=LEN(ReferenceData!$AT$178),"",ReferenceData!$AT$178),"")</f>
        <v/>
      </c>
      <c r="AU178" t="str">
        <f ca="1">IFERROR(IF(0=LEN(ReferenceData!$AU$178),"",ReferenceData!$AU$178),"")</f>
        <v/>
      </c>
      <c r="AV178" t="str">
        <f ca="1">IFERROR(IF(0=LEN(ReferenceData!$AV$178),"",ReferenceData!$AV$178),"")</f>
        <v/>
      </c>
      <c r="AW178" t="str">
        <f ca="1">IFERROR(IF(0=LEN(ReferenceData!$AW$178),"",ReferenceData!$AW$178),"")</f>
        <v/>
      </c>
      <c r="AX178" t="str">
        <f ca="1">IFERROR(IF(0=LEN(ReferenceData!$AX$178),"",ReferenceData!$AX$178),"")</f>
        <v/>
      </c>
      <c r="AY178" t="str">
        <f ca="1">IFERROR(IF(0=LEN(ReferenceData!$AY$178),"",ReferenceData!$AY$178),"")</f>
        <v/>
      </c>
      <c r="AZ178" t="str">
        <f ca="1">IFERROR(IF(0=LEN(ReferenceData!$AZ$178),"",ReferenceData!$AZ$178),"")</f>
        <v/>
      </c>
      <c r="BA178" t="str">
        <f ca="1">IFERROR(IF(0=LEN(ReferenceData!$BA$178),"",ReferenceData!$BA$178),"")</f>
        <v/>
      </c>
      <c r="BB178" t="str">
        <f ca="1">IFERROR(IF(0=LEN(ReferenceData!$BB$178),"",ReferenceData!$BB$178),"")</f>
        <v/>
      </c>
      <c r="BC178" t="str">
        <f ca="1">IFERROR(IF(0=LEN(ReferenceData!$BC$178),"",ReferenceData!$BC$178),"")</f>
        <v/>
      </c>
      <c r="BD178" t="str">
        <f ca="1">IFERROR(IF(0=LEN(ReferenceData!$BD$178),"",ReferenceData!$BD$178),"")</f>
        <v/>
      </c>
      <c r="BE178" t="str">
        <f ca="1">IFERROR(IF(0=LEN(ReferenceData!$BE$178),"",ReferenceData!$BE$178),"")</f>
        <v/>
      </c>
      <c r="BF178" t="str">
        <f ca="1">IFERROR(IF(0=LEN(ReferenceData!$BF$178),"",ReferenceData!$BF$178),"")</f>
        <v/>
      </c>
      <c r="BG178" t="str">
        <f ca="1">IFERROR(IF(0=LEN(ReferenceData!$BG$178),"",ReferenceData!$BG$178),"")</f>
        <v/>
      </c>
      <c r="BH178" t="str">
        <f ca="1">IFERROR(IF(0=LEN(ReferenceData!$BH$178),"",ReferenceData!$BH$178),"")</f>
        <v/>
      </c>
      <c r="BI178" t="str">
        <f ca="1">IFERROR(IF(0=LEN(ReferenceData!$BI$178),"",ReferenceData!$BI$178),"")</f>
        <v/>
      </c>
      <c r="BJ178" t="str">
        <f ca="1">IFERROR(IF(0=LEN(ReferenceData!$BJ$178),"",ReferenceData!$BJ$178),"")</f>
        <v/>
      </c>
      <c r="BK178" t="str">
        <f ca="1">IFERROR(IF(0=LEN(ReferenceData!$BK$178),"",ReferenceData!$BK$178),"")</f>
        <v/>
      </c>
      <c r="BL178" t="str">
        <f ca="1">IFERROR(IF(0=LEN(ReferenceData!$BL$178),"",ReferenceData!$BL$178),"")</f>
        <v/>
      </c>
      <c r="BM178" t="str">
        <f ca="1">IFERROR(IF(0=LEN(ReferenceData!$BM$178),"",ReferenceData!$BM$178),"")</f>
        <v/>
      </c>
    </row>
    <row r="179" spans="1:65">
      <c r="A179" t="str">
        <f>IFERROR(IF(0=LEN(ReferenceData!$A$179),"",ReferenceData!$A$179),"")</f>
        <v xml:space="preserve">    Weingarten Realty Investors</v>
      </c>
      <c r="B179" t="str">
        <f>IFERROR(IF(0=LEN(ReferenceData!$B$179),"",ReferenceData!$B$179),"")</f>
        <v>WRI US Equity</v>
      </c>
      <c r="C179" t="str">
        <f>IFERROR(IF(0=LEN(ReferenceData!$C$179),"",ReferenceData!$C$179),"")</f>
        <v>RR551</v>
      </c>
      <c r="D179" t="str">
        <f>IFERROR(IF(0=LEN(ReferenceData!$D$179),"",ReferenceData!$D$179),"")</f>
        <v>NOI_GROWTH</v>
      </c>
      <c r="E179" t="str">
        <f>IFERROR(IF(0=LEN(ReferenceData!$E$179),"",ReferenceData!$E$179),"")</f>
        <v>动态</v>
      </c>
      <c r="F179" t="str">
        <f ca="1">IFERROR(IF(0=LEN(ReferenceData!$F$179),"",ReferenceData!$F$179),"")</f>
        <v/>
      </c>
      <c r="G179">
        <f ca="1">IFERROR(IF(0=LEN(ReferenceData!$G$179),"",ReferenceData!$G$179),"")</f>
        <v>-4.9477402000000001</v>
      </c>
      <c r="H179">
        <f ca="1">IFERROR(IF(0=LEN(ReferenceData!$H$179),"",ReferenceData!$H$179),"")</f>
        <v>9.5129380000000003E-3</v>
      </c>
      <c r="I179">
        <f ca="1">IFERROR(IF(0=LEN(ReferenceData!$I$179),"",ReferenceData!$I$179),"")</f>
        <v>4.5969427029999999</v>
      </c>
      <c r="J179">
        <f ca="1">IFERROR(IF(0=LEN(ReferenceData!$J$179),"",ReferenceData!$J$179),"")</f>
        <v>4.7971183630000001</v>
      </c>
      <c r="K179">
        <f ca="1">IFERROR(IF(0=LEN(ReferenceData!$K$179),"",ReferenceData!$K$179),"")</f>
        <v>11.083485400000001</v>
      </c>
      <c r="L179">
        <f ca="1">IFERROR(IF(0=LEN(ReferenceData!$L$179),"",ReferenceData!$L$179),"")</f>
        <v>7.2738199180000001</v>
      </c>
      <c r="M179">
        <f ca="1">IFERROR(IF(0=LEN(ReferenceData!$M$179),"",ReferenceData!$M$179),"")</f>
        <v>4.9854523620000002</v>
      </c>
      <c r="N179">
        <f ca="1">IFERROR(IF(0=LEN(ReferenceData!$N$179),"",ReferenceData!$N$179),"")</f>
        <v>4.295110362</v>
      </c>
      <c r="O179">
        <f ca="1">IFERROR(IF(0=LEN(ReferenceData!$O$179),"",ReferenceData!$O$179),"")</f>
        <v>3.0898744300000001</v>
      </c>
      <c r="P179">
        <f ca="1">IFERROR(IF(0=LEN(ReferenceData!$P$179),"",ReferenceData!$P$179),"")</f>
        <v>-1.02684383</v>
      </c>
      <c r="Q179">
        <f ca="1">IFERROR(IF(0=LEN(ReferenceData!$Q$179),"",ReferenceData!$Q$179),"")</f>
        <v>-1.0295613219999999</v>
      </c>
      <c r="R179">
        <f ca="1">IFERROR(IF(0=LEN(ReferenceData!$R$179),"",ReferenceData!$R$179),"")</f>
        <v>9.0196676000000003E-2</v>
      </c>
      <c r="S179">
        <f ca="1">IFERROR(IF(0=LEN(ReferenceData!$S$179),"",ReferenceData!$S$179),"")</f>
        <v>3.0883351110000001</v>
      </c>
      <c r="T179">
        <f ca="1">IFERROR(IF(0=LEN(ReferenceData!$T$179),"",ReferenceData!$T$179),"")</f>
        <v>9.7199990150000009</v>
      </c>
      <c r="U179">
        <f ca="1">IFERROR(IF(0=LEN(ReferenceData!$U$179),"",ReferenceData!$U$179),"")</f>
        <v>8.8226516450000005</v>
      </c>
      <c r="V179">
        <f ca="1">IFERROR(IF(0=LEN(ReferenceData!$V$179),"",ReferenceData!$V$179),"")</f>
        <v>8.6257793609999993</v>
      </c>
      <c r="W179">
        <f ca="1">IFERROR(IF(0=LEN(ReferenceData!$W$179),"",ReferenceData!$W$179),"")</f>
        <v>2.6743824279999999</v>
      </c>
      <c r="X179">
        <f ca="1">IFERROR(IF(0=LEN(ReferenceData!$X$179),"",ReferenceData!$X$179),"")</f>
        <v>2.1289973720000002</v>
      </c>
      <c r="Y179">
        <f ca="1">IFERROR(IF(0=LEN(ReferenceData!$Y$179),"",ReferenceData!$Y$179),"")</f>
        <v>1.626416954</v>
      </c>
      <c r="Z179">
        <f ca="1">IFERROR(IF(0=LEN(ReferenceData!$Z$179),"",ReferenceData!$Z$179),"")</f>
        <v>-1.6075318629999999</v>
      </c>
      <c r="AA179">
        <f ca="1">IFERROR(IF(0=LEN(ReferenceData!$AA$179),"",ReferenceData!$AA$179),"")</f>
        <v>0.49022673</v>
      </c>
      <c r="AB179">
        <f ca="1">IFERROR(IF(0=LEN(ReferenceData!$AB$179),"",ReferenceData!$AB$179),"")</f>
        <v>-3.7206092449999999</v>
      </c>
      <c r="AC179">
        <f ca="1">IFERROR(IF(0=LEN(ReferenceData!$AC$179),"",ReferenceData!$AC$179),"")</f>
        <v>-1.652974733</v>
      </c>
      <c r="AD179">
        <f ca="1">IFERROR(IF(0=LEN(ReferenceData!$AD$179),"",ReferenceData!$AD$179),"")</f>
        <v>0.15548589299999999</v>
      </c>
      <c r="AE179">
        <f ca="1">IFERROR(IF(0=LEN(ReferenceData!$AE$179),"",ReferenceData!$AE$179),"")</f>
        <v>-10.216478410000001</v>
      </c>
      <c r="AF179">
        <f ca="1">IFERROR(IF(0=LEN(ReferenceData!$AF$179),"",ReferenceData!$AF$179),"")</f>
        <v>-8.5803466670000006</v>
      </c>
      <c r="AG179">
        <f ca="1">IFERROR(IF(0=LEN(ReferenceData!$AG$179),"",ReferenceData!$AG$179),"")</f>
        <v>-13.03487857</v>
      </c>
      <c r="AH179">
        <f ca="1">IFERROR(IF(0=LEN(ReferenceData!$AH$179),"",ReferenceData!$AH$179),"")</f>
        <v>-12.54715326</v>
      </c>
      <c r="AI179">
        <f ca="1">IFERROR(IF(0=LEN(ReferenceData!$AI$179),"",ReferenceData!$AI$179),"")</f>
        <v>-3.853959755</v>
      </c>
      <c r="AJ179">
        <f ca="1">IFERROR(IF(0=LEN(ReferenceData!$AJ$179),"",ReferenceData!$AJ$179),"")</f>
        <v>-4.4655225290000002</v>
      </c>
      <c r="AK179">
        <f ca="1">IFERROR(IF(0=LEN(ReferenceData!$AK$179),"",ReferenceData!$AK$179),"")</f>
        <v>-1.4601883010000001</v>
      </c>
      <c r="AL179">
        <f ca="1">IFERROR(IF(0=LEN(ReferenceData!$AL$179),"",ReferenceData!$AL$179),"")</f>
        <v>-8.189195175</v>
      </c>
      <c r="AM179">
        <f ca="1">IFERROR(IF(0=LEN(ReferenceData!$AM$179),"",ReferenceData!$AM$179),"")</f>
        <v>4.8300212760000001</v>
      </c>
      <c r="AN179">
        <f ca="1">IFERROR(IF(0=LEN(ReferenceData!$AN$179),"",ReferenceData!$AN$179),"")</f>
        <v>-8.816638223</v>
      </c>
      <c r="AO179">
        <f ca="1">IFERROR(IF(0=LEN(ReferenceData!$AO$179),"",ReferenceData!$AO$179),"")</f>
        <v>-10.842275190000001</v>
      </c>
      <c r="AP179">
        <f ca="1">IFERROR(IF(0=LEN(ReferenceData!$AP$179),"",ReferenceData!$AP$179),"")</f>
        <v>-5.2449820650000003</v>
      </c>
      <c r="AQ179">
        <f ca="1">IFERROR(IF(0=LEN(ReferenceData!$AQ$179),"",ReferenceData!$AQ$179),"")</f>
        <v>-13.740726280000001</v>
      </c>
      <c r="AR179">
        <f ca="1">IFERROR(IF(0=LEN(ReferenceData!$AR$179),"",ReferenceData!$AR$179),"")</f>
        <v>2.3507120229999998</v>
      </c>
      <c r="AS179">
        <f ca="1">IFERROR(IF(0=LEN(ReferenceData!$AS$179),"",ReferenceData!$AS$179),"")</f>
        <v>7.165026611</v>
      </c>
      <c r="AT179">
        <f ca="1">IFERROR(IF(0=LEN(ReferenceData!$AT$179),"",ReferenceData!$AT$179),"")</f>
        <v>3.333924804</v>
      </c>
      <c r="AU179">
        <f ca="1">IFERROR(IF(0=LEN(ReferenceData!$AU$179),"",ReferenceData!$AU$179),"")</f>
        <v>4.2211392700000001</v>
      </c>
      <c r="AV179">
        <f ca="1">IFERROR(IF(0=LEN(ReferenceData!$AV$179),"",ReferenceData!$AV$179),"")</f>
        <v>5.6720060070000002</v>
      </c>
      <c r="AW179">
        <f ca="1">IFERROR(IF(0=LEN(ReferenceData!$AW$179),"",ReferenceData!$AW$179),"")</f>
        <v>3.9531587190000002</v>
      </c>
      <c r="AX179">
        <f ca="1">IFERROR(IF(0=LEN(ReferenceData!$AX$179),"",ReferenceData!$AX$179),"")</f>
        <v>6.527629009</v>
      </c>
      <c r="AY179">
        <f ca="1">IFERROR(IF(0=LEN(ReferenceData!$AY$179),"",ReferenceData!$AY$179),"")</f>
        <v>14.094185660000001</v>
      </c>
      <c r="AZ179">
        <f ca="1">IFERROR(IF(0=LEN(ReferenceData!$AZ$179),"",ReferenceData!$AZ$179),"")</f>
        <v>2.29789413</v>
      </c>
      <c r="BA179">
        <f ca="1">IFERROR(IF(0=LEN(ReferenceData!$BA$179),"",ReferenceData!$BA$179),"")</f>
        <v>0.219454015</v>
      </c>
      <c r="BB179">
        <f ca="1">IFERROR(IF(0=LEN(ReferenceData!$BB$179),"",ReferenceData!$BB$179),"")</f>
        <v>1.0151799640000001</v>
      </c>
      <c r="BC179">
        <f ca="1">IFERROR(IF(0=LEN(ReferenceData!$BC$179),"",ReferenceData!$BC$179),"")</f>
        <v>-5.1692443170000004</v>
      </c>
      <c r="BD179">
        <f ca="1">IFERROR(IF(0=LEN(ReferenceData!$BD$179),"",ReferenceData!$BD$179),"")</f>
        <v>2.849431101</v>
      </c>
      <c r="BE179">
        <f ca="1">IFERROR(IF(0=LEN(ReferenceData!$BE$179),"",ReferenceData!$BE$179),"")</f>
        <v>8.5892862189999999</v>
      </c>
      <c r="BF179">
        <f ca="1">IFERROR(IF(0=LEN(ReferenceData!$BF$179),"",ReferenceData!$BF$179),"")</f>
        <v>13.56342062</v>
      </c>
      <c r="BG179">
        <f ca="1">IFERROR(IF(0=LEN(ReferenceData!$BG$179),"",ReferenceData!$BG$179),"")</f>
        <v>15.590646830000001</v>
      </c>
      <c r="BH179">
        <f ca="1">IFERROR(IF(0=LEN(ReferenceData!$BH$179),"",ReferenceData!$BH$179),"")</f>
        <v>23.575993480000001</v>
      </c>
      <c r="BI179">
        <f ca="1">IFERROR(IF(0=LEN(ReferenceData!$BI$179),"",ReferenceData!$BI$179),"")</f>
        <v>19.910005420000001</v>
      </c>
      <c r="BJ179">
        <f ca="1">IFERROR(IF(0=LEN(ReferenceData!$BJ$179),"",ReferenceData!$BJ$179),"")</f>
        <v>17.05232947</v>
      </c>
      <c r="BK179">
        <f ca="1">IFERROR(IF(0=LEN(ReferenceData!$BK$179),"",ReferenceData!$BK$179),"")</f>
        <v>15.166613160000001</v>
      </c>
      <c r="BL179">
        <f ca="1">IFERROR(IF(0=LEN(ReferenceData!$BL$179),"",ReferenceData!$BL$179),"")</f>
        <v>15.31293172</v>
      </c>
      <c r="BM179">
        <f ca="1">IFERROR(IF(0=LEN(ReferenceData!$BM$179),"",ReferenceData!$BM$179),"")</f>
        <v>11.679632720000001</v>
      </c>
    </row>
    <row r="180" spans="1:65">
      <c r="A180" t="str">
        <f>IFERROR(IF(0=LEN(ReferenceData!$A$180),"",ReferenceData!$A$180),"")</f>
        <v>FFO增长同比(%)</v>
      </c>
      <c r="B180" t="str">
        <f>IFERROR(IF(0=LEN(ReferenceData!$B$180),"",ReferenceData!$B$180),"")</f>
        <v/>
      </c>
      <c r="C180" t="str">
        <f>IFERROR(IF(0=LEN(ReferenceData!$C$180),"",ReferenceData!$C$180),"")</f>
        <v/>
      </c>
      <c r="D180" t="str">
        <f>IFERROR(IF(0=LEN(ReferenceData!$D$180),"",ReferenceData!$D$180),"")</f>
        <v/>
      </c>
      <c r="E180" t="str">
        <f>IFERROR(IF(0=LEN(ReferenceData!$E$180),"",ReferenceData!$E$180),"")</f>
        <v>Median</v>
      </c>
      <c r="F180" t="str">
        <f ca="1">IFERROR(IF(0=LEN(ReferenceData!$F$180),"",ReferenceData!$F$180),"")</f>
        <v/>
      </c>
      <c r="G180" t="str">
        <f ca="1">IFERROR(IF(0=LEN(ReferenceData!$G$180),"",ReferenceData!$G$180),"")</f>
        <v/>
      </c>
      <c r="H180" t="str">
        <f ca="1">IFERROR(IF(0=LEN(ReferenceData!$H$180),"",ReferenceData!$H$180),"")</f>
        <v/>
      </c>
      <c r="I180" t="str">
        <f ca="1">IFERROR(IF(0=LEN(ReferenceData!$I$180),"",ReferenceData!$I$180),"")</f>
        <v/>
      </c>
      <c r="J180" t="str">
        <f ca="1">IFERROR(IF(0=LEN(ReferenceData!$J$180),"",ReferenceData!$J$180),"")</f>
        <v/>
      </c>
      <c r="K180" t="str">
        <f ca="1">IFERROR(IF(0=LEN(ReferenceData!$K$180),"",ReferenceData!$K$180),"")</f>
        <v/>
      </c>
      <c r="L180" t="str">
        <f ca="1">IFERROR(IF(0=LEN(ReferenceData!$L$180),"",ReferenceData!$L$180),"")</f>
        <v/>
      </c>
      <c r="M180" t="str">
        <f ca="1">IFERROR(IF(0=LEN(ReferenceData!$M$180),"",ReferenceData!$M$180),"")</f>
        <v/>
      </c>
      <c r="N180" t="str">
        <f ca="1">IFERROR(IF(0=LEN(ReferenceData!$N$180),"",ReferenceData!$N$180),"")</f>
        <v/>
      </c>
      <c r="O180" t="str">
        <f ca="1">IFERROR(IF(0=LEN(ReferenceData!$O$180),"",ReferenceData!$O$180),"")</f>
        <v/>
      </c>
      <c r="P180" t="str">
        <f ca="1">IFERROR(IF(0=LEN(ReferenceData!$P$180),"",ReferenceData!$P$180),"")</f>
        <v/>
      </c>
      <c r="Q180" t="str">
        <f ca="1">IFERROR(IF(0=LEN(ReferenceData!$Q$180),"",ReferenceData!$Q$180),"")</f>
        <v/>
      </c>
      <c r="R180" t="str">
        <f ca="1">IFERROR(IF(0=LEN(ReferenceData!$R$180),"",ReferenceData!$R$180),"")</f>
        <v/>
      </c>
      <c r="S180" t="str">
        <f ca="1">IFERROR(IF(0=LEN(ReferenceData!$S$180),"",ReferenceData!$S$180),"")</f>
        <v/>
      </c>
      <c r="T180" t="str">
        <f ca="1">IFERROR(IF(0=LEN(ReferenceData!$T$180),"",ReferenceData!$T$180),"")</f>
        <v/>
      </c>
      <c r="U180" t="str">
        <f ca="1">IFERROR(IF(0=LEN(ReferenceData!$U$180),"",ReferenceData!$U$180),"")</f>
        <v/>
      </c>
      <c r="V180" t="str">
        <f ca="1">IFERROR(IF(0=LEN(ReferenceData!$V$180),"",ReferenceData!$V$180),"")</f>
        <v/>
      </c>
      <c r="W180" t="str">
        <f ca="1">IFERROR(IF(0=LEN(ReferenceData!$W$180),"",ReferenceData!$W$180),"")</f>
        <v/>
      </c>
      <c r="X180" t="str">
        <f ca="1">IFERROR(IF(0=LEN(ReferenceData!$X$180),"",ReferenceData!$X$180),"")</f>
        <v/>
      </c>
      <c r="Y180" t="str">
        <f ca="1">IFERROR(IF(0=LEN(ReferenceData!$Y$180),"",ReferenceData!$Y$180),"")</f>
        <v/>
      </c>
      <c r="Z180" t="str">
        <f ca="1">IFERROR(IF(0=LEN(ReferenceData!$Z$180),"",ReferenceData!$Z$180),"")</f>
        <v/>
      </c>
      <c r="AA180" t="str">
        <f ca="1">IFERROR(IF(0=LEN(ReferenceData!$AA$180),"",ReferenceData!$AA$180),"")</f>
        <v/>
      </c>
      <c r="AB180" t="str">
        <f ca="1">IFERROR(IF(0=LEN(ReferenceData!$AB$180),"",ReferenceData!$AB$180),"")</f>
        <v/>
      </c>
      <c r="AC180" t="str">
        <f ca="1">IFERROR(IF(0=LEN(ReferenceData!$AC$180),"",ReferenceData!$AC$180),"")</f>
        <v/>
      </c>
      <c r="AD180" t="str">
        <f ca="1">IFERROR(IF(0=LEN(ReferenceData!$AD$180),"",ReferenceData!$AD$180),"")</f>
        <v/>
      </c>
      <c r="AE180" t="str">
        <f ca="1">IFERROR(IF(0=LEN(ReferenceData!$AE$180),"",ReferenceData!$AE$180),"")</f>
        <v/>
      </c>
      <c r="AF180" t="str">
        <f ca="1">IFERROR(IF(0=LEN(ReferenceData!$AF$180),"",ReferenceData!$AF$180),"")</f>
        <v/>
      </c>
      <c r="AG180" t="str">
        <f ca="1">IFERROR(IF(0=LEN(ReferenceData!$AG$180),"",ReferenceData!$AG$180),"")</f>
        <v/>
      </c>
      <c r="AH180" t="str">
        <f ca="1">IFERROR(IF(0=LEN(ReferenceData!$AH$180),"",ReferenceData!$AH$180),"")</f>
        <v/>
      </c>
      <c r="AI180" t="str">
        <f ca="1">IFERROR(IF(0=LEN(ReferenceData!$AI$180),"",ReferenceData!$AI$180),"")</f>
        <v/>
      </c>
      <c r="AJ180" t="str">
        <f ca="1">IFERROR(IF(0=LEN(ReferenceData!$AJ$180),"",ReferenceData!$AJ$180),"")</f>
        <v/>
      </c>
      <c r="AK180" t="str">
        <f ca="1">IFERROR(IF(0=LEN(ReferenceData!$AK$180),"",ReferenceData!$AK$180),"")</f>
        <v/>
      </c>
      <c r="AL180" t="str">
        <f ca="1">IFERROR(IF(0=LEN(ReferenceData!$AL$180),"",ReferenceData!$AL$180),"")</f>
        <v/>
      </c>
      <c r="AM180" t="str">
        <f ca="1">IFERROR(IF(0=LEN(ReferenceData!$AM$180),"",ReferenceData!$AM$180),"")</f>
        <v/>
      </c>
      <c r="AN180" t="str">
        <f ca="1">IFERROR(IF(0=LEN(ReferenceData!$AN$180),"",ReferenceData!$AN$180),"")</f>
        <v/>
      </c>
      <c r="AO180" t="str">
        <f ca="1">IFERROR(IF(0=LEN(ReferenceData!$AO$180),"",ReferenceData!$AO$180),"")</f>
        <v/>
      </c>
      <c r="AP180" t="str">
        <f ca="1">IFERROR(IF(0=LEN(ReferenceData!$AP$180),"",ReferenceData!$AP$180),"")</f>
        <v/>
      </c>
      <c r="AQ180" t="str">
        <f ca="1">IFERROR(IF(0=LEN(ReferenceData!$AQ$180),"",ReferenceData!$AQ$180),"")</f>
        <v/>
      </c>
      <c r="AR180" t="str">
        <f ca="1">IFERROR(IF(0=LEN(ReferenceData!$AR$180),"",ReferenceData!$AR$180),"")</f>
        <v/>
      </c>
      <c r="AS180" t="str">
        <f ca="1">IFERROR(IF(0=LEN(ReferenceData!$AS$180),"",ReferenceData!$AS$180),"")</f>
        <v/>
      </c>
      <c r="AT180" t="str">
        <f ca="1">IFERROR(IF(0=LEN(ReferenceData!$AT$180),"",ReferenceData!$AT$180),"")</f>
        <v/>
      </c>
      <c r="AU180" t="str">
        <f ca="1">IFERROR(IF(0=LEN(ReferenceData!$AU$180),"",ReferenceData!$AU$180),"")</f>
        <v/>
      </c>
      <c r="AV180" t="str">
        <f ca="1">IFERROR(IF(0=LEN(ReferenceData!$AV$180),"",ReferenceData!$AV$180),"")</f>
        <v/>
      </c>
      <c r="AW180" t="str">
        <f ca="1">IFERROR(IF(0=LEN(ReferenceData!$AW$180),"",ReferenceData!$AW$180),"")</f>
        <v/>
      </c>
      <c r="AX180" t="str">
        <f ca="1">IFERROR(IF(0=LEN(ReferenceData!$AX$180),"",ReferenceData!$AX$180),"")</f>
        <v/>
      </c>
      <c r="AY180" t="str">
        <f ca="1">IFERROR(IF(0=LEN(ReferenceData!$AY$180),"",ReferenceData!$AY$180),"")</f>
        <v/>
      </c>
      <c r="AZ180" t="str">
        <f ca="1">IFERROR(IF(0=LEN(ReferenceData!$AZ$180),"",ReferenceData!$AZ$180),"")</f>
        <v/>
      </c>
      <c r="BA180" t="str">
        <f ca="1">IFERROR(IF(0=LEN(ReferenceData!$BA$180),"",ReferenceData!$BA$180),"")</f>
        <v/>
      </c>
      <c r="BB180" t="str">
        <f ca="1">IFERROR(IF(0=LEN(ReferenceData!$BB$180),"",ReferenceData!$BB$180),"")</f>
        <v/>
      </c>
      <c r="BC180" t="str">
        <f ca="1">IFERROR(IF(0=LEN(ReferenceData!$BC$180),"",ReferenceData!$BC$180),"")</f>
        <v/>
      </c>
      <c r="BD180" t="str">
        <f ca="1">IFERROR(IF(0=LEN(ReferenceData!$BD$180),"",ReferenceData!$BD$180),"")</f>
        <v/>
      </c>
      <c r="BE180" t="str">
        <f ca="1">IFERROR(IF(0=LEN(ReferenceData!$BE$180),"",ReferenceData!$BE$180),"")</f>
        <v/>
      </c>
      <c r="BF180" t="str">
        <f ca="1">IFERROR(IF(0=LEN(ReferenceData!$BF$180),"",ReferenceData!$BF$180),"")</f>
        <v/>
      </c>
      <c r="BG180" t="str">
        <f ca="1">IFERROR(IF(0=LEN(ReferenceData!$BG$180),"",ReferenceData!$BG$180),"")</f>
        <v/>
      </c>
      <c r="BH180" t="str">
        <f ca="1">IFERROR(IF(0=LEN(ReferenceData!$BH$180),"",ReferenceData!$BH$180),"")</f>
        <v/>
      </c>
      <c r="BI180" t="str">
        <f ca="1">IFERROR(IF(0=LEN(ReferenceData!$BI$180),"",ReferenceData!$BI$180),"")</f>
        <v/>
      </c>
      <c r="BJ180" t="str">
        <f ca="1">IFERROR(IF(0=LEN(ReferenceData!$BJ$180),"",ReferenceData!$BJ$180),"")</f>
        <v/>
      </c>
      <c r="BK180" t="str">
        <f ca="1">IFERROR(IF(0=LEN(ReferenceData!$BK$180),"",ReferenceData!$BK$180),"")</f>
        <v/>
      </c>
      <c r="BL180" t="str">
        <f ca="1">IFERROR(IF(0=LEN(ReferenceData!$BL$180),"",ReferenceData!$BL$180),"")</f>
        <v/>
      </c>
      <c r="BM180" t="str">
        <f ca="1">IFERROR(IF(0=LEN(ReferenceData!$BM$180),"",ReferenceData!$BM$180),"")</f>
        <v/>
      </c>
    </row>
    <row r="181" spans="1:65">
      <c r="A181" t="str">
        <f>IFERROR(IF(0=LEN(ReferenceData!$A$181),"",ReferenceData!$A$181),"")</f>
        <v xml:space="preserve">    Brixmor Property Group Inc</v>
      </c>
      <c r="B181" t="str">
        <f>IFERROR(IF(0=LEN(ReferenceData!$B$181),"",ReferenceData!$B$181),"")</f>
        <v>BRX US Equity</v>
      </c>
      <c r="C181" t="str">
        <f>IFERROR(IF(0=LEN(ReferenceData!$C$181),"",ReferenceData!$C$181),"")</f>
        <v>BE592</v>
      </c>
      <c r="D181" t="str">
        <f>IFERROR(IF(0=LEN(ReferenceData!$D$181),"",ReferenceData!$D$181),"")</f>
        <v>BEST_FFOPS_YOY_GTH</v>
      </c>
      <c r="E181" t="str">
        <f>IFERROR(IF(0=LEN(ReferenceData!$E$181),"",ReferenceData!$E$181),"")</f>
        <v>动态</v>
      </c>
      <c r="F181" t="str">
        <f ca="1">IFERROR(IF(0=LEN(ReferenceData!$F$181),"",ReferenceData!$F$181),"")</f>
        <v/>
      </c>
      <c r="G181" t="str">
        <f ca="1">IFERROR(IF(0=LEN(ReferenceData!$G$181),"",ReferenceData!$G$181),"")</f>
        <v/>
      </c>
      <c r="H181" t="str">
        <f ca="1">IFERROR(IF(0=LEN(ReferenceData!$H$181),"",ReferenceData!$H$181),"")</f>
        <v/>
      </c>
      <c r="I181" t="str">
        <f ca="1">IFERROR(IF(0=LEN(ReferenceData!$I$181),"",ReferenceData!$I$181),"")</f>
        <v/>
      </c>
      <c r="J181" t="str">
        <f ca="1">IFERROR(IF(0=LEN(ReferenceData!$J$181),"",ReferenceData!$J$181),"")</f>
        <v/>
      </c>
      <c r="K181" t="str">
        <f ca="1">IFERROR(IF(0=LEN(ReferenceData!$K$181),"",ReferenceData!$K$181),"")</f>
        <v/>
      </c>
      <c r="L181" t="str">
        <f ca="1">IFERROR(IF(0=LEN(ReferenceData!$L$181),"",ReferenceData!$L$181),"")</f>
        <v/>
      </c>
      <c r="M181" t="str">
        <f ca="1">IFERROR(IF(0=LEN(ReferenceData!$M$181),"",ReferenceData!$M$181),"")</f>
        <v/>
      </c>
      <c r="N181" t="str">
        <f ca="1">IFERROR(IF(0=LEN(ReferenceData!$N$181),"",ReferenceData!$N$181),"")</f>
        <v/>
      </c>
      <c r="O181" t="str">
        <f ca="1">IFERROR(IF(0=LEN(ReferenceData!$O$181),"",ReferenceData!$O$181),"")</f>
        <v/>
      </c>
      <c r="P181" t="str">
        <f ca="1">IFERROR(IF(0=LEN(ReferenceData!$P$181),"",ReferenceData!$P$181),"")</f>
        <v/>
      </c>
      <c r="Q181" t="str">
        <f ca="1">IFERROR(IF(0=LEN(ReferenceData!$Q$181),"",ReferenceData!$Q$181),"")</f>
        <v/>
      </c>
      <c r="R181" t="str">
        <f ca="1">IFERROR(IF(0=LEN(ReferenceData!$R$181),"",ReferenceData!$R$181),"")</f>
        <v/>
      </c>
      <c r="S181" t="str">
        <f ca="1">IFERROR(IF(0=LEN(ReferenceData!$S$181),"",ReferenceData!$S$181),"")</f>
        <v/>
      </c>
      <c r="T181" t="str">
        <f ca="1">IFERROR(IF(0=LEN(ReferenceData!$T$181),"",ReferenceData!$T$181),"")</f>
        <v/>
      </c>
      <c r="U181" t="str">
        <f ca="1">IFERROR(IF(0=LEN(ReferenceData!$U$181),"",ReferenceData!$U$181),"")</f>
        <v/>
      </c>
      <c r="V181" t="str">
        <f ca="1">IFERROR(IF(0=LEN(ReferenceData!$V$181),"",ReferenceData!$V$181),"")</f>
        <v/>
      </c>
      <c r="W181" t="str">
        <f ca="1">IFERROR(IF(0=LEN(ReferenceData!$W$181),"",ReferenceData!$W$181),"")</f>
        <v/>
      </c>
      <c r="X181" t="str">
        <f ca="1">IFERROR(IF(0=LEN(ReferenceData!$X$181),"",ReferenceData!$X$181),"")</f>
        <v/>
      </c>
      <c r="Y181" t="str">
        <f ca="1">IFERROR(IF(0=LEN(ReferenceData!$Y$181),"",ReferenceData!$Y$181),"")</f>
        <v/>
      </c>
      <c r="Z181" t="str">
        <f ca="1">IFERROR(IF(0=LEN(ReferenceData!$Z$181),"",ReferenceData!$Z$181),"")</f>
        <v/>
      </c>
      <c r="AA181" t="str">
        <f ca="1">IFERROR(IF(0=LEN(ReferenceData!$AA$181),"",ReferenceData!$AA$181),"")</f>
        <v/>
      </c>
      <c r="AB181" t="str">
        <f ca="1">IFERROR(IF(0=LEN(ReferenceData!$AB$181),"",ReferenceData!$AB$181),"")</f>
        <v/>
      </c>
      <c r="AC181" t="str">
        <f ca="1">IFERROR(IF(0=LEN(ReferenceData!$AC$181),"",ReferenceData!$AC$181),"")</f>
        <v/>
      </c>
      <c r="AD181" t="str">
        <f ca="1">IFERROR(IF(0=LEN(ReferenceData!$AD$181),"",ReferenceData!$AD$181),"")</f>
        <v/>
      </c>
      <c r="AE181" t="str">
        <f ca="1">IFERROR(IF(0=LEN(ReferenceData!$AE$181),"",ReferenceData!$AE$181),"")</f>
        <v/>
      </c>
      <c r="AF181" t="str">
        <f ca="1">IFERROR(IF(0=LEN(ReferenceData!$AF$181),"",ReferenceData!$AF$181),"")</f>
        <v/>
      </c>
      <c r="AG181" t="str">
        <f ca="1">IFERROR(IF(0=LEN(ReferenceData!$AG$181),"",ReferenceData!$AG$181),"")</f>
        <v/>
      </c>
      <c r="AH181" t="str">
        <f ca="1">IFERROR(IF(0=LEN(ReferenceData!$AH$181),"",ReferenceData!$AH$181),"")</f>
        <v/>
      </c>
      <c r="AI181" t="str">
        <f ca="1">IFERROR(IF(0=LEN(ReferenceData!$AI$181),"",ReferenceData!$AI$181),"")</f>
        <v/>
      </c>
      <c r="AJ181" t="str">
        <f ca="1">IFERROR(IF(0=LEN(ReferenceData!$AJ$181),"",ReferenceData!$AJ$181),"")</f>
        <v/>
      </c>
      <c r="AK181" t="str">
        <f ca="1">IFERROR(IF(0=LEN(ReferenceData!$AK$181),"",ReferenceData!$AK$181),"")</f>
        <v/>
      </c>
      <c r="AL181" t="str">
        <f ca="1">IFERROR(IF(0=LEN(ReferenceData!$AL$181),"",ReferenceData!$AL$181),"")</f>
        <v/>
      </c>
      <c r="AM181" t="str">
        <f ca="1">IFERROR(IF(0=LEN(ReferenceData!$AM$181),"",ReferenceData!$AM$181),"")</f>
        <v/>
      </c>
      <c r="AN181" t="str">
        <f ca="1">IFERROR(IF(0=LEN(ReferenceData!$AN$181),"",ReferenceData!$AN$181),"")</f>
        <v/>
      </c>
      <c r="AO181" t="str">
        <f ca="1">IFERROR(IF(0=LEN(ReferenceData!$AO$181),"",ReferenceData!$AO$181),"")</f>
        <v/>
      </c>
      <c r="AP181" t="str">
        <f ca="1">IFERROR(IF(0=LEN(ReferenceData!$AP$181),"",ReferenceData!$AP$181),"")</f>
        <v/>
      </c>
      <c r="AQ181" t="str">
        <f ca="1">IFERROR(IF(0=LEN(ReferenceData!$AQ$181),"",ReferenceData!$AQ$181),"")</f>
        <v/>
      </c>
      <c r="AR181" t="str">
        <f ca="1">IFERROR(IF(0=LEN(ReferenceData!$AR$181),"",ReferenceData!$AR$181),"")</f>
        <v/>
      </c>
      <c r="AS181" t="str">
        <f ca="1">IFERROR(IF(0=LEN(ReferenceData!$AS$181),"",ReferenceData!$AS$181),"")</f>
        <v/>
      </c>
      <c r="AT181" t="str">
        <f ca="1">IFERROR(IF(0=LEN(ReferenceData!$AT$181),"",ReferenceData!$AT$181),"")</f>
        <v/>
      </c>
      <c r="AU181" t="str">
        <f ca="1">IFERROR(IF(0=LEN(ReferenceData!$AU$181),"",ReferenceData!$AU$181),"")</f>
        <v/>
      </c>
      <c r="AV181" t="str">
        <f ca="1">IFERROR(IF(0=LEN(ReferenceData!$AV$181),"",ReferenceData!$AV$181),"")</f>
        <v/>
      </c>
      <c r="AW181" t="str">
        <f ca="1">IFERROR(IF(0=LEN(ReferenceData!$AW$181),"",ReferenceData!$AW$181),"")</f>
        <v/>
      </c>
      <c r="AX181" t="str">
        <f ca="1">IFERROR(IF(0=LEN(ReferenceData!$AX$181),"",ReferenceData!$AX$181),"")</f>
        <v/>
      </c>
      <c r="AY181" t="str">
        <f ca="1">IFERROR(IF(0=LEN(ReferenceData!$AY$181),"",ReferenceData!$AY$181),"")</f>
        <v/>
      </c>
      <c r="AZ181" t="str">
        <f ca="1">IFERROR(IF(0=LEN(ReferenceData!$AZ$181),"",ReferenceData!$AZ$181),"")</f>
        <v/>
      </c>
      <c r="BA181" t="str">
        <f ca="1">IFERROR(IF(0=LEN(ReferenceData!$BA$181),"",ReferenceData!$BA$181),"")</f>
        <v/>
      </c>
      <c r="BB181" t="str">
        <f ca="1">IFERROR(IF(0=LEN(ReferenceData!$BB$181),"",ReferenceData!$BB$181),"")</f>
        <v/>
      </c>
      <c r="BC181" t="str">
        <f ca="1">IFERROR(IF(0=LEN(ReferenceData!$BC$181),"",ReferenceData!$BC$181),"")</f>
        <v/>
      </c>
      <c r="BD181" t="str">
        <f ca="1">IFERROR(IF(0=LEN(ReferenceData!$BD$181),"",ReferenceData!$BD$181),"")</f>
        <v/>
      </c>
      <c r="BE181" t="str">
        <f ca="1">IFERROR(IF(0=LEN(ReferenceData!$BE$181),"",ReferenceData!$BE$181),"")</f>
        <v/>
      </c>
      <c r="BF181" t="str">
        <f ca="1">IFERROR(IF(0=LEN(ReferenceData!$BF$181),"",ReferenceData!$BF$181),"")</f>
        <v/>
      </c>
      <c r="BG181" t="str">
        <f ca="1">IFERROR(IF(0=LEN(ReferenceData!$BG$181),"",ReferenceData!$BG$181),"")</f>
        <v/>
      </c>
      <c r="BH181" t="str">
        <f ca="1">IFERROR(IF(0=LEN(ReferenceData!$BH$181),"",ReferenceData!$BH$181),"")</f>
        <v/>
      </c>
      <c r="BI181" t="str">
        <f ca="1">IFERROR(IF(0=LEN(ReferenceData!$BI$181),"",ReferenceData!$BI$181),"")</f>
        <v/>
      </c>
      <c r="BJ181" t="str">
        <f ca="1">IFERROR(IF(0=LEN(ReferenceData!$BJ$181),"",ReferenceData!$BJ$181),"")</f>
        <v/>
      </c>
      <c r="BK181" t="str">
        <f ca="1">IFERROR(IF(0=LEN(ReferenceData!$BK$181),"",ReferenceData!$BK$181),"")</f>
        <v/>
      </c>
      <c r="BL181" t="str">
        <f ca="1">IFERROR(IF(0=LEN(ReferenceData!$BL$181),"",ReferenceData!$BL$181),"")</f>
        <v/>
      </c>
      <c r="BM181" t="str">
        <f ca="1">IFERROR(IF(0=LEN(ReferenceData!$BM$181),"",ReferenceData!$BM$181),"")</f>
        <v/>
      </c>
    </row>
    <row r="182" spans="1:65">
      <c r="A182" t="str">
        <f>IFERROR(IF(0=LEN(ReferenceData!$A$182),"",ReferenceData!$A$182),"")</f>
        <v xml:space="preserve">    CBL &amp; Associates Properties In</v>
      </c>
      <c r="B182" t="str">
        <f>IFERROR(IF(0=LEN(ReferenceData!$B$182),"",ReferenceData!$B$182),"")</f>
        <v>CBL US Equity</v>
      </c>
      <c r="C182" t="str">
        <f>IFERROR(IF(0=LEN(ReferenceData!$C$182),"",ReferenceData!$C$182),"")</f>
        <v>BE592</v>
      </c>
      <c r="D182" t="str">
        <f>IFERROR(IF(0=LEN(ReferenceData!$D$182),"",ReferenceData!$D$182),"")</f>
        <v>BEST_FFOPS_YOY_GTH</v>
      </c>
      <c r="E182" t="str">
        <f>IFERROR(IF(0=LEN(ReferenceData!$E$182),"",ReferenceData!$E$182),"")</f>
        <v>动态</v>
      </c>
      <c r="F182" t="str">
        <f ca="1">IFERROR(IF(0=LEN(ReferenceData!$F$182),"",ReferenceData!$F$182),"")</f>
        <v/>
      </c>
      <c r="G182" t="str">
        <f ca="1">IFERROR(IF(0=LEN(ReferenceData!$G$182),"",ReferenceData!$G$182),"")</f>
        <v/>
      </c>
      <c r="H182" t="str">
        <f ca="1">IFERROR(IF(0=LEN(ReferenceData!$H$182),"",ReferenceData!$H$182),"")</f>
        <v/>
      </c>
      <c r="I182" t="str">
        <f ca="1">IFERROR(IF(0=LEN(ReferenceData!$I$182),"",ReferenceData!$I$182),"")</f>
        <v/>
      </c>
      <c r="J182" t="str">
        <f ca="1">IFERROR(IF(0=LEN(ReferenceData!$J$182),"",ReferenceData!$J$182),"")</f>
        <v/>
      </c>
      <c r="K182" t="str">
        <f ca="1">IFERROR(IF(0=LEN(ReferenceData!$K$182),"",ReferenceData!$K$182),"")</f>
        <v/>
      </c>
      <c r="L182" t="str">
        <f ca="1">IFERROR(IF(0=LEN(ReferenceData!$L$182),"",ReferenceData!$L$182),"")</f>
        <v/>
      </c>
      <c r="M182" t="str">
        <f ca="1">IFERROR(IF(0=LEN(ReferenceData!$M$182),"",ReferenceData!$M$182),"")</f>
        <v/>
      </c>
      <c r="N182" t="str">
        <f ca="1">IFERROR(IF(0=LEN(ReferenceData!$N$182),"",ReferenceData!$N$182),"")</f>
        <v/>
      </c>
      <c r="O182" t="str">
        <f ca="1">IFERROR(IF(0=LEN(ReferenceData!$O$182),"",ReferenceData!$O$182),"")</f>
        <v/>
      </c>
      <c r="P182" t="str">
        <f ca="1">IFERROR(IF(0=LEN(ReferenceData!$P$182),"",ReferenceData!$P$182),"")</f>
        <v/>
      </c>
      <c r="Q182" t="str">
        <f ca="1">IFERROR(IF(0=LEN(ReferenceData!$Q$182),"",ReferenceData!$Q$182),"")</f>
        <v/>
      </c>
      <c r="R182" t="str">
        <f ca="1">IFERROR(IF(0=LEN(ReferenceData!$R$182),"",ReferenceData!$R$182),"")</f>
        <v/>
      </c>
      <c r="S182" t="str">
        <f ca="1">IFERROR(IF(0=LEN(ReferenceData!$S$182),"",ReferenceData!$S$182),"")</f>
        <v/>
      </c>
      <c r="T182" t="str">
        <f ca="1">IFERROR(IF(0=LEN(ReferenceData!$T$182),"",ReferenceData!$T$182),"")</f>
        <v/>
      </c>
      <c r="U182" t="str">
        <f ca="1">IFERROR(IF(0=LEN(ReferenceData!$U$182),"",ReferenceData!$U$182),"")</f>
        <v/>
      </c>
      <c r="V182" t="str">
        <f ca="1">IFERROR(IF(0=LEN(ReferenceData!$V$182),"",ReferenceData!$V$182),"")</f>
        <v/>
      </c>
      <c r="W182" t="str">
        <f ca="1">IFERROR(IF(0=LEN(ReferenceData!$W$182),"",ReferenceData!$W$182),"")</f>
        <v/>
      </c>
      <c r="X182" t="str">
        <f ca="1">IFERROR(IF(0=LEN(ReferenceData!$X$182),"",ReferenceData!$X$182),"")</f>
        <v/>
      </c>
      <c r="Y182" t="str">
        <f ca="1">IFERROR(IF(0=LEN(ReferenceData!$Y$182),"",ReferenceData!$Y$182),"")</f>
        <v/>
      </c>
      <c r="Z182" t="str">
        <f ca="1">IFERROR(IF(0=LEN(ReferenceData!$Z$182),"",ReferenceData!$Z$182),"")</f>
        <v/>
      </c>
      <c r="AA182" t="str">
        <f ca="1">IFERROR(IF(0=LEN(ReferenceData!$AA$182),"",ReferenceData!$AA$182),"")</f>
        <v/>
      </c>
      <c r="AB182" t="str">
        <f ca="1">IFERROR(IF(0=LEN(ReferenceData!$AB$182),"",ReferenceData!$AB$182),"")</f>
        <v/>
      </c>
      <c r="AC182" t="str">
        <f ca="1">IFERROR(IF(0=LEN(ReferenceData!$AC$182),"",ReferenceData!$AC$182),"")</f>
        <v/>
      </c>
      <c r="AD182" t="str">
        <f ca="1">IFERROR(IF(0=LEN(ReferenceData!$AD$182),"",ReferenceData!$AD$182),"")</f>
        <v/>
      </c>
      <c r="AE182" t="str">
        <f ca="1">IFERROR(IF(0=LEN(ReferenceData!$AE$182),"",ReferenceData!$AE$182),"")</f>
        <v/>
      </c>
      <c r="AF182" t="str">
        <f ca="1">IFERROR(IF(0=LEN(ReferenceData!$AF$182),"",ReferenceData!$AF$182),"")</f>
        <v/>
      </c>
      <c r="AG182" t="str">
        <f ca="1">IFERROR(IF(0=LEN(ReferenceData!$AG$182),"",ReferenceData!$AG$182),"")</f>
        <v/>
      </c>
      <c r="AH182" t="str">
        <f ca="1">IFERROR(IF(0=LEN(ReferenceData!$AH$182),"",ReferenceData!$AH$182),"")</f>
        <v/>
      </c>
      <c r="AI182" t="str">
        <f ca="1">IFERROR(IF(0=LEN(ReferenceData!$AI$182),"",ReferenceData!$AI$182),"")</f>
        <v/>
      </c>
      <c r="AJ182" t="str">
        <f ca="1">IFERROR(IF(0=LEN(ReferenceData!$AJ$182),"",ReferenceData!$AJ$182),"")</f>
        <v/>
      </c>
      <c r="AK182" t="str">
        <f ca="1">IFERROR(IF(0=LEN(ReferenceData!$AK$182),"",ReferenceData!$AK$182),"")</f>
        <v/>
      </c>
      <c r="AL182" t="str">
        <f ca="1">IFERROR(IF(0=LEN(ReferenceData!$AL$182),"",ReferenceData!$AL$182),"")</f>
        <v/>
      </c>
      <c r="AM182" t="str">
        <f ca="1">IFERROR(IF(0=LEN(ReferenceData!$AM$182),"",ReferenceData!$AM$182),"")</f>
        <v/>
      </c>
      <c r="AN182" t="str">
        <f ca="1">IFERROR(IF(0=LEN(ReferenceData!$AN$182),"",ReferenceData!$AN$182),"")</f>
        <v/>
      </c>
      <c r="AO182" t="str">
        <f ca="1">IFERROR(IF(0=LEN(ReferenceData!$AO$182),"",ReferenceData!$AO$182),"")</f>
        <v/>
      </c>
      <c r="AP182" t="str">
        <f ca="1">IFERROR(IF(0=LEN(ReferenceData!$AP$182),"",ReferenceData!$AP$182),"")</f>
        <v/>
      </c>
      <c r="AQ182" t="str">
        <f ca="1">IFERROR(IF(0=LEN(ReferenceData!$AQ$182),"",ReferenceData!$AQ$182),"")</f>
        <v/>
      </c>
      <c r="AR182" t="str">
        <f ca="1">IFERROR(IF(0=LEN(ReferenceData!$AR$182),"",ReferenceData!$AR$182),"")</f>
        <v/>
      </c>
      <c r="AS182" t="str">
        <f ca="1">IFERROR(IF(0=LEN(ReferenceData!$AS$182),"",ReferenceData!$AS$182),"")</f>
        <v/>
      </c>
      <c r="AT182" t="str">
        <f ca="1">IFERROR(IF(0=LEN(ReferenceData!$AT$182),"",ReferenceData!$AT$182),"")</f>
        <v/>
      </c>
      <c r="AU182" t="str">
        <f ca="1">IFERROR(IF(0=LEN(ReferenceData!$AU$182),"",ReferenceData!$AU$182),"")</f>
        <v/>
      </c>
      <c r="AV182" t="str">
        <f ca="1">IFERROR(IF(0=LEN(ReferenceData!$AV$182),"",ReferenceData!$AV$182),"")</f>
        <v/>
      </c>
      <c r="AW182" t="str">
        <f ca="1">IFERROR(IF(0=LEN(ReferenceData!$AW$182),"",ReferenceData!$AW$182),"")</f>
        <v/>
      </c>
      <c r="AX182" t="str">
        <f ca="1">IFERROR(IF(0=LEN(ReferenceData!$AX$182),"",ReferenceData!$AX$182),"")</f>
        <v/>
      </c>
      <c r="AY182" t="str">
        <f ca="1">IFERROR(IF(0=LEN(ReferenceData!$AY$182),"",ReferenceData!$AY$182),"")</f>
        <v/>
      </c>
      <c r="AZ182" t="str">
        <f ca="1">IFERROR(IF(0=LEN(ReferenceData!$AZ$182),"",ReferenceData!$AZ$182),"")</f>
        <v/>
      </c>
      <c r="BA182" t="str">
        <f ca="1">IFERROR(IF(0=LEN(ReferenceData!$BA$182),"",ReferenceData!$BA$182),"")</f>
        <v/>
      </c>
      <c r="BB182" t="str">
        <f ca="1">IFERROR(IF(0=LEN(ReferenceData!$BB$182),"",ReferenceData!$BB$182),"")</f>
        <v/>
      </c>
      <c r="BC182" t="str">
        <f ca="1">IFERROR(IF(0=LEN(ReferenceData!$BC$182),"",ReferenceData!$BC$182),"")</f>
        <v/>
      </c>
      <c r="BD182" t="str">
        <f ca="1">IFERROR(IF(0=LEN(ReferenceData!$BD$182),"",ReferenceData!$BD$182),"")</f>
        <v/>
      </c>
      <c r="BE182" t="str">
        <f ca="1">IFERROR(IF(0=LEN(ReferenceData!$BE$182),"",ReferenceData!$BE$182),"")</f>
        <v/>
      </c>
      <c r="BF182" t="str">
        <f ca="1">IFERROR(IF(0=LEN(ReferenceData!$BF$182),"",ReferenceData!$BF$182),"")</f>
        <v/>
      </c>
      <c r="BG182" t="str">
        <f ca="1">IFERROR(IF(0=LEN(ReferenceData!$BG$182),"",ReferenceData!$BG$182),"")</f>
        <v/>
      </c>
      <c r="BH182" t="str">
        <f ca="1">IFERROR(IF(0=LEN(ReferenceData!$BH$182),"",ReferenceData!$BH$182),"")</f>
        <v/>
      </c>
      <c r="BI182" t="str">
        <f ca="1">IFERROR(IF(0=LEN(ReferenceData!$BI$182),"",ReferenceData!$BI$182),"")</f>
        <v/>
      </c>
      <c r="BJ182" t="str">
        <f ca="1">IFERROR(IF(0=LEN(ReferenceData!$BJ$182),"",ReferenceData!$BJ$182),"")</f>
        <v/>
      </c>
      <c r="BK182" t="str">
        <f ca="1">IFERROR(IF(0=LEN(ReferenceData!$BK$182),"",ReferenceData!$BK$182),"")</f>
        <v/>
      </c>
      <c r="BL182" t="str">
        <f ca="1">IFERROR(IF(0=LEN(ReferenceData!$BL$182),"",ReferenceData!$BL$182),"")</f>
        <v/>
      </c>
      <c r="BM182" t="str">
        <f ca="1">IFERROR(IF(0=LEN(ReferenceData!$BM$182),"",ReferenceData!$BM$182),"")</f>
        <v/>
      </c>
    </row>
    <row r="183" spans="1:65">
      <c r="A183" t="str">
        <f>IFERROR(IF(0=LEN(ReferenceData!$A$183),"",ReferenceData!$A$183),"")</f>
        <v xml:space="preserve">    DDR Corp</v>
      </c>
      <c r="B183" t="str">
        <f>IFERROR(IF(0=LEN(ReferenceData!$B$183),"",ReferenceData!$B$183),"")</f>
        <v>DDR US Equity</v>
      </c>
      <c r="C183" t="str">
        <f>IFERROR(IF(0=LEN(ReferenceData!$C$183),"",ReferenceData!$C$183),"")</f>
        <v>BE592</v>
      </c>
      <c r="D183" t="str">
        <f>IFERROR(IF(0=LEN(ReferenceData!$D$183),"",ReferenceData!$D$183),"")</f>
        <v>BEST_FFOPS_YOY_GTH</v>
      </c>
      <c r="E183" t="str">
        <f>IFERROR(IF(0=LEN(ReferenceData!$E$183),"",ReferenceData!$E$183),"")</f>
        <v>动态</v>
      </c>
      <c r="F183" t="str">
        <f ca="1">IFERROR(IF(0=LEN(ReferenceData!$F$183),"",ReferenceData!$F$183),"")</f>
        <v/>
      </c>
      <c r="G183" t="str">
        <f ca="1">IFERROR(IF(0=LEN(ReferenceData!$G$183),"",ReferenceData!$G$183),"")</f>
        <v/>
      </c>
      <c r="H183" t="str">
        <f ca="1">IFERROR(IF(0=LEN(ReferenceData!$H$183),"",ReferenceData!$H$183),"")</f>
        <v/>
      </c>
      <c r="I183" t="str">
        <f ca="1">IFERROR(IF(0=LEN(ReferenceData!$I$183),"",ReferenceData!$I$183),"")</f>
        <v/>
      </c>
      <c r="J183" t="str">
        <f ca="1">IFERROR(IF(0=LEN(ReferenceData!$J$183),"",ReferenceData!$J$183),"")</f>
        <v/>
      </c>
      <c r="K183" t="str">
        <f ca="1">IFERROR(IF(0=LEN(ReferenceData!$K$183),"",ReferenceData!$K$183),"")</f>
        <v/>
      </c>
      <c r="L183" t="str">
        <f ca="1">IFERROR(IF(0=LEN(ReferenceData!$L$183),"",ReferenceData!$L$183),"")</f>
        <v/>
      </c>
      <c r="M183" t="str">
        <f ca="1">IFERROR(IF(0=LEN(ReferenceData!$M$183),"",ReferenceData!$M$183),"")</f>
        <v/>
      </c>
      <c r="N183" t="str">
        <f ca="1">IFERROR(IF(0=LEN(ReferenceData!$N$183),"",ReferenceData!$N$183),"")</f>
        <v/>
      </c>
      <c r="O183" t="str">
        <f ca="1">IFERROR(IF(0=LEN(ReferenceData!$O$183),"",ReferenceData!$O$183),"")</f>
        <v/>
      </c>
      <c r="P183" t="str">
        <f ca="1">IFERROR(IF(0=LEN(ReferenceData!$P$183),"",ReferenceData!$P$183),"")</f>
        <v/>
      </c>
      <c r="Q183" t="str">
        <f ca="1">IFERROR(IF(0=LEN(ReferenceData!$Q$183),"",ReferenceData!$Q$183),"")</f>
        <v/>
      </c>
      <c r="R183" t="str">
        <f ca="1">IFERROR(IF(0=LEN(ReferenceData!$R$183),"",ReferenceData!$R$183),"")</f>
        <v/>
      </c>
      <c r="S183" t="str">
        <f ca="1">IFERROR(IF(0=LEN(ReferenceData!$S$183),"",ReferenceData!$S$183),"")</f>
        <v/>
      </c>
      <c r="T183" t="str">
        <f ca="1">IFERROR(IF(0=LEN(ReferenceData!$T$183),"",ReferenceData!$T$183),"")</f>
        <v/>
      </c>
      <c r="U183" t="str">
        <f ca="1">IFERROR(IF(0=LEN(ReferenceData!$U$183),"",ReferenceData!$U$183),"")</f>
        <v/>
      </c>
      <c r="V183" t="str">
        <f ca="1">IFERROR(IF(0=LEN(ReferenceData!$V$183),"",ReferenceData!$V$183),"")</f>
        <v/>
      </c>
      <c r="W183" t="str">
        <f ca="1">IFERROR(IF(0=LEN(ReferenceData!$W$183),"",ReferenceData!$W$183),"")</f>
        <v/>
      </c>
      <c r="X183" t="str">
        <f ca="1">IFERROR(IF(0=LEN(ReferenceData!$X$183),"",ReferenceData!$X$183),"")</f>
        <v/>
      </c>
      <c r="Y183" t="str">
        <f ca="1">IFERROR(IF(0=LEN(ReferenceData!$Y$183),"",ReferenceData!$Y$183),"")</f>
        <v/>
      </c>
      <c r="Z183" t="str">
        <f ca="1">IFERROR(IF(0=LEN(ReferenceData!$Z$183),"",ReferenceData!$Z$183),"")</f>
        <v/>
      </c>
      <c r="AA183" t="str">
        <f ca="1">IFERROR(IF(0=LEN(ReferenceData!$AA$183),"",ReferenceData!$AA$183),"")</f>
        <v/>
      </c>
      <c r="AB183" t="str">
        <f ca="1">IFERROR(IF(0=LEN(ReferenceData!$AB$183),"",ReferenceData!$AB$183),"")</f>
        <v/>
      </c>
      <c r="AC183" t="str">
        <f ca="1">IFERROR(IF(0=LEN(ReferenceData!$AC$183),"",ReferenceData!$AC$183),"")</f>
        <v/>
      </c>
      <c r="AD183" t="str">
        <f ca="1">IFERROR(IF(0=LEN(ReferenceData!$AD$183),"",ReferenceData!$AD$183),"")</f>
        <v/>
      </c>
      <c r="AE183" t="str">
        <f ca="1">IFERROR(IF(0=LEN(ReferenceData!$AE$183),"",ReferenceData!$AE$183),"")</f>
        <v/>
      </c>
      <c r="AF183" t="str">
        <f ca="1">IFERROR(IF(0=LEN(ReferenceData!$AF$183),"",ReferenceData!$AF$183),"")</f>
        <v/>
      </c>
      <c r="AG183" t="str">
        <f ca="1">IFERROR(IF(0=LEN(ReferenceData!$AG$183),"",ReferenceData!$AG$183),"")</f>
        <v/>
      </c>
      <c r="AH183" t="str">
        <f ca="1">IFERROR(IF(0=LEN(ReferenceData!$AH$183),"",ReferenceData!$AH$183),"")</f>
        <v/>
      </c>
      <c r="AI183" t="str">
        <f ca="1">IFERROR(IF(0=LEN(ReferenceData!$AI$183),"",ReferenceData!$AI$183),"")</f>
        <v/>
      </c>
      <c r="AJ183" t="str">
        <f ca="1">IFERROR(IF(0=LEN(ReferenceData!$AJ$183),"",ReferenceData!$AJ$183),"")</f>
        <v/>
      </c>
      <c r="AK183" t="str">
        <f ca="1">IFERROR(IF(0=LEN(ReferenceData!$AK$183),"",ReferenceData!$AK$183),"")</f>
        <v/>
      </c>
      <c r="AL183" t="str">
        <f ca="1">IFERROR(IF(0=LEN(ReferenceData!$AL$183),"",ReferenceData!$AL$183),"")</f>
        <v/>
      </c>
      <c r="AM183" t="str">
        <f ca="1">IFERROR(IF(0=LEN(ReferenceData!$AM$183),"",ReferenceData!$AM$183),"")</f>
        <v/>
      </c>
      <c r="AN183" t="str">
        <f ca="1">IFERROR(IF(0=LEN(ReferenceData!$AN$183),"",ReferenceData!$AN$183),"")</f>
        <v/>
      </c>
      <c r="AO183" t="str">
        <f ca="1">IFERROR(IF(0=LEN(ReferenceData!$AO$183),"",ReferenceData!$AO$183),"")</f>
        <v/>
      </c>
      <c r="AP183" t="str">
        <f ca="1">IFERROR(IF(0=LEN(ReferenceData!$AP$183),"",ReferenceData!$AP$183),"")</f>
        <v/>
      </c>
      <c r="AQ183" t="str">
        <f ca="1">IFERROR(IF(0=LEN(ReferenceData!$AQ$183),"",ReferenceData!$AQ$183),"")</f>
        <v/>
      </c>
      <c r="AR183" t="str">
        <f ca="1">IFERROR(IF(0=LEN(ReferenceData!$AR$183),"",ReferenceData!$AR$183),"")</f>
        <v/>
      </c>
      <c r="AS183" t="str">
        <f ca="1">IFERROR(IF(0=LEN(ReferenceData!$AS$183),"",ReferenceData!$AS$183),"")</f>
        <v/>
      </c>
      <c r="AT183" t="str">
        <f ca="1">IFERROR(IF(0=LEN(ReferenceData!$AT$183),"",ReferenceData!$AT$183),"")</f>
        <v/>
      </c>
      <c r="AU183" t="str">
        <f ca="1">IFERROR(IF(0=LEN(ReferenceData!$AU$183),"",ReferenceData!$AU$183),"")</f>
        <v/>
      </c>
      <c r="AV183" t="str">
        <f ca="1">IFERROR(IF(0=LEN(ReferenceData!$AV$183),"",ReferenceData!$AV$183),"")</f>
        <v/>
      </c>
      <c r="AW183" t="str">
        <f ca="1">IFERROR(IF(0=LEN(ReferenceData!$AW$183),"",ReferenceData!$AW$183),"")</f>
        <v/>
      </c>
      <c r="AX183" t="str">
        <f ca="1">IFERROR(IF(0=LEN(ReferenceData!$AX$183),"",ReferenceData!$AX$183),"")</f>
        <v/>
      </c>
      <c r="AY183" t="str">
        <f ca="1">IFERROR(IF(0=LEN(ReferenceData!$AY$183),"",ReferenceData!$AY$183),"")</f>
        <v/>
      </c>
      <c r="AZ183" t="str">
        <f ca="1">IFERROR(IF(0=LEN(ReferenceData!$AZ$183),"",ReferenceData!$AZ$183),"")</f>
        <v/>
      </c>
      <c r="BA183" t="str">
        <f ca="1">IFERROR(IF(0=LEN(ReferenceData!$BA$183),"",ReferenceData!$BA$183),"")</f>
        <v/>
      </c>
      <c r="BB183" t="str">
        <f ca="1">IFERROR(IF(0=LEN(ReferenceData!$BB$183),"",ReferenceData!$BB$183),"")</f>
        <v/>
      </c>
      <c r="BC183" t="str">
        <f ca="1">IFERROR(IF(0=LEN(ReferenceData!$BC$183),"",ReferenceData!$BC$183),"")</f>
        <v/>
      </c>
      <c r="BD183" t="str">
        <f ca="1">IFERROR(IF(0=LEN(ReferenceData!$BD$183),"",ReferenceData!$BD$183),"")</f>
        <v/>
      </c>
      <c r="BE183" t="str">
        <f ca="1">IFERROR(IF(0=LEN(ReferenceData!$BE$183),"",ReferenceData!$BE$183),"")</f>
        <v/>
      </c>
      <c r="BF183" t="str">
        <f ca="1">IFERROR(IF(0=LEN(ReferenceData!$BF$183),"",ReferenceData!$BF$183),"")</f>
        <v/>
      </c>
      <c r="BG183" t="str">
        <f ca="1">IFERROR(IF(0=LEN(ReferenceData!$BG$183),"",ReferenceData!$BG$183),"")</f>
        <v/>
      </c>
      <c r="BH183" t="str">
        <f ca="1">IFERROR(IF(0=LEN(ReferenceData!$BH$183),"",ReferenceData!$BH$183),"")</f>
        <v/>
      </c>
      <c r="BI183" t="str">
        <f ca="1">IFERROR(IF(0=LEN(ReferenceData!$BI$183),"",ReferenceData!$BI$183),"")</f>
        <v/>
      </c>
      <c r="BJ183" t="str">
        <f ca="1">IFERROR(IF(0=LEN(ReferenceData!$BJ$183),"",ReferenceData!$BJ$183),"")</f>
        <v/>
      </c>
      <c r="BK183" t="str">
        <f ca="1">IFERROR(IF(0=LEN(ReferenceData!$BK$183),"",ReferenceData!$BK$183),"")</f>
        <v/>
      </c>
      <c r="BL183" t="str">
        <f ca="1">IFERROR(IF(0=LEN(ReferenceData!$BL$183),"",ReferenceData!$BL$183),"")</f>
        <v/>
      </c>
      <c r="BM183" t="str">
        <f ca="1">IFERROR(IF(0=LEN(ReferenceData!$BM$183),"",ReferenceData!$BM$183),"")</f>
        <v/>
      </c>
    </row>
    <row r="184" spans="1:65">
      <c r="A184" t="str">
        <f>IFERROR(IF(0=LEN(ReferenceData!$A$184),"",ReferenceData!$A$184),"")</f>
        <v xml:space="preserve">    Federal Realty Investment Trus</v>
      </c>
      <c r="B184" t="str">
        <f>IFERROR(IF(0=LEN(ReferenceData!$B$184),"",ReferenceData!$B$184),"")</f>
        <v>FRT US Equity</v>
      </c>
      <c r="C184" t="str">
        <f>IFERROR(IF(0=LEN(ReferenceData!$C$184),"",ReferenceData!$C$184),"")</f>
        <v>BE592</v>
      </c>
      <c r="D184" t="str">
        <f>IFERROR(IF(0=LEN(ReferenceData!$D$184),"",ReferenceData!$D$184),"")</f>
        <v>BEST_FFOPS_YOY_GTH</v>
      </c>
      <c r="E184" t="str">
        <f>IFERROR(IF(0=LEN(ReferenceData!$E$184),"",ReferenceData!$E$184),"")</f>
        <v>动态</v>
      </c>
      <c r="F184" t="str">
        <f ca="1">IFERROR(IF(0=LEN(ReferenceData!$F$184),"",ReferenceData!$F$184),"")</f>
        <v/>
      </c>
      <c r="G184" t="str">
        <f ca="1">IFERROR(IF(0=LEN(ReferenceData!$G$184),"",ReferenceData!$G$184),"")</f>
        <v/>
      </c>
      <c r="H184" t="str">
        <f ca="1">IFERROR(IF(0=LEN(ReferenceData!$H$184),"",ReferenceData!$H$184),"")</f>
        <v/>
      </c>
      <c r="I184" t="str">
        <f ca="1">IFERROR(IF(0=LEN(ReferenceData!$I$184),"",ReferenceData!$I$184),"")</f>
        <v/>
      </c>
      <c r="J184" t="str">
        <f ca="1">IFERROR(IF(0=LEN(ReferenceData!$J$184),"",ReferenceData!$J$184),"")</f>
        <v/>
      </c>
      <c r="K184" t="str">
        <f ca="1">IFERROR(IF(0=LEN(ReferenceData!$K$184),"",ReferenceData!$K$184),"")</f>
        <v/>
      </c>
      <c r="L184" t="str">
        <f ca="1">IFERROR(IF(0=LEN(ReferenceData!$L$184),"",ReferenceData!$L$184),"")</f>
        <v/>
      </c>
      <c r="M184" t="str">
        <f ca="1">IFERROR(IF(0=LEN(ReferenceData!$M$184),"",ReferenceData!$M$184),"")</f>
        <v/>
      </c>
      <c r="N184" t="str">
        <f ca="1">IFERROR(IF(0=LEN(ReferenceData!$N$184),"",ReferenceData!$N$184),"")</f>
        <v/>
      </c>
      <c r="O184" t="str">
        <f ca="1">IFERROR(IF(0=LEN(ReferenceData!$O$184),"",ReferenceData!$O$184),"")</f>
        <v/>
      </c>
      <c r="P184" t="str">
        <f ca="1">IFERROR(IF(0=LEN(ReferenceData!$P$184),"",ReferenceData!$P$184),"")</f>
        <v/>
      </c>
      <c r="Q184" t="str">
        <f ca="1">IFERROR(IF(0=LEN(ReferenceData!$Q$184),"",ReferenceData!$Q$184),"")</f>
        <v/>
      </c>
      <c r="R184" t="str">
        <f ca="1">IFERROR(IF(0=LEN(ReferenceData!$R$184),"",ReferenceData!$R$184),"")</f>
        <v/>
      </c>
      <c r="S184" t="str">
        <f ca="1">IFERROR(IF(0=LEN(ReferenceData!$S$184),"",ReferenceData!$S$184),"")</f>
        <v/>
      </c>
      <c r="T184" t="str">
        <f ca="1">IFERROR(IF(0=LEN(ReferenceData!$T$184),"",ReferenceData!$T$184),"")</f>
        <v/>
      </c>
      <c r="U184" t="str">
        <f ca="1">IFERROR(IF(0=LEN(ReferenceData!$U$184),"",ReferenceData!$U$184),"")</f>
        <v/>
      </c>
      <c r="V184" t="str">
        <f ca="1">IFERROR(IF(0=LEN(ReferenceData!$V$184),"",ReferenceData!$V$184),"")</f>
        <v/>
      </c>
      <c r="W184" t="str">
        <f ca="1">IFERROR(IF(0=LEN(ReferenceData!$W$184),"",ReferenceData!$W$184),"")</f>
        <v/>
      </c>
      <c r="X184" t="str">
        <f ca="1">IFERROR(IF(0=LEN(ReferenceData!$X$184),"",ReferenceData!$X$184),"")</f>
        <v/>
      </c>
      <c r="Y184" t="str">
        <f ca="1">IFERROR(IF(0=LEN(ReferenceData!$Y$184),"",ReferenceData!$Y$184),"")</f>
        <v/>
      </c>
      <c r="Z184" t="str">
        <f ca="1">IFERROR(IF(0=LEN(ReferenceData!$Z$184),"",ReferenceData!$Z$184),"")</f>
        <v/>
      </c>
      <c r="AA184" t="str">
        <f ca="1">IFERROR(IF(0=LEN(ReferenceData!$AA$184),"",ReferenceData!$AA$184),"")</f>
        <v/>
      </c>
      <c r="AB184" t="str">
        <f ca="1">IFERROR(IF(0=LEN(ReferenceData!$AB$184),"",ReferenceData!$AB$184),"")</f>
        <v/>
      </c>
      <c r="AC184" t="str">
        <f ca="1">IFERROR(IF(0=LEN(ReferenceData!$AC$184),"",ReferenceData!$AC$184),"")</f>
        <v/>
      </c>
      <c r="AD184" t="str">
        <f ca="1">IFERROR(IF(0=LEN(ReferenceData!$AD$184),"",ReferenceData!$AD$184),"")</f>
        <v/>
      </c>
      <c r="AE184" t="str">
        <f ca="1">IFERROR(IF(0=LEN(ReferenceData!$AE$184),"",ReferenceData!$AE$184),"")</f>
        <v/>
      </c>
      <c r="AF184" t="str">
        <f ca="1">IFERROR(IF(0=LEN(ReferenceData!$AF$184),"",ReferenceData!$AF$184),"")</f>
        <v/>
      </c>
      <c r="AG184" t="str">
        <f ca="1">IFERROR(IF(0=LEN(ReferenceData!$AG$184),"",ReferenceData!$AG$184),"")</f>
        <v/>
      </c>
      <c r="AH184" t="str">
        <f ca="1">IFERROR(IF(0=LEN(ReferenceData!$AH$184),"",ReferenceData!$AH$184),"")</f>
        <v/>
      </c>
      <c r="AI184" t="str">
        <f ca="1">IFERROR(IF(0=LEN(ReferenceData!$AI$184),"",ReferenceData!$AI$184),"")</f>
        <v/>
      </c>
      <c r="AJ184" t="str">
        <f ca="1">IFERROR(IF(0=LEN(ReferenceData!$AJ$184),"",ReferenceData!$AJ$184),"")</f>
        <v/>
      </c>
      <c r="AK184" t="str">
        <f ca="1">IFERROR(IF(0=LEN(ReferenceData!$AK$184),"",ReferenceData!$AK$184),"")</f>
        <v/>
      </c>
      <c r="AL184" t="str">
        <f ca="1">IFERROR(IF(0=LEN(ReferenceData!$AL$184),"",ReferenceData!$AL$184),"")</f>
        <v/>
      </c>
      <c r="AM184" t="str">
        <f ca="1">IFERROR(IF(0=LEN(ReferenceData!$AM$184),"",ReferenceData!$AM$184),"")</f>
        <v/>
      </c>
      <c r="AN184" t="str">
        <f ca="1">IFERROR(IF(0=LEN(ReferenceData!$AN$184),"",ReferenceData!$AN$184),"")</f>
        <v/>
      </c>
      <c r="AO184" t="str">
        <f ca="1">IFERROR(IF(0=LEN(ReferenceData!$AO$184),"",ReferenceData!$AO$184),"")</f>
        <v/>
      </c>
      <c r="AP184" t="str">
        <f ca="1">IFERROR(IF(0=LEN(ReferenceData!$AP$184),"",ReferenceData!$AP$184),"")</f>
        <v/>
      </c>
      <c r="AQ184" t="str">
        <f ca="1">IFERROR(IF(0=LEN(ReferenceData!$AQ$184),"",ReferenceData!$AQ$184),"")</f>
        <v/>
      </c>
      <c r="AR184" t="str">
        <f ca="1">IFERROR(IF(0=LEN(ReferenceData!$AR$184),"",ReferenceData!$AR$184),"")</f>
        <v/>
      </c>
      <c r="AS184" t="str">
        <f ca="1">IFERROR(IF(0=LEN(ReferenceData!$AS$184),"",ReferenceData!$AS$184),"")</f>
        <v/>
      </c>
      <c r="AT184" t="str">
        <f ca="1">IFERROR(IF(0=LEN(ReferenceData!$AT$184),"",ReferenceData!$AT$184),"")</f>
        <v/>
      </c>
      <c r="AU184" t="str">
        <f ca="1">IFERROR(IF(0=LEN(ReferenceData!$AU$184),"",ReferenceData!$AU$184),"")</f>
        <v/>
      </c>
      <c r="AV184" t="str">
        <f ca="1">IFERROR(IF(0=LEN(ReferenceData!$AV$184),"",ReferenceData!$AV$184),"")</f>
        <v/>
      </c>
      <c r="AW184" t="str">
        <f ca="1">IFERROR(IF(0=LEN(ReferenceData!$AW$184),"",ReferenceData!$AW$184),"")</f>
        <v/>
      </c>
      <c r="AX184" t="str">
        <f ca="1">IFERROR(IF(0=LEN(ReferenceData!$AX$184),"",ReferenceData!$AX$184),"")</f>
        <v/>
      </c>
      <c r="AY184" t="str">
        <f ca="1">IFERROR(IF(0=LEN(ReferenceData!$AY$184),"",ReferenceData!$AY$184),"")</f>
        <v/>
      </c>
      <c r="AZ184" t="str">
        <f ca="1">IFERROR(IF(0=LEN(ReferenceData!$AZ$184),"",ReferenceData!$AZ$184),"")</f>
        <v/>
      </c>
      <c r="BA184" t="str">
        <f ca="1">IFERROR(IF(0=LEN(ReferenceData!$BA$184),"",ReferenceData!$BA$184),"")</f>
        <v/>
      </c>
      <c r="BB184" t="str">
        <f ca="1">IFERROR(IF(0=LEN(ReferenceData!$BB$184),"",ReferenceData!$BB$184),"")</f>
        <v/>
      </c>
      <c r="BC184" t="str">
        <f ca="1">IFERROR(IF(0=LEN(ReferenceData!$BC$184),"",ReferenceData!$BC$184),"")</f>
        <v/>
      </c>
      <c r="BD184" t="str">
        <f ca="1">IFERROR(IF(0=LEN(ReferenceData!$BD$184),"",ReferenceData!$BD$184),"")</f>
        <v/>
      </c>
      <c r="BE184" t="str">
        <f ca="1">IFERROR(IF(0=LEN(ReferenceData!$BE$184),"",ReferenceData!$BE$184),"")</f>
        <v/>
      </c>
      <c r="BF184" t="str">
        <f ca="1">IFERROR(IF(0=LEN(ReferenceData!$BF$184),"",ReferenceData!$BF$184),"")</f>
        <v/>
      </c>
      <c r="BG184" t="str">
        <f ca="1">IFERROR(IF(0=LEN(ReferenceData!$BG$184),"",ReferenceData!$BG$184),"")</f>
        <v/>
      </c>
      <c r="BH184" t="str">
        <f ca="1">IFERROR(IF(0=LEN(ReferenceData!$BH$184),"",ReferenceData!$BH$184),"")</f>
        <v/>
      </c>
      <c r="BI184" t="str">
        <f ca="1">IFERROR(IF(0=LEN(ReferenceData!$BI$184),"",ReferenceData!$BI$184),"")</f>
        <v/>
      </c>
      <c r="BJ184" t="str">
        <f ca="1">IFERROR(IF(0=LEN(ReferenceData!$BJ$184),"",ReferenceData!$BJ$184),"")</f>
        <v/>
      </c>
      <c r="BK184" t="str">
        <f ca="1">IFERROR(IF(0=LEN(ReferenceData!$BK$184),"",ReferenceData!$BK$184),"")</f>
        <v/>
      </c>
      <c r="BL184" t="str">
        <f ca="1">IFERROR(IF(0=LEN(ReferenceData!$BL$184),"",ReferenceData!$BL$184),"")</f>
        <v/>
      </c>
      <c r="BM184" t="str">
        <f ca="1">IFERROR(IF(0=LEN(ReferenceData!$BM$184),"",ReferenceData!$BM$184),"")</f>
        <v/>
      </c>
    </row>
    <row r="185" spans="1:65">
      <c r="A185" t="str">
        <f>IFERROR(IF(0=LEN(ReferenceData!$A$185),"",ReferenceData!$A$185),"")</f>
        <v xml:space="preserve">    Kimco Realty Corp</v>
      </c>
      <c r="B185" t="str">
        <f>IFERROR(IF(0=LEN(ReferenceData!$B$185),"",ReferenceData!$B$185),"")</f>
        <v>KIM US Equity</v>
      </c>
      <c r="C185" t="str">
        <f>IFERROR(IF(0=LEN(ReferenceData!$C$185),"",ReferenceData!$C$185),"")</f>
        <v>BE592</v>
      </c>
      <c r="D185" t="str">
        <f>IFERROR(IF(0=LEN(ReferenceData!$D$185),"",ReferenceData!$D$185),"")</f>
        <v>BEST_FFOPS_YOY_GTH</v>
      </c>
      <c r="E185" t="str">
        <f>IFERROR(IF(0=LEN(ReferenceData!$E$185),"",ReferenceData!$E$185),"")</f>
        <v>动态</v>
      </c>
      <c r="F185" t="str">
        <f ca="1">IFERROR(IF(0=LEN(ReferenceData!$F$185),"",ReferenceData!$F$185),"")</f>
        <v/>
      </c>
      <c r="G185" t="str">
        <f ca="1">IFERROR(IF(0=LEN(ReferenceData!$G$185),"",ReferenceData!$G$185),"")</f>
        <v/>
      </c>
      <c r="H185" t="str">
        <f ca="1">IFERROR(IF(0=LEN(ReferenceData!$H$185),"",ReferenceData!$H$185),"")</f>
        <v/>
      </c>
      <c r="I185" t="str">
        <f ca="1">IFERROR(IF(0=LEN(ReferenceData!$I$185),"",ReferenceData!$I$185),"")</f>
        <v/>
      </c>
      <c r="J185" t="str">
        <f ca="1">IFERROR(IF(0=LEN(ReferenceData!$J$185),"",ReferenceData!$J$185),"")</f>
        <v/>
      </c>
      <c r="K185" t="str">
        <f ca="1">IFERROR(IF(0=LEN(ReferenceData!$K$185),"",ReferenceData!$K$185),"")</f>
        <v/>
      </c>
      <c r="L185" t="str">
        <f ca="1">IFERROR(IF(0=LEN(ReferenceData!$L$185),"",ReferenceData!$L$185),"")</f>
        <v/>
      </c>
      <c r="M185" t="str">
        <f ca="1">IFERROR(IF(0=LEN(ReferenceData!$M$185),"",ReferenceData!$M$185),"")</f>
        <v/>
      </c>
      <c r="N185" t="str">
        <f ca="1">IFERROR(IF(0=LEN(ReferenceData!$N$185),"",ReferenceData!$N$185),"")</f>
        <v/>
      </c>
      <c r="O185" t="str">
        <f ca="1">IFERROR(IF(0=LEN(ReferenceData!$O$185),"",ReferenceData!$O$185),"")</f>
        <v/>
      </c>
      <c r="P185" t="str">
        <f ca="1">IFERROR(IF(0=LEN(ReferenceData!$P$185),"",ReferenceData!$P$185),"")</f>
        <v/>
      </c>
      <c r="Q185" t="str">
        <f ca="1">IFERROR(IF(0=LEN(ReferenceData!$Q$185),"",ReferenceData!$Q$185),"")</f>
        <v/>
      </c>
      <c r="R185" t="str">
        <f ca="1">IFERROR(IF(0=LEN(ReferenceData!$R$185),"",ReferenceData!$R$185),"")</f>
        <v/>
      </c>
      <c r="S185" t="str">
        <f ca="1">IFERROR(IF(0=LEN(ReferenceData!$S$185),"",ReferenceData!$S$185),"")</f>
        <v/>
      </c>
      <c r="T185" t="str">
        <f ca="1">IFERROR(IF(0=LEN(ReferenceData!$T$185),"",ReferenceData!$T$185),"")</f>
        <v/>
      </c>
      <c r="U185" t="str">
        <f ca="1">IFERROR(IF(0=LEN(ReferenceData!$U$185),"",ReferenceData!$U$185),"")</f>
        <v/>
      </c>
      <c r="V185" t="str">
        <f ca="1">IFERROR(IF(0=LEN(ReferenceData!$V$185),"",ReferenceData!$V$185),"")</f>
        <v/>
      </c>
      <c r="W185" t="str">
        <f ca="1">IFERROR(IF(0=LEN(ReferenceData!$W$185),"",ReferenceData!$W$185),"")</f>
        <v/>
      </c>
      <c r="X185" t="str">
        <f ca="1">IFERROR(IF(0=LEN(ReferenceData!$X$185),"",ReferenceData!$X$185),"")</f>
        <v/>
      </c>
      <c r="Y185" t="str">
        <f ca="1">IFERROR(IF(0=LEN(ReferenceData!$Y$185),"",ReferenceData!$Y$185),"")</f>
        <v/>
      </c>
      <c r="Z185" t="str">
        <f ca="1">IFERROR(IF(0=LEN(ReferenceData!$Z$185),"",ReferenceData!$Z$185),"")</f>
        <v/>
      </c>
      <c r="AA185" t="str">
        <f ca="1">IFERROR(IF(0=LEN(ReferenceData!$AA$185),"",ReferenceData!$AA$185),"")</f>
        <v/>
      </c>
      <c r="AB185" t="str">
        <f ca="1">IFERROR(IF(0=LEN(ReferenceData!$AB$185),"",ReferenceData!$AB$185),"")</f>
        <v/>
      </c>
      <c r="AC185" t="str">
        <f ca="1">IFERROR(IF(0=LEN(ReferenceData!$AC$185),"",ReferenceData!$AC$185),"")</f>
        <v/>
      </c>
      <c r="AD185" t="str">
        <f ca="1">IFERROR(IF(0=LEN(ReferenceData!$AD$185),"",ReferenceData!$AD$185),"")</f>
        <v/>
      </c>
      <c r="AE185" t="str">
        <f ca="1">IFERROR(IF(0=LEN(ReferenceData!$AE$185),"",ReferenceData!$AE$185),"")</f>
        <v/>
      </c>
      <c r="AF185" t="str">
        <f ca="1">IFERROR(IF(0=LEN(ReferenceData!$AF$185),"",ReferenceData!$AF$185),"")</f>
        <v/>
      </c>
      <c r="AG185" t="str">
        <f ca="1">IFERROR(IF(0=LEN(ReferenceData!$AG$185),"",ReferenceData!$AG$185),"")</f>
        <v/>
      </c>
      <c r="AH185" t="str">
        <f ca="1">IFERROR(IF(0=LEN(ReferenceData!$AH$185),"",ReferenceData!$AH$185),"")</f>
        <v/>
      </c>
      <c r="AI185" t="str">
        <f ca="1">IFERROR(IF(0=LEN(ReferenceData!$AI$185),"",ReferenceData!$AI$185),"")</f>
        <v/>
      </c>
      <c r="AJ185" t="str">
        <f ca="1">IFERROR(IF(0=LEN(ReferenceData!$AJ$185),"",ReferenceData!$AJ$185),"")</f>
        <v/>
      </c>
      <c r="AK185" t="str">
        <f ca="1">IFERROR(IF(0=LEN(ReferenceData!$AK$185),"",ReferenceData!$AK$185),"")</f>
        <v/>
      </c>
      <c r="AL185" t="str">
        <f ca="1">IFERROR(IF(0=LEN(ReferenceData!$AL$185),"",ReferenceData!$AL$185),"")</f>
        <v/>
      </c>
      <c r="AM185" t="str">
        <f ca="1">IFERROR(IF(0=LEN(ReferenceData!$AM$185),"",ReferenceData!$AM$185),"")</f>
        <v/>
      </c>
      <c r="AN185" t="str">
        <f ca="1">IFERROR(IF(0=LEN(ReferenceData!$AN$185),"",ReferenceData!$AN$185),"")</f>
        <v/>
      </c>
      <c r="AO185" t="str">
        <f ca="1">IFERROR(IF(0=LEN(ReferenceData!$AO$185),"",ReferenceData!$AO$185),"")</f>
        <v/>
      </c>
      <c r="AP185" t="str">
        <f ca="1">IFERROR(IF(0=LEN(ReferenceData!$AP$185),"",ReferenceData!$AP$185),"")</f>
        <v/>
      </c>
      <c r="AQ185" t="str">
        <f ca="1">IFERROR(IF(0=LEN(ReferenceData!$AQ$185),"",ReferenceData!$AQ$185),"")</f>
        <v/>
      </c>
      <c r="AR185" t="str">
        <f ca="1">IFERROR(IF(0=LEN(ReferenceData!$AR$185),"",ReferenceData!$AR$185),"")</f>
        <v/>
      </c>
      <c r="AS185" t="str">
        <f ca="1">IFERROR(IF(0=LEN(ReferenceData!$AS$185),"",ReferenceData!$AS$185),"")</f>
        <v/>
      </c>
      <c r="AT185" t="str">
        <f ca="1">IFERROR(IF(0=LEN(ReferenceData!$AT$185),"",ReferenceData!$AT$185),"")</f>
        <v/>
      </c>
      <c r="AU185" t="str">
        <f ca="1">IFERROR(IF(0=LEN(ReferenceData!$AU$185),"",ReferenceData!$AU$185),"")</f>
        <v/>
      </c>
      <c r="AV185" t="str">
        <f ca="1">IFERROR(IF(0=LEN(ReferenceData!$AV$185),"",ReferenceData!$AV$185),"")</f>
        <v/>
      </c>
      <c r="AW185" t="str">
        <f ca="1">IFERROR(IF(0=LEN(ReferenceData!$AW$185),"",ReferenceData!$AW$185),"")</f>
        <v/>
      </c>
      <c r="AX185" t="str">
        <f ca="1">IFERROR(IF(0=LEN(ReferenceData!$AX$185),"",ReferenceData!$AX$185),"")</f>
        <v/>
      </c>
      <c r="AY185" t="str">
        <f ca="1">IFERROR(IF(0=LEN(ReferenceData!$AY$185),"",ReferenceData!$AY$185),"")</f>
        <v/>
      </c>
      <c r="AZ185" t="str">
        <f ca="1">IFERROR(IF(0=LEN(ReferenceData!$AZ$185),"",ReferenceData!$AZ$185),"")</f>
        <v/>
      </c>
      <c r="BA185" t="str">
        <f ca="1">IFERROR(IF(0=LEN(ReferenceData!$BA$185),"",ReferenceData!$BA$185),"")</f>
        <v/>
      </c>
      <c r="BB185" t="str">
        <f ca="1">IFERROR(IF(0=LEN(ReferenceData!$BB$185),"",ReferenceData!$BB$185),"")</f>
        <v/>
      </c>
      <c r="BC185" t="str">
        <f ca="1">IFERROR(IF(0=LEN(ReferenceData!$BC$185),"",ReferenceData!$BC$185),"")</f>
        <v/>
      </c>
      <c r="BD185" t="str">
        <f ca="1">IFERROR(IF(0=LEN(ReferenceData!$BD$185),"",ReferenceData!$BD$185),"")</f>
        <v/>
      </c>
      <c r="BE185" t="str">
        <f ca="1">IFERROR(IF(0=LEN(ReferenceData!$BE$185),"",ReferenceData!$BE$185),"")</f>
        <v/>
      </c>
      <c r="BF185" t="str">
        <f ca="1">IFERROR(IF(0=LEN(ReferenceData!$BF$185),"",ReferenceData!$BF$185),"")</f>
        <v/>
      </c>
      <c r="BG185" t="str">
        <f ca="1">IFERROR(IF(0=LEN(ReferenceData!$BG$185),"",ReferenceData!$BG$185),"")</f>
        <v/>
      </c>
      <c r="BH185" t="str">
        <f ca="1">IFERROR(IF(0=LEN(ReferenceData!$BH$185),"",ReferenceData!$BH$185),"")</f>
        <v/>
      </c>
      <c r="BI185" t="str">
        <f ca="1">IFERROR(IF(0=LEN(ReferenceData!$BI$185),"",ReferenceData!$BI$185),"")</f>
        <v/>
      </c>
      <c r="BJ185" t="str">
        <f ca="1">IFERROR(IF(0=LEN(ReferenceData!$BJ$185),"",ReferenceData!$BJ$185),"")</f>
        <v/>
      </c>
      <c r="BK185" t="str">
        <f ca="1">IFERROR(IF(0=LEN(ReferenceData!$BK$185),"",ReferenceData!$BK$185),"")</f>
        <v/>
      </c>
      <c r="BL185" t="str">
        <f ca="1">IFERROR(IF(0=LEN(ReferenceData!$BL$185),"",ReferenceData!$BL$185),"")</f>
        <v/>
      </c>
      <c r="BM185" t="str">
        <f ca="1">IFERROR(IF(0=LEN(ReferenceData!$BM$185),"",ReferenceData!$BM$185),"")</f>
        <v/>
      </c>
    </row>
    <row r="186" spans="1:65">
      <c r="A186" t="str">
        <f>IFERROR(IF(0=LEN(ReferenceData!$A$186),"",ReferenceData!$A$186),"")</f>
        <v xml:space="preserve">    National Retail Properties Inc</v>
      </c>
      <c r="B186" t="str">
        <f>IFERROR(IF(0=LEN(ReferenceData!$B$186),"",ReferenceData!$B$186),"")</f>
        <v>NNN US Equity</v>
      </c>
      <c r="C186" t="str">
        <f>IFERROR(IF(0=LEN(ReferenceData!$C$186),"",ReferenceData!$C$186),"")</f>
        <v>BE592</v>
      </c>
      <c r="D186" t="str">
        <f>IFERROR(IF(0=LEN(ReferenceData!$D$186),"",ReferenceData!$D$186),"")</f>
        <v>BEST_FFOPS_YOY_GTH</v>
      </c>
      <c r="E186" t="str">
        <f>IFERROR(IF(0=LEN(ReferenceData!$E$186),"",ReferenceData!$E$186),"")</f>
        <v>动态</v>
      </c>
      <c r="F186" t="str">
        <f ca="1">IFERROR(IF(0=LEN(ReferenceData!$F$186),"",ReferenceData!$F$186),"")</f>
        <v/>
      </c>
      <c r="G186" t="str">
        <f ca="1">IFERROR(IF(0=LEN(ReferenceData!$G$186),"",ReferenceData!$G$186),"")</f>
        <v/>
      </c>
      <c r="H186" t="str">
        <f ca="1">IFERROR(IF(0=LEN(ReferenceData!$H$186),"",ReferenceData!$H$186),"")</f>
        <v/>
      </c>
      <c r="I186" t="str">
        <f ca="1">IFERROR(IF(0=LEN(ReferenceData!$I$186),"",ReferenceData!$I$186),"")</f>
        <v/>
      </c>
      <c r="J186" t="str">
        <f ca="1">IFERROR(IF(0=LEN(ReferenceData!$J$186),"",ReferenceData!$J$186),"")</f>
        <v/>
      </c>
      <c r="K186" t="str">
        <f ca="1">IFERROR(IF(0=LEN(ReferenceData!$K$186),"",ReferenceData!$K$186),"")</f>
        <v/>
      </c>
      <c r="L186" t="str">
        <f ca="1">IFERROR(IF(0=LEN(ReferenceData!$L$186),"",ReferenceData!$L$186),"")</f>
        <v/>
      </c>
      <c r="M186" t="str">
        <f ca="1">IFERROR(IF(0=LEN(ReferenceData!$M$186),"",ReferenceData!$M$186),"")</f>
        <v/>
      </c>
      <c r="N186" t="str">
        <f ca="1">IFERROR(IF(0=LEN(ReferenceData!$N$186),"",ReferenceData!$N$186),"")</f>
        <v/>
      </c>
      <c r="O186" t="str">
        <f ca="1">IFERROR(IF(0=LEN(ReferenceData!$O$186),"",ReferenceData!$O$186),"")</f>
        <v/>
      </c>
      <c r="P186" t="str">
        <f ca="1">IFERROR(IF(0=LEN(ReferenceData!$P$186),"",ReferenceData!$P$186),"")</f>
        <v/>
      </c>
      <c r="Q186" t="str">
        <f ca="1">IFERROR(IF(0=LEN(ReferenceData!$Q$186),"",ReferenceData!$Q$186),"")</f>
        <v/>
      </c>
      <c r="R186" t="str">
        <f ca="1">IFERROR(IF(0=LEN(ReferenceData!$R$186),"",ReferenceData!$R$186),"")</f>
        <v/>
      </c>
      <c r="S186" t="str">
        <f ca="1">IFERROR(IF(0=LEN(ReferenceData!$S$186),"",ReferenceData!$S$186),"")</f>
        <v/>
      </c>
      <c r="T186" t="str">
        <f ca="1">IFERROR(IF(0=LEN(ReferenceData!$T$186),"",ReferenceData!$T$186),"")</f>
        <v/>
      </c>
      <c r="U186" t="str">
        <f ca="1">IFERROR(IF(0=LEN(ReferenceData!$U$186),"",ReferenceData!$U$186),"")</f>
        <v/>
      </c>
      <c r="V186" t="str">
        <f ca="1">IFERROR(IF(0=LEN(ReferenceData!$V$186),"",ReferenceData!$V$186),"")</f>
        <v/>
      </c>
      <c r="W186" t="str">
        <f ca="1">IFERROR(IF(0=LEN(ReferenceData!$W$186),"",ReferenceData!$W$186),"")</f>
        <v/>
      </c>
      <c r="X186" t="str">
        <f ca="1">IFERROR(IF(0=LEN(ReferenceData!$X$186),"",ReferenceData!$X$186),"")</f>
        <v/>
      </c>
      <c r="Y186" t="str">
        <f ca="1">IFERROR(IF(0=LEN(ReferenceData!$Y$186),"",ReferenceData!$Y$186),"")</f>
        <v/>
      </c>
      <c r="Z186" t="str">
        <f ca="1">IFERROR(IF(0=LEN(ReferenceData!$Z$186),"",ReferenceData!$Z$186),"")</f>
        <v/>
      </c>
      <c r="AA186" t="str">
        <f ca="1">IFERROR(IF(0=LEN(ReferenceData!$AA$186),"",ReferenceData!$AA$186),"")</f>
        <v/>
      </c>
      <c r="AB186" t="str">
        <f ca="1">IFERROR(IF(0=LEN(ReferenceData!$AB$186),"",ReferenceData!$AB$186),"")</f>
        <v/>
      </c>
      <c r="AC186" t="str">
        <f ca="1">IFERROR(IF(0=LEN(ReferenceData!$AC$186),"",ReferenceData!$AC$186),"")</f>
        <v/>
      </c>
      <c r="AD186" t="str">
        <f ca="1">IFERROR(IF(0=LEN(ReferenceData!$AD$186),"",ReferenceData!$AD$186),"")</f>
        <v/>
      </c>
      <c r="AE186" t="str">
        <f ca="1">IFERROR(IF(0=LEN(ReferenceData!$AE$186),"",ReferenceData!$AE$186),"")</f>
        <v/>
      </c>
      <c r="AF186" t="str">
        <f ca="1">IFERROR(IF(0=LEN(ReferenceData!$AF$186),"",ReferenceData!$AF$186),"")</f>
        <v/>
      </c>
      <c r="AG186" t="str">
        <f ca="1">IFERROR(IF(0=LEN(ReferenceData!$AG$186),"",ReferenceData!$AG$186),"")</f>
        <v/>
      </c>
      <c r="AH186" t="str">
        <f ca="1">IFERROR(IF(0=LEN(ReferenceData!$AH$186),"",ReferenceData!$AH$186),"")</f>
        <v/>
      </c>
      <c r="AI186" t="str">
        <f ca="1">IFERROR(IF(0=LEN(ReferenceData!$AI$186),"",ReferenceData!$AI$186),"")</f>
        <v/>
      </c>
      <c r="AJ186" t="str">
        <f ca="1">IFERROR(IF(0=LEN(ReferenceData!$AJ$186),"",ReferenceData!$AJ$186),"")</f>
        <v/>
      </c>
      <c r="AK186" t="str">
        <f ca="1">IFERROR(IF(0=LEN(ReferenceData!$AK$186),"",ReferenceData!$AK$186),"")</f>
        <v/>
      </c>
      <c r="AL186" t="str">
        <f ca="1">IFERROR(IF(0=LEN(ReferenceData!$AL$186),"",ReferenceData!$AL$186),"")</f>
        <v/>
      </c>
      <c r="AM186" t="str">
        <f ca="1">IFERROR(IF(0=LEN(ReferenceData!$AM$186),"",ReferenceData!$AM$186),"")</f>
        <v/>
      </c>
      <c r="AN186" t="str">
        <f ca="1">IFERROR(IF(0=LEN(ReferenceData!$AN$186),"",ReferenceData!$AN$186),"")</f>
        <v/>
      </c>
      <c r="AO186" t="str">
        <f ca="1">IFERROR(IF(0=LEN(ReferenceData!$AO$186),"",ReferenceData!$AO$186),"")</f>
        <v/>
      </c>
      <c r="AP186" t="str">
        <f ca="1">IFERROR(IF(0=LEN(ReferenceData!$AP$186),"",ReferenceData!$AP$186),"")</f>
        <v/>
      </c>
      <c r="AQ186" t="str">
        <f ca="1">IFERROR(IF(0=LEN(ReferenceData!$AQ$186),"",ReferenceData!$AQ$186),"")</f>
        <v/>
      </c>
      <c r="AR186" t="str">
        <f ca="1">IFERROR(IF(0=LEN(ReferenceData!$AR$186),"",ReferenceData!$AR$186),"")</f>
        <v/>
      </c>
      <c r="AS186" t="str">
        <f ca="1">IFERROR(IF(0=LEN(ReferenceData!$AS$186),"",ReferenceData!$AS$186),"")</f>
        <v/>
      </c>
      <c r="AT186" t="str">
        <f ca="1">IFERROR(IF(0=LEN(ReferenceData!$AT$186),"",ReferenceData!$AT$186),"")</f>
        <v/>
      </c>
      <c r="AU186" t="str">
        <f ca="1">IFERROR(IF(0=LEN(ReferenceData!$AU$186),"",ReferenceData!$AU$186),"")</f>
        <v/>
      </c>
      <c r="AV186" t="str">
        <f ca="1">IFERROR(IF(0=LEN(ReferenceData!$AV$186),"",ReferenceData!$AV$186),"")</f>
        <v/>
      </c>
      <c r="AW186" t="str">
        <f ca="1">IFERROR(IF(0=LEN(ReferenceData!$AW$186),"",ReferenceData!$AW$186),"")</f>
        <v/>
      </c>
      <c r="AX186" t="str">
        <f ca="1">IFERROR(IF(0=LEN(ReferenceData!$AX$186),"",ReferenceData!$AX$186),"")</f>
        <v/>
      </c>
      <c r="AY186" t="str">
        <f ca="1">IFERROR(IF(0=LEN(ReferenceData!$AY$186),"",ReferenceData!$AY$186),"")</f>
        <v/>
      </c>
      <c r="AZ186" t="str">
        <f ca="1">IFERROR(IF(0=LEN(ReferenceData!$AZ$186),"",ReferenceData!$AZ$186),"")</f>
        <v/>
      </c>
      <c r="BA186" t="str">
        <f ca="1">IFERROR(IF(0=LEN(ReferenceData!$BA$186),"",ReferenceData!$BA$186),"")</f>
        <v/>
      </c>
      <c r="BB186" t="str">
        <f ca="1">IFERROR(IF(0=LEN(ReferenceData!$BB$186),"",ReferenceData!$BB$186),"")</f>
        <v/>
      </c>
      <c r="BC186" t="str">
        <f ca="1">IFERROR(IF(0=LEN(ReferenceData!$BC$186),"",ReferenceData!$BC$186),"")</f>
        <v/>
      </c>
      <c r="BD186" t="str">
        <f ca="1">IFERROR(IF(0=LEN(ReferenceData!$BD$186),"",ReferenceData!$BD$186),"")</f>
        <v/>
      </c>
      <c r="BE186" t="str">
        <f ca="1">IFERROR(IF(0=LEN(ReferenceData!$BE$186),"",ReferenceData!$BE$186),"")</f>
        <v/>
      </c>
      <c r="BF186" t="str">
        <f ca="1">IFERROR(IF(0=LEN(ReferenceData!$BF$186),"",ReferenceData!$BF$186),"")</f>
        <v/>
      </c>
      <c r="BG186" t="str">
        <f ca="1">IFERROR(IF(0=LEN(ReferenceData!$BG$186),"",ReferenceData!$BG$186),"")</f>
        <v/>
      </c>
      <c r="BH186" t="str">
        <f ca="1">IFERROR(IF(0=LEN(ReferenceData!$BH$186),"",ReferenceData!$BH$186),"")</f>
        <v/>
      </c>
      <c r="BI186" t="str">
        <f ca="1">IFERROR(IF(0=LEN(ReferenceData!$BI$186),"",ReferenceData!$BI$186),"")</f>
        <v/>
      </c>
      <c r="BJ186" t="str">
        <f ca="1">IFERROR(IF(0=LEN(ReferenceData!$BJ$186),"",ReferenceData!$BJ$186),"")</f>
        <v/>
      </c>
      <c r="BK186" t="str">
        <f ca="1">IFERROR(IF(0=LEN(ReferenceData!$BK$186),"",ReferenceData!$BK$186),"")</f>
        <v/>
      </c>
      <c r="BL186" t="str">
        <f ca="1">IFERROR(IF(0=LEN(ReferenceData!$BL$186),"",ReferenceData!$BL$186),"")</f>
        <v/>
      </c>
      <c r="BM186" t="str">
        <f ca="1">IFERROR(IF(0=LEN(ReferenceData!$BM$186),"",ReferenceData!$BM$186),"")</f>
        <v/>
      </c>
    </row>
    <row r="187" spans="1:65">
      <c r="A187" t="str">
        <f>IFERROR(IF(0=LEN(ReferenceData!$A$187),"",ReferenceData!$A$187),"")</f>
        <v xml:space="preserve">    Realty Income Corp</v>
      </c>
      <c r="B187" t="str">
        <f>IFERROR(IF(0=LEN(ReferenceData!$B$187),"",ReferenceData!$B$187),"")</f>
        <v>O US Equity</v>
      </c>
      <c r="C187" t="str">
        <f>IFERROR(IF(0=LEN(ReferenceData!$C$187),"",ReferenceData!$C$187),"")</f>
        <v>BE592</v>
      </c>
      <c r="D187" t="str">
        <f>IFERROR(IF(0=LEN(ReferenceData!$D$187),"",ReferenceData!$D$187),"")</f>
        <v>BEST_FFOPS_YOY_GTH</v>
      </c>
      <c r="E187" t="str">
        <f>IFERROR(IF(0=LEN(ReferenceData!$E$187),"",ReferenceData!$E$187),"")</f>
        <v>动态</v>
      </c>
      <c r="F187" t="str">
        <f ca="1">IFERROR(IF(0=LEN(ReferenceData!$F$187),"",ReferenceData!$F$187),"")</f>
        <v/>
      </c>
      <c r="G187" t="str">
        <f ca="1">IFERROR(IF(0=LEN(ReferenceData!$G$187),"",ReferenceData!$G$187),"")</f>
        <v/>
      </c>
      <c r="H187" t="str">
        <f ca="1">IFERROR(IF(0=LEN(ReferenceData!$H$187),"",ReferenceData!$H$187),"")</f>
        <v/>
      </c>
      <c r="I187" t="str">
        <f ca="1">IFERROR(IF(0=LEN(ReferenceData!$I$187),"",ReferenceData!$I$187),"")</f>
        <v/>
      </c>
      <c r="J187" t="str">
        <f ca="1">IFERROR(IF(0=LEN(ReferenceData!$J$187),"",ReferenceData!$J$187),"")</f>
        <v/>
      </c>
      <c r="K187" t="str">
        <f ca="1">IFERROR(IF(0=LEN(ReferenceData!$K$187),"",ReferenceData!$K$187),"")</f>
        <v/>
      </c>
      <c r="L187" t="str">
        <f ca="1">IFERROR(IF(0=LEN(ReferenceData!$L$187),"",ReferenceData!$L$187),"")</f>
        <v/>
      </c>
      <c r="M187" t="str">
        <f ca="1">IFERROR(IF(0=LEN(ReferenceData!$M$187),"",ReferenceData!$M$187),"")</f>
        <v/>
      </c>
      <c r="N187" t="str">
        <f ca="1">IFERROR(IF(0=LEN(ReferenceData!$N$187),"",ReferenceData!$N$187),"")</f>
        <v/>
      </c>
      <c r="O187" t="str">
        <f ca="1">IFERROR(IF(0=LEN(ReferenceData!$O$187),"",ReferenceData!$O$187),"")</f>
        <v/>
      </c>
      <c r="P187" t="str">
        <f ca="1">IFERROR(IF(0=LEN(ReferenceData!$P$187),"",ReferenceData!$P$187),"")</f>
        <v/>
      </c>
      <c r="Q187" t="str">
        <f ca="1">IFERROR(IF(0=LEN(ReferenceData!$Q$187),"",ReferenceData!$Q$187),"")</f>
        <v/>
      </c>
      <c r="R187" t="str">
        <f ca="1">IFERROR(IF(0=LEN(ReferenceData!$R$187),"",ReferenceData!$R$187),"")</f>
        <v/>
      </c>
      <c r="S187" t="str">
        <f ca="1">IFERROR(IF(0=LEN(ReferenceData!$S$187),"",ReferenceData!$S$187),"")</f>
        <v/>
      </c>
      <c r="T187" t="str">
        <f ca="1">IFERROR(IF(0=LEN(ReferenceData!$T$187),"",ReferenceData!$T$187),"")</f>
        <v/>
      </c>
      <c r="U187" t="str">
        <f ca="1">IFERROR(IF(0=LEN(ReferenceData!$U$187),"",ReferenceData!$U$187),"")</f>
        <v/>
      </c>
      <c r="V187" t="str">
        <f ca="1">IFERROR(IF(0=LEN(ReferenceData!$V$187),"",ReferenceData!$V$187),"")</f>
        <v/>
      </c>
      <c r="W187" t="str">
        <f ca="1">IFERROR(IF(0=LEN(ReferenceData!$W$187),"",ReferenceData!$W$187),"")</f>
        <v/>
      </c>
      <c r="X187" t="str">
        <f ca="1">IFERROR(IF(0=LEN(ReferenceData!$X$187),"",ReferenceData!$X$187),"")</f>
        <v/>
      </c>
      <c r="Y187" t="str">
        <f ca="1">IFERROR(IF(0=LEN(ReferenceData!$Y$187),"",ReferenceData!$Y$187),"")</f>
        <v/>
      </c>
      <c r="Z187" t="str">
        <f ca="1">IFERROR(IF(0=LEN(ReferenceData!$Z$187),"",ReferenceData!$Z$187),"")</f>
        <v/>
      </c>
      <c r="AA187" t="str">
        <f ca="1">IFERROR(IF(0=LEN(ReferenceData!$AA$187),"",ReferenceData!$AA$187),"")</f>
        <v/>
      </c>
      <c r="AB187" t="str">
        <f ca="1">IFERROR(IF(0=LEN(ReferenceData!$AB$187),"",ReferenceData!$AB$187),"")</f>
        <v/>
      </c>
      <c r="AC187" t="str">
        <f ca="1">IFERROR(IF(0=LEN(ReferenceData!$AC$187),"",ReferenceData!$AC$187),"")</f>
        <v/>
      </c>
      <c r="AD187" t="str">
        <f ca="1">IFERROR(IF(0=LEN(ReferenceData!$AD$187),"",ReferenceData!$AD$187),"")</f>
        <v/>
      </c>
      <c r="AE187" t="str">
        <f ca="1">IFERROR(IF(0=LEN(ReferenceData!$AE$187),"",ReferenceData!$AE$187),"")</f>
        <v/>
      </c>
      <c r="AF187" t="str">
        <f ca="1">IFERROR(IF(0=LEN(ReferenceData!$AF$187),"",ReferenceData!$AF$187),"")</f>
        <v/>
      </c>
      <c r="AG187" t="str">
        <f ca="1">IFERROR(IF(0=LEN(ReferenceData!$AG$187),"",ReferenceData!$AG$187),"")</f>
        <v/>
      </c>
      <c r="AH187" t="str">
        <f ca="1">IFERROR(IF(0=LEN(ReferenceData!$AH$187),"",ReferenceData!$AH$187),"")</f>
        <v/>
      </c>
      <c r="AI187" t="str">
        <f ca="1">IFERROR(IF(0=LEN(ReferenceData!$AI$187),"",ReferenceData!$AI$187),"")</f>
        <v/>
      </c>
      <c r="AJ187" t="str">
        <f ca="1">IFERROR(IF(0=LEN(ReferenceData!$AJ$187),"",ReferenceData!$AJ$187),"")</f>
        <v/>
      </c>
      <c r="AK187" t="str">
        <f ca="1">IFERROR(IF(0=LEN(ReferenceData!$AK$187),"",ReferenceData!$AK$187),"")</f>
        <v/>
      </c>
      <c r="AL187" t="str">
        <f ca="1">IFERROR(IF(0=LEN(ReferenceData!$AL$187),"",ReferenceData!$AL$187),"")</f>
        <v/>
      </c>
      <c r="AM187" t="str">
        <f ca="1">IFERROR(IF(0=LEN(ReferenceData!$AM$187),"",ReferenceData!$AM$187),"")</f>
        <v/>
      </c>
      <c r="AN187" t="str">
        <f ca="1">IFERROR(IF(0=LEN(ReferenceData!$AN$187),"",ReferenceData!$AN$187),"")</f>
        <v/>
      </c>
      <c r="AO187" t="str">
        <f ca="1">IFERROR(IF(0=LEN(ReferenceData!$AO$187),"",ReferenceData!$AO$187),"")</f>
        <v/>
      </c>
      <c r="AP187" t="str">
        <f ca="1">IFERROR(IF(0=LEN(ReferenceData!$AP$187),"",ReferenceData!$AP$187),"")</f>
        <v/>
      </c>
      <c r="AQ187" t="str">
        <f ca="1">IFERROR(IF(0=LEN(ReferenceData!$AQ$187),"",ReferenceData!$AQ$187),"")</f>
        <v/>
      </c>
      <c r="AR187" t="str">
        <f ca="1">IFERROR(IF(0=LEN(ReferenceData!$AR$187),"",ReferenceData!$AR$187),"")</f>
        <v/>
      </c>
      <c r="AS187" t="str">
        <f ca="1">IFERROR(IF(0=LEN(ReferenceData!$AS$187),"",ReferenceData!$AS$187),"")</f>
        <v/>
      </c>
      <c r="AT187" t="str">
        <f ca="1">IFERROR(IF(0=LEN(ReferenceData!$AT$187),"",ReferenceData!$AT$187),"")</f>
        <v/>
      </c>
      <c r="AU187" t="str">
        <f ca="1">IFERROR(IF(0=LEN(ReferenceData!$AU$187),"",ReferenceData!$AU$187),"")</f>
        <v/>
      </c>
      <c r="AV187" t="str">
        <f ca="1">IFERROR(IF(0=LEN(ReferenceData!$AV$187),"",ReferenceData!$AV$187),"")</f>
        <v/>
      </c>
      <c r="AW187" t="str">
        <f ca="1">IFERROR(IF(0=LEN(ReferenceData!$AW$187),"",ReferenceData!$AW$187),"")</f>
        <v/>
      </c>
      <c r="AX187" t="str">
        <f ca="1">IFERROR(IF(0=LEN(ReferenceData!$AX$187),"",ReferenceData!$AX$187),"")</f>
        <v/>
      </c>
      <c r="AY187" t="str">
        <f ca="1">IFERROR(IF(0=LEN(ReferenceData!$AY$187),"",ReferenceData!$AY$187),"")</f>
        <v/>
      </c>
      <c r="AZ187" t="str">
        <f ca="1">IFERROR(IF(0=LEN(ReferenceData!$AZ$187),"",ReferenceData!$AZ$187),"")</f>
        <v/>
      </c>
      <c r="BA187" t="str">
        <f ca="1">IFERROR(IF(0=LEN(ReferenceData!$BA$187),"",ReferenceData!$BA$187),"")</f>
        <v/>
      </c>
      <c r="BB187" t="str">
        <f ca="1">IFERROR(IF(0=LEN(ReferenceData!$BB$187),"",ReferenceData!$BB$187),"")</f>
        <v/>
      </c>
      <c r="BC187" t="str">
        <f ca="1">IFERROR(IF(0=LEN(ReferenceData!$BC$187),"",ReferenceData!$BC$187),"")</f>
        <v/>
      </c>
      <c r="BD187" t="str">
        <f ca="1">IFERROR(IF(0=LEN(ReferenceData!$BD$187),"",ReferenceData!$BD$187),"")</f>
        <v/>
      </c>
      <c r="BE187" t="str">
        <f ca="1">IFERROR(IF(0=LEN(ReferenceData!$BE$187),"",ReferenceData!$BE$187),"")</f>
        <v/>
      </c>
      <c r="BF187" t="str">
        <f ca="1">IFERROR(IF(0=LEN(ReferenceData!$BF$187),"",ReferenceData!$BF$187),"")</f>
        <v/>
      </c>
      <c r="BG187" t="str">
        <f ca="1">IFERROR(IF(0=LEN(ReferenceData!$BG$187),"",ReferenceData!$BG$187),"")</f>
        <v/>
      </c>
      <c r="BH187" t="str">
        <f ca="1">IFERROR(IF(0=LEN(ReferenceData!$BH$187),"",ReferenceData!$BH$187),"")</f>
        <v/>
      </c>
      <c r="BI187" t="str">
        <f ca="1">IFERROR(IF(0=LEN(ReferenceData!$BI$187),"",ReferenceData!$BI$187),"")</f>
        <v/>
      </c>
      <c r="BJ187" t="str">
        <f ca="1">IFERROR(IF(0=LEN(ReferenceData!$BJ$187),"",ReferenceData!$BJ$187),"")</f>
        <v/>
      </c>
      <c r="BK187" t="str">
        <f ca="1">IFERROR(IF(0=LEN(ReferenceData!$BK$187),"",ReferenceData!$BK$187),"")</f>
        <v/>
      </c>
      <c r="BL187" t="str">
        <f ca="1">IFERROR(IF(0=LEN(ReferenceData!$BL$187),"",ReferenceData!$BL$187),"")</f>
        <v/>
      </c>
      <c r="BM187" t="str">
        <f ca="1">IFERROR(IF(0=LEN(ReferenceData!$BM$187),"",ReferenceData!$BM$187),"")</f>
        <v/>
      </c>
    </row>
    <row r="188" spans="1:65">
      <c r="A188" t="str">
        <f>IFERROR(IF(0=LEN(ReferenceData!$A$188),"",ReferenceData!$A$188),"")</f>
        <v xml:space="preserve">    Regency Centers Corp</v>
      </c>
      <c r="B188" t="str">
        <f>IFERROR(IF(0=LEN(ReferenceData!$B$188),"",ReferenceData!$B$188),"")</f>
        <v>REG US Equity</v>
      </c>
      <c r="C188" t="str">
        <f>IFERROR(IF(0=LEN(ReferenceData!$C$188),"",ReferenceData!$C$188),"")</f>
        <v>BE592</v>
      </c>
      <c r="D188" t="str">
        <f>IFERROR(IF(0=LEN(ReferenceData!$D$188),"",ReferenceData!$D$188),"")</f>
        <v>BEST_FFOPS_YOY_GTH</v>
      </c>
      <c r="E188" t="str">
        <f>IFERROR(IF(0=LEN(ReferenceData!$E$188),"",ReferenceData!$E$188),"")</f>
        <v>动态</v>
      </c>
      <c r="F188" t="str">
        <f ca="1">IFERROR(IF(0=LEN(ReferenceData!$F$188),"",ReferenceData!$F$188),"")</f>
        <v/>
      </c>
      <c r="G188" t="str">
        <f ca="1">IFERROR(IF(0=LEN(ReferenceData!$G$188),"",ReferenceData!$G$188),"")</f>
        <v/>
      </c>
      <c r="H188" t="str">
        <f ca="1">IFERROR(IF(0=LEN(ReferenceData!$H$188),"",ReferenceData!$H$188),"")</f>
        <v/>
      </c>
      <c r="I188" t="str">
        <f ca="1">IFERROR(IF(0=LEN(ReferenceData!$I$188),"",ReferenceData!$I$188),"")</f>
        <v/>
      </c>
      <c r="J188" t="str">
        <f ca="1">IFERROR(IF(0=LEN(ReferenceData!$J$188),"",ReferenceData!$J$188),"")</f>
        <v/>
      </c>
      <c r="K188" t="str">
        <f ca="1">IFERROR(IF(0=LEN(ReferenceData!$K$188),"",ReferenceData!$K$188),"")</f>
        <v/>
      </c>
      <c r="L188" t="str">
        <f ca="1">IFERROR(IF(0=LEN(ReferenceData!$L$188),"",ReferenceData!$L$188),"")</f>
        <v/>
      </c>
      <c r="M188" t="str">
        <f ca="1">IFERROR(IF(0=LEN(ReferenceData!$M$188),"",ReferenceData!$M$188),"")</f>
        <v/>
      </c>
      <c r="N188" t="str">
        <f ca="1">IFERROR(IF(0=LEN(ReferenceData!$N$188),"",ReferenceData!$N$188),"")</f>
        <v/>
      </c>
      <c r="O188" t="str">
        <f ca="1">IFERROR(IF(0=LEN(ReferenceData!$O$188),"",ReferenceData!$O$188),"")</f>
        <v/>
      </c>
      <c r="P188" t="str">
        <f ca="1">IFERROR(IF(0=LEN(ReferenceData!$P$188),"",ReferenceData!$P$188),"")</f>
        <v/>
      </c>
      <c r="Q188" t="str">
        <f ca="1">IFERROR(IF(0=LEN(ReferenceData!$Q$188),"",ReferenceData!$Q$188),"")</f>
        <v/>
      </c>
      <c r="R188" t="str">
        <f ca="1">IFERROR(IF(0=LEN(ReferenceData!$R$188),"",ReferenceData!$R$188),"")</f>
        <v/>
      </c>
      <c r="S188" t="str">
        <f ca="1">IFERROR(IF(0=LEN(ReferenceData!$S$188),"",ReferenceData!$S$188),"")</f>
        <v/>
      </c>
      <c r="T188" t="str">
        <f ca="1">IFERROR(IF(0=LEN(ReferenceData!$T$188),"",ReferenceData!$T$188),"")</f>
        <v/>
      </c>
      <c r="U188" t="str">
        <f ca="1">IFERROR(IF(0=LEN(ReferenceData!$U$188),"",ReferenceData!$U$188),"")</f>
        <v/>
      </c>
      <c r="V188" t="str">
        <f ca="1">IFERROR(IF(0=LEN(ReferenceData!$V$188),"",ReferenceData!$V$188),"")</f>
        <v/>
      </c>
      <c r="W188" t="str">
        <f ca="1">IFERROR(IF(0=LEN(ReferenceData!$W$188),"",ReferenceData!$W$188),"")</f>
        <v/>
      </c>
      <c r="X188" t="str">
        <f ca="1">IFERROR(IF(0=LEN(ReferenceData!$X$188),"",ReferenceData!$X$188),"")</f>
        <v/>
      </c>
      <c r="Y188" t="str">
        <f ca="1">IFERROR(IF(0=LEN(ReferenceData!$Y$188),"",ReferenceData!$Y$188),"")</f>
        <v/>
      </c>
      <c r="Z188" t="str">
        <f ca="1">IFERROR(IF(0=LEN(ReferenceData!$Z$188),"",ReferenceData!$Z$188),"")</f>
        <v/>
      </c>
      <c r="AA188" t="str">
        <f ca="1">IFERROR(IF(0=LEN(ReferenceData!$AA$188),"",ReferenceData!$AA$188),"")</f>
        <v/>
      </c>
      <c r="AB188" t="str">
        <f ca="1">IFERROR(IF(0=LEN(ReferenceData!$AB$188),"",ReferenceData!$AB$188),"")</f>
        <v/>
      </c>
      <c r="AC188" t="str">
        <f ca="1">IFERROR(IF(0=LEN(ReferenceData!$AC$188),"",ReferenceData!$AC$188),"")</f>
        <v/>
      </c>
      <c r="AD188" t="str">
        <f ca="1">IFERROR(IF(0=LEN(ReferenceData!$AD$188),"",ReferenceData!$AD$188),"")</f>
        <v/>
      </c>
      <c r="AE188" t="str">
        <f ca="1">IFERROR(IF(0=LEN(ReferenceData!$AE$188),"",ReferenceData!$AE$188),"")</f>
        <v/>
      </c>
      <c r="AF188" t="str">
        <f ca="1">IFERROR(IF(0=LEN(ReferenceData!$AF$188),"",ReferenceData!$AF$188),"")</f>
        <v/>
      </c>
      <c r="AG188" t="str">
        <f ca="1">IFERROR(IF(0=LEN(ReferenceData!$AG$188),"",ReferenceData!$AG$188),"")</f>
        <v/>
      </c>
      <c r="AH188" t="str">
        <f ca="1">IFERROR(IF(0=LEN(ReferenceData!$AH$188),"",ReferenceData!$AH$188),"")</f>
        <v/>
      </c>
      <c r="AI188" t="str">
        <f ca="1">IFERROR(IF(0=LEN(ReferenceData!$AI$188),"",ReferenceData!$AI$188),"")</f>
        <v/>
      </c>
      <c r="AJ188" t="str">
        <f ca="1">IFERROR(IF(0=LEN(ReferenceData!$AJ$188),"",ReferenceData!$AJ$188),"")</f>
        <v/>
      </c>
      <c r="AK188" t="str">
        <f ca="1">IFERROR(IF(0=LEN(ReferenceData!$AK$188),"",ReferenceData!$AK$188),"")</f>
        <v/>
      </c>
      <c r="AL188" t="str">
        <f ca="1">IFERROR(IF(0=LEN(ReferenceData!$AL$188),"",ReferenceData!$AL$188),"")</f>
        <v/>
      </c>
      <c r="AM188" t="str">
        <f ca="1">IFERROR(IF(0=LEN(ReferenceData!$AM$188),"",ReferenceData!$AM$188),"")</f>
        <v/>
      </c>
      <c r="AN188" t="str">
        <f ca="1">IFERROR(IF(0=LEN(ReferenceData!$AN$188),"",ReferenceData!$AN$188),"")</f>
        <v/>
      </c>
      <c r="AO188" t="str">
        <f ca="1">IFERROR(IF(0=LEN(ReferenceData!$AO$188),"",ReferenceData!$AO$188),"")</f>
        <v/>
      </c>
      <c r="AP188" t="str">
        <f ca="1">IFERROR(IF(0=LEN(ReferenceData!$AP$188),"",ReferenceData!$AP$188),"")</f>
        <v/>
      </c>
      <c r="AQ188" t="str">
        <f ca="1">IFERROR(IF(0=LEN(ReferenceData!$AQ$188),"",ReferenceData!$AQ$188),"")</f>
        <v/>
      </c>
      <c r="AR188" t="str">
        <f ca="1">IFERROR(IF(0=LEN(ReferenceData!$AR$188),"",ReferenceData!$AR$188),"")</f>
        <v/>
      </c>
      <c r="AS188" t="str">
        <f ca="1">IFERROR(IF(0=LEN(ReferenceData!$AS$188),"",ReferenceData!$AS$188),"")</f>
        <v/>
      </c>
      <c r="AT188" t="str">
        <f ca="1">IFERROR(IF(0=LEN(ReferenceData!$AT$188),"",ReferenceData!$AT$188),"")</f>
        <v/>
      </c>
      <c r="AU188" t="str">
        <f ca="1">IFERROR(IF(0=LEN(ReferenceData!$AU$188),"",ReferenceData!$AU$188),"")</f>
        <v/>
      </c>
      <c r="AV188" t="str">
        <f ca="1">IFERROR(IF(0=LEN(ReferenceData!$AV$188),"",ReferenceData!$AV$188),"")</f>
        <v/>
      </c>
      <c r="AW188" t="str">
        <f ca="1">IFERROR(IF(0=LEN(ReferenceData!$AW$188),"",ReferenceData!$AW$188),"")</f>
        <v/>
      </c>
      <c r="AX188" t="str">
        <f ca="1">IFERROR(IF(0=LEN(ReferenceData!$AX$188),"",ReferenceData!$AX$188),"")</f>
        <v/>
      </c>
      <c r="AY188" t="str">
        <f ca="1">IFERROR(IF(0=LEN(ReferenceData!$AY$188),"",ReferenceData!$AY$188),"")</f>
        <v/>
      </c>
      <c r="AZ188" t="str">
        <f ca="1">IFERROR(IF(0=LEN(ReferenceData!$AZ$188),"",ReferenceData!$AZ$188),"")</f>
        <v/>
      </c>
      <c r="BA188" t="str">
        <f ca="1">IFERROR(IF(0=LEN(ReferenceData!$BA$188),"",ReferenceData!$BA$188),"")</f>
        <v/>
      </c>
      <c r="BB188" t="str">
        <f ca="1">IFERROR(IF(0=LEN(ReferenceData!$BB$188),"",ReferenceData!$BB$188),"")</f>
        <v/>
      </c>
      <c r="BC188" t="str">
        <f ca="1">IFERROR(IF(0=LEN(ReferenceData!$BC$188),"",ReferenceData!$BC$188),"")</f>
        <v/>
      </c>
      <c r="BD188" t="str">
        <f ca="1">IFERROR(IF(0=LEN(ReferenceData!$BD$188),"",ReferenceData!$BD$188),"")</f>
        <v/>
      </c>
      <c r="BE188" t="str">
        <f ca="1">IFERROR(IF(0=LEN(ReferenceData!$BE$188),"",ReferenceData!$BE$188),"")</f>
        <v/>
      </c>
      <c r="BF188" t="str">
        <f ca="1">IFERROR(IF(0=LEN(ReferenceData!$BF$188),"",ReferenceData!$BF$188),"")</f>
        <v/>
      </c>
      <c r="BG188" t="str">
        <f ca="1">IFERROR(IF(0=LEN(ReferenceData!$BG$188),"",ReferenceData!$BG$188),"")</f>
        <v/>
      </c>
      <c r="BH188" t="str">
        <f ca="1">IFERROR(IF(0=LEN(ReferenceData!$BH$188),"",ReferenceData!$BH$188),"")</f>
        <v/>
      </c>
      <c r="BI188" t="str">
        <f ca="1">IFERROR(IF(0=LEN(ReferenceData!$BI$188),"",ReferenceData!$BI$188),"")</f>
        <v/>
      </c>
      <c r="BJ188" t="str">
        <f ca="1">IFERROR(IF(0=LEN(ReferenceData!$BJ$188),"",ReferenceData!$BJ$188),"")</f>
        <v/>
      </c>
      <c r="BK188" t="str">
        <f ca="1">IFERROR(IF(0=LEN(ReferenceData!$BK$188),"",ReferenceData!$BK$188),"")</f>
        <v/>
      </c>
      <c r="BL188" t="str">
        <f ca="1">IFERROR(IF(0=LEN(ReferenceData!$BL$188),"",ReferenceData!$BL$188),"")</f>
        <v/>
      </c>
      <c r="BM188" t="str">
        <f ca="1">IFERROR(IF(0=LEN(ReferenceData!$BM$188),"",ReferenceData!$BM$188),"")</f>
        <v/>
      </c>
    </row>
    <row r="189" spans="1:65">
      <c r="A189" t="str">
        <f>IFERROR(IF(0=LEN(ReferenceData!$A$189),"",ReferenceData!$A$189),"")</f>
        <v xml:space="preserve">    Retail Opportunity Investments</v>
      </c>
      <c r="B189" t="str">
        <f>IFERROR(IF(0=LEN(ReferenceData!$B$189),"",ReferenceData!$B$189),"")</f>
        <v>ROIC US Equity</v>
      </c>
      <c r="C189" t="str">
        <f>IFERROR(IF(0=LEN(ReferenceData!$C$189),"",ReferenceData!$C$189),"")</f>
        <v>BE592</v>
      </c>
      <c r="D189" t="str">
        <f>IFERROR(IF(0=LEN(ReferenceData!$D$189),"",ReferenceData!$D$189),"")</f>
        <v>BEST_FFOPS_YOY_GTH</v>
      </c>
      <c r="E189" t="str">
        <f>IFERROR(IF(0=LEN(ReferenceData!$E$189),"",ReferenceData!$E$189),"")</f>
        <v>动态</v>
      </c>
      <c r="F189" t="str">
        <f ca="1">IFERROR(IF(0=LEN(ReferenceData!$F$189),"",ReferenceData!$F$189),"")</f>
        <v/>
      </c>
      <c r="G189" t="str">
        <f ca="1">IFERROR(IF(0=LEN(ReferenceData!$G$189),"",ReferenceData!$G$189),"")</f>
        <v/>
      </c>
      <c r="H189" t="str">
        <f ca="1">IFERROR(IF(0=LEN(ReferenceData!$H$189),"",ReferenceData!$H$189),"")</f>
        <v/>
      </c>
      <c r="I189" t="str">
        <f ca="1">IFERROR(IF(0=LEN(ReferenceData!$I$189),"",ReferenceData!$I$189),"")</f>
        <v/>
      </c>
      <c r="J189" t="str">
        <f ca="1">IFERROR(IF(0=LEN(ReferenceData!$J$189),"",ReferenceData!$J$189),"")</f>
        <v/>
      </c>
      <c r="K189" t="str">
        <f ca="1">IFERROR(IF(0=LEN(ReferenceData!$K$189),"",ReferenceData!$K$189),"")</f>
        <v/>
      </c>
      <c r="L189" t="str">
        <f ca="1">IFERROR(IF(0=LEN(ReferenceData!$L$189),"",ReferenceData!$L$189),"")</f>
        <v/>
      </c>
      <c r="M189" t="str">
        <f ca="1">IFERROR(IF(0=LEN(ReferenceData!$M$189),"",ReferenceData!$M$189),"")</f>
        <v/>
      </c>
      <c r="N189" t="str">
        <f ca="1">IFERROR(IF(0=LEN(ReferenceData!$N$189),"",ReferenceData!$N$189),"")</f>
        <v/>
      </c>
      <c r="O189" t="str">
        <f ca="1">IFERROR(IF(0=LEN(ReferenceData!$O$189),"",ReferenceData!$O$189),"")</f>
        <v/>
      </c>
      <c r="P189" t="str">
        <f ca="1">IFERROR(IF(0=LEN(ReferenceData!$P$189),"",ReferenceData!$P$189),"")</f>
        <v/>
      </c>
      <c r="Q189" t="str">
        <f ca="1">IFERROR(IF(0=LEN(ReferenceData!$Q$189),"",ReferenceData!$Q$189),"")</f>
        <v/>
      </c>
      <c r="R189" t="str">
        <f ca="1">IFERROR(IF(0=LEN(ReferenceData!$R$189),"",ReferenceData!$R$189),"")</f>
        <v/>
      </c>
      <c r="S189" t="str">
        <f ca="1">IFERROR(IF(0=LEN(ReferenceData!$S$189),"",ReferenceData!$S$189),"")</f>
        <v/>
      </c>
      <c r="T189" t="str">
        <f ca="1">IFERROR(IF(0=LEN(ReferenceData!$T$189),"",ReferenceData!$T$189),"")</f>
        <v/>
      </c>
      <c r="U189" t="str">
        <f ca="1">IFERROR(IF(0=LEN(ReferenceData!$U$189),"",ReferenceData!$U$189),"")</f>
        <v/>
      </c>
      <c r="V189" t="str">
        <f ca="1">IFERROR(IF(0=LEN(ReferenceData!$V$189),"",ReferenceData!$V$189),"")</f>
        <v/>
      </c>
      <c r="W189" t="str">
        <f ca="1">IFERROR(IF(0=LEN(ReferenceData!$W$189),"",ReferenceData!$W$189),"")</f>
        <v/>
      </c>
      <c r="X189" t="str">
        <f ca="1">IFERROR(IF(0=LEN(ReferenceData!$X$189),"",ReferenceData!$X$189),"")</f>
        <v/>
      </c>
      <c r="Y189" t="str">
        <f ca="1">IFERROR(IF(0=LEN(ReferenceData!$Y$189),"",ReferenceData!$Y$189),"")</f>
        <v/>
      </c>
      <c r="Z189" t="str">
        <f ca="1">IFERROR(IF(0=LEN(ReferenceData!$Z$189),"",ReferenceData!$Z$189),"")</f>
        <v/>
      </c>
      <c r="AA189" t="str">
        <f ca="1">IFERROR(IF(0=LEN(ReferenceData!$AA$189),"",ReferenceData!$AA$189),"")</f>
        <v/>
      </c>
      <c r="AB189" t="str">
        <f ca="1">IFERROR(IF(0=LEN(ReferenceData!$AB$189),"",ReferenceData!$AB$189),"")</f>
        <v/>
      </c>
      <c r="AC189" t="str">
        <f ca="1">IFERROR(IF(0=LEN(ReferenceData!$AC$189),"",ReferenceData!$AC$189),"")</f>
        <v/>
      </c>
      <c r="AD189" t="str">
        <f ca="1">IFERROR(IF(0=LEN(ReferenceData!$AD$189),"",ReferenceData!$AD$189),"")</f>
        <v/>
      </c>
      <c r="AE189" t="str">
        <f ca="1">IFERROR(IF(0=LEN(ReferenceData!$AE$189),"",ReferenceData!$AE$189),"")</f>
        <v/>
      </c>
      <c r="AF189" t="str">
        <f ca="1">IFERROR(IF(0=LEN(ReferenceData!$AF$189),"",ReferenceData!$AF$189),"")</f>
        <v/>
      </c>
      <c r="AG189" t="str">
        <f ca="1">IFERROR(IF(0=LEN(ReferenceData!$AG$189),"",ReferenceData!$AG$189),"")</f>
        <v/>
      </c>
      <c r="AH189" t="str">
        <f ca="1">IFERROR(IF(0=LEN(ReferenceData!$AH$189),"",ReferenceData!$AH$189),"")</f>
        <v/>
      </c>
      <c r="AI189" t="str">
        <f ca="1">IFERROR(IF(0=LEN(ReferenceData!$AI$189),"",ReferenceData!$AI$189),"")</f>
        <v/>
      </c>
      <c r="AJ189" t="str">
        <f ca="1">IFERROR(IF(0=LEN(ReferenceData!$AJ$189),"",ReferenceData!$AJ$189),"")</f>
        <v/>
      </c>
      <c r="AK189" t="str">
        <f ca="1">IFERROR(IF(0=LEN(ReferenceData!$AK$189),"",ReferenceData!$AK$189),"")</f>
        <v/>
      </c>
      <c r="AL189" t="str">
        <f ca="1">IFERROR(IF(0=LEN(ReferenceData!$AL$189),"",ReferenceData!$AL$189),"")</f>
        <v/>
      </c>
      <c r="AM189" t="str">
        <f ca="1">IFERROR(IF(0=LEN(ReferenceData!$AM$189),"",ReferenceData!$AM$189),"")</f>
        <v/>
      </c>
      <c r="AN189" t="str">
        <f ca="1">IFERROR(IF(0=LEN(ReferenceData!$AN$189),"",ReferenceData!$AN$189),"")</f>
        <v/>
      </c>
      <c r="AO189" t="str">
        <f ca="1">IFERROR(IF(0=LEN(ReferenceData!$AO$189),"",ReferenceData!$AO$189),"")</f>
        <v/>
      </c>
      <c r="AP189" t="str">
        <f ca="1">IFERROR(IF(0=LEN(ReferenceData!$AP$189),"",ReferenceData!$AP$189),"")</f>
        <v/>
      </c>
      <c r="AQ189" t="str">
        <f ca="1">IFERROR(IF(0=LEN(ReferenceData!$AQ$189),"",ReferenceData!$AQ$189),"")</f>
        <v/>
      </c>
      <c r="AR189" t="str">
        <f ca="1">IFERROR(IF(0=LEN(ReferenceData!$AR$189),"",ReferenceData!$AR$189),"")</f>
        <v/>
      </c>
      <c r="AS189" t="str">
        <f ca="1">IFERROR(IF(0=LEN(ReferenceData!$AS$189),"",ReferenceData!$AS$189),"")</f>
        <v/>
      </c>
      <c r="AT189" t="str">
        <f ca="1">IFERROR(IF(0=LEN(ReferenceData!$AT$189),"",ReferenceData!$AT$189),"")</f>
        <v/>
      </c>
      <c r="AU189" t="str">
        <f ca="1">IFERROR(IF(0=LEN(ReferenceData!$AU$189),"",ReferenceData!$AU$189),"")</f>
        <v/>
      </c>
      <c r="AV189" t="str">
        <f ca="1">IFERROR(IF(0=LEN(ReferenceData!$AV$189),"",ReferenceData!$AV$189),"")</f>
        <v/>
      </c>
      <c r="AW189" t="str">
        <f ca="1">IFERROR(IF(0=LEN(ReferenceData!$AW$189),"",ReferenceData!$AW$189),"")</f>
        <v/>
      </c>
      <c r="AX189" t="str">
        <f ca="1">IFERROR(IF(0=LEN(ReferenceData!$AX$189),"",ReferenceData!$AX$189),"")</f>
        <v/>
      </c>
      <c r="AY189" t="str">
        <f ca="1">IFERROR(IF(0=LEN(ReferenceData!$AY$189),"",ReferenceData!$AY$189),"")</f>
        <v/>
      </c>
      <c r="AZ189" t="str">
        <f ca="1">IFERROR(IF(0=LEN(ReferenceData!$AZ$189),"",ReferenceData!$AZ$189),"")</f>
        <v/>
      </c>
      <c r="BA189" t="str">
        <f ca="1">IFERROR(IF(0=LEN(ReferenceData!$BA$189),"",ReferenceData!$BA$189),"")</f>
        <v/>
      </c>
      <c r="BB189" t="str">
        <f ca="1">IFERROR(IF(0=LEN(ReferenceData!$BB$189),"",ReferenceData!$BB$189),"")</f>
        <v/>
      </c>
      <c r="BC189" t="str">
        <f ca="1">IFERROR(IF(0=LEN(ReferenceData!$BC$189),"",ReferenceData!$BC$189),"")</f>
        <v/>
      </c>
      <c r="BD189" t="str">
        <f ca="1">IFERROR(IF(0=LEN(ReferenceData!$BD$189),"",ReferenceData!$BD$189),"")</f>
        <v/>
      </c>
      <c r="BE189" t="str">
        <f ca="1">IFERROR(IF(0=LEN(ReferenceData!$BE$189),"",ReferenceData!$BE$189),"")</f>
        <v/>
      </c>
      <c r="BF189" t="str">
        <f ca="1">IFERROR(IF(0=LEN(ReferenceData!$BF$189),"",ReferenceData!$BF$189),"")</f>
        <v/>
      </c>
      <c r="BG189" t="str">
        <f ca="1">IFERROR(IF(0=LEN(ReferenceData!$BG$189),"",ReferenceData!$BG$189),"")</f>
        <v/>
      </c>
      <c r="BH189" t="str">
        <f ca="1">IFERROR(IF(0=LEN(ReferenceData!$BH$189),"",ReferenceData!$BH$189),"")</f>
        <v/>
      </c>
      <c r="BI189" t="str">
        <f ca="1">IFERROR(IF(0=LEN(ReferenceData!$BI$189),"",ReferenceData!$BI$189),"")</f>
        <v/>
      </c>
      <c r="BJ189" t="str">
        <f ca="1">IFERROR(IF(0=LEN(ReferenceData!$BJ$189),"",ReferenceData!$BJ$189),"")</f>
        <v/>
      </c>
      <c r="BK189" t="str">
        <f ca="1">IFERROR(IF(0=LEN(ReferenceData!$BK$189),"",ReferenceData!$BK$189),"")</f>
        <v/>
      </c>
      <c r="BL189" t="str">
        <f ca="1">IFERROR(IF(0=LEN(ReferenceData!$BL$189),"",ReferenceData!$BL$189),"")</f>
        <v/>
      </c>
      <c r="BM189" t="str">
        <f ca="1">IFERROR(IF(0=LEN(ReferenceData!$BM$189),"",ReferenceData!$BM$189),"")</f>
        <v/>
      </c>
    </row>
    <row r="190" spans="1:65">
      <c r="A190" t="str">
        <f>IFERROR(IF(0=LEN(ReferenceData!$A$190),"",ReferenceData!$A$190),"")</f>
        <v xml:space="preserve">    Retail Properties of America I</v>
      </c>
      <c r="B190" t="str">
        <f>IFERROR(IF(0=LEN(ReferenceData!$B$190),"",ReferenceData!$B$190),"")</f>
        <v>RPAI US Equity</v>
      </c>
      <c r="C190" t="str">
        <f>IFERROR(IF(0=LEN(ReferenceData!$C$190),"",ReferenceData!$C$190),"")</f>
        <v>BE592</v>
      </c>
      <c r="D190" t="str">
        <f>IFERROR(IF(0=LEN(ReferenceData!$D$190),"",ReferenceData!$D$190),"")</f>
        <v>BEST_FFOPS_YOY_GTH</v>
      </c>
      <c r="E190" t="str">
        <f>IFERROR(IF(0=LEN(ReferenceData!$E$190),"",ReferenceData!$E$190),"")</f>
        <v>动态</v>
      </c>
      <c r="F190" t="str">
        <f ca="1">IFERROR(IF(0=LEN(ReferenceData!$F$190),"",ReferenceData!$F$190),"")</f>
        <v/>
      </c>
      <c r="G190" t="str">
        <f ca="1">IFERROR(IF(0=LEN(ReferenceData!$G$190),"",ReferenceData!$G$190),"")</f>
        <v/>
      </c>
      <c r="H190" t="str">
        <f ca="1">IFERROR(IF(0=LEN(ReferenceData!$H$190),"",ReferenceData!$H$190),"")</f>
        <v/>
      </c>
      <c r="I190" t="str">
        <f ca="1">IFERROR(IF(0=LEN(ReferenceData!$I$190),"",ReferenceData!$I$190),"")</f>
        <v/>
      </c>
      <c r="J190" t="str">
        <f ca="1">IFERROR(IF(0=LEN(ReferenceData!$J$190),"",ReferenceData!$J$190),"")</f>
        <v/>
      </c>
      <c r="K190" t="str">
        <f ca="1">IFERROR(IF(0=LEN(ReferenceData!$K$190),"",ReferenceData!$K$190),"")</f>
        <v/>
      </c>
      <c r="L190" t="str">
        <f ca="1">IFERROR(IF(0=LEN(ReferenceData!$L$190),"",ReferenceData!$L$190),"")</f>
        <v/>
      </c>
      <c r="M190" t="str">
        <f ca="1">IFERROR(IF(0=LEN(ReferenceData!$M$190),"",ReferenceData!$M$190),"")</f>
        <v/>
      </c>
      <c r="N190" t="str">
        <f ca="1">IFERROR(IF(0=LEN(ReferenceData!$N$190),"",ReferenceData!$N$190),"")</f>
        <v/>
      </c>
      <c r="O190" t="str">
        <f ca="1">IFERROR(IF(0=LEN(ReferenceData!$O$190),"",ReferenceData!$O$190),"")</f>
        <v/>
      </c>
      <c r="P190" t="str">
        <f ca="1">IFERROR(IF(0=LEN(ReferenceData!$P$190),"",ReferenceData!$P$190),"")</f>
        <v/>
      </c>
      <c r="Q190" t="str">
        <f ca="1">IFERROR(IF(0=LEN(ReferenceData!$Q$190),"",ReferenceData!$Q$190),"")</f>
        <v/>
      </c>
      <c r="R190" t="str">
        <f ca="1">IFERROR(IF(0=LEN(ReferenceData!$R$190),"",ReferenceData!$R$190),"")</f>
        <v/>
      </c>
      <c r="S190" t="str">
        <f ca="1">IFERROR(IF(0=LEN(ReferenceData!$S$190),"",ReferenceData!$S$190),"")</f>
        <v/>
      </c>
      <c r="T190" t="str">
        <f ca="1">IFERROR(IF(0=LEN(ReferenceData!$T$190),"",ReferenceData!$T$190),"")</f>
        <v/>
      </c>
      <c r="U190" t="str">
        <f ca="1">IFERROR(IF(0=LEN(ReferenceData!$U$190),"",ReferenceData!$U$190),"")</f>
        <v/>
      </c>
      <c r="V190" t="str">
        <f ca="1">IFERROR(IF(0=LEN(ReferenceData!$V$190),"",ReferenceData!$V$190),"")</f>
        <v/>
      </c>
      <c r="W190" t="str">
        <f ca="1">IFERROR(IF(0=LEN(ReferenceData!$W$190),"",ReferenceData!$W$190),"")</f>
        <v/>
      </c>
      <c r="X190" t="str">
        <f ca="1">IFERROR(IF(0=LEN(ReferenceData!$X$190),"",ReferenceData!$X$190),"")</f>
        <v/>
      </c>
      <c r="Y190" t="str">
        <f ca="1">IFERROR(IF(0=LEN(ReferenceData!$Y$190),"",ReferenceData!$Y$190),"")</f>
        <v/>
      </c>
      <c r="Z190" t="str">
        <f ca="1">IFERROR(IF(0=LEN(ReferenceData!$Z$190),"",ReferenceData!$Z$190),"")</f>
        <v/>
      </c>
      <c r="AA190" t="str">
        <f ca="1">IFERROR(IF(0=LEN(ReferenceData!$AA$190),"",ReferenceData!$AA$190),"")</f>
        <v/>
      </c>
      <c r="AB190" t="str">
        <f ca="1">IFERROR(IF(0=LEN(ReferenceData!$AB$190),"",ReferenceData!$AB$190),"")</f>
        <v/>
      </c>
      <c r="AC190" t="str">
        <f ca="1">IFERROR(IF(0=LEN(ReferenceData!$AC$190),"",ReferenceData!$AC$190),"")</f>
        <v/>
      </c>
      <c r="AD190" t="str">
        <f ca="1">IFERROR(IF(0=LEN(ReferenceData!$AD$190),"",ReferenceData!$AD$190),"")</f>
        <v/>
      </c>
      <c r="AE190" t="str">
        <f ca="1">IFERROR(IF(0=LEN(ReferenceData!$AE$190),"",ReferenceData!$AE$190),"")</f>
        <v/>
      </c>
      <c r="AF190" t="str">
        <f ca="1">IFERROR(IF(0=LEN(ReferenceData!$AF$190),"",ReferenceData!$AF$190),"")</f>
        <v/>
      </c>
      <c r="AG190" t="str">
        <f ca="1">IFERROR(IF(0=LEN(ReferenceData!$AG$190),"",ReferenceData!$AG$190),"")</f>
        <v/>
      </c>
      <c r="AH190" t="str">
        <f ca="1">IFERROR(IF(0=LEN(ReferenceData!$AH$190),"",ReferenceData!$AH$190),"")</f>
        <v/>
      </c>
      <c r="AI190" t="str">
        <f ca="1">IFERROR(IF(0=LEN(ReferenceData!$AI$190),"",ReferenceData!$AI$190),"")</f>
        <v/>
      </c>
      <c r="AJ190" t="str">
        <f ca="1">IFERROR(IF(0=LEN(ReferenceData!$AJ$190),"",ReferenceData!$AJ$190),"")</f>
        <v/>
      </c>
      <c r="AK190" t="str">
        <f ca="1">IFERROR(IF(0=LEN(ReferenceData!$AK$190),"",ReferenceData!$AK$190),"")</f>
        <v/>
      </c>
      <c r="AL190" t="str">
        <f ca="1">IFERROR(IF(0=LEN(ReferenceData!$AL$190),"",ReferenceData!$AL$190),"")</f>
        <v/>
      </c>
      <c r="AM190" t="str">
        <f ca="1">IFERROR(IF(0=LEN(ReferenceData!$AM$190),"",ReferenceData!$AM$190),"")</f>
        <v/>
      </c>
      <c r="AN190" t="str">
        <f ca="1">IFERROR(IF(0=LEN(ReferenceData!$AN$190),"",ReferenceData!$AN$190),"")</f>
        <v/>
      </c>
      <c r="AO190" t="str">
        <f ca="1">IFERROR(IF(0=LEN(ReferenceData!$AO$190),"",ReferenceData!$AO$190),"")</f>
        <v/>
      </c>
      <c r="AP190" t="str">
        <f ca="1">IFERROR(IF(0=LEN(ReferenceData!$AP$190),"",ReferenceData!$AP$190),"")</f>
        <v/>
      </c>
      <c r="AQ190" t="str">
        <f ca="1">IFERROR(IF(0=LEN(ReferenceData!$AQ$190),"",ReferenceData!$AQ$190),"")</f>
        <v/>
      </c>
      <c r="AR190" t="str">
        <f ca="1">IFERROR(IF(0=LEN(ReferenceData!$AR$190),"",ReferenceData!$AR$190),"")</f>
        <v/>
      </c>
      <c r="AS190" t="str">
        <f ca="1">IFERROR(IF(0=LEN(ReferenceData!$AS$190),"",ReferenceData!$AS$190),"")</f>
        <v/>
      </c>
      <c r="AT190" t="str">
        <f ca="1">IFERROR(IF(0=LEN(ReferenceData!$AT$190),"",ReferenceData!$AT$190),"")</f>
        <v/>
      </c>
      <c r="AU190" t="str">
        <f ca="1">IFERROR(IF(0=LEN(ReferenceData!$AU$190),"",ReferenceData!$AU$190),"")</f>
        <v/>
      </c>
      <c r="AV190" t="str">
        <f ca="1">IFERROR(IF(0=LEN(ReferenceData!$AV$190),"",ReferenceData!$AV$190),"")</f>
        <v/>
      </c>
      <c r="AW190" t="str">
        <f ca="1">IFERROR(IF(0=LEN(ReferenceData!$AW$190),"",ReferenceData!$AW$190),"")</f>
        <v/>
      </c>
      <c r="AX190" t="str">
        <f ca="1">IFERROR(IF(0=LEN(ReferenceData!$AX$190),"",ReferenceData!$AX$190),"")</f>
        <v/>
      </c>
      <c r="AY190" t="str">
        <f ca="1">IFERROR(IF(0=LEN(ReferenceData!$AY$190),"",ReferenceData!$AY$190),"")</f>
        <v/>
      </c>
      <c r="AZ190" t="str">
        <f ca="1">IFERROR(IF(0=LEN(ReferenceData!$AZ$190),"",ReferenceData!$AZ$190),"")</f>
        <v/>
      </c>
      <c r="BA190" t="str">
        <f ca="1">IFERROR(IF(0=LEN(ReferenceData!$BA$190),"",ReferenceData!$BA$190),"")</f>
        <v/>
      </c>
      <c r="BB190" t="str">
        <f ca="1">IFERROR(IF(0=LEN(ReferenceData!$BB$190),"",ReferenceData!$BB$190),"")</f>
        <v/>
      </c>
      <c r="BC190" t="str">
        <f ca="1">IFERROR(IF(0=LEN(ReferenceData!$BC$190),"",ReferenceData!$BC$190),"")</f>
        <v/>
      </c>
      <c r="BD190" t="str">
        <f ca="1">IFERROR(IF(0=LEN(ReferenceData!$BD$190),"",ReferenceData!$BD$190),"")</f>
        <v/>
      </c>
      <c r="BE190" t="str">
        <f ca="1">IFERROR(IF(0=LEN(ReferenceData!$BE$190),"",ReferenceData!$BE$190),"")</f>
        <v/>
      </c>
      <c r="BF190" t="str">
        <f ca="1">IFERROR(IF(0=LEN(ReferenceData!$BF$190),"",ReferenceData!$BF$190),"")</f>
        <v/>
      </c>
      <c r="BG190" t="str">
        <f ca="1">IFERROR(IF(0=LEN(ReferenceData!$BG$190),"",ReferenceData!$BG$190),"")</f>
        <v/>
      </c>
      <c r="BH190" t="str">
        <f ca="1">IFERROR(IF(0=LEN(ReferenceData!$BH$190),"",ReferenceData!$BH$190),"")</f>
        <v/>
      </c>
      <c r="BI190" t="str">
        <f ca="1">IFERROR(IF(0=LEN(ReferenceData!$BI$190),"",ReferenceData!$BI$190),"")</f>
        <v/>
      </c>
      <c r="BJ190" t="str">
        <f ca="1">IFERROR(IF(0=LEN(ReferenceData!$BJ$190),"",ReferenceData!$BJ$190),"")</f>
        <v/>
      </c>
      <c r="BK190" t="str">
        <f ca="1">IFERROR(IF(0=LEN(ReferenceData!$BK$190),"",ReferenceData!$BK$190),"")</f>
        <v/>
      </c>
      <c r="BL190" t="str">
        <f ca="1">IFERROR(IF(0=LEN(ReferenceData!$BL$190),"",ReferenceData!$BL$190),"")</f>
        <v/>
      </c>
      <c r="BM190" t="str">
        <f ca="1">IFERROR(IF(0=LEN(ReferenceData!$BM$190),"",ReferenceData!$BM$190),"")</f>
        <v/>
      </c>
    </row>
    <row r="191" spans="1:65">
      <c r="A191" t="str">
        <f>IFERROR(IF(0=LEN(ReferenceData!$A$191),"",ReferenceData!$A$191),"")</f>
        <v xml:space="preserve">    Simon Property Group Inc</v>
      </c>
      <c r="B191" t="str">
        <f>IFERROR(IF(0=LEN(ReferenceData!$B$191),"",ReferenceData!$B$191),"")</f>
        <v>SPG US Equity</v>
      </c>
      <c r="C191" t="str">
        <f>IFERROR(IF(0=LEN(ReferenceData!$C$191),"",ReferenceData!$C$191),"")</f>
        <v>BE592</v>
      </c>
      <c r="D191" t="str">
        <f>IFERROR(IF(0=LEN(ReferenceData!$D$191),"",ReferenceData!$D$191),"")</f>
        <v>BEST_FFOPS_YOY_GTH</v>
      </c>
      <c r="E191" t="str">
        <f>IFERROR(IF(0=LEN(ReferenceData!$E$191),"",ReferenceData!$E$191),"")</f>
        <v>动态</v>
      </c>
      <c r="F191" t="str">
        <f ca="1">IFERROR(IF(0=LEN(ReferenceData!$F$191),"",ReferenceData!$F$191),"")</f>
        <v/>
      </c>
      <c r="G191" t="str">
        <f ca="1">IFERROR(IF(0=LEN(ReferenceData!$G$191),"",ReferenceData!$G$191),"")</f>
        <v/>
      </c>
      <c r="H191" t="str">
        <f ca="1">IFERROR(IF(0=LEN(ReferenceData!$H$191),"",ReferenceData!$H$191),"")</f>
        <v/>
      </c>
      <c r="I191" t="str">
        <f ca="1">IFERROR(IF(0=LEN(ReferenceData!$I$191),"",ReferenceData!$I$191),"")</f>
        <v/>
      </c>
      <c r="J191" t="str">
        <f ca="1">IFERROR(IF(0=LEN(ReferenceData!$J$191),"",ReferenceData!$J$191),"")</f>
        <v/>
      </c>
      <c r="K191" t="str">
        <f ca="1">IFERROR(IF(0=LEN(ReferenceData!$K$191),"",ReferenceData!$K$191),"")</f>
        <v/>
      </c>
      <c r="L191" t="str">
        <f ca="1">IFERROR(IF(0=LEN(ReferenceData!$L$191),"",ReferenceData!$L$191),"")</f>
        <v/>
      </c>
      <c r="M191" t="str">
        <f ca="1">IFERROR(IF(0=LEN(ReferenceData!$M$191),"",ReferenceData!$M$191),"")</f>
        <v/>
      </c>
      <c r="N191" t="str">
        <f ca="1">IFERROR(IF(0=LEN(ReferenceData!$N$191),"",ReferenceData!$N$191),"")</f>
        <v/>
      </c>
      <c r="O191" t="str">
        <f ca="1">IFERROR(IF(0=LEN(ReferenceData!$O$191),"",ReferenceData!$O$191),"")</f>
        <v/>
      </c>
      <c r="P191" t="str">
        <f ca="1">IFERROR(IF(0=LEN(ReferenceData!$P$191),"",ReferenceData!$P$191),"")</f>
        <v/>
      </c>
      <c r="Q191" t="str">
        <f ca="1">IFERROR(IF(0=LEN(ReferenceData!$Q$191),"",ReferenceData!$Q$191),"")</f>
        <v/>
      </c>
      <c r="R191" t="str">
        <f ca="1">IFERROR(IF(0=LEN(ReferenceData!$R$191),"",ReferenceData!$R$191),"")</f>
        <v/>
      </c>
      <c r="S191" t="str">
        <f ca="1">IFERROR(IF(0=LEN(ReferenceData!$S$191),"",ReferenceData!$S$191),"")</f>
        <v/>
      </c>
      <c r="T191" t="str">
        <f ca="1">IFERROR(IF(0=LEN(ReferenceData!$T$191),"",ReferenceData!$T$191),"")</f>
        <v/>
      </c>
      <c r="U191" t="str">
        <f ca="1">IFERROR(IF(0=LEN(ReferenceData!$U$191),"",ReferenceData!$U$191),"")</f>
        <v/>
      </c>
      <c r="V191" t="str">
        <f ca="1">IFERROR(IF(0=LEN(ReferenceData!$V$191),"",ReferenceData!$V$191),"")</f>
        <v/>
      </c>
      <c r="W191" t="str">
        <f ca="1">IFERROR(IF(0=LEN(ReferenceData!$W$191),"",ReferenceData!$W$191),"")</f>
        <v/>
      </c>
      <c r="X191" t="str">
        <f ca="1">IFERROR(IF(0=LEN(ReferenceData!$X$191),"",ReferenceData!$X$191),"")</f>
        <v/>
      </c>
      <c r="Y191" t="str">
        <f ca="1">IFERROR(IF(0=LEN(ReferenceData!$Y$191),"",ReferenceData!$Y$191),"")</f>
        <v/>
      </c>
      <c r="Z191" t="str">
        <f ca="1">IFERROR(IF(0=LEN(ReferenceData!$Z$191),"",ReferenceData!$Z$191),"")</f>
        <v/>
      </c>
      <c r="AA191" t="str">
        <f ca="1">IFERROR(IF(0=LEN(ReferenceData!$AA$191),"",ReferenceData!$AA$191),"")</f>
        <v/>
      </c>
      <c r="AB191" t="str">
        <f ca="1">IFERROR(IF(0=LEN(ReferenceData!$AB$191),"",ReferenceData!$AB$191),"")</f>
        <v/>
      </c>
      <c r="AC191" t="str">
        <f ca="1">IFERROR(IF(0=LEN(ReferenceData!$AC$191),"",ReferenceData!$AC$191),"")</f>
        <v/>
      </c>
      <c r="AD191" t="str">
        <f ca="1">IFERROR(IF(0=LEN(ReferenceData!$AD$191),"",ReferenceData!$AD$191),"")</f>
        <v/>
      </c>
      <c r="AE191" t="str">
        <f ca="1">IFERROR(IF(0=LEN(ReferenceData!$AE$191),"",ReferenceData!$AE$191),"")</f>
        <v/>
      </c>
      <c r="AF191" t="str">
        <f ca="1">IFERROR(IF(0=LEN(ReferenceData!$AF$191),"",ReferenceData!$AF$191),"")</f>
        <v/>
      </c>
      <c r="AG191" t="str">
        <f ca="1">IFERROR(IF(0=LEN(ReferenceData!$AG$191),"",ReferenceData!$AG$191),"")</f>
        <v/>
      </c>
      <c r="AH191" t="str">
        <f ca="1">IFERROR(IF(0=LEN(ReferenceData!$AH$191),"",ReferenceData!$AH$191),"")</f>
        <v/>
      </c>
      <c r="AI191" t="str">
        <f ca="1">IFERROR(IF(0=LEN(ReferenceData!$AI$191),"",ReferenceData!$AI$191),"")</f>
        <v/>
      </c>
      <c r="AJ191" t="str">
        <f ca="1">IFERROR(IF(0=LEN(ReferenceData!$AJ$191),"",ReferenceData!$AJ$191),"")</f>
        <v/>
      </c>
      <c r="AK191" t="str">
        <f ca="1">IFERROR(IF(0=LEN(ReferenceData!$AK$191),"",ReferenceData!$AK$191),"")</f>
        <v/>
      </c>
      <c r="AL191" t="str">
        <f ca="1">IFERROR(IF(0=LEN(ReferenceData!$AL$191),"",ReferenceData!$AL$191),"")</f>
        <v/>
      </c>
      <c r="AM191" t="str">
        <f ca="1">IFERROR(IF(0=LEN(ReferenceData!$AM$191),"",ReferenceData!$AM$191),"")</f>
        <v/>
      </c>
      <c r="AN191" t="str">
        <f ca="1">IFERROR(IF(0=LEN(ReferenceData!$AN$191),"",ReferenceData!$AN$191),"")</f>
        <v/>
      </c>
      <c r="AO191" t="str">
        <f ca="1">IFERROR(IF(0=LEN(ReferenceData!$AO$191),"",ReferenceData!$AO$191),"")</f>
        <v/>
      </c>
      <c r="AP191" t="str">
        <f ca="1">IFERROR(IF(0=LEN(ReferenceData!$AP$191),"",ReferenceData!$AP$191),"")</f>
        <v/>
      </c>
      <c r="AQ191" t="str">
        <f ca="1">IFERROR(IF(0=LEN(ReferenceData!$AQ$191),"",ReferenceData!$AQ$191),"")</f>
        <v/>
      </c>
      <c r="AR191" t="str">
        <f ca="1">IFERROR(IF(0=LEN(ReferenceData!$AR$191),"",ReferenceData!$AR$191),"")</f>
        <v/>
      </c>
      <c r="AS191" t="str">
        <f ca="1">IFERROR(IF(0=LEN(ReferenceData!$AS$191),"",ReferenceData!$AS$191),"")</f>
        <v/>
      </c>
      <c r="AT191" t="str">
        <f ca="1">IFERROR(IF(0=LEN(ReferenceData!$AT$191),"",ReferenceData!$AT$191),"")</f>
        <v/>
      </c>
      <c r="AU191" t="str">
        <f ca="1">IFERROR(IF(0=LEN(ReferenceData!$AU$191),"",ReferenceData!$AU$191),"")</f>
        <v/>
      </c>
      <c r="AV191" t="str">
        <f ca="1">IFERROR(IF(0=LEN(ReferenceData!$AV$191),"",ReferenceData!$AV$191),"")</f>
        <v/>
      </c>
      <c r="AW191" t="str">
        <f ca="1">IFERROR(IF(0=LEN(ReferenceData!$AW$191),"",ReferenceData!$AW$191),"")</f>
        <v/>
      </c>
      <c r="AX191" t="str">
        <f ca="1">IFERROR(IF(0=LEN(ReferenceData!$AX$191),"",ReferenceData!$AX$191),"")</f>
        <v/>
      </c>
      <c r="AY191" t="str">
        <f ca="1">IFERROR(IF(0=LEN(ReferenceData!$AY$191),"",ReferenceData!$AY$191),"")</f>
        <v/>
      </c>
      <c r="AZ191" t="str">
        <f ca="1">IFERROR(IF(0=LEN(ReferenceData!$AZ$191),"",ReferenceData!$AZ$191),"")</f>
        <v/>
      </c>
      <c r="BA191" t="str">
        <f ca="1">IFERROR(IF(0=LEN(ReferenceData!$BA$191),"",ReferenceData!$BA$191),"")</f>
        <v/>
      </c>
      <c r="BB191" t="str">
        <f ca="1">IFERROR(IF(0=LEN(ReferenceData!$BB$191),"",ReferenceData!$BB$191),"")</f>
        <v/>
      </c>
      <c r="BC191" t="str">
        <f ca="1">IFERROR(IF(0=LEN(ReferenceData!$BC$191),"",ReferenceData!$BC$191),"")</f>
        <v/>
      </c>
      <c r="BD191" t="str">
        <f ca="1">IFERROR(IF(0=LEN(ReferenceData!$BD$191),"",ReferenceData!$BD$191),"")</f>
        <v/>
      </c>
      <c r="BE191" t="str">
        <f ca="1">IFERROR(IF(0=LEN(ReferenceData!$BE$191),"",ReferenceData!$BE$191),"")</f>
        <v/>
      </c>
      <c r="BF191" t="str">
        <f ca="1">IFERROR(IF(0=LEN(ReferenceData!$BF$191),"",ReferenceData!$BF$191),"")</f>
        <v/>
      </c>
      <c r="BG191" t="str">
        <f ca="1">IFERROR(IF(0=LEN(ReferenceData!$BG$191),"",ReferenceData!$BG$191),"")</f>
        <v/>
      </c>
      <c r="BH191" t="str">
        <f ca="1">IFERROR(IF(0=LEN(ReferenceData!$BH$191),"",ReferenceData!$BH$191),"")</f>
        <v/>
      </c>
      <c r="BI191" t="str">
        <f ca="1">IFERROR(IF(0=LEN(ReferenceData!$BI$191),"",ReferenceData!$BI$191),"")</f>
        <v/>
      </c>
      <c r="BJ191" t="str">
        <f ca="1">IFERROR(IF(0=LEN(ReferenceData!$BJ$191),"",ReferenceData!$BJ$191),"")</f>
        <v/>
      </c>
      <c r="BK191" t="str">
        <f ca="1">IFERROR(IF(0=LEN(ReferenceData!$BK$191),"",ReferenceData!$BK$191),"")</f>
        <v/>
      </c>
      <c r="BL191" t="str">
        <f ca="1">IFERROR(IF(0=LEN(ReferenceData!$BL$191),"",ReferenceData!$BL$191),"")</f>
        <v/>
      </c>
      <c r="BM191" t="str">
        <f ca="1">IFERROR(IF(0=LEN(ReferenceData!$BM$191),"",ReferenceData!$BM$191),"")</f>
        <v/>
      </c>
    </row>
    <row r="192" spans="1:65">
      <c r="A192" t="str">
        <f>IFERROR(IF(0=LEN(ReferenceData!$A$192),"",ReferenceData!$A$192),"")</f>
        <v xml:space="preserve">    Tanger Factory Outlet Centers</v>
      </c>
      <c r="B192" t="str">
        <f>IFERROR(IF(0=LEN(ReferenceData!$B$192),"",ReferenceData!$B$192),"")</f>
        <v>SKT US Equity</v>
      </c>
      <c r="C192" t="str">
        <f>IFERROR(IF(0=LEN(ReferenceData!$C$192),"",ReferenceData!$C$192),"")</f>
        <v>BE592</v>
      </c>
      <c r="D192" t="str">
        <f>IFERROR(IF(0=LEN(ReferenceData!$D$192),"",ReferenceData!$D$192),"")</f>
        <v>BEST_FFOPS_YOY_GTH</v>
      </c>
      <c r="E192" t="str">
        <f>IFERROR(IF(0=LEN(ReferenceData!$E$192),"",ReferenceData!$E$192),"")</f>
        <v>动态</v>
      </c>
      <c r="F192" t="str">
        <f ca="1">IFERROR(IF(0=LEN(ReferenceData!$F$192),"",ReferenceData!$F$192),"")</f>
        <v/>
      </c>
      <c r="G192" t="str">
        <f ca="1">IFERROR(IF(0=LEN(ReferenceData!$G$192),"",ReferenceData!$G$192),"")</f>
        <v/>
      </c>
      <c r="H192" t="str">
        <f ca="1">IFERROR(IF(0=LEN(ReferenceData!$H$192),"",ReferenceData!$H$192),"")</f>
        <v/>
      </c>
      <c r="I192" t="str">
        <f ca="1">IFERROR(IF(0=LEN(ReferenceData!$I$192),"",ReferenceData!$I$192),"")</f>
        <v/>
      </c>
      <c r="J192" t="str">
        <f ca="1">IFERROR(IF(0=LEN(ReferenceData!$J$192),"",ReferenceData!$J$192),"")</f>
        <v/>
      </c>
      <c r="K192" t="str">
        <f ca="1">IFERROR(IF(0=LEN(ReferenceData!$K$192),"",ReferenceData!$K$192),"")</f>
        <v/>
      </c>
      <c r="L192" t="str">
        <f ca="1">IFERROR(IF(0=LEN(ReferenceData!$L$192),"",ReferenceData!$L$192),"")</f>
        <v/>
      </c>
      <c r="M192" t="str">
        <f ca="1">IFERROR(IF(0=LEN(ReferenceData!$M$192),"",ReferenceData!$M$192),"")</f>
        <v/>
      </c>
      <c r="N192" t="str">
        <f ca="1">IFERROR(IF(0=LEN(ReferenceData!$N$192),"",ReferenceData!$N$192),"")</f>
        <v/>
      </c>
      <c r="O192" t="str">
        <f ca="1">IFERROR(IF(0=LEN(ReferenceData!$O$192),"",ReferenceData!$O$192),"")</f>
        <v/>
      </c>
      <c r="P192" t="str">
        <f ca="1">IFERROR(IF(0=LEN(ReferenceData!$P$192),"",ReferenceData!$P$192),"")</f>
        <v/>
      </c>
      <c r="Q192" t="str">
        <f ca="1">IFERROR(IF(0=LEN(ReferenceData!$Q$192),"",ReferenceData!$Q$192),"")</f>
        <v/>
      </c>
      <c r="R192" t="str">
        <f ca="1">IFERROR(IF(0=LEN(ReferenceData!$R$192),"",ReferenceData!$R$192),"")</f>
        <v/>
      </c>
      <c r="S192" t="str">
        <f ca="1">IFERROR(IF(0=LEN(ReferenceData!$S$192),"",ReferenceData!$S$192),"")</f>
        <v/>
      </c>
      <c r="T192" t="str">
        <f ca="1">IFERROR(IF(0=LEN(ReferenceData!$T$192),"",ReferenceData!$T$192),"")</f>
        <v/>
      </c>
      <c r="U192" t="str">
        <f ca="1">IFERROR(IF(0=LEN(ReferenceData!$U$192),"",ReferenceData!$U$192),"")</f>
        <v/>
      </c>
      <c r="V192" t="str">
        <f ca="1">IFERROR(IF(0=LEN(ReferenceData!$V$192),"",ReferenceData!$V$192),"")</f>
        <v/>
      </c>
      <c r="W192" t="str">
        <f ca="1">IFERROR(IF(0=LEN(ReferenceData!$W$192),"",ReferenceData!$W$192),"")</f>
        <v/>
      </c>
      <c r="X192" t="str">
        <f ca="1">IFERROR(IF(0=LEN(ReferenceData!$X$192),"",ReferenceData!$X$192),"")</f>
        <v/>
      </c>
      <c r="Y192" t="str">
        <f ca="1">IFERROR(IF(0=LEN(ReferenceData!$Y$192),"",ReferenceData!$Y$192),"")</f>
        <v/>
      </c>
      <c r="Z192" t="str">
        <f ca="1">IFERROR(IF(0=LEN(ReferenceData!$Z$192),"",ReferenceData!$Z$192),"")</f>
        <v/>
      </c>
      <c r="AA192" t="str">
        <f ca="1">IFERROR(IF(0=LEN(ReferenceData!$AA$192),"",ReferenceData!$AA$192),"")</f>
        <v/>
      </c>
      <c r="AB192" t="str">
        <f ca="1">IFERROR(IF(0=LEN(ReferenceData!$AB$192),"",ReferenceData!$AB$192),"")</f>
        <v/>
      </c>
      <c r="AC192" t="str">
        <f ca="1">IFERROR(IF(0=LEN(ReferenceData!$AC$192),"",ReferenceData!$AC$192),"")</f>
        <v/>
      </c>
      <c r="AD192" t="str">
        <f ca="1">IFERROR(IF(0=LEN(ReferenceData!$AD$192),"",ReferenceData!$AD$192),"")</f>
        <v/>
      </c>
      <c r="AE192" t="str">
        <f ca="1">IFERROR(IF(0=LEN(ReferenceData!$AE$192),"",ReferenceData!$AE$192),"")</f>
        <v/>
      </c>
      <c r="AF192" t="str">
        <f ca="1">IFERROR(IF(0=LEN(ReferenceData!$AF$192),"",ReferenceData!$AF$192),"")</f>
        <v/>
      </c>
      <c r="AG192" t="str">
        <f ca="1">IFERROR(IF(0=LEN(ReferenceData!$AG$192),"",ReferenceData!$AG$192),"")</f>
        <v/>
      </c>
      <c r="AH192" t="str">
        <f ca="1">IFERROR(IF(0=LEN(ReferenceData!$AH$192),"",ReferenceData!$AH$192),"")</f>
        <v/>
      </c>
      <c r="AI192" t="str">
        <f ca="1">IFERROR(IF(0=LEN(ReferenceData!$AI$192),"",ReferenceData!$AI$192),"")</f>
        <v/>
      </c>
      <c r="AJ192" t="str">
        <f ca="1">IFERROR(IF(0=LEN(ReferenceData!$AJ$192),"",ReferenceData!$AJ$192),"")</f>
        <v/>
      </c>
      <c r="AK192" t="str">
        <f ca="1">IFERROR(IF(0=LEN(ReferenceData!$AK$192),"",ReferenceData!$AK$192),"")</f>
        <v/>
      </c>
      <c r="AL192" t="str">
        <f ca="1">IFERROR(IF(0=LEN(ReferenceData!$AL$192),"",ReferenceData!$AL$192),"")</f>
        <v/>
      </c>
      <c r="AM192" t="str">
        <f ca="1">IFERROR(IF(0=LEN(ReferenceData!$AM$192),"",ReferenceData!$AM$192),"")</f>
        <v/>
      </c>
      <c r="AN192" t="str">
        <f ca="1">IFERROR(IF(0=LEN(ReferenceData!$AN$192),"",ReferenceData!$AN$192),"")</f>
        <v/>
      </c>
      <c r="AO192" t="str">
        <f ca="1">IFERROR(IF(0=LEN(ReferenceData!$AO$192),"",ReferenceData!$AO$192),"")</f>
        <v/>
      </c>
      <c r="AP192" t="str">
        <f ca="1">IFERROR(IF(0=LEN(ReferenceData!$AP$192),"",ReferenceData!$AP$192),"")</f>
        <v/>
      </c>
      <c r="AQ192" t="str">
        <f ca="1">IFERROR(IF(0=LEN(ReferenceData!$AQ$192),"",ReferenceData!$AQ$192),"")</f>
        <v/>
      </c>
      <c r="AR192" t="str">
        <f ca="1">IFERROR(IF(0=LEN(ReferenceData!$AR$192),"",ReferenceData!$AR$192),"")</f>
        <v/>
      </c>
      <c r="AS192" t="str">
        <f ca="1">IFERROR(IF(0=LEN(ReferenceData!$AS$192),"",ReferenceData!$AS$192),"")</f>
        <v/>
      </c>
      <c r="AT192" t="str">
        <f ca="1">IFERROR(IF(0=LEN(ReferenceData!$AT$192),"",ReferenceData!$AT$192),"")</f>
        <v/>
      </c>
      <c r="AU192" t="str">
        <f ca="1">IFERROR(IF(0=LEN(ReferenceData!$AU$192),"",ReferenceData!$AU$192),"")</f>
        <v/>
      </c>
      <c r="AV192" t="str">
        <f ca="1">IFERROR(IF(0=LEN(ReferenceData!$AV$192),"",ReferenceData!$AV$192),"")</f>
        <v/>
      </c>
      <c r="AW192" t="str">
        <f ca="1">IFERROR(IF(0=LEN(ReferenceData!$AW$192),"",ReferenceData!$AW$192),"")</f>
        <v/>
      </c>
      <c r="AX192" t="str">
        <f ca="1">IFERROR(IF(0=LEN(ReferenceData!$AX$192),"",ReferenceData!$AX$192),"")</f>
        <v/>
      </c>
      <c r="AY192" t="str">
        <f ca="1">IFERROR(IF(0=LEN(ReferenceData!$AY$192),"",ReferenceData!$AY$192),"")</f>
        <v/>
      </c>
      <c r="AZ192" t="str">
        <f ca="1">IFERROR(IF(0=LEN(ReferenceData!$AZ$192),"",ReferenceData!$AZ$192),"")</f>
        <v/>
      </c>
      <c r="BA192" t="str">
        <f ca="1">IFERROR(IF(0=LEN(ReferenceData!$BA$192),"",ReferenceData!$BA$192),"")</f>
        <v/>
      </c>
      <c r="BB192" t="str">
        <f ca="1">IFERROR(IF(0=LEN(ReferenceData!$BB$192),"",ReferenceData!$BB$192),"")</f>
        <v/>
      </c>
      <c r="BC192" t="str">
        <f ca="1">IFERROR(IF(0=LEN(ReferenceData!$BC$192),"",ReferenceData!$BC$192),"")</f>
        <v/>
      </c>
      <c r="BD192" t="str">
        <f ca="1">IFERROR(IF(0=LEN(ReferenceData!$BD$192),"",ReferenceData!$BD$192),"")</f>
        <v/>
      </c>
      <c r="BE192" t="str">
        <f ca="1">IFERROR(IF(0=LEN(ReferenceData!$BE$192),"",ReferenceData!$BE$192),"")</f>
        <v/>
      </c>
      <c r="BF192" t="str">
        <f ca="1">IFERROR(IF(0=LEN(ReferenceData!$BF$192),"",ReferenceData!$BF$192),"")</f>
        <v/>
      </c>
      <c r="BG192" t="str">
        <f ca="1">IFERROR(IF(0=LEN(ReferenceData!$BG$192),"",ReferenceData!$BG$192),"")</f>
        <v/>
      </c>
      <c r="BH192" t="str">
        <f ca="1">IFERROR(IF(0=LEN(ReferenceData!$BH$192),"",ReferenceData!$BH$192),"")</f>
        <v/>
      </c>
      <c r="BI192" t="str">
        <f ca="1">IFERROR(IF(0=LEN(ReferenceData!$BI$192),"",ReferenceData!$BI$192),"")</f>
        <v/>
      </c>
      <c r="BJ192" t="str">
        <f ca="1">IFERROR(IF(0=LEN(ReferenceData!$BJ$192),"",ReferenceData!$BJ$192),"")</f>
        <v/>
      </c>
      <c r="BK192" t="str">
        <f ca="1">IFERROR(IF(0=LEN(ReferenceData!$BK$192),"",ReferenceData!$BK$192),"")</f>
        <v/>
      </c>
      <c r="BL192" t="str">
        <f ca="1">IFERROR(IF(0=LEN(ReferenceData!$BL$192),"",ReferenceData!$BL$192),"")</f>
        <v/>
      </c>
      <c r="BM192" t="str">
        <f ca="1">IFERROR(IF(0=LEN(ReferenceData!$BM$192),"",ReferenceData!$BM$192),"")</f>
        <v/>
      </c>
    </row>
    <row r="193" spans="1:65">
      <c r="A193" t="str">
        <f>IFERROR(IF(0=LEN(ReferenceData!$A$193),"",ReferenceData!$A$193),"")</f>
        <v xml:space="preserve">    VEREIT Inc</v>
      </c>
      <c r="B193" t="str">
        <f>IFERROR(IF(0=LEN(ReferenceData!$B$193),"",ReferenceData!$B$193),"")</f>
        <v>VER US Equity</v>
      </c>
      <c r="C193" t="str">
        <f>IFERROR(IF(0=LEN(ReferenceData!$C$193),"",ReferenceData!$C$193),"")</f>
        <v>BE592</v>
      </c>
      <c r="D193" t="str">
        <f>IFERROR(IF(0=LEN(ReferenceData!$D$193),"",ReferenceData!$D$193),"")</f>
        <v>BEST_FFOPS_YOY_GTH</v>
      </c>
      <c r="E193" t="str">
        <f>IFERROR(IF(0=LEN(ReferenceData!$E$193),"",ReferenceData!$E$193),"")</f>
        <v>动态</v>
      </c>
      <c r="F193" t="str">
        <f ca="1">IFERROR(IF(0=LEN(ReferenceData!$F$193),"",ReferenceData!$F$193),"")</f>
        <v/>
      </c>
      <c r="G193" t="str">
        <f ca="1">IFERROR(IF(0=LEN(ReferenceData!$G$193),"",ReferenceData!$G$193),"")</f>
        <v/>
      </c>
      <c r="H193" t="str">
        <f ca="1">IFERROR(IF(0=LEN(ReferenceData!$H$193),"",ReferenceData!$H$193),"")</f>
        <v/>
      </c>
      <c r="I193" t="str">
        <f ca="1">IFERROR(IF(0=LEN(ReferenceData!$I$193),"",ReferenceData!$I$193),"")</f>
        <v/>
      </c>
      <c r="J193" t="str">
        <f ca="1">IFERROR(IF(0=LEN(ReferenceData!$J$193),"",ReferenceData!$J$193),"")</f>
        <v/>
      </c>
      <c r="K193" t="str">
        <f ca="1">IFERROR(IF(0=LEN(ReferenceData!$K$193),"",ReferenceData!$K$193),"")</f>
        <v/>
      </c>
      <c r="L193" t="str">
        <f ca="1">IFERROR(IF(0=LEN(ReferenceData!$L$193),"",ReferenceData!$L$193),"")</f>
        <v/>
      </c>
      <c r="M193" t="str">
        <f ca="1">IFERROR(IF(0=LEN(ReferenceData!$M$193),"",ReferenceData!$M$193),"")</f>
        <v/>
      </c>
      <c r="N193" t="str">
        <f ca="1">IFERROR(IF(0=LEN(ReferenceData!$N$193),"",ReferenceData!$N$193),"")</f>
        <v/>
      </c>
      <c r="O193" t="str">
        <f ca="1">IFERROR(IF(0=LEN(ReferenceData!$O$193),"",ReferenceData!$O$193),"")</f>
        <v/>
      </c>
      <c r="P193" t="str">
        <f ca="1">IFERROR(IF(0=LEN(ReferenceData!$P$193),"",ReferenceData!$P$193),"")</f>
        <v/>
      </c>
      <c r="Q193" t="str">
        <f ca="1">IFERROR(IF(0=LEN(ReferenceData!$Q$193),"",ReferenceData!$Q$193),"")</f>
        <v/>
      </c>
      <c r="R193" t="str">
        <f ca="1">IFERROR(IF(0=LEN(ReferenceData!$R$193),"",ReferenceData!$R$193),"")</f>
        <v/>
      </c>
      <c r="S193" t="str">
        <f ca="1">IFERROR(IF(0=LEN(ReferenceData!$S$193),"",ReferenceData!$S$193),"")</f>
        <v/>
      </c>
      <c r="T193" t="str">
        <f ca="1">IFERROR(IF(0=LEN(ReferenceData!$T$193),"",ReferenceData!$T$193),"")</f>
        <v/>
      </c>
      <c r="U193" t="str">
        <f ca="1">IFERROR(IF(0=LEN(ReferenceData!$U$193),"",ReferenceData!$U$193),"")</f>
        <v/>
      </c>
      <c r="V193" t="str">
        <f ca="1">IFERROR(IF(0=LEN(ReferenceData!$V$193),"",ReferenceData!$V$193),"")</f>
        <v/>
      </c>
      <c r="W193" t="str">
        <f ca="1">IFERROR(IF(0=LEN(ReferenceData!$W$193),"",ReferenceData!$W$193),"")</f>
        <v/>
      </c>
      <c r="X193" t="str">
        <f ca="1">IFERROR(IF(0=LEN(ReferenceData!$X$193),"",ReferenceData!$X$193),"")</f>
        <v/>
      </c>
      <c r="Y193" t="str">
        <f ca="1">IFERROR(IF(0=LEN(ReferenceData!$Y$193),"",ReferenceData!$Y$193),"")</f>
        <v/>
      </c>
      <c r="Z193" t="str">
        <f ca="1">IFERROR(IF(0=LEN(ReferenceData!$Z$193),"",ReferenceData!$Z$193),"")</f>
        <v/>
      </c>
      <c r="AA193" t="str">
        <f ca="1">IFERROR(IF(0=LEN(ReferenceData!$AA$193),"",ReferenceData!$AA$193),"")</f>
        <v/>
      </c>
      <c r="AB193" t="str">
        <f ca="1">IFERROR(IF(0=LEN(ReferenceData!$AB$193),"",ReferenceData!$AB$193),"")</f>
        <v/>
      </c>
      <c r="AC193" t="str">
        <f ca="1">IFERROR(IF(0=LEN(ReferenceData!$AC$193),"",ReferenceData!$AC$193),"")</f>
        <v/>
      </c>
      <c r="AD193" t="str">
        <f ca="1">IFERROR(IF(0=LEN(ReferenceData!$AD$193),"",ReferenceData!$AD$193),"")</f>
        <v/>
      </c>
      <c r="AE193" t="str">
        <f ca="1">IFERROR(IF(0=LEN(ReferenceData!$AE$193),"",ReferenceData!$AE$193),"")</f>
        <v/>
      </c>
      <c r="AF193" t="str">
        <f ca="1">IFERROR(IF(0=LEN(ReferenceData!$AF$193),"",ReferenceData!$AF$193),"")</f>
        <v/>
      </c>
      <c r="AG193" t="str">
        <f ca="1">IFERROR(IF(0=LEN(ReferenceData!$AG$193),"",ReferenceData!$AG$193),"")</f>
        <v/>
      </c>
      <c r="AH193" t="str">
        <f ca="1">IFERROR(IF(0=LEN(ReferenceData!$AH$193),"",ReferenceData!$AH$193),"")</f>
        <v/>
      </c>
      <c r="AI193" t="str">
        <f ca="1">IFERROR(IF(0=LEN(ReferenceData!$AI$193),"",ReferenceData!$AI$193),"")</f>
        <v/>
      </c>
      <c r="AJ193" t="str">
        <f ca="1">IFERROR(IF(0=LEN(ReferenceData!$AJ$193),"",ReferenceData!$AJ$193),"")</f>
        <v/>
      </c>
      <c r="AK193" t="str">
        <f ca="1">IFERROR(IF(0=LEN(ReferenceData!$AK$193),"",ReferenceData!$AK$193),"")</f>
        <v/>
      </c>
      <c r="AL193" t="str">
        <f ca="1">IFERROR(IF(0=LEN(ReferenceData!$AL$193),"",ReferenceData!$AL$193),"")</f>
        <v/>
      </c>
      <c r="AM193" t="str">
        <f ca="1">IFERROR(IF(0=LEN(ReferenceData!$AM$193),"",ReferenceData!$AM$193),"")</f>
        <v/>
      </c>
      <c r="AN193" t="str">
        <f ca="1">IFERROR(IF(0=LEN(ReferenceData!$AN$193),"",ReferenceData!$AN$193),"")</f>
        <v/>
      </c>
      <c r="AO193" t="str">
        <f ca="1">IFERROR(IF(0=LEN(ReferenceData!$AO$193),"",ReferenceData!$AO$193),"")</f>
        <v/>
      </c>
      <c r="AP193" t="str">
        <f ca="1">IFERROR(IF(0=LEN(ReferenceData!$AP$193),"",ReferenceData!$AP$193),"")</f>
        <v/>
      </c>
      <c r="AQ193" t="str">
        <f ca="1">IFERROR(IF(0=LEN(ReferenceData!$AQ$193),"",ReferenceData!$AQ$193),"")</f>
        <v/>
      </c>
      <c r="AR193" t="str">
        <f ca="1">IFERROR(IF(0=LEN(ReferenceData!$AR$193),"",ReferenceData!$AR$193),"")</f>
        <v/>
      </c>
      <c r="AS193" t="str">
        <f ca="1">IFERROR(IF(0=LEN(ReferenceData!$AS$193),"",ReferenceData!$AS$193),"")</f>
        <v/>
      </c>
      <c r="AT193" t="str">
        <f ca="1">IFERROR(IF(0=LEN(ReferenceData!$AT$193),"",ReferenceData!$AT$193),"")</f>
        <v/>
      </c>
      <c r="AU193" t="str">
        <f ca="1">IFERROR(IF(0=LEN(ReferenceData!$AU$193),"",ReferenceData!$AU$193),"")</f>
        <v/>
      </c>
      <c r="AV193" t="str">
        <f ca="1">IFERROR(IF(0=LEN(ReferenceData!$AV$193),"",ReferenceData!$AV$193),"")</f>
        <v/>
      </c>
      <c r="AW193" t="str">
        <f ca="1">IFERROR(IF(0=LEN(ReferenceData!$AW$193),"",ReferenceData!$AW$193),"")</f>
        <v/>
      </c>
      <c r="AX193" t="str">
        <f ca="1">IFERROR(IF(0=LEN(ReferenceData!$AX$193),"",ReferenceData!$AX$193),"")</f>
        <v/>
      </c>
      <c r="AY193" t="str">
        <f ca="1">IFERROR(IF(0=LEN(ReferenceData!$AY$193),"",ReferenceData!$AY$193),"")</f>
        <v/>
      </c>
      <c r="AZ193" t="str">
        <f ca="1">IFERROR(IF(0=LEN(ReferenceData!$AZ$193),"",ReferenceData!$AZ$193),"")</f>
        <v/>
      </c>
      <c r="BA193" t="str">
        <f ca="1">IFERROR(IF(0=LEN(ReferenceData!$BA$193),"",ReferenceData!$BA$193),"")</f>
        <v/>
      </c>
      <c r="BB193" t="str">
        <f ca="1">IFERROR(IF(0=LEN(ReferenceData!$BB$193),"",ReferenceData!$BB$193),"")</f>
        <v/>
      </c>
      <c r="BC193" t="str">
        <f ca="1">IFERROR(IF(0=LEN(ReferenceData!$BC$193),"",ReferenceData!$BC$193),"")</f>
        <v/>
      </c>
      <c r="BD193" t="str">
        <f ca="1">IFERROR(IF(0=LEN(ReferenceData!$BD$193),"",ReferenceData!$BD$193),"")</f>
        <v/>
      </c>
      <c r="BE193" t="str">
        <f ca="1">IFERROR(IF(0=LEN(ReferenceData!$BE$193),"",ReferenceData!$BE$193),"")</f>
        <v/>
      </c>
      <c r="BF193" t="str">
        <f ca="1">IFERROR(IF(0=LEN(ReferenceData!$BF$193),"",ReferenceData!$BF$193),"")</f>
        <v/>
      </c>
      <c r="BG193" t="str">
        <f ca="1">IFERROR(IF(0=LEN(ReferenceData!$BG$193),"",ReferenceData!$BG$193),"")</f>
        <v/>
      </c>
      <c r="BH193" t="str">
        <f ca="1">IFERROR(IF(0=LEN(ReferenceData!$BH$193),"",ReferenceData!$BH$193),"")</f>
        <v/>
      </c>
      <c r="BI193" t="str">
        <f ca="1">IFERROR(IF(0=LEN(ReferenceData!$BI$193),"",ReferenceData!$BI$193),"")</f>
        <v/>
      </c>
      <c r="BJ193" t="str">
        <f ca="1">IFERROR(IF(0=LEN(ReferenceData!$BJ$193),"",ReferenceData!$BJ$193),"")</f>
        <v/>
      </c>
      <c r="BK193" t="str">
        <f ca="1">IFERROR(IF(0=LEN(ReferenceData!$BK$193),"",ReferenceData!$BK$193),"")</f>
        <v/>
      </c>
      <c r="BL193" t="str">
        <f ca="1">IFERROR(IF(0=LEN(ReferenceData!$BL$193),"",ReferenceData!$BL$193),"")</f>
        <v/>
      </c>
      <c r="BM193" t="str">
        <f ca="1">IFERROR(IF(0=LEN(ReferenceData!$BM$193),"",ReferenceData!$BM$193),"")</f>
        <v/>
      </c>
    </row>
    <row r="194" spans="1:65">
      <c r="A194" t="str">
        <f>IFERROR(IF(0=LEN(ReferenceData!$A$194),"",ReferenceData!$A$194),"")</f>
        <v xml:space="preserve">    Washington Prime Group Inc</v>
      </c>
      <c r="B194" t="str">
        <f>IFERROR(IF(0=LEN(ReferenceData!$B$194),"",ReferenceData!$B$194),"")</f>
        <v>WPG US Equity</v>
      </c>
      <c r="C194" t="str">
        <f>IFERROR(IF(0=LEN(ReferenceData!$C$194),"",ReferenceData!$C$194),"")</f>
        <v>BE592</v>
      </c>
      <c r="D194" t="str">
        <f>IFERROR(IF(0=LEN(ReferenceData!$D$194),"",ReferenceData!$D$194),"")</f>
        <v>BEST_FFOPS_YOY_GTH</v>
      </c>
      <c r="E194" t="str">
        <f>IFERROR(IF(0=LEN(ReferenceData!$E$194),"",ReferenceData!$E$194),"")</f>
        <v>动态</v>
      </c>
      <c r="F194" t="str">
        <f ca="1">IFERROR(IF(0=LEN(ReferenceData!$F$194),"",ReferenceData!$F$194),"")</f>
        <v/>
      </c>
      <c r="G194" t="str">
        <f ca="1">IFERROR(IF(0=LEN(ReferenceData!$G$194),"",ReferenceData!$G$194),"")</f>
        <v/>
      </c>
      <c r="H194" t="str">
        <f ca="1">IFERROR(IF(0=LEN(ReferenceData!$H$194),"",ReferenceData!$H$194),"")</f>
        <v/>
      </c>
      <c r="I194" t="str">
        <f ca="1">IFERROR(IF(0=LEN(ReferenceData!$I$194),"",ReferenceData!$I$194),"")</f>
        <v/>
      </c>
      <c r="J194" t="str">
        <f ca="1">IFERROR(IF(0=LEN(ReferenceData!$J$194),"",ReferenceData!$J$194),"")</f>
        <v/>
      </c>
      <c r="K194" t="str">
        <f ca="1">IFERROR(IF(0=LEN(ReferenceData!$K$194),"",ReferenceData!$K$194),"")</f>
        <v/>
      </c>
      <c r="L194" t="str">
        <f ca="1">IFERROR(IF(0=LEN(ReferenceData!$L$194),"",ReferenceData!$L$194),"")</f>
        <v/>
      </c>
      <c r="M194" t="str">
        <f ca="1">IFERROR(IF(0=LEN(ReferenceData!$M$194),"",ReferenceData!$M$194),"")</f>
        <v/>
      </c>
      <c r="N194" t="str">
        <f ca="1">IFERROR(IF(0=LEN(ReferenceData!$N$194),"",ReferenceData!$N$194),"")</f>
        <v/>
      </c>
      <c r="O194" t="str">
        <f ca="1">IFERROR(IF(0=LEN(ReferenceData!$O$194),"",ReferenceData!$O$194),"")</f>
        <v/>
      </c>
      <c r="P194" t="str">
        <f ca="1">IFERROR(IF(0=LEN(ReferenceData!$P$194),"",ReferenceData!$P$194),"")</f>
        <v/>
      </c>
      <c r="Q194" t="str">
        <f ca="1">IFERROR(IF(0=LEN(ReferenceData!$Q$194),"",ReferenceData!$Q$194),"")</f>
        <v/>
      </c>
      <c r="R194" t="str">
        <f ca="1">IFERROR(IF(0=LEN(ReferenceData!$R$194),"",ReferenceData!$R$194),"")</f>
        <v/>
      </c>
      <c r="S194" t="str">
        <f ca="1">IFERROR(IF(0=LEN(ReferenceData!$S$194),"",ReferenceData!$S$194),"")</f>
        <v/>
      </c>
      <c r="T194" t="str">
        <f ca="1">IFERROR(IF(0=LEN(ReferenceData!$T$194),"",ReferenceData!$T$194),"")</f>
        <v/>
      </c>
      <c r="U194" t="str">
        <f ca="1">IFERROR(IF(0=LEN(ReferenceData!$U$194),"",ReferenceData!$U$194),"")</f>
        <v/>
      </c>
      <c r="V194" t="str">
        <f ca="1">IFERROR(IF(0=LEN(ReferenceData!$V$194),"",ReferenceData!$V$194),"")</f>
        <v/>
      </c>
      <c r="W194" t="str">
        <f ca="1">IFERROR(IF(0=LEN(ReferenceData!$W$194),"",ReferenceData!$W$194),"")</f>
        <v/>
      </c>
      <c r="X194" t="str">
        <f ca="1">IFERROR(IF(0=LEN(ReferenceData!$X$194),"",ReferenceData!$X$194),"")</f>
        <v/>
      </c>
      <c r="Y194" t="str">
        <f ca="1">IFERROR(IF(0=LEN(ReferenceData!$Y$194),"",ReferenceData!$Y$194),"")</f>
        <v/>
      </c>
      <c r="Z194" t="str">
        <f ca="1">IFERROR(IF(0=LEN(ReferenceData!$Z$194),"",ReferenceData!$Z$194),"")</f>
        <v/>
      </c>
      <c r="AA194" t="str">
        <f ca="1">IFERROR(IF(0=LEN(ReferenceData!$AA$194),"",ReferenceData!$AA$194),"")</f>
        <v/>
      </c>
      <c r="AB194" t="str">
        <f ca="1">IFERROR(IF(0=LEN(ReferenceData!$AB$194),"",ReferenceData!$AB$194),"")</f>
        <v/>
      </c>
      <c r="AC194" t="str">
        <f ca="1">IFERROR(IF(0=LEN(ReferenceData!$AC$194),"",ReferenceData!$AC$194),"")</f>
        <v/>
      </c>
      <c r="AD194" t="str">
        <f ca="1">IFERROR(IF(0=LEN(ReferenceData!$AD$194),"",ReferenceData!$AD$194),"")</f>
        <v/>
      </c>
      <c r="AE194" t="str">
        <f ca="1">IFERROR(IF(0=LEN(ReferenceData!$AE$194),"",ReferenceData!$AE$194),"")</f>
        <v/>
      </c>
      <c r="AF194" t="str">
        <f ca="1">IFERROR(IF(0=LEN(ReferenceData!$AF$194),"",ReferenceData!$AF$194),"")</f>
        <v/>
      </c>
      <c r="AG194" t="str">
        <f ca="1">IFERROR(IF(0=LEN(ReferenceData!$AG$194),"",ReferenceData!$AG$194),"")</f>
        <v/>
      </c>
      <c r="AH194" t="str">
        <f ca="1">IFERROR(IF(0=LEN(ReferenceData!$AH$194),"",ReferenceData!$AH$194),"")</f>
        <v/>
      </c>
      <c r="AI194" t="str">
        <f ca="1">IFERROR(IF(0=LEN(ReferenceData!$AI$194),"",ReferenceData!$AI$194),"")</f>
        <v/>
      </c>
      <c r="AJ194" t="str">
        <f ca="1">IFERROR(IF(0=LEN(ReferenceData!$AJ$194),"",ReferenceData!$AJ$194),"")</f>
        <v/>
      </c>
      <c r="AK194" t="str">
        <f ca="1">IFERROR(IF(0=LEN(ReferenceData!$AK$194),"",ReferenceData!$AK$194),"")</f>
        <v/>
      </c>
      <c r="AL194" t="str">
        <f ca="1">IFERROR(IF(0=LEN(ReferenceData!$AL$194),"",ReferenceData!$AL$194),"")</f>
        <v/>
      </c>
      <c r="AM194" t="str">
        <f ca="1">IFERROR(IF(0=LEN(ReferenceData!$AM$194),"",ReferenceData!$AM$194),"")</f>
        <v/>
      </c>
      <c r="AN194" t="str">
        <f ca="1">IFERROR(IF(0=LEN(ReferenceData!$AN$194),"",ReferenceData!$AN$194),"")</f>
        <v/>
      </c>
      <c r="AO194" t="str">
        <f ca="1">IFERROR(IF(0=LEN(ReferenceData!$AO$194),"",ReferenceData!$AO$194),"")</f>
        <v/>
      </c>
      <c r="AP194" t="str">
        <f ca="1">IFERROR(IF(0=LEN(ReferenceData!$AP$194),"",ReferenceData!$AP$194),"")</f>
        <v/>
      </c>
      <c r="AQ194" t="str">
        <f ca="1">IFERROR(IF(0=LEN(ReferenceData!$AQ$194),"",ReferenceData!$AQ$194),"")</f>
        <v/>
      </c>
      <c r="AR194" t="str">
        <f ca="1">IFERROR(IF(0=LEN(ReferenceData!$AR$194),"",ReferenceData!$AR$194),"")</f>
        <v/>
      </c>
      <c r="AS194" t="str">
        <f ca="1">IFERROR(IF(0=LEN(ReferenceData!$AS$194),"",ReferenceData!$AS$194),"")</f>
        <v/>
      </c>
      <c r="AT194" t="str">
        <f ca="1">IFERROR(IF(0=LEN(ReferenceData!$AT$194),"",ReferenceData!$AT$194),"")</f>
        <v/>
      </c>
      <c r="AU194" t="str">
        <f ca="1">IFERROR(IF(0=LEN(ReferenceData!$AU$194),"",ReferenceData!$AU$194),"")</f>
        <v/>
      </c>
      <c r="AV194" t="str">
        <f ca="1">IFERROR(IF(0=LEN(ReferenceData!$AV$194),"",ReferenceData!$AV$194),"")</f>
        <v/>
      </c>
      <c r="AW194" t="str">
        <f ca="1">IFERROR(IF(0=LEN(ReferenceData!$AW$194),"",ReferenceData!$AW$194),"")</f>
        <v/>
      </c>
      <c r="AX194" t="str">
        <f ca="1">IFERROR(IF(0=LEN(ReferenceData!$AX$194),"",ReferenceData!$AX$194),"")</f>
        <v/>
      </c>
      <c r="AY194" t="str">
        <f ca="1">IFERROR(IF(0=LEN(ReferenceData!$AY$194),"",ReferenceData!$AY$194),"")</f>
        <v/>
      </c>
      <c r="AZ194" t="str">
        <f ca="1">IFERROR(IF(0=LEN(ReferenceData!$AZ$194),"",ReferenceData!$AZ$194),"")</f>
        <v/>
      </c>
      <c r="BA194" t="str">
        <f ca="1">IFERROR(IF(0=LEN(ReferenceData!$BA$194),"",ReferenceData!$BA$194),"")</f>
        <v/>
      </c>
      <c r="BB194" t="str">
        <f ca="1">IFERROR(IF(0=LEN(ReferenceData!$BB$194),"",ReferenceData!$BB$194),"")</f>
        <v/>
      </c>
      <c r="BC194" t="str">
        <f ca="1">IFERROR(IF(0=LEN(ReferenceData!$BC$194),"",ReferenceData!$BC$194),"")</f>
        <v/>
      </c>
      <c r="BD194" t="str">
        <f ca="1">IFERROR(IF(0=LEN(ReferenceData!$BD$194),"",ReferenceData!$BD$194),"")</f>
        <v/>
      </c>
      <c r="BE194" t="str">
        <f ca="1">IFERROR(IF(0=LEN(ReferenceData!$BE$194),"",ReferenceData!$BE$194),"")</f>
        <v/>
      </c>
      <c r="BF194" t="str">
        <f ca="1">IFERROR(IF(0=LEN(ReferenceData!$BF$194),"",ReferenceData!$BF$194),"")</f>
        <v/>
      </c>
      <c r="BG194" t="str">
        <f ca="1">IFERROR(IF(0=LEN(ReferenceData!$BG$194),"",ReferenceData!$BG$194),"")</f>
        <v/>
      </c>
      <c r="BH194" t="str">
        <f ca="1">IFERROR(IF(0=LEN(ReferenceData!$BH$194),"",ReferenceData!$BH$194),"")</f>
        <v/>
      </c>
      <c r="BI194" t="str">
        <f ca="1">IFERROR(IF(0=LEN(ReferenceData!$BI$194),"",ReferenceData!$BI$194),"")</f>
        <v/>
      </c>
      <c r="BJ194" t="str">
        <f ca="1">IFERROR(IF(0=LEN(ReferenceData!$BJ$194),"",ReferenceData!$BJ$194),"")</f>
        <v/>
      </c>
      <c r="BK194" t="str">
        <f ca="1">IFERROR(IF(0=LEN(ReferenceData!$BK$194),"",ReferenceData!$BK$194),"")</f>
        <v/>
      </c>
      <c r="BL194" t="str">
        <f ca="1">IFERROR(IF(0=LEN(ReferenceData!$BL$194),"",ReferenceData!$BL$194),"")</f>
        <v/>
      </c>
      <c r="BM194" t="str">
        <f ca="1">IFERROR(IF(0=LEN(ReferenceData!$BM$194),"",ReferenceData!$BM$194),"")</f>
        <v/>
      </c>
    </row>
    <row r="195" spans="1:65">
      <c r="A195" t="str">
        <f>IFERROR(IF(0=LEN(ReferenceData!$A$195),"",ReferenceData!$A$195),"")</f>
        <v xml:space="preserve">    Weingarten Realty Investors</v>
      </c>
      <c r="B195" t="str">
        <f>IFERROR(IF(0=LEN(ReferenceData!$B$195),"",ReferenceData!$B$195),"")</f>
        <v>WRI US Equity</v>
      </c>
      <c r="C195" t="str">
        <f>IFERROR(IF(0=LEN(ReferenceData!$C$195),"",ReferenceData!$C$195),"")</f>
        <v>BE592</v>
      </c>
      <c r="D195" t="str">
        <f>IFERROR(IF(0=LEN(ReferenceData!$D$195),"",ReferenceData!$D$195),"")</f>
        <v>BEST_FFOPS_YOY_GTH</v>
      </c>
      <c r="E195" t="str">
        <f>IFERROR(IF(0=LEN(ReferenceData!$E$195),"",ReferenceData!$E$195),"")</f>
        <v>动态</v>
      </c>
      <c r="F195" t="str">
        <f ca="1">IFERROR(IF(0=LEN(ReferenceData!$F$195),"",ReferenceData!$F$195),"")</f>
        <v/>
      </c>
      <c r="G195" t="str">
        <f ca="1">IFERROR(IF(0=LEN(ReferenceData!$G$195),"",ReferenceData!$G$195),"")</f>
        <v/>
      </c>
      <c r="H195" t="str">
        <f ca="1">IFERROR(IF(0=LEN(ReferenceData!$H$195),"",ReferenceData!$H$195),"")</f>
        <v/>
      </c>
      <c r="I195" t="str">
        <f ca="1">IFERROR(IF(0=LEN(ReferenceData!$I$195),"",ReferenceData!$I$195),"")</f>
        <v/>
      </c>
      <c r="J195" t="str">
        <f ca="1">IFERROR(IF(0=LEN(ReferenceData!$J$195),"",ReferenceData!$J$195),"")</f>
        <v/>
      </c>
      <c r="K195" t="str">
        <f ca="1">IFERROR(IF(0=LEN(ReferenceData!$K$195),"",ReferenceData!$K$195),"")</f>
        <v/>
      </c>
      <c r="L195" t="str">
        <f ca="1">IFERROR(IF(0=LEN(ReferenceData!$L$195),"",ReferenceData!$L$195),"")</f>
        <v/>
      </c>
      <c r="M195" t="str">
        <f ca="1">IFERROR(IF(0=LEN(ReferenceData!$M$195),"",ReferenceData!$M$195),"")</f>
        <v/>
      </c>
      <c r="N195" t="str">
        <f ca="1">IFERROR(IF(0=LEN(ReferenceData!$N$195),"",ReferenceData!$N$195),"")</f>
        <v/>
      </c>
      <c r="O195" t="str">
        <f ca="1">IFERROR(IF(0=LEN(ReferenceData!$O$195),"",ReferenceData!$O$195),"")</f>
        <v/>
      </c>
      <c r="P195" t="str">
        <f ca="1">IFERROR(IF(0=LEN(ReferenceData!$P$195),"",ReferenceData!$P$195),"")</f>
        <v/>
      </c>
      <c r="Q195" t="str">
        <f ca="1">IFERROR(IF(0=LEN(ReferenceData!$Q$195),"",ReferenceData!$Q$195),"")</f>
        <v/>
      </c>
      <c r="R195" t="str">
        <f ca="1">IFERROR(IF(0=LEN(ReferenceData!$R$195),"",ReferenceData!$R$195),"")</f>
        <v/>
      </c>
      <c r="S195" t="str">
        <f ca="1">IFERROR(IF(0=LEN(ReferenceData!$S$195),"",ReferenceData!$S$195),"")</f>
        <v/>
      </c>
      <c r="T195" t="str">
        <f ca="1">IFERROR(IF(0=LEN(ReferenceData!$T$195),"",ReferenceData!$T$195),"")</f>
        <v/>
      </c>
      <c r="U195" t="str">
        <f ca="1">IFERROR(IF(0=LEN(ReferenceData!$U$195),"",ReferenceData!$U$195),"")</f>
        <v/>
      </c>
      <c r="V195" t="str">
        <f ca="1">IFERROR(IF(0=LEN(ReferenceData!$V$195),"",ReferenceData!$V$195),"")</f>
        <v/>
      </c>
      <c r="W195" t="str">
        <f ca="1">IFERROR(IF(0=LEN(ReferenceData!$W$195),"",ReferenceData!$W$195),"")</f>
        <v/>
      </c>
      <c r="X195" t="str">
        <f ca="1">IFERROR(IF(0=LEN(ReferenceData!$X$195),"",ReferenceData!$X$195),"")</f>
        <v/>
      </c>
      <c r="Y195" t="str">
        <f ca="1">IFERROR(IF(0=LEN(ReferenceData!$Y$195),"",ReferenceData!$Y$195),"")</f>
        <v/>
      </c>
      <c r="Z195" t="str">
        <f ca="1">IFERROR(IF(0=LEN(ReferenceData!$Z$195),"",ReferenceData!$Z$195),"")</f>
        <v/>
      </c>
      <c r="AA195" t="str">
        <f ca="1">IFERROR(IF(0=LEN(ReferenceData!$AA$195),"",ReferenceData!$AA$195),"")</f>
        <v/>
      </c>
      <c r="AB195" t="str">
        <f ca="1">IFERROR(IF(0=LEN(ReferenceData!$AB$195),"",ReferenceData!$AB$195),"")</f>
        <v/>
      </c>
      <c r="AC195" t="str">
        <f ca="1">IFERROR(IF(0=LEN(ReferenceData!$AC$195),"",ReferenceData!$AC$195),"")</f>
        <v/>
      </c>
      <c r="AD195" t="str">
        <f ca="1">IFERROR(IF(0=LEN(ReferenceData!$AD$195),"",ReferenceData!$AD$195),"")</f>
        <v/>
      </c>
      <c r="AE195" t="str">
        <f ca="1">IFERROR(IF(0=LEN(ReferenceData!$AE$195),"",ReferenceData!$AE$195),"")</f>
        <v/>
      </c>
      <c r="AF195" t="str">
        <f ca="1">IFERROR(IF(0=LEN(ReferenceData!$AF$195),"",ReferenceData!$AF$195),"")</f>
        <v/>
      </c>
      <c r="AG195" t="str">
        <f ca="1">IFERROR(IF(0=LEN(ReferenceData!$AG$195),"",ReferenceData!$AG$195),"")</f>
        <v/>
      </c>
      <c r="AH195" t="str">
        <f ca="1">IFERROR(IF(0=LEN(ReferenceData!$AH$195),"",ReferenceData!$AH$195),"")</f>
        <v/>
      </c>
      <c r="AI195" t="str">
        <f ca="1">IFERROR(IF(0=LEN(ReferenceData!$AI$195),"",ReferenceData!$AI$195),"")</f>
        <v/>
      </c>
      <c r="AJ195" t="str">
        <f ca="1">IFERROR(IF(0=LEN(ReferenceData!$AJ$195),"",ReferenceData!$AJ$195),"")</f>
        <v/>
      </c>
      <c r="AK195" t="str">
        <f ca="1">IFERROR(IF(0=LEN(ReferenceData!$AK$195),"",ReferenceData!$AK$195),"")</f>
        <v/>
      </c>
      <c r="AL195" t="str">
        <f ca="1">IFERROR(IF(0=LEN(ReferenceData!$AL$195),"",ReferenceData!$AL$195),"")</f>
        <v/>
      </c>
      <c r="AM195" t="str">
        <f ca="1">IFERROR(IF(0=LEN(ReferenceData!$AM$195),"",ReferenceData!$AM$195),"")</f>
        <v/>
      </c>
      <c r="AN195" t="str">
        <f ca="1">IFERROR(IF(0=LEN(ReferenceData!$AN$195),"",ReferenceData!$AN$195),"")</f>
        <v/>
      </c>
      <c r="AO195" t="str">
        <f ca="1">IFERROR(IF(0=LEN(ReferenceData!$AO$195),"",ReferenceData!$AO$195),"")</f>
        <v/>
      </c>
      <c r="AP195" t="str">
        <f ca="1">IFERROR(IF(0=LEN(ReferenceData!$AP$195),"",ReferenceData!$AP$195),"")</f>
        <v/>
      </c>
      <c r="AQ195" t="str">
        <f ca="1">IFERROR(IF(0=LEN(ReferenceData!$AQ$195),"",ReferenceData!$AQ$195),"")</f>
        <v/>
      </c>
      <c r="AR195" t="str">
        <f ca="1">IFERROR(IF(0=LEN(ReferenceData!$AR$195),"",ReferenceData!$AR$195),"")</f>
        <v/>
      </c>
      <c r="AS195" t="str">
        <f ca="1">IFERROR(IF(0=LEN(ReferenceData!$AS$195),"",ReferenceData!$AS$195),"")</f>
        <v/>
      </c>
      <c r="AT195" t="str">
        <f ca="1">IFERROR(IF(0=LEN(ReferenceData!$AT$195),"",ReferenceData!$AT$195),"")</f>
        <v/>
      </c>
      <c r="AU195" t="str">
        <f ca="1">IFERROR(IF(0=LEN(ReferenceData!$AU$195),"",ReferenceData!$AU$195),"")</f>
        <v/>
      </c>
      <c r="AV195" t="str">
        <f ca="1">IFERROR(IF(0=LEN(ReferenceData!$AV$195),"",ReferenceData!$AV$195),"")</f>
        <v/>
      </c>
      <c r="AW195" t="str">
        <f ca="1">IFERROR(IF(0=LEN(ReferenceData!$AW$195),"",ReferenceData!$AW$195),"")</f>
        <v/>
      </c>
      <c r="AX195" t="str">
        <f ca="1">IFERROR(IF(0=LEN(ReferenceData!$AX$195),"",ReferenceData!$AX$195),"")</f>
        <v/>
      </c>
      <c r="AY195" t="str">
        <f ca="1">IFERROR(IF(0=LEN(ReferenceData!$AY$195),"",ReferenceData!$AY$195),"")</f>
        <v/>
      </c>
      <c r="AZ195" t="str">
        <f ca="1">IFERROR(IF(0=LEN(ReferenceData!$AZ$195),"",ReferenceData!$AZ$195),"")</f>
        <v/>
      </c>
      <c r="BA195" t="str">
        <f ca="1">IFERROR(IF(0=LEN(ReferenceData!$BA$195),"",ReferenceData!$BA$195),"")</f>
        <v/>
      </c>
      <c r="BB195" t="str">
        <f ca="1">IFERROR(IF(0=LEN(ReferenceData!$BB$195),"",ReferenceData!$BB$195),"")</f>
        <v/>
      </c>
      <c r="BC195" t="str">
        <f ca="1">IFERROR(IF(0=LEN(ReferenceData!$BC$195),"",ReferenceData!$BC$195),"")</f>
        <v/>
      </c>
      <c r="BD195" t="str">
        <f ca="1">IFERROR(IF(0=LEN(ReferenceData!$BD$195),"",ReferenceData!$BD$195),"")</f>
        <v/>
      </c>
      <c r="BE195" t="str">
        <f ca="1">IFERROR(IF(0=LEN(ReferenceData!$BE$195),"",ReferenceData!$BE$195),"")</f>
        <v/>
      </c>
      <c r="BF195" t="str">
        <f ca="1">IFERROR(IF(0=LEN(ReferenceData!$BF$195),"",ReferenceData!$BF$195),"")</f>
        <v/>
      </c>
      <c r="BG195" t="str">
        <f ca="1">IFERROR(IF(0=LEN(ReferenceData!$BG$195),"",ReferenceData!$BG$195),"")</f>
        <v/>
      </c>
      <c r="BH195" t="str">
        <f ca="1">IFERROR(IF(0=LEN(ReferenceData!$BH$195),"",ReferenceData!$BH$195),"")</f>
        <v/>
      </c>
      <c r="BI195" t="str">
        <f ca="1">IFERROR(IF(0=LEN(ReferenceData!$BI$195),"",ReferenceData!$BI$195),"")</f>
        <v/>
      </c>
      <c r="BJ195" t="str">
        <f ca="1">IFERROR(IF(0=LEN(ReferenceData!$BJ$195),"",ReferenceData!$BJ$195),"")</f>
        <v/>
      </c>
      <c r="BK195" t="str">
        <f ca="1">IFERROR(IF(0=LEN(ReferenceData!$BK$195),"",ReferenceData!$BK$195),"")</f>
        <v/>
      </c>
      <c r="BL195" t="str">
        <f ca="1">IFERROR(IF(0=LEN(ReferenceData!$BL$195),"",ReferenceData!$BL$195),"")</f>
        <v/>
      </c>
      <c r="BM195" t="str">
        <f ca="1">IFERROR(IF(0=LEN(ReferenceData!$BM$195),"",ReferenceData!$BM$195),"")</f>
        <v/>
      </c>
    </row>
    <row r="196" spans="1:65">
      <c r="A196" t="str">
        <f>IFERROR(IF(0=LEN(ReferenceData!$A$196),"",ReferenceData!$A$196),"")</f>
        <v>EBITDA利润率(%)</v>
      </c>
      <c r="B196" t="str">
        <f>IFERROR(IF(0=LEN(ReferenceData!$B$196),"",ReferenceData!$B$196),"")</f>
        <v/>
      </c>
      <c r="C196" t="str">
        <f>IFERROR(IF(0=LEN(ReferenceData!$C$196),"",ReferenceData!$C$196),"")</f>
        <v/>
      </c>
      <c r="D196" t="str">
        <f>IFERROR(IF(0=LEN(ReferenceData!$D$196),"",ReferenceData!$D$196),"")</f>
        <v/>
      </c>
      <c r="E196" t="str">
        <f>IFERROR(IF(0=LEN(ReferenceData!$E$196),"",ReferenceData!$E$196),"")</f>
        <v>Median</v>
      </c>
      <c r="F196" t="str">
        <f ca="1">IFERROR(IF(0=LEN(ReferenceData!$F$196),"",ReferenceData!$F$196),"")</f>
        <v/>
      </c>
      <c r="G196">
        <f ca="1">IFERROR(IF(0=LEN(ReferenceData!$G$196),"",ReferenceData!$G$196),"")</f>
        <v>63.167751330000002</v>
      </c>
      <c r="H196">
        <f ca="1">IFERROR(IF(0=LEN(ReferenceData!$H$196),"",ReferenceData!$H$196),"")</f>
        <v>63.859994229999998</v>
      </c>
      <c r="I196">
        <f ca="1">IFERROR(IF(0=LEN(ReferenceData!$I$196),"",ReferenceData!$I$196),"")</f>
        <v>62.750388639999997</v>
      </c>
      <c r="J196">
        <f ca="1">IFERROR(IF(0=LEN(ReferenceData!$J$196),"",ReferenceData!$J$196),"")</f>
        <v>62.915037400000003</v>
      </c>
      <c r="K196">
        <f ca="1">IFERROR(IF(0=LEN(ReferenceData!$K$196),"",ReferenceData!$K$196),"")</f>
        <v>64.168266290000005</v>
      </c>
      <c r="L196">
        <f ca="1">IFERROR(IF(0=LEN(ReferenceData!$L$196),"",ReferenceData!$L$196),"")</f>
        <v>64.158115620000004</v>
      </c>
      <c r="M196">
        <f ca="1">IFERROR(IF(0=LEN(ReferenceData!$M$196),"",ReferenceData!$M$196),"")</f>
        <v>64.8831615</v>
      </c>
      <c r="N196">
        <f ca="1">IFERROR(IF(0=LEN(ReferenceData!$N$196),"",ReferenceData!$N$196),"")</f>
        <v>62.881155970000002</v>
      </c>
      <c r="O196">
        <f ca="1">IFERROR(IF(0=LEN(ReferenceData!$O$196),"",ReferenceData!$O$196),"")</f>
        <v>61.740863949999998</v>
      </c>
      <c r="P196">
        <f ca="1">IFERROR(IF(0=LEN(ReferenceData!$P$196),"",ReferenceData!$P$196),"")</f>
        <v>64.631808190000001</v>
      </c>
      <c r="Q196">
        <f ca="1">IFERROR(IF(0=LEN(ReferenceData!$Q$196),"",ReferenceData!$Q$196),"")</f>
        <v>63.820956539999997</v>
      </c>
      <c r="R196">
        <f ca="1">IFERROR(IF(0=LEN(ReferenceData!$R$196),"",ReferenceData!$R$196),"")</f>
        <v>61.75448145</v>
      </c>
      <c r="S196">
        <f ca="1">IFERROR(IF(0=LEN(ReferenceData!$S$196),"",ReferenceData!$S$196),"")</f>
        <v>63.507255129999997</v>
      </c>
      <c r="T196">
        <f ca="1">IFERROR(IF(0=LEN(ReferenceData!$T$196),"",ReferenceData!$T$196),"")</f>
        <v>64.957303999999993</v>
      </c>
      <c r="U196">
        <f ca="1">IFERROR(IF(0=LEN(ReferenceData!$U$196),"",ReferenceData!$U$196),"")</f>
        <v>64.592022490000005</v>
      </c>
      <c r="V196">
        <f ca="1">IFERROR(IF(0=LEN(ReferenceData!$V$196),"",ReferenceData!$V$196),"")</f>
        <v>63.275298710000001</v>
      </c>
      <c r="W196">
        <f ca="1">IFERROR(IF(0=LEN(ReferenceData!$W$196),"",ReferenceData!$W$196),"")</f>
        <v>62.448340340000001</v>
      </c>
      <c r="X196">
        <f ca="1">IFERROR(IF(0=LEN(ReferenceData!$X$196),"",ReferenceData!$X$196),"")</f>
        <v>60.890789290000001</v>
      </c>
      <c r="Y196">
        <f ca="1">IFERROR(IF(0=LEN(ReferenceData!$Y$196),"",ReferenceData!$Y$196),"")</f>
        <v>62.909836780000006</v>
      </c>
      <c r="Z196">
        <f ca="1">IFERROR(IF(0=LEN(ReferenceData!$Z$196),"",ReferenceData!$Z$196),"")</f>
        <v>62.913070325</v>
      </c>
      <c r="AA196">
        <f ca="1">IFERROR(IF(0=LEN(ReferenceData!$AA$196),"",ReferenceData!$AA$196),"")</f>
        <v>61.390099755000001</v>
      </c>
      <c r="AB196">
        <f ca="1">IFERROR(IF(0=LEN(ReferenceData!$AB$196),"",ReferenceData!$AB$196),"")</f>
        <v>63.472444084999999</v>
      </c>
      <c r="AC196">
        <f ca="1">IFERROR(IF(0=LEN(ReferenceData!$AC$196),"",ReferenceData!$AC$196),"")</f>
        <v>63.738350220000001</v>
      </c>
      <c r="AD196">
        <f ca="1">IFERROR(IF(0=LEN(ReferenceData!$AD$196),"",ReferenceData!$AD$196),"")</f>
        <v>60.701069930000003</v>
      </c>
      <c r="AE196">
        <f ca="1">IFERROR(IF(0=LEN(ReferenceData!$AE$196),"",ReferenceData!$AE$196),"")</f>
        <v>62.557301330000001</v>
      </c>
      <c r="AF196">
        <f ca="1">IFERROR(IF(0=LEN(ReferenceData!$AF$196),"",ReferenceData!$AF$196),"")</f>
        <v>59.033191979999998</v>
      </c>
      <c r="AG196">
        <f ca="1">IFERROR(IF(0=LEN(ReferenceData!$AG$196),"",ReferenceData!$AG$196),"")</f>
        <v>63.10618084</v>
      </c>
      <c r="AH196">
        <f ca="1">IFERROR(IF(0=LEN(ReferenceData!$AH$196),"",ReferenceData!$AH$196),"")</f>
        <v>62.390471949999998</v>
      </c>
      <c r="AI196">
        <f ca="1">IFERROR(IF(0=LEN(ReferenceData!$AI$196),"",ReferenceData!$AI$196),"")</f>
        <v>62.917697140000001</v>
      </c>
      <c r="AJ196">
        <f ca="1">IFERROR(IF(0=LEN(ReferenceData!$AJ$196),"",ReferenceData!$AJ$196),"")</f>
        <v>62.809014765000001</v>
      </c>
      <c r="AK196">
        <f ca="1">IFERROR(IF(0=LEN(ReferenceData!$AK$196),"",ReferenceData!$AK$196),"")</f>
        <v>61.829593160000002</v>
      </c>
      <c r="AL196">
        <f ca="1">IFERROR(IF(0=LEN(ReferenceData!$AL$196),"",ReferenceData!$AL$196),"")</f>
        <v>63.648023530000003</v>
      </c>
      <c r="AM196">
        <f ca="1">IFERROR(IF(0=LEN(ReferenceData!$AM$196),"",ReferenceData!$AM$196),"")</f>
        <v>62.424429525000001</v>
      </c>
      <c r="AN196">
        <f ca="1">IFERROR(IF(0=LEN(ReferenceData!$AN$196),"",ReferenceData!$AN$196),"")</f>
        <v>62.315637870000003</v>
      </c>
      <c r="AO196">
        <f ca="1">IFERROR(IF(0=LEN(ReferenceData!$AO$196),"",ReferenceData!$AO$196),"")</f>
        <v>63.0244979</v>
      </c>
      <c r="AP196">
        <f ca="1">IFERROR(IF(0=LEN(ReferenceData!$AP$196),"",ReferenceData!$AP$196),"")</f>
        <v>62.175895999999995</v>
      </c>
      <c r="AQ196">
        <f ca="1">IFERROR(IF(0=LEN(ReferenceData!$AQ$196),"",ReferenceData!$AQ$196),"")</f>
        <v>63.892748770000004</v>
      </c>
      <c r="AR196">
        <f ca="1">IFERROR(IF(0=LEN(ReferenceData!$AR$196),"",ReferenceData!$AR$196),"")</f>
        <v>64.133996445000008</v>
      </c>
      <c r="AS196">
        <f ca="1">IFERROR(IF(0=LEN(ReferenceData!$AS$196),"",ReferenceData!$AS$196),"")</f>
        <v>66.319990845000007</v>
      </c>
      <c r="AT196">
        <f ca="1">IFERROR(IF(0=LEN(ReferenceData!$AT$196),"",ReferenceData!$AT$196),"")</f>
        <v>64.55811937</v>
      </c>
      <c r="AU196">
        <f ca="1">IFERROR(IF(0=LEN(ReferenceData!$AU$196),"",ReferenceData!$AU$196),"")</f>
        <v>65.675351419999998</v>
      </c>
      <c r="AV196">
        <f ca="1">IFERROR(IF(0=LEN(ReferenceData!$AV$196),"",ReferenceData!$AV$196),"")</f>
        <v>65.682767819999995</v>
      </c>
      <c r="AW196">
        <f ca="1">IFERROR(IF(0=LEN(ReferenceData!$AW$196),"",ReferenceData!$AW$196),"")</f>
        <v>66.917028220000006</v>
      </c>
      <c r="AX196">
        <f ca="1">IFERROR(IF(0=LEN(ReferenceData!$AX$196),"",ReferenceData!$AX$196),"")</f>
        <v>66.113114569999993</v>
      </c>
      <c r="AY196">
        <f ca="1">IFERROR(IF(0=LEN(ReferenceData!$AY$196),"",ReferenceData!$AY$196),"")</f>
        <v>68.447378950000001</v>
      </c>
      <c r="AZ196">
        <f ca="1">IFERROR(IF(0=LEN(ReferenceData!$AZ$196),"",ReferenceData!$AZ$196),"")</f>
        <v>65.814813169999994</v>
      </c>
      <c r="BA196">
        <f ca="1">IFERROR(IF(0=LEN(ReferenceData!$BA$196),"",ReferenceData!$BA$196),"")</f>
        <v>67.421252370000005</v>
      </c>
      <c r="BB196">
        <f ca="1">IFERROR(IF(0=LEN(ReferenceData!$BB$196),"",ReferenceData!$BB$196),"")</f>
        <v>65.956389270000003</v>
      </c>
      <c r="BC196">
        <f ca="1">IFERROR(IF(0=LEN(ReferenceData!$BC$196),"",ReferenceData!$BC$196),"")</f>
        <v>67.962725344999996</v>
      </c>
      <c r="BD196">
        <f ca="1">IFERROR(IF(0=LEN(ReferenceData!$BD$196),"",ReferenceData!$BD$196),"")</f>
        <v>66.729419965000005</v>
      </c>
      <c r="BE196">
        <f ca="1">IFERROR(IF(0=LEN(ReferenceData!$BE$196),"",ReferenceData!$BE$196),"")</f>
        <v>70.240812809999994</v>
      </c>
      <c r="BF196">
        <f ca="1">IFERROR(IF(0=LEN(ReferenceData!$BF$196),"",ReferenceData!$BF$196),"")</f>
        <v>68.716906399999999</v>
      </c>
      <c r="BG196">
        <f ca="1">IFERROR(IF(0=LEN(ReferenceData!$BG$196),"",ReferenceData!$BG$196),"")</f>
        <v>66.087546320000001</v>
      </c>
      <c r="BH196">
        <f ca="1">IFERROR(IF(0=LEN(ReferenceData!$BH$196),"",ReferenceData!$BH$196),"")</f>
        <v>70.809552699999998</v>
      </c>
      <c r="BI196">
        <f ca="1">IFERROR(IF(0=LEN(ReferenceData!$BI$196),"",ReferenceData!$BI$196),"")</f>
        <v>64.705950799999997</v>
      </c>
      <c r="BJ196">
        <f ca="1">IFERROR(IF(0=LEN(ReferenceData!$BJ$196),"",ReferenceData!$BJ$196),"")</f>
        <v>68.561490280000001</v>
      </c>
      <c r="BK196">
        <f ca="1">IFERROR(IF(0=LEN(ReferenceData!$BK$196),"",ReferenceData!$BK$196),"")</f>
        <v>67.237516200000002</v>
      </c>
      <c r="BL196">
        <f ca="1">IFERROR(IF(0=LEN(ReferenceData!$BL$196),"",ReferenceData!$BL$196),"")</f>
        <v>70.528690179999998</v>
      </c>
      <c r="BM196">
        <f ca="1">IFERROR(IF(0=LEN(ReferenceData!$BM$196),"",ReferenceData!$BM$196),"")</f>
        <v>69.3923925</v>
      </c>
    </row>
    <row r="197" spans="1:65">
      <c r="A197" t="str">
        <f>IFERROR(IF(0=LEN(ReferenceData!$A$197),"",ReferenceData!$A$197),"")</f>
        <v xml:space="preserve">    Brixmor Property Group Inc</v>
      </c>
      <c r="B197" t="str">
        <f>IFERROR(IF(0=LEN(ReferenceData!$B$197),"",ReferenceData!$B$197),"")</f>
        <v>BRX US Equity</v>
      </c>
      <c r="C197" t="str">
        <f>IFERROR(IF(0=LEN(ReferenceData!$C$197),"",ReferenceData!$C$197),"")</f>
        <v>RX225</v>
      </c>
      <c r="D197" t="str">
        <f>IFERROR(IF(0=LEN(ReferenceData!$D$197),"",ReferenceData!$D$197),"")</f>
        <v>EBITDA_TO_REVENUE</v>
      </c>
      <c r="E197" t="str">
        <f>IFERROR(IF(0=LEN(ReferenceData!$E$197),"",ReferenceData!$E$197),"")</f>
        <v>动态</v>
      </c>
      <c r="F197" t="str">
        <f ca="1">IFERROR(IF(0=LEN(ReferenceData!$F$197),"",ReferenceData!$F$197),"")</f>
        <v/>
      </c>
      <c r="G197">
        <f ca="1">IFERROR(IF(0=LEN(ReferenceData!$G$197),"",ReferenceData!$G$197),"")</f>
        <v>61.109167030000002</v>
      </c>
      <c r="H197">
        <f ca="1">IFERROR(IF(0=LEN(ReferenceData!$H$197),"",ReferenceData!$H$197),"")</f>
        <v>62.370586590000002</v>
      </c>
      <c r="I197">
        <f ca="1">IFERROR(IF(0=LEN(ReferenceData!$I$197),"",ReferenceData!$I$197),"")</f>
        <v>62.734729790000003</v>
      </c>
      <c r="J197">
        <f ca="1">IFERROR(IF(0=LEN(ReferenceData!$J$197),"",ReferenceData!$J$197),"")</f>
        <v>63.358256140000002</v>
      </c>
      <c r="K197">
        <f ca="1">IFERROR(IF(0=LEN(ReferenceData!$K$197),"",ReferenceData!$K$197),"")</f>
        <v>64.168266290000005</v>
      </c>
      <c r="L197">
        <f ca="1">IFERROR(IF(0=LEN(ReferenceData!$L$197),"",ReferenceData!$L$197),"")</f>
        <v>64.158115620000004</v>
      </c>
      <c r="M197">
        <f ca="1">IFERROR(IF(0=LEN(ReferenceData!$M$197),"",ReferenceData!$M$197),"")</f>
        <v>65.162857149999994</v>
      </c>
      <c r="N197">
        <f ca="1">IFERROR(IF(0=LEN(ReferenceData!$N$197),"",ReferenceData!$N$197),"")</f>
        <v>64.740764580000004</v>
      </c>
      <c r="O197">
        <f ca="1">IFERROR(IF(0=LEN(ReferenceData!$O$197),"",ReferenceData!$O$197),"")</f>
        <v>61.740863949999998</v>
      </c>
      <c r="P197">
        <f ca="1">IFERROR(IF(0=LEN(ReferenceData!$P$197),"",ReferenceData!$P$197),"")</f>
        <v>65.709767589999998</v>
      </c>
      <c r="Q197">
        <f ca="1">IFERROR(IF(0=LEN(ReferenceData!$Q$197),"",ReferenceData!$Q$197),"")</f>
        <v>65.282223310000006</v>
      </c>
      <c r="R197">
        <f ca="1">IFERROR(IF(0=LEN(ReferenceData!$R$197),"",ReferenceData!$R$197),"")</f>
        <v>59.752991659999999</v>
      </c>
      <c r="S197">
        <f ca="1">IFERROR(IF(0=LEN(ReferenceData!$S$197),"",ReferenceData!$S$197),"")</f>
        <v>63.507255129999997</v>
      </c>
      <c r="T197">
        <f ca="1">IFERROR(IF(0=LEN(ReferenceData!$T$197),"",ReferenceData!$T$197),"")</f>
        <v>64.957303999999993</v>
      </c>
      <c r="U197">
        <f ca="1">IFERROR(IF(0=LEN(ReferenceData!$U$197),"",ReferenceData!$U$197),"")</f>
        <v>64.229141839999997</v>
      </c>
      <c r="V197">
        <f ca="1">IFERROR(IF(0=LEN(ReferenceData!$V$197),"",ReferenceData!$V$197),"")</f>
        <v>63.275298710000001</v>
      </c>
      <c r="W197">
        <f ca="1">IFERROR(IF(0=LEN(ReferenceData!$W$197),"",ReferenceData!$W$197),"")</f>
        <v>52.998757959999999</v>
      </c>
      <c r="X197">
        <f ca="1">IFERROR(IF(0=LEN(ReferenceData!$X$197),"",ReferenceData!$X$197),"")</f>
        <v>62.031179000000002</v>
      </c>
      <c r="Y197">
        <f ca="1">IFERROR(IF(0=LEN(ReferenceData!$Y$197),"",ReferenceData!$Y$197),"")</f>
        <v>63.799511180000003</v>
      </c>
      <c r="Z197">
        <f ca="1">IFERROR(IF(0=LEN(ReferenceData!$Z$197),"",ReferenceData!$Z$197),"")</f>
        <v>62.00931782</v>
      </c>
      <c r="AA197">
        <f ca="1">IFERROR(IF(0=LEN(ReferenceData!$AA$197),"",ReferenceData!$AA$197),"")</f>
        <v>62.379752510000003</v>
      </c>
      <c r="AB197">
        <f ca="1">IFERROR(IF(0=LEN(ReferenceData!$AB$197),"",ReferenceData!$AB$197),"")</f>
        <v>62.878798680000003</v>
      </c>
      <c r="AC197">
        <f ca="1">IFERROR(IF(0=LEN(ReferenceData!$AC$197),"",ReferenceData!$AC$197),"")</f>
        <v>61.463693130000003</v>
      </c>
      <c r="AD197">
        <f ca="1">IFERROR(IF(0=LEN(ReferenceData!$AD$197),"",ReferenceData!$AD$197),"")</f>
        <v>59.927585559999997</v>
      </c>
      <c r="AE197" t="str">
        <f ca="1">IFERROR(IF(0=LEN(ReferenceData!$AE$197),"",ReferenceData!$AE$197),"")</f>
        <v/>
      </c>
      <c r="AF197" t="str">
        <f ca="1">IFERROR(IF(0=LEN(ReferenceData!$AF$197),"",ReferenceData!$AF$197),"")</f>
        <v/>
      </c>
      <c r="AG197" t="str">
        <f ca="1">IFERROR(IF(0=LEN(ReferenceData!$AG$197),"",ReferenceData!$AG$197),"")</f>
        <v/>
      </c>
      <c r="AH197" t="str">
        <f ca="1">IFERROR(IF(0=LEN(ReferenceData!$AH$197),"",ReferenceData!$AH$197),"")</f>
        <v/>
      </c>
      <c r="AI197" t="str">
        <f ca="1">IFERROR(IF(0=LEN(ReferenceData!$AI$197),"",ReferenceData!$AI$197),"")</f>
        <v/>
      </c>
      <c r="AJ197" t="str">
        <f ca="1">IFERROR(IF(0=LEN(ReferenceData!$AJ$197),"",ReferenceData!$AJ$197),"")</f>
        <v/>
      </c>
      <c r="AK197" t="str">
        <f ca="1">IFERROR(IF(0=LEN(ReferenceData!$AK$197),"",ReferenceData!$AK$197),"")</f>
        <v/>
      </c>
      <c r="AL197" t="str">
        <f ca="1">IFERROR(IF(0=LEN(ReferenceData!$AL$197),"",ReferenceData!$AL$197),"")</f>
        <v/>
      </c>
      <c r="AM197" t="str">
        <f ca="1">IFERROR(IF(0=LEN(ReferenceData!$AM$197),"",ReferenceData!$AM$197),"")</f>
        <v/>
      </c>
      <c r="AN197" t="str">
        <f ca="1">IFERROR(IF(0=LEN(ReferenceData!$AN$197),"",ReferenceData!$AN$197),"")</f>
        <v/>
      </c>
      <c r="AO197" t="str">
        <f ca="1">IFERROR(IF(0=LEN(ReferenceData!$AO$197),"",ReferenceData!$AO$197),"")</f>
        <v/>
      </c>
      <c r="AP197" t="str">
        <f ca="1">IFERROR(IF(0=LEN(ReferenceData!$AP$197),"",ReferenceData!$AP$197),"")</f>
        <v/>
      </c>
      <c r="AQ197" t="str">
        <f ca="1">IFERROR(IF(0=LEN(ReferenceData!$AQ$197),"",ReferenceData!$AQ$197),"")</f>
        <v/>
      </c>
      <c r="AR197" t="str">
        <f ca="1">IFERROR(IF(0=LEN(ReferenceData!$AR$197),"",ReferenceData!$AR$197),"")</f>
        <v/>
      </c>
      <c r="AS197" t="str">
        <f ca="1">IFERROR(IF(0=LEN(ReferenceData!$AS$197),"",ReferenceData!$AS$197),"")</f>
        <v/>
      </c>
      <c r="AT197" t="str">
        <f ca="1">IFERROR(IF(0=LEN(ReferenceData!$AT$197),"",ReferenceData!$AT$197),"")</f>
        <v/>
      </c>
      <c r="AU197" t="str">
        <f ca="1">IFERROR(IF(0=LEN(ReferenceData!$AU$197),"",ReferenceData!$AU$197),"")</f>
        <v/>
      </c>
      <c r="AV197" t="str">
        <f ca="1">IFERROR(IF(0=LEN(ReferenceData!$AV$197),"",ReferenceData!$AV$197),"")</f>
        <v/>
      </c>
      <c r="AW197" t="str">
        <f ca="1">IFERROR(IF(0=LEN(ReferenceData!$AW$197),"",ReferenceData!$AW$197),"")</f>
        <v/>
      </c>
      <c r="AX197" t="str">
        <f ca="1">IFERROR(IF(0=LEN(ReferenceData!$AX$197),"",ReferenceData!$AX$197),"")</f>
        <v/>
      </c>
      <c r="AY197" t="str">
        <f ca="1">IFERROR(IF(0=LEN(ReferenceData!$AY$197),"",ReferenceData!$AY$197),"")</f>
        <v/>
      </c>
      <c r="AZ197" t="str">
        <f ca="1">IFERROR(IF(0=LEN(ReferenceData!$AZ$197),"",ReferenceData!$AZ$197),"")</f>
        <v/>
      </c>
      <c r="BA197" t="str">
        <f ca="1">IFERROR(IF(0=LEN(ReferenceData!$BA$197),"",ReferenceData!$BA$197),"")</f>
        <v/>
      </c>
      <c r="BB197" t="str">
        <f ca="1">IFERROR(IF(0=LEN(ReferenceData!$BB$197),"",ReferenceData!$BB$197),"")</f>
        <v/>
      </c>
      <c r="BC197" t="str">
        <f ca="1">IFERROR(IF(0=LEN(ReferenceData!$BC$197),"",ReferenceData!$BC$197),"")</f>
        <v/>
      </c>
      <c r="BD197" t="str">
        <f ca="1">IFERROR(IF(0=LEN(ReferenceData!$BD$197),"",ReferenceData!$BD$197),"")</f>
        <v/>
      </c>
      <c r="BE197" t="str">
        <f ca="1">IFERROR(IF(0=LEN(ReferenceData!$BE$197),"",ReferenceData!$BE$197),"")</f>
        <v/>
      </c>
      <c r="BF197" t="str">
        <f ca="1">IFERROR(IF(0=LEN(ReferenceData!$BF$197),"",ReferenceData!$BF$197),"")</f>
        <v/>
      </c>
      <c r="BG197" t="str">
        <f ca="1">IFERROR(IF(0=LEN(ReferenceData!$BG$197),"",ReferenceData!$BG$197),"")</f>
        <v/>
      </c>
      <c r="BH197" t="str">
        <f ca="1">IFERROR(IF(0=LEN(ReferenceData!$BH$197),"",ReferenceData!$BH$197),"")</f>
        <v/>
      </c>
      <c r="BI197" t="str">
        <f ca="1">IFERROR(IF(0=LEN(ReferenceData!$BI$197),"",ReferenceData!$BI$197),"")</f>
        <v/>
      </c>
      <c r="BJ197" t="str">
        <f ca="1">IFERROR(IF(0=LEN(ReferenceData!$BJ$197),"",ReferenceData!$BJ$197),"")</f>
        <v/>
      </c>
      <c r="BK197" t="str">
        <f ca="1">IFERROR(IF(0=LEN(ReferenceData!$BK$197),"",ReferenceData!$BK$197),"")</f>
        <v/>
      </c>
      <c r="BL197" t="str">
        <f ca="1">IFERROR(IF(0=LEN(ReferenceData!$BL$197),"",ReferenceData!$BL$197),"")</f>
        <v/>
      </c>
      <c r="BM197" t="str">
        <f ca="1">IFERROR(IF(0=LEN(ReferenceData!$BM$197),"",ReferenceData!$BM$197),"")</f>
        <v/>
      </c>
    </row>
    <row r="198" spans="1:65">
      <c r="A198" t="str">
        <f>IFERROR(IF(0=LEN(ReferenceData!$A$198),"",ReferenceData!$A$198),"")</f>
        <v xml:space="preserve">    CBL &amp; Associates Properties In</v>
      </c>
      <c r="B198" t="str">
        <f>IFERROR(IF(0=LEN(ReferenceData!$B$198),"",ReferenceData!$B$198),"")</f>
        <v>CBL US Equity</v>
      </c>
      <c r="C198" t="str">
        <f>IFERROR(IF(0=LEN(ReferenceData!$C$198),"",ReferenceData!$C$198),"")</f>
        <v>RX225</v>
      </c>
      <c r="D198" t="str">
        <f>IFERROR(IF(0=LEN(ReferenceData!$D$198),"",ReferenceData!$D$198),"")</f>
        <v>EBITDA_TO_REVENUE</v>
      </c>
      <c r="E198" t="str">
        <f>IFERROR(IF(0=LEN(ReferenceData!$E$198),"",ReferenceData!$E$198),"")</f>
        <v>动态</v>
      </c>
      <c r="F198" t="str">
        <f ca="1">IFERROR(IF(0=LEN(ReferenceData!$F$198),"",ReferenceData!$F$198),"")</f>
        <v/>
      </c>
      <c r="G198">
        <f ca="1">IFERROR(IF(0=LEN(ReferenceData!$G$198),"",ReferenceData!$G$198),"")</f>
        <v>66.313159639999995</v>
      </c>
      <c r="H198">
        <f ca="1">IFERROR(IF(0=LEN(ReferenceData!$H$198),"",ReferenceData!$H$198),"")</f>
        <v>54.102381479999998</v>
      </c>
      <c r="I198">
        <f ca="1">IFERROR(IF(0=LEN(ReferenceData!$I$198),"",ReferenceData!$I$198),"")</f>
        <v>45.665327419999997</v>
      </c>
      <c r="J198">
        <f ca="1">IFERROR(IF(0=LEN(ReferenceData!$J$198),"",ReferenceData!$J$198),"")</f>
        <v>62.001235229999999</v>
      </c>
      <c r="K198">
        <f ca="1">IFERROR(IF(0=LEN(ReferenceData!$K$198),"",ReferenceData!$K$198),"")</f>
        <v>67.127543110000005</v>
      </c>
      <c r="L198">
        <f ca="1">IFERROR(IF(0=LEN(ReferenceData!$L$198),"",ReferenceData!$L$198),"")</f>
        <v>43.144989889999998</v>
      </c>
      <c r="M198">
        <f ca="1">IFERROR(IF(0=LEN(ReferenceData!$M$198),"",ReferenceData!$M$198),"")</f>
        <v>48.867491620000003</v>
      </c>
      <c r="N198">
        <f ca="1">IFERROR(IF(0=LEN(ReferenceData!$N$198),"",ReferenceData!$N$198),"")</f>
        <v>53.107443420000003</v>
      </c>
      <c r="O198">
        <f ca="1">IFERROR(IF(0=LEN(ReferenceData!$O$198),"",ReferenceData!$O$198),"")</f>
        <v>30.73587148</v>
      </c>
      <c r="P198">
        <f ca="1">IFERROR(IF(0=LEN(ReferenceData!$P$198),"",ReferenceData!$P$198),"")</f>
        <v>63.740690540000003</v>
      </c>
      <c r="Q198">
        <f ca="1">IFERROR(IF(0=LEN(ReferenceData!$Q$198),"",ReferenceData!$Q$198),"")</f>
        <v>63.545183440000002</v>
      </c>
      <c r="R198">
        <f ca="1">IFERROR(IF(0=LEN(ReferenceData!$R$198),"",ReferenceData!$R$198),"")</f>
        <v>61.75448145</v>
      </c>
      <c r="S198">
        <f ca="1">IFERROR(IF(0=LEN(ReferenceData!$S$198),"",ReferenceData!$S$198),"")</f>
        <v>64.562848560000006</v>
      </c>
      <c r="T198">
        <f ca="1">IFERROR(IF(0=LEN(ReferenceData!$T$198),"",ReferenceData!$T$198),"")</f>
        <v>65.764512159999995</v>
      </c>
      <c r="U198">
        <f ca="1">IFERROR(IF(0=LEN(ReferenceData!$U$198),"",ReferenceData!$U$198),"")</f>
        <v>65.386696139999998</v>
      </c>
      <c r="V198">
        <f ca="1">IFERROR(IF(0=LEN(ReferenceData!$V$198),"",ReferenceData!$V$198),"")</f>
        <v>55.649720760000001</v>
      </c>
      <c r="W198">
        <f ca="1">IFERROR(IF(0=LEN(ReferenceData!$W$198),"",ReferenceData!$W$198),"")</f>
        <v>47.99102156</v>
      </c>
      <c r="X198">
        <f ca="1">IFERROR(IF(0=LEN(ReferenceData!$X$198),"",ReferenceData!$X$198),"")</f>
        <v>65.366978709999998</v>
      </c>
      <c r="Y198">
        <f ca="1">IFERROR(IF(0=LEN(ReferenceData!$Y$198),"",ReferenceData!$Y$198),"")</f>
        <v>57.801122909999997</v>
      </c>
      <c r="Z198">
        <f ca="1">IFERROR(IF(0=LEN(ReferenceData!$Z$198),"",ReferenceData!$Z$198),"")</f>
        <v>63.81682283</v>
      </c>
      <c r="AA198">
        <f ca="1">IFERROR(IF(0=LEN(ReferenceData!$AA$198),"",ReferenceData!$AA$198),"")</f>
        <v>60.400447</v>
      </c>
      <c r="AB198">
        <f ca="1">IFERROR(IF(0=LEN(ReferenceData!$AB$198),"",ReferenceData!$AB$198),"")</f>
        <v>64.732769899999994</v>
      </c>
      <c r="AC198">
        <f ca="1">IFERROR(IF(0=LEN(ReferenceData!$AC$198),"",ReferenceData!$AC$198),"")</f>
        <v>64.368021470000002</v>
      </c>
      <c r="AD198">
        <f ca="1">IFERROR(IF(0=LEN(ReferenceData!$AD$198),"",ReferenceData!$AD$198),"")</f>
        <v>62.988448849999997</v>
      </c>
      <c r="AE198">
        <f ca="1">IFERROR(IF(0=LEN(ReferenceData!$AE$198),"",ReferenceData!$AE$198),"")</f>
        <v>67.360285149999996</v>
      </c>
      <c r="AF198">
        <f ca="1">IFERROR(IF(0=LEN(ReferenceData!$AF$198),"",ReferenceData!$AF$198),"")</f>
        <v>45.904221679999999</v>
      </c>
      <c r="AG198">
        <f ca="1">IFERROR(IF(0=LEN(ReferenceData!$AG$198),"",ReferenceData!$AG$198),"")</f>
        <v>64.351687589999997</v>
      </c>
      <c r="AH198">
        <f ca="1">IFERROR(IF(0=LEN(ReferenceData!$AH$198),"",ReferenceData!$AH$198),"")</f>
        <v>62.390471949999998</v>
      </c>
      <c r="AI198">
        <f ca="1">IFERROR(IF(0=LEN(ReferenceData!$AI$198),"",ReferenceData!$AI$198),"")</f>
        <v>62.868303449999999</v>
      </c>
      <c r="AJ198">
        <f ca="1">IFERROR(IF(0=LEN(ReferenceData!$AJ$198),"",ReferenceData!$AJ$198),"")</f>
        <v>64.797253229999995</v>
      </c>
      <c r="AK198">
        <f ca="1">IFERROR(IF(0=LEN(ReferenceData!$AK$198),"",ReferenceData!$AK$198),"")</f>
        <v>65.484197739999999</v>
      </c>
      <c r="AL198">
        <f ca="1">IFERROR(IF(0=LEN(ReferenceData!$AL$198),"",ReferenceData!$AL$198),"")</f>
        <v>64.083979670000005</v>
      </c>
      <c r="AM198">
        <f ca="1">IFERROR(IF(0=LEN(ReferenceData!$AM$198),"",ReferenceData!$AM$198),"")</f>
        <v>28.103173519999999</v>
      </c>
      <c r="AN198">
        <f ca="1">IFERROR(IF(0=LEN(ReferenceData!$AN$198),"",ReferenceData!$AN$198),"")</f>
        <v>62.315637870000003</v>
      </c>
      <c r="AO198">
        <f ca="1">IFERROR(IF(0=LEN(ReferenceData!$AO$198),"",ReferenceData!$AO$198),"")</f>
        <v>64.92586034</v>
      </c>
      <c r="AP198">
        <f ca="1">IFERROR(IF(0=LEN(ReferenceData!$AP$198),"",ReferenceData!$AP$198),"")</f>
        <v>63.097469199999999</v>
      </c>
      <c r="AQ198">
        <f ca="1">IFERROR(IF(0=LEN(ReferenceData!$AQ$198),"",ReferenceData!$AQ$198),"")</f>
        <v>58.604599899999997</v>
      </c>
      <c r="AR198">
        <f ca="1">IFERROR(IF(0=LEN(ReferenceData!$AR$198),"",ReferenceData!$AR$198),"")</f>
        <v>64.422487340000004</v>
      </c>
      <c r="AS198">
        <f ca="1">IFERROR(IF(0=LEN(ReferenceData!$AS$198),"",ReferenceData!$AS$198),"")</f>
        <v>63.024115270000003</v>
      </c>
      <c r="AT198">
        <f ca="1">IFERROR(IF(0=LEN(ReferenceData!$AT$198),"",ReferenceData!$AT$198),"")</f>
        <v>60.980098320000003</v>
      </c>
      <c r="AU198">
        <f ca="1">IFERROR(IF(0=LEN(ReferenceData!$AU$198),"",ReferenceData!$AU$198),"")</f>
        <v>65.675351419999998</v>
      </c>
      <c r="AV198">
        <f ca="1">IFERROR(IF(0=LEN(ReferenceData!$AV$198),"",ReferenceData!$AV$198),"")</f>
        <v>63.368379949999998</v>
      </c>
      <c r="AW198">
        <f ca="1">IFERROR(IF(0=LEN(ReferenceData!$AW$198),"",ReferenceData!$AW$198),"")</f>
        <v>64.258655480000002</v>
      </c>
      <c r="AX198">
        <f ca="1">IFERROR(IF(0=LEN(ReferenceData!$AX$198),"",ReferenceData!$AX$198),"")</f>
        <v>62.772130930000003</v>
      </c>
      <c r="AY198">
        <f ca="1">IFERROR(IF(0=LEN(ReferenceData!$AY$198),"",ReferenceData!$AY$198),"")</f>
        <v>66.004538629999999</v>
      </c>
      <c r="AZ198">
        <f ca="1">IFERROR(IF(0=LEN(ReferenceData!$AZ$198),"",ReferenceData!$AZ$198),"")</f>
        <v>62.757384039999998</v>
      </c>
      <c r="BA198">
        <f ca="1">IFERROR(IF(0=LEN(ReferenceData!$BA$198),"",ReferenceData!$BA$198),"")</f>
        <v>64.579469979999999</v>
      </c>
      <c r="BB198">
        <f ca="1">IFERROR(IF(0=LEN(ReferenceData!$BB$198),"",ReferenceData!$BB$198),"")</f>
        <v>64.881340289999997</v>
      </c>
      <c r="BC198">
        <f ca="1">IFERROR(IF(0=LEN(ReferenceData!$BC$198),"",ReferenceData!$BC$198),"")</f>
        <v>67.650721950000005</v>
      </c>
      <c r="BD198">
        <f ca="1">IFERROR(IF(0=LEN(ReferenceData!$BD$198),"",ReferenceData!$BD$198),"")</f>
        <v>64.512421810000006</v>
      </c>
      <c r="BE198">
        <f ca="1">IFERROR(IF(0=LEN(ReferenceData!$BE$198),"",ReferenceData!$BE$198),"")</f>
        <v>64.724963160000001</v>
      </c>
      <c r="BF198">
        <f ca="1">IFERROR(IF(0=LEN(ReferenceData!$BF$198),"",ReferenceData!$BF$198),"")</f>
        <v>65.113173189999998</v>
      </c>
      <c r="BG198">
        <f ca="1">IFERROR(IF(0=LEN(ReferenceData!$BG$198),"",ReferenceData!$BG$198),"")</f>
        <v>65.88841171</v>
      </c>
      <c r="BH198">
        <f ca="1">IFERROR(IF(0=LEN(ReferenceData!$BH$198),"",ReferenceData!$BH$198),"")</f>
        <v>75.459193099999993</v>
      </c>
      <c r="BI198">
        <f ca="1">IFERROR(IF(0=LEN(ReferenceData!$BI$198),"",ReferenceData!$BI$198),"")</f>
        <v>59.012876749999997</v>
      </c>
      <c r="BJ198">
        <f ca="1">IFERROR(IF(0=LEN(ReferenceData!$BJ$198),"",ReferenceData!$BJ$198),"")</f>
        <v>58.378631800000001</v>
      </c>
      <c r="BK198">
        <f ca="1">IFERROR(IF(0=LEN(ReferenceData!$BK$198),"",ReferenceData!$BK$198),"")</f>
        <v>66.213703989999999</v>
      </c>
      <c r="BL198">
        <f ca="1">IFERROR(IF(0=LEN(ReferenceData!$BL$198),"",ReferenceData!$BL$198),"")</f>
        <v>75.262692049999998</v>
      </c>
      <c r="BM198">
        <f ca="1">IFERROR(IF(0=LEN(ReferenceData!$BM$198),"",ReferenceData!$BM$198),"")</f>
        <v>60.863001320000002</v>
      </c>
    </row>
    <row r="199" spans="1:65">
      <c r="A199" t="str">
        <f>IFERROR(IF(0=LEN(ReferenceData!$A$199),"",ReferenceData!$A$199),"")</f>
        <v xml:space="preserve">    DDR Corp</v>
      </c>
      <c r="B199" t="str">
        <f>IFERROR(IF(0=LEN(ReferenceData!$B$199),"",ReferenceData!$B$199),"")</f>
        <v>DDR US Equity</v>
      </c>
      <c r="C199" t="str">
        <f>IFERROR(IF(0=LEN(ReferenceData!$C$199),"",ReferenceData!$C$199),"")</f>
        <v>RX225</v>
      </c>
      <c r="D199" t="str">
        <f>IFERROR(IF(0=LEN(ReferenceData!$D$199),"",ReferenceData!$D$199),"")</f>
        <v>EBITDA_TO_REVENUE</v>
      </c>
      <c r="E199" t="str">
        <f>IFERROR(IF(0=LEN(ReferenceData!$E$199),"",ReferenceData!$E$199),"")</f>
        <v>动态</v>
      </c>
      <c r="F199" t="str">
        <f ca="1">IFERROR(IF(0=LEN(ReferenceData!$F$199),"",ReferenceData!$F$199),"")</f>
        <v/>
      </c>
      <c r="G199">
        <f ca="1">IFERROR(IF(0=LEN(ReferenceData!$G$199),"",ReferenceData!$G$199),"")</f>
        <v>-70.797203870000004</v>
      </c>
      <c r="H199">
        <f ca="1">IFERROR(IF(0=LEN(ReferenceData!$H$199),"",ReferenceData!$H$199),"")</f>
        <v>59.385992680000001</v>
      </c>
      <c r="I199">
        <f ca="1">IFERROR(IF(0=LEN(ReferenceData!$I$199),"",ReferenceData!$I$199),"")</f>
        <v>50.570522510000004</v>
      </c>
      <c r="J199">
        <f ca="1">IFERROR(IF(0=LEN(ReferenceData!$J$199),"",ReferenceData!$J$199),"")</f>
        <v>49.93573773</v>
      </c>
      <c r="K199">
        <f ca="1">IFERROR(IF(0=LEN(ReferenceData!$K$199),"",ReferenceData!$K$199),"")</f>
        <v>60.813290379999998</v>
      </c>
      <c r="L199">
        <f ca="1">IFERROR(IF(0=LEN(ReferenceData!$L$199),"",ReferenceData!$L$199),"")</f>
        <v>24.416469660000001</v>
      </c>
      <c r="M199">
        <f ca="1">IFERROR(IF(0=LEN(ReferenceData!$M$199),"",ReferenceData!$M$199),"")</f>
        <v>64.8831615</v>
      </c>
      <c r="N199">
        <f ca="1">IFERROR(IF(0=LEN(ReferenceData!$N$199),"",ReferenceData!$N$199),"")</f>
        <v>64.265023209999995</v>
      </c>
      <c r="O199">
        <f ca="1">IFERROR(IF(0=LEN(ReferenceData!$O$199),"",ReferenceData!$O$199),"")</f>
        <v>63.496126230000002</v>
      </c>
      <c r="P199">
        <f ca="1">IFERROR(IF(0=LEN(ReferenceData!$P$199),"",ReferenceData!$P$199),"")</f>
        <v>64.631808190000001</v>
      </c>
      <c r="Q199">
        <f ca="1">IFERROR(IF(0=LEN(ReferenceData!$Q$199),"",ReferenceData!$Q$199),"")</f>
        <v>63.820956539999997</v>
      </c>
      <c r="R199">
        <f ca="1">IFERROR(IF(0=LEN(ReferenceData!$R$199),"",ReferenceData!$R$199),"")</f>
        <v>-44.4879745</v>
      </c>
      <c r="S199">
        <f ca="1">IFERROR(IF(0=LEN(ReferenceData!$S$199),"",ReferenceData!$S$199),"")</f>
        <v>48.931633390000002</v>
      </c>
      <c r="T199">
        <f ca="1">IFERROR(IF(0=LEN(ReferenceData!$T$199),"",ReferenceData!$T$199),"")</f>
        <v>64.190662509999996</v>
      </c>
      <c r="U199">
        <f ca="1">IFERROR(IF(0=LEN(ReferenceData!$U$199),"",ReferenceData!$U$199),"")</f>
        <v>59.59304247</v>
      </c>
      <c r="V199">
        <f ca="1">IFERROR(IF(0=LEN(ReferenceData!$V$199),"",ReferenceData!$V$199),"")</f>
        <v>60.015651400000003</v>
      </c>
      <c r="W199">
        <f ca="1">IFERROR(IF(0=LEN(ReferenceData!$W$199),"",ReferenceData!$W$199),"")</f>
        <v>64.052273540000002</v>
      </c>
      <c r="X199">
        <f ca="1">IFERROR(IF(0=LEN(ReferenceData!$X$199),"",ReferenceData!$X$199),"")</f>
        <v>58.00968992</v>
      </c>
      <c r="Y199">
        <f ca="1">IFERROR(IF(0=LEN(ReferenceData!$Y$199),"",ReferenceData!$Y$199),"")</f>
        <v>58.449687050000001</v>
      </c>
      <c r="Z199">
        <f ca="1">IFERROR(IF(0=LEN(ReferenceData!$Z$199),"",ReferenceData!$Z$199),"")</f>
        <v>61.149136079999998</v>
      </c>
      <c r="AA199">
        <f ca="1">IFERROR(IF(0=LEN(ReferenceData!$AA$199),"",ReferenceData!$AA$199),"")</f>
        <v>56.596300859999999</v>
      </c>
      <c r="AB199">
        <f ca="1">IFERROR(IF(0=LEN(ReferenceData!$AB$199),"",ReferenceData!$AB$199),"")</f>
        <v>48.501852720000002</v>
      </c>
      <c r="AC199">
        <f ca="1">IFERROR(IF(0=LEN(ReferenceData!$AC$199),"",ReferenceData!$AC$199),"")</f>
        <v>39.252414860000002</v>
      </c>
      <c r="AD199">
        <f ca="1">IFERROR(IF(0=LEN(ReferenceData!$AD$199),"",ReferenceData!$AD$199),"")</f>
        <v>59.450426059999998</v>
      </c>
      <c r="AE199">
        <f ca="1">IFERROR(IF(0=LEN(ReferenceData!$AE$199),"",ReferenceData!$AE$199),"")</f>
        <v>59.481297230000003</v>
      </c>
      <c r="AF199">
        <f ca="1">IFERROR(IF(0=LEN(ReferenceData!$AF$199),"",ReferenceData!$AF$199),"")</f>
        <v>35.170585440000004</v>
      </c>
      <c r="AG199">
        <f ca="1">IFERROR(IF(0=LEN(ReferenceData!$AG$199),"",ReferenceData!$AG$199),"")</f>
        <v>57.009190799999999</v>
      </c>
      <c r="AH199">
        <f ca="1">IFERROR(IF(0=LEN(ReferenceData!$AH$199),"",ReferenceData!$AH$199),"")</f>
        <v>51.12679499</v>
      </c>
      <c r="AI199">
        <f ca="1">IFERROR(IF(0=LEN(ReferenceData!$AI$199),"",ReferenceData!$AI$199),"")</f>
        <v>49.293903589999999</v>
      </c>
      <c r="AJ199">
        <f ca="1">IFERROR(IF(0=LEN(ReferenceData!$AJ$199),"",ReferenceData!$AJ$199),"")</f>
        <v>56.539649310000001</v>
      </c>
      <c r="AK199">
        <f ca="1">IFERROR(IF(0=LEN(ReferenceData!$AK$199),"",ReferenceData!$AK$199),"")</f>
        <v>20.03662258</v>
      </c>
      <c r="AL199">
        <f ca="1">IFERROR(IF(0=LEN(ReferenceData!$AL$199),"",ReferenceData!$AL$199),"")</f>
        <v>58.450212980000003</v>
      </c>
      <c r="AM199">
        <f ca="1">IFERROR(IF(0=LEN(ReferenceData!$AM$199),"",ReferenceData!$AM$199),"")</f>
        <v>64.245266799999996</v>
      </c>
      <c r="AN199">
        <f ca="1">IFERROR(IF(0=LEN(ReferenceData!$AN$199),"",ReferenceData!$AN$199),"")</f>
        <v>23.537554879999998</v>
      </c>
      <c r="AO199">
        <f ca="1">IFERROR(IF(0=LEN(ReferenceData!$AO$199),"",ReferenceData!$AO$199),"")</f>
        <v>10.273653510000001</v>
      </c>
      <c r="AP199">
        <f ca="1">IFERROR(IF(0=LEN(ReferenceData!$AP$199),"",ReferenceData!$AP$199),"")</f>
        <v>57.59007252</v>
      </c>
      <c r="AQ199">
        <f ca="1">IFERROR(IF(0=LEN(ReferenceData!$AQ$199),"",ReferenceData!$AQ$199),"")</f>
        <v>92.690014320000003</v>
      </c>
      <c r="AR199">
        <f ca="1">IFERROR(IF(0=LEN(ReferenceData!$AR$199),"",ReferenceData!$AR$199),"")</f>
        <v>63.652517279999998</v>
      </c>
      <c r="AS199">
        <f ca="1">IFERROR(IF(0=LEN(ReferenceData!$AS$199),"",ReferenceData!$AS$199),"")</f>
        <v>38.440669440000001</v>
      </c>
      <c r="AT199">
        <f ca="1">IFERROR(IF(0=LEN(ReferenceData!$AT$199),"",ReferenceData!$AT$199),"")</f>
        <v>64.671997829999995</v>
      </c>
      <c r="AU199" t="str">
        <f ca="1">IFERROR(IF(0=LEN(ReferenceData!$AU$199),"",ReferenceData!$AU$199),"")</f>
        <v/>
      </c>
      <c r="AV199" t="str">
        <f ca="1">IFERROR(IF(0=LEN(ReferenceData!$AV$199),"",ReferenceData!$AV$199),"")</f>
        <v/>
      </c>
      <c r="AW199" t="str">
        <f ca="1">IFERROR(IF(0=LEN(ReferenceData!$AW$199),"",ReferenceData!$AW$199),"")</f>
        <v/>
      </c>
      <c r="AX199">
        <f ca="1">IFERROR(IF(0=LEN(ReferenceData!$AX$199),"",ReferenceData!$AX$199),"")</f>
        <v>65.911114150000003</v>
      </c>
      <c r="AY199" t="str">
        <f ca="1">IFERROR(IF(0=LEN(ReferenceData!$AY$199),"",ReferenceData!$AY$199),"")</f>
        <v/>
      </c>
      <c r="AZ199" t="str">
        <f ca="1">IFERROR(IF(0=LEN(ReferenceData!$AZ$199),"",ReferenceData!$AZ$199),"")</f>
        <v/>
      </c>
      <c r="BA199" t="str">
        <f ca="1">IFERROR(IF(0=LEN(ReferenceData!$BA$199),"",ReferenceData!$BA$199),"")</f>
        <v/>
      </c>
      <c r="BB199" t="str">
        <f ca="1">IFERROR(IF(0=LEN(ReferenceData!$BB$199),"",ReferenceData!$BB$199),"")</f>
        <v/>
      </c>
      <c r="BC199">
        <f ca="1">IFERROR(IF(0=LEN(ReferenceData!$BC$199),"",ReferenceData!$BC$199),"")</f>
        <v>109.3664194</v>
      </c>
      <c r="BD199">
        <f ca="1">IFERROR(IF(0=LEN(ReferenceData!$BD$199),"",ReferenceData!$BD$199),"")</f>
        <v>67.237729119999997</v>
      </c>
      <c r="BE199" t="str">
        <f ca="1">IFERROR(IF(0=LEN(ReferenceData!$BE$199),"",ReferenceData!$BE$199),"")</f>
        <v/>
      </c>
      <c r="BF199" t="str">
        <f ca="1">IFERROR(IF(0=LEN(ReferenceData!$BF$199),"",ReferenceData!$BF$199),"")</f>
        <v/>
      </c>
      <c r="BG199">
        <f ca="1">IFERROR(IF(0=LEN(ReferenceData!$BG$199),"",ReferenceData!$BG$199),"")</f>
        <v>66.286680930000003</v>
      </c>
      <c r="BH199">
        <f ca="1">IFERROR(IF(0=LEN(ReferenceData!$BH$199),"",ReferenceData!$BH$199),"")</f>
        <v>68.658198200000001</v>
      </c>
      <c r="BI199" t="str">
        <f ca="1">IFERROR(IF(0=LEN(ReferenceData!$BI$199),"",ReferenceData!$BI$199),"")</f>
        <v/>
      </c>
      <c r="BJ199" t="str">
        <f ca="1">IFERROR(IF(0=LEN(ReferenceData!$BJ$199),"",ReferenceData!$BJ$199),"")</f>
        <v/>
      </c>
      <c r="BK199" t="str">
        <f ca="1">IFERROR(IF(0=LEN(ReferenceData!$BK$199),"",ReferenceData!$BK$199),"")</f>
        <v/>
      </c>
      <c r="BL199" t="str">
        <f ca="1">IFERROR(IF(0=LEN(ReferenceData!$BL$199),"",ReferenceData!$BL$199),"")</f>
        <v/>
      </c>
      <c r="BM199" t="str">
        <f ca="1">IFERROR(IF(0=LEN(ReferenceData!$BM$199),"",ReferenceData!$BM$199),"")</f>
        <v/>
      </c>
    </row>
    <row r="200" spans="1:65">
      <c r="A200" t="str">
        <f>IFERROR(IF(0=LEN(ReferenceData!$A$200),"",ReferenceData!$A$200),"")</f>
        <v xml:space="preserve">    Federal Realty Investment Trus</v>
      </c>
      <c r="B200" t="str">
        <f>IFERROR(IF(0=LEN(ReferenceData!$B$200),"",ReferenceData!$B$200),"")</f>
        <v>FRT US Equity</v>
      </c>
      <c r="C200" t="str">
        <f>IFERROR(IF(0=LEN(ReferenceData!$C$200),"",ReferenceData!$C$200),"")</f>
        <v>RX225</v>
      </c>
      <c r="D200" t="str">
        <f>IFERROR(IF(0=LEN(ReferenceData!$D$200),"",ReferenceData!$D$200),"")</f>
        <v>EBITDA_TO_REVENUE</v>
      </c>
      <c r="E200" t="str">
        <f>IFERROR(IF(0=LEN(ReferenceData!$E$200),"",ReferenceData!$E$200),"")</f>
        <v>动态</v>
      </c>
      <c r="F200" t="str">
        <f ca="1">IFERROR(IF(0=LEN(ReferenceData!$F$200),"",ReferenceData!$F$200),"")</f>
        <v/>
      </c>
      <c r="G200">
        <f ca="1">IFERROR(IF(0=LEN(ReferenceData!$G$200),"",ReferenceData!$G$200),"")</f>
        <v>62.311515159999999</v>
      </c>
      <c r="H200">
        <f ca="1">IFERROR(IF(0=LEN(ReferenceData!$H$200),"",ReferenceData!$H$200),"")</f>
        <v>64.283584079999997</v>
      </c>
      <c r="I200">
        <f ca="1">IFERROR(IF(0=LEN(ReferenceData!$I$200),"",ReferenceData!$I$200),"")</f>
        <v>65.251935840000002</v>
      </c>
      <c r="J200">
        <f ca="1">IFERROR(IF(0=LEN(ReferenceData!$J$200),"",ReferenceData!$J$200),"")</f>
        <v>64.0935633</v>
      </c>
      <c r="K200">
        <f ca="1">IFERROR(IF(0=LEN(ReferenceData!$K$200),"",ReferenceData!$K$200),"")</f>
        <v>64.634582499999993</v>
      </c>
      <c r="L200">
        <f ca="1">IFERROR(IF(0=LEN(ReferenceData!$L$200),"",ReferenceData!$L$200),"")</f>
        <v>64.309966840000001</v>
      </c>
      <c r="M200">
        <f ca="1">IFERROR(IF(0=LEN(ReferenceData!$M$200),"",ReferenceData!$M$200),"")</f>
        <v>64.940575109999997</v>
      </c>
      <c r="N200">
        <f ca="1">IFERROR(IF(0=LEN(ReferenceData!$N$200),"",ReferenceData!$N$200),"")</f>
        <v>62.881155970000002</v>
      </c>
      <c r="O200">
        <f ca="1">IFERROR(IF(0=LEN(ReferenceData!$O$200),"",ReferenceData!$O$200),"")</f>
        <v>63.54937743</v>
      </c>
      <c r="P200">
        <f ca="1">IFERROR(IF(0=LEN(ReferenceData!$P$200),"",ReferenceData!$P$200),"")</f>
        <v>64.579599680000001</v>
      </c>
      <c r="Q200">
        <f ca="1">IFERROR(IF(0=LEN(ReferenceData!$Q$200),"",ReferenceData!$Q$200),"")</f>
        <v>65.508291040000003</v>
      </c>
      <c r="R200">
        <f ca="1">IFERROR(IF(0=LEN(ReferenceData!$R$200),"",ReferenceData!$R$200),"")</f>
        <v>61.748344080000003</v>
      </c>
      <c r="S200">
        <f ca="1">IFERROR(IF(0=LEN(ReferenceData!$S$200),"",ReferenceData!$S$200),"")</f>
        <v>65.213151370000006</v>
      </c>
      <c r="T200">
        <f ca="1">IFERROR(IF(0=LEN(ReferenceData!$T$200),"",ReferenceData!$T$200),"")</f>
        <v>64.515789350000006</v>
      </c>
      <c r="U200">
        <f ca="1">IFERROR(IF(0=LEN(ReferenceData!$U$200),"",ReferenceData!$U$200),"")</f>
        <v>65.052665419999997</v>
      </c>
      <c r="V200">
        <f ca="1">IFERROR(IF(0=LEN(ReferenceData!$V$200),"",ReferenceData!$V$200),"")</f>
        <v>62.808204740000001</v>
      </c>
      <c r="W200">
        <f ca="1">IFERROR(IF(0=LEN(ReferenceData!$W$200),"",ReferenceData!$W$200),"")</f>
        <v>63.89170318</v>
      </c>
      <c r="X200">
        <f ca="1">IFERROR(IF(0=LEN(ReferenceData!$X$200),"",ReferenceData!$X$200),"")</f>
        <v>65.465006599999995</v>
      </c>
      <c r="Y200">
        <f ca="1">IFERROR(IF(0=LEN(ReferenceData!$Y$200),"",ReferenceData!$Y$200),"")</f>
        <v>65.660024910000004</v>
      </c>
      <c r="Z200">
        <f ca="1">IFERROR(IF(0=LEN(ReferenceData!$Z$200),"",ReferenceData!$Z$200),"")</f>
        <v>65.623071100000004</v>
      </c>
      <c r="AA200">
        <f ca="1">IFERROR(IF(0=LEN(ReferenceData!$AA$200),"",ReferenceData!$AA$200),"")</f>
        <v>64.721892350000005</v>
      </c>
      <c r="AB200">
        <f ca="1">IFERROR(IF(0=LEN(ReferenceData!$AB$200),"",ReferenceData!$AB$200),"")</f>
        <v>64.671588349999993</v>
      </c>
      <c r="AC200">
        <f ca="1">IFERROR(IF(0=LEN(ReferenceData!$AC$200),"",ReferenceData!$AC$200),"")</f>
        <v>65.721062619999998</v>
      </c>
      <c r="AD200">
        <f ca="1">IFERROR(IF(0=LEN(ReferenceData!$AD$200),"",ReferenceData!$AD$200),"")</f>
        <v>66.387766679999999</v>
      </c>
      <c r="AE200">
        <f ca="1">IFERROR(IF(0=LEN(ReferenceData!$AE$200),"",ReferenceData!$AE$200),"")</f>
        <v>62.973435309999999</v>
      </c>
      <c r="AF200">
        <f ca="1">IFERROR(IF(0=LEN(ReferenceData!$AF$200),"",ReferenceData!$AF$200),"")</f>
        <v>64.533937699999996</v>
      </c>
      <c r="AG200">
        <f ca="1">IFERROR(IF(0=LEN(ReferenceData!$AG$200),"",ReferenceData!$AG$200),"")</f>
        <v>65.598033459999996</v>
      </c>
      <c r="AH200">
        <f ca="1">IFERROR(IF(0=LEN(ReferenceData!$AH$200),"",ReferenceData!$AH$200),"")</f>
        <v>63.162100709999997</v>
      </c>
      <c r="AI200">
        <f ca="1">IFERROR(IF(0=LEN(ReferenceData!$AI$200),"",ReferenceData!$AI$200),"")</f>
        <v>64.716676129999996</v>
      </c>
      <c r="AJ200">
        <f ca="1">IFERROR(IF(0=LEN(ReferenceData!$AJ$200),"",ReferenceData!$AJ$200),"")</f>
        <v>64.061118350000001</v>
      </c>
      <c r="AK200">
        <f ca="1">IFERROR(IF(0=LEN(ReferenceData!$AK$200),"",ReferenceData!$AK$200),"")</f>
        <v>65.321733129999998</v>
      </c>
      <c r="AL200">
        <f ca="1">IFERROR(IF(0=LEN(ReferenceData!$AL$200),"",ReferenceData!$AL$200),"")</f>
        <v>63.556577310000002</v>
      </c>
      <c r="AM200">
        <f ca="1">IFERROR(IF(0=LEN(ReferenceData!$AM$200),"",ReferenceData!$AM$200),"")</f>
        <v>66.291964370000002</v>
      </c>
      <c r="AN200">
        <f ca="1">IFERROR(IF(0=LEN(ReferenceData!$AN$200),"",ReferenceData!$AN$200),"")</f>
        <v>65.699432029999997</v>
      </c>
      <c r="AO200">
        <f ca="1">IFERROR(IF(0=LEN(ReferenceData!$AO$200),"",ReferenceData!$AO$200),"")</f>
        <v>65.242676729999999</v>
      </c>
      <c r="AP200">
        <f ca="1">IFERROR(IF(0=LEN(ReferenceData!$AP$200),"",ReferenceData!$AP$200),"")</f>
        <v>47.888248040000001</v>
      </c>
      <c r="AQ200">
        <f ca="1">IFERROR(IF(0=LEN(ReferenceData!$AQ$200),"",ReferenceData!$AQ$200),"")</f>
        <v>62.299010690000003</v>
      </c>
      <c r="AR200">
        <f ca="1">IFERROR(IF(0=LEN(ReferenceData!$AR$200),"",ReferenceData!$AR$200),"")</f>
        <v>63.845505549999999</v>
      </c>
      <c r="AS200">
        <f ca="1">IFERROR(IF(0=LEN(ReferenceData!$AS$200),"",ReferenceData!$AS$200),"")</f>
        <v>63.172043010000003</v>
      </c>
      <c r="AT200">
        <f ca="1">IFERROR(IF(0=LEN(ReferenceData!$AT$200),"",ReferenceData!$AT$200),"")</f>
        <v>63.1381114</v>
      </c>
      <c r="AU200">
        <f ca="1">IFERROR(IF(0=LEN(ReferenceData!$AU$200),"",ReferenceData!$AU$200),"")</f>
        <v>62.949299289999999</v>
      </c>
      <c r="AV200">
        <f ca="1">IFERROR(IF(0=LEN(ReferenceData!$AV$200),"",ReferenceData!$AV$200),"")</f>
        <v>64.876501250000004</v>
      </c>
      <c r="AW200">
        <f ca="1">IFERROR(IF(0=LEN(ReferenceData!$AW$200),"",ReferenceData!$AW$200),"")</f>
        <v>66.917028220000006</v>
      </c>
      <c r="AX200">
        <f ca="1">IFERROR(IF(0=LEN(ReferenceData!$AX$200),"",ReferenceData!$AX$200),"")</f>
        <v>66.315114989999998</v>
      </c>
      <c r="AY200">
        <f ca="1">IFERROR(IF(0=LEN(ReferenceData!$AY$200),"",ReferenceData!$AY$200),"")</f>
        <v>68.747620100000006</v>
      </c>
      <c r="AZ200">
        <f ca="1">IFERROR(IF(0=LEN(ReferenceData!$AZ$200),"",ReferenceData!$AZ$200),"")</f>
        <v>65.814813169999994</v>
      </c>
      <c r="BA200">
        <f ca="1">IFERROR(IF(0=LEN(ReferenceData!$BA$200),"",ReferenceData!$BA$200),"")</f>
        <v>67.244087260000001</v>
      </c>
      <c r="BB200">
        <f ca="1">IFERROR(IF(0=LEN(ReferenceData!$BB$200),"",ReferenceData!$BB$200),"")</f>
        <v>65.956389270000003</v>
      </c>
      <c r="BC200">
        <f ca="1">IFERROR(IF(0=LEN(ReferenceData!$BC$200),"",ReferenceData!$BC$200),"")</f>
        <v>64.231069910000002</v>
      </c>
      <c r="BD200">
        <f ca="1">IFERROR(IF(0=LEN(ReferenceData!$BD$200),"",ReferenceData!$BD$200),"")</f>
        <v>66.221110809999999</v>
      </c>
      <c r="BE200">
        <f ca="1">IFERROR(IF(0=LEN(ReferenceData!$BE$200),"",ReferenceData!$BE$200),"")</f>
        <v>67.840165479999996</v>
      </c>
      <c r="BF200">
        <f ca="1">IFERROR(IF(0=LEN(ReferenceData!$BF$200),"",ReferenceData!$BF$200),"")</f>
        <v>64.056167759999994</v>
      </c>
      <c r="BG200">
        <f ca="1">IFERROR(IF(0=LEN(ReferenceData!$BG$200),"",ReferenceData!$BG$200),"")</f>
        <v>61.087870649999999</v>
      </c>
      <c r="BH200">
        <f ca="1">IFERROR(IF(0=LEN(ReferenceData!$BH$200),"",ReferenceData!$BH$200),"")</f>
        <v>107.4879397</v>
      </c>
      <c r="BI200">
        <f ca="1">IFERROR(IF(0=LEN(ReferenceData!$BI$200),"",ReferenceData!$BI$200),"")</f>
        <v>63.476251929999997</v>
      </c>
      <c r="BJ200">
        <f ca="1">IFERROR(IF(0=LEN(ReferenceData!$BJ$200),"",ReferenceData!$BJ$200),"")</f>
        <v>62.769176379999998</v>
      </c>
      <c r="BK200">
        <f ca="1">IFERROR(IF(0=LEN(ReferenceData!$BK$200),"",ReferenceData!$BK$200),"")</f>
        <v>64.748514130000004</v>
      </c>
      <c r="BL200">
        <f ca="1">IFERROR(IF(0=LEN(ReferenceData!$BL$200),"",ReferenceData!$BL$200),"")</f>
        <v>104.8859898</v>
      </c>
      <c r="BM200">
        <f ca="1">IFERROR(IF(0=LEN(ReferenceData!$BM$200),"",ReferenceData!$BM$200),"")</f>
        <v>83.951903160000001</v>
      </c>
    </row>
    <row r="201" spans="1:65">
      <c r="A201" t="str">
        <f>IFERROR(IF(0=LEN(ReferenceData!$A$201),"",ReferenceData!$A$201),"")</f>
        <v xml:space="preserve">    Kimco Realty Corp</v>
      </c>
      <c r="B201" t="str">
        <f>IFERROR(IF(0=LEN(ReferenceData!$B$201),"",ReferenceData!$B$201),"")</f>
        <v>KIM US Equity</v>
      </c>
      <c r="C201" t="str">
        <f>IFERROR(IF(0=LEN(ReferenceData!$C$201),"",ReferenceData!$C$201),"")</f>
        <v>RX225</v>
      </c>
      <c r="D201" t="str">
        <f>IFERROR(IF(0=LEN(ReferenceData!$D$201),"",ReferenceData!$D$201),"")</f>
        <v>EBITDA_TO_REVENUE</v>
      </c>
      <c r="E201" t="str">
        <f>IFERROR(IF(0=LEN(ReferenceData!$E$201),"",ReferenceData!$E$201),"")</f>
        <v>动态</v>
      </c>
      <c r="F201" t="str">
        <f ca="1">IFERROR(IF(0=LEN(ReferenceData!$F$201),"",ReferenceData!$F$201),"")</f>
        <v/>
      </c>
      <c r="G201">
        <f ca="1">IFERROR(IF(0=LEN(ReferenceData!$G$201),"",ReferenceData!$G$201),"")</f>
        <v>52.06122611</v>
      </c>
      <c r="H201">
        <f ca="1">IFERROR(IF(0=LEN(ReferenceData!$H$201),"",ReferenceData!$H$201),"")</f>
        <v>63.859994229999998</v>
      </c>
      <c r="I201">
        <f ca="1">IFERROR(IF(0=LEN(ReferenceData!$I$201),"",ReferenceData!$I$201),"")</f>
        <v>54.2375562</v>
      </c>
      <c r="J201">
        <f ca="1">IFERROR(IF(0=LEN(ReferenceData!$J$201),"",ReferenceData!$J$201),"")</f>
        <v>62.915037400000003</v>
      </c>
      <c r="K201">
        <f ca="1">IFERROR(IF(0=LEN(ReferenceData!$K$201),"",ReferenceData!$K$201),"")</f>
        <v>54.776686220000002</v>
      </c>
      <c r="L201">
        <f ca="1">IFERROR(IF(0=LEN(ReferenceData!$L$201),"",ReferenceData!$L$201),"")</f>
        <v>60.652948690000002</v>
      </c>
      <c r="M201">
        <f ca="1">IFERROR(IF(0=LEN(ReferenceData!$M$201),"",ReferenceData!$M$201),"")</f>
        <v>46.801240530000001</v>
      </c>
      <c r="N201">
        <f ca="1">IFERROR(IF(0=LEN(ReferenceData!$N$201),"",ReferenceData!$N$201),"")</f>
        <v>61.949448519999997</v>
      </c>
      <c r="O201">
        <f ca="1">IFERROR(IF(0=LEN(ReferenceData!$O$201),"",ReferenceData!$O$201),"")</f>
        <v>56.00491907</v>
      </c>
      <c r="P201">
        <f ca="1">IFERROR(IF(0=LEN(ReferenceData!$P$201),"",ReferenceData!$P$201),"")</f>
        <v>61.964685729999999</v>
      </c>
      <c r="Q201">
        <f ca="1">IFERROR(IF(0=LEN(ReferenceData!$Q$201),"",ReferenceData!$Q$201),"")</f>
        <v>58.616069449999998</v>
      </c>
      <c r="R201">
        <f ca="1">IFERROR(IF(0=LEN(ReferenceData!$R$201),"",ReferenceData!$R$201),"")</f>
        <v>59.457199709999998</v>
      </c>
      <c r="S201">
        <f ca="1">IFERROR(IF(0=LEN(ReferenceData!$S$201),"",ReferenceData!$S$201),"")</f>
        <v>58.200006049999999</v>
      </c>
      <c r="T201">
        <f ca="1">IFERROR(IF(0=LEN(ReferenceData!$T$201),"",ReferenceData!$T$201),"")</f>
        <v>63.08250468</v>
      </c>
      <c r="U201">
        <f ca="1">IFERROR(IF(0=LEN(ReferenceData!$U$201),"",ReferenceData!$U$201),"")</f>
        <v>53.716488179999999</v>
      </c>
      <c r="V201">
        <f ca="1">IFERROR(IF(0=LEN(ReferenceData!$V$201),"",ReferenceData!$V$201),"")</f>
        <v>59.745040379999999</v>
      </c>
      <c r="W201">
        <f ca="1">IFERROR(IF(0=LEN(ReferenceData!$W$201),"",ReferenceData!$W$201),"")</f>
        <v>61.217484040000002</v>
      </c>
      <c r="X201">
        <f ca="1">IFERROR(IF(0=LEN(ReferenceData!$X$201),"",ReferenceData!$X$201),"")</f>
        <v>36.615597190000003</v>
      </c>
      <c r="Y201">
        <f ca="1">IFERROR(IF(0=LEN(ReferenceData!$Y$201),"",ReferenceData!$Y$201),"")</f>
        <v>46.013862709999998</v>
      </c>
      <c r="Z201">
        <f ca="1">IFERROR(IF(0=LEN(ReferenceData!$Z$201),"",ReferenceData!$Z$201),"")</f>
        <v>60.400414069999997</v>
      </c>
      <c r="AA201">
        <f ca="1">IFERROR(IF(0=LEN(ReferenceData!$AA$201),"",ReferenceData!$AA$201),"")</f>
        <v>55.675675679999998</v>
      </c>
      <c r="AB201">
        <f ca="1">IFERROR(IF(0=LEN(ReferenceData!$AB$201),"",ReferenceData!$AB$201),"")</f>
        <v>61.736582560000002</v>
      </c>
      <c r="AC201">
        <f ca="1">IFERROR(IF(0=LEN(ReferenceData!$AC$201),"",ReferenceData!$AC$201),"")</f>
        <v>62.634039530000003</v>
      </c>
      <c r="AD201">
        <f ca="1">IFERROR(IF(0=LEN(ReferenceData!$AD$201),"",ReferenceData!$AD$201),"")</f>
        <v>59.71007505</v>
      </c>
      <c r="AE201">
        <f ca="1">IFERROR(IF(0=LEN(ReferenceData!$AE$201),"",ReferenceData!$AE$201),"")</f>
        <v>57.125141999999997</v>
      </c>
      <c r="AF201">
        <f ca="1">IFERROR(IF(0=LEN(ReferenceData!$AF$201),"",ReferenceData!$AF$201),"")</f>
        <v>57.834057039999998</v>
      </c>
      <c r="AG201">
        <f ca="1">IFERROR(IF(0=LEN(ReferenceData!$AG$201),"",ReferenceData!$AG$201),"")</f>
        <v>59.410925419999998</v>
      </c>
      <c r="AH201">
        <f ca="1">IFERROR(IF(0=LEN(ReferenceData!$AH$201),"",ReferenceData!$AH$201),"")</f>
        <v>58.74804563</v>
      </c>
      <c r="AI201">
        <f ca="1">IFERROR(IF(0=LEN(ReferenceData!$AI$201),"",ReferenceData!$AI$201),"")</f>
        <v>55.471342720000003</v>
      </c>
      <c r="AJ201">
        <f ca="1">IFERROR(IF(0=LEN(ReferenceData!$AJ$201),"",ReferenceData!$AJ$201),"")</f>
        <v>60.230423119999998</v>
      </c>
      <c r="AK201">
        <f ca="1">IFERROR(IF(0=LEN(ReferenceData!$AK$201),"",ReferenceData!$AK$201),"")</f>
        <v>61.410840589999999</v>
      </c>
      <c r="AL201">
        <f ca="1">IFERROR(IF(0=LEN(ReferenceData!$AL$201),"",ReferenceData!$AL$201),"")</f>
        <v>61.559581680000001</v>
      </c>
      <c r="AM201">
        <f ca="1">IFERROR(IF(0=LEN(ReferenceData!$AM$201),"",ReferenceData!$AM$201),"")</f>
        <v>61.818317290000003</v>
      </c>
      <c r="AN201">
        <f ca="1">IFERROR(IF(0=LEN(ReferenceData!$AN$201),"",ReferenceData!$AN$201),"")</f>
        <v>60.483935240000001</v>
      </c>
      <c r="AO201">
        <f ca="1">IFERROR(IF(0=LEN(ReferenceData!$AO$201),"",ReferenceData!$AO$201),"")</f>
        <v>43.44923137</v>
      </c>
      <c r="AP201">
        <f ca="1">IFERROR(IF(0=LEN(ReferenceData!$AP$201),"",ReferenceData!$AP$201),"")</f>
        <v>59.026575710000003</v>
      </c>
      <c r="AQ201">
        <f ca="1">IFERROR(IF(0=LEN(ReferenceData!$AQ$201),"",ReferenceData!$AQ$201),"")</f>
        <v>57.797090259999997</v>
      </c>
      <c r="AR201">
        <f ca="1">IFERROR(IF(0=LEN(ReferenceData!$AR$201),"",ReferenceData!$AR$201),"")</f>
        <v>63.506823109999999</v>
      </c>
      <c r="AS201">
        <f ca="1">IFERROR(IF(0=LEN(ReferenceData!$AS$201),"",ReferenceData!$AS$201),"")</f>
        <v>67.560843700000007</v>
      </c>
      <c r="AT201">
        <f ca="1">IFERROR(IF(0=LEN(ReferenceData!$AT$201),"",ReferenceData!$AT$201),"")</f>
        <v>65.36601383</v>
      </c>
      <c r="AU201">
        <f ca="1">IFERROR(IF(0=LEN(ReferenceData!$AU$201),"",ReferenceData!$AU$201),"")</f>
        <v>61.79495507</v>
      </c>
      <c r="AV201">
        <f ca="1">IFERROR(IF(0=LEN(ReferenceData!$AV$201),"",ReferenceData!$AV$201),"")</f>
        <v>63.903823959999997</v>
      </c>
      <c r="AW201">
        <f ca="1">IFERROR(IF(0=LEN(ReferenceData!$AW$201),"",ReferenceData!$AW$201),"")</f>
        <v>68.132362569999998</v>
      </c>
      <c r="AX201">
        <f ca="1">IFERROR(IF(0=LEN(ReferenceData!$AX$201),"",ReferenceData!$AX$201),"")</f>
        <v>66.393926829999998</v>
      </c>
      <c r="AY201">
        <f ca="1">IFERROR(IF(0=LEN(ReferenceData!$AY$201),"",ReferenceData!$AY$201),"")</f>
        <v>96.61175394</v>
      </c>
      <c r="AZ201">
        <f ca="1">IFERROR(IF(0=LEN(ReferenceData!$AZ$201),"",ReferenceData!$AZ$201),"")</f>
        <v>58.693436329999997</v>
      </c>
      <c r="BA201">
        <f ca="1">IFERROR(IF(0=LEN(ReferenceData!$BA$201),"",ReferenceData!$BA$201),"")</f>
        <v>72.148196130000002</v>
      </c>
      <c r="BB201">
        <f ca="1">IFERROR(IF(0=LEN(ReferenceData!$BB$201),"",ReferenceData!$BB$201),"")</f>
        <v>68.726580549999994</v>
      </c>
      <c r="BC201">
        <f ca="1">IFERROR(IF(0=LEN(ReferenceData!$BC$201),"",ReferenceData!$BC$201),"")</f>
        <v>51.885984819999997</v>
      </c>
      <c r="BD201">
        <f ca="1">IFERROR(IF(0=LEN(ReferenceData!$BD$201),"",ReferenceData!$BD$201),"")</f>
        <v>68.522936029999997</v>
      </c>
      <c r="BE201">
        <f ca="1">IFERROR(IF(0=LEN(ReferenceData!$BE$201),"",ReferenceData!$BE$201),"")</f>
        <v>72.545050239999995</v>
      </c>
      <c r="BF201">
        <f ca="1">IFERROR(IF(0=LEN(ReferenceData!$BF$201),"",ReferenceData!$BF$201),"")</f>
        <v>69.288358439999996</v>
      </c>
      <c r="BG201">
        <f ca="1">IFERROR(IF(0=LEN(ReferenceData!$BG$201),"",ReferenceData!$BG$201),"")</f>
        <v>70.176889970000005</v>
      </c>
      <c r="BH201">
        <f ca="1">IFERROR(IF(0=LEN(ReferenceData!$BH$201),"",ReferenceData!$BH$201),"")</f>
        <v>71.434969420000002</v>
      </c>
      <c r="BI201">
        <f ca="1">IFERROR(IF(0=LEN(ReferenceData!$BI$201),"",ReferenceData!$BI$201),"")</f>
        <v>68.828727869999994</v>
      </c>
      <c r="BJ201">
        <f ca="1">IFERROR(IF(0=LEN(ReferenceData!$BJ$201),"",ReferenceData!$BJ$201),"")</f>
        <v>68.746649869999999</v>
      </c>
      <c r="BK201" t="str">
        <f ca="1">IFERROR(IF(0=LEN(ReferenceData!$BK$201),"",ReferenceData!$BK$201),"")</f>
        <v/>
      </c>
      <c r="BL201">
        <f ca="1">IFERROR(IF(0=LEN(ReferenceData!$BL$201),"",ReferenceData!$BL$201),"")</f>
        <v>70.795123829999994</v>
      </c>
      <c r="BM201">
        <f ca="1">IFERROR(IF(0=LEN(ReferenceData!$BM$201),"",ReferenceData!$BM$201),"")</f>
        <v>69.3923925</v>
      </c>
    </row>
    <row r="202" spans="1:65">
      <c r="A202" t="str">
        <f>IFERROR(IF(0=LEN(ReferenceData!$A$202),"",ReferenceData!$A$202),"")</f>
        <v xml:space="preserve">    National Retail Properties Inc</v>
      </c>
      <c r="B202" t="str">
        <f>IFERROR(IF(0=LEN(ReferenceData!$B$202),"",ReferenceData!$B$202),"")</f>
        <v>NNN US Equity</v>
      </c>
      <c r="C202" t="str">
        <f>IFERROR(IF(0=LEN(ReferenceData!$C$202),"",ReferenceData!$C$202),"")</f>
        <v>RX225</v>
      </c>
      <c r="D202" t="str">
        <f>IFERROR(IF(0=LEN(ReferenceData!$D$202),"",ReferenceData!$D$202),"")</f>
        <v>EBITDA_TO_REVENUE</v>
      </c>
      <c r="E202" t="str">
        <f>IFERROR(IF(0=LEN(ReferenceData!$E$202),"",ReferenceData!$E$202),"")</f>
        <v>动态</v>
      </c>
      <c r="F202" t="str">
        <f ca="1">IFERROR(IF(0=LEN(ReferenceData!$F$202),"",ReferenceData!$F$202),"")</f>
        <v/>
      </c>
      <c r="G202">
        <f ca="1">IFERROR(IF(0=LEN(ReferenceData!$G$202),"",ReferenceData!$G$202),"")</f>
        <v>84.639959529999999</v>
      </c>
      <c r="H202">
        <f ca="1">IFERROR(IF(0=LEN(ReferenceData!$H$202),"",ReferenceData!$H$202),"")</f>
        <v>91.055143700000002</v>
      </c>
      <c r="I202">
        <f ca="1">IFERROR(IF(0=LEN(ReferenceData!$I$202),"",ReferenceData!$I$202),"")</f>
        <v>85.137066300000001</v>
      </c>
      <c r="J202">
        <f ca="1">IFERROR(IF(0=LEN(ReferenceData!$J$202),"",ReferenceData!$J$202),"")</f>
        <v>88.837038289999995</v>
      </c>
      <c r="K202">
        <f ca="1">IFERROR(IF(0=LEN(ReferenceData!$K$202),"",ReferenceData!$K$202),"")</f>
        <v>88.45530067</v>
      </c>
      <c r="L202">
        <f ca="1">IFERROR(IF(0=LEN(ReferenceData!$L$202),"",ReferenceData!$L$202),"")</f>
        <v>81.453237299999998</v>
      </c>
      <c r="M202">
        <f ca="1">IFERROR(IF(0=LEN(ReferenceData!$M$202),"",ReferenceData!$M$202),"")</f>
        <v>85.18781602</v>
      </c>
      <c r="N202">
        <f ca="1">IFERROR(IF(0=LEN(ReferenceData!$N$202),"",ReferenceData!$N$202),"")</f>
        <v>88.322570479999996</v>
      </c>
      <c r="O202">
        <f ca="1">IFERROR(IF(0=LEN(ReferenceData!$O$202),"",ReferenceData!$O$202),"")</f>
        <v>87.346589960000003</v>
      </c>
      <c r="P202">
        <f ca="1">IFERROR(IF(0=LEN(ReferenceData!$P$202),"",ReferenceData!$P$202),"")</f>
        <v>89.057437289999996</v>
      </c>
      <c r="Q202">
        <f ca="1">IFERROR(IF(0=LEN(ReferenceData!$Q$202),"",ReferenceData!$Q$202),"")</f>
        <v>86.688621940000004</v>
      </c>
      <c r="R202">
        <f ca="1">IFERROR(IF(0=LEN(ReferenceData!$R$202),"",ReferenceData!$R$202),"")</f>
        <v>87.613072029999998</v>
      </c>
      <c r="S202">
        <f ca="1">IFERROR(IF(0=LEN(ReferenceData!$S$202),"",ReferenceData!$S$202),"")</f>
        <v>88.599054760000001</v>
      </c>
      <c r="T202">
        <f ca="1">IFERROR(IF(0=LEN(ReferenceData!$T$202),"",ReferenceData!$T$202),"")</f>
        <v>87.542783279999995</v>
      </c>
      <c r="U202">
        <f ca="1">IFERROR(IF(0=LEN(ReferenceData!$U$202),"",ReferenceData!$U$202),"")</f>
        <v>87.704165209999999</v>
      </c>
      <c r="V202">
        <f ca="1">IFERROR(IF(0=LEN(ReferenceData!$V$202),"",ReferenceData!$V$202),"")</f>
        <v>86.73028137</v>
      </c>
      <c r="W202">
        <f ca="1">IFERROR(IF(0=LEN(ReferenceData!$W$202),"",ReferenceData!$W$202),"")</f>
        <v>86.397030540000003</v>
      </c>
      <c r="X202">
        <f ca="1">IFERROR(IF(0=LEN(ReferenceData!$X$202),"",ReferenceData!$X$202),"")</f>
        <v>88.251955359999997</v>
      </c>
      <c r="Y202">
        <f ca="1">IFERROR(IF(0=LEN(ReferenceData!$Y$202),"",ReferenceData!$Y$202),"")</f>
        <v>85.492497009999994</v>
      </c>
      <c r="Z202">
        <f ca="1">IFERROR(IF(0=LEN(ReferenceData!$Z$202),"",ReferenceData!$Z$202),"")</f>
        <v>83.788285169999995</v>
      </c>
      <c r="AA202">
        <f ca="1">IFERROR(IF(0=LEN(ReferenceData!$AA$202),"",ReferenceData!$AA$202),"")</f>
        <v>84.912249180000003</v>
      </c>
      <c r="AB202">
        <f ca="1">IFERROR(IF(0=LEN(ReferenceData!$AB$202),"",ReferenceData!$AB$202),"")</f>
        <v>81.731464259999996</v>
      </c>
      <c r="AC202">
        <f ca="1">IFERROR(IF(0=LEN(ReferenceData!$AC$202),"",ReferenceData!$AC$202),"")</f>
        <v>76.794021799999996</v>
      </c>
      <c r="AD202">
        <f ca="1">IFERROR(IF(0=LEN(ReferenceData!$AD$202),"",ReferenceData!$AD$202),"")</f>
        <v>74.292679070000005</v>
      </c>
      <c r="AE202">
        <f ca="1">IFERROR(IF(0=LEN(ReferenceData!$AE$202),"",ReferenceData!$AE$202),"")</f>
        <v>72.826589249999998</v>
      </c>
      <c r="AF202">
        <f ca="1">IFERROR(IF(0=LEN(ReferenceData!$AF$202),"",ReferenceData!$AF$202),"")</f>
        <v>71.293718679999998</v>
      </c>
      <c r="AG202">
        <f ca="1">IFERROR(IF(0=LEN(ReferenceData!$AG$202),"",ReferenceData!$AG$202),"")</f>
        <v>70.031622150000004</v>
      </c>
      <c r="AH202">
        <f ca="1">IFERROR(IF(0=LEN(ReferenceData!$AH$202),"",ReferenceData!$AH$202),"")</f>
        <v>72.935108479999997</v>
      </c>
      <c r="AI202">
        <f ca="1">IFERROR(IF(0=LEN(ReferenceData!$AI$202),"",ReferenceData!$AI$202),"")</f>
        <v>63.390966830000004</v>
      </c>
      <c r="AJ202">
        <f ca="1">IFERROR(IF(0=LEN(ReferenceData!$AJ$202),"",ReferenceData!$AJ$202),"")</f>
        <v>73.757782930000005</v>
      </c>
      <c r="AK202">
        <f ca="1">IFERROR(IF(0=LEN(ReferenceData!$AK$202),"",ReferenceData!$AK$202),"")</f>
        <v>73.694476870000003</v>
      </c>
      <c r="AL202">
        <f ca="1">IFERROR(IF(0=LEN(ReferenceData!$AL$202),"",ReferenceData!$AL$202),"")</f>
        <v>69.590671110000002</v>
      </c>
      <c r="AM202">
        <f ca="1">IFERROR(IF(0=LEN(ReferenceData!$AM$202),"",ReferenceData!$AM$202),"")</f>
        <v>32.334118719999999</v>
      </c>
      <c r="AN202">
        <f ca="1">IFERROR(IF(0=LEN(ReferenceData!$AN$202),"",ReferenceData!$AN$202),"")</f>
        <v>75.754989289999997</v>
      </c>
      <c r="AO202">
        <f ca="1">IFERROR(IF(0=LEN(ReferenceData!$AO$202),"",ReferenceData!$AO$202),"")</f>
        <v>84.681618970000002</v>
      </c>
      <c r="AP202">
        <f ca="1">IFERROR(IF(0=LEN(ReferenceData!$AP$202),"",ReferenceData!$AP$202),"")</f>
        <v>84.260182159999999</v>
      </c>
      <c r="AQ202">
        <f ca="1">IFERROR(IF(0=LEN(ReferenceData!$AQ$202),"",ReferenceData!$AQ$202),"")</f>
        <v>84.131653150000005</v>
      </c>
      <c r="AR202">
        <f ca="1">IFERROR(IF(0=LEN(ReferenceData!$AR$202),"",ReferenceData!$AR$202),"")</f>
        <v>87.356400440000002</v>
      </c>
      <c r="AS202">
        <f ca="1">IFERROR(IF(0=LEN(ReferenceData!$AS$202),"",ReferenceData!$AS$202),"")</f>
        <v>85.724423000000002</v>
      </c>
      <c r="AT202">
        <f ca="1">IFERROR(IF(0=LEN(ReferenceData!$AT$202),"",ReferenceData!$AT$202),"")</f>
        <v>82.038178819999999</v>
      </c>
      <c r="AU202">
        <f ca="1">IFERROR(IF(0=LEN(ReferenceData!$AU$202),"",ReferenceData!$AU$202),"")</f>
        <v>82.786220439999994</v>
      </c>
      <c r="AV202">
        <f ca="1">IFERROR(IF(0=LEN(ReferenceData!$AV$202),"",ReferenceData!$AV$202),"")</f>
        <v>85.488789620000006</v>
      </c>
      <c r="AW202">
        <f ca="1">IFERROR(IF(0=LEN(ReferenceData!$AW$202),"",ReferenceData!$AW$202),"")</f>
        <v>83.2775666</v>
      </c>
      <c r="AX202">
        <f ca="1">IFERROR(IF(0=LEN(ReferenceData!$AX$202),"",ReferenceData!$AX$202),"")</f>
        <v>80.710476139999997</v>
      </c>
      <c r="AY202">
        <f ca="1">IFERROR(IF(0=LEN(ReferenceData!$AY$202),"",ReferenceData!$AY$202),"")</f>
        <v>78.401941440000002</v>
      </c>
      <c r="AZ202">
        <f ca="1">IFERROR(IF(0=LEN(ReferenceData!$AZ$202),"",ReferenceData!$AZ$202),"")</f>
        <v>83.666481070000003</v>
      </c>
      <c r="BA202">
        <f ca="1">IFERROR(IF(0=LEN(ReferenceData!$BA$202),"",ReferenceData!$BA$202),"")</f>
        <v>77.897758510000003</v>
      </c>
      <c r="BB202">
        <f ca="1">IFERROR(IF(0=LEN(ReferenceData!$BB$202),"",ReferenceData!$BB$202),"")</f>
        <v>81.068281940000006</v>
      </c>
      <c r="BC202">
        <f ca="1">IFERROR(IF(0=LEN(ReferenceData!$BC$202),"",ReferenceData!$BC$202),"")</f>
        <v>78.635566170000004</v>
      </c>
      <c r="BD202">
        <f ca="1">IFERROR(IF(0=LEN(ReferenceData!$BD$202),"",ReferenceData!$BD$202),"")</f>
        <v>82.621937889999998</v>
      </c>
      <c r="BE202">
        <f ca="1">IFERROR(IF(0=LEN(ReferenceData!$BE$202),"",ReferenceData!$BE$202),"")</f>
        <v>81.456758969999996</v>
      </c>
      <c r="BF202">
        <f ca="1">IFERROR(IF(0=LEN(ReferenceData!$BF$202),"",ReferenceData!$BF$202),"")</f>
        <v>81.456953639999995</v>
      </c>
      <c r="BG202">
        <f ca="1">IFERROR(IF(0=LEN(ReferenceData!$BG$202),"",ReferenceData!$BG$202),"")</f>
        <v>71.099846389999996</v>
      </c>
      <c r="BH202">
        <f ca="1">IFERROR(IF(0=LEN(ReferenceData!$BH$202),"",ReferenceData!$BH$202),"")</f>
        <v>75.225781920000003</v>
      </c>
      <c r="BI202">
        <f ca="1">IFERROR(IF(0=LEN(ReferenceData!$BI$202),"",ReferenceData!$BI$202),"")</f>
        <v>63.426714130000001</v>
      </c>
      <c r="BJ202">
        <f ca="1">IFERROR(IF(0=LEN(ReferenceData!$BJ$202),"",ReferenceData!$BJ$202),"")</f>
        <v>72.667712469999998</v>
      </c>
      <c r="BK202">
        <f ca="1">IFERROR(IF(0=LEN(ReferenceData!$BK$202),"",ReferenceData!$BK$202),"")</f>
        <v>83.864278310000003</v>
      </c>
      <c r="BL202">
        <f ca="1">IFERROR(IF(0=LEN(ReferenceData!$BL$202),"",ReferenceData!$BL$202),"")</f>
        <v>70.528690179999998</v>
      </c>
      <c r="BM202">
        <f ca="1">IFERROR(IF(0=LEN(ReferenceData!$BM$202),"",ReferenceData!$BM$202),"")</f>
        <v>76.124010780000006</v>
      </c>
    </row>
    <row r="203" spans="1:65">
      <c r="A203" t="str">
        <f>IFERROR(IF(0=LEN(ReferenceData!$A$203),"",ReferenceData!$A$203),"")</f>
        <v xml:space="preserve">    Realty Income Corp</v>
      </c>
      <c r="B203" t="str">
        <f>IFERROR(IF(0=LEN(ReferenceData!$B$203),"",ReferenceData!$B$203),"")</f>
        <v>O US Equity</v>
      </c>
      <c r="C203" t="str">
        <f>IFERROR(IF(0=LEN(ReferenceData!$C$203),"",ReferenceData!$C$203),"")</f>
        <v>RX225</v>
      </c>
      <c r="D203" t="str">
        <f>IFERROR(IF(0=LEN(ReferenceData!$D$203),"",ReferenceData!$D$203),"")</f>
        <v>EBITDA_TO_REVENUE</v>
      </c>
      <c r="E203" t="str">
        <f>IFERROR(IF(0=LEN(ReferenceData!$E$203),"",ReferenceData!$E$203),"")</f>
        <v>动态</v>
      </c>
      <c r="F203" t="str">
        <f ca="1">IFERROR(IF(0=LEN(ReferenceData!$F$203),"",ReferenceData!$F$203),"")</f>
        <v/>
      </c>
      <c r="G203">
        <f ca="1">IFERROR(IF(0=LEN(ReferenceData!$G$203),"",ReferenceData!$G$203),"")</f>
        <v>87.590695760000003</v>
      </c>
      <c r="H203">
        <f ca="1">IFERROR(IF(0=LEN(ReferenceData!$H$203),"",ReferenceData!$H$203),"")</f>
        <v>89.732503579999999</v>
      </c>
      <c r="I203">
        <f ca="1">IFERROR(IF(0=LEN(ReferenceData!$I$203),"",ReferenceData!$I$203),"")</f>
        <v>88.492854050000005</v>
      </c>
      <c r="J203">
        <f ca="1">IFERROR(IF(0=LEN(ReferenceData!$J$203),"",ReferenceData!$J$203),"")</f>
        <v>87.224897240000004</v>
      </c>
      <c r="K203">
        <f ca="1">IFERROR(IF(0=LEN(ReferenceData!$K$203),"",ReferenceData!$K$203),"")</f>
        <v>87.951765370000004</v>
      </c>
      <c r="L203">
        <f ca="1">IFERROR(IF(0=LEN(ReferenceData!$L$203),"",ReferenceData!$L$203),"")</f>
        <v>86.815502179999996</v>
      </c>
      <c r="M203">
        <f ca="1">IFERROR(IF(0=LEN(ReferenceData!$M$203),"",ReferenceData!$M$203),"")</f>
        <v>87.114400509999996</v>
      </c>
      <c r="N203">
        <f ca="1">IFERROR(IF(0=LEN(ReferenceData!$N$203),"",ReferenceData!$N$203),"")</f>
        <v>89.013761810000005</v>
      </c>
      <c r="O203">
        <f ca="1">IFERROR(IF(0=LEN(ReferenceData!$O$203),"",ReferenceData!$O$203),"")</f>
        <v>89.668446680000002</v>
      </c>
      <c r="P203">
        <f ca="1">IFERROR(IF(0=LEN(ReferenceData!$P$203),"",ReferenceData!$P$203),"")</f>
        <v>89.081421000000006</v>
      </c>
      <c r="Q203">
        <f ca="1">IFERROR(IF(0=LEN(ReferenceData!$Q$203),"",ReferenceData!$Q$203),"")</f>
        <v>89.149137319999994</v>
      </c>
      <c r="R203">
        <f ca="1">IFERROR(IF(0=LEN(ReferenceData!$R$203),"",ReferenceData!$R$203),"")</f>
        <v>89.128559100000004</v>
      </c>
      <c r="S203">
        <f ca="1">IFERROR(IF(0=LEN(ReferenceData!$S$203),"",ReferenceData!$S$203),"")</f>
        <v>81.788805730000007</v>
      </c>
      <c r="T203">
        <f ca="1">IFERROR(IF(0=LEN(ReferenceData!$T$203),"",ReferenceData!$T$203),"")</f>
        <v>93.151841430000005</v>
      </c>
      <c r="U203">
        <f ca="1">IFERROR(IF(0=LEN(ReferenceData!$U$203),"",ReferenceData!$U$203),"")</f>
        <v>90.503223320000004</v>
      </c>
      <c r="V203">
        <f ca="1">IFERROR(IF(0=LEN(ReferenceData!$V$203),"",ReferenceData!$V$203),"")</f>
        <v>89.410665609999995</v>
      </c>
      <c r="W203">
        <f ca="1">IFERROR(IF(0=LEN(ReferenceData!$W$203),"",ReferenceData!$W$203),"")</f>
        <v>86.250190829999994</v>
      </c>
      <c r="X203">
        <f ca="1">IFERROR(IF(0=LEN(ReferenceData!$X$203),"",ReferenceData!$X$203),"")</f>
        <v>87.457009810000002</v>
      </c>
      <c r="Y203">
        <f ca="1">IFERROR(IF(0=LEN(ReferenceData!$Y$203),"",ReferenceData!$Y$203),"")</f>
        <v>89.03310931</v>
      </c>
      <c r="Z203">
        <f ca="1">IFERROR(IF(0=LEN(ReferenceData!$Z$203),"",ReferenceData!$Z$203),"")</f>
        <v>81.067900320000007</v>
      </c>
      <c r="AA203">
        <f ca="1">IFERROR(IF(0=LEN(ReferenceData!$AA$203),"",ReferenceData!$AA$203),"")</f>
        <v>85.738273980000002</v>
      </c>
      <c r="AB203">
        <f ca="1">IFERROR(IF(0=LEN(ReferenceData!$AB$203),"",ReferenceData!$AB$203),"")</f>
        <v>85.773672840000003</v>
      </c>
      <c r="AC203">
        <f ca="1">IFERROR(IF(0=LEN(ReferenceData!$AC$203),"",ReferenceData!$AC$203),"")</f>
        <v>90.059487509999997</v>
      </c>
      <c r="AD203">
        <f ca="1">IFERROR(IF(0=LEN(ReferenceData!$AD$203),"",ReferenceData!$AD$203),"")</f>
        <v>89.917635009999998</v>
      </c>
      <c r="AE203">
        <f ca="1">IFERROR(IF(0=LEN(ReferenceData!$AE$203),"",ReferenceData!$AE$203),"")</f>
        <v>87.761621399999996</v>
      </c>
      <c r="AF203">
        <f ca="1">IFERROR(IF(0=LEN(ReferenceData!$AF$203),"",ReferenceData!$AF$203),"")</f>
        <v>91.660547870000002</v>
      </c>
      <c r="AG203">
        <f ca="1">IFERROR(IF(0=LEN(ReferenceData!$AG$203),"",ReferenceData!$AG$203),"")</f>
        <v>90.394607359999995</v>
      </c>
      <c r="AH203">
        <f ca="1">IFERROR(IF(0=LEN(ReferenceData!$AH$203),"",ReferenceData!$AH$203),"")</f>
        <v>90.157682660000006</v>
      </c>
      <c r="AI203">
        <f ca="1">IFERROR(IF(0=LEN(ReferenceData!$AI$203),"",ReferenceData!$AI$203),"")</f>
        <v>88.127269769999998</v>
      </c>
      <c r="AJ203">
        <f ca="1">IFERROR(IF(0=LEN(ReferenceData!$AJ$203),"",ReferenceData!$AJ$203),"")</f>
        <v>90.806490620000005</v>
      </c>
      <c r="AK203">
        <f ca="1">IFERROR(IF(0=LEN(ReferenceData!$AK$203),"",ReferenceData!$AK$203),"")</f>
        <v>89.873417720000006</v>
      </c>
      <c r="AL203">
        <f ca="1">IFERROR(IF(0=LEN(ReferenceData!$AL$203),"",ReferenceData!$AL$203),"")</f>
        <v>89.491394130000003</v>
      </c>
      <c r="AM203">
        <f ca="1">IFERROR(IF(0=LEN(ReferenceData!$AM$203),"",ReferenceData!$AM$203),"")</f>
        <v>91.198976450000004</v>
      </c>
      <c r="AN203">
        <f ca="1">IFERROR(IF(0=LEN(ReferenceData!$AN$203),"",ReferenceData!$AN$203),"")</f>
        <v>91.884659290000002</v>
      </c>
      <c r="AO203">
        <f ca="1">IFERROR(IF(0=LEN(ReferenceData!$AO$203),"",ReferenceData!$AO$203),"")</f>
        <v>91.626179260000001</v>
      </c>
      <c r="AP203">
        <f ca="1">IFERROR(IF(0=LEN(ReferenceData!$AP$203),"",ReferenceData!$AP$203),"")</f>
        <v>90.197741480000005</v>
      </c>
      <c r="AQ203">
        <f ca="1">IFERROR(IF(0=LEN(ReferenceData!$AQ$203),"",ReferenceData!$AQ$203),"")</f>
        <v>98.298115640000006</v>
      </c>
      <c r="AR203">
        <f ca="1">IFERROR(IF(0=LEN(ReferenceData!$AR$203),"",ReferenceData!$AR$203),"")</f>
        <v>87.271201489999996</v>
      </c>
      <c r="AS203">
        <f ca="1">IFERROR(IF(0=LEN(ReferenceData!$AS$203),"",ReferenceData!$AS$203),"")</f>
        <v>95.078111669999998</v>
      </c>
      <c r="AT203">
        <f ca="1">IFERROR(IF(0=LEN(ReferenceData!$AT$203),"",ReferenceData!$AT$203),"")</f>
        <v>92.893855290000005</v>
      </c>
      <c r="AU203">
        <f ca="1">IFERROR(IF(0=LEN(ReferenceData!$AU$203),"",ReferenceData!$AU$203),"")</f>
        <v>93.766460710000004</v>
      </c>
      <c r="AV203">
        <f ca="1">IFERROR(IF(0=LEN(ReferenceData!$AV$203),"",ReferenceData!$AV$203),"")</f>
        <v>91.289678100000003</v>
      </c>
      <c r="AW203">
        <f ca="1">IFERROR(IF(0=LEN(ReferenceData!$AW$203),"",ReferenceData!$AW$203),"")</f>
        <v>92.221829229999997</v>
      </c>
      <c r="AX203">
        <f ca="1">IFERROR(IF(0=LEN(ReferenceData!$AX$203),"",ReferenceData!$AX$203),"")</f>
        <v>92.809477079999994</v>
      </c>
      <c r="AY203">
        <f ca="1">IFERROR(IF(0=LEN(ReferenceData!$AY$203),"",ReferenceData!$AY$203),"")</f>
        <v>92.564482830000003</v>
      </c>
      <c r="AZ203">
        <f ca="1">IFERROR(IF(0=LEN(ReferenceData!$AZ$203),"",ReferenceData!$AZ$203),"")</f>
        <v>92.747278750000007</v>
      </c>
      <c r="BA203">
        <f ca="1">IFERROR(IF(0=LEN(ReferenceData!$BA$203),"",ReferenceData!$BA$203),"")</f>
        <v>92.854485339999997</v>
      </c>
      <c r="BB203">
        <f ca="1">IFERROR(IF(0=LEN(ReferenceData!$BB$203),"",ReferenceData!$BB$203),"")</f>
        <v>91.895569510000001</v>
      </c>
      <c r="BC203">
        <f ca="1">IFERROR(IF(0=LEN(ReferenceData!$BC$203),"",ReferenceData!$BC$203),"")</f>
        <v>92.877354069999996</v>
      </c>
      <c r="BD203">
        <f ca="1">IFERROR(IF(0=LEN(ReferenceData!$BD$203),"",ReferenceData!$BD$203),"")</f>
        <v>90.529175600000002</v>
      </c>
      <c r="BE203">
        <f ca="1">IFERROR(IF(0=LEN(ReferenceData!$BE$203),"",ReferenceData!$BE$203),"")</f>
        <v>90.971090709999999</v>
      </c>
      <c r="BF203">
        <f ca="1">IFERROR(IF(0=LEN(ReferenceData!$BF$203),"",ReferenceData!$BF$203),"")</f>
        <v>90.782546370000006</v>
      </c>
      <c r="BG203">
        <f ca="1">IFERROR(IF(0=LEN(ReferenceData!$BG$203),"",ReferenceData!$BG$203),"")</f>
        <v>94.012420059999997</v>
      </c>
      <c r="BH203">
        <f ca="1">IFERROR(IF(0=LEN(ReferenceData!$BH$203),"",ReferenceData!$BH$203),"")</f>
        <v>92.406368110000003</v>
      </c>
      <c r="BI203">
        <f ca="1">IFERROR(IF(0=LEN(ReferenceData!$BI$203),"",ReferenceData!$BI$203),"")</f>
        <v>115.1324345</v>
      </c>
      <c r="BJ203">
        <f ca="1">IFERROR(IF(0=LEN(ReferenceData!$BJ$203),"",ReferenceData!$BJ$203),"")</f>
        <v>90.36229951</v>
      </c>
      <c r="BK203">
        <f ca="1">IFERROR(IF(0=LEN(ReferenceData!$BK$203),"",ReferenceData!$BK$203),"")</f>
        <v>91.371977110000003</v>
      </c>
      <c r="BL203">
        <f ca="1">IFERROR(IF(0=LEN(ReferenceData!$BL$203),"",ReferenceData!$BL$203),"")</f>
        <v>91.047945330000005</v>
      </c>
      <c r="BM203">
        <f ca="1">IFERROR(IF(0=LEN(ReferenceData!$BM$203),"",ReferenceData!$BM$203),"")</f>
        <v>90.449024399999999</v>
      </c>
    </row>
    <row r="204" spans="1:65">
      <c r="A204" t="str">
        <f>IFERROR(IF(0=LEN(ReferenceData!$A$204),"",ReferenceData!$A$204),"")</f>
        <v xml:space="preserve">    Regency Centers Corp</v>
      </c>
      <c r="B204" t="str">
        <f>IFERROR(IF(0=LEN(ReferenceData!$B$204),"",ReferenceData!$B$204),"")</f>
        <v>REG US Equity</v>
      </c>
      <c r="C204" t="str">
        <f>IFERROR(IF(0=LEN(ReferenceData!$C$204),"",ReferenceData!$C$204),"")</f>
        <v>RX225</v>
      </c>
      <c r="D204" t="str">
        <f>IFERROR(IF(0=LEN(ReferenceData!$D$204),"",ReferenceData!$D$204),"")</f>
        <v>EBITDA_TO_REVENUE</v>
      </c>
      <c r="E204" t="str">
        <f>IFERROR(IF(0=LEN(ReferenceData!$E$204),"",ReferenceData!$E$204),"")</f>
        <v>动态</v>
      </c>
      <c r="F204" t="str">
        <f ca="1">IFERROR(IF(0=LEN(ReferenceData!$F$204),"",ReferenceData!$F$204),"")</f>
        <v/>
      </c>
      <c r="G204">
        <f ca="1">IFERROR(IF(0=LEN(ReferenceData!$G$204),"",ReferenceData!$G$204),"")</f>
        <v>63.815434119999999</v>
      </c>
      <c r="H204">
        <f ca="1">IFERROR(IF(0=LEN(ReferenceData!$H$204),"",ReferenceData!$H$204),"")</f>
        <v>67.296226079999997</v>
      </c>
      <c r="I204">
        <f ca="1">IFERROR(IF(0=LEN(ReferenceData!$I$204),"",ReferenceData!$I$204),"")</f>
        <v>66.193911330000006</v>
      </c>
      <c r="J204">
        <f ca="1">IFERROR(IF(0=LEN(ReferenceData!$J$204),"",ReferenceData!$J$204),"")</f>
        <v>28.416211610000001</v>
      </c>
      <c r="K204">
        <f ca="1">IFERROR(IF(0=LEN(ReferenceData!$K$204),"",ReferenceData!$K$204),"")</f>
        <v>58.088756019999998</v>
      </c>
      <c r="L204">
        <f ca="1">IFERROR(IF(0=LEN(ReferenceData!$L$204),"",ReferenceData!$L$204),"")</f>
        <v>62.346826559999997</v>
      </c>
      <c r="M204">
        <f ca="1">IFERROR(IF(0=LEN(ReferenceData!$M$204),"",ReferenceData!$M$204),"")</f>
        <v>61.11329817</v>
      </c>
      <c r="N204">
        <f ca="1">IFERROR(IF(0=LEN(ReferenceData!$N$204),"",ReferenceData!$N$204),"")</f>
        <v>61.798593850000003</v>
      </c>
      <c r="O204">
        <f ca="1">IFERROR(IF(0=LEN(ReferenceData!$O$204),"",ReferenceData!$O$204),"")</f>
        <v>59.458978709999997</v>
      </c>
      <c r="P204">
        <f ca="1">IFERROR(IF(0=LEN(ReferenceData!$P$204),"",ReferenceData!$P$204),"")</f>
        <v>63.090914210000001</v>
      </c>
      <c r="Q204">
        <f ca="1">IFERROR(IF(0=LEN(ReferenceData!$Q$204),"",ReferenceData!$Q$204),"")</f>
        <v>62.637728600000003</v>
      </c>
      <c r="R204">
        <f ca="1">IFERROR(IF(0=LEN(ReferenceData!$R$204),"",ReferenceData!$R$204),"")</f>
        <v>61.647162729999998</v>
      </c>
      <c r="S204">
        <f ca="1">IFERROR(IF(0=LEN(ReferenceData!$S$204),"",ReferenceData!$S$204),"")</f>
        <v>60.827672309999997</v>
      </c>
      <c r="T204">
        <f ca="1">IFERROR(IF(0=LEN(ReferenceData!$T$204),"",ReferenceData!$T$204),"")</f>
        <v>62.940722829999999</v>
      </c>
      <c r="U204">
        <f ca="1">IFERROR(IF(0=LEN(ReferenceData!$U$204),"",ReferenceData!$U$204),"")</f>
        <v>61.885063610000003</v>
      </c>
      <c r="V204">
        <f ca="1">IFERROR(IF(0=LEN(ReferenceData!$V$204),"",ReferenceData!$V$204),"")</f>
        <v>61.228241300000001</v>
      </c>
      <c r="W204">
        <f ca="1">IFERROR(IF(0=LEN(ReferenceData!$W$204),"",ReferenceData!$W$204),"")</f>
        <v>60.13094718</v>
      </c>
      <c r="X204">
        <f ca="1">IFERROR(IF(0=LEN(ReferenceData!$X$204),"",ReferenceData!$X$204),"")</f>
        <v>57.340547549999997</v>
      </c>
      <c r="Y204">
        <f ca="1">IFERROR(IF(0=LEN(ReferenceData!$Y$204),"",ReferenceData!$Y$204),"")</f>
        <v>62.020162380000002</v>
      </c>
      <c r="Z204">
        <f ca="1">IFERROR(IF(0=LEN(ReferenceData!$Z$204),"",ReferenceData!$Z$204),"")</f>
        <v>59.944508130000003</v>
      </c>
      <c r="AA204">
        <f ca="1">IFERROR(IF(0=LEN(ReferenceData!$AA$204),"",ReferenceData!$AA$204),"")</f>
        <v>60.203045690000003</v>
      </c>
      <c r="AB204">
        <f ca="1">IFERROR(IF(0=LEN(ReferenceData!$AB$204),"",ReferenceData!$AB$204),"")</f>
        <v>62.057808270000002</v>
      </c>
      <c r="AC204">
        <f ca="1">IFERROR(IF(0=LEN(ReferenceData!$AC$204),"",ReferenceData!$AC$204),"")</f>
        <v>64.536741210000002</v>
      </c>
      <c r="AD204">
        <f ca="1">IFERROR(IF(0=LEN(ReferenceData!$AD$204),"",ReferenceData!$AD$204),"")</f>
        <v>59.871042350000003</v>
      </c>
      <c r="AE204">
        <f ca="1">IFERROR(IF(0=LEN(ReferenceData!$AE$204),"",ReferenceData!$AE$204),"")</f>
        <v>60.365542849999997</v>
      </c>
      <c r="AF204">
        <f ca="1">IFERROR(IF(0=LEN(ReferenceData!$AF$204),"",ReferenceData!$AF$204),"")</f>
        <v>64.261908629999994</v>
      </c>
      <c r="AG204">
        <f ca="1">IFERROR(IF(0=LEN(ReferenceData!$AG$204),"",ReferenceData!$AG$204),"")</f>
        <v>61.860674090000003</v>
      </c>
      <c r="AH204">
        <f ca="1">IFERROR(IF(0=LEN(ReferenceData!$AH$204),"",ReferenceData!$AH$204),"")</f>
        <v>60.361302360000003</v>
      </c>
      <c r="AI204">
        <f ca="1">IFERROR(IF(0=LEN(ReferenceData!$AI$204),"",ReferenceData!$AI$204),"")</f>
        <v>62.967090829999997</v>
      </c>
      <c r="AJ204">
        <f ca="1">IFERROR(IF(0=LEN(ReferenceData!$AJ$204),"",ReferenceData!$AJ$204),"")</f>
        <v>57.75583022</v>
      </c>
      <c r="AK204">
        <f ca="1">IFERROR(IF(0=LEN(ReferenceData!$AK$204),"",ReferenceData!$AK$204),"")</f>
        <v>61.829593160000002</v>
      </c>
      <c r="AL204">
        <f ca="1">IFERROR(IF(0=LEN(ReferenceData!$AL$204),"",ReferenceData!$AL$204),"")</f>
        <v>59.50128145</v>
      </c>
      <c r="AM204">
        <f ca="1">IFERROR(IF(0=LEN(ReferenceData!$AM$204),"",ReferenceData!$AM$204),"")</f>
        <v>57.923760399999999</v>
      </c>
      <c r="AN204">
        <f ca="1">IFERROR(IF(0=LEN(ReferenceData!$AN$204),"",ReferenceData!$AN$204),"")</f>
        <v>63.667898520000001</v>
      </c>
      <c r="AO204">
        <f ca="1">IFERROR(IF(0=LEN(ReferenceData!$AO$204),"",ReferenceData!$AO$204),"")</f>
        <v>61.751695660000003</v>
      </c>
      <c r="AP204">
        <f ca="1">IFERROR(IF(0=LEN(ReferenceData!$AP$204),"",ReferenceData!$AP$204),"")</f>
        <v>61.254322799999997</v>
      </c>
      <c r="AQ204">
        <f ca="1">IFERROR(IF(0=LEN(ReferenceData!$AQ$204),"",ReferenceData!$AQ$204),"")</f>
        <v>65.486486850000006</v>
      </c>
      <c r="AR204">
        <f ca="1">IFERROR(IF(0=LEN(ReferenceData!$AR$204),"",ReferenceData!$AR$204),"")</f>
        <v>65.321417089999997</v>
      </c>
      <c r="AS204">
        <f ca="1">IFERROR(IF(0=LEN(ReferenceData!$AS$204),"",ReferenceData!$AS$204),"")</f>
        <v>67.138604040000004</v>
      </c>
      <c r="AT204">
        <f ca="1">IFERROR(IF(0=LEN(ReferenceData!$AT$204),"",ReferenceData!$AT$204),"")</f>
        <v>63.970390889999997</v>
      </c>
      <c r="AU204">
        <f ca="1">IFERROR(IF(0=LEN(ReferenceData!$AU$204),"",ReferenceData!$AU$204),"")</f>
        <v>62.250301960000002</v>
      </c>
      <c r="AV204">
        <f ca="1">IFERROR(IF(0=LEN(ReferenceData!$AV$204),"",ReferenceData!$AV$204),"")</f>
        <v>66.868352220000006</v>
      </c>
      <c r="AW204">
        <f ca="1">IFERROR(IF(0=LEN(ReferenceData!$AW$204),"",ReferenceData!$AW$204),"")</f>
        <v>64.149333729999995</v>
      </c>
      <c r="AX204">
        <f ca="1">IFERROR(IF(0=LEN(ReferenceData!$AX$204),"",ReferenceData!$AX$204),"")</f>
        <v>65.197861160000002</v>
      </c>
      <c r="AY204">
        <f ca="1">IFERROR(IF(0=LEN(ReferenceData!$AY$204),"",ReferenceData!$AY$204),"")</f>
        <v>54.044767780000001</v>
      </c>
      <c r="AZ204">
        <f ca="1">IFERROR(IF(0=LEN(ReferenceData!$AZ$204),"",ReferenceData!$AZ$204),"")</f>
        <v>68.936920779999994</v>
      </c>
      <c r="BA204">
        <f ca="1">IFERROR(IF(0=LEN(ReferenceData!$BA$204),"",ReferenceData!$BA$204),"")</f>
        <v>67.421252370000005</v>
      </c>
      <c r="BB204">
        <f ca="1">IFERROR(IF(0=LEN(ReferenceData!$BB$204),"",ReferenceData!$BB$204),"")</f>
        <v>64.355275019999993</v>
      </c>
      <c r="BC204">
        <f ca="1">IFERROR(IF(0=LEN(ReferenceData!$BC$204),"",ReferenceData!$BC$204),"")</f>
        <v>68.27472874</v>
      </c>
      <c r="BD204">
        <f ca="1">IFERROR(IF(0=LEN(ReferenceData!$BD$204),"",ReferenceData!$BD$204),"")</f>
        <v>65.559738679999995</v>
      </c>
      <c r="BE204">
        <f ca="1">IFERROR(IF(0=LEN(ReferenceData!$BE$204),"",ReferenceData!$BE$204),"")</f>
        <v>70.240812809999994</v>
      </c>
      <c r="BF204">
        <f ca="1">IFERROR(IF(0=LEN(ReferenceData!$BF$204),"",ReferenceData!$BF$204),"")</f>
        <v>68.716906399999999</v>
      </c>
      <c r="BG204">
        <f ca="1">IFERROR(IF(0=LEN(ReferenceData!$BG$204),"",ReferenceData!$BG$204),"")</f>
        <v>61.446793739999997</v>
      </c>
      <c r="BH204">
        <f ca="1">IFERROR(IF(0=LEN(ReferenceData!$BH$204),"",ReferenceData!$BH$204),"")</f>
        <v>66.698739430000003</v>
      </c>
      <c r="BI204">
        <f ca="1">IFERROR(IF(0=LEN(ReferenceData!$BI$204),"",ReferenceData!$BI$204),"")</f>
        <v>66.508498680000002</v>
      </c>
      <c r="BJ204">
        <f ca="1">IFERROR(IF(0=LEN(ReferenceData!$BJ$204),"",ReferenceData!$BJ$204),"")</f>
        <v>68.561490280000001</v>
      </c>
      <c r="BK204">
        <f ca="1">IFERROR(IF(0=LEN(ReferenceData!$BK$204),"",ReferenceData!$BK$204),"")</f>
        <v>62.414407259999997</v>
      </c>
      <c r="BL204">
        <f ca="1">IFERROR(IF(0=LEN(ReferenceData!$BL$204),"",ReferenceData!$BL$204),"")</f>
        <v>68.138169680000004</v>
      </c>
      <c r="BM204">
        <f ca="1">IFERROR(IF(0=LEN(ReferenceData!$BM$204),"",ReferenceData!$BM$204),"")</f>
        <v>68.012867979999996</v>
      </c>
    </row>
    <row r="205" spans="1:65">
      <c r="A205" t="str">
        <f>IFERROR(IF(0=LEN(ReferenceData!$A$205),"",ReferenceData!$A$205),"")</f>
        <v xml:space="preserve">    Retail Opportunity Investments</v>
      </c>
      <c r="B205" t="str">
        <f>IFERROR(IF(0=LEN(ReferenceData!$B$205),"",ReferenceData!$B$205),"")</f>
        <v>ROIC US Equity</v>
      </c>
      <c r="C205" t="str">
        <f>IFERROR(IF(0=LEN(ReferenceData!$C$205),"",ReferenceData!$C$205),"")</f>
        <v>RX225</v>
      </c>
      <c r="D205" t="str">
        <f>IFERROR(IF(0=LEN(ReferenceData!$D$205),"",ReferenceData!$D$205),"")</f>
        <v>EBITDA_TO_REVENUE</v>
      </c>
      <c r="E205" t="str">
        <f>IFERROR(IF(0=LEN(ReferenceData!$E$205),"",ReferenceData!$E$205),"")</f>
        <v>动态</v>
      </c>
      <c r="F205" t="str">
        <f ca="1">IFERROR(IF(0=LEN(ReferenceData!$F$205),"",ReferenceData!$F$205),"")</f>
        <v/>
      </c>
      <c r="G205">
        <f ca="1">IFERROR(IF(0=LEN(ReferenceData!$G$205),"",ReferenceData!$G$205),"")</f>
        <v>70.038760760000002</v>
      </c>
      <c r="H205">
        <f ca="1">IFERROR(IF(0=LEN(ReferenceData!$H$205),"",ReferenceData!$H$205),"")</f>
        <v>70.126239589999997</v>
      </c>
      <c r="I205">
        <f ca="1">IFERROR(IF(0=LEN(ReferenceData!$I$205),"",ReferenceData!$I$205),"")</f>
        <v>68.005702279999994</v>
      </c>
      <c r="J205">
        <f ca="1">IFERROR(IF(0=LEN(ReferenceData!$J$205),"",ReferenceData!$J$205),"")</f>
        <v>69.778452200000004</v>
      </c>
      <c r="K205">
        <f ca="1">IFERROR(IF(0=LEN(ReferenceData!$K$205),"",ReferenceData!$K$205),"")</f>
        <v>70.561281120000004</v>
      </c>
      <c r="L205">
        <f ca="1">IFERROR(IF(0=LEN(ReferenceData!$L$205),"",ReferenceData!$L$205),"")</f>
        <v>69.612831490000005</v>
      </c>
      <c r="M205">
        <f ca="1">IFERROR(IF(0=LEN(ReferenceData!$M$205),"",ReferenceData!$M$205),"")</f>
        <v>68.819348570000002</v>
      </c>
      <c r="N205">
        <f ca="1">IFERROR(IF(0=LEN(ReferenceData!$N$205),"",ReferenceData!$N$205),"")</f>
        <v>70.118016190000006</v>
      </c>
      <c r="O205">
        <f ca="1">IFERROR(IF(0=LEN(ReferenceData!$O$205),"",ReferenceData!$O$205),"")</f>
        <v>67.649410160000002</v>
      </c>
      <c r="P205">
        <f ca="1">IFERROR(IF(0=LEN(ReferenceData!$P$205),"",ReferenceData!$P$205),"")</f>
        <v>68.738143260000001</v>
      </c>
      <c r="Q205">
        <f ca="1">IFERROR(IF(0=LEN(ReferenceData!$Q$205),"",ReferenceData!$Q$205),"")</f>
        <v>66.368062320000007</v>
      </c>
      <c r="R205">
        <f ca="1">IFERROR(IF(0=LEN(ReferenceData!$R$205),"",ReferenceData!$R$205),"")</f>
        <v>67.603386369999996</v>
      </c>
      <c r="S205">
        <f ca="1">IFERROR(IF(0=LEN(ReferenceData!$S$205),"",ReferenceData!$S$205),"")</f>
        <v>64.919040879999997</v>
      </c>
      <c r="T205">
        <f ca="1">IFERROR(IF(0=LEN(ReferenceData!$T$205),"",ReferenceData!$T$205),"")</f>
        <v>67.701824299999998</v>
      </c>
      <c r="U205">
        <f ca="1">IFERROR(IF(0=LEN(ReferenceData!$U$205),"",ReferenceData!$U$205),"")</f>
        <v>64.866310929999997</v>
      </c>
      <c r="V205">
        <f ca="1">IFERROR(IF(0=LEN(ReferenceData!$V$205),"",ReferenceData!$V$205),"")</f>
        <v>64.660247589999997</v>
      </c>
      <c r="W205">
        <f ca="1">IFERROR(IF(0=LEN(ReferenceData!$W$205),"",ReferenceData!$W$205),"")</f>
        <v>63.683458600000002</v>
      </c>
      <c r="X205">
        <f ca="1">IFERROR(IF(0=LEN(ReferenceData!$X$205),"",ReferenceData!$X$205),"")</f>
        <v>59.75039958</v>
      </c>
      <c r="Y205">
        <f ca="1">IFERROR(IF(0=LEN(ReferenceData!$Y$205),"",ReferenceData!$Y$205),"")</f>
        <v>60.492342039999997</v>
      </c>
      <c r="Z205">
        <f ca="1">IFERROR(IF(0=LEN(ReferenceData!$Z$205),"",ReferenceData!$Z$205),"")</f>
        <v>60.550775620000003</v>
      </c>
      <c r="AA205">
        <f ca="1">IFERROR(IF(0=LEN(ReferenceData!$AA$205),"",ReferenceData!$AA$205),"")</f>
        <v>51.661686420000002</v>
      </c>
      <c r="AB205">
        <f ca="1">IFERROR(IF(0=LEN(ReferenceData!$AB$205),"",ReferenceData!$AB$205),"")</f>
        <v>53.68613955</v>
      </c>
      <c r="AC205">
        <f ca="1">IFERROR(IF(0=LEN(ReferenceData!$AC$205),"",ReferenceData!$AC$205),"")</f>
        <v>54.500652709999997</v>
      </c>
      <c r="AD205">
        <f ca="1">IFERROR(IF(0=LEN(ReferenceData!$AD$205),"",ReferenceData!$AD$205),"")</f>
        <v>57.284220439999999</v>
      </c>
      <c r="AE205">
        <f ca="1">IFERROR(IF(0=LEN(ReferenceData!$AE$205),"",ReferenceData!$AE$205),"")</f>
        <v>54.083461290000002</v>
      </c>
      <c r="AF205">
        <f ca="1">IFERROR(IF(0=LEN(ReferenceData!$AF$205),"",ReferenceData!$AF$205),"")</f>
        <v>46.670572620000002</v>
      </c>
      <c r="AG205">
        <f ca="1">IFERROR(IF(0=LEN(ReferenceData!$AG$205),"",ReferenceData!$AG$205),"")</f>
        <v>48.542689889999998</v>
      </c>
      <c r="AH205">
        <f ca="1">IFERROR(IF(0=LEN(ReferenceData!$AH$205),"",ReferenceData!$AH$205),"")</f>
        <v>52.882220660000002</v>
      </c>
      <c r="AI205">
        <f ca="1">IFERROR(IF(0=LEN(ReferenceData!$AI$205),"",ReferenceData!$AI$205),"")</f>
        <v>22.090935340000001</v>
      </c>
      <c r="AJ205">
        <f ca="1">IFERROR(IF(0=LEN(ReferenceData!$AJ$205),"",ReferenceData!$AJ$205),"")</f>
        <v>23.630513310000001</v>
      </c>
      <c r="AK205">
        <f ca="1">IFERROR(IF(0=LEN(ReferenceData!$AK$205),"",ReferenceData!$AK$205),"")</f>
        <v>-19.292963459999999</v>
      </c>
      <c r="AL205">
        <f ca="1">IFERROR(IF(0=LEN(ReferenceData!$AL$205),"",ReferenceData!$AL$205),"")</f>
        <v>-117.6475829</v>
      </c>
      <c r="AM205" t="str">
        <f ca="1">IFERROR(IF(0=LEN(ReferenceData!$AM$205),"",ReferenceData!$AM$205),"")</f>
        <v/>
      </c>
      <c r="AN205" t="str">
        <f ca="1">IFERROR(IF(0=LEN(ReferenceData!$AN$205),"",ReferenceData!$AN$205),"")</f>
        <v/>
      </c>
      <c r="AO205" t="str">
        <f ca="1">IFERROR(IF(0=LEN(ReferenceData!$AO$205),"",ReferenceData!$AO$205),"")</f>
        <v/>
      </c>
      <c r="AP205" t="str">
        <f ca="1">IFERROR(IF(0=LEN(ReferenceData!$AP$205),"",ReferenceData!$AP$205),"")</f>
        <v/>
      </c>
      <c r="AQ205" t="str">
        <f ca="1">IFERROR(IF(0=LEN(ReferenceData!$AQ$205),"",ReferenceData!$AQ$205),"")</f>
        <v/>
      </c>
      <c r="AR205" t="str">
        <f ca="1">IFERROR(IF(0=LEN(ReferenceData!$AR$205),"",ReferenceData!$AR$205),"")</f>
        <v/>
      </c>
      <c r="AS205" t="str">
        <f ca="1">IFERROR(IF(0=LEN(ReferenceData!$AS$205),"",ReferenceData!$AS$205),"")</f>
        <v/>
      </c>
      <c r="AT205" t="str">
        <f ca="1">IFERROR(IF(0=LEN(ReferenceData!$AT$205),"",ReferenceData!$AT$205),"")</f>
        <v/>
      </c>
      <c r="AU205" t="str">
        <f ca="1">IFERROR(IF(0=LEN(ReferenceData!$AU$205),"",ReferenceData!$AU$205),"")</f>
        <v/>
      </c>
      <c r="AV205" t="str">
        <f ca="1">IFERROR(IF(0=LEN(ReferenceData!$AV$205),"",ReferenceData!$AV$205),"")</f>
        <v/>
      </c>
      <c r="AW205" t="str">
        <f ca="1">IFERROR(IF(0=LEN(ReferenceData!$AW$205),"",ReferenceData!$AW$205),"")</f>
        <v/>
      </c>
      <c r="AX205" t="str">
        <f ca="1">IFERROR(IF(0=LEN(ReferenceData!$AX$205),"",ReferenceData!$AX$205),"")</f>
        <v/>
      </c>
      <c r="AY205" t="str">
        <f ca="1">IFERROR(IF(0=LEN(ReferenceData!$AY$205),"",ReferenceData!$AY$205),"")</f>
        <v/>
      </c>
      <c r="AZ205" t="str">
        <f ca="1">IFERROR(IF(0=LEN(ReferenceData!$AZ$205),"",ReferenceData!$AZ$205),"")</f>
        <v/>
      </c>
      <c r="BA205" t="str">
        <f ca="1">IFERROR(IF(0=LEN(ReferenceData!$BA$205),"",ReferenceData!$BA$205),"")</f>
        <v/>
      </c>
      <c r="BB205" t="str">
        <f ca="1">IFERROR(IF(0=LEN(ReferenceData!$BB$205),"",ReferenceData!$BB$205),"")</f>
        <v/>
      </c>
      <c r="BC205" t="str">
        <f ca="1">IFERROR(IF(0=LEN(ReferenceData!$BC$205),"",ReferenceData!$BC$205),"")</f>
        <v/>
      </c>
      <c r="BD205" t="str">
        <f ca="1">IFERROR(IF(0=LEN(ReferenceData!$BD$205),"",ReferenceData!$BD$205),"")</f>
        <v/>
      </c>
      <c r="BE205" t="str">
        <f ca="1">IFERROR(IF(0=LEN(ReferenceData!$BE$205),"",ReferenceData!$BE$205),"")</f>
        <v/>
      </c>
      <c r="BF205" t="str">
        <f ca="1">IFERROR(IF(0=LEN(ReferenceData!$BF$205),"",ReferenceData!$BF$205),"")</f>
        <v/>
      </c>
      <c r="BG205" t="str">
        <f ca="1">IFERROR(IF(0=LEN(ReferenceData!$BG$205),"",ReferenceData!$BG$205),"")</f>
        <v/>
      </c>
      <c r="BH205" t="str">
        <f ca="1">IFERROR(IF(0=LEN(ReferenceData!$BH$205),"",ReferenceData!$BH$205),"")</f>
        <v/>
      </c>
      <c r="BI205" t="str">
        <f ca="1">IFERROR(IF(0=LEN(ReferenceData!$BI$205),"",ReferenceData!$BI$205),"")</f>
        <v/>
      </c>
      <c r="BJ205" t="str">
        <f ca="1">IFERROR(IF(0=LEN(ReferenceData!$BJ$205),"",ReferenceData!$BJ$205),"")</f>
        <v/>
      </c>
      <c r="BK205" t="str">
        <f ca="1">IFERROR(IF(0=LEN(ReferenceData!$BK$205),"",ReferenceData!$BK$205),"")</f>
        <v/>
      </c>
      <c r="BL205" t="str">
        <f ca="1">IFERROR(IF(0=LEN(ReferenceData!$BL$205),"",ReferenceData!$BL$205),"")</f>
        <v/>
      </c>
      <c r="BM205" t="str">
        <f ca="1">IFERROR(IF(0=LEN(ReferenceData!$BM$205),"",ReferenceData!$BM$205),"")</f>
        <v/>
      </c>
    </row>
    <row r="206" spans="1:65">
      <c r="A206" t="str">
        <f>IFERROR(IF(0=LEN(ReferenceData!$A$206),"",ReferenceData!$A$206),"")</f>
        <v xml:space="preserve">    Retail Properties of America I</v>
      </c>
      <c r="B206" t="str">
        <f>IFERROR(IF(0=LEN(ReferenceData!$B$206),"",ReferenceData!$B$206),"")</f>
        <v>RPAI US Equity</v>
      </c>
      <c r="C206" t="str">
        <f>IFERROR(IF(0=LEN(ReferenceData!$C$206),"",ReferenceData!$C$206),"")</f>
        <v>RX225</v>
      </c>
      <c r="D206" t="str">
        <f>IFERROR(IF(0=LEN(ReferenceData!$D$206),"",ReferenceData!$D$206),"")</f>
        <v>EBITDA_TO_REVENUE</v>
      </c>
      <c r="E206" t="str">
        <f>IFERROR(IF(0=LEN(ReferenceData!$E$206),"",ReferenceData!$E$206),"")</f>
        <v>动态</v>
      </c>
      <c r="F206" t="str">
        <f ca="1">IFERROR(IF(0=LEN(ReferenceData!$F$206),"",ReferenceData!$F$206),"")</f>
        <v/>
      </c>
      <c r="G206">
        <f ca="1">IFERROR(IF(0=LEN(ReferenceData!$G$206),"",ReferenceData!$G$206),"")</f>
        <v>53.277561849999998</v>
      </c>
      <c r="H206">
        <f ca="1">IFERROR(IF(0=LEN(ReferenceData!$H$206),"",ReferenceData!$H$206),"")</f>
        <v>27.181483159999999</v>
      </c>
      <c r="I206">
        <f ca="1">IFERROR(IF(0=LEN(ReferenceData!$I$206),"",ReferenceData!$I$206),"")</f>
        <v>52.020183629999998</v>
      </c>
      <c r="J206">
        <f ca="1">IFERROR(IF(0=LEN(ReferenceData!$J$206),"",ReferenceData!$J$206),"")</f>
        <v>61.754573989999997</v>
      </c>
      <c r="K206">
        <f ca="1">IFERROR(IF(0=LEN(ReferenceData!$K$206),"",ReferenceData!$K$206),"")</f>
        <v>55.288892619999999</v>
      </c>
      <c r="L206">
        <f ca="1">IFERROR(IF(0=LEN(ReferenceData!$L$206),"",ReferenceData!$L$206),"")</f>
        <v>61.201444719999998</v>
      </c>
      <c r="M206">
        <f ca="1">IFERROR(IF(0=LEN(ReferenceData!$M$206),"",ReferenceData!$M$206),"")</f>
        <v>61.897355089999998</v>
      </c>
      <c r="N206">
        <f ca="1">IFERROR(IF(0=LEN(ReferenceData!$N$206),"",ReferenceData!$N$206),"")</f>
        <v>61.941347829999998</v>
      </c>
      <c r="O206">
        <f ca="1">IFERROR(IF(0=LEN(ReferenceData!$O$206),"",ReferenceData!$O$206),"")</f>
        <v>49.92210583</v>
      </c>
      <c r="P206">
        <f ca="1">IFERROR(IF(0=LEN(ReferenceData!$P$206),"",ReferenceData!$P$206),"")</f>
        <v>63.691166240000001</v>
      </c>
      <c r="Q206">
        <f ca="1">IFERROR(IF(0=LEN(ReferenceData!$Q$206),"",ReferenceData!$Q$206),"")</f>
        <v>59.174354489999999</v>
      </c>
      <c r="R206">
        <f ca="1">IFERROR(IF(0=LEN(ReferenceData!$R$206),"",ReferenceData!$R$206),"")</f>
        <v>62.664412489999997</v>
      </c>
      <c r="S206">
        <f ca="1">IFERROR(IF(0=LEN(ReferenceData!$S$206),"",ReferenceData!$S$206),"")</f>
        <v>56.572288329999999</v>
      </c>
      <c r="T206">
        <f ca="1">IFERROR(IF(0=LEN(ReferenceData!$T$206),"",ReferenceData!$T$206),"")</f>
        <v>29.76222705</v>
      </c>
      <c r="U206">
        <f ca="1">IFERROR(IF(0=LEN(ReferenceData!$U$206),"",ReferenceData!$U$206),"")</f>
        <v>62.48583095</v>
      </c>
      <c r="V206">
        <f ca="1">IFERROR(IF(0=LEN(ReferenceData!$V$206),"",ReferenceData!$V$206),"")</f>
        <v>63.792722079999997</v>
      </c>
      <c r="W206">
        <f ca="1">IFERROR(IF(0=LEN(ReferenceData!$W$206),"",ReferenceData!$W$206),"")</f>
        <v>44.524816010000002</v>
      </c>
      <c r="X206">
        <f ca="1">IFERROR(IF(0=LEN(ReferenceData!$X$206),"",ReferenceData!$X$206),"")</f>
        <v>47.507805329999997</v>
      </c>
      <c r="Y206">
        <f ca="1">IFERROR(IF(0=LEN(ReferenceData!$Y$206),"",ReferenceData!$Y$206),"")</f>
        <v>66.943772670000001</v>
      </c>
      <c r="Z206">
        <f ca="1">IFERROR(IF(0=LEN(ReferenceData!$Z$206),"",ReferenceData!$Z$206),"")</f>
        <v>66.527589520000006</v>
      </c>
      <c r="AA206">
        <f ca="1">IFERROR(IF(0=LEN(ReferenceData!$AA$206),"",ReferenceData!$AA$206),"")</f>
        <v>66.003749290000002</v>
      </c>
      <c r="AB206">
        <f ca="1">IFERROR(IF(0=LEN(ReferenceData!$AB$206),"",ReferenceData!$AB$206),"")</f>
        <v>66.628015840000003</v>
      </c>
      <c r="AC206">
        <f ca="1">IFERROR(IF(0=LEN(ReferenceData!$AC$206),"",ReferenceData!$AC$206),"")</f>
        <v>66.511256450000005</v>
      </c>
      <c r="AD206">
        <f ca="1">IFERROR(IF(0=LEN(ReferenceData!$AD$206),"",ReferenceData!$AD$206),"")</f>
        <v>66.521562639999999</v>
      </c>
      <c r="AE206">
        <f ca="1">IFERROR(IF(0=LEN(ReferenceData!$AE$206),"",ReferenceData!$AE$206),"")</f>
        <v>62.557301330000001</v>
      </c>
      <c r="AF206">
        <f ca="1">IFERROR(IF(0=LEN(ReferenceData!$AF$206),"",ReferenceData!$AF$206),"")</f>
        <v>68.128316609999999</v>
      </c>
      <c r="AG206">
        <f ca="1">IFERROR(IF(0=LEN(ReferenceData!$AG$206),"",ReferenceData!$AG$206),"")</f>
        <v>64.954770940000003</v>
      </c>
      <c r="AH206">
        <f ca="1">IFERROR(IF(0=LEN(ReferenceData!$AH$206),"",ReferenceData!$AH$206),"")</f>
        <v>43.408415009999999</v>
      </c>
      <c r="AI206">
        <f ca="1">IFERROR(IF(0=LEN(ReferenceData!$AI$206),"",ReferenceData!$AI$206),"")</f>
        <v>77.062876399999993</v>
      </c>
      <c r="AJ206">
        <f ca="1">IFERROR(IF(0=LEN(ReferenceData!$AJ$206),"",ReferenceData!$AJ$206),"")</f>
        <v>62.49749388</v>
      </c>
      <c r="AK206" t="str">
        <f ca="1">IFERROR(IF(0=LEN(ReferenceData!$AK$206),"",ReferenceData!$AK$206),"")</f>
        <v/>
      </c>
      <c r="AL206" t="str">
        <f ca="1">IFERROR(IF(0=LEN(ReferenceData!$AL$206),"",ReferenceData!$AL$206),"")</f>
        <v/>
      </c>
      <c r="AM206" t="str">
        <f ca="1">IFERROR(IF(0=LEN(ReferenceData!$AM$206),"",ReferenceData!$AM$206),"")</f>
        <v/>
      </c>
      <c r="AN206">
        <f ca="1">IFERROR(IF(0=LEN(ReferenceData!$AN$206),"",ReferenceData!$AN$206),"")</f>
        <v>58.27566496</v>
      </c>
      <c r="AO206" t="str">
        <f ca="1">IFERROR(IF(0=LEN(ReferenceData!$AO$206),"",ReferenceData!$AO$206),"")</f>
        <v/>
      </c>
      <c r="AP206" t="str">
        <f ca="1">IFERROR(IF(0=LEN(ReferenceData!$AP$206),"",ReferenceData!$AP$206),"")</f>
        <v/>
      </c>
      <c r="AQ206" t="str">
        <f ca="1">IFERROR(IF(0=LEN(ReferenceData!$AQ$206),"",ReferenceData!$AQ$206),"")</f>
        <v/>
      </c>
      <c r="AR206" t="str">
        <f ca="1">IFERROR(IF(0=LEN(ReferenceData!$AR$206),"",ReferenceData!$AR$206),"")</f>
        <v/>
      </c>
      <c r="AS206" t="str">
        <f ca="1">IFERROR(IF(0=LEN(ReferenceData!$AS$206),"",ReferenceData!$AS$206),"")</f>
        <v/>
      </c>
      <c r="AT206" t="str">
        <f ca="1">IFERROR(IF(0=LEN(ReferenceData!$AT$206),"",ReferenceData!$AT$206),"")</f>
        <v/>
      </c>
      <c r="AU206" t="str">
        <f ca="1">IFERROR(IF(0=LEN(ReferenceData!$AU$206),"",ReferenceData!$AU$206),"")</f>
        <v/>
      </c>
      <c r="AV206" t="str">
        <f ca="1">IFERROR(IF(0=LEN(ReferenceData!$AV$206),"",ReferenceData!$AV$206),"")</f>
        <v/>
      </c>
      <c r="AW206" t="str">
        <f ca="1">IFERROR(IF(0=LEN(ReferenceData!$AW$206),"",ReferenceData!$AW$206),"")</f>
        <v/>
      </c>
      <c r="AX206" t="str">
        <f ca="1">IFERROR(IF(0=LEN(ReferenceData!$AX$206),"",ReferenceData!$AX$206),"")</f>
        <v/>
      </c>
      <c r="AY206" t="str">
        <f ca="1">IFERROR(IF(0=LEN(ReferenceData!$AY$206),"",ReferenceData!$AY$206),"")</f>
        <v/>
      </c>
      <c r="AZ206" t="str">
        <f ca="1">IFERROR(IF(0=LEN(ReferenceData!$AZ$206),"",ReferenceData!$AZ$206),"")</f>
        <v/>
      </c>
      <c r="BA206" t="str">
        <f ca="1">IFERROR(IF(0=LEN(ReferenceData!$BA$206),"",ReferenceData!$BA$206),"")</f>
        <v/>
      </c>
      <c r="BB206" t="str">
        <f ca="1">IFERROR(IF(0=LEN(ReferenceData!$BB$206),"",ReferenceData!$BB$206),"")</f>
        <v/>
      </c>
      <c r="BC206" t="str">
        <f ca="1">IFERROR(IF(0=LEN(ReferenceData!$BC$206),"",ReferenceData!$BC$206),"")</f>
        <v/>
      </c>
      <c r="BD206" t="str">
        <f ca="1">IFERROR(IF(0=LEN(ReferenceData!$BD$206),"",ReferenceData!$BD$206),"")</f>
        <v/>
      </c>
      <c r="BE206" t="str">
        <f ca="1">IFERROR(IF(0=LEN(ReferenceData!$BE$206),"",ReferenceData!$BE$206),"")</f>
        <v/>
      </c>
      <c r="BF206" t="str">
        <f ca="1">IFERROR(IF(0=LEN(ReferenceData!$BF$206),"",ReferenceData!$BF$206),"")</f>
        <v/>
      </c>
      <c r="BG206" t="str">
        <f ca="1">IFERROR(IF(0=LEN(ReferenceData!$BG$206),"",ReferenceData!$BG$206),"")</f>
        <v/>
      </c>
      <c r="BH206" t="str">
        <f ca="1">IFERROR(IF(0=LEN(ReferenceData!$BH$206),"",ReferenceData!$BH$206),"")</f>
        <v/>
      </c>
      <c r="BI206" t="str">
        <f ca="1">IFERROR(IF(0=LEN(ReferenceData!$BI$206),"",ReferenceData!$BI$206),"")</f>
        <v/>
      </c>
      <c r="BJ206" t="str">
        <f ca="1">IFERROR(IF(0=LEN(ReferenceData!$BJ$206),"",ReferenceData!$BJ$206),"")</f>
        <v/>
      </c>
      <c r="BK206" t="str">
        <f ca="1">IFERROR(IF(0=LEN(ReferenceData!$BK$206),"",ReferenceData!$BK$206),"")</f>
        <v/>
      </c>
      <c r="BL206" t="str">
        <f ca="1">IFERROR(IF(0=LEN(ReferenceData!$BL$206),"",ReferenceData!$BL$206),"")</f>
        <v/>
      </c>
      <c r="BM206" t="str">
        <f ca="1">IFERROR(IF(0=LEN(ReferenceData!$BM$206),"",ReferenceData!$BM$206),"")</f>
        <v/>
      </c>
    </row>
    <row r="207" spans="1:65">
      <c r="A207" t="str">
        <f>IFERROR(IF(0=LEN(ReferenceData!$A$207),"",ReferenceData!$A$207),"")</f>
        <v xml:space="preserve">    Simon Property Group Inc</v>
      </c>
      <c r="B207" t="str">
        <f>IFERROR(IF(0=LEN(ReferenceData!$B$207),"",ReferenceData!$B$207),"")</f>
        <v>SPG US Equity</v>
      </c>
      <c r="C207" t="str">
        <f>IFERROR(IF(0=LEN(ReferenceData!$C$207),"",ReferenceData!$C$207),"")</f>
        <v>RX225</v>
      </c>
      <c r="D207" t="str">
        <f>IFERROR(IF(0=LEN(ReferenceData!$D$207),"",ReferenceData!$D$207),"")</f>
        <v>EBITDA_TO_REVENUE</v>
      </c>
      <c r="E207" t="str">
        <f>IFERROR(IF(0=LEN(ReferenceData!$E$207),"",ReferenceData!$E$207),"")</f>
        <v>动态</v>
      </c>
      <c r="F207" t="str">
        <f ca="1">IFERROR(IF(0=LEN(ReferenceData!$F$207),"",ReferenceData!$F$207),"")</f>
        <v/>
      </c>
      <c r="G207">
        <f ca="1">IFERROR(IF(0=LEN(ReferenceData!$G$207),"",ReferenceData!$G$207),"")</f>
        <v>76.65995187</v>
      </c>
      <c r="H207">
        <f ca="1">IFERROR(IF(0=LEN(ReferenceData!$H$207),"",ReferenceData!$H$207),"")</f>
        <v>73.15240824</v>
      </c>
      <c r="I207">
        <f ca="1">IFERROR(IF(0=LEN(ReferenceData!$I$207),"",ReferenceData!$I$207),"")</f>
        <v>75.355991860000003</v>
      </c>
      <c r="J207">
        <f ca="1">IFERROR(IF(0=LEN(ReferenceData!$J$207),"",ReferenceData!$J$207),"")</f>
        <v>75.230185399999996</v>
      </c>
      <c r="K207">
        <f ca="1">IFERROR(IF(0=LEN(ReferenceData!$K$207),"",ReferenceData!$K$207),"")</f>
        <v>74.083182910000005</v>
      </c>
      <c r="L207">
        <f ca="1">IFERROR(IF(0=LEN(ReferenceData!$L$207),"",ReferenceData!$L$207),"")</f>
        <v>74.094806239999997</v>
      </c>
      <c r="M207">
        <f ca="1">IFERROR(IF(0=LEN(ReferenceData!$M$207),"",ReferenceData!$M$207),"")</f>
        <v>74.813589989999997</v>
      </c>
      <c r="N207">
        <f ca="1">IFERROR(IF(0=LEN(ReferenceData!$N$207),"",ReferenceData!$N$207),"")</f>
        <v>75.012250179999995</v>
      </c>
      <c r="O207">
        <f ca="1">IFERROR(IF(0=LEN(ReferenceData!$O$207),"",ReferenceData!$O$207),"")</f>
        <v>74.477716909999998</v>
      </c>
      <c r="P207">
        <f ca="1">IFERROR(IF(0=LEN(ReferenceData!$P$207),"",ReferenceData!$P$207),"")</f>
        <v>72.94901969</v>
      </c>
      <c r="Q207">
        <f ca="1">IFERROR(IF(0=LEN(ReferenceData!$Q$207),"",ReferenceData!$Q$207),"")</f>
        <v>75.23233836</v>
      </c>
      <c r="R207">
        <f ca="1">IFERROR(IF(0=LEN(ReferenceData!$R$207),"",ReferenceData!$R$207),"")</f>
        <v>74.149979239999993</v>
      </c>
      <c r="S207">
        <f ca="1">IFERROR(IF(0=LEN(ReferenceData!$S$207),"",ReferenceData!$S$207),"")</f>
        <v>74.583538919999995</v>
      </c>
      <c r="T207">
        <f ca="1">IFERROR(IF(0=LEN(ReferenceData!$T$207),"",ReferenceData!$T$207),"")</f>
        <v>73.741105079999997</v>
      </c>
      <c r="U207">
        <f ca="1">IFERROR(IF(0=LEN(ReferenceData!$U$207),"",ReferenceData!$U$207),"")</f>
        <v>76.285679479999999</v>
      </c>
      <c r="V207">
        <f ca="1">IFERROR(IF(0=LEN(ReferenceData!$V$207),"",ReferenceData!$V$207),"")</f>
        <v>77.053591030000007</v>
      </c>
      <c r="W207">
        <f ca="1">IFERROR(IF(0=LEN(ReferenceData!$W$207),"",ReferenceData!$W$207),"")</f>
        <v>77.448757349999994</v>
      </c>
      <c r="X207">
        <f ca="1">IFERROR(IF(0=LEN(ReferenceData!$X$207),"",ReferenceData!$X$207),"")</f>
        <v>77.326426459999993</v>
      </c>
      <c r="Y207">
        <f ca="1">IFERROR(IF(0=LEN(ReferenceData!$Y$207),"",ReferenceData!$Y$207),"")</f>
        <v>77.541421929999998</v>
      </c>
      <c r="Z207">
        <f ca="1">IFERROR(IF(0=LEN(ReferenceData!$Z$207),"",ReferenceData!$Z$207),"")</f>
        <v>72.396790940000002</v>
      </c>
      <c r="AA207">
        <f ca="1">IFERROR(IF(0=LEN(ReferenceData!$AA$207),"",ReferenceData!$AA$207),"")</f>
        <v>72.565419869999999</v>
      </c>
      <c r="AB207">
        <f ca="1">IFERROR(IF(0=LEN(ReferenceData!$AB$207),"",ReferenceData!$AB$207),"")</f>
        <v>72.038234860000003</v>
      </c>
      <c r="AC207">
        <f ca="1">IFERROR(IF(0=LEN(ReferenceData!$AC$207),"",ReferenceData!$AC$207),"")</f>
        <v>71.209343590000003</v>
      </c>
      <c r="AD207">
        <f ca="1">IFERROR(IF(0=LEN(ReferenceData!$AD$207),"",ReferenceData!$AD$207),"")</f>
        <v>72.854833330000005</v>
      </c>
      <c r="AE207">
        <f ca="1">IFERROR(IF(0=LEN(ReferenceData!$AE$207),"",ReferenceData!$AE$207),"")</f>
        <v>70.839903460000002</v>
      </c>
      <c r="AF207">
        <f ca="1">IFERROR(IF(0=LEN(ReferenceData!$AF$207),"",ReferenceData!$AF$207),"")</f>
        <v>70.575598499999998</v>
      </c>
      <c r="AG207">
        <f ca="1">IFERROR(IF(0=LEN(ReferenceData!$AG$207),"",ReferenceData!$AG$207),"")</f>
        <v>70.87478539</v>
      </c>
      <c r="AH207">
        <f ca="1">IFERROR(IF(0=LEN(ReferenceData!$AH$207),"",ReferenceData!$AH$207),"")</f>
        <v>71.103783410000005</v>
      </c>
      <c r="AI207">
        <f ca="1">IFERROR(IF(0=LEN(ReferenceData!$AI$207),"",ReferenceData!$AI$207),"")</f>
        <v>71.010200780000005</v>
      </c>
      <c r="AJ207">
        <f ca="1">IFERROR(IF(0=LEN(ReferenceData!$AJ$207),"",ReferenceData!$AJ$207),"")</f>
        <v>71.756452479999993</v>
      </c>
      <c r="AK207">
        <f ca="1">IFERROR(IF(0=LEN(ReferenceData!$AK$207),"",ReferenceData!$AK$207),"")</f>
        <v>70.23499142</v>
      </c>
      <c r="AL207">
        <f ca="1">IFERROR(IF(0=LEN(ReferenceData!$AL$207),"",ReferenceData!$AL$207),"")</f>
        <v>71.829297429999997</v>
      </c>
      <c r="AM207">
        <f ca="1">IFERROR(IF(0=LEN(ReferenceData!$AM$207),"",ReferenceData!$AM$207),"")</f>
        <v>65.695500789999997</v>
      </c>
      <c r="AN207">
        <f ca="1">IFERROR(IF(0=LEN(ReferenceData!$AN$207),"",ReferenceData!$AN$207),"")</f>
        <v>69.807293939999994</v>
      </c>
      <c r="AO207">
        <f ca="1">IFERROR(IF(0=LEN(ReferenceData!$AO$207),"",ReferenceData!$AO$207),"")</f>
        <v>53.001177499999997</v>
      </c>
      <c r="AP207">
        <f ca="1">IFERROR(IF(0=LEN(ReferenceData!$AP$207),"",ReferenceData!$AP$207),"")</f>
        <v>67.700208599999996</v>
      </c>
      <c r="AQ207">
        <f ca="1">IFERROR(IF(0=LEN(ReferenceData!$AQ$207),"",ReferenceData!$AQ$207),"")</f>
        <v>91.357464570000005</v>
      </c>
      <c r="AR207">
        <f ca="1">IFERROR(IF(0=LEN(ReferenceData!$AR$207),"",ReferenceData!$AR$207),"")</f>
        <v>42.184857960000002</v>
      </c>
      <c r="AS207">
        <f ca="1">IFERROR(IF(0=LEN(ReferenceData!$AS$207),"",ReferenceData!$AS$207),"")</f>
        <v>65.501377649999995</v>
      </c>
      <c r="AT207">
        <f ca="1">IFERROR(IF(0=LEN(ReferenceData!$AT$207),"",ReferenceData!$AT$207),"")</f>
        <v>64.444240910000005</v>
      </c>
      <c r="AU207">
        <f ca="1">IFERROR(IF(0=LEN(ReferenceData!$AU$207),"",ReferenceData!$AU$207),"")</f>
        <v>67.798849149999995</v>
      </c>
      <c r="AV207">
        <f ca="1">IFERROR(IF(0=LEN(ReferenceData!$AV$207),"",ReferenceData!$AV$207),"")</f>
        <v>65.722458919999994</v>
      </c>
      <c r="AW207">
        <f ca="1">IFERROR(IF(0=LEN(ReferenceData!$AW$207),"",ReferenceData!$AW$207),"")</f>
        <v>64.899197599999994</v>
      </c>
      <c r="AX207">
        <f ca="1">IFERROR(IF(0=LEN(ReferenceData!$AX$207),"",ReferenceData!$AX$207),"")</f>
        <v>65.311491880000005</v>
      </c>
      <c r="AY207">
        <f ca="1">IFERROR(IF(0=LEN(ReferenceData!$AY$207),"",ReferenceData!$AY$207),"")</f>
        <v>64.980027640000003</v>
      </c>
      <c r="AZ207">
        <f ca="1">IFERROR(IF(0=LEN(ReferenceData!$AZ$207),"",ReferenceData!$AZ$207),"")</f>
        <v>63.526704580000001</v>
      </c>
      <c r="BA207">
        <f ca="1">IFERROR(IF(0=LEN(ReferenceData!$BA$207),"",ReferenceData!$BA$207),"")</f>
        <v>64.037894780000002</v>
      </c>
      <c r="BB207">
        <f ca="1">IFERROR(IF(0=LEN(ReferenceData!$BB$207),"",ReferenceData!$BB$207),"")</f>
        <v>63.34687151</v>
      </c>
      <c r="BC207">
        <f ca="1">IFERROR(IF(0=LEN(ReferenceData!$BC$207),"",ReferenceData!$BC$207),"")</f>
        <v>63.43361917</v>
      </c>
      <c r="BD207">
        <f ca="1">IFERROR(IF(0=LEN(ReferenceData!$BD$207),"",ReferenceData!$BD$207),"")</f>
        <v>63.298889279999997</v>
      </c>
      <c r="BE207">
        <f ca="1">IFERROR(IF(0=LEN(ReferenceData!$BE$207),"",ReferenceData!$BE$207),"")</f>
        <v>64.907909219999993</v>
      </c>
      <c r="BF207">
        <f ca="1">IFERROR(IF(0=LEN(ReferenceData!$BF$207),"",ReferenceData!$BF$207),"")</f>
        <v>64.108656679999996</v>
      </c>
      <c r="BG207">
        <f ca="1">IFERROR(IF(0=LEN(ReferenceData!$BG$207),"",ReferenceData!$BG$207),"")</f>
        <v>63.386849159999997</v>
      </c>
      <c r="BH207">
        <f ca="1">IFERROR(IF(0=LEN(ReferenceData!$BH$207),"",ReferenceData!$BH$207),"")</f>
        <v>64.391693810000007</v>
      </c>
      <c r="BI207">
        <f ca="1">IFERROR(IF(0=LEN(ReferenceData!$BI$207),"",ReferenceData!$BI$207),"")</f>
        <v>64.705950799999997</v>
      </c>
      <c r="BJ207">
        <f ca="1">IFERROR(IF(0=LEN(ReferenceData!$BJ$207),"",ReferenceData!$BJ$207),"")</f>
        <v>63.26420942</v>
      </c>
      <c r="BK207">
        <f ca="1">IFERROR(IF(0=LEN(ReferenceData!$BK$207),"",ReferenceData!$BK$207),"")</f>
        <v>68.261328410000004</v>
      </c>
      <c r="BL207">
        <f ca="1">IFERROR(IF(0=LEN(ReferenceData!$BL$207),"",ReferenceData!$BL$207),"")</f>
        <v>65.532370420000007</v>
      </c>
      <c r="BM207">
        <f ca="1">IFERROR(IF(0=LEN(ReferenceData!$BM$207),"",ReferenceData!$BM$207),"")</f>
        <v>63.375744079999997</v>
      </c>
    </row>
    <row r="208" spans="1:65">
      <c r="A208" t="str">
        <f>IFERROR(IF(0=LEN(ReferenceData!$A$208),"",ReferenceData!$A$208),"")</f>
        <v xml:space="preserve">    Tanger Factory Outlet Centers</v>
      </c>
      <c r="B208" t="str">
        <f>IFERROR(IF(0=LEN(ReferenceData!$B$208),"",ReferenceData!$B$208),"")</f>
        <v>SKT US Equity</v>
      </c>
      <c r="C208" t="str">
        <f>IFERROR(IF(0=LEN(ReferenceData!$C$208),"",ReferenceData!$C$208),"")</f>
        <v>RX225</v>
      </c>
      <c r="D208" t="str">
        <f>IFERROR(IF(0=LEN(ReferenceData!$D$208),"",ReferenceData!$D$208),"")</f>
        <v>EBITDA_TO_REVENUE</v>
      </c>
      <c r="E208" t="str">
        <f>IFERROR(IF(0=LEN(ReferenceData!$E$208),"",ReferenceData!$E$208),"")</f>
        <v>动态</v>
      </c>
      <c r="F208" t="str">
        <f ca="1">IFERROR(IF(0=LEN(ReferenceData!$F$208),"",ReferenceData!$F$208),"")</f>
        <v/>
      </c>
      <c r="G208">
        <f ca="1">IFERROR(IF(0=LEN(ReferenceData!$G$208),"",ReferenceData!$G$208),"")</f>
        <v>60.218046119999997</v>
      </c>
      <c r="H208">
        <f ca="1">IFERROR(IF(0=LEN(ReferenceData!$H$208),"",ReferenceData!$H$208),"")</f>
        <v>59.917194549999998</v>
      </c>
      <c r="I208">
        <f ca="1">IFERROR(IF(0=LEN(ReferenceData!$I$208),"",ReferenceData!$I$208),"")</f>
        <v>59.355928239999997</v>
      </c>
      <c r="J208">
        <f ca="1">IFERROR(IF(0=LEN(ReferenceData!$J$208),"",ReferenceData!$J$208),"")</f>
        <v>56.80409993</v>
      </c>
      <c r="K208">
        <f ca="1">IFERROR(IF(0=LEN(ReferenceData!$K$208),"",ReferenceData!$K$208),"")</f>
        <v>57.43623504</v>
      </c>
      <c r="L208">
        <f ca="1">IFERROR(IF(0=LEN(ReferenceData!$L$208),"",ReferenceData!$L$208),"")</f>
        <v>57.983665860000002</v>
      </c>
      <c r="M208">
        <f ca="1">IFERROR(IF(0=LEN(ReferenceData!$M$208),"",ReferenceData!$M$208),"")</f>
        <v>58.065443309999999</v>
      </c>
      <c r="N208">
        <f ca="1">IFERROR(IF(0=LEN(ReferenceData!$N$208),"",ReferenceData!$N$208),"")</f>
        <v>55.38197735</v>
      </c>
      <c r="O208">
        <f ca="1">IFERROR(IF(0=LEN(ReferenceData!$O$208),"",ReferenceData!$O$208),"")</f>
        <v>57.784062200000001</v>
      </c>
      <c r="P208">
        <f ca="1">IFERROR(IF(0=LEN(ReferenceData!$P$208),"",ReferenceData!$P$208),"")</f>
        <v>57.712610490000003</v>
      </c>
      <c r="Q208">
        <f ca="1">IFERROR(IF(0=LEN(ReferenceData!$Q$208),"",ReferenceData!$Q$208),"")</f>
        <v>56.773965990000001</v>
      </c>
      <c r="R208">
        <f ca="1">IFERROR(IF(0=LEN(ReferenceData!$R$208),"",ReferenceData!$R$208),"")</f>
        <v>53.706361039999997</v>
      </c>
      <c r="S208">
        <f ca="1">IFERROR(IF(0=LEN(ReferenceData!$S$208),"",ReferenceData!$S$208),"")</f>
        <v>56.27272224</v>
      </c>
      <c r="T208">
        <f ca="1">IFERROR(IF(0=LEN(ReferenceData!$T$208),"",ReferenceData!$T$208),"")</f>
        <v>58.045042729999999</v>
      </c>
      <c r="U208">
        <f ca="1">IFERROR(IF(0=LEN(ReferenceData!$U$208),"",ReferenceData!$U$208),"")</f>
        <v>56.570657070000003</v>
      </c>
      <c r="V208">
        <f ca="1">IFERROR(IF(0=LEN(ReferenceData!$V$208),"",ReferenceData!$V$208),"")</f>
        <v>52.956743400000001</v>
      </c>
      <c r="W208">
        <f ca="1">IFERROR(IF(0=LEN(ReferenceData!$W$208),"",ReferenceData!$W$208),"")</f>
        <v>58.680642910000003</v>
      </c>
      <c r="X208">
        <f ca="1">IFERROR(IF(0=LEN(ReferenceData!$X$208),"",ReferenceData!$X$208),"")</f>
        <v>58.991042149999998</v>
      </c>
      <c r="Y208">
        <f ca="1">IFERROR(IF(0=LEN(ReferenceData!$Y$208),"",ReferenceData!$Y$208),"")</f>
        <v>57.164203700000002</v>
      </c>
      <c r="Z208">
        <f ca="1">IFERROR(IF(0=LEN(ReferenceData!$Z$208),"",ReferenceData!$Z$208),"")</f>
        <v>57.282188320000003</v>
      </c>
      <c r="AA208">
        <f ca="1">IFERROR(IF(0=LEN(ReferenceData!$AA$208),"",ReferenceData!$AA$208),"")</f>
        <v>58.58999747</v>
      </c>
      <c r="AB208">
        <f ca="1">IFERROR(IF(0=LEN(ReferenceData!$AB$208),"",ReferenceData!$AB$208),"")</f>
        <v>59.515047029999998</v>
      </c>
      <c r="AC208">
        <f ca="1">IFERROR(IF(0=LEN(ReferenceData!$AC$208),"",ReferenceData!$AC$208),"")</f>
        <v>58.005381579999998</v>
      </c>
      <c r="AD208">
        <f ca="1">IFERROR(IF(0=LEN(ReferenceData!$AD$208),"",ReferenceData!$AD$208),"")</f>
        <v>57.138278550000003</v>
      </c>
      <c r="AE208">
        <f ca="1">IFERROR(IF(0=LEN(ReferenceData!$AE$208),"",ReferenceData!$AE$208),"")</f>
        <v>60.011218309999997</v>
      </c>
      <c r="AF208">
        <f ca="1">IFERROR(IF(0=LEN(ReferenceData!$AF$208),"",ReferenceData!$AF$208),"")</f>
        <v>59.033191979999998</v>
      </c>
      <c r="AG208">
        <f ca="1">IFERROR(IF(0=LEN(ReferenceData!$AG$208),"",ReferenceData!$AG$208),"")</f>
        <v>55.723221590000001</v>
      </c>
      <c r="AH208">
        <f ca="1">IFERROR(IF(0=LEN(ReferenceData!$AH$208),"",ReferenceData!$AH$208),"")</f>
        <v>55.328743690000003</v>
      </c>
      <c r="AI208">
        <f ca="1">IFERROR(IF(0=LEN(ReferenceData!$AI$208),"",ReferenceData!$AI$208),"")</f>
        <v>56.25157299</v>
      </c>
      <c r="AJ208">
        <f ca="1">IFERROR(IF(0=LEN(ReferenceData!$AJ$208),"",ReferenceData!$AJ$208),"")</f>
        <v>58.300346900000001</v>
      </c>
      <c r="AK208">
        <f ca="1">IFERROR(IF(0=LEN(ReferenceData!$AK$208),"",ReferenceData!$AK$208),"")</f>
        <v>57.038058040000003</v>
      </c>
      <c r="AL208">
        <f ca="1">IFERROR(IF(0=LEN(ReferenceData!$AL$208),"",ReferenceData!$AL$208),"")</f>
        <v>56.85018625</v>
      </c>
      <c r="AM208">
        <f ca="1">IFERROR(IF(0=LEN(ReferenceData!$AM$208),"",ReferenceData!$AM$208),"")</f>
        <v>58.397385550000003</v>
      </c>
      <c r="AN208">
        <f ca="1">IFERROR(IF(0=LEN(ReferenceData!$AN$208),"",ReferenceData!$AN$208),"")</f>
        <v>47.276153489999999</v>
      </c>
      <c r="AO208">
        <f ca="1">IFERROR(IF(0=LEN(ReferenceData!$AO$208),"",ReferenceData!$AO$208),"")</f>
        <v>59.194099379999997</v>
      </c>
      <c r="AP208">
        <f ca="1">IFERROR(IF(0=LEN(ReferenceData!$AP$208),"",ReferenceData!$AP$208),"")</f>
        <v>57.563154179999998</v>
      </c>
      <c r="AQ208">
        <f ca="1">IFERROR(IF(0=LEN(ReferenceData!$AQ$208),"",ReferenceData!$AQ$208),"")</f>
        <v>56.762807850000002</v>
      </c>
      <c r="AR208">
        <f ca="1">IFERROR(IF(0=LEN(ReferenceData!$AR$208),"",ReferenceData!$AR$208),"")</f>
        <v>57.19815844</v>
      </c>
      <c r="AS208">
        <f ca="1">IFERROR(IF(0=LEN(ReferenceData!$AS$208),"",ReferenceData!$AS$208),"")</f>
        <v>59.298307170000001</v>
      </c>
      <c r="AT208">
        <f ca="1">IFERROR(IF(0=LEN(ReferenceData!$AT$208),"",ReferenceData!$AT$208),"")</f>
        <v>57.242125850000001</v>
      </c>
      <c r="AU208">
        <f ca="1">IFERROR(IF(0=LEN(ReferenceData!$AU$208),"",ReferenceData!$AU$208),"")</f>
        <v>59.014489009999998</v>
      </c>
      <c r="AV208">
        <f ca="1">IFERROR(IF(0=LEN(ReferenceData!$AV$208),"",ReferenceData!$AV$208),"")</f>
        <v>58.849724250000001</v>
      </c>
      <c r="AW208">
        <f ca="1">IFERROR(IF(0=LEN(ReferenceData!$AW$208),"",ReferenceData!$AW$208),"")</f>
        <v>59.01977085</v>
      </c>
      <c r="AX208">
        <f ca="1">IFERROR(IF(0=LEN(ReferenceData!$AX$208),"",ReferenceData!$AX$208),"")</f>
        <v>60.159797990000001</v>
      </c>
      <c r="AY208">
        <f ca="1">IFERROR(IF(0=LEN(ReferenceData!$AY$208),"",ReferenceData!$AY$208),"")</f>
        <v>58.047484359999999</v>
      </c>
      <c r="AZ208">
        <f ca="1">IFERROR(IF(0=LEN(ReferenceData!$AZ$208),"",ReferenceData!$AZ$208),"")</f>
        <v>59.9793594</v>
      </c>
      <c r="BA208">
        <f ca="1">IFERROR(IF(0=LEN(ReferenceData!$BA$208),"",ReferenceData!$BA$208),"")</f>
        <v>60.275490820000002</v>
      </c>
      <c r="BB208">
        <f ca="1">IFERROR(IF(0=LEN(ReferenceData!$BB$208),"",ReferenceData!$BB$208),"")</f>
        <v>61.139466370000001</v>
      </c>
      <c r="BC208">
        <f ca="1">IFERROR(IF(0=LEN(ReferenceData!$BC$208),"",ReferenceData!$BC$208),"")</f>
        <v>61.451534700000003</v>
      </c>
      <c r="BD208">
        <f ca="1">IFERROR(IF(0=LEN(ReferenceData!$BD$208),"",ReferenceData!$BD$208),"")</f>
        <v>62.550155160000003</v>
      </c>
      <c r="BE208">
        <f ca="1">IFERROR(IF(0=LEN(ReferenceData!$BE$208),"",ReferenceData!$BE$208),"")</f>
        <v>62.845492569999998</v>
      </c>
      <c r="BF208">
        <f ca="1">IFERROR(IF(0=LEN(ReferenceData!$BF$208),"",ReferenceData!$BF$208),"")</f>
        <v>60.468433939999997</v>
      </c>
      <c r="BG208">
        <f ca="1">IFERROR(IF(0=LEN(ReferenceData!$BG$208),"",ReferenceData!$BG$208),"")</f>
        <v>62.400833859999999</v>
      </c>
      <c r="BH208">
        <f ca="1">IFERROR(IF(0=LEN(ReferenceData!$BH$208),"",ReferenceData!$BH$208),"")</f>
        <v>62.90269962</v>
      </c>
      <c r="BI208">
        <f ca="1">IFERROR(IF(0=LEN(ReferenceData!$BI$208),"",ReferenceData!$BI$208),"")</f>
        <v>63.00622894</v>
      </c>
      <c r="BJ208">
        <f ca="1">IFERROR(IF(0=LEN(ReferenceData!$BJ$208),"",ReferenceData!$BJ$208),"")</f>
        <v>63.151226540000003</v>
      </c>
      <c r="BK208">
        <f ca="1">IFERROR(IF(0=LEN(ReferenceData!$BK$208),"",ReferenceData!$BK$208),"")</f>
        <v>62.106712270000003</v>
      </c>
      <c r="BL208">
        <f ca="1">IFERROR(IF(0=LEN(ReferenceData!$BL$208),"",ReferenceData!$BL$208),"")</f>
        <v>59.725195059999997</v>
      </c>
      <c r="BM208">
        <f ca="1">IFERROR(IF(0=LEN(ReferenceData!$BM$208),"",ReferenceData!$BM$208),"")</f>
        <v>58.641590469999997</v>
      </c>
    </row>
    <row r="209" spans="1:65">
      <c r="A209" t="str">
        <f>IFERROR(IF(0=LEN(ReferenceData!$A$209),"",ReferenceData!$A$209),"")</f>
        <v xml:space="preserve">    VEREIT Inc</v>
      </c>
      <c r="B209" t="str">
        <f>IFERROR(IF(0=LEN(ReferenceData!$B$209),"",ReferenceData!$B$209),"")</f>
        <v>VER US Equity</v>
      </c>
      <c r="C209" t="str">
        <f>IFERROR(IF(0=LEN(ReferenceData!$C$209),"",ReferenceData!$C$209),"")</f>
        <v>RX225</v>
      </c>
      <c r="D209" t="str">
        <f>IFERROR(IF(0=LEN(ReferenceData!$D$209),"",ReferenceData!$D$209),"")</f>
        <v>EBITDA_TO_REVENUE</v>
      </c>
      <c r="E209" t="str">
        <f>IFERROR(IF(0=LEN(ReferenceData!$E$209),"",ReferenceData!$E$209),"")</f>
        <v>动态</v>
      </c>
      <c r="F209" t="str">
        <f ca="1">IFERROR(IF(0=LEN(ReferenceData!$F$209),"",ReferenceData!$F$209),"")</f>
        <v/>
      </c>
      <c r="G209">
        <f ca="1">IFERROR(IF(0=LEN(ReferenceData!$G$209),"",ReferenceData!$G$209),"")</f>
        <v>73.884630079999994</v>
      </c>
      <c r="H209">
        <f ca="1">IFERROR(IF(0=LEN(ReferenceData!$H$209),"",ReferenceData!$H$209),"")</f>
        <v>76.150338000000005</v>
      </c>
      <c r="I209">
        <f ca="1">IFERROR(IF(0=LEN(ReferenceData!$I$209),"",ReferenceData!$I$209),"")</f>
        <v>73.110141569999996</v>
      </c>
      <c r="J209">
        <f ca="1">IFERROR(IF(0=LEN(ReferenceData!$J$209),"",ReferenceData!$J$209),"")</f>
        <v>77.210807149999994</v>
      </c>
      <c r="K209">
        <f ca="1">IFERROR(IF(0=LEN(ReferenceData!$K$209),"",ReferenceData!$K$209),"")</f>
        <v>40.806663839999999</v>
      </c>
      <c r="L209">
        <f ca="1">IFERROR(IF(0=LEN(ReferenceData!$L$209),"",ReferenceData!$L$209),"")</f>
        <v>78.722290340000001</v>
      </c>
      <c r="M209">
        <f ca="1">IFERROR(IF(0=LEN(ReferenceData!$M$209),"",ReferenceData!$M$209),"")</f>
        <v>76.958053359999994</v>
      </c>
      <c r="N209">
        <f ca="1">IFERROR(IF(0=LEN(ReferenceData!$N$209),"",ReferenceData!$N$209),"")</f>
        <v>39.349899729999997</v>
      </c>
      <c r="O209">
        <f ca="1">IFERROR(IF(0=LEN(ReferenceData!$O$209),"",ReferenceData!$O$209),"")</f>
        <v>21.64231273</v>
      </c>
      <c r="P209">
        <f ca="1">IFERROR(IF(0=LEN(ReferenceData!$P$209),"",ReferenceData!$P$209),"")</f>
        <v>81.550003380000007</v>
      </c>
      <c r="Q209">
        <f ca="1">IFERROR(IF(0=LEN(ReferenceData!$Q$209),"",ReferenceData!$Q$209),"")</f>
        <v>56.582199070000001</v>
      </c>
      <c r="R209">
        <f ca="1">IFERROR(IF(0=LEN(ReferenceData!$R$209),"",ReferenceData!$R$209),"")</f>
        <v>79.751908779999994</v>
      </c>
      <c r="S209">
        <f ca="1">IFERROR(IF(0=LEN(ReferenceData!$S$209),"",ReferenceData!$S$209),"")</f>
        <v>-14.63920135</v>
      </c>
      <c r="T209">
        <f ca="1">IFERROR(IF(0=LEN(ReferenceData!$T$209),"",ReferenceData!$T$209),"")</f>
        <v>77.181821760000005</v>
      </c>
      <c r="U209">
        <f ca="1">IFERROR(IF(0=LEN(ReferenceData!$U$209),"",ReferenceData!$U$209),"")</f>
        <v>83.742915600000003</v>
      </c>
      <c r="V209">
        <f ca="1">IFERROR(IF(0=LEN(ReferenceData!$V$209),"",ReferenceData!$V$209),"")</f>
        <v>16.87321347</v>
      </c>
      <c r="W209">
        <f ca="1">IFERROR(IF(0=LEN(ReferenceData!$W$209),"",ReferenceData!$W$209),"")</f>
        <v>-19.207352709999999</v>
      </c>
      <c r="X209">
        <f ca="1">IFERROR(IF(0=LEN(ReferenceData!$X$209),"",ReferenceData!$X$209),"")</f>
        <v>54.445435940000003</v>
      </c>
      <c r="Y209">
        <f ca="1">IFERROR(IF(0=LEN(ReferenceData!$Y$209),"",ReferenceData!$Y$209),"")</f>
        <v>8.8706888710000005</v>
      </c>
      <c r="Z209">
        <f ca="1">IFERROR(IF(0=LEN(ReferenceData!$Z$209),"",ReferenceData!$Z$209),"")</f>
        <v>-253.77299110000001</v>
      </c>
      <c r="AA209">
        <f ca="1">IFERROR(IF(0=LEN(ReferenceData!$AA$209),"",ReferenceData!$AA$209),"")</f>
        <v>27.621866059999999</v>
      </c>
      <c r="AB209">
        <f ca="1">IFERROR(IF(0=LEN(ReferenceData!$AB$209),"",ReferenceData!$AB$209),"")</f>
        <v>14.997874149999999</v>
      </c>
      <c r="AC209">
        <f ca="1">IFERROR(IF(0=LEN(ReferenceData!$AC$209),"",ReferenceData!$AC$209),"")</f>
        <v>26.96412948</v>
      </c>
      <c r="AD209">
        <f ca="1">IFERROR(IF(0=LEN(ReferenceData!$AD$209),"",ReferenceData!$AD$209),"")</f>
        <v>8.0448717950000006</v>
      </c>
      <c r="AE209">
        <f ca="1">IFERROR(IF(0=LEN(ReferenceData!$AE$209),"",ReferenceData!$AE$209),"")</f>
        <v>-103.2611005</v>
      </c>
      <c r="AF209">
        <f ca="1">IFERROR(IF(0=LEN(ReferenceData!$AF$209),"",ReferenceData!$AF$209),"")</f>
        <v>-19.444444440000002</v>
      </c>
      <c r="AG209" t="str">
        <f ca="1">IFERROR(IF(0=LEN(ReferenceData!$AG$209),"",ReferenceData!$AG$209),"")</f>
        <v/>
      </c>
      <c r="AH209">
        <f ca="1">IFERROR(IF(0=LEN(ReferenceData!$AH$209),"",ReferenceData!$AH$209),"")</f>
        <v>115.6109969</v>
      </c>
      <c r="AI209" t="str">
        <f ca="1">IFERROR(IF(0=LEN(ReferenceData!$AI$209),"",ReferenceData!$AI$209),"")</f>
        <v/>
      </c>
      <c r="AJ209" t="str">
        <f ca="1">IFERROR(IF(0=LEN(ReferenceData!$AJ$209),"",ReferenceData!$AJ$209),"")</f>
        <v/>
      </c>
      <c r="AK209" t="str">
        <f ca="1">IFERROR(IF(0=LEN(ReferenceData!$AK$209),"",ReferenceData!$AK$209),"")</f>
        <v/>
      </c>
      <c r="AL209">
        <f ca="1">IFERROR(IF(0=LEN(ReferenceData!$AL$209),"",ReferenceData!$AL$209),"")</f>
        <v>116.4971872</v>
      </c>
      <c r="AM209" t="str">
        <f ca="1">IFERROR(IF(0=LEN(ReferenceData!$AM$209),"",ReferenceData!$AM$209),"")</f>
        <v/>
      </c>
      <c r="AN209" t="str">
        <f ca="1">IFERROR(IF(0=LEN(ReferenceData!$AN$209),"",ReferenceData!$AN$209),"")</f>
        <v/>
      </c>
      <c r="AO209" t="str">
        <f ca="1">IFERROR(IF(0=LEN(ReferenceData!$AO$209),"",ReferenceData!$AO$209),"")</f>
        <v/>
      </c>
      <c r="AP209" t="str">
        <f ca="1">IFERROR(IF(0=LEN(ReferenceData!$AP$209),"",ReferenceData!$AP$209),"")</f>
        <v/>
      </c>
      <c r="AQ209" t="str">
        <f ca="1">IFERROR(IF(0=LEN(ReferenceData!$AQ$209),"",ReferenceData!$AQ$209),"")</f>
        <v/>
      </c>
      <c r="AR209" t="str">
        <f ca="1">IFERROR(IF(0=LEN(ReferenceData!$AR$209),"",ReferenceData!$AR$209),"")</f>
        <v/>
      </c>
      <c r="AS209" t="str">
        <f ca="1">IFERROR(IF(0=LEN(ReferenceData!$AS$209),"",ReferenceData!$AS$209),"")</f>
        <v/>
      </c>
      <c r="AT209" t="str">
        <f ca="1">IFERROR(IF(0=LEN(ReferenceData!$AT$209),"",ReferenceData!$AT$209),"")</f>
        <v/>
      </c>
      <c r="AU209" t="str">
        <f ca="1">IFERROR(IF(0=LEN(ReferenceData!$AU$209),"",ReferenceData!$AU$209),"")</f>
        <v/>
      </c>
      <c r="AV209" t="str">
        <f ca="1">IFERROR(IF(0=LEN(ReferenceData!$AV$209),"",ReferenceData!$AV$209),"")</f>
        <v/>
      </c>
      <c r="AW209" t="str">
        <f ca="1">IFERROR(IF(0=LEN(ReferenceData!$AW$209),"",ReferenceData!$AW$209),"")</f>
        <v/>
      </c>
      <c r="AX209" t="str">
        <f ca="1">IFERROR(IF(0=LEN(ReferenceData!$AX$209),"",ReferenceData!$AX$209),"")</f>
        <v/>
      </c>
      <c r="AY209" t="str">
        <f ca="1">IFERROR(IF(0=LEN(ReferenceData!$AY$209),"",ReferenceData!$AY$209),"")</f>
        <v/>
      </c>
      <c r="AZ209" t="str">
        <f ca="1">IFERROR(IF(0=LEN(ReferenceData!$AZ$209),"",ReferenceData!$AZ$209),"")</f>
        <v/>
      </c>
      <c r="BA209" t="str">
        <f ca="1">IFERROR(IF(0=LEN(ReferenceData!$BA$209),"",ReferenceData!$BA$209),"")</f>
        <v/>
      </c>
      <c r="BB209" t="str">
        <f ca="1">IFERROR(IF(0=LEN(ReferenceData!$BB$209),"",ReferenceData!$BB$209),"")</f>
        <v/>
      </c>
      <c r="BC209" t="str">
        <f ca="1">IFERROR(IF(0=LEN(ReferenceData!$BC$209),"",ReferenceData!$BC$209),"")</f>
        <v/>
      </c>
      <c r="BD209" t="str">
        <f ca="1">IFERROR(IF(0=LEN(ReferenceData!$BD$209),"",ReferenceData!$BD$209),"")</f>
        <v/>
      </c>
      <c r="BE209" t="str">
        <f ca="1">IFERROR(IF(0=LEN(ReferenceData!$BE$209),"",ReferenceData!$BE$209),"")</f>
        <v/>
      </c>
      <c r="BF209" t="str">
        <f ca="1">IFERROR(IF(0=LEN(ReferenceData!$BF$209),"",ReferenceData!$BF$209),"")</f>
        <v/>
      </c>
      <c r="BG209" t="str">
        <f ca="1">IFERROR(IF(0=LEN(ReferenceData!$BG$209),"",ReferenceData!$BG$209),"")</f>
        <v/>
      </c>
      <c r="BH209" t="str">
        <f ca="1">IFERROR(IF(0=LEN(ReferenceData!$BH$209),"",ReferenceData!$BH$209),"")</f>
        <v/>
      </c>
      <c r="BI209" t="str">
        <f ca="1">IFERROR(IF(0=LEN(ReferenceData!$BI$209),"",ReferenceData!$BI$209),"")</f>
        <v/>
      </c>
      <c r="BJ209" t="str">
        <f ca="1">IFERROR(IF(0=LEN(ReferenceData!$BJ$209),"",ReferenceData!$BJ$209),"")</f>
        <v/>
      </c>
      <c r="BK209" t="str">
        <f ca="1">IFERROR(IF(0=LEN(ReferenceData!$BK$209),"",ReferenceData!$BK$209),"")</f>
        <v/>
      </c>
      <c r="BL209" t="str">
        <f ca="1">IFERROR(IF(0=LEN(ReferenceData!$BL$209),"",ReferenceData!$BL$209),"")</f>
        <v/>
      </c>
      <c r="BM209" t="str">
        <f ca="1">IFERROR(IF(0=LEN(ReferenceData!$BM$209),"",ReferenceData!$BM$209),"")</f>
        <v/>
      </c>
    </row>
    <row r="210" spans="1:65">
      <c r="A210" t="str">
        <f>IFERROR(IF(0=LEN(ReferenceData!$A$210),"",ReferenceData!$A$210),"")</f>
        <v xml:space="preserve">    Washington Prime Group Inc</v>
      </c>
      <c r="B210" t="str">
        <f>IFERROR(IF(0=LEN(ReferenceData!$B$210),"",ReferenceData!$B$210),"")</f>
        <v>WPG US Equity</v>
      </c>
      <c r="C210" t="str">
        <f>IFERROR(IF(0=LEN(ReferenceData!$C$210),"",ReferenceData!$C$210),"")</f>
        <v>RX225</v>
      </c>
      <c r="D210" t="str">
        <f>IFERROR(IF(0=LEN(ReferenceData!$D$210),"",ReferenceData!$D$210),"")</f>
        <v>EBITDA_TO_REVENUE</v>
      </c>
      <c r="E210" t="str">
        <f>IFERROR(IF(0=LEN(ReferenceData!$E$210),"",ReferenceData!$E$210),"")</f>
        <v>动态</v>
      </c>
      <c r="F210" t="str">
        <f ca="1">IFERROR(IF(0=LEN(ReferenceData!$F$210),"",ReferenceData!$F$210),"")</f>
        <v/>
      </c>
      <c r="G210">
        <f ca="1">IFERROR(IF(0=LEN(ReferenceData!$G$210),"",ReferenceData!$G$210),"")</f>
        <v>43.815592000000002</v>
      </c>
      <c r="H210">
        <f ca="1">IFERROR(IF(0=LEN(ReferenceData!$H$210),"",ReferenceData!$H$210),"")</f>
        <v>50.96531341</v>
      </c>
      <c r="I210">
        <f ca="1">IFERROR(IF(0=LEN(ReferenceData!$I$210),"",ReferenceData!$I$210),"")</f>
        <v>61.192783249999998</v>
      </c>
      <c r="J210">
        <f ca="1">IFERROR(IF(0=LEN(ReferenceData!$J$210),"",ReferenceData!$J$210),"")</f>
        <v>57.573347040000002</v>
      </c>
      <c r="K210">
        <f ca="1">IFERROR(IF(0=LEN(ReferenceData!$K$210),"",ReferenceData!$K$210),"")</f>
        <v>61.557499370000002</v>
      </c>
      <c r="L210">
        <f ca="1">IFERROR(IF(0=LEN(ReferenceData!$L$210),"",ReferenceData!$L$210),"")</f>
        <v>50.911290860000001</v>
      </c>
      <c r="M210">
        <f ca="1">IFERROR(IF(0=LEN(ReferenceData!$M$210),"",ReferenceData!$M$210),"")</f>
        <v>50.517162599999999</v>
      </c>
      <c r="N210">
        <f ca="1">IFERROR(IF(0=LEN(ReferenceData!$N$210),"",ReferenceData!$N$210),"")</f>
        <v>59.874494720000001</v>
      </c>
      <c r="O210">
        <f ca="1">IFERROR(IF(0=LEN(ReferenceData!$O$210),"",ReferenceData!$O$210),"")</f>
        <v>-1.510177568</v>
      </c>
      <c r="P210">
        <f ca="1">IFERROR(IF(0=LEN(ReferenceData!$P$210),"",ReferenceData!$P$210),"")</f>
        <v>53.227614780000003</v>
      </c>
      <c r="Q210">
        <f ca="1">IFERROR(IF(0=LEN(ReferenceData!$Q$210),"",ReferenceData!$Q$210),"")</f>
        <v>56.16137887</v>
      </c>
      <c r="R210">
        <f ca="1">IFERROR(IF(0=LEN(ReferenceData!$R$210),"",ReferenceData!$R$210),"")</f>
        <v>49.777046749999997</v>
      </c>
      <c r="S210">
        <f ca="1">IFERROR(IF(0=LEN(ReferenceData!$S$210),"",ReferenceData!$S$210),"")</f>
        <v>61.455853990000001</v>
      </c>
      <c r="T210">
        <f ca="1">IFERROR(IF(0=LEN(ReferenceData!$T$210),"",ReferenceData!$T$210),"")</f>
        <v>61.499606399999998</v>
      </c>
      <c r="U210">
        <f ca="1">IFERROR(IF(0=LEN(ReferenceData!$U$210),"",ReferenceData!$U$210),"")</f>
        <v>39.651019439999999</v>
      </c>
      <c r="V210">
        <f ca="1">IFERROR(IF(0=LEN(ReferenceData!$V$210),"",ReferenceData!$V$210),"")</f>
        <v>64.12144155</v>
      </c>
      <c r="W210" t="str">
        <f ca="1">IFERROR(IF(0=LEN(ReferenceData!$W$210),"",ReferenceData!$W$210),"")</f>
        <v/>
      </c>
      <c r="X210" t="str">
        <f ca="1">IFERROR(IF(0=LEN(ReferenceData!$X$210),"",ReferenceData!$X$210),"")</f>
        <v/>
      </c>
      <c r="Y210" t="str">
        <f ca="1">IFERROR(IF(0=LEN(ReferenceData!$Y$210),"",ReferenceData!$Y$210),"")</f>
        <v/>
      </c>
      <c r="Z210" t="str">
        <f ca="1">IFERROR(IF(0=LEN(ReferenceData!$Z$210),"",ReferenceData!$Z$210),"")</f>
        <v/>
      </c>
      <c r="AA210" t="str">
        <f ca="1">IFERROR(IF(0=LEN(ReferenceData!$AA$210),"",ReferenceData!$AA$210),"")</f>
        <v/>
      </c>
      <c r="AB210" t="str">
        <f ca="1">IFERROR(IF(0=LEN(ReferenceData!$AB$210),"",ReferenceData!$AB$210),"")</f>
        <v/>
      </c>
      <c r="AC210" t="str">
        <f ca="1">IFERROR(IF(0=LEN(ReferenceData!$AC$210),"",ReferenceData!$AC$210),"")</f>
        <v/>
      </c>
      <c r="AD210" t="str">
        <f ca="1">IFERROR(IF(0=LEN(ReferenceData!$AD$210),"",ReferenceData!$AD$210),"")</f>
        <v/>
      </c>
      <c r="AE210" t="str">
        <f ca="1">IFERROR(IF(0=LEN(ReferenceData!$AE$210),"",ReferenceData!$AE$210),"")</f>
        <v/>
      </c>
      <c r="AF210" t="str">
        <f ca="1">IFERROR(IF(0=LEN(ReferenceData!$AF$210),"",ReferenceData!$AF$210),"")</f>
        <v/>
      </c>
      <c r="AG210" t="str">
        <f ca="1">IFERROR(IF(0=LEN(ReferenceData!$AG$210),"",ReferenceData!$AG$210),"")</f>
        <v/>
      </c>
      <c r="AH210" t="str">
        <f ca="1">IFERROR(IF(0=LEN(ReferenceData!$AH$210),"",ReferenceData!$AH$210),"")</f>
        <v/>
      </c>
      <c r="AI210" t="str">
        <f ca="1">IFERROR(IF(0=LEN(ReferenceData!$AI$210),"",ReferenceData!$AI$210),"")</f>
        <v/>
      </c>
      <c r="AJ210" t="str">
        <f ca="1">IFERROR(IF(0=LEN(ReferenceData!$AJ$210),"",ReferenceData!$AJ$210),"")</f>
        <v/>
      </c>
      <c r="AK210" t="str">
        <f ca="1">IFERROR(IF(0=LEN(ReferenceData!$AK$210),"",ReferenceData!$AK$210),"")</f>
        <v/>
      </c>
      <c r="AL210" t="str">
        <f ca="1">IFERROR(IF(0=LEN(ReferenceData!$AL$210),"",ReferenceData!$AL$210),"")</f>
        <v/>
      </c>
      <c r="AM210" t="str">
        <f ca="1">IFERROR(IF(0=LEN(ReferenceData!$AM$210),"",ReferenceData!$AM$210),"")</f>
        <v/>
      </c>
      <c r="AN210" t="str">
        <f ca="1">IFERROR(IF(0=LEN(ReferenceData!$AN$210),"",ReferenceData!$AN$210),"")</f>
        <v/>
      </c>
      <c r="AO210" t="str">
        <f ca="1">IFERROR(IF(0=LEN(ReferenceData!$AO$210),"",ReferenceData!$AO$210),"")</f>
        <v/>
      </c>
      <c r="AP210" t="str">
        <f ca="1">IFERROR(IF(0=LEN(ReferenceData!$AP$210),"",ReferenceData!$AP$210),"")</f>
        <v/>
      </c>
      <c r="AQ210" t="str">
        <f ca="1">IFERROR(IF(0=LEN(ReferenceData!$AQ$210),"",ReferenceData!$AQ$210),"")</f>
        <v/>
      </c>
      <c r="AR210" t="str">
        <f ca="1">IFERROR(IF(0=LEN(ReferenceData!$AR$210),"",ReferenceData!$AR$210),"")</f>
        <v/>
      </c>
      <c r="AS210" t="str">
        <f ca="1">IFERROR(IF(0=LEN(ReferenceData!$AS$210),"",ReferenceData!$AS$210),"")</f>
        <v/>
      </c>
      <c r="AT210" t="str">
        <f ca="1">IFERROR(IF(0=LEN(ReferenceData!$AT$210),"",ReferenceData!$AT$210),"")</f>
        <v/>
      </c>
      <c r="AU210" t="str">
        <f ca="1">IFERROR(IF(0=LEN(ReferenceData!$AU$210),"",ReferenceData!$AU$210),"")</f>
        <v/>
      </c>
      <c r="AV210" t="str">
        <f ca="1">IFERROR(IF(0=LEN(ReferenceData!$AV$210),"",ReferenceData!$AV$210),"")</f>
        <v/>
      </c>
      <c r="AW210" t="str">
        <f ca="1">IFERROR(IF(0=LEN(ReferenceData!$AW$210),"",ReferenceData!$AW$210),"")</f>
        <v/>
      </c>
      <c r="AX210" t="str">
        <f ca="1">IFERROR(IF(0=LEN(ReferenceData!$AX$210),"",ReferenceData!$AX$210),"")</f>
        <v/>
      </c>
      <c r="AY210" t="str">
        <f ca="1">IFERROR(IF(0=LEN(ReferenceData!$AY$210),"",ReferenceData!$AY$210),"")</f>
        <v/>
      </c>
      <c r="AZ210" t="str">
        <f ca="1">IFERROR(IF(0=LEN(ReferenceData!$AZ$210),"",ReferenceData!$AZ$210),"")</f>
        <v/>
      </c>
      <c r="BA210" t="str">
        <f ca="1">IFERROR(IF(0=LEN(ReferenceData!$BA$210),"",ReferenceData!$BA$210),"")</f>
        <v/>
      </c>
      <c r="BB210" t="str">
        <f ca="1">IFERROR(IF(0=LEN(ReferenceData!$BB$210),"",ReferenceData!$BB$210),"")</f>
        <v/>
      </c>
      <c r="BC210" t="str">
        <f ca="1">IFERROR(IF(0=LEN(ReferenceData!$BC$210),"",ReferenceData!$BC$210),"")</f>
        <v/>
      </c>
      <c r="BD210" t="str">
        <f ca="1">IFERROR(IF(0=LEN(ReferenceData!$BD$210),"",ReferenceData!$BD$210),"")</f>
        <v/>
      </c>
      <c r="BE210" t="str">
        <f ca="1">IFERROR(IF(0=LEN(ReferenceData!$BE$210),"",ReferenceData!$BE$210),"")</f>
        <v/>
      </c>
      <c r="BF210" t="str">
        <f ca="1">IFERROR(IF(0=LEN(ReferenceData!$BF$210),"",ReferenceData!$BF$210),"")</f>
        <v/>
      </c>
      <c r="BG210" t="str">
        <f ca="1">IFERROR(IF(0=LEN(ReferenceData!$BG$210),"",ReferenceData!$BG$210),"")</f>
        <v/>
      </c>
      <c r="BH210" t="str">
        <f ca="1">IFERROR(IF(0=LEN(ReferenceData!$BH$210),"",ReferenceData!$BH$210),"")</f>
        <v/>
      </c>
      <c r="BI210" t="str">
        <f ca="1">IFERROR(IF(0=LEN(ReferenceData!$BI$210),"",ReferenceData!$BI$210),"")</f>
        <v/>
      </c>
      <c r="BJ210" t="str">
        <f ca="1">IFERROR(IF(0=LEN(ReferenceData!$BJ$210),"",ReferenceData!$BJ$210),"")</f>
        <v/>
      </c>
      <c r="BK210" t="str">
        <f ca="1">IFERROR(IF(0=LEN(ReferenceData!$BK$210),"",ReferenceData!$BK$210),"")</f>
        <v/>
      </c>
      <c r="BL210" t="str">
        <f ca="1">IFERROR(IF(0=LEN(ReferenceData!$BL$210),"",ReferenceData!$BL$210),"")</f>
        <v/>
      </c>
      <c r="BM210" t="str">
        <f ca="1">IFERROR(IF(0=LEN(ReferenceData!$BM$210),"",ReferenceData!$BM$210),"")</f>
        <v/>
      </c>
    </row>
    <row r="211" spans="1:65">
      <c r="A211" t="str">
        <f>IFERROR(IF(0=LEN(ReferenceData!$A$211),"",ReferenceData!$A$211),"")</f>
        <v xml:space="preserve">    Weingarten Realty Investors</v>
      </c>
      <c r="B211" t="str">
        <f>IFERROR(IF(0=LEN(ReferenceData!$B$211),"",ReferenceData!$B$211),"")</f>
        <v>WRI US Equity</v>
      </c>
      <c r="C211" t="str">
        <f>IFERROR(IF(0=LEN(ReferenceData!$C$211),"",ReferenceData!$C$211),"")</f>
        <v>RX225</v>
      </c>
      <c r="D211" t="str">
        <f>IFERROR(IF(0=LEN(ReferenceData!$D$211),"",ReferenceData!$D$211),"")</f>
        <v>EBITDA_TO_REVENUE</v>
      </c>
      <c r="E211" t="str">
        <f>IFERROR(IF(0=LEN(ReferenceData!$E$211),"",ReferenceData!$E$211),"")</f>
        <v>动态</v>
      </c>
      <c r="F211" t="str">
        <f ca="1">IFERROR(IF(0=LEN(ReferenceData!$F$211),"",ReferenceData!$F$211),"")</f>
        <v/>
      </c>
      <c r="G211">
        <f ca="1">IFERROR(IF(0=LEN(ReferenceData!$G$211),"",ReferenceData!$G$211),"")</f>
        <v>63.167751330000002</v>
      </c>
      <c r="H211">
        <f ca="1">IFERROR(IF(0=LEN(ReferenceData!$H$211),"",ReferenceData!$H$211),"")</f>
        <v>63.233640970000003</v>
      </c>
      <c r="I211">
        <f ca="1">IFERROR(IF(0=LEN(ReferenceData!$I$211),"",ReferenceData!$I$211),"")</f>
        <v>62.750388639999997</v>
      </c>
      <c r="J211">
        <f ca="1">IFERROR(IF(0=LEN(ReferenceData!$J$211),"",ReferenceData!$J$211),"")</f>
        <v>51.324279740000001</v>
      </c>
      <c r="K211">
        <f ca="1">IFERROR(IF(0=LEN(ReferenceData!$K$211),"",ReferenceData!$K$211),"")</f>
        <v>65.451516490000003</v>
      </c>
      <c r="L211">
        <f ca="1">IFERROR(IF(0=LEN(ReferenceData!$L$211),"",ReferenceData!$L$211),"")</f>
        <v>64.636108489999998</v>
      </c>
      <c r="M211">
        <f ca="1">IFERROR(IF(0=LEN(ReferenceData!$M$211),"",ReferenceData!$M$211),"")</f>
        <v>64.421120909999999</v>
      </c>
      <c r="N211">
        <f ca="1">IFERROR(IF(0=LEN(ReferenceData!$N$211),"",ReferenceData!$N$211),"")</f>
        <v>65.311100539999998</v>
      </c>
      <c r="O211">
        <f ca="1">IFERROR(IF(0=LEN(ReferenceData!$O$211),"",ReferenceData!$O$211),"")</f>
        <v>63.699538769999997</v>
      </c>
      <c r="P211">
        <f ca="1">IFERROR(IF(0=LEN(ReferenceData!$P$211),"",ReferenceData!$P$211),"")</f>
        <v>64.63792273</v>
      </c>
      <c r="Q211">
        <f ca="1">IFERROR(IF(0=LEN(ReferenceData!$Q$211),"",ReferenceData!$Q$211),"")</f>
        <v>65.054730129999996</v>
      </c>
      <c r="R211">
        <f ca="1">IFERROR(IF(0=LEN(ReferenceData!$R$211),"",ReferenceData!$R$211),"")</f>
        <v>64.502902090000006</v>
      </c>
      <c r="S211">
        <f ca="1">IFERROR(IF(0=LEN(ReferenceData!$S$211),"",ReferenceData!$S$211),"")</f>
        <v>63.739671059999999</v>
      </c>
      <c r="T211">
        <f ca="1">IFERROR(IF(0=LEN(ReferenceData!$T$211),"",ReferenceData!$T$211),"")</f>
        <v>65.513595510000002</v>
      </c>
      <c r="U211">
        <f ca="1">IFERROR(IF(0=LEN(ReferenceData!$U$211),"",ReferenceData!$U$211),"")</f>
        <v>64.592022490000005</v>
      </c>
      <c r="V211">
        <f ca="1">IFERROR(IF(0=LEN(ReferenceData!$V$211),"",ReferenceData!$V$211),"")</f>
        <v>64.796382219999998</v>
      </c>
      <c r="W211">
        <f ca="1">IFERROR(IF(0=LEN(ReferenceData!$W$211),"",ReferenceData!$W$211),"")</f>
        <v>63.679196640000001</v>
      </c>
      <c r="X211">
        <f ca="1">IFERROR(IF(0=LEN(ReferenceData!$X$211),"",ReferenceData!$X$211),"")</f>
        <v>63.33555011</v>
      </c>
      <c r="Y211">
        <f ca="1">IFERROR(IF(0=LEN(ReferenceData!$Y$211),"",ReferenceData!$Y$211),"")</f>
        <v>66.506824050000006</v>
      </c>
      <c r="Z211">
        <f ca="1">IFERROR(IF(0=LEN(ReferenceData!$Z$211),"",ReferenceData!$Z$211),"")</f>
        <v>66.218269160000006</v>
      </c>
      <c r="AA211">
        <f ca="1">IFERROR(IF(0=LEN(ReferenceData!$AA$211),"",ReferenceData!$AA$211),"")</f>
        <v>66.103708159999996</v>
      </c>
      <c r="AB211">
        <f ca="1">IFERROR(IF(0=LEN(ReferenceData!$AB$211),"",ReferenceData!$AB$211),"")</f>
        <v>64.066089489999996</v>
      </c>
      <c r="AC211">
        <f ca="1">IFERROR(IF(0=LEN(ReferenceData!$AC$211),"",ReferenceData!$AC$211),"")</f>
        <v>63.10867897</v>
      </c>
      <c r="AD211">
        <f ca="1">IFERROR(IF(0=LEN(ReferenceData!$AD$211),"",ReferenceData!$AD$211),"")</f>
        <v>61.474554300000001</v>
      </c>
      <c r="AE211">
        <f ca="1">IFERROR(IF(0=LEN(ReferenceData!$AE$211),"",ReferenceData!$AE$211),"")</f>
        <v>65.876270579999996</v>
      </c>
      <c r="AF211">
        <f ca="1">IFERROR(IF(0=LEN(ReferenceData!$AF$211),"",ReferenceData!$AF$211),"")</f>
        <v>44.829045569999998</v>
      </c>
      <c r="AG211">
        <f ca="1">IFERROR(IF(0=LEN(ReferenceData!$AG$211),"",ReferenceData!$AG$211),"")</f>
        <v>54.172308940000001</v>
      </c>
      <c r="AH211">
        <f ca="1">IFERROR(IF(0=LEN(ReferenceData!$AH$211),"",ReferenceData!$AH$211),"")</f>
        <v>68.402380890000003</v>
      </c>
      <c r="AI211">
        <f ca="1">IFERROR(IF(0=LEN(ReferenceData!$AI$211),"",ReferenceData!$AI$211),"")</f>
        <v>55.725071939999999</v>
      </c>
      <c r="AJ211">
        <f ca="1">IFERROR(IF(0=LEN(ReferenceData!$AJ$211),"",ReferenceData!$AJ$211),"")</f>
        <v>63.120535650000001</v>
      </c>
      <c r="AK211">
        <f ca="1">IFERROR(IF(0=LEN(ReferenceData!$AK$211),"",ReferenceData!$AK$211),"")</f>
        <v>54.001349869999999</v>
      </c>
      <c r="AL211">
        <f ca="1">IFERROR(IF(0=LEN(ReferenceData!$AL$211),"",ReferenceData!$AL$211),"")</f>
        <v>63.739469749999998</v>
      </c>
      <c r="AM211">
        <f ca="1">IFERROR(IF(0=LEN(ReferenceData!$AM$211),"",ReferenceData!$AM$211),"")</f>
        <v>63.030541759999998</v>
      </c>
      <c r="AN211">
        <f ca="1">IFERROR(IF(0=LEN(ReferenceData!$AN$211),"",ReferenceData!$AN$211),"")</f>
        <v>43.054943979999997</v>
      </c>
      <c r="AO211">
        <f ca="1">IFERROR(IF(0=LEN(ReferenceData!$AO$211),"",ReferenceData!$AO$211),"")</f>
        <v>64.297300140000004</v>
      </c>
      <c r="AP211">
        <f ca="1">IFERROR(IF(0=LEN(ReferenceData!$AP$211),"",ReferenceData!$AP$211),"")</f>
        <v>68.384563170000007</v>
      </c>
      <c r="AQ211">
        <f ca="1">IFERROR(IF(0=LEN(ReferenceData!$AQ$211),"",ReferenceData!$AQ$211),"")</f>
        <v>60.023204399999997</v>
      </c>
      <c r="AR211">
        <f ca="1">IFERROR(IF(0=LEN(ReferenceData!$AR$211),"",ReferenceData!$AR$211),"")</f>
        <v>67.146856139999997</v>
      </c>
      <c r="AS211">
        <f ca="1">IFERROR(IF(0=LEN(ReferenceData!$AS$211),"",ReferenceData!$AS$211),"")</f>
        <v>67.402353500000004</v>
      </c>
      <c r="AT211">
        <f ca="1">IFERROR(IF(0=LEN(ReferenceData!$AT$211),"",ReferenceData!$AT$211),"")</f>
        <v>67.124526410000001</v>
      </c>
      <c r="AU211">
        <f ca="1">IFERROR(IF(0=LEN(ReferenceData!$AU$211),"",ReferenceData!$AU$211),"")</f>
        <v>66.227414390000007</v>
      </c>
      <c r="AV211">
        <f ca="1">IFERROR(IF(0=LEN(ReferenceData!$AV$211),"",ReferenceData!$AV$211),"")</f>
        <v>65.682767819999995</v>
      </c>
      <c r="AW211">
        <f ca="1">IFERROR(IF(0=LEN(ReferenceData!$AW$211),"",ReferenceData!$AW$211),"")</f>
        <v>67.864375319999994</v>
      </c>
      <c r="AX211">
        <f ca="1">IFERROR(IF(0=LEN(ReferenceData!$AX$211),"",ReferenceData!$AX$211),"")</f>
        <v>69.434903050000003</v>
      </c>
      <c r="AY211">
        <f ca="1">IFERROR(IF(0=LEN(ReferenceData!$AY$211),"",ReferenceData!$AY$211),"")</f>
        <v>68.447378950000001</v>
      </c>
      <c r="AZ211">
        <f ca="1">IFERROR(IF(0=LEN(ReferenceData!$AZ$211),"",ReferenceData!$AZ$211),"")</f>
        <v>67.320900730000005</v>
      </c>
      <c r="BA211">
        <f ca="1">IFERROR(IF(0=LEN(ReferenceData!$BA$211),"",ReferenceData!$BA$211),"")</f>
        <v>70.573144600000006</v>
      </c>
      <c r="BB211">
        <f ca="1">IFERROR(IF(0=LEN(ReferenceData!$BB$211),"",ReferenceData!$BB$211),"")</f>
        <v>72.382387280000003</v>
      </c>
      <c r="BC211">
        <f ca="1">IFERROR(IF(0=LEN(ReferenceData!$BC$211),"",ReferenceData!$BC$211),"")</f>
        <v>74.747986800000007</v>
      </c>
      <c r="BD211">
        <f ca="1">IFERROR(IF(0=LEN(ReferenceData!$BD$211),"",ReferenceData!$BD$211),"")</f>
        <v>71.511042849999995</v>
      </c>
      <c r="BE211">
        <f ca="1">IFERROR(IF(0=LEN(ReferenceData!$BE$211),"",ReferenceData!$BE$211),"")</f>
        <v>72.544825320000001</v>
      </c>
      <c r="BF211">
        <f ca="1">IFERROR(IF(0=LEN(ReferenceData!$BF$211),"",ReferenceData!$BF$211),"")</f>
        <v>71.168757170000006</v>
      </c>
      <c r="BG211">
        <f ca="1">IFERROR(IF(0=LEN(ReferenceData!$BG$211),"",ReferenceData!$BG$211),"")</f>
        <v>71.238857139999993</v>
      </c>
      <c r="BH211">
        <f ca="1">IFERROR(IF(0=LEN(ReferenceData!$BH$211),"",ReferenceData!$BH$211),"")</f>
        <v>70.184135979999994</v>
      </c>
      <c r="BI211">
        <f ca="1">IFERROR(IF(0=LEN(ReferenceData!$BI$211),"",ReferenceData!$BI$211),"")</f>
        <v>70.339785399999997</v>
      </c>
      <c r="BJ211">
        <f ca="1">IFERROR(IF(0=LEN(ReferenceData!$BJ$211),"",ReferenceData!$BJ$211),"")</f>
        <v>70.011034859999995</v>
      </c>
      <c r="BK211">
        <f ca="1">IFERROR(IF(0=LEN(ReferenceData!$BK$211),"",ReferenceData!$BK$211),"")</f>
        <v>69.975898860000001</v>
      </c>
      <c r="BL211">
        <f ca="1">IFERROR(IF(0=LEN(ReferenceData!$BL$211),"",ReferenceData!$BL$211),"")</f>
        <v>69.485519120000006</v>
      </c>
      <c r="BM211">
        <f ca="1">IFERROR(IF(0=LEN(ReferenceData!$BM$211),"",ReferenceData!$BM$211),"")</f>
        <v>70.144319170000003</v>
      </c>
    </row>
    <row r="212" spans="1:65">
      <c r="A212" t="str">
        <f>IFERROR(IF(0=LEN(ReferenceData!$A$212),"",ReferenceData!$A$212),"")</f>
        <v>资产回报率(NOI/总资产)(%)</v>
      </c>
      <c r="B212" t="str">
        <f>IFERROR(IF(0=LEN(ReferenceData!$B$212),"",ReferenceData!$B$212),"")</f>
        <v/>
      </c>
      <c r="C212" t="str">
        <f>IFERROR(IF(0=LEN(ReferenceData!$C$212),"",ReferenceData!$C$212),"")</f>
        <v/>
      </c>
      <c r="D212" t="str">
        <f>IFERROR(IF(0=LEN(ReferenceData!$D$212),"",ReferenceData!$D$212),"")</f>
        <v/>
      </c>
      <c r="E212" t="str">
        <f>IFERROR(IF(0=LEN(ReferenceData!$E$212),"",ReferenceData!$E$212),"")</f>
        <v>Median</v>
      </c>
      <c r="F212" t="str">
        <f ca="1">IFERROR(IF(0=LEN(ReferenceData!$F$212),"",ReferenceData!$F$212),"")</f>
        <v/>
      </c>
      <c r="G212">
        <f ca="1">IFERROR(IF(0=LEN(ReferenceData!$G$212),"",ReferenceData!$G$212),"")</f>
        <v>7.7094562335000001</v>
      </c>
      <c r="H212">
        <f ca="1">IFERROR(IF(0=LEN(ReferenceData!$H$212),"",ReferenceData!$H$212),"")</f>
        <v>7.4705304804999999</v>
      </c>
      <c r="I212">
        <f ca="1">IFERROR(IF(0=LEN(ReferenceData!$I$212),"",ReferenceData!$I$212),"")</f>
        <v>7.4206035900000007</v>
      </c>
      <c r="J212">
        <f ca="1">IFERROR(IF(0=LEN(ReferenceData!$J$212),"",ReferenceData!$J$212),"")</f>
        <v>7.6370532950000003</v>
      </c>
      <c r="K212">
        <f ca="1">IFERROR(IF(0=LEN(ReferenceData!$K$212),"",ReferenceData!$K$212),"")</f>
        <v>7.9248416865000006</v>
      </c>
      <c r="L212">
        <f ca="1">IFERROR(IF(0=LEN(ReferenceData!$L$212),"",ReferenceData!$L$212),"")</f>
        <v>7.7311807224999995</v>
      </c>
      <c r="M212">
        <f ca="1">IFERROR(IF(0=LEN(ReferenceData!$M$212),"",ReferenceData!$M$212),"")</f>
        <v>7.5932344064999997</v>
      </c>
      <c r="N212">
        <f ca="1">IFERROR(IF(0=LEN(ReferenceData!$N$212),"",ReferenceData!$N$212),"")</f>
        <v>7.711974616</v>
      </c>
      <c r="O212">
        <f ca="1">IFERROR(IF(0=LEN(ReferenceData!$O$212),"",ReferenceData!$O$212),"")</f>
        <v>7.9911087545000008</v>
      </c>
      <c r="P212">
        <f ca="1">IFERROR(IF(0=LEN(ReferenceData!$P$212),"",ReferenceData!$P$212),"")</f>
        <v>7.9059446179999995</v>
      </c>
      <c r="Q212">
        <f ca="1">IFERROR(IF(0=LEN(ReferenceData!$Q$212),"",ReferenceData!$Q$212),"")</f>
        <v>7.5750969495000007</v>
      </c>
      <c r="R212">
        <f ca="1">IFERROR(IF(0=LEN(ReferenceData!$R$212),"",ReferenceData!$R$212),"")</f>
        <v>7.8621513270000003</v>
      </c>
      <c r="S212">
        <f ca="1">IFERROR(IF(0=LEN(ReferenceData!$S$212),"",ReferenceData!$S$212),"")</f>
        <v>8.5357285409999992</v>
      </c>
      <c r="T212">
        <f ca="1">IFERROR(IF(0=LEN(ReferenceData!$T$212),"",ReferenceData!$T$212),"")</f>
        <v>8.6125152059999994</v>
      </c>
      <c r="U212">
        <f ca="1">IFERROR(IF(0=LEN(ReferenceData!$U$212),"",ReferenceData!$U$212),"")</f>
        <v>8.1927451760000007</v>
      </c>
      <c r="V212">
        <f ca="1">IFERROR(IF(0=LEN(ReferenceData!$V$212),"",ReferenceData!$V$212),"")</f>
        <v>7.8303229950000004</v>
      </c>
      <c r="W212">
        <f ca="1">IFERROR(IF(0=LEN(ReferenceData!$W$212),"",ReferenceData!$W$212),"")</f>
        <v>8.4204920715</v>
      </c>
      <c r="X212">
        <f ca="1">IFERROR(IF(0=LEN(ReferenceData!$X$212),"",ReferenceData!$X$212),"")</f>
        <v>8.470736411499999</v>
      </c>
      <c r="Y212">
        <f ca="1">IFERROR(IF(0=LEN(ReferenceData!$Y$212),"",ReferenceData!$Y$212),"")</f>
        <v>8.2135654314999993</v>
      </c>
      <c r="Z212">
        <f ca="1">IFERROR(IF(0=LEN(ReferenceData!$Z$212),"",ReferenceData!$Z$212),"")</f>
        <v>7.6823785559999997</v>
      </c>
      <c r="AA212">
        <f ca="1">IFERROR(IF(0=LEN(ReferenceData!$AA$212),"",ReferenceData!$AA$212),"")</f>
        <v>8.9740010370000007</v>
      </c>
      <c r="AB212">
        <f ca="1">IFERROR(IF(0=LEN(ReferenceData!$AB$212),"",ReferenceData!$AB$212),"")</f>
        <v>8.5339314650000002</v>
      </c>
      <c r="AC212">
        <f ca="1">IFERROR(IF(0=LEN(ReferenceData!$AC$212),"",ReferenceData!$AC$212),"")</f>
        <v>8.2488643679999996</v>
      </c>
      <c r="AD212">
        <f ca="1">IFERROR(IF(0=LEN(ReferenceData!$AD$212),"",ReferenceData!$AD$212),"")</f>
        <v>7.846643684</v>
      </c>
      <c r="AE212">
        <f ca="1">IFERROR(IF(0=LEN(ReferenceData!$AE$212),"",ReferenceData!$AE$212),"")</f>
        <v>8.2894315130000003</v>
      </c>
      <c r="AF212">
        <f ca="1">IFERROR(IF(0=LEN(ReferenceData!$AF$212),"",ReferenceData!$AF$212),"")</f>
        <v>8.813714118</v>
      </c>
      <c r="AG212">
        <f ca="1">IFERROR(IF(0=LEN(ReferenceData!$AG$212),"",ReferenceData!$AG$212),"")</f>
        <v>7.8656965579999998</v>
      </c>
      <c r="AH212">
        <f ca="1">IFERROR(IF(0=LEN(ReferenceData!$AH$212),"",ReferenceData!$AH$212),"")</f>
        <v>8.0251082329999992</v>
      </c>
      <c r="AI212">
        <f ca="1">IFERROR(IF(0=LEN(ReferenceData!$AI$212),"",ReferenceData!$AI$212),"")</f>
        <v>8.8439067014999999</v>
      </c>
      <c r="AJ212">
        <f ca="1">IFERROR(IF(0=LEN(ReferenceData!$AJ$212),"",ReferenceData!$AJ$212),"")</f>
        <v>8.082598076</v>
      </c>
      <c r="AK212">
        <f ca="1">IFERROR(IF(0=LEN(ReferenceData!$AK$212),"",ReferenceData!$AK$212),"")</f>
        <v>8.1878033240000008</v>
      </c>
      <c r="AL212">
        <f ca="1">IFERROR(IF(0=LEN(ReferenceData!$AL$212),"",ReferenceData!$AL$212),"")</f>
        <v>8.2125881105000005</v>
      </c>
      <c r="AM212">
        <f ca="1">IFERROR(IF(0=LEN(ReferenceData!$AM$212),"",ReferenceData!$AM$212),"")</f>
        <v>8.8357118650000004</v>
      </c>
      <c r="AN212">
        <f ca="1">IFERROR(IF(0=LEN(ReferenceData!$AN$212),"",ReferenceData!$AN$212),"")</f>
        <v>8.1655100565000005</v>
      </c>
      <c r="AO212">
        <f ca="1">IFERROR(IF(0=LEN(ReferenceData!$AO$212),"",ReferenceData!$AO$212),"")</f>
        <v>8.0185433785000004</v>
      </c>
      <c r="AP212">
        <f ca="1">IFERROR(IF(0=LEN(ReferenceData!$AP$212),"",ReferenceData!$AP$212),"")</f>
        <v>8.3748015245000005</v>
      </c>
      <c r="AQ212">
        <f ca="1">IFERROR(IF(0=LEN(ReferenceData!$AQ$212),"",ReferenceData!$AQ$212),"")</f>
        <v>9.387794864</v>
      </c>
      <c r="AR212">
        <f ca="1">IFERROR(IF(0=LEN(ReferenceData!$AR$212),"",ReferenceData!$AR$212),"")</f>
        <v>8.7471882329999993</v>
      </c>
      <c r="AS212">
        <f ca="1">IFERROR(IF(0=LEN(ReferenceData!$AS$212),"",ReferenceData!$AS$212),"")</f>
        <v>8.4683699919999995</v>
      </c>
      <c r="AT212">
        <f ca="1">IFERROR(IF(0=LEN(ReferenceData!$AT$212),"",ReferenceData!$AT$212),"")</f>
        <v>8.6077044869999995</v>
      </c>
      <c r="AU212">
        <f ca="1">IFERROR(IF(0=LEN(ReferenceData!$AU$212),"",ReferenceData!$AU$212),"")</f>
        <v>9.1521323460000001</v>
      </c>
      <c r="AV212">
        <f ca="1">IFERROR(IF(0=LEN(ReferenceData!$AV$212),"",ReferenceData!$AV$212),"")</f>
        <v>8.6819920275000015</v>
      </c>
      <c r="AW212">
        <f ca="1">IFERROR(IF(0=LEN(ReferenceData!$AW$212),"",ReferenceData!$AW$212),"")</f>
        <v>8.4648888575000001</v>
      </c>
      <c r="AX212">
        <f ca="1">IFERROR(IF(0=LEN(ReferenceData!$AX$212),"",ReferenceData!$AX$212),"")</f>
        <v>8.6367264924999994</v>
      </c>
      <c r="AY212">
        <f ca="1">IFERROR(IF(0=LEN(ReferenceData!$AY$212),"",ReferenceData!$AY$212),"")</f>
        <v>9.0470858420000013</v>
      </c>
      <c r="AZ212">
        <f ca="1">IFERROR(IF(0=LEN(ReferenceData!$AZ$212),"",ReferenceData!$AZ$212),"")</f>
        <v>9.0438769294999997</v>
      </c>
      <c r="BA212">
        <f ca="1">IFERROR(IF(0=LEN(ReferenceData!$BA$212),"",ReferenceData!$BA$212),"")</f>
        <v>8.8815446320000007</v>
      </c>
      <c r="BB212">
        <f ca="1">IFERROR(IF(0=LEN(ReferenceData!$BB$212),"",ReferenceData!$BB$212),"")</f>
        <v>9.0980668969999989</v>
      </c>
      <c r="BC212" t="str">
        <f ca="1">IFERROR(IF(0=LEN(ReferenceData!$BC$212),"",ReferenceData!$BC$212),"")</f>
        <v/>
      </c>
      <c r="BD212">
        <f ca="1">IFERROR(IF(0=LEN(ReferenceData!$BD$212),"",ReferenceData!$BD$212),"")</f>
        <v>8.7999489999999996E-3</v>
      </c>
      <c r="BE212">
        <f ca="1">IFERROR(IF(0=LEN(ReferenceData!$BE$212),"",ReferenceData!$BE$212),"")</f>
        <v>9.1004724140000004</v>
      </c>
      <c r="BF212">
        <f ca="1">IFERROR(IF(0=LEN(ReferenceData!$BF$212),"",ReferenceData!$BF$212),"")</f>
        <v>9.2516844000000003</v>
      </c>
      <c r="BG212" t="str">
        <f ca="1">IFERROR(IF(0=LEN(ReferenceData!$BG$212),"",ReferenceData!$BG$212),"")</f>
        <v/>
      </c>
      <c r="BH212">
        <f ca="1">IFERROR(IF(0=LEN(ReferenceData!$BH$212),"",ReferenceData!$BH$212),"")</f>
        <v>9.2914502169999995</v>
      </c>
      <c r="BI212" t="str">
        <f ca="1">IFERROR(IF(0=LEN(ReferenceData!$BI$212),"",ReferenceData!$BI$212),"")</f>
        <v/>
      </c>
      <c r="BJ212" t="str">
        <f ca="1">IFERROR(IF(0=LEN(ReferenceData!$BJ$212),"",ReferenceData!$BJ$212),"")</f>
        <v/>
      </c>
      <c r="BK212" t="str">
        <f ca="1">IFERROR(IF(0=LEN(ReferenceData!$BK$212),"",ReferenceData!$BK$212),"")</f>
        <v/>
      </c>
      <c r="BL212" t="str">
        <f ca="1">IFERROR(IF(0=LEN(ReferenceData!$BL$212),"",ReferenceData!$BL$212),"")</f>
        <v/>
      </c>
      <c r="BM212" t="str">
        <f ca="1">IFERROR(IF(0=LEN(ReferenceData!$BM$212),"",ReferenceData!$BM$212),"")</f>
        <v/>
      </c>
    </row>
    <row r="213" spans="1:65">
      <c r="A213" t="str">
        <f>IFERROR(IF(0=LEN(ReferenceData!$A$213),"",ReferenceData!$A$213),"")</f>
        <v xml:space="preserve">    Brixmor Property Group Inc</v>
      </c>
      <c r="B213" t="str">
        <f>IFERROR(IF(0=LEN(ReferenceData!$B$213),"",ReferenceData!$B$213),"")</f>
        <v>BRX US Equity</v>
      </c>
      <c r="C213" t="str">
        <f>IFERROR(IF(0=LEN(ReferenceData!$C$213),"",ReferenceData!$C$213),"")</f>
        <v>RX902</v>
      </c>
      <c r="D213" t="str">
        <f>IFERROR(IF(0=LEN(ReferenceData!$D$213),"",ReferenceData!$D$213),"")</f>
        <v>ANN_NOI_GR_AST_NET_RTL_DEV_CTD_%</v>
      </c>
      <c r="E213" t="str">
        <f>IFERROR(IF(0=LEN(ReferenceData!$E$213),"",ReferenceData!$E$213),"")</f>
        <v>动态</v>
      </c>
      <c r="F213" t="str">
        <f ca="1">IFERROR(IF(0=LEN(ReferenceData!$F$213),"",ReferenceData!$F$213),"")</f>
        <v/>
      </c>
      <c r="G213">
        <f ca="1">IFERROR(IF(0=LEN(ReferenceData!$G$213),"",ReferenceData!$G$213),"")</f>
        <v>7.963630641</v>
      </c>
      <c r="H213">
        <f ca="1">IFERROR(IF(0=LEN(ReferenceData!$H$213),"",ReferenceData!$H$213),"")</f>
        <v>7.8524170829999997</v>
      </c>
      <c r="I213">
        <f ca="1">IFERROR(IF(0=LEN(ReferenceData!$I$213),"",ReferenceData!$I$213),"")</f>
        <v>7.8641333590000002</v>
      </c>
      <c r="J213">
        <f ca="1">IFERROR(IF(0=LEN(ReferenceData!$J$213),"",ReferenceData!$J$213),"")</f>
        <v>7.8560697990000001</v>
      </c>
      <c r="K213">
        <f ca="1">IFERROR(IF(0=LEN(ReferenceData!$K$213),"",ReferenceData!$K$213),"")</f>
        <v>7.797028257</v>
      </c>
      <c r="L213">
        <f ca="1">IFERROR(IF(0=LEN(ReferenceData!$L$213),"",ReferenceData!$L$213),"")</f>
        <v>7.8476745460000004</v>
      </c>
      <c r="M213">
        <f ca="1">IFERROR(IF(0=LEN(ReferenceData!$M$213),"",ReferenceData!$M$213),"")</f>
        <v>7.8754822500000001</v>
      </c>
      <c r="N213">
        <f ca="1">IFERROR(IF(0=LEN(ReferenceData!$N$213),"",ReferenceData!$N$213),"")</f>
        <v>7.7537336139999997</v>
      </c>
      <c r="O213">
        <f ca="1">IFERROR(IF(0=LEN(ReferenceData!$O$213),"",ReferenceData!$O$213),"")</f>
        <v>8.4218704750000004</v>
      </c>
      <c r="P213">
        <f ca="1">IFERROR(IF(0=LEN(ReferenceData!$P$213),"",ReferenceData!$P$213),"")</f>
        <v>8.3801072179999991</v>
      </c>
      <c r="Q213">
        <f ca="1">IFERROR(IF(0=LEN(ReferenceData!$Q$213),"",ReferenceData!$Q$213),"")</f>
        <v>8.3055660010000008</v>
      </c>
      <c r="R213">
        <f ca="1">IFERROR(IF(0=LEN(ReferenceData!$R$213),"",ReferenceData!$R$213),"")</f>
        <v>8.2702581619999993</v>
      </c>
      <c r="S213">
        <f ca="1">IFERROR(IF(0=LEN(ReferenceData!$S$213),"",ReferenceData!$S$213),"")</f>
        <v>8.2213508560000008</v>
      </c>
      <c r="T213">
        <f ca="1">IFERROR(IF(0=LEN(ReferenceData!$T$213),"",ReferenceData!$T$213),"")</f>
        <v>8.1923082199999993</v>
      </c>
      <c r="U213">
        <f ca="1">IFERROR(IF(0=LEN(ReferenceData!$U$213),"",ReferenceData!$U$213),"")</f>
        <v>8.1927451760000007</v>
      </c>
      <c r="V213">
        <f ca="1">IFERROR(IF(0=LEN(ReferenceData!$V$213),"",ReferenceData!$V$213),"")</f>
        <v>8.0992774470000004</v>
      </c>
      <c r="W213">
        <f ca="1">IFERROR(IF(0=LEN(ReferenceData!$W$213),"",ReferenceData!$W$213),"")</f>
        <v>7.7672356999999996</v>
      </c>
      <c r="X213">
        <f ca="1">IFERROR(IF(0=LEN(ReferenceData!$X$213),"",ReferenceData!$X$213),"")</f>
        <v>8.2422783329999998</v>
      </c>
      <c r="Y213">
        <f ca="1">IFERROR(IF(0=LEN(ReferenceData!$Y$213),"",ReferenceData!$Y$213),"")</f>
        <v>7.8839397900000003</v>
      </c>
      <c r="Z213">
        <f ca="1">IFERROR(IF(0=LEN(ReferenceData!$Z$213),"",ReferenceData!$Z$213),"")</f>
        <v>7.7497233679999997</v>
      </c>
      <c r="AA213" t="str">
        <f ca="1">IFERROR(IF(0=LEN(ReferenceData!$AA$213),"",ReferenceData!$AA$213),"")</f>
        <v/>
      </c>
      <c r="AB213" t="str">
        <f ca="1">IFERROR(IF(0=LEN(ReferenceData!$AB$213),"",ReferenceData!$AB$213),"")</f>
        <v/>
      </c>
      <c r="AC213" t="str">
        <f ca="1">IFERROR(IF(0=LEN(ReferenceData!$AC$213),"",ReferenceData!$AC$213),"")</f>
        <v/>
      </c>
      <c r="AD213" t="str">
        <f ca="1">IFERROR(IF(0=LEN(ReferenceData!$AD$213),"",ReferenceData!$AD$213),"")</f>
        <v/>
      </c>
      <c r="AE213" t="str">
        <f ca="1">IFERROR(IF(0=LEN(ReferenceData!$AE$213),"",ReferenceData!$AE$213),"")</f>
        <v/>
      </c>
      <c r="AF213" t="str">
        <f ca="1">IFERROR(IF(0=LEN(ReferenceData!$AF$213),"",ReferenceData!$AF$213),"")</f>
        <v/>
      </c>
      <c r="AG213" t="str">
        <f ca="1">IFERROR(IF(0=LEN(ReferenceData!$AG$213),"",ReferenceData!$AG$213),"")</f>
        <v/>
      </c>
      <c r="AH213" t="str">
        <f ca="1">IFERROR(IF(0=LEN(ReferenceData!$AH$213),"",ReferenceData!$AH$213),"")</f>
        <v/>
      </c>
      <c r="AI213" t="str">
        <f ca="1">IFERROR(IF(0=LEN(ReferenceData!$AI$213),"",ReferenceData!$AI$213),"")</f>
        <v/>
      </c>
      <c r="AJ213" t="str">
        <f ca="1">IFERROR(IF(0=LEN(ReferenceData!$AJ$213),"",ReferenceData!$AJ$213),"")</f>
        <v/>
      </c>
      <c r="AK213" t="str">
        <f ca="1">IFERROR(IF(0=LEN(ReferenceData!$AK$213),"",ReferenceData!$AK$213),"")</f>
        <v/>
      </c>
      <c r="AL213" t="str">
        <f ca="1">IFERROR(IF(0=LEN(ReferenceData!$AL$213),"",ReferenceData!$AL$213),"")</f>
        <v/>
      </c>
      <c r="AM213" t="str">
        <f ca="1">IFERROR(IF(0=LEN(ReferenceData!$AM$213),"",ReferenceData!$AM$213),"")</f>
        <v/>
      </c>
      <c r="AN213" t="str">
        <f ca="1">IFERROR(IF(0=LEN(ReferenceData!$AN$213),"",ReferenceData!$AN$213),"")</f>
        <v/>
      </c>
      <c r="AO213" t="str">
        <f ca="1">IFERROR(IF(0=LEN(ReferenceData!$AO$213),"",ReferenceData!$AO$213),"")</f>
        <v/>
      </c>
      <c r="AP213" t="str">
        <f ca="1">IFERROR(IF(0=LEN(ReferenceData!$AP$213),"",ReferenceData!$AP$213),"")</f>
        <v/>
      </c>
      <c r="AQ213" t="str">
        <f ca="1">IFERROR(IF(0=LEN(ReferenceData!$AQ$213),"",ReferenceData!$AQ$213),"")</f>
        <v/>
      </c>
      <c r="AR213" t="str">
        <f ca="1">IFERROR(IF(0=LEN(ReferenceData!$AR$213),"",ReferenceData!$AR$213),"")</f>
        <v/>
      </c>
      <c r="AS213" t="str">
        <f ca="1">IFERROR(IF(0=LEN(ReferenceData!$AS$213),"",ReferenceData!$AS$213),"")</f>
        <v/>
      </c>
      <c r="AT213" t="str">
        <f ca="1">IFERROR(IF(0=LEN(ReferenceData!$AT$213),"",ReferenceData!$AT$213),"")</f>
        <v/>
      </c>
      <c r="AU213" t="str">
        <f ca="1">IFERROR(IF(0=LEN(ReferenceData!$AU$213),"",ReferenceData!$AU$213),"")</f>
        <v/>
      </c>
      <c r="AV213" t="str">
        <f ca="1">IFERROR(IF(0=LEN(ReferenceData!$AV$213),"",ReferenceData!$AV$213),"")</f>
        <v/>
      </c>
      <c r="AW213" t="str">
        <f ca="1">IFERROR(IF(0=LEN(ReferenceData!$AW$213),"",ReferenceData!$AW$213),"")</f>
        <v/>
      </c>
      <c r="AX213" t="str">
        <f ca="1">IFERROR(IF(0=LEN(ReferenceData!$AX$213),"",ReferenceData!$AX$213),"")</f>
        <v/>
      </c>
      <c r="AY213" t="str">
        <f ca="1">IFERROR(IF(0=LEN(ReferenceData!$AY$213),"",ReferenceData!$AY$213),"")</f>
        <v/>
      </c>
      <c r="AZ213" t="str">
        <f ca="1">IFERROR(IF(0=LEN(ReferenceData!$AZ$213),"",ReferenceData!$AZ$213),"")</f>
        <v/>
      </c>
      <c r="BA213" t="str">
        <f ca="1">IFERROR(IF(0=LEN(ReferenceData!$BA$213),"",ReferenceData!$BA$213),"")</f>
        <v/>
      </c>
      <c r="BB213" t="str">
        <f ca="1">IFERROR(IF(0=LEN(ReferenceData!$BB$213),"",ReferenceData!$BB$213),"")</f>
        <v/>
      </c>
      <c r="BC213" t="str">
        <f ca="1">IFERROR(IF(0=LEN(ReferenceData!$BC$213),"",ReferenceData!$BC$213),"")</f>
        <v/>
      </c>
      <c r="BD213" t="str">
        <f ca="1">IFERROR(IF(0=LEN(ReferenceData!$BD$213),"",ReferenceData!$BD$213),"")</f>
        <v/>
      </c>
      <c r="BE213" t="str">
        <f ca="1">IFERROR(IF(0=LEN(ReferenceData!$BE$213),"",ReferenceData!$BE$213),"")</f>
        <v/>
      </c>
      <c r="BF213" t="str">
        <f ca="1">IFERROR(IF(0=LEN(ReferenceData!$BF$213),"",ReferenceData!$BF$213),"")</f>
        <v/>
      </c>
      <c r="BG213" t="str">
        <f ca="1">IFERROR(IF(0=LEN(ReferenceData!$BG$213),"",ReferenceData!$BG$213),"")</f>
        <v/>
      </c>
      <c r="BH213" t="str">
        <f ca="1">IFERROR(IF(0=LEN(ReferenceData!$BH$213),"",ReferenceData!$BH$213),"")</f>
        <v/>
      </c>
      <c r="BI213" t="str">
        <f ca="1">IFERROR(IF(0=LEN(ReferenceData!$BI$213),"",ReferenceData!$BI$213),"")</f>
        <v/>
      </c>
      <c r="BJ213" t="str">
        <f ca="1">IFERROR(IF(0=LEN(ReferenceData!$BJ$213),"",ReferenceData!$BJ$213),"")</f>
        <v/>
      </c>
      <c r="BK213" t="str">
        <f ca="1">IFERROR(IF(0=LEN(ReferenceData!$BK$213),"",ReferenceData!$BK$213),"")</f>
        <v/>
      </c>
      <c r="BL213" t="str">
        <f ca="1">IFERROR(IF(0=LEN(ReferenceData!$BL$213),"",ReferenceData!$BL$213),"")</f>
        <v/>
      </c>
      <c r="BM213" t="str">
        <f ca="1">IFERROR(IF(0=LEN(ReferenceData!$BM$213),"",ReferenceData!$BM$213),"")</f>
        <v/>
      </c>
    </row>
    <row r="214" spans="1:65">
      <c r="A214" t="str">
        <f>IFERROR(IF(0=LEN(ReferenceData!$A$214),"",ReferenceData!$A$214),"")</f>
        <v xml:space="preserve">    CBL &amp; Associates Properties In</v>
      </c>
      <c r="B214" t="str">
        <f>IFERROR(IF(0=LEN(ReferenceData!$B$214),"",ReferenceData!$B$214),"")</f>
        <v>CBL US Equity</v>
      </c>
      <c r="C214" t="str">
        <f>IFERROR(IF(0=LEN(ReferenceData!$C$214),"",ReferenceData!$C$214),"")</f>
        <v>RX902</v>
      </c>
      <c r="D214" t="str">
        <f>IFERROR(IF(0=LEN(ReferenceData!$D$214),"",ReferenceData!$D$214),"")</f>
        <v>ANN_NOI_GR_AST_NET_RTL_DEV_CTD_%</v>
      </c>
      <c r="E214" t="str">
        <f>IFERROR(IF(0=LEN(ReferenceData!$E$214),"",ReferenceData!$E$214),"")</f>
        <v>动态</v>
      </c>
      <c r="F214" t="str">
        <f ca="1">IFERROR(IF(0=LEN(ReferenceData!$F$214),"",ReferenceData!$F$214),"")</f>
        <v/>
      </c>
      <c r="G214">
        <f ca="1">IFERROR(IF(0=LEN(ReferenceData!$G$214),"",ReferenceData!$G$214),"")</f>
        <v>8.9921797600000009</v>
      </c>
      <c r="H214">
        <f ca="1">IFERROR(IF(0=LEN(ReferenceData!$H$214),"",ReferenceData!$H$214),"")</f>
        <v>8.4598050950000001</v>
      </c>
      <c r="I214">
        <f ca="1">IFERROR(IF(0=LEN(ReferenceData!$I$214),"",ReferenceData!$I$214),"")</f>
        <v>8.9314746219999996</v>
      </c>
      <c r="J214">
        <f ca="1">IFERROR(IF(0=LEN(ReferenceData!$J$214),"",ReferenceData!$J$214),"")</f>
        <v>8.3832981800000006</v>
      </c>
      <c r="K214">
        <f ca="1">IFERROR(IF(0=LEN(ReferenceData!$K$214),"",ReferenceData!$K$214),"")</f>
        <v>9.6553152250000007</v>
      </c>
      <c r="L214">
        <f ca="1">IFERROR(IF(0=LEN(ReferenceData!$L$214),"",ReferenceData!$L$214),"")</f>
        <v>8.8093711710000004</v>
      </c>
      <c r="M214">
        <f ca="1">IFERROR(IF(0=LEN(ReferenceData!$M$214),"",ReferenceData!$M$214),"")</f>
        <v>8.8900541329999996</v>
      </c>
      <c r="N214">
        <f ca="1">IFERROR(IF(0=LEN(ReferenceData!$N$214),"",ReferenceData!$N$214),"")</f>
        <v>8.7631906710000003</v>
      </c>
      <c r="O214">
        <f ca="1">IFERROR(IF(0=LEN(ReferenceData!$O$214),"",ReferenceData!$O$214),"")</f>
        <v>9.8005934089999993</v>
      </c>
      <c r="P214">
        <f ca="1">IFERROR(IF(0=LEN(ReferenceData!$P$214),"",ReferenceData!$P$214),"")</f>
        <v>8.5046989610000008</v>
      </c>
      <c r="Q214">
        <f ca="1">IFERROR(IF(0=LEN(ReferenceData!$Q$214),"",ReferenceData!$Q$214),"")</f>
        <v>8.6054513529999994</v>
      </c>
      <c r="R214">
        <f ca="1">IFERROR(IF(0=LEN(ReferenceData!$R$214),"",ReferenceData!$R$214),"")</f>
        <v>8.5510605599999998</v>
      </c>
      <c r="S214">
        <f ca="1">IFERROR(IF(0=LEN(ReferenceData!$S$214),"",ReferenceData!$S$214),"")</f>
        <v>9.6189187280000006</v>
      </c>
      <c r="T214">
        <f ca="1">IFERROR(IF(0=LEN(ReferenceData!$T$214),"",ReferenceData!$T$214),"")</f>
        <v>8.7704132470000005</v>
      </c>
      <c r="U214">
        <f ca="1">IFERROR(IF(0=LEN(ReferenceData!$U$214),"",ReferenceData!$U$214),"")</f>
        <v>8.7486489810000005</v>
      </c>
      <c r="V214">
        <f ca="1">IFERROR(IF(0=LEN(ReferenceData!$V$214),"",ReferenceData!$V$214),"")</f>
        <v>8.6702049970000008</v>
      </c>
      <c r="W214">
        <f ca="1">IFERROR(IF(0=LEN(ReferenceData!$W$214),"",ReferenceData!$W$214),"")</f>
        <v>9.522481677</v>
      </c>
      <c r="X214">
        <f ca="1">IFERROR(IF(0=LEN(ReferenceData!$X$214),"",ReferenceData!$X$214),"")</f>
        <v>8.5228765410000005</v>
      </c>
      <c r="Y214">
        <f ca="1">IFERROR(IF(0=LEN(ReferenceData!$Y$214),"",ReferenceData!$Y$214),"")</f>
        <v>8.6006854510000004</v>
      </c>
      <c r="Z214">
        <f ca="1">IFERROR(IF(0=LEN(ReferenceData!$Z$214),"",ReferenceData!$Z$214),"")</f>
        <v>8.3071497159999996</v>
      </c>
      <c r="AA214">
        <f ca="1">IFERROR(IF(0=LEN(ReferenceData!$AA$214),"",ReferenceData!$AA$214),"")</f>
        <v>9.1308592019999999</v>
      </c>
      <c r="AB214">
        <f ca="1">IFERROR(IF(0=LEN(ReferenceData!$AB$214),"",ReferenceData!$AB$214),"")</f>
        <v>8.4157135519999997</v>
      </c>
      <c r="AC214">
        <f ca="1">IFERROR(IF(0=LEN(ReferenceData!$AC$214),"",ReferenceData!$AC$214),"")</f>
        <v>8.2488643679999996</v>
      </c>
      <c r="AD214">
        <f ca="1">IFERROR(IF(0=LEN(ReferenceData!$AD$214),"",ReferenceData!$AD$214),"")</f>
        <v>8.5791333810000001</v>
      </c>
      <c r="AE214">
        <f ca="1">IFERROR(IF(0=LEN(ReferenceData!$AE$214),"",ReferenceData!$AE$214),"")</f>
        <v>9.3247156520000001</v>
      </c>
      <c r="AF214">
        <f ca="1">IFERROR(IF(0=LEN(ReferenceData!$AF$214),"",ReferenceData!$AF$214),"")</f>
        <v>7.9568671279999998</v>
      </c>
      <c r="AG214">
        <f ca="1">IFERROR(IF(0=LEN(ReferenceData!$AG$214),"",ReferenceData!$AG$214),"")</f>
        <v>7.8656965579999998</v>
      </c>
      <c r="AH214">
        <f ca="1">IFERROR(IF(0=LEN(ReferenceData!$AH$214),"",ReferenceData!$AH$214),"")</f>
        <v>7.6187088799999998</v>
      </c>
      <c r="AI214">
        <f ca="1">IFERROR(IF(0=LEN(ReferenceData!$AI$214),"",ReferenceData!$AI$214),"")</f>
        <v>9.0875136249999997</v>
      </c>
      <c r="AJ214">
        <f ca="1">IFERROR(IF(0=LEN(ReferenceData!$AJ$214),"",ReferenceData!$AJ$214),"")</f>
        <v>8.0339241060000006</v>
      </c>
      <c r="AK214">
        <f ca="1">IFERROR(IF(0=LEN(ReferenceData!$AK$214),"",ReferenceData!$AK$214),"")</f>
        <v>8.0380999539999998</v>
      </c>
      <c r="AL214">
        <f ca="1">IFERROR(IF(0=LEN(ReferenceData!$AL$214),"",ReferenceData!$AL$214),"")</f>
        <v>8.0060479600000001</v>
      </c>
      <c r="AM214">
        <f ca="1">IFERROR(IF(0=LEN(ReferenceData!$AM$214),"",ReferenceData!$AM$214),"")</f>
        <v>9.1534159380000002</v>
      </c>
      <c r="AN214">
        <f ca="1">IFERROR(IF(0=LEN(ReferenceData!$AN$214),"",ReferenceData!$AN$214),"")</f>
        <v>7.9436461420000004</v>
      </c>
      <c r="AO214">
        <f ca="1">IFERROR(IF(0=LEN(ReferenceData!$AO$214),"",ReferenceData!$AO$214),"")</f>
        <v>8.2144364000000003</v>
      </c>
      <c r="AP214">
        <f ca="1">IFERROR(IF(0=LEN(ReferenceData!$AP$214),"",ReferenceData!$AP$214),"")</f>
        <v>8.1932732640000001</v>
      </c>
      <c r="AQ214">
        <f ca="1">IFERROR(IF(0=LEN(ReferenceData!$AQ$214),"",ReferenceData!$AQ$214),"")</f>
        <v>9.2138453699999996</v>
      </c>
      <c r="AR214">
        <f ca="1">IFERROR(IF(0=LEN(ReferenceData!$AR$214),"",ReferenceData!$AR$214),"")</f>
        <v>8.1242050179999996</v>
      </c>
      <c r="AS214">
        <f ca="1">IFERROR(IF(0=LEN(ReferenceData!$AS$214),"",ReferenceData!$AS$214),"")</f>
        <v>8.3987461050000007</v>
      </c>
      <c r="AT214">
        <f ca="1">IFERROR(IF(0=LEN(ReferenceData!$AT$214),"",ReferenceData!$AT$214),"")</f>
        <v>8.4457897620000004</v>
      </c>
      <c r="AU214">
        <f ca="1">IFERROR(IF(0=LEN(ReferenceData!$AU$214),"",ReferenceData!$AU$214),"")</f>
        <v>9.1299988079999999</v>
      </c>
      <c r="AV214">
        <f ca="1">IFERROR(IF(0=LEN(ReferenceData!$AV$214),"",ReferenceData!$AV$214),"")</f>
        <v>8.8780351750000008</v>
      </c>
      <c r="AW214">
        <f ca="1">IFERROR(IF(0=LEN(ReferenceData!$AW$214),"",ReferenceData!$AW$214),"")</f>
        <v>8.8191486609999998</v>
      </c>
      <c r="AX214">
        <f ca="1">IFERROR(IF(0=LEN(ReferenceData!$AX$214),"",ReferenceData!$AX$214),"")</f>
        <v>8.993830999</v>
      </c>
      <c r="AY214">
        <f ca="1">IFERROR(IF(0=LEN(ReferenceData!$AY$214),"",ReferenceData!$AY$214),"")</f>
        <v>10.52983893</v>
      </c>
      <c r="AZ214">
        <f ca="1">IFERROR(IF(0=LEN(ReferenceData!$AZ$214),"",ReferenceData!$AZ$214),"")</f>
        <v>9.4713715169999997</v>
      </c>
      <c r="BA214">
        <f ca="1">IFERROR(IF(0=LEN(ReferenceData!$BA$214),"",ReferenceData!$BA$214),"")</f>
        <v>9.3261090539999998</v>
      </c>
      <c r="BB214">
        <f ca="1">IFERROR(IF(0=LEN(ReferenceData!$BB$214),"",ReferenceData!$BB$214),"")</f>
        <v>9.9485228960000001</v>
      </c>
      <c r="BC214" t="str">
        <f ca="1">IFERROR(IF(0=LEN(ReferenceData!$BC$214),"",ReferenceData!$BC$214),"")</f>
        <v/>
      </c>
      <c r="BD214" t="str">
        <f ca="1">IFERROR(IF(0=LEN(ReferenceData!$BD$214),"",ReferenceData!$BD$214),"")</f>
        <v/>
      </c>
      <c r="BE214" t="str">
        <f ca="1">IFERROR(IF(0=LEN(ReferenceData!$BE$214),"",ReferenceData!$BE$214),"")</f>
        <v/>
      </c>
      <c r="BF214" t="str">
        <f ca="1">IFERROR(IF(0=LEN(ReferenceData!$BF$214),"",ReferenceData!$BF$214),"")</f>
        <v/>
      </c>
      <c r="BG214" t="str">
        <f ca="1">IFERROR(IF(0=LEN(ReferenceData!$BG$214),"",ReferenceData!$BG$214),"")</f>
        <v/>
      </c>
      <c r="BH214" t="str">
        <f ca="1">IFERROR(IF(0=LEN(ReferenceData!$BH$214),"",ReferenceData!$BH$214),"")</f>
        <v/>
      </c>
      <c r="BI214" t="str">
        <f ca="1">IFERROR(IF(0=LEN(ReferenceData!$BI$214),"",ReferenceData!$BI$214),"")</f>
        <v/>
      </c>
      <c r="BJ214" t="str">
        <f ca="1">IFERROR(IF(0=LEN(ReferenceData!$BJ$214),"",ReferenceData!$BJ$214),"")</f>
        <v/>
      </c>
      <c r="BK214" t="str">
        <f ca="1">IFERROR(IF(0=LEN(ReferenceData!$BK$214),"",ReferenceData!$BK$214),"")</f>
        <v/>
      </c>
      <c r="BL214" t="str">
        <f ca="1">IFERROR(IF(0=LEN(ReferenceData!$BL$214),"",ReferenceData!$BL$214),"")</f>
        <v/>
      </c>
      <c r="BM214" t="str">
        <f ca="1">IFERROR(IF(0=LEN(ReferenceData!$BM$214),"",ReferenceData!$BM$214),"")</f>
        <v/>
      </c>
    </row>
    <row r="215" spans="1:65">
      <c r="A215" t="str">
        <f>IFERROR(IF(0=LEN(ReferenceData!$A$215),"",ReferenceData!$A$215),"")</f>
        <v xml:space="preserve">    DDR Corp</v>
      </c>
      <c r="B215" t="str">
        <f>IFERROR(IF(0=LEN(ReferenceData!$B$215),"",ReferenceData!$B$215),"")</f>
        <v>DDR US Equity</v>
      </c>
      <c r="C215" t="str">
        <f>IFERROR(IF(0=LEN(ReferenceData!$C$215),"",ReferenceData!$C$215),"")</f>
        <v>RX902</v>
      </c>
      <c r="D215" t="str">
        <f>IFERROR(IF(0=LEN(ReferenceData!$D$215),"",ReferenceData!$D$215),"")</f>
        <v>ANN_NOI_GR_AST_NET_RTL_DEV_CTD_%</v>
      </c>
      <c r="E215" t="str">
        <f>IFERROR(IF(0=LEN(ReferenceData!$E$215),"",ReferenceData!$E$215),"")</f>
        <v>动态</v>
      </c>
      <c r="F215" t="str">
        <f ca="1">IFERROR(IF(0=LEN(ReferenceData!$F$215),"",ReferenceData!$F$215),"")</f>
        <v/>
      </c>
      <c r="G215">
        <f ca="1">IFERROR(IF(0=LEN(ReferenceData!$G$215),"",ReferenceData!$G$215),"")</f>
        <v>6.633249857</v>
      </c>
      <c r="H215">
        <f ca="1">IFERROR(IF(0=LEN(ReferenceData!$H$215),"",ReferenceData!$H$215),"")</f>
        <v>6.7022528399999999</v>
      </c>
      <c r="I215">
        <f ca="1">IFERROR(IF(0=LEN(ReferenceData!$I$215),"",ReferenceData!$I$215),"")</f>
        <v>6.289533262</v>
      </c>
      <c r="J215">
        <f ca="1">IFERROR(IF(0=LEN(ReferenceData!$J$215),"",ReferenceData!$J$215),"")</f>
        <v>6.4833062119999996</v>
      </c>
      <c r="K215">
        <f ca="1">IFERROR(IF(0=LEN(ReferenceData!$K$215),"",ReferenceData!$K$215),"")</f>
        <v>6.6428631950000003</v>
      </c>
      <c r="L215">
        <f ca="1">IFERROR(IF(0=LEN(ReferenceData!$L$215),"",ReferenceData!$L$215),"")</f>
        <v>6.5415851290000004</v>
      </c>
      <c r="M215">
        <f ca="1">IFERROR(IF(0=LEN(ReferenceData!$M$215),"",ReferenceData!$M$215),"")</f>
        <v>6.4028438769999996</v>
      </c>
      <c r="N215">
        <f ca="1">IFERROR(IF(0=LEN(ReferenceData!$N$215),"",ReferenceData!$N$215),"")</f>
        <v>6.3750042330000003</v>
      </c>
      <c r="O215">
        <f ca="1">IFERROR(IF(0=LEN(ReferenceData!$O$215),"",ReferenceData!$O$215),"")</f>
        <v>6.4279256089999999</v>
      </c>
      <c r="P215">
        <f ca="1">IFERROR(IF(0=LEN(ReferenceData!$P$215),"",ReferenceData!$P$215),"")</f>
        <v>6.4199385690000002</v>
      </c>
      <c r="Q215">
        <f ca="1">IFERROR(IF(0=LEN(ReferenceData!$Q$215),"",ReferenceData!$Q$215),"")</f>
        <v>6.3817936690000003</v>
      </c>
      <c r="R215">
        <f ca="1">IFERROR(IF(0=LEN(ReferenceData!$R$215),"",ReferenceData!$R$215),"")</f>
        <v>6.3791391510000004</v>
      </c>
      <c r="S215">
        <f ca="1">IFERROR(IF(0=LEN(ReferenceData!$S$215),"",ReferenceData!$S$215),"")</f>
        <v>6.7813468959999996</v>
      </c>
      <c r="T215">
        <f ca="1">IFERROR(IF(0=LEN(ReferenceData!$T$215),"",ReferenceData!$T$215),"")</f>
        <v>5.9118044029999997</v>
      </c>
      <c r="U215">
        <f ca="1">IFERROR(IF(0=LEN(ReferenceData!$U$215),"",ReferenceData!$U$215),"")</f>
        <v>5.7906615820000003</v>
      </c>
      <c r="V215">
        <f ca="1">IFERROR(IF(0=LEN(ReferenceData!$V$215),"",ReferenceData!$V$215),"")</f>
        <v>5.7369619549999999</v>
      </c>
      <c r="W215">
        <f ca="1">IFERROR(IF(0=LEN(ReferenceData!$W$215),"",ReferenceData!$W$215),"")</f>
        <v>6.635567172</v>
      </c>
      <c r="X215">
        <f ca="1">IFERROR(IF(0=LEN(ReferenceData!$X$215),"",ReferenceData!$X$215),"")</f>
        <v>6.4053939480000004</v>
      </c>
      <c r="Y215">
        <f ca="1">IFERROR(IF(0=LEN(ReferenceData!$Y$215),"",ReferenceData!$Y$215),"")</f>
        <v>6.6123549830000004</v>
      </c>
      <c r="Z215">
        <f ca="1">IFERROR(IF(0=LEN(ReferenceData!$Z$215),"",ReferenceData!$Z$215),"")</f>
        <v>6.4398420449999998</v>
      </c>
      <c r="AA215">
        <f ca="1">IFERROR(IF(0=LEN(ReferenceData!$AA$215),"",ReferenceData!$AA$215),"")</f>
        <v>6.5815147410000003</v>
      </c>
      <c r="AB215">
        <f ca="1">IFERROR(IF(0=LEN(ReferenceData!$AB$215),"",ReferenceData!$AB$215),"")</f>
        <v>6.3810012330000001</v>
      </c>
      <c r="AC215">
        <f ca="1">IFERROR(IF(0=LEN(ReferenceData!$AC$215),"",ReferenceData!$AC$215),"")</f>
        <v>6.5470725940000003</v>
      </c>
      <c r="AD215">
        <f ca="1">IFERROR(IF(0=LEN(ReferenceData!$AD$215),"",ReferenceData!$AD$215),"")</f>
        <v>6.5355683549999997</v>
      </c>
      <c r="AE215">
        <f ca="1">IFERROR(IF(0=LEN(ReferenceData!$AE$215),"",ReferenceData!$AE$215),"")</f>
        <v>6.8188112009999999</v>
      </c>
      <c r="AF215">
        <f ca="1">IFERROR(IF(0=LEN(ReferenceData!$AF$215),"",ReferenceData!$AF$215),"")</f>
        <v>6.4384219119999999</v>
      </c>
      <c r="AG215">
        <f ca="1">IFERROR(IF(0=LEN(ReferenceData!$AG$215),"",ReferenceData!$AG$215),"")</f>
        <v>6.3513386729999999</v>
      </c>
      <c r="AH215">
        <f ca="1">IFERROR(IF(0=LEN(ReferenceData!$AH$215),"",ReferenceData!$AH$215),"")</f>
        <v>6.9337981170000003</v>
      </c>
      <c r="AI215">
        <f ca="1">IFERROR(IF(0=LEN(ReferenceData!$AI$215),"",ReferenceData!$AI$215),"")</f>
        <v>4.5244151070000003</v>
      </c>
      <c r="AJ215">
        <f ca="1">IFERROR(IF(0=LEN(ReferenceData!$AJ$215),"",ReferenceData!$AJ$215),"")</f>
        <v>5.7616306420000001</v>
      </c>
      <c r="AK215">
        <f ca="1">IFERROR(IF(0=LEN(ReferenceData!$AK$215),"",ReferenceData!$AK$215),"")</f>
        <v>2.632140326</v>
      </c>
      <c r="AL215">
        <f ca="1">IFERROR(IF(0=LEN(ReferenceData!$AL$215),"",ReferenceData!$AL$215),"")</f>
        <v>5.8611679680000002</v>
      </c>
      <c r="AM215">
        <f ca="1">IFERROR(IF(0=LEN(ReferenceData!$AM$215),"",ReferenceData!$AM$215),"")</f>
        <v>6.0052997890000004</v>
      </c>
      <c r="AN215">
        <f ca="1">IFERROR(IF(0=LEN(ReferenceData!$AN$215),"",ReferenceData!$AN$215),"")</f>
        <v>5.812548005</v>
      </c>
      <c r="AO215">
        <f ca="1">IFERROR(IF(0=LEN(ReferenceData!$AO$215),"",ReferenceData!$AO$215),"")</f>
        <v>6.0620119040000002</v>
      </c>
      <c r="AP215">
        <f ca="1">IFERROR(IF(0=LEN(ReferenceData!$AP$215),"",ReferenceData!$AP$215),"")</f>
        <v>6.2661138330000004</v>
      </c>
      <c r="AQ215">
        <f ca="1">IFERROR(IF(0=LEN(ReferenceData!$AQ$215),"",ReferenceData!$AQ$215),"")</f>
        <v>12.965522229999999</v>
      </c>
      <c r="AR215">
        <f ca="1">IFERROR(IF(0=LEN(ReferenceData!$AR$215),"",ReferenceData!$AR$215),"")</f>
        <v>13.10789486</v>
      </c>
      <c r="AS215">
        <f ca="1">IFERROR(IF(0=LEN(ReferenceData!$AS$215),"",ReferenceData!$AS$215),"")</f>
        <v>13.17022249</v>
      </c>
      <c r="AT215">
        <f ca="1">IFERROR(IF(0=LEN(ReferenceData!$AT$215),"",ReferenceData!$AT$215),"")</f>
        <v>13.72232277</v>
      </c>
      <c r="AU215">
        <f ca="1">IFERROR(IF(0=LEN(ReferenceData!$AU$215),"",ReferenceData!$AU$215),"")</f>
        <v>13.31953841</v>
      </c>
      <c r="AV215">
        <f ca="1">IFERROR(IF(0=LEN(ReferenceData!$AV$215),"",ReferenceData!$AV$215),"")</f>
        <v>13.26601921</v>
      </c>
      <c r="AW215">
        <f ca="1">IFERROR(IF(0=LEN(ReferenceData!$AW$215),"",ReferenceData!$AW$215),"")</f>
        <v>13.51988755</v>
      </c>
      <c r="AX215">
        <f ca="1">IFERROR(IF(0=LEN(ReferenceData!$AX$215),"",ReferenceData!$AX$215),"")</f>
        <v>9.3948224299999996</v>
      </c>
      <c r="AY215">
        <f ca="1">IFERROR(IF(0=LEN(ReferenceData!$AY$215),"",ReferenceData!$AY$215),"")</f>
        <v>11.83770365</v>
      </c>
      <c r="AZ215">
        <f ca="1">IFERROR(IF(0=LEN(ReferenceData!$AZ$215),"",ReferenceData!$AZ$215),"")</f>
        <v>11.38800513</v>
      </c>
      <c r="BA215">
        <f ca="1">IFERROR(IF(0=LEN(ReferenceData!$BA$215),"",ReferenceData!$BA$215),"")</f>
        <v>11.1568112</v>
      </c>
      <c r="BB215">
        <f ca="1">IFERROR(IF(0=LEN(ReferenceData!$BB$215),"",ReferenceData!$BB$215),"")</f>
        <v>11.480443129999999</v>
      </c>
      <c r="BC215" t="str">
        <f ca="1">IFERROR(IF(0=LEN(ReferenceData!$BC$215),"",ReferenceData!$BC$215),"")</f>
        <v/>
      </c>
      <c r="BD215" t="str">
        <f ca="1">IFERROR(IF(0=LEN(ReferenceData!$BD$215),"",ReferenceData!$BD$215),"")</f>
        <v/>
      </c>
      <c r="BE215" t="str">
        <f ca="1">IFERROR(IF(0=LEN(ReferenceData!$BE$215),"",ReferenceData!$BE$215),"")</f>
        <v/>
      </c>
      <c r="BF215" t="str">
        <f ca="1">IFERROR(IF(0=LEN(ReferenceData!$BF$215),"",ReferenceData!$BF$215),"")</f>
        <v/>
      </c>
      <c r="BG215" t="str">
        <f ca="1">IFERROR(IF(0=LEN(ReferenceData!$BG$215),"",ReferenceData!$BG$215),"")</f>
        <v/>
      </c>
      <c r="BH215" t="str">
        <f ca="1">IFERROR(IF(0=LEN(ReferenceData!$BH$215),"",ReferenceData!$BH$215),"")</f>
        <v/>
      </c>
      <c r="BI215" t="str">
        <f ca="1">IFERROR(IF(0=LEN(ReferenceData!$BI$215),"",ReferenceData!$BI$215),"")</f>
        <v/>
      </c>
      <c r="BJ215" t="str">
        <f ca="1">IFERROR(IF(0=LEN(ReferenceData!$BJ$215),"",ReferenceData!$BJ$215),"")</f>
        <v/>
      </c>
      <c r="BK215" t="str">
        <f ca="1">IFERROR(IF(0=LEN(ReferenceData!$BK$215),"",ReferenceData!$BK$215),"")</f>
        <v/>
      </c>
      <c r="BL215" t="str">
        <f ca="1">IFERROR(IF(0=LEN(ReferenceData!$BL$215),"",ReferenceData!$BL$215),"")</f>
        <v/>
      </c>
      <c r="BM215" t="str">
        <f ca="1">IFERROR(IF(0=LEN(ReferenceData!$BM$215),"",ReferenceData!$BM$215),"")</f>
        <v/>
      </c>
    </row>
    <row r="216" spans="1:65">
      <c r="A216" t="str">
        <f>IFERROR(IF(0=LEN(ReferenceData!$A$216),"",ReferenceData!$A$216),"")</f>
        <v xml:space="preserve">    Federal Realty Investment Trus</v>
      </c>
      <c r="B216" t="str">
        <f>IFERROR(IF(0=LEN(ReferenceData!$B$216),"",ReferenceData!$B$216),"")</f>
        <v>FRT US Equity</v>
      </c>
      <c r="C216" t="str">
        <f>IFERROR(IF(0=LEN(ReferenceData!$C$216),"",ReferenceData!$C$216),"")</f>
        <v>RX902</v>
      </c>
      <c r="D216" t="str">
        <f>IFERROR(IF(0=LEN(ReferenceData!$D$216),"",ReferenceData!$D$216),"")</f>
        <v>ANN_NOI_GR_AST_NET_RTL_DEV_CTD_%</v>
      </c>
      <c r="E216" t="str">
        <f>IFERROR(IF(0=LEN(ReferenceData!$E$216),"",ReferenceData!$E$216),"")</f>
        <v>动态</v>
      </c>
      <c r="F216" t="str">
        <f ca="1">IFERROR(IF(0=LEN(ReferenceData!$F$216),"",ReferenceData!$F$216),"")</f>
        <v/>
      </c>
      <c r="G216">
        <f ca="1">IFERROR(IF(0=LEN(ReferenceData!$G$216),"",ReferenceData!$G$216),"")</f>
        <v>21.889976730000001</v>
      </c>
      <c r="H216">
        <f ca="1">IFERROR(IF(0=LEN(ReferenceData!$H$216),"",ReferenceData!$H$216),"")</f>
        <v>7.7081930449999998</v>
      </c>
      <c r="I216">
        <f ca="1">IFERROR(IF(0=LEN(ReferenceData!$I$216),"",ReferenceData!$I$216),"")</f>
        <v>7.8704109329999996</v>
      </c>
      <c r="J216">
        <f ca="1">IFERROR(IF(0=LEN(ReferenceData!$J$216),"",ReferenceData!$J$216),"")</f>
        <v>7.8982563170000004</v>
      </c>
      <c r="K216">
        <f ca="1">IFERROR(IF(0=LEN(ReferenceData!$K$216),"",ReferenceData!$K$216),"")</f>
        <v>8.0526551160000004</v>
      </c>
      <c r="L216">
        <f ca="1">IFERROR(IF(0=LEN(ReferenceData!$L$216),"",ReferenceData!$L$216),"")</f>
        <v>7.988334139</v>
      </c>
      <c r="M216">
        <f ca="1">IFERROR(IF(0=LEN(ReferenceData!$M$216),"",ReferenceData!$M$216),"")</f>
        <v>8.6219068649999997</v>
      </c>
      <c r="N216">
        <f ca="1">IFERROR(IF(0=LEN(ReferenceData!$N$216),"",ReferenceData!$N$216),"")</f>
        <v>8.4544246059999999</v>
      </c>
      <c r="O216">
        <f ca="1">IFERROR(IF(0=LEN(ReferenceData!$O$216),"",ReferenceData!$O$216),"")</f>
        <v>8.6701890810000002</v>
      </c>
      <c r="P216">
        <f ca="1">IFERROR(IF(0=LEN(ReferenceData!$P$216),"",ReferenceData!$P$216),"")</f>
        <v>8.762741385</v>
      </c>
      <c r="Q216">
        <f ca="1">IFERROR(IF(0=LEN(ReferenceData!$Q$216),"",ReferenceData!$Q$216),"")</f>
        <v>8.8268467099999999</v>
      </c>
      <c r="R216">
        <f ca="1">IFERROR(IF(0=LEN(ReferenceData!$R$216),"",ReferenceData!$R$216),"")</f>
        <v>8.4035370870000001</v>
      </c>
      <c r="S216">
        <f ca="1">IFERROR(IF(0=LEN(ReferenceData!$S$216),"",ReferenceData!$S$216),"")</f>
        <v>8.8206851099999994</v>
      </c>
      <c r="T216">
        <f ca="1">IFERROR(IF(0=LEN(ReferenceData!$T$216),"",ReferenceData!$T$216),"")</f>
        <v>8.6125152059999994</v>
      </c>
      <c r="U216">
        <f ca="1">IFERROR(IF(0=LEN(ReferenceData!$U$216),"",ReferenceData!$U$216),"")</f>
        <v>8.5305933419999995</v>
      </c>
      <c r="V216">
        <f ca="1">IFERROR(IF(0=LEN(ReferenceData!$V$216),"",ReferenceData!$V$216),"")</f>
        <v>8.3632369709999992</v>
      </c>
      <c r="W216">
        <f ca="1">IFERROR(IF(0=LEN(ReferenceData!$W$216),"",ReferenceData!$W$216),"")</f>
        <v>8.4296094519999993</v>
      </c>
      <c r="X216">
        <f ca="1">IFERROR(IF(0=LEN(ReferenceData!$X$216),"",ReferenceData!$X$216),"")</f>
        <v>8.4185962819999993</v>
      </c>
      <c r="Y216">
        <f ca="1">IFERROR(IF(0=LEN(ReferenceData!$Y$216),"",ReferenceData!$Y$216),"")</f>
        <v>8.5431910729999991</v>
      </c>
      <c r="Z216">
        <f ca="1">IFERROR(IF(0=LEN(ReferenceData!$Z$216),"",ReferenceData!$Z$216),"")</f>
        <v>8.6713292769999999</v>
      </c>
      <c r="AA216">
        <f ca="1">IFERROR(IF(0=LEN(ReferenceData!$AA$216),"",ReferenceData!$AA$216),"")</f>
        <v>8.6649798249999996</v>
      </c>
      <c r="AB216">
        <f ca="1">IFERROR(IF(0=LEN(ReferenceData!$AB$216),"",ReferenceData!$AB$216),"")</f>
        <v>8.9672899800000003</v>
      </c>
      <c r="AC216">
        <f ca="1">IFERROR(IF(0=LEN(ReferenceData!$AC$216),"",ReferenceData!$AC$216),"")</f>
        <v>8.6724291559999998</v>
      </c>
      <c r="AD216">
        <f ca="1">IFERROR(IF(0=LEN(ReferenceData!$AD$216),"",ReferenceData!$AD$216),"")</f>
        <v>8.7108674179999994</v>
      </c>
      <c r="AE216">
        <f ca="1">IFERROR(IF(0=LEN(ReferenceData!$AE$216),"",ReferenceData!$AE$216),"")</f>
        <v>8.2894315130000003</v>
      </c>
      <c r="AF216">
        <f ca="1">IFERROR(IF(0=LEN(ReferenceData!$AF$216),"",ReferenceData!$AF$216),"")</f>
        <v>8.813714118</v>
      </c>
      <c r="AG216">
        <f ca="1">IFERROR(IF(0=LEN(ReferenceData!$AG$216),"",ReferenceData!$AG$216),"")</f>
        <v>8.8817166239999992</v>
      </c>
      <c r="AH216">
        <f ca="1">IFERROR(IF(0=LEN(ReferenceData!$AH$216),"",ReferenceData!$AH$216),"")</f>
        <v>8.6813433169999996</v>
      </c>
      <c r="AI216">
        <f ca="1">IFERROR(IF(0=LEN(ReferenceData!$AI$216),"",ReferenceData!$AI$216),"")</f>
        <v>9.0756151070000008</v>
      </c>
      <c r="AJ216">
        <f ca="1">IFERROR(IF(0=LEN(ReferenceData!$AJ$216),"",ReferenceData!$AJ$216),"")</f>
        <v>8.8164335820000002</v>
      </c>
      <c r="AK216">
        <f ca="1">IFERROR(IF(0=LEN(ReferenceData!$AK$216),"",ReferenceData!$AK$216),"")</f>
        <v>9.0811869969999996</v>
      </c>
      <c r="AL216">
        <f ca="1">IFERROR(IF(0=LEN(ReferenceData!$AL$216),"",ReferenceData!$AL$216),"")</f>
        <v>9.1963649860000007</v>
      </c>
      <c r="AM216">
        <f ca="1">IFERROR(IF(0=LEN(ReferenceData!$AM$216),"",ReferenceData!$AM$216),"")</f>
        <v>8.9085750489999995</v>
      </c>
      <c r="AN216">
        <f ca="1">IFERROR(IF(0=LEN(ReferenceData!$AN$216),"",ReferenceData!$AN$216),"")</f>
        <v>8.3873739710000006</v>
      </c>
      <c r="AO216">
        <f ca="1">IFERROR(IF(0=LEN(ReferenceData!$AO$216),"",ReferenceData!$AO$216),"")</f>
        <v>8.7656682200000002</v>
      </c>
      <c r="AP216">
        <f ca="1">IFERROR(IF(0=LEN(ReferenceData!$AP$216),"",ReferenceData!$AP$216),"")</f>
        <v>8.9510377820000002</v>
      </c>
      <c r="AQ216">
        <f ca="1">IFERROR(IF(0=LEN(ReferenceData!$AQ$216),"",ReferenceData!$AQ$216),"")</f>
        <v>9.1852977150000008</v>
      </c>
      <c r="AR216">
        <f ca="1">IFERROR(IF(0=LEN(ReferenceData!$AR$216),"",ReferenceData!$AR$216),"")</f>
        <v>9.0972850140000006</v>
      </c>
      <c r="AS216">
        <f ca="1">IFERROR(IF(0=LEN(ReferenceData!$AS$216),"",ReferenceData!$AS$216),"")</f>
        <v>9.2312538810000007</v>
      </c>
      <c r="AT216">
        <f ca="1">IFERROR(IF(0=LEN(ReferenceData!$AT$216),"",ReferenceData!$AT$216),"")</f>
        <v>9.2303884979999999</v>
      </c>
      <c r="AU216">
        <f ca="1">IFERROR(IF(0=LEN(ReferenceData!$AU$216),"",ReferenceData!$AU$216),"")</f>
        <v>9.1742658840000004</v>
      </c>
      <c r="AV216">
        <f ca="1">IFERROR(IF(0=LEN(ReferenceData!$AV$216),"",ReferenceData!$AV$216),"")</f>
        <v>9.2421058770000002</v>
      </c>
      <c r="AW216">
        <f ca="1">IFERROR(IF(0=LEN(ReferenceData!$AW$216),"",ReferenceData!$AW$216),"")</f>
        <v>8.6205521520000001</v>
      </c>
      <c r="AX216">
        <f ca="1">IFERROR(IF(0=LEN(ReferenceData!$AX$216),"",ReferenceData!$AX$216),"")</f>
        <v>8.7081884400000007</v>
      </c>
      <c r="AY216">
        <f ca="1">IFERROR(IF(0=LEN(ReferenceData!$AY$216),"",ReferenceData!$AY$216),"")</f>
        <v>7.9634587720000001</v>
      </c>
      <c r="AZ216">
        <f ca="1">IFERROR(IF(0=LEN(ReferenceData!$AZ$216),"",ReferenceData!$AZ$216),"")</f>
        <v>9.5164925220000001</v>
      </c>
      <c r="BA216">
        <f ca="1">IFERROR(IF(0=LEN(ReferenceData!$BA$216),"",ReferenceData!$BA$216),"")</f>
        <v>10.199398390000001</v>
      </c>
      <c r="BB216">
        <f ca="1">IFERROR(IF(0=LEN(ReferenceData!$BB$216),"",ReferenceData!$BB$216),"")</f>
        <v>10.00211887</v>
      </c>
      <c r="BC216" t="str">
        <f ca="1">IFERROR(IF(0=LEN(ReferenceData!$BC$216),"",ReferenceData!$BC$216),"")</f>
        <v/>
      </c>
      <c r="BD216" t="str">
        <f ca="1">IFERROR(IF(0=LEN(ReferenceData!$BD$216),"",ReferenceData!$BD$216),"")</f>
        <v/>
      </c>
      <c r="BE216" t="str">
        <f ca="1">IFERROR(IF(0=LEN(ReferenceData!$BE$216),"",ReferenceData!$BE$216),"")</f>
        <v/>
      </c>
      <c r="BF216" t="str">
        <f ca="1">IFERROR(IF(0=LEN(ReferenceData!$BF$216),"",ReferenceData!$BF$216),"")</f>
        <v/>
      </c>
      <c r="BG216" t="str">
        <f ca="1">IFERROR(IF(0=LEN(ReferenceData!$BG$216),"",ReferenceData!$BG$216),"")</f>
        <v/>
      </c>
      <c r="BH216" t="str">
        <f ca="1">IFERROR(IF(0=LEN(ReferenceData!$BH$216),"",ReferenceData!$BH$216),"")</f>
        <v/>
      </c>
      <c r="BI216" t="str">
        <f ca="1">IFERROR(IF(0=LEN(ReferenceData!$BI$216),"",ReferenceData!$BI$216),"")</f>
        <v/>
      </c>
      <c r="BJ216" t="str">
        <f ca="1">IFERROR(IF(0=LEN(ReferenceData!$BJ$216),"",ReferenceData!$BJ$216),"")</f>
        <v/>
      </c>
      <c r="BK216" t="str">
        <f ca="1">IFERROR(IF(0=LEN(ReferenceData!$BK$216),"",ReferenceData!$BK$216),"")</f>
        <v/>
      </c>
      <c r="BL216" t="str">
        <f ca="1">IFERROR(IF(0=LEN(ReferenceData!$BL$216),"",ReferenceData!$BL$216),"")</f>
        <v/>
      </c>
      <c r="BM216" t="str">
        <f ca="1">IFERROR(IF(0=LEN(ReferenceData!$BM$216),"",ReferenceData!$BM$216),"")</f>
        <v/>
      </c>
    </row>
    <row r="217" spans="1:65">
      <c r="A217" t="str">
        <f>IFERROR(IF(0=LEN(ReferenceData!$A$217),"",ReferenceData!$A$217),"")</f>
        <v xml:space="preserve">    Kimco Realty Corp</v>
      </c>
      <c r="B217" t="str">
        <f>IFERROR(IF(0=LEN(ReferenceData!$B$217),"",ReferenceData!$B$217),"")</f>
        <v>KIM US Equity</v>
      </c>
      <c r="C217" t="str">
        <f>IFERROR(IF(0=LEN(ReferenceData!$C$217),"",ReferenceData!$C$217),"")</f>
        <v>RX902</v>
      </c>
      <c r="D217" t="str">
        <f>IFERROR(IF(0=LEN(ReferenceData!$D$217),"",ReferenceData!$D$217),"")</f>
        <v>ANN_NOI_GR_AST_NET_RTL_DEV_CTD_%</v>
      </c>
      <c r="E217" t="str">
        <f>IFERROR(IF(0=LEN(ReferenceData!$E$217),"",ReferenceData!$E$217),"")</f>
        <v>动态</v>
      </c>
      <c r="F217" t="str">
        <f ca="1">IFERROR(IF(0=LEN(ReferenceData!$F$217),"",ReferenceData!$F$217),"")</f>
        <v/>
      </c>
      <c r="G217">
        <f ca="1">IFERROR(IF(0=LEN(ReferenceData!$G$217),"",ReferenceData!$G$217),"")</f>
        <v>7.4552818260000002</v>
      </c>
      <c r="H217">
        <f ca="1">IFERROR(IF(0=LEN(ReferenceData!$H$217),"",ReferenceData!$H$217),"")</f>
        <v>7.232867916</v>
      </c>
      <c r="I217">
        <f ca="1">IFERROR(IF(0=LEN(ReferenceData!$I$217),"",ReferenceData!$I$217),"")</f>
        <v>6.3105966149999997</v>
      </c>
      <c r="J217">
        <f ca="1">IFERROR(IF(0=LEN(ReferenceData!$J$217),"",ReferenceData!$J$217),"")</f>
        <v>7.5054029690000004</v>
      </c>
      <c r="K217">
        <f ca="1">IFERROR(IF(0=LEN(ReferenceData!$K$217),"",ReferenceData!$K$217),"")</f>
        <v>6.4148564099999996</v>
      </c>
      <c r="L217">
        <f ca="1">IFERROR(IF(0=LEN(ReferenceData!$L$217),"",ReferenceData!$L$217),"")</f>
        <v>7.3785290229999996</v>
      </c>
      <c r="M217">
        <f ca="1">IFERROR(IF(0=LEN(ReferenceData!$M$217),"",ReferenceData!$M$217),"")</f>
        <v>6.4448427309999996</v>
      </c>
      <c r="N217">
        <f ca="1">IFERROR(IF(0=LEN(ReferenceData!$N$217),"",ReferenceData!$N$217),"")</f>
        <v>6.6171209580000001</v>
      </c>
      <c r="O217">
        <f ca="1">IFERROR(IF(0=LEN(ReferenceData!$O$217),"",ReferenceData!$O$217),"")</f>
        <v>6.5134593169999997</v>
      </c>
      <c r="P217">
        <f ca="1">IFERROR(IF(0=LEN(ReferenceData!$P$217),"",ReferenceData!$P$217),"")</f>
        <v>7.9878095099999999</v>
      </c>
      <c r="Q217">
        <f ca="1">IFERROR(IF(0=LEN(ReferenceData!$Q$217),"",ReferenceData!$Q$217),"")</f>
        <v>6.358262141</v>
      </c>
      <c r="R217">
        <f ca="1">IFERROR(IF(0=LEN(ReferenceData!$R$217),"",ReferenceData!$R$217),"")</f>
        <v>5.8866284799999997</v>
      </c>
      <c r="S217">
        <f ca="1">IFERROR(IF(0=LEN(ReferenceData!$S$217),"",ReferenceData!$S$217),"")</f>
        <v>8.6882381750000004</v>
      </c>
      <c r="T217">
        <f ca="1">IFERROR(IF(0=LEN(ReferenceData!$T$217),"",ReferenceData!$T$217),"")</f>
        <v>8.7951949759999994</v>
      </c>
      <c r="U217">
        <f ca="1">IFERROR(IF(0=LEN(ReferenceData!$U$217),"",ReferenceData!$U$217),"")</f>
        <v>6.1587464970000001</v>
      </c>
      <c r="V217">
        <f ca="1">IFERROR(IF(0=LEN(ReferenceData!$V$217),"",ReferenceData!$V$217),"")</f>
        <v>6.2066913350000004</v>
      </c>
      <c r="W217">
        <f ca="1">IFERROR(IF(0=LEN(ReferenceData!$W$217),"",ReferenceData!$W$217),"")</f>
        <v>8.8662465919999995</v>
      </c>
      <c r="X217">
        <f ca="1">IFERROR(IF(0=LEN(ReferenceData!$X$217),"",ReferenceData!$X$217),"")</f>
        <v>8.8920676610000005</v>
      </c>
      <c r="Y217">
        <f ca="1">IFERROR(IF(0=LEN(ReferenceData!$Y$217),"",ReferenceData!$Y$217),"")</f>
        <v>9.2723692599999996</v>
      </c>
      <c r="Z217">
        <f ca="1">IFERROR(IF(0=LEN(ReferenceData!$Z$217),"",ReferenceData!$Z$217),"")</f>
        <v>5.7046626810000003</v>
      </c>
      <c r="AA217">
        <f ca="1">IFERROR(IF(0=LEN(ReferenceData!$AA$217),"",ReferenceData!$AA$217),"")</f>
        <v>8.9740010370000007</v>
      </c>
      <c r="AB217">
        <f ca="1">IFERROR(IF(0=LEN(ReferenceData!$AB$217),"",ReferenceData!$AB$217),"")</f>
        <v>8.9799154550000004</v>
      </c>
      <c r="AC217">
        <f ca="1">IFERROR(IF(0=LEN(ReferenceData!$AC$217),"",ReferenceData!$AC$217),"")</f>
        <v>8.9475503720000003</v>
      </c>
      <c r="AD217">
        <f ca="1">IFERROR(IF(0=LEN(ReferenceData!$AD$217),"",ReferenceData!$AD$217),"")</f>
        <v>5.5791316899999996</v>
      </c>
      <c r="AE217">
        <f ca="1">IFERROR(IF(0=LEN(ReferenceData!$AE$217),"",ReferenceData!$AE$217),"")</f>
        <v>8.9746411580000007</v>
      </c>
      <c r="AF217">
        <f ca="1">IFERROR(IF(0=LEN(ReferenceData!$AF$217),"",ReferenceData!$AF$217),"")</f>
        <v>9.0371652670000007</v>
      </c>
      <c r="AG217">
        <f ca="1">IFERROR(IF(0=LEN(ReferenceData!$AG$217),"",ReferenceData!$AG$217),"")</f>
        <v>8.9103125760000008</v>
      </c>
      <c r="AH217">
        <f ca="1">IFERROR(IF(0=LEN(ReferenceData!$AH$217),"",ReferenceData!$AH$217),"")</f>
        <v>8.7894100040000005</v>
      </c>
      <c r="AI217">
        <f ca="1">IFERROR(IF(0=LEN(ReferenceData!$AI$217),"",ReferenceData!$AI$217),"")</f>
        <v>8.6121982960000008</v>
      </c>
      <c r="AJ217">
        <f ca="1">IFERROR(IF(0=LEN(ReferenceData!$AJ$217),"",ReferenceData!$AJ$217),"")</f>
        <v>8.5509154429999992</v>
      </c>
      <c r="AK217">
        <f ca="1">IFERROR(IF(0=LEN(ReferenceData!$AK$217),"",ReferenceData!$AK$217),"")</f>
        <v>8.4511800600000004</v>
      </c>
      <c r="AL217">
        <f ca="1">IFERROR(IF(0=LEN(ReferenceData!$AL$217),"",ReferenceData!$AL$217),"")</f>
        <v>8.2284193099999996</v>
      </c>
      <c r="AM217">
        <f ca="1">IFERROR(IF(0=LEN(ReferenceData!$AM$217),"",ReferenceData!$AM$217),"")</f>
        <v>7.9671376650000001</v>
      </c>
      <c r="AN217">
        <f ca="1">IFERROR(IF(0=LEN(ReferenceData!$AN$217),"",ReferenceData!$AN$217),"")</f>
        <v>8.3949083420000008</v>
      </c>
      <c r="AO217">
        <f ca="1">IFERROR(IF(0=LEN(ReferenceData!$AO$217),"",ReferenceData!$AO$217),"")</f>
        <v>8.7049538749999993</v>
      </c>
      <c r="AP217">
        <f ca="1">IFERROR(IF(0=LEN(ReferenceData!$AP$217),"",ReferenceData!$AP$217),"")</f>
        <v>8.3645542259999992</v>
      </c>
      <c r="AQ217">
        <f ca="1">IFERROR(IF(0=LEN(ReferenceData!$AQ$217),"",ReferenceData!$AQ$217),"")</f>
        <v>8.7783265529999994</v>
      </c>
      <c r="AR217">
        <f ca="1">IFERROR(IF(0=LEN(ReferenceData!$AR$217),"",ReferenceData!$AR$217),"")</f>
        <v>5.3129088700000002</v>
      </c>
      <c r="AS217">
        <f ca="1">IFERROR(IF(0=LEN(ReferenceData!$AS$217),"",ReferenceData!$AS$217),"")</f>
        <v>5.4047607009999998</v>
      </c>
      <c r="AT217">
        <f ca="1">IFERROR(IF(0=LEN(ReferenceData!$AT$217),"",ReferenceData!$AT$217),"")</f>
        <v>8.7696192120000003</v>
      </c>
      <c r="AU217">
        <f ca="1">IFERROR(IF(0=LEN(ReferenceData!$AU$217),"",ReferenceData!$AU$217),"")</f>
        <v>5.8754302569999997</v>
      </c>
      <c r="AV217">
        <f ca="1">IFERROR(IF(0=LEN(ReferenceData!$AV$217),"",ReferenceData!$AV$217),"")</f>
        <v>5.7871532930000003</v>
      </c>
      <c r="AW217">
        <f ca="1">IFERROR(IF(0=LEN(ReferenceData!$AW$217),"",ReferenceData!$AW$217),"")</f>
        <v>5.9583916620000004</v>
      </c>
      <c r="AX217">
        <f ca="1">IFERROR(IF(0=LEN(ReferenceData!$AX$217),"",ReferenceData!$AX$217),"")</f>
        <v>5.8993328869999999</v>
      </c>
      <c r="AY217">
        <f ca="1">IFERROR(IF(0=LEN(ReferenceData!$AY$217),"",ReferenceData!$AY$217),"")</f>
        <v>6.0498556140000002</v>
      </c>
      <c r="AZ217">
        <f ca="1">IFERROR(IF(0=LEN(ReferenceData!$AZ$217),"",ReferenceData!$AZ$217),"")</f>
        <v>6.1353945110000003</v>
      </c>
      <c r="BA217">
        <f ca="1">IFERROR(IF(0=LEN(ReferenceData!$BA$217),"",ReferenceData!$BA$217),"")</f>
        <v>6.25804078</v>
      </c>
      <c r="BB217">
        <f ca="1">IFERROR(IF(0=LEN(ReferenceData!$BB$217),"",ReferenceData!$BB$217),"")</f>
        <v>6.1923227499999998</v>
      </c>
      <c r="BC217" t="str">
        <f ca="1">IFERROR(IF(0=LEN(ReferenceData!$BC$217),"",ReferenceData!$BC$217),"")</f>
        <v/>
      </c>
      <c r="BD217" t="str">
        <f ca="1">IFERROR(IF(0=LEN(ReferenceData!$BD$217),"",ReferenceData!$BD$217),"")</f>
        <v/>
      </c>
      <c r="BE217" t="str">
        <f ca="1">IFERROR(IF(0=LEN(ReferenceData!$BE$217),"",ReferenceData!$BE$217),"")</f>
        <v/>
      </c>
      <c r="BF217" t="str">
        <f ca="1">IFERROR(IF(0=LEN(ReferenceData!$BF$217),"",ReferenceData!$BF$217),"")</f>
        <v/>
      </c>
      <c r="BG217" t="str">
        <f ca="1">IFERROR(IF(0=LEN(ReferenceData!$BG$217),"",ReferenceData!$BG$217),"")</f>
        <v/>
      </c>
      <c r="BH217" t="str">
        <f ca="1">IFERROR(IF(0=LEN(ReferenceData!$BH$217),"",ReferenceData!$BH$217),"")</f>
        <v/>
      </c>
      <c r="BI217" t="str">
        <f ca="1">IFERROR(IF(0=LEN(ReferenceData!$BI$217),"",ReferenceData!$BI$217),"")</f>
        <v/>
      </c>
      <c r="BJ217" t="str">
        <f ca="1">IFERROR(IF(0=LEN(ReferenceData!$BJ$217),"",ReferenceData!$BJ$217),"")</f>
        <v/>
      </c>
      <c r="BK217" t="str">
        <f ca="1">IFERROR(IF(0=LEN(ReferenceData!$BK$217),"",ReferenceData!$BK$217),"")</f>
        <v/>
      </c>
      <c r="BL217" t="str">
        <f ca="1">IFERROR(IF(0=LEN(ReferenceData!$BL$217),"",ReferenceData!$BL$217),"")</f>
        <v/>
      </c>
      <c r="BM217" t="str">
        <f ca="1">IFERROR(IF(0=LEN(ReferenceData!$BM$217),"",ReferenceData!$BM$217),"")</f>
        <v/>
      </c>
    </row>
    <row r="218" spans="1:65">
      <c r="A218" t="str">
        <f>IFERROR(IF(0=LEN(ReferenceData!$A$218),"",ReferenceData!$A$218),"")</f>
        <v xml:space="preserve">    National Retail Properties Inc</v>
      </c>
      <c r="B218" t="str">
        <f>IFERROR(IF(0=LEN(ReferenceData!$B$218),"",ReferenceData!$B$218),"")</f>
        <v>NNN US Equity</v>
      </c>
      <c r="C218" t="str">
        <f>IFERROR(IF(0=LEN(ReferenceData!$C$218),"",ReferenceData!$C$218),"")</f>
        <v>RX902</v>
      </c>
      <c r="D218" t="str">
        <f>IFERROR(IF(0=LEN(ReferenceData!$D$218),"",ReferenceData!$D$218),"")</f>
        <v>ANN_NOI_GR_AST_NET_RTL_DEV_CTD_%</v>
      </c>
      <c r="E218" t="str">
        <f>IFERROR(IF(0=LEN(ReferenceData!$E$218),"",ReferenceData!$E$218),"")</f>
        <v>动态</v>
      </c>
      <c r="F218" t="str">
        <f ca="1">IFERROR(IF(0=LEN(ReferenceData!$F$218),"",ReferenceData!$F$218),"")</f>
        <v/>
      </c>
      <c r="G218" t="str">
        <f ca="1">IFERROR(IF(0=LEN(ReferenceData!$G$218),"",ReferenceData!$G$218),"")</f>
        <v/>
      </c>
      <c r="H218" t="str">
        <f ca="1">IFERROR(IF(0=LEN(ReferenceData!$H$218),"",ReferenceData!$H$218),"")</f>
        <v/>
      </c>
      <c r="I218" t="str">
        <f ca="1">IFERROR(IF(0=LEN(ReferenceData!$I$218),"",ReferenceData!$I$218),"")</f>
        <v/>
      </c>
      <c r="J218" t="str">
        <f ca="1">IFERROR(IF(0=LEN(ReferenceData!$J$218),"",ReferenceData!$J$218),"")</f>
        <v/>
      </c>
      <c r="K218" t="str">
        <f ca="1">IFERROR(IF(0=LEN(ReferenceData!$K$218),"",ReferenceData!$K$218),"")</f>
        <v/>
      </c>
      <c r="L218" t="str">
        <f ca="1">IFERROR(IF(0=LEN(ReferenceData!$L$218),"",ReferenceData!$L$218),"")</f>
        <v/>
      </c>
      <c r="M218" t="str">
        <f ca="1">IFERROR(IF(0=LEN(ReferenceData!$M$218),"",ReferenceData!$M$218),"")</f>
        <v/>
      </c>
      <c r="N218" t="str">
        <f ca="1">IFERROR(IF(0=LEN(ReferenceData!$N$218),"",ReferenceData!$N$218),"")</f>
        <v/>
      </c>
      <c r="O218" t="str">
        <f ca="1">IFERROR(IF(0=LEN(ReferenceData!$O$218),"",ReferenceData!$O$218),"")</f>
        <v/>
      </c>
      <c r="P218" t="str">
        <f ca="1">IFERROR(IF(0=LEN(ReferenceData!$P$218),"",ReferenceData!$P$218),"")</f>
        <v/>
      </c>
      <c r="Q218" t="str">
        <f ca="1">IFERROR(IF(0=LEN(ReferenceData!$Q$218),"",ReferenceData!$Q$218),"")</f>
        <v/>
      </c>
      <c r="R218" t="str">
        <f ca="1">IFERROR(IF(0=LEN(ReferenceData!$R$218),"",ReferenceData!$R$218),"")</f>
        <v/>
      </c>
      <c r="S218" t="str">
        <f ca="1">IFERROR(IF(0=LEN(ReferenceData!$S$218),"",ReferenceData!$S$218),"")</f>
        <v/>
      </c>
      <c r="T218" t="str">
        <f ca="1">IFERROR(IF(0=LEN(ReferenceData!$T$218),"",ReferenceData!$T$218),"")</f>
        <v/>
      </c>
      <c r="U218" t="str">
        <f ca="1">IFERROR(IF(0=LEN(ReferenceData!$U$218),"",ReferenceData!$U$218),"")</f>
        <v/>
      </c>
      <c r="V218" t="str">
        <f ca="1">IFERROR(IF(0=LEN(ReferenceData!$V$218),"",ReferenceData!$V$218),"")</f>
        <v/>
      </c>
      <c r="W218" t="str">
        <f ca="1">IFERROR(IF(0=LEN(ReferenceData!$W$218),"",ReferenceData!$W$218),"")</f>
        <v/>
      </c>
      <c r="X218" t="str">
        <f ca="1">IFERROR(IF(0=LEN(ReferenceData!$X$218),"",ReferenceData!$X$218),"")</f>
        <v/>
      </c>
      <c r="Y218" t="str">
        <f ca="1">IFERROR(IF(0=LEN(ReferenceData!$Y$218),"",ReferenceData!$Y$218),"")</f>
        <v/>
      </c>
      <c r="Z218" t="str">
        <f ca="1">IFERROR(IF(0=LEN(ReferenceData!$Z$218),"",ReferenceData!$Z$218),"")</f>
        <v/>
      </c>
      <c r="AA218" t="str">
        <f ca="1">IFERROR(IF(0=LEN(ReferenceData!$AA$218),"",ReferenceData!$AA$218),"")</f>
        <v/>
      </c>
      <c r="AB218" t="str">
        <f ca="1">IFERROR(IF(0=LEN(ReferenceData!$AB$218),"",ReferenceData!$AB$218),"")</f>
        <v/>
      </c>
      <c r="AC218" t="str">
        <f ca="1">IFERROR(IF(0=LEN(ReferenceData!$AC$218),"",ReferenceData!$AC$218),"")</f>
        <v/>
      </c>
      <c r="AD218" t="str">
        <f ca="1">IFERROR(IF(0=LEN(ReferenceData!$AD$218),"",ReferenceData!$AD$218),"")</f>
        <v/>
      </c>
      <c r="AE218" t="str">
        <f ca="1">IFERROR(IF(0=LEN(ReferenceData!$AE$218),"",ReferenceData!$AE$218),"")</f>
        <v/>
      </c>
      <c r="AF218" t="str">
        <f ca="1">IFERROR(IF(0=LEN(ReferenceData!$AF$218),"",ReferenceData!$AF$218),"")</f>
        <v/>
      </c>
      <c r="AG218" t="str">
        <f ca="1">IFERROR(IF(0=LEN(ReferenceData!$AG$218),"",ReferenceData!$AG$218),"")</f>
        <v/>
      </c>
      <c r="AH218" t="str">
        <f ca="1">IFERROR(IF(0=LEN(ReferenceData!$AH$218),"",ReferenceData!$AH$218),"")</f>
        <v/>
      </c>
      <c r="AI218" t="str">
        <f ca="1">IFERROR(IF(0=LEN(ReferenceData!$AI$218),"",ReferenceData!$AI$218),"")</f>
        <v/>
      </c>
      <c r="AJ218" t="str">
        <f ca="1">IFERROR(IF(0=LEN(ReferenceData!$AJ$218),"",ReferenceData!$AJ$218),"")</f>
        <v/>
      </c>
      <c r="AK218" t="str">
        <f ca="1">IFERROR(IF(0=LEN(ReferenceData!$AK$218),"",ReferenceData!$AK$218),"")</f>
        <v/>
      </c>
      <c r="AL218" t="str">
        <f ca="1">IFERROR(IF(0=LEN(ReferenceData!$AL$218),"",ReferenceData!$AL$218),"")</f>
        <v/>
      </c>
      <c r="AM218" t="str">
        <f ca="1">IFERROR(IF(0=LEN(ReferenceData!$AM$218),"",ReferenceData!$AM$218),"")</f>
        <v/>
      </c>
      <c r="AN218" t="str">
        <f ca="1">IFERROR(IF(0=LEN(ReferenceData!$AN$218),"",ReferenceData!$AN$218),"")</f>
        <v/>
      </c>
      <c r="AO218" t="str">
        <f ca="1">IFERROR(IF(0=LEN(ReferenceData!$AO$218),"",ReferenceData!$AO$218),"")</f>
        <v/>
      </c>
      <c r="AP218" t="str">
        <f ca="1">IFERROR(IF(0=LEN(ReferenceData!$AP$218),"",ReferenceData!$AP$218),"")</f>
        <v/>
      </c>
      <c r="AQ218" t="str">
        <f ca="1">IFERROR(IF(0=LEN(ReferenceData!$AQ$218),"",ReferenceData!$AQ$218),"")</f>
        <v/>
      </c>
      <c r="AR218" t="str">
        <f ca="1">IFERROR(IF(0=LEN(ReferenceData!$AR$218),"",ReferenceData!$AR$218),"")</f>
        <v/>
      </c>
      <c r="AS218" t="str">
        <f ca="1">IFERROR(IF(0=LEN(ReferenceData!$AS$218),"",ReferenceData!$AS$218),"")</f>
        <v/>
      </c>
      <c r="AT218" t="str">
        <f ca="1">IFERROR(IF(0=LEN(ReferenceData!$AT$218),"",ReferenceData!$AT$218),"")</f>
        <v/>
      </c>
      <c r="AU218" t="str">
        <f ca="1">IFERROR(IF(0=LEN(ReferenceData!$AU$218),"",ReferenceData!$AU$218),"")</f>
        <v/>
      </c>
      <c r="AV218" t="str">
        <f ca="1">IFERROR(IF(0=LEN(ReferenceData!$AV$218),"",ReferenceData!$AV$218),"")</f>
        <v/>
      </c>
      <c r="AW218" t="str">
        <f ca="1">IFERROR(IF(0=LEN(ReferenceData!$AW$218),"",ReferenceData!$AW$218),"")</f>
        <v/>
      </c>
      <c r="AX218" t="str">
        <f ca="1">IFERROR(IF(0=LEN(ReferenceData!$AX$218),"",ReferenceData!$AX$218),"")</f>
        <v/>
      </c>
      <c r="AY218" t="str">
        <f ca="1">IFERROR(IF(0=LEN(ReferenceData!$AY$218),"",ReferenceData!$AY$218),"")</f>
        <v/>
      </c>
      <c r="AZ218" t="str">
        <f ca="1">IFERROR(IF(0=LEN(ReferenceData!$AZ$218),"",ReferenceData!$AZ$218),"")</f>
        <v/>
      </c>
      <c r="BA218" t="str">
        <f ca="1">IFERROR(IF(0=LEN(ReferenceData!$BA$218),"",ReferenceData!$BA$218),"")</f>
        <v/>
      </c>
      <c r="BB218" t="str">
        <f ca="1">IFERROR(IF(0=LEN(ReferenceData!$BB$218),"",ReferenceData!$BB$218),"")</f>
        <v/>
      </c>
      <c r="BC218" t="str">
        <f ca="1">IFERROR(IF(0=LEN(ReferenceData!$BC$218),"",ReferenceData!$BC$218),"")</f>
        <v/>
      </c>
      <c r="BD218" t="str">
        <f ca="1">IFERROR(IF(0=LEN(ReferenceData!$BD$218),"",ReferenceData!$BD$218),"")</f>
        <v/>
      </c>
      <c r="BE218" t="str">
        <f ca="1">IFERROR(IF(0=LEN(ReferenceData!$BE$218),"",ReferenceData!$BE$218),"")</f>
        <v/>
      </c>
      <c r="BF218" t="str">
        <f ca="1">IFERROR(IF(0=LEN(ReferenceData!$BF$218),"",ReferenceData!$BF$218),"")</f>
        <v/>
      </c>
      <c r="BG218" t="str">
        <f ca="1">IFERROR(IF(0=LEN(ReferenceData!$BG$218),"",ReferenceData!$BG$218),"")</f>
        <v/>
      </c>
      <c r="BH218" t="str">
        <f ca="1">IFERROR(IF(0=LEN(ReferenceData!$BH$218),"",ReferenceData!$BH$218),"")</f>
        <v/>
      </c>
      <c r="BI218" t="str">
        <f ca="1">IFERROR(IF(0=LEN(ReferenceData!$BI$218),"",ReferenceData!$BI$218),"")</f>
        <v/>
      </c>
      <c r="BJ218" t="str">
        <f ca="1">IFERROR(IF(0=LEN(ReferenceData!$BJ$218),"",ReferenceData!$BJ$218),"")</f>
        <v/>
      </c>
      <c r="BK218" t="str">
        <f ca="1">IFERROR(IF(0=LEN(ReferenceData!$BK$218),"",ReferenceData!$BK$218),"")</f>
        <v/>
      </c>
      <c r="BL218" t="str">
        <f ca="1">IFERROR(IF(0=LEN(ReferenceData!$BL$218),"",ReferenceData!$BL$218),"")</f>
        <v/>
      </c>
      <c r="BM218" t="str">
        <f ca="1">IFERROR(IF(0=LEN(ReferenceData!$BM$218),"",ReferenceData!$BM$218),"")</f>
        <v/>
      </c>
    </row>
    <row r="219" spans="1:65">
      <c r="A219" t="str">
        <f>IFERROR(IF(0=LEN(ReferenceData!$A$219),"",ReferenceData!$A$219),"")</f>
        <v xml:space="preserve">    Realty Income Corp</v>
      </c>
      <c r="B219" t="str">
        <f>IFERROR(IF(0=LEN(ReferenceData!$B$219),"",ReferenceData!$B$219),"")</f>
        <v>O US Equity</v>
      </c>
      <c r="C219" t="str">
        <f>IFERROR(IF(0=LEN(ReferenceData!$C$219),"",ReferenceData!$C$219),"")</f>
        <v>RX902</v>
      </c>
      <c r="D219" t="str">
        <f>IFERROR(IF(0=LEN(ReferenceData!$D$219),"",ReferenceData!$D$219),"")</f>
        <v>ANN_NOI_GR_AST_NET_RTL_DEV_CTD_%</v>
      </c>
      <c r="E219" t="str">
        <f>IFERROR(IF(0=LEN(ReferenceData!$E$219),"",ReferenceData!$E$219),"")</f>
        <v>动态</v>
      </c>
      <c r="F219" t="str">
        <f ca="1">IFERROR(IF(0=LEN(ReferenceData!$F$219),"",ReferenceData!$F$219),"")</f>
        <v/>
      </c>
      <c r="G219" t="str">
        <f ca="1">IFERROR(IF(0=LEN(ReferenceData!$G$219),"",ReferenceData!$G$219),"")</f>
        <v/>
      </c>
      <c r="H219" t="str">
        <f ca="1">IFERROR(IF(0=LEN(ReferenceData!$H$219),"",ReferenceData!$H$219),"")</f>
        <v/>
      </c>
      <c r="I219" t="str">
        <f ca="1">IFERROR(IF(0=LEN(ReferenceData!$I$219),"",ReferenceData!$I$219),"")</f>
        <v/>
      </c>
      <c r="J219" t="str">
        <f ca="1">IFERROR(IF(0=LEN(ReferenceData!$J$219),"",ReferenceData!$J$219),"")</f>
        <v/>
      </c>
      <c r="K219" t="str">
        <f ca="1">IFERROR(IF(0=LEN(ReferenceData!$K$219),"",ReferenceData!$K$219),"")</f>
        <v/>
      </c>
      <c r="L219" t="str">
        <f ca="1">IFERROR(IF(0=LEN(ReferenceData!$L$219),"",ReferenceData!$L$219),"")</f>
        <v/>
      </c>
      <c r="M219" t="str">
        <f ca="1">IFERROR(IF(0=LEN(ReferenceData!$M$219),"",ReferenceData!$M$219),"")</f>
        <v/>
      </c>
      <c r="N219" t="str">
        <f ca="1">IFERROR(IF(0=LEN(ReferenceData!$N$219),"",ReferenceData!$N$219),"")</f>
        <v/>
      </c>
      <c r="O219" t="str">
        <f ca="1">IFERROR(IF(0=LEN(ReferenceData!$O$219),"",ReferenceData!$O$219),"")</f>
        <v/>
      </c>
      <c r="P219" t="str">
        <f ca="1">IFERROR(IF(0=LEN(ReferenceData!$P$219),"",ReferenceData!$P$219),"")</f>
        <v/>
      </c>
      <c r="Q219" t="str">
        <f ca="1">IFERROR(IF(0=LEN(ReferenceData!$Q$219),"",ReferenceData!$Q$219),"")</f>
        <v/>
      </c>
      <c r="R219" t="str">
        <f ca="1">IFERROR(IF(0=LEN(ReferenceData!$R$219),"",ReferenceData!$R$219),"")</f>
        <v/>
      </c>
      <c r="S219" t="str">
        <f ca="1">IFERROR(IF(0=LEN(ReferenceData!$S$219),"",ReferenceData!$S$219),"")</f>
        <v/>
      </c>
      <c r="T219" t="str">
        <f ca="1">IFERROR(IF(0=LEN(ReferenceData!$T$219),"",ReferenceData!$T$219),"")</f>
        <v/>
      </c>
      <c r="U219" t="str">
        <f ca="1">IFERROR(IF(0=LEN(ReferenceData!$U$219),"",ReferenceData!$U$219),"")</f>
        <v/>
      </c>
      <c r="V219" t="str">
        <f ca="1">IFERROR(IF(0=LEN(ReferenceData!$V$219),"",ReferenceData!$V$219),"")</f>
        <v/>
      </c>
      <c r="W219" t="str">
        <f ca="1">IFERROR(IF(0=LEN(ReferenceData!$W$219),"",ReferenceData!$W$219),"")</f>
        <v/>
      </c>
      <c r="X219" t="str">
        <f ca="1">IFERROR(IF(0=LEN(ReferenceData!$X$219),"",ReferenceData!$X$219),"")</f>
        <v/>
      </c>
      <c r="Y219" t="str">
        <f ca="1">IFERROR(IF(0=LEN(ReferenceData!$Y$219),"",ReferenceData!$Y$219),"")</f>
        <v/>
      </c>
      <c r="Z219" t="str">
        <f ca="1">IFERROR(IF(0=LEN(ReferenceData!$Z$219),"",ReferenceData!$Z$219),"")</f>
        <v/>
      </c>
      <c r="AA219" t="str">
        <f ca="1">IFERROR(IF(0=LEN(ReferenceData!$AA$219),"",ReferenceData!$AA$219),"")</f>
        <v/>
      </c>
      <c r="AB219" t="str">
        <f ca="1">IFERROR(IF(0=LEN(ReferenceData!$AB$219),"",ReferenceData!$AB$219),"")</f>
        <v/>
      </c>
      <c r="AC219" t="str">
        <f ca="1">IFERROR(IF(0=LEN(ReferenceData!$AC$219),"",ReferenceData!$AC$219),"")</f>
        <v/>
      </c>
      <c r="AD219" t="str">
        <f ca="1">IFERROR(IF(0=LEN(ReferenceData!$AD$219),"",ReferenceData!$AD$219),"")</f>
        <v/>
      </c>
      <c r="AE219" t="str">
        <f ca="1">IFERROR(IF(0=LEN(ReferenceData!$AE$219),"",ReferenceData!$AE$219),"")</f>
        <v/>
      </c>
      <c r="AF219" t="str">
        <f ca="1">IFERROR(IF(0=LEN(ReferenceData!$AF$219),"",ReferenceData!$AF$219),"")</f>
        <v/>
      </c>
      <c r="AG219" t="str">
        <f ca="1">IFERROR(IF(0=LEN(ReferenceData!$AG$219),"",ReferenceData!$AG$219),"")</f>
        <v/>
      </c>
      <c r="AH219" t="str">
        <f ca="1">IFERROR(IF(0=LEN(ReferenceData!$AH$219),"",ReferenceData!$AH$219),"")</f>
        <v/>
      </c>
      <c r="AI219" t="str">
        <f ca="1">IFERROR(IF(0=LEN(ReferenceData!$AI$219),"",ReferenceData!$AI$219),"")</f>
        <v/>
      </c>
      <c r="AJ219" t="str">
        <f ca="1">IFERROR(IF(0=LEN(ReferenceData!$AJ$219),"",ReferenceData!$AJ$219),"")</f>
        <v/>
      </c>
      <c r="AK219" t="str">
        <f ca="1">IFERROR(IF(0=LEN(ReferenceData!$AK$219),"",ReferenceData!$AK$219),"")</f>
        <v/>
      </c>
      <c r="AL219" t="str">
        <f ca="1">IFERROR(IF(0=LEN(ReferenceData!$AL$219),"",ReferenceData!$AL$219),"")</f>
        <v/>
      </c>
      <c r="AM219" t="str">
        <f ca="1">IFERROR(IF(0=LEN(ReferenceData!$AM$219),"",ReferenceData!$AM$219),"")</f>
        <v/>
      </c>
      <c r="AN219" t="str">
        <f ca="1">IFERROR(IF(0=LEN(ReferenceData!$AN$219),"",ReferenceData!$AN$219),"")</f>
        <v/>
      </c>
      <c r="AO219" t="str">
        <f ca="1">IFERROR(IF(0=LEN(ReferenceData!$AO$219),"",ReferenceData!$AO$219),"")</f>
        <v/>
      </c>
      <c r="AP219" t="str">
        <f ca="1">IFERROR(IF(0=LEN(ReferenceData!$AP$219),"",ReferenceData!$AP$219),"")</f>
        <v/>
      </c>
      <c r="AQ219" t="str">
        <f ca="1">IFERROR(IF(0=LEN(ReferenceData!$AQ$219),"",ReferenceData!$AQ$219),"")</f>
        <v/>
      </c>
      <c r="AR219" t="str">
        <f ca="1">IFERROR(IF(0=LEN(ReferenceData!$AR$219),"",ReferenceData!$AR$219),"")</f>
        <v/>
      </c>
      <c r="AS219" t="str">
        <f ca="1">IFERROR(IF(0=LEN(ReferenceData!$AS$219),"",ReferenceData!$AS$219),"")</f>
        <v/>
      </c>
      <c r="AT219" t="str">
        <f ca="1">IFERROR(IF(0=LEN(ReferenceData!$AT$219),"",ReferenceData!$AT$219),"")</f>
        <v/>
      </c>
      <c r="AU219" t="str">
        <f ca="1">IFERROR(IF(0=LEN(ReferenceData!$AU$219),"",ReferenceData!$AU$219),"")</f>
        <v/>
      </c>
      <c r="AV219" t="str">
        <f ca="1">IFERROR(IF(0=LEN(ReferenceData!$AV$219),"",ReferenceData!$AV$219),"")</f>
        <v/>
      </c>
      <c r="AW219" t="str">
        <f ca="1">IFERROR(IF(0=LEN(ReferenceData!$AW$219),"",ReferenceData!$AW$219),"")</f>
        <v/>
      </c>
      <c r="AX219" t="str">
        <f ca="1">IFERROR(IF(0=LEN(ReferenceData!$AX$219),"",ReferenceData!$AX$219),"")</f>
        <v/>
      </c>
      <c r="AY219" t="str">
        <f ca="1">IFERROR(IF(0=LEN(ReferenceData!$AY$219),"",ReferenceData!$AY$219),"")</f>
        <v/>
      </c>
      <c r="AZ219" t="str">
        <f ca="1">IFERROR(IF(0=LEN(ReferenceData!$AZ$219),"",ReferenceData!$AZ$219),"")</f>
        <v/>
      </c>
      <c r="BA219" t="str">
        <f ca="1">IFERROR(IF(0=LEN(ReferenceData!$BA$219),"",ReferenceData!$BA$219),"")</f>
        <v/>
      </c>
      <c r="BB219" t="str">
        <f ca="1">IFERROR(IF(0=LEN(ReferenceData!$BB$219),"",ReferenceData!$BB$219),"")</f>
        <v/>
      </c>
      <c r="BC219" t="str">
        <f ca="1">IFERROR(IF(0=LEN(ReferenceData!$BC$219),"",ReferenceData!$BC$219),"")</f>
        <v/>
      </c>
      <c r="BD219" t="str">
        <f ca="1">IFERROR(IF(0=LEN(ReferenceData!$BD$219),"",ReferenceData!$BD$219),"")</f>
        <v/>
      </c>
      <c r="BE219" t="str">
        <f ca="1">IFERROR(IF(0=LEN(ReferenceData!$BE$219),"",ReferenceData!$BE$219),"")</f>
        <v/>
      </c>
      <c r="BF219" t="str">
        <f ca="1">IFERROR(IF(0=LEN(ReferenceData!$BF$219),"",ReferenceData!$BF$219),"")</f>
        <v/>
      </c>
      <c r="BG219" t="str">
        <f ca="1">IFERROR(IF(0=LEN(ReferenceData!$BG$219),"",ReferenceData!$BG$219),"")</f>
        <v/>
      </c>
      <c r="BH219" t="str">
        <f ca="1">IFERROR(IF(0=LEN(ReferenceData!$BH$219),"",ReferenceData!$BH$219),"")</f>
        <v/>
      </c>
      <c r="BI219" t="str">
        <f ca="1">IFERROR(IF(0=LEN(ReferenceData!$BI$219),"",ReferenceData!$BI$219),"")</f>
        <v/>
      </c>
      <c r="BJ219" t="str">
        <f ca="1">IFERROR(IF(0=LEN(ReferenceData!$BJ$219),"",ReferenceData!$BJ$219),"")</f>
        <v/>
      </c>
      <c r="BK219" t="str">
        <f ca="1">IFERROR(IF(0=LEN(ReferenceData!$BK$219),"",ReferenceData!$BK$219),"")</f>
        <v/>
      </c>
      <c r="BL219" t="str">
        <f ca="1">IFERROR(IF(0=LEN(ReferenceData!$BL$219),"",ReferenceData!$BL$219),"")</f>
        <v/>
      </c>
      <c r="BM219" t="str">
        <f ca="1">IFERROR(IF(0=LEN(ReferenceData!$BM$219),"",ReferenceData!$BM$219),"")</f>
        <v/>
      </c>
    </row>
    <row r="220" spans="1:65">
      <c r="A220" t="str">
        <f>IFERROR(IF(0=LEN(ReferenceData!$A$220),"",ReferenceData!$A$220),"")</f>
        <v xml:space="preserve">    Regency Centers Corp</v>
      </c>
      <c r="B220" t="str">
        <f>IFERROR(IF(0=LEN(ReferenceData!$B$220),"",ReferenceData!$B$220),"")</f>
        <v>REG US Equity</v>
      </c>
      <c r="C220" t="str">
        <f>IFERROR(IF(0=LEN(ReferenceData!$C$220),"",ReferenceData!$C$220),"")</f>
        <v>RX902</v>
      </c>
      <c r="D220" t="str">
        <f>IFERROR(IF(0=LEN(ReferenceData!$D$220),"",ReferenceData!$D$220),"")</f>
        <v>ANN_NOI_GR_AST_NET_RTL_DEV_CTD_%</v>
      </c>
      <c r="E220" t="str">
        <f>IFERROR(IF(0=LEN(ReferenceData!$E$220),"",ReferenceData!$E$220),"")</f>
        <v>动态</v>
      </c>
      <c r="F220" t="str">
        <f ca="1">IFERROR(IF(0=LEN(ReferenceData!$F$220),"",ReferenceData!$F$220),"")</f>
        <v/>
      </c>
      <c r="G220">
        <f ca="1">IFERROR(IF(0=LEN(ReferenceData!$G$220),"",ReferenceData!$G$220),"")</f>
        <v>6.5180043259999998</v>
      </c>
      <c r="H220">
        <f ca="1">IFERROR(IF(0=LEN(ReferenceData!$H$220),"",ReferenceData!$H$220),"")</f>
        <v>6.5016482719999997</v>
      </c>
      <c r="I220">
        <f ca="1">IFERROR(IF(0=LEN(ReferenceData!$I$220),"",ReferenceData!$I$220),"")</f>
        <v>6.46820182</v>
      </c>
      <c r="J220">
        <f ca="1">IFERROR(IF(0=LEN(ReferenceData!$J$220),"",ReferenceData!$J$220),"")</f>
        <v>5.0250976999999999</v>
      </c>
      <c r="K220">
        <f ca="1">IFERROR(IF(0=LEN(ReferenceData!$K$220),"",ReferenceData!$K$220),"")</f>
        <v>9.3013385809999996</v>
      </c>
      <c r="L220">
        <f ca="1">IFERROR(IF(0=LEN(ReferenceData!$L$220),"",ReferenceData!$L$220),"")</f>
        <v>9.0782770589999995</v>
      </c>
      <c r="M220">
        <f ca="1">IFERROR(IF(0=LEN(ReferenceData!$M$220),"",ReferenceData!$M$220),"")</f>
        <v>7.5557325559999997</v>
      </c>
      <c r="N220">
        <f ca="1">IFERROR(IF(0=LEN(ReferenceData!$N$220),"",ReferenceData!$N$220),"")</f>
        <v>8.0895782730000008</v>
      </c>
      <c r="O220">
        <f ca="1">IFERROR(IF(0=LEN(ReferenceData!$O$220),"",ReferenceData!$O$220),"")</f>
        <v>7.9188856589999999</v>
      </c>
      <c r="P220">
        <f ca="1">IFERROR(IF(0=LEN(ReferenceData!$P$220),"",ReferenceData!$P$220),"")</f>
        <v>7.8240797259999999</v>
      </c>
      <c r="Q220">
        <f ca="1">IFERROR(IF(0=LEN(ReferenceData!$Q$220),"",ReferenceData!$Q$220),"")</f>
        <v>7.9367241310000001</v>
      </c>
      <c r="R220">
        <f ca="1">IFERROR(IF(0=LEN(ReferenceData!$R$220),"",ReferenceData!$R$220),"")</f>
        <v>7.8621513270000003</v>
      </c>
      <c r="S220">
        <f ca="1">IFERROR(IF(0=LEN(ReferenceData!$S$220),"",ReferenceData!$S$220),"")</f>
        <v>7.6279447630000003</v>
      </c>
      <c r="T220">
        <f ca="1">IFERROR(IF(0=LEN(ReferenceData!$T$220),"",ReferenceData!$T$220),"")</f>
        <v>9.3269954229999996</v>
      </c>
      <c r="U220">
        <f ca="1">IFERROR(IF(0=LEN(ReferenceData!$U$220),"",ReferenceData!$U$220),"")</f>
        <v>9.4789692779999992</v>
      </c>
      <c r="V220">
        <f ca="1">IFERROR(IF(0=LEN(ReferenceData!$V$220),"",ReferenceData!$V$220),"")</f>
        <v>7.622969908</v>
      </c>
      <c r="W220">
        <f ca="1">IFERROR(IF(0=LEN(ReferenceData!$W$220),"",ReferenceData!$W$220),"")</f>
        <v>9.1341490699999994</v>
      </c>
      <c r="X220">
        <f ca="1">IFERROR(IF(0=LEN(ReferenceData!$X$220),"",ReferenceData!$X$220),"")</f>
        <v>9.4373627839999994</v>
      </c>
      <c r="Y220">
        <f ca="1">IFERROR(IF(0=LEN(ReferenceData!$Y$220),"",ReferenceData!$Y$220),"")</f>
        <v>9.5893269730000004</v>
      </c>
      <c r="Z220">
        <f ca="1">IFERROR(IF(0=LEN(ReferenceData!$Z$220),"",ReferenceData!$Z$220),"")</f>
        <v>7.6150337439999998</v>
      </c>
      <c r="AA220">
        <f ca="1">IFERROR(IF(0=LEN(ReferenceData!$AA$220),"",ReferenceData!$AA$220),"")</f>
        <v>9.229287974</v>
      </c>
      <c r="AB220">
        <f ca="1">IFERROR(IF(0=LEN(ReferenceData!$AB$220),"",ReferenceData!$AB$220),"")</f>
        <v>9.4074689829999993</v>
      </c>
      <c r="AC220">
        <f ca="1">IFERROR(IF(0=LEN(ReferenceData!$AC$220),"",ReferenceData!$AC$220),"")</f>
        <v>9.4624960110000007</v>
      </c>
      <c r="AD220">
        <f ca="1">IFERROR(IF(0=LEN(ReferenceData!$AD$220),"",ReferenceData!$AD$220),"")</f>
        <v>9.1354424979999997</v>
      </c>
      <c r="AE220">
        <f ca="1">IFERROR(IF(0=LEN(ReferenceData!$AE$220),"",ReferenceData!$AE$220),"")</f>
        <v>7.3526597359999997</v>
      </c>
      <c r="AF220">
        <f ca="1">IFERROR(IF(0=LEN(ReferenceData!$AF$220),"",ReferenceData!$AF$220),"")</f>
        <v>9.8105989620000003</v>
      </c>
      <c r="AG220">
        <f ca="1">IFERROR(IF(0=LEN(ReferenceData!$AG$220),"",ReferenceData!$AG$220),"")</f>
        <v>7.5305909379999996</v>
      </c>
      <c r="AH220">
        <f ca="1">IFERROR(IF(0=LEN(ReferenceData!$AH$220),"",ReferenceData!$AH$220),"")</f>
        <v>8.0251082329999992</v>
      </c>
      <c r="AI220">
        <f ca="1">IFERROR(IF(0=LEN(ReferenceData!$AI$220),"",ReferenceData!$AI$220),"")</f>
        <v>7.7920030059999998</v>
      </c>
      <c r="AJ220">
        <f ca="1">IFERROR(IF(0=LEN(ReferenceData!$AJ$220),"",ReferenceData!$AJ$220),"")</f>
        <v>8.1312720459999994</v>
      </c>
      <c r="AK220">
        <f ca="1">IFERROR(IF(0=LEN(ReferenceData!$AK$220),"",ReferenceData!$AK$220),"")</f>
        <v>7.8028360780000003</v>
      </c>
      <c r="AL220">
        <f ca="1">IFERROR(IF(0=LEN(ReferenceData!$AL$220),"",ReferenceData!$AL$220),"")</f>
        <v>8.5297463909999998</v>
      </c>
      <c r="AM220">
        <f ca="1">IFERROR(IF(0=LEN(ReferenceData!$AM$220),"",ReferenceData!$AM$220),"")</f>
        <v>9.1935623490000005</v>
      </c>
      <c r="AN220">
        <f ca="1">IFERROR(IF(0=LEN(ReferenceData!$AN$220),"",ReferenceData!$AN$220),"")</f>
        <v>8.9457650730000005</v>
      </c>
      <c r="AO220">
        <f ca="1">IFERROR(IF(0=LEN(ReferenceData!$AO$220),"",ReferenceData!$AO$220),"")</f>
        <v>7.7382460399999999</v>
      </c>
      <c r="AP220">
        <f ca="1">IFERROR(IF(0=LEN(ReferenceData!$AP$220),"",ReferenceData!$AP$220),"")</f>
        <v>8.7370584979999997</v>
      </c>
      <c r="AQ220">
        <f ca="1">IFERROR(IF(0=LEN(ReferenceData!$AQ$220),"",ReferenceData!$AQ$220),"")</f>
        <v>9.387794864</v>
      </c>
      <c r="AR220">
        <f ca="1">IFERROR(IF(0=LEN(ReferenceData!$AR$220),"",ReferenceData!$AR$220),"")</f>
        <v>9.2862522129999991</v>
      </c>
      <c r="AS220">
        <f ca="1">IFERROR(IF(0=LEN(ReferenceData!$AS$220),"",ReferenceData!$AS$220),"")</f>
        <v>8.5222729309999998</v>
      </c>
      <c r="AT220">
        <f ca="1">IFERROR(IF(0=LEN(ReferenceData!$AT$220),"",ReferenceData!$AT$220),"")</f>
        <v>8.3686100809999999</v>
      </c>
      <c r="AU220">
        <f ca="1">IFERROR(IF(0=LEN(ReferenceData!$AU$220),"",ReferenceData!$AU$220),"")</f>
        <v>8.5712873359999993</v>
      </c>
      <c r="AV220">
        <f ca="1">IFERROR(IF(0=LEN(ReferenceData!$AV$220),"",ReferenceData!$AV$220),"")</f>
        <v>8.3666456490000005</v>
      </c>
      <c r="AW220">
        <f ca="1">IFERROR(IF(0=LEN(ReferenceData!$AW$220),"",ReferenceData!$AW$220),"")</f>
        <v>8.309225563</v>
      </c>
      <c r="AX220">
        <f ca="1">IFERROR(IF(0=LEN(ReferenceData!$AX$220),"",ReferenceData!$AX$220),"")</f>
        <v>8.5652645449999998</v>
      </c>
      <c r="AY220">
        <f ca="1">IFERROR(IF(0=LEN(ReferenceData!$AY$220),"",ReferenceData!$AY$220),"")</f>
        <v>8.7932429800000005</v>
      </c>
      <c r="AZ220">
        <f ca="1">IFERROR(IF(0=LEN(ReferenceData!$AZ$220),"",ReferenceData!$AZ$220),"")</f>
        <v>8.6163823419999996</v>
      </c>
      <c r="BA220">
        <f ca="1">IFERROR(IF(0=LEN(ReferenceData!$BA$220),"",ReferenceData!$BA$220),"")</f>
        <v>7.9963521120000003</v>
      </c>
      <c r="BB220">
        <f ca="1">IFERROR(IF(0=LEN(ReferenceData!$BB$220),"",ReferenceData!$BB$220),"")</f>
        <v>8.2476108979999996</v>
      </c>
      <c r="BC220" t="str">
        <f ca="1">IFERROR(IF(0=LEN(ReferenceData!$BC$220),"",ReferenceData!$BC$220),"")</f>
        <v/>
      </c>
      <c r="BD220" t="str">
        <f ca="1">IFERROR(IF(0=LEN(ReferenceData!$BD$220),"",ReferenceData!$BD$220),"")</f>
        <v/>
      </c>
      <c r="BE220" t="str">
        <f ca="1">IFERROR(IF(0=LEN(ReferenceData!$BE$220),"",ReferenceData!$BE$220),"")</f>
        <v/>
      </c>
      <c r="BF220" t="str">
        <f ca="1">IFERROR(IF(0=LEN(ReferenceData!$BF$220),"",ReferenceData!$BF$220),"")</f>
        <v/>
      </c>
      <c r="BG220" t="str">
        <f ca="1">IFERROR(IF(0=LEN(ReferenceData!$BG$220),"",ReferenceData!$BG$220),"")</f>
        <v/>
      </c>
      <c r="BH220" t="str">
        <f ca="1">IFERROR(IF(0=LEN(ReferenceData!$BH$220),"",ReferenceData!$BH$220),"")</f>
        <v/>
      </c>
      <c r="BI220" t="str">
        <f ca="1">IFERROR(IF(0=LEN(ReferenceData!$BI$220),"",ReferenceData!$BI$220),"")</f>
        <v/>
      </c>
      <c r="BJ220" t="str">
        <f ca="1">IFERROR(IF(0=LEN(ReferenceData!$BJ$220),"",ReferenceData!$BJ$220),"")</f>
        <v/>
      </c>
      <c r="BK220" t="str">
        <f ca="1">IFERROR(IF(0=LEN(ReferenceData!$BK$220),"",ReferenceData!$BK$220),"")</f>
        <v/>
      </c>
      <c r="BL220" t="str">
        <f ca="1">IFERROR(IF(0=LEN(ReferenceData!$BL$220),"",ReferenceData!$BL$220),"")</f>
        <v/>
      </c>
      <c r="BM220" t="str">
        <f ca="1">IFERROR(IF(0=LEN(ReferenceData!$BM$220),"",ReferenceData!$BM$220),"")</f>
        <v/>
      </c>
    </row>
    <row r="221" spans="1:65">
      <c r="A221" t="str">
        <f>IFERROR(IF(0=LEN(ReferenceData!$A$221),"",ReferenceData!$A$221),"")</f>
        <v xml:space="preserve">    Retail Opportunity Investments</v>
      </c>
      <c r="B221" t="str">
        <f>IFERROR(IF(0=LEN(ReferenceData!$B$221),"",ReferenceData!$B$221),"")</f>
        <v>ROIC US Equity</v>
      </c>
      <c r="C221" t="str">
        <f>IFERROR(IF(0=LEN(ReferenceData!$C$221),"",ReferenceData!$C$221),"")</f>
        <v>RX902</v>
      </c>
      <c r="D221" t="str">
        <f>IFERROR(IF(0=LEN(ReferenceData!$D$221),"",ReferenceData!$D$221),"")</f>
        <v>ANN_NOI_GR_AST_NET_RTL_DEV_CTD_%</v>
      </c>
      <c r="E221" t="str">
        <f>IFERROR(IF(0=LEN(ReferenceData!$E$221),"",ReferenceData!$E$221),"")</f>
        <v>动态</v>
      </c>
      <c r="F221" t="str">
        <f ca="1">IFERROR(IF(0=LEN(ReferenceData!$F$221),"",ReferenceData!$F$221),"")</f>
        <v/>
      </c>
      <c r="G221">
        <f ca="1">IFERROR(IF(0=LEN(ReferenceData!$G$221),"",ReferenceData!$G$221),"")</f>
        <v>5.9249910510000001</v>
      </c>
      <c r="H221">
        <f ca="1">IFERROR(IF(0=LEN(ReferenceData!$H$221),"",ReferenceData!$H$221),"")</f>
        <v>5.8542283980000001</v>
      </c>
      <c r="I221">
        <f ca="1">IFERROR(IF(0=LEN(ReferenceData!$I$221),"",ReferenceData!$I$221),"")</f>
        <v>5.9108786579999997</v>
      </c>
      <c r="J221">
        <f ca="1">IFERROR(IF(0=LEN(ReferenceData!$J$221),"",ReferenceData!$J$221),"")</f>
        <v>5.7743298850000002</v>
      </c>
      <c r="K221">
        <f ca="1">IFERROR(IF(0=LEN(ReferenceData!$K$221),"",ReferenceData!$K$221),"")</f>
        <v>6.071589887</v>
      </c>
      <c r="L221">
        <f ca="1">IFERROR(IF(0=LEN(ReferenceData!$L$221),"",ReferenceData!$L$221),"")</f>
        <v>5.9921119090000001</v>
      </c>
      <c r="M221">
        <f ca="1">IFERROR(IF(0=LEN(ReferenceData!$M$221),"",ReferenceData!$M$221),"")</f>
        <v>5.6835447810000002</v>
      </c>
      <c r="N221">
        <f ca="1">IFERROR(IF(0=LEN(ReferenceData!$N$221),"",ReferenceData!$N$221),"")</f>
        <v>5.9887348380000001</v>
      </c>
      <c r="O221">
        <f ca="1">IFERROR(IF(0=LEN(ReferenceData!$O$221),"",ReferenceData!$O$221),"")</f>
        <v>5.7117309220000001</v>
      </c>
      <c r="P221">
        <f ca="1">IFERROR(IF(0=LEN(ReferenceData!$P$221),"",ReferenceData!$P$221),"")</f>
        <v>5.9082358289999997</v>
      </c>
      <c r="Q221">
        <f ca="1">IFERROR(IF(0=LEN(ReferenceData!$Q$221),"",ReferenceData!$Q$221),"")</f>
        <v>5.987530896</v>
      </c>
      <c r="R221" t="str">
        <f ca="1">IFERROR(IF(0=LEN(ReferenceData!$R$221),"",ReferenceData!$R$221),"")</f>
        <v/>
      </c>
      <c r="S221" t="str">
        <f ca="1">IFERROR(IF(0=LEN(ReferenceData!$S$221),"",ReferenceData!$S$221),"")</f>
        <v/>
      </c>
      <c r="T221" t="str">
        <f ca="1">IFERROR(IF(0=LEN(ReferenceData!$T$221),"",ReferenceData!$T$221),"")</f>
        <v/>
      </c>
      <c r="U221" t="str">
        <f ca="1">IFERROR(IF(0=LEN(ReferenceData!$U$221),"",ReferenceData!$U$221),"")</f>
        <v/>
      </c>
      <c r="V221" t="str">
        <f ca="1">IFERROR(IF(0=LEN(ReferenceData!$V$221),"",ReferenceData!$V$221),"")</f>
        <v/>
      </c>
      <c r="W221" t="str">
        <f ca="1">IFERROR(IF(0=LEN(ReferenceData!$W$221),"",ReferenceData!$W$221),"")</f>
        <v/>
      </c>
      <c r="X221" t="str">
        <f ca="1">IFERROR(IF(0=LEN(ReferenceData!$X$221),"",ReferenceData!$X$221),"")</f>
        <v/>
      </c>
      <c r="Y221" t="str">
        <f ca="1">IFERROR(IF(0=LEN(ReferenceData!$Y$221),"",ReferenceData!$Y$221),"")</f>
        <v/>
      </c>
      <c r="Z221" t="str">
        <f ca="1">IFERROR(IF(0=LEN(ReferenceData!$Z$221),"",ReferenceData!$Z$221),"")</f>
        <v/>
      </c>
      <c r="AA221" t="str">
        <f ca="1">IFERROR(IF(0=LEN(ReferenceData!$AA$221),"",ReferenceData!$AA$221),"")</f>
        <v/>
      </c>
      <c r="AB221" t="str">
        <f ca="1">IFERROR(IF(0=LEN(ReferenceData!$AB$221),"",ReferenceData!$AB$221),"")</f>
        <v/>
      </c>
      <c r="AC221" t="str">
        <f ca="1">IFERROR(IF(0=LEN(ReferenceData!$AC$221),"",ReferenceData!$AC$221),"")</f>
        <v/>
      </c>
      <c r="AD221" t="str">
        <f ca="1">IFERROR(IF(0=LEN(ReferenceData!$AD$221),"",ReferenceData!$AD$221),"")</f>
        <v/>
      </c>
      <c r="AE221" t="str">
        <f ca="1">IFERROR(IF(0=LEN(ReferenceData!$AE$221),"",ReferenceData!$AE$221),"")</f>
        <v/>
      </c>
      <c r="AF221" t="str">
        <f ca="1">IFERROR(IF(0=LEN(ReferenceData!$AF$221),"",ReferenceData!$AF$221),"")</f>
        <v/>
      </c>
      <c r="AG221" t="str">
        <f ca="1">IFERROR(IF(0=LEN(ReferenceData!$AG$221),"",ReferenceData!$AG$221),"")</f>
        <v/>
      </c>
      <c r="AH221" t="str">
        <f ca="1">IFERROR(IF(0=LEN(ReferenceData!$AH$221),"",ReferenceData!$AH$221),"")</f>
        <v/>
      </c>
      <c r="AI221" t="str">
        <f ca="1">IFERROR(IF(0=LEN(ReferenceData!$AI$221),"",ReferenceData!$AI$221),"")</f>
        <v/>
      </c>
      <c r="AJ221" t="str">
        <f ca="1">IFERROR(IF(0=LEN(ReferenceData!$AJ$221),"",ReferenceData!$AJ$221),"")</f>
        <v/>
      </c>
      <c r="AK221" t="str">
        <f ca="1">IFERROR(IF(0=LEN(ReferenceData!$AK$221),"",ReferenceData!$AK$221),"")</f>
        <v/>
      </c>
      <c r="AL221" t="str">
        <f ca="1">IFERROR(IF(0=LEN(ReferenceData!$AL$221),"",ReferenceData!$AL$221),"")</f>
        <v/>
      </c>
      <c r="AM221" t="str">
        <f ca="1">IFERROR(IF(0=LEN(ReferenceData!$AM$221),"",ReferenceData!$AM$221),"")</f>
        <v/>
      </c>
      <c r="AN221" t="str">
        <f ca="1">IFERROR(IF(0=LEN(ReferenceData!$AN$221),"",ReferenceData!$AN$221),"")</f>
        <v/>
      </c>
      <c r="AO221" t="str">
        <f ca="1">IFERROR(IF(0=LEN(ReferenceData!$AO$221),"",ReferenceData!$AO$221),"")</f>
        <v/>
      </c>
      <c r="AP221" t="str">
        <f ca="1">IFERROR(IF(0=LEN(ReferenceData!$AP$221),"",ReferenceData!$AP$221),"")</f>
        <v/>
      </c>
      <c r="AQ221" t="str">
        <f ca="1">IFERROR(IF(0=LEN(ReferenceData!$AQ$221),"",ReferenceData!$AQ$221),"")</f>
        <v/>
      </c>
      <c r="AR221" t="str">
        <f ca="1">IFERROR(IF(0=LEN(ReferenceData!$AR$221),"",ReferenceData!$AR$221),"")</f>
        <v/>
      </c>
      <c r="AS221" t="str">
        <f ca="1">IFERROR(IF(0=LEN(ReferenceData!$AS$221),"",ReferenceData!$AS$221),"")</f>
        <v/>
      </c>
      <c r="AT221" t="str">
        <f ca="1">IFERROR(IF(0=LEN(ReferenceData!$AT$221),"",ReferenceData!$AT$221),"")</f>
        <v/>
      </c>
      <c r="AU221" t="str">
        <f ca="1">IFERROR(IF(0=LEN(ReferenceData!$AU$221),"",ReferenceData!$AU$221),"")</f>
        <v/>
      </c>
      <c r="AV221" t="str">
        <f ca="1">IFERROR(IF(0=LEN(ReferenceData!$AV$221),"",ReferenceData!$AV$221),"")</f>
        <v/>
      </c>
      <c r="AW221" t="str">
        <f ca="1">IFERROR(IF(0=LEN(ReferenceData!$AW$221),"",ReferenceData!$AW$221),"")</f>
        <v/>
      </c>
      <c r="AX221" t="str">
        <f ca="1">IFERROR(IF(0=LEN(ReferenceData!$AX$221),"",ReferenceData!$AX$221),"")</f>
        <v/>
      </c>
      <c r="AY221" t="str">
        <f ca="1">IFERROR(IF(0=LEN(ReferenceData!$AY$221),"",ReferenceData!$AY$221),"")</f>
        <v/>
      </c>
      <c r="AZ221" t="str">
        <f ca="1">IFERROR(IF(0=LEN(ReferenceData!$AZ$221),"",ReferenceData!$AZ$221),"")</f>
        <v/>
      </c>
      <c r="BA221" t="str">
        <f ca="1">IFERROR(IF(0=LEN(ReferenceData!$BA$221),"",ReferenceData!$BA$221),"")</f>
        <v/>
      </c>
      <c r="BB221" t="str">
        <f ca="1">IFERROR(IF(0=LEN(ReferenceData!$BB$221),"",ReferenceData!$BB$221),"")</f>
        <v/>
      </c>
      <c r="BC221" t="str">
        <f ca="1">IFERROR(IF(0=LEN(ReferenceData!$BC$221),"",ReferenceData!$BC$221),"")</f>
        <v/>
      </c>
      <c r="BD221" t="str">
        <f ca="1">IFERROR(IF(0=LEN(ReferenceData!$BD$221),"",ReferenceData!$BD$221),"")</f>
        <v/>
      </c>
      <c r="BE221" t="str">
        <f ca="1">IFERROR(IF(0=LEN(ReferenceData!$BE$221),"",ReferenceData!$BE$221),"")</f>
        <v/>
      </c>
      <c r="BF221" t="str">
        <f ca="1">IFERROR(IF(0=LEN(ReferenceData!$BF$221),"",ReferenceData!$BF$221),"")</f>
        <v/>
      </c>
      <c r="BG221" t="str">
        <f ca="1">IFERROR(IF(0=LEN(ReferenceData!$BG$221),"",ReferenceData!$BG$221),"")</f>
        <v/>
      </c>
      <c r="BH221" t="str">
        <f ca="1">IFERROR(IF(0=LEN(ReferenceData!$BH$221),"",ReferenceData!$BH$221),"")</f>
        <v/>
      </c>
      <c r="BI221" t="str">
        <f ca="1">IFERROR(IF(0=LEN(ReferenceData!$BI$221),"",ReferenceData!$BI$221),"")</f>
        <v/>
      </c>
      <c r="BJ221" t="str">
        <f ca="1">IFERROR(IF(0=LEN(ReferenceData!$BJ$221),"",ReferenceData!$BJ$221),"")</f>
        <v/>
      </c>
      <c r="BK221" t="str">
        <f ca="1">IFERROR(IF(0=LEN(ReferenceData!$BK$221),"",ReferenceData!$BK$221),"")</f>
        <v/>
      </c>
      <c r="BL221" t="str">
        <f ca="1">IFERROR(IF(0=LEN(ReferenceData!$BL$221),"",ReferenceData!$BL$221),"")</f>
        <v/>
      </c>
      <c r="BM221" t="str">
        <f ca="1">IFERROR(IF(0=LEN(ReferenceData!$BM$221),"",ReferenceData!$BM$221),"")</f>
        <v/>
      </c>
    </row>
    <row r="222" spans="1:65">
      <c r="A222" t="str">
        <f>IFERROR(IF(0=LEN(ReferenceData!$A$222),"",ReferenceData!$A$222),"")</f>
        <v xml:space="preserve">    Retail Properties of America I</v>
      </c>
      <c r="B222" t="str">
        <f>IFERROR(IF(0=LEN(ReferenceData!$B$222),"",ReferenceData!$B$222),"")</f>
        <v>RPAI US Equity</v>
      </c>
      <c r="C222" t="str">
        <f>IFERROR(IF(0=LEN(ReferenceData!$C$222),"",ReferenceData!$C$222),"")</f>
        <v>RX902</v>
      </c>
      <c r="D222" t="str">
        <f>IFERROR(IF(0=LEN(ReferenceData!$D$222),"",ReferenceData!$D$222),"")</f>
        <v>ANN_NOI_GR_AST_NET_RTL_DEV_CTD_%</v>
      </c>
      <c r="E222" t="str">
        <f>IFERROR(IF(0=LEN(ReferenceData!$E$222),"",ReferenceData!$E$222),"")</f>
        <v>动态</v>
      </c>
      <c r="F222" t="str">
        <f ca="1">IFERROR(IF(0=LEN(ReferenceData!$F$222),"",ReferenceData!$F$222),"")</f>
        <v/>
      </c>
      <c r="G222">
        <f ca="1">IFERROR(IF(0=LEN(ReferenceData!$G$222),"",ReferenceData!$G$222),"")</f>
        <v>6.6160341889999996</v>
      </c>
      <c r="H222">
        <f ca="1">IFERROR(IF(0=LEN(ReferenceData!$H$222),"",ReferenceData!$H$222),"")</f>
        <v>6.5673480069999997</v>
      </c>
      <c r="I222">
        <f ca="1">IFERROR(IF(0=LEN(ReferenceData!$I$222),"",ReferenceData!$I$222),"")</f>
        <v>6.6572292070000003</v>
      </c>
      <c r="J222">
        <f ca="1">IFERROR(IF(0=LEN(ReferenceData!$J$222),"",ReferenceData!$J$222),"")</f>
        <v>6.6456668069999996</v>
      </c>
      <c r="K222">
        <f ca="1">IFERROR(IF(0=LEN(ReferenceData!$K$222),"",ReferenceData!$K$222),"")</f>
        <v>6.6515543800000003</v>
      </c>
      <c r="L222">
        <f ca="1">IFERROR(IF(0=LEN(ReferenceData!$L$222),"",ReferenceData!$L$222),"")</f>
        <v>6.834443738</v>
      </c>
      <c r="M222">
        <f ca="1">IFERROR(IF(0=LEN(ReferenceData!$M$222),"",ReferenceData!$M$222),"")</f>
        <v>6.7752185579999997</v>
      </c>
      <c r="N222">
        <f ca="1">IFERROR(IF(0=LEN(ReferenceData!$N$222),"",ReferenceData!$N$222),"")</f>
        <v>6.7278262590000004</v>
      </c>
      <c r="O222">
        <f ca="1">IFERROR(IF(0=LEN(ReferenceData!$O$222),"",ReferenceData!$O$222),"")</f>
        <v>6.762039004</v>
      </c>
      <c r="P222">
        <f ca="1">IFERROR(IF(0=LEN(ReferenceData!$P$222),"",ReferenceData!$P$222),"")</f>
        <v>6.6983526680000001</v>
      </c>
      <c r="Q222">
        <f ca="1">IFERROR(IF(0=LEN(ReferenceData!$Q$222),"",ReferenceData!$Q$222),"")</f>
        <v>6.7184985319999999</v>
      </c>
      <c r="R222">
        <f ca="1">IFERROR(IF(0=LEN(ReferenceData!$R$222),"",ReferenceData!$R$222),"")</f>
        <v>6.6438154999999997</v>
      </c>
      <c r="S222">
        <f ca="1">IFERROR(IF(0=LEN(ReferenceData!$S$222),"",ReferenceData!$S$222),"")</f>
        <v>6.8246621879999996</v>
      </c>
      <c r="T222">
        <f ca="1">IFERROR(IF(0=LEN(ReferenceData!$T$222),"",ReferenceData!$T$222),"")</f>
        <v>6.8355786910000003</v>
      </c>
      <c r="U222">
        <f ca="1">IFERROR(IF(0=LEN(ReferenceData!$U$222),"",ReferenceData!$U$222),"")</f>
        <v>6.5081815389999997</v>
      </c>
      <c r="V222">
        <f ca="1">IFERROR(IF(0=LEN(ReferenceData!$V$222),"",ReferenceData!$V$222),"")</f>
        <v>6.6186279089999998</v>
      </c>
      <c r="W222">
        <f ca="1">IFERROR(IF(0=LEN(ReferenceData!$W$222),"",ReferenceData!$W$222),"")</f>
        <v>6.5667641210000003</v>
      </c>
      <c r="X222">
        <f ca="1">IFERROR(IF(0=LEN(ReferenceData!$X$222),"",ReferenceData!$X$222),"")</f>
        <v>6.154345781</v>
      </c>
      <c r="Y222">
        <f ca="1">IFERROR(IF(0=LEN(ReferenceData!$Y$222),"",ReferenceData!$Y$222),"")</f>
        <v>5.9149333869999996</v>
      </c>
      <c r="Z222">
        <f ca="1">IFERROR(IF(0=LEN(ReferenceData!$Z$222),"",ReferenceData!$Z$222),"")</f>
        <v>6.2079352429999997</v>
      </c>
      <c r="AA222">
        <f ca="1">IFERROR(IF(0=LEN(ReferenceData!$AA$222),"",ReferenceData!$AA$222),"")</f>
        <v>5.7144138059999996</v>
      </c>
      <c r="AB222">
        <f ca="1">IFERROR(IF(0=LEN(ReferenceData!$AB$222),"",ReferenceData!$AB$222),"")</f>
        <v>5.7492418369999996</v>
      </c>
      <c r="AC222">
        <f ca="1">IFERROR(IF(0=LEN(ReferenceData!$AC$222),"",ReferenceData!$AC$222),"")</f>
        <v>5.5544158250000004</v>
      </c>
      <c r="AD222">
        <f ca="1">IFERROR(IF(0=LEN(ReferenceData!$AD$222),"",ReferenceData!$AD$222),"")</f>
        <v>5.624871068</v>
      </c>
      <c r="AE222">
        <f ca="1">IFERROR(IF(0=LEN(ReferenceData!$AE$222),"",ReferenceData!$AE$222),"")</f>
        <v>5.4926662940000002</v>
      </c>
      <c r="AF222">
        <f ca="1">IFERROR(IF(0=LEN(ReferenceData!$AF$222),"",ReferenceData!$AF$222),"")</f>
        <v>5.8383539400000002</v>
      </c>
      <c r="AG222">
        <f ca="1">IFERROR(IF(0=LEN(ReferenceData!$AG$222),"",ReferenceData!$AG$222),"")</f>
        <v>5.7118159950000003</v>
      </c>
      <c r="AH222">
        <f ca="1">IFERROR(IF(0=LEN(ReferenceData!$AH$222),"",ReferenceData!$AH$222),"")</f>
        <v>5.778174484</v>
      </c>
      <c r="AI222" t="str">
        <f ca="1">IFERROR(IF(0=LEN(ReferenceData!$AI$222),"",ReferenceData!$AI$222),"")</f>
        <v/>
      </c>
      <c r="AJ222" t="str">
        <f ca="1">IFERROR(IF(0=LEN(ReferenceData!$AJ$222),"",ReferenceData!$AJ$222),"")</f>
        <v/>
      </c>
      <c r="AK222" t="str">
        <f ca="1">IFERROR(IF(0=LEN(ReferenceData!$AK$222),"",ReferenceData!$AK$222),"")</f>
        <v/>
      </c>
      <c r="AL222" t="str">
        <f ca="1">IFERROR(IF(0=LEN(ReferenceData!$AL$222),"",ReferenceData!$AL$222),"")</f>
        <v/>
      </c>
      <c r="AM222" t="str">
        <f ca="1">IFERROR(IF(0=LEN(ReferenceData!$AM$222),"",ReferenceData!$AM$222),"")</f>
        <v/>
      </c>
      <c r="AN222" t="str">
        <f ca="1">IFERROR(IF(0=LEN(ReferenceData!$AN$222),"",ReferenceData!$AN$222),"")</f>
        <v/>
      </c>
      <c r="AO222" t="str">
        <f ca="1">IFERROR(IF(0=LEN(ReferenceData!$AO$222),"",ReferenceData!$AO$222),"")</f>
        <v/>
      </c>
      <c r="AP222" t="str">
        <f ca="1">IFERROR(IF(0=LEN(ReferenceData!$AP$222),"",ReferenceData!$AP$222),"")</f>
        <v/>
      </c>
      <c r="AQ222" t="str">
        <f ca="1">IFERROR(IF(0=LEN(ReferenceData!$AQ$222),"",ReferenceData!$AQ$222),"")</f>
        <v/>
      </c>
      <c r="AR222" t="str">
        <f ca="1">IFERROR(IF(0=LEN(ReferenceData!$AR$222),"",ReferenceData!$AR$222),"")</f>
        <v/>
      </c>
      <c r="AS222" t="str">
        <f ca="1">IFERROR(IF(0=LEN(ReferenceData!$AS$222),"",ReferenceData!$AS$222),"")</f>
        <v/>
      </c>
      <c r="AT222" t="str">
        <f ca="1">IFERROR(IF(0=LEN(ReferenceData!$AT$222),"",ReferenceData!$AT$222),"")</f>
        <v/>
      </c>
      <c r="AU222" t="str">
        <f ca="1">IFERROR(IF(0=LEN(ReferenceData!$AU$222),"",ReferenceData!$AU$222),"")</f>
        <v/>
      </c>
      <c r="AV222" t="str">
        <f ca="1">IFERROR(IF(0=LEN(ReferenceData!$AV$222),"",ReferenceData!$AV$222),"")</f>
        <v/>
      </c>
      <c r="AW222" t="str">
        <f ca="1">IFERROR(IF(0=LEN(ReferenceData!$AW$222),"",ReferenceData!$AW$222),"")</f>
        <v/>
      </c>
      <c r="AX222" t="str">
        <f ca="1">IFERROR(IF(0=LEN(ReferenceData!$AX$222),"",ReferenceData!$AX$222),"")</f>
        <v/>
      </c>
      <c r="AY222" t="str">
        <f ca="1">IFERROR(IF(0=LEN(ReferenceData!$AY$222),"",ReferenceData!$AY$222),"")</f>
        <v/>
      </c>
      <c r="AZ222" t="str">
        <f ca="1">IFERROR(IF(0=LEN(ReferenceData!$AZ$222),"",ReferenceData!$AZ$222),"")</f>
        <v/>
      </c>
      <c r="BA222" t="str">
        <f ca="1">IFERROR(IF(0=LEN(ReferenceData!$BA$222),"",ReferenceData!$BA$222),"")</f>
        <v/>
      </c>
      <c r="BB222" t="str">
        <f ca="1">IFERROR(IF(0=LEN(ReferenceData!$BB$222),"",ReferenceData!$BB$222),"")</f>
        <v/>
      </c>
      <c r="BC222" t="str">
        <f ca="1">IFERROR(IF(0=LEN(ReferenceData!$BC$222),"",ReferenceData!$BC$222),"")</f>
        <v/>
      </c>
      <c r="BD222" t="str">
        <f ca="1">IFERROR(IF(0=LEN(ReferenceData!$BD$222),"",ReferenceData!$BD$222),"")</f>
        <v/>
      </c>
      <c r="BE222" t="str">
        <f ca="1">IFERROR(IF(0=LEN(ReferenceData!$BE$222),"",ReferenceData!$BE$222),"")</f>
        <v/>
      </c>
      <c r="BF222" t="str">
        <f ca="1">IFERROR(IF(0=LEN(ReferenceData!$BF$222),"",ReferenceData!$BF$222),"")</f>
        <v/>
      </c>
      <c r="BG222" t="str">
        <f ca="1">IFERROR(IF(0=LEN(ReferenceData!$BG$222),"",ReferenceData!$BG$222),"")</f>
        <v/>
      </c>
      <c r="BH222" t="str">
        <f ca="1">IFERROR(IF(0=LEN(ReferenceData!$BH$222),"",ReferenceData!$BH$222),"")</f>
        <v/>
      </c>
      <c r="BI222" t="str">
        <f ca="1">IFERROR(IF(0=LEN(ReferenceData!$BI$222),"",ReferenceData!$BI$222),"")</f>
        <v/>
      </c>
      <c r="BJ222" t="str">
        <f ca="1">IFERROR(IF(0=LEN(ReferenceData!$BJ$222),"",ReferenceData!$BJ$222),"")</f>
        <v/>
      </c>
      <c r="BK222" t="str">
        <f ca="1">IFERROR(IF(0=LEN(ReferenceData!$BK$222),"",ReferenceData!$BK$222),"")</f>
        <v/>
      </c>
      <c r="BL222" t="str">
        <f ca="1">IFERROR(IF(0=LEN(ReferenceData!$BL$222),"",ReferenceData!$BL$222),"")</f>
        <v/>
      </c>
      <c r="BM222" t="str">
        <f ca="1">IFERROR(IF(0=LEN(ReferenceData!$BM$222),"",ReferenceData!$BM$222),"")</f>
        <v/>
      </c>
    </row>
    <row r="223" spans="1:65">
      <c r="A223" t="str">
        <f>IFERROR(IF(0=LEN(ReferenceData!$A$223),"",ReferenceData!$A$223),"")</f>
        <v xml:space="preserve">    Simon Property Group Inc</v>
      </c>
      <c r="B223" t="str">
        <f>IFERROR(IF(0=LEN(ReferenceData!$B$223),"",ReferenceData!$B$223),"")</f>
        <v>SPG US Equity</v>
      </c>
      <c r="C223" t="str">
        <f>IFERROR(IF(0=LEN(ReferenceData!$C$223),"",ReferenceData!$C$223),"")</f>
        <v>RX902</v>
      </c>
      <c r="D223" t="str">
        <f>IFERROR(IF(0=LEN(ReferenceData!$D$223),"",ReferenceData!$D$223),"")</f>
        <v>ANN_NOI_GR_AST_NET_RTL_DEV_CTD_%</v>
      </c>
      <c r="E223" t="str">
        <f>IFERROR(IF(0=LEN(ReferenceData!$E$223),"",ReferenceData!$E$223),"")</f>
        <v>动态</v>
      </c>
      <c r="F223" t="str">
        <f ca="1">IFERROR(IF(0=LEN(ReferenceData!$F$223),"",ReferenceData!$F$223),"")</f>
        <v/>
      </c>
      <c r="G223">
        <f ca="1">IFERROR(IF(0=LEN(ReferenceData!$G$223),"",ReferenceData!$G$223),"")</f>
        <v>9.7735354569999995</v>
      </c>
      <c r="H223">
        <f ca="1">IFERROR(IF(0=LEN(ReferenceData!$H$223),"",ReferenceData!$H$223),"")</f>
        <v>9.5479781030000002</v>
      </c>
      <c r="I223">
        <f ca="1">IFERROR(IF(0=LEN(ReferenceData!$I$223),"",ReferenceData!$I$223),"")</f>
        <v>9.5645840349999993</v>
      </c>
      <c r="J223">
        <f ca="1">IFERROR(IF(0=LEN(ReferenceData!$J$223),"",ReferenceData!$J$223),"")</f>
        <v>9.4781147519999998</v>
      </c>
      <c r="K223">
        <f ca="1">IFERROR(IF(0=LEN(ReferenceData!$K$223),"",ReferenceData!$K$223),"")</f>
        <v>9.9518792959999995</v>
      </c>
      <c r="L223">
        <f ca="1">IFERROR(IF(0=LEN(ReferenceData!$L$223),"",ReferenceData!$L$223),"")</f>
        <v>9.4394530519999993</v>
      </c>
      <c r="M223">
        <f ca="1">IFERROR(IF(0=LEN(ReferenceData!$M$223),"",ReferenceData!$M$223),"")</f>
        <v>9.3105066510000007</v>
      </c>
      <c r="N223">
        <f ca="1">IFERROR(IF(0=LEN(ReferenceData!$N$223),"",ReferenceData!$N$223),"")</f>
        <v>9.5692613790000003</v>
      </c>
      <c r="O223">
        <f ca="1">IFERROR(IF(0=LEN(ReferenceData!$O$223),"",ReferenceData!$O$223),"")</f>
        <v>10.08845122</v>
      </c>
      <c r="P223">
        <f ca="1">IFERROR(IF(0=LEN(ReferenceData!$P$223),"",ReferenceData!$P$223),"")</f>
        <v>9.4803216500000005</v>
      </c>
      <c r="Q223">
        <f ca="1">IFERROR(IF(0=LEN(ReferenceData!$Q$223),"",ReferenceData!$Q$223),"")</f>
        <v>10.19011179</v>
      </c>
      <c r="R223">
        <f ca="1">IFERROR(IF(0=LEN(ReferenceData!$R$223),"",ReferenceData!$R$223),"")</f>
        <v>9.0368749039999994</v>
      </c>
      <c r="S223">
        <f ca="1">IFERROR(IF(0=LEN(ReferenceData!$S$223),"",ReferenceData!$S$223),"")</f>
        <v>9.8962602369999999</v>
      </c>
      <c r="T223">
        <f ca="1">IFERROR(IF(0=LEN(ReferenceData!$T$223),"",ReferenceData!$T$223),"")</f>
        <v>9.2878076329999999</v>
      </c>
      <c r="U223">
        <f ca="1">IFERROR(IF(0=LEN(ReferenceData!$U$223),"",ReferenceData!$U$223),"")</f>
        <v>8.6965841509999997</v>
      </c>
      <c r="V223">
        <f ca="1">IFERROR(IF(0=LEN(ReferenceData!$V$223),"",ReferenceData!$V$223),"")</f>
        <v>7.8303229950000004</v>
      </c>
      <c r="W223">
        <f ca="1">IFERROR(IF(0=LEN(ReferenceData!$W$223),"",ReferenceData!$W$223),"")</f>
        <v>8.4113746910000007</v>
      </c>
      <c r="X223">
        <f ca="1">IFERROR(IF(0=LEN(ReferenceData!$X$223),"",ReferenceData!$X$223),"")</f>
        <v>8.8492531949999993</v>
      </c>
      <c r="Y223">
        <f ca="1">IFERROR(IF(0=LEN(ReferenceData!$Y$223),"",ReferenceData!$Y$223),"")</f>
        <v>7.567791036</v>
      </c>
      <c r="Z223">
        <f ca="1">IFERROR(IF(0=LEN(ReferenceData!$Z$223),"",ReferenceData!$Z$223),"")</f>
        <v>8.5129750959999999</v>
      </c>
      <c r="AA223">
        <f ca="1">IFERROR(IF(0=LEN(ReferenceData!$AA$223),"",ReferenceData!$AA$223),"")</f>
        <v>9.2790455000000005</v>
      </c>
      <c r="AB223">
        <f ca="1">IFERROR(IF(0=LEN(ReferenceData!$AB$223),"",ReferenceData!$AB$223),"")</f>
        <v>8.5339314650000002</v>
      </c>
      <c r="AC223">
        <f ca="1">IFERROR(IF(0=LEN(ReferenceData!$AC$223),"",ReferenceData!$AC$223),"")</f>
        <v>8.2003956670000004</v>
      </c>
      <c r="AD223">
        <f ca="1">IFERROR(IF(0=LEN(ReferenceData!$AD$223),"",ReferenceData!$AD$223),"")</f>
        <v>7.846643684</v>
      </c>
      <c r="AE223">
        <f ca="1">IFERROR(IF(0=LEN(ReferenceData!$AE$223),"",ReferenceData!$AE$223),"")</f>
        <v>9.4378907959999996</v>
      </c>
      <c r="AF223">
        <f ca="1">IFERROR(IF(0=LEN(ReferenceData!$AF$223),"",ReferenceData!$AF$223),"")</f>
        <v>8.8274069399999995</v>
      </c>
      <c r="AG223">
        <f ca="1">IFERROR(IF(0=LEN(ReferenceData!$AG$223),"",ReferenceData!$AG$223),"")</f>
        <v>8.9522385359999994</v>
      </c>
      <c r="AH223">
        <f ca="1">IFERROR(IF(0=LEN(ReferenceData!$AH$223),"",ReferenceData!$AH$223),"")</f>
        <v>8.8554732919999992</v>
      </c>
      <c r="AI223">
        <f ca="1">IFERROR(IF(0=LEN(ReferenceData!$AI$223),"",ReferenceData!$AI$223),"")</f>
        <v>9.5967146299999992</v>
      </c>
      <c r="AJ223">
        <f ca="1">IFERROR(IF(0=LEN(ReferenceData!$AJ$223),"",ReferenceData!$AJ$223),"")</f>
        <v>7.9569552889999997</v>
      </c>
      <c r="AK223">
        <f ca="1">IFERROR(IF(0=LEN(ReferenceData!$AK$223),"",ReferenceData!$AK$223),"")</f>
        <v>8.337506694</v>
      </c>
      <c r="AL223">
        <f ca="1">IFERROR(IF(0=LEN(ReferenceData!$AL$223),"",ReferenceData!$AL$223),"")</f>
        <v>8.1967569109999996</v>
      </c>
      <c r="AM223">
        <f ca="1">IFERROR(IF(0=LEN(ReferenceData!$AM$223),"",ReferenceData!$AM$223),"")</f>
        <v>8.7628486809999995</v>
      </c>
      <c r="AN223">
        <f ca="1">IFERROR(IF(0=LEN(ReferenceData!$AN$223),"",ReferenceData!$AN$223),"")</f>
        <v>7.8298291359999999</v>
      </c>
      <c r="AO223">
        <f ca="1">IFERROR(IF(0=LEN(ReferenceData!$AO$223),"",ReferenceData!$AO$223),"")</f>
        <v>7.8226503569999997</v>
      </c>
      <c r="AP223">
        <f ca="1">IFERROR(IF(0=LEN(ReferenceData!$AP$223),"",ReferenceData!$AP$223),"")</f>
        <v>8.385048823</v>
      </c>
      <c r="AQ223">
        <f ca="1">IFERROR(IF(0=LEN(ReferenceData!$AQ$223),"",ReferenceData!$AQ$223),"")</f>
        <v>9.6888041680000008</v>
      </c>
      <c r="AR223">
        <f ca="1">IFERROR(IF(0=LEN(ReferenceData!$AR$223),"",ReferenceData!$AR$223),"")</f>
        <v>8.3970914519999997</v>
      </c>
      <c r="AS223">
        <f ca="1">IFERROR(IF(0=LEN(ReferenceData!$AS$223),"",ReferenceData!$AS$223),"")</f>
        <v>8.4144670529999992</v>
      </c>
      <c r="AT223">
        <f ca="1">IFERROR(IF(0=LEN(ReferenceData!$AT$223),"",ReferenceData!$AT$223),"")</f>
        <v>8.0562220539999991</v>
      </c>
      <c r="AU223">
        <f ca="1">IFERROR(IF(0=LEN(ReferenceData!$AU$223),"",ReferenceData!$AU$223),"")</f>
        <v>9.9020823930000006</v>
      </c>
      <c r="AV223">
        <f ca="1">IFERROR(IF(0=LEN(ReferenceData!$AV$223),"",ReferenceData!$AV$223),"")</f>
        <v>8.4859488800000005</v>
      </c>
      <c r="AW223">
        <f ca="1">IFERROR(IF(0=LEN(ReferenceData!$AW$223),"",ReferenceData!$AW$223),"")</f>
        <v>8.1688062420000005</v>
      </c>
      <c r="AX223">
        <f ca="1">IFERROR(IF(0=LEN(ReferenceData!$AX$223),"",ReferenceData!$AX$223),"")</f>
        <v>7.9546944860000002</v>
      </c>
      <c r="AY223">
        <f ca="1">IFERROR(IF(0=LEN(ReferenceData!$AY$223),"",ReferenceData!$AY$223),"")</f>
        <v>9.3009287040000004</v>
      </c>
      <c r="AZ223">
        <f ca="1">IFERROR(IF(0=LEN(ReferenceData!$AZ$223),"",ReferenceData!$AZ$223),"")</f>
        <v>8.5514405720000006</v>
      </c>
      <c r="BA223">
        <f ca="1">IFERROR(IF(0=LEN(ReferenceData!$BA$223),"",ReferenceData!$BA$223),"")</f>
        <v>8.4369802099999998</v>
      </c>
      <c r="BB223">
        <f ca="1">IFERROR(IF(0=LEN(ReferenceData!$BB$223),"",ReferenceData!$BB$223),"")</f>
        <v>8.2307688480000003</v>
      </c>
      <c r="BC223" t="str">
        <f ca="1">IFERROR(IF(0=LEN(ReferenceData!$BC$223),"",ReferenceData!$BC$223),"")</f>
        <v/>
      </c>
      <c r="BD223" t="str">
        <f ca="1">IFERROR(IF(0=LEN(ReferenceData!$BD$223),"",ReferenceData!$BD$223),"")</f>
        <v/>
      </c>
      <c r="BE223" t="str">
        <f ca="1">IFERROR(IF(0=LEN(ReferenceData!$BE$223),"",ReferenceData!$BE$223),"")</f>
        <v/>
      </c>
      <c r="BF223" t="str">
        <f ca="1">IFERROR(IF(0=LEN(ReferenceData!$BF$223),"",ReferenceData!$BF$223),"")</f>
        <v/>
      </c>
      <c r="BG223" t="str">
        <f ca="1">IFERROR(IF(0=LEN(ReferenceData!$BG$223),"",ReferenceData!$BG$223),"")</f>
        <v/>
      </c>
      <c r="BH223" t="str">
        <f ca="1">IFERROR(IF(0=LEN(ReferenceData!$BH$223),"",ReferenceData!$BH$223),"")</f>
        <v/>
      </c>
      <c r="BI223" t="str">
        <f ca="1">IFERROR(IF(0=LEN(ReferenceData!$BI$223),"",ReferenceData!$BI$223),"")</f>
        <v/>
      </c>
      <c r="BJ223" t="str">
        <f ca="1">IFERROR(IF(0=LEN(ReferenceData!$BJ$223),"",ReferenceData!$BJ$223),"")</f>
        <v/>
      </c>
      <c r="BK223" t="str">
        <f ca="1">IFERROR(IF(0=LEN(ReferenceData!$BK$223),"",ReferenceData!$BK$223),"")</f>
        <v/>
      </c>
      <c r="BL223" t="str">
        <f ca="1">IFERROR(IF(0=LEN(ReferenceData!$BL$223),"",ReferenceData!$BL$223),"")</f>
        <v/>
      </c>
      <c r="BM223" t="str">
        <f ca="1">IFERROR(IF(0=LEN(ReferenceData!$BM$223),"",ReferenceData!$BM$223),"")</f>
        <v/>
      </c>
    </row>
    <row r="224" spans="1:65">
      <c r="A224" t="str">
        <f>IFERROR(IF(0=LEN(ReferenceData!$A$224),"",ReferenceData!$A$224),"")</f>
        <v xml:space="preserve">    Tanger Factory Outlet Centers</v>
      </c>
      <c r="B224" t="str">
        <f>IFERROR(IF(0=LEN(ReferenceData!$B$224),"",ReferenceData!$B$224),"")</f>
        <v>SKT US Equity</v>
      </c>
      <c r="C224" t="str">
        <f>IFERROR(IF(0=LEN(ReferenceData!$C$224),"",ReferenceData!$C$224),"")</f>
        <v>RX902</v>
      </c>
      <c r="D224" t="str">
        <f>IFERROR(IF(0=LEN(ReferenceData!$D$224),"",ReferenceData!$D$224),"")</f>
        <v>ANN_NOI_GR_AST_NET_RTL_DEV_CTD_%</v>
      </c>
      <c r="E224" t="str">
        <f>IFERROR(IF(0=LEN(ReferenceData!$E$224),"",ReferenceData!$E$224),"")</f>
        <v>动态</v>
      </c>
      <c r="F224" t="str">
        <f ca="1">IFERROR(IF(0=LEN(ReferenceData!$F$224),"",ReferenceData!$F$224),"")</f>
        <v/>
      </c>
      <c r="G224">
        <f ca="1">IFERROR(IF(0=LEN(ReferenceData!$G$224),"",ReferenceData!$G$224),"")</f>
        <v>9.9587690210000002</v>
      </c>
      <c r="H224">
        <f ca="1">IFERROR(IF(0=LEN(ReferenceData!$H$224),"",ReferenceData!$H$224),"")</f>
        <v>9.8384505420000004</v>
      </c>
      <c r="I224">
        <f ca="1">IFERROR(IF(0=LEN(ReferenceData!$I$224),"",ReferenceData!$I$224),"")</f>
        <v>9.618758863</v>
      </c>
      <c r="J224">
        <f ca="1">IFERROR(IF(0=LEN(ReferenceData!$J$224),"",ReferenceData!$J$224),"")</f>
        <v>9.4337116390000002</v>
      </c>
      <c r="K224">
        <f ca="1">IFERROR(IF(0=LEN(ReferenceData!$K$224),"",ReferenceData!$K$224),"")</f>
        <v>9.9315706489999993</v>
      </c>
      <c r="L224">
        <f ca="1">IFERROR(IF(0=LEN(ReferenceData!$L$224),"",ReferenceData!$L$224),"")</f>
        <v>9.9613137179999995</v>
      </c>
      <c r="M224">
        <f ca="1">IFERROR(IF(0=LEN(ReferenceData!$M$224),"",ReferenceData!$M$224),"")</f>
        <v>9.8249597949999998</v>
      </c>
      <c r="N224">
        <f ca="1">IFERROR(IF(0=LEN(ReferenceData!$N$224),"",ReferenceData!$N$224),"")</f>
        <v>10.22290548</v>
      </c>
      <c r="O224">
        <f ca="1">IFERROR(IF(0=LEN(ReferenceData!$O$224),"",ReferenceData!$O$224),"")</f>
        <v>10.00463529</v>
      </c>
      <c r="P224">
        <f ca="1">IFERROR(IF(0=LEN(ReferenceData!$P$224),"",ReferenceData!$P$224),"")</f>
        <v>10.60687804</v>
      </c>
      <c r="Q224">
        <f ca="1">IFERROR(IF(0=LEN(ReferenceData!$Q$224),"",ReferenceData!$Q$224),"")</f>
        <v>10.399174670000001</v>
      </c>
      <c r="R224">
        <f ca="1">IFERROR(IF(0=LEN(ReferenceData!$R$224),"",ReferenceData!$R$224),"")</f>
        <v>10.56167664</v>
      </c>
      <c r="S224">
        <f ca="1">IFERROR(IF(0=LEN(ReferenceData!$S$224),"",ReferenceData!$S$224),"")</f>
        <v>10.638951609999999</v>
      </c>
      <c r="T224">
        <f ca="1">IFERROR(IF(0=LEN(ReferenceData!$T$224),"",ReferenceData!$T$224),"")</f>
        <v>10.165019559999999</v>
      </c>
      <c r="U224">
        <f ca="1">IFERROR(IF(0=LEN(ReferenceData!$U$224),"",ReferenceData!$U$224),"")</f>
        <v>9.9490027919999999</v>
      </c>
      <c r="V224">
        <f ca="1">IFERROR(IF(0=LEN(ReferenceData!$V$224),"",ReferenceData!$V$224),"")</f>
        <v>9.8834067440000002</v>
      </c>
      <c r="W224">
        <f ca="1">IFERROR(IF(0=LEN(ReferenceData!$W$224),"",ReferenceData!$W$224),"")</f>
        <v>10.987690369999999</v>
      </c>
      <c r="X224">
        <f ca="1">IFERROR(IF(0=LEN(ReferenceData!$X$224),"",ReferenceData!$X$224),"")</f>
        <v>10.31691457</v>
      </c>
      <c r="Y224">
        <f ca="1">IFERROR(IF(0=LEN(ReferenceData!$Y$224),"",ReferenceData!$Y$224),"")</f>
        <v>11.29271248</v>
      </c>
      <c r="Z224">
        <f ca="1">IFERROR(IF(0=LEN(ReferenceData!$Z$224),"",ReferenceData!$Z$224),"")</f>
        <v>10.4616984</v>
      </c>
      <c r="AA224">
        <f ca="1">IFERROR(IF(0=LEN(ReferenceData!$AA$224),"",ReferenceData!$AA$224),"")</f>
        <v>11.576457810000001</v>
      </c>
      <c r="AB224">
        <f ca="1">IFERROR(IF(0=LEN(ReferenceData!$AB$224),"",ReferenceData!$AB$224),"")</f>
        <v>11.40750781</v>
      </c>
      <c r="AC224">
        <f ca="1">IFERROR(IF(0=LEN(ReferenceData!$AC$224),"",ReferenceData!$AC$224),"")</f>
        <v>10.886660320000001</v>
      </c>
      <c r="AD224">
        <f ca="1">IFERROR(IF(0=LEN(ReferenceData!$AD$224),"",ReferenceData!$AD$224),"")</f>
        <v>10.95101829</v>
      </c>
      <c r="AE224">
        <f ca="1">IFERROR(IF(0=LEN(ReferenceData!$AE$224),"",ReferenceData!$AE$224),"")</f>
        <v>11.609989219999999</v>
      </c>
      <c r="AF224">
        <f ca="1">IFERROR(IF(0=LEN(ReferenceData!$AF$224),"",ReferenceData!$AF$224),"")</f>
        <v>11.14322563</v>
      </c>
      <c r="AG224">
        <f ca="1">IFERROR(IF(0=LEN(ReferenceData!$AG$224),"",ReferenceData!$AG$224),"")</f>
        <v>10.48406851</v>
      </c>
      <c r="AH224">
        <f ca="1">IFERROR(IF(0=LEN(ReferenceData!$AH$224),"",ReferenceData!$AH$224),"")</f>
        <v>11.09193153</v>
      </c>
      <c r="AI224">
        <f ca="1">IFERROR(IF(0=LEN(ReferenceData!$AI$224),"",ReferenceData!$AI$224),"")</f>
        <v>11.547956709999999</v>
      </c>
      <c r="AJ224">
        <f ca="1">IFERROR(IF(0=LEN(ReferenceData!$AJ$224),"",ReferenceData!$AJ$224),"")</f>
        <v>11.28765168</v>
      </c>
      <c r="AK224">
        <f ca="1">IFERROR(IF(0=LEN(ReferenceData!$AK$224),"",ReferenceData!$AK$224),"")</f>
        <v>10.853028220000001</v>
      </c>
      <c r="AL224">
        <f ca="1">IFERROR(IF(0=LEN(ReferenceData!$AL$224),"",ReferenceData!$AL$224),"")</f>
        <v>10.932680319999999</v>
      </c>
      <c r="AM224">
        <f ca="1">IFERROR(IF(0=LEN(ReferenceData!$AM$224),"",ReferenceData!$AM$224),"")</f>
        <v>11.62756356</v>
      </c>
      <c r="AN224">
        <f ca="1">IFERROR(IF(0=LEN(ReferenceData!$AN$224),"",ReferenceData!$AN$224),"")</f>
        <v>11.45176126</v>
      </c>
      <c r="AO224">
        <f ca="1">IFERROR(IF(0=LEN(ReferenceData!$AO$224),"",ReferenceData!$AO$224),"")</f>
        <v>11.100375339999999</v>
      </c>
      <c r="AP224">
        <f ca="1">IFERROR(IF(0=LEN(ReferenceData!$AP$224),"",ReferenceData!$AP$224),"")</f>
        <v>10.91985373</v>
      </c>
      <c r="AQ224">
        <f ca="1">IFERROR(IF(0=LEN(ReferenceData!$AQ$224),"",ReferenceData!$AQ$224),"")</f>
        <v>12.68956405</v>
      </c>
      <c r="AR224">
        <f ca="1">IFERROR(IF(0=LEN(ReferenceData!$AR$224),"",ReferenceData!$AR$224),"")</f>
        <v>12.2467425</v>
      </c>
      <c r="AS224">
        <f ca="1">IFERROR(IF(0=LEN(ReferenceData!$AS$224),"",ReferenceData!$AS$224),"")</f>
        <v>12.324543930000001</v>
      </c>
      <c r="AT224">
        <f ca="1">IFERROR(IF(0=LEN(ReferenceData!$AT$224),"",ReferenceData!$AT$224),"")</f>
        <v>11.74641482</v>
      </c>
      <c r="AU224">
        <f ca="1">IFERROR(IF(0=LEN(ReferenceData!$AU$224),"",ReferenceData!$AU$224),"")</f>
        <v>12.78216072</v>
      </c>
      <c r="AV224">
        <f ca="1">IFERROR(IF(0=LEN(ReferenceData!$AV$224),"",ReferenceData!$AV$224),"")</f>
        <v>12.21449702</v>
      </c>
      <c r="AW224">
        <f ca="1">IFERROR(IF(0=LEN(ReferenceData!$AW$224),"",ReferenceData!$AW$224),"")</f>
        <v>11.706771399999999</v>
      </c>
      <c r="AX224">
        <f ca="1">IFERROR(IF(0=LEN(ReferenceData!$AX$224),"",ReferenceData!$AX$224),"")</f>
        <v>11.291063449999999</v>
      </c>
      <c r="AY224">
        <f ca="1">IFERROR(IF(0=LEN(ReferenceData!$AY$224),"",ReferenceData!$AY$224),"")</f>
        <v>11.264694</v>
      </c>
      <c r="AZ224">
        <f ca="1">IFERROR(IF(0=LEN(ReferenceData!$AZ$224),"",ReferenceData!$AZ$224),"")</f>
        <v>10.972927800000001</v>
      </c>
      <c r="BA224">
        <f ca="1">IFERROR(IF(0=LEN(ReferenceData!$BA$224),"",ReferenceData!$BA$224),"")</f>
        <v>11.23449331</v>
      </c>
      <c r="BB224">
        <f ca="1">IFERROR(IF(0=LEN(ReferenceData!$BB$224),"",ReferenceData!$BB$224),"")</f>
        <v>10.723654290000001</v>
      </c>
      <c r="BC224" t="str">
        <f ca="1">IFERROR(IF(0=LEN(ReferenceData!$BC$224),"",ReferenceData!$BC$224),"")</f>
        <v/>
      </c>
      <c r="BD224" t="str">
        <f ca="1">IFERROR(IF(0=LEN(ReferenceData!$BD$224),"",ReferenceData!$BD$224),"")</f>
        <v/>
      </c>
      <c r="BE224" t="str">
        <f ca="1">IFERROR(IF(0=LEN(ReferenceData!$BE$224),"",ReferenceData!$BE$224),"")</f>
        <v/>
      </c>
      <c r="BF224" t="str">
        <f ca="1">IFERROR(IF(0=LEN(ReferenceData!$BF$224),"",ReferenceData!$BF$224),"")</f>
        <v/>
      </c>
      <c r="BG224" t="str">
        <f ca="1">IFERROR(IF(0=LEN(ReferenceData!$BG$224),"",ReferenceData!$BG$224),"")</f>
        <v/>
      </c>
      <c r="BH224" t="str">
        <f ca="1">IFERROR(IF(0=LEN(ReferenceData!$BH$224),"",ReferenceData!$BH$224),"")</f>
        <v/>
      </c>
      <c r="BI224" t="str">
        <f ca="1">IFERROR(IF(0=LEN(ReferenceData!$BI$224),"",ReferenceData!$BI$224),"")</f>
        <v/>
      </c>
      <c r="BJ224" t="str">
        <f ca="1">IFERROR(IF(0=LEN(ReferenceData!$BJ$224),"",ReferenceData!$BJ$224),"")</f>
        <v/>
      </c>
      <c r="BK224" t="str">
        <f ca="1">IFERROR(IF(0=LEN(ReferenceData!$BK$224),"",ReferenceData!$BK$224),"")</f>
        <v/>
      </c>
      <c r="BL224" t="str">
        <f ca="1">IFERROR(IF(0=LEN(ReferenceData!$BL$224),"",ReferenceData!$BL$224),"")</f>
        <v/>
      </c>
      <c r="BM224" t="str">
        <f ca="1">IFERROR(IF(0=LEN(ReferenceData!$BM$224),"",ReferenceData!$BM$224),"")</f>
        <v/>
      </c>
    </row>
    <row r="225" spans="1:65">
      <c r="A225" t="str">
        <f>IFERROR(IF(0=LEN(ReferenceData!$A$225),"",ReferenceData!$A$225),"")</f>
        <v xml:space="preserve">    VEREIT Inc</v>
      </c>
      <c r="B225" t="str">
        <f>IFERROR(IF(0=LEN(ReferenceData!$B$225),"",ReferenceData!$B$225),"")</f>
        <v>VER US Equity</v>
      </c>
      <c r="C225" t="str">
        <f>IFERROR(IF(0=LEN(ReferenceData!$C$225),"",ReferenceData!$C$225),"")</f>
        <v>RX902</v>
      </c>
      <c r="D225" t="str">
        <f>IFERROR(IF(0=LEN(ReferenceData!$D$225),"",ReferenceData!$D$225),"")</f>
        <v>ANN_NOI_GR_AST_NET_RTL_DEV_CTD_%</v>
      </c>
      <c r="E225" t="str">
        <f>IFERROR(IF(0=LEN(ReferenceData!$E$225),"",ReferenceData!$E$225),"")</f>
        <v>动态</v>
      </c>
      <c r="F225" t="str">
        <f ca="1">IFERROR(IF(0=LEN(ReferenceData!$F$225),"",ReferenceData!$F$225),"")</f>
        <v/>
      </c>
      <c r="G225" t="str">
        <f ca="1">IFERROR(IF(0=LEN(ReferenceData!$G$225),"",ReferenceData!$G$225),"")</f>
        <v/>
      </c>
      <c r="H225" t="str">
        <f ca="1">IFERROR(IF(0=LEN(ReferenceData!$H$225),"",ReferenceData!$H$225),"")</f>
        <v/>
      </c>
      <c r="I225" t="str">
        <f ca="1">IFERROR(IF(0=LEN(ReferenceData!$I$225),"",ReferenceData!$I$225),"")</f>
        <v/>
      </c>
      <c r="J225" t="str">
        <f ca="1">IFERROR(IF(0=LEN(ReferenceData!$J$225),"",ReferenceData!$J$225),"")</f>
        <v/>
      </c>
      <c r="K225" t="str">
        <f ca="1">IFERROR(IF(0=LEN(ReferenceData!$K$225),"",ReferenceData!$K$225),"")</f>
        <v/>
      </c>
      <c r="L225" t="str">
        <f ca="1">IFERROR(IF(0=LEN(ReferenceData!$L$225),"",ReferenceData!$L$225),"")</f>
        <v/>
      </c>
      <c r="M225" t="str">
        <f ca="1">IFERROR(IF(0=LEN(ReferenceData!$M$225),"",ReferenceData!$M$225),"")</f>
        <v/>
      </c>
      <c r="N225" t="str">
        <f ca="1">IFERROR(IF(0=LEN(ReferenceData!$N$225),"",ReferenceData!$N$225),"")</f>
        <v/>
      </c>
      <c r="O225" t="str">
        <f ca="1">IFERROR(IF(0=LEN(ReferenceData!$O$225),"",ReferenceData!$O$225),"")</f>
        <v/>
      </c>
      <c r="P225" t="str">
        <f ca="1">IFERROR(IF(0=LEN(ReferenceData!$P$225),"",ReferenceData!$P$225),"")</f>
        <v/>
      </c>
      <c r="Q225" t="str">
        <f ca="1">IFERROR(IF(0=LEN(ReferenceData!$Q$225),"",ReferenceData!$Q$225),"")</f>
        <v/>
      </c>
      <c r="R225" t="str">
        <f ca="1">IFERROR(IF(0=LEN(ReferenceData!$R$225),"",ReferenceData!$R$225),"")</f>
        <v/>
      </c>
      <c r="S225" t="str">
        <f ca="1">IFERROR(IF(0=LEN(ReferenceData!$S$225),"",ReferenceData!$S$225),"")</f>
        <v/>
      </c>
      <c r="T225" t="str">
        <f ca="1">IFERROR(IF(0=LEN(ReferenceData!$T$225),"",ReferenceData!$T$225),"")</f>
        <v/>
      </c>
      <c r="U225" t="str">
        <f ca="1">IFERROR(IF(0=LEN(ReferenceData!$U$225),"",ReferenceData!$U$225),"")</f>
        <v/>
      </c>
      <c r="V225" t="str">
        <f ca="1">IFERROR(IF(0=LEN(ReferenceData!$V$225),"",ReferenceData!$V$225),"")</f>
        <v/>
      </c>
      <c r="W225" t="str">
        <f ca="1">IFERROR(IF(0=LEN(ReferenceData!$W$225),"",ReferenceData!$W$225),"")</f>
        <v/>
      </c>
      <c r="X225" t="str">
        <f ca="1">IFERROR(IF(0=LEN(ReferenceData!$X$225),"",ReferenceData!$X$225),"")</f>
        <v/>
      </c>
      <c r="Y225" t="str">
        <f ca="1">IFERROR(IF(0=LEN(ReferenceData!$Y$225),"",ReferenceData!$Y$225),"")</f>
        <v/>
      </c>
      <c r="Z225" t="str">
        <f ca="1">IFERROR(IF(0=LEN(ReferenceData!$Z$225),"",ReferenceData!$Z$225),"")</f>
        <v/>
      </c>
      <c r="AA225" t="str">
        <f ca="1">IFERROR(IF(0=LEN(ReferenceData!$AA$225),"",ReferenceData!$AA$225),"")</f>
        <v/>
      </c>
      <c r="AB225" t="str">
        <f ca="1">IFERROR(IF(0=LEN(ReferenceData!$AB$225),"",ReferenceData!$AB$225),"")</f>
        <v/>
      </c>
      <c r="AC225" t="str">
        <f ca="1">IFERROR(IF(0=LEN(ReferenceData!$AC$225),"",ReferenceData!$AC$225),"")</f>
        <v/>
      </c>
      <c r="AD225" t="str">
        <f ca="1">IFERROR(IF(0=LEN(ReferenceData!$AD$225),"",ReferenceData!$AD$225),"")</f>
        <v/>
      </c>
      <c r="AE225" t="str">
        <f ca="1">IFERROR(IF(0=LEN(ReferenceData!$AE$225),"",ReferenceData!$AE$225),"")</f>
        <v/>
      </c>
      <c r="AF225" t="str">
        <f ca="1">IFERROR(IF(0=LEN(ReferenceData!$AF$225),"",ReferenceData!$AF$225),"")</f>
        <v/>
      </c>
      <c r="AG225" t="str">
        <f ca="1">IFERROR(IF(0=LEN(ReferenceData!$AG$225),"",ReferenceData!$AG$225),"")</f>
        <v/>
      </c>
      <c r="AH225" t="str">
        <f ca="1">IFERROR(IF(0=LEN(ReferenceData!$AH$225),"",ReferenceData!$AH$225),"")</f>
        <v/>
      </c>
      <c r="AI225" t="str">
        <f ca="1">IFERROR(IF(0=LEN(ReferenceData!$AI$225),"",ReferenceData!$AI$225),"")</f>
        <v/>
      </c>
      <c r="AJ225" t="str">
        <f ca="1">IFERROR(IF(0=LEN(ReferenceData!$AJ$225),"",ReferenceData!$AJ$225),"")</f>
        <v/>
      </c>
      <c r="AK225" t="str">
        <f ca="1">IFERROR(IF(0=LEN(ReferenceData!$AK$225),"",ReferenceData!$AK$225),"")</f>
        <v/>
      </c>
      <c r="AL225" t="str">
        <f ca="1">IFERROR(IF(0=LEN(ReferenceData!$AL$225),"",ReferenceData!$AL$225),"")</f>
        <v/>
      </c>
      <c r="AM225" t="str">
        <f ca="1">IFERROR(IF(0=LEN(ReferenceData!$AM$225),"",ReferenceData!$AM$225),"")</f>
        <v/>
      </c>
      <c r="AN225" t="str">
        <f ca="1">IFERROR(IF(0=LEN(ReferenceData!$AN$225),"",ReferenceData!$AN$225),"")</f>
        <v/>
      </c>
      <c r="AO225" t="str">
        <f ca="1">IFERROR(IF(0=LEN(ReferenceData!$AO$225),"",ReferenceData!$AO$225),"")</f>
        <v/>
      </c>
      <c r="AP225" t="str">
        <f ca="1">IFERROR(IF(0=LEN(ReferenceData!$AP$225),"",ReferenceData!$AP$225),"")</f>
        <v/>
      </c>
      <c r="AQ225" t="str">
        <f ca="1">IFERROR(IF(0=LEN(ReferenceData!$AQ$225),"",ReferenceData!$AQ$225),"")</f>
        <v/>
      </c>
      <c r="AR225" t="str">
        <f ca="1">IFERROR(IF(0=LEN(ReferenceData!$AR$225),"",ReferenceData!$AR$225),"")</f>
        <v/>
      </c>
      <c r="AS225" t="str">
        <f ca="1">IFERROR(IF(0=LEN(ReferenceData!$AS$225),"",ReferenceData!$AS$225),"")</f>
        <v/>
      </c>
      <c r="AT225" t="str">
        <f ca="1">IFERROR(IF(0=LEN(ReferenceData!$AT$225),"",ReferenceData!$AT$225),"")</f>
        <v/>
      </c>
      <c r="AU225" t="str">
        <f ca="1">IFERROR(IF(0=LEN(ReferenceData!$AU$225),"",ReferenceData!$AU$225),"")</f>
        <v/>
      </c>
      <c r="AV225" t="str">
        <f ca="1">IFERROR(IF(0=LEN(ReferenceData!$AV$225),"",ReferenceData!$AV$225),"")</f>
        <v/>
      </c>
      <c r="AW225" t="str">
        <f ca="1">IFERROR(IF(0=LEN(ReferenceData!$AW$225),"",ReferenceData!$AW$225),"")</f>
        <v/>
      </c>
      <c r="AX225" t="str">
        <f ca="1">IFERROR(IF(0=LEN(ReferenceData!$AX$225),"",ReferenceData!$AX$225),"")</f>
        <v/>
      </c>
      <c r="AY225" t="str">
        <f ca="1">IFERROR(IF(0=LEN(ReferenceData!$AY$225),"",ReferenceData!$AY$225),"")</f>
        <v/>
      </c>
      <c r="AZ225" t="str">
        <f ca="1">IFERROR(IF(0=LEN(ReferenceData!$AZ$225),"",ReferenceData!$AZ$225),"")</f>
        <v/>
      </c>
      <c r="BA225" t="str">
        <f ca="1">IFERROR(IF(0=LEN(ReferenceData!$BA$225),"",ReferenceData!$BA$225),"")</f>
        <v/>
      </c>
      <c r="BB225" t="str">
        <f ca="1">IFERROR(IF(0=LEN(ReferenceData!$BB$225),"",ReferenceData!$BB$225),"")</f>
        <v/>
      </c>
      <c r="BC225" t="str">
        <f ca="1">IFERROR(IF(0=LEN(ReferenceData!$BC$225),"",ReferenceData!$BC$225),"")</f>
        <v/>
      </c>
      <c r="BD225" t="str">
        <f ca="1">IFERROR(IF(0=LEN(ReferenceData!$BD$225),"",ReferenceData!$BD$225),"")</f>
        <v/>
      </c>
      <c r="BE225" t="str">
        <f ca="1">IFERROR(IF(0=LEN(ReferenceData!$BE$225),"",ReferenceData!$BE$225),"")</f>
        <v/>
      </c>
      <c r="BF225" t="str">
        <f ca="1">IFERROR(IF(0=LEN(ReferenceData!$BF$225),"",ReferenceData!$BF$225),"")</f>
        <v/>
      </c>
      <c r="BG225" t="str">
        <f ca="1">IFERROR(IF(0=LEN(ReferenceData!$BG$225),"",ReferenceData!$BG$225),"")</f>
        <v/>
      </c>
      <c r="BH225" t="str">
        <f ca="1">IFERROR(IF(0=LEN(ReferenceData!$BH$225),"",ReferenceData!$BH$225),"")</f>
        <v/>
      </c>
      <c r="BI225" t="str">
        <f ca="1">IFERROR(IF(0=LEN(ReferenceData!$BI$225),"",ReferenceData!$BI$225),"")</f>
        <v/>
      </c>
      <c r="BJ225" t="str">
        <f ca="1">IFERROR(IF(0=LEN(ReferenceData!$BJ$225),"",ReferenceData!$BJ$225),"")</f>
        <v/>
      </c>
      <c r="BK225" t="str">
        <f ca="1">IFERROR(IF(0=LEN(ReferenceData!$BK$225),"",ReferenceData!$BK$225),"")</f>
        <v/>
      </c>
      <c r="BL225" t="str">
        <f ca="1">IFERROR(IF(0=LEN(ReferenceData!$BL$225),"",ReferenceData!$BL$225),"")</f>
        <v/>
      </c>
      <c r="BM225" t="str">
        <f ca="1">IFERROR(IF(0=LEN(ReferenceData!$BM$225),"",ReferenceData!$BM$225),"")</f>
        <v/>
      </c>
    </row>
    <row r="226" spans="1:65">
      <c r="A226" t="str">
        <f>IFERROR(IF(0=LEN(ReferenceData!$A$226),"",ReferenceData!$A$226),"")</f>
        <v xml:space="preserve">    Washington Prime Group Inc</v>
      </c>
      <c r="B226" t="str">
        <f>IFERROR(IF(0=LEN(ReferenceData!$B$226),"",ReferenceData!$B$226),"")</f>
        <v>WPG US Equity</v>
      </c>
      <c r="C226" t="str">
        <f>IFERROR(IF(0=LEN(ReferenceData!$C$226),"",ReferenceData!$C$226),"")</f>
        <v>RX902</v>
      </c>
      <c r="D226" t="str">
        <f>IFERROR(IF(0=LEN(ReferenceData!$D$226),"",ReferenceData!$D$226),"")</f>
        <v>ANN_NOI_GR_AST_NET_RTL_DEV_CTD_%</v>
      </c>
      <c r="E226" t="str">
        <f>IFERROR(IF(0=LEN(ReferenceData!$E$226),"",ReferenceData!$E$226),"")</f>
        <v>动态</v>
      </c>
      <c r="F226" t="str">
        <f ca="1">IFERROR(IF(0=LEN(ReferenceData!$F$226),"",ReferenceData!$F$226),"")</f>
        <v/>
      </c>
      <c r="G226">
        <f ca="1">IFERROR(IF(0=LEN(ReferenceData!$G$226),"",ReferenceData!$G$226),"")</f>
        <v>8.5968393089999999</v>
      </c>
      <c r="H226">
        <f ca="1">IFERROR(IF(0=LEN(ReferenceData!$H$226),"",ReferenceData!$H$226),"")</f>
        <v>7.9294078060000004</v>
      </c>
      <c r="I226">
        <f ca="1">IFERROR(IF(0=LEN(ReferenceData!$I$226),"",ReferenceData!$I$226),"")</f>
        <v>7.9943908629999996</v>
      </c>
      <c r="J226">
        <f ca="1">IFERROR(IF(0=LEN(ReferenceData!$J$226),"",ReferenceData!$J$226),"")</f>
        <v>7.7687036210000002</v>
      </c>
      <c r="K226">
        <f ca="1">IFERROR(IF(0=LEN(ReferenceData!$K$226),"",ReferenceData!$K$226),"")</f>
        <v>8.2484767019999996</v>
      </c>
      <c r="L226">
        <f ca="1">IFERROR(IF(0=LEN(ReferenceData!$L$226),"",ReferenceData!$L$226),"")</f>
        <v>7.6146868989999996</v>
      </c>
      <c r="M226">
        <f ca="1">IFERROR(IF(0=LEN(ReferenceData!$M$226),"",ReferenceData!$M$226),"")</f>
        <v>7.6307362569999997</v>
      </c>
      <c r="N226">
        <f ca="1">IFERROR(IF(0=LEN(ReferenceData!$N$226),"",ReferenceData!$N$226),"")</f>
        <v>7.6702156180000003</v>
      </c>
      <c r="O226">
        <f ca="1">IFERROR(IF(0=LEN(ReferenceData!$O$226),"",ReferenceData!$O$226),"")</f>
        <v>8.0633318500000009</v>
      </c>
      <c r="P226">
        <f ca="1">IFERROR(IF(0=LEN(ReferenceData!$P$226),"",ReferenceData!$P$226),"")</f>
        <v>7.1638181779999996</v>
      </c>
      <c r="Q226">
        <f ca="1">IFERROR(IF(0=LEN(ReferenceData!$Q$226),"",ReferenceData!$Q$226),"")</f>
        <v>7.0671246679999999</v>
      </c>
      <c r="R226">
        <f ca="1">IFERROR(IF(0=LEN(ReferenceData!$R$226),"",ReferenceData!$R$226),"")</f>
        <v>6.0952079570000004</v>
      </c>
      <c r="S226">
        <f ca="1">IFERROR(IF(0=LEN(ReferenceData!$S$226),"",ReferenceData!$S$226),"")</f>
        <v>8.5357285409999992</v>
      </c>
      <c r="T226">
        <f ca="1">IFERROR(IF(0=LEN(ReferenceData!$T$226),"",ReferenceData!$T$226),"")</f>
        <v>7.8520912210000002</v>
      </c>
      <c r="U226">
        <f ca="1">IFERROR(IF(0=LEN(ReferenceData!$U$226),"",ReferenceData!$U$226),"")</f>
        <v>7.5480098099999999</v>
      </c>
      <c r="V226">
        <f ca="1">IFERROR(IF(0=LEN(ReferenceData!$V$226),"",ReferenceData!$V$226),"")</f>
        <v>8.0881287319999995</v>
      </c>
      <c r="W226" t="str">
        <f ca="1">IFERROR(IF(0=LEN(ReferenceData!$W$226),"",ReferenceData!$W$226),"")</f>
        <v/>
      </c>
      <c r="X226" t="str">
        <f ca="1">IFERROR(IF(0=LEN(ReferenceData!$X$226),"",ReferenceData!$X$226),"")</f>
        <v/>
      </c>
      <c r="Y226" t="str">
        <f ca="1">IFERROR(IF(0=LEN(ReferenceData!$Y$226),"",ReferenceData!$Y$226),"")</f>
        <v/>
      </c>
      <c r="Z226" t="str">
        <f ca="1">IFERROR(IF(0=LEN(ReferenceData!$Z$226),"",ReferenceData!$Z$226),"")</f>
        <v/>
      </c>
      <c r="AA226" t="str">
        <f ca="1">IFERROR(IF(0=LEN(ReferenceData!$AA$226),"",ReferenceData!$AA$226),"")</f>
        <v/>
      </c>
      <c r="AB226" t="str">
        <f ca="1">IFERROR(IF(0=LEN(ReferenceData!$AB$226),"",ReferenceData!$AB$226),"")</f>
        <v/>
      </c>
      <c r="AC226" t="str">
        <f ca="1">IFERROR(IF(0=LEN(ReferenceData!$AC$226),"",ReferenceData!$AC$226),"")</f>
        <v/>
      </c>
      <c r="AD226" t="str">
        <f ca="1">IFERROR(IF(0=LEN(ReferenceData!$AD$226),"",ReferenceData!$AD$226),"")</f>
        <v/>
      </c>
      <c r="AE226" t="str">
        <f ca="1">IFERROR(IF(0=LEN(ReferenceData!$AE$226),"",ReferenceData!$AE$226),"")</f>
        <v/>
      </c>
      <c r="AF226" t="str">
        <f ca="1">IFERROR(IF(0=LEN(ReferenceData!$AF$226),"",ReferenceData!$AF$226),"")</f>
        <v/>
      </c>
      <c r="AG226" t="str">
        <f ca="1">IFERROR(IF(0=LEN(ReferenceData!$AG$226),"",ReferenceData!$AG$226),"")</f>
        <v/>
      </c>
      <c r="AH226" t="str">
        <f ca="1">IFERROR(IF(0=LEN(ReferenceData!$AH$226),"",ReferenceData!$AH$226),"")</f>
        <v/>
      </c>
      <c r="AI226" t="str">
        <f ca="1">IFERROR(IF(0=LEN(ReferenceData!$AI$226),"",ReferenceData!$AI$226),"")</f>
        <v/>
      </c>
      <c r="AJ226" t="str">
        <f ca="1">IFERROR(IF(0=LEN(ReferenceData!$AJ$226),"",ReferenceData!$AJ$226),"")</f>
        <v/>
      </c>
      <c r="AK226" t="str">
        <f ca="1">IFERROR(IF(0=LEN(ReferenceData!$AK$226),"",ReferenceData!$AK$226),"")</f>
        <v/>
      </c>
      <c r="AL226" t="str">
        <f ca="1">IFERROR(IF(0=LEN(ReferenceData!$AL$226),"",ReferenceData!$AL$226),"")</f>
        <v/>
      </c>
      <c r="AM226" t="str">
        <f ca="1">IFERROR(IF(0=LEN(ReferenceData!$AM$226),"",ReferenceData!$AM$226),"")</f>
        <v/>
      </c>
      <c r="AN226" t="str">
        <f ca="1">IFERROR(IF(0=LEN(ReferenceData!$AN$226),"",ReferenceData!$AN$226),"")</f>
        <v/>
      </c>
      <c r="AO226" t="str">
        <f ca="1">IFERROR(IF(0=LEN(ReferenceData!$AO$226),"",ReferenceData!$AO$226),"")</f>
        <v/>
      </c>
      <c r="AP226" t="str">
        <f ca="1">IFERROR(IF(0=LEN(ReferenceData!$AP$226),"",ReferenceData!$AP$226),"")</f>
        <v/>
      </c>
      <c r="AQ226" t="str">
        <f ca="1">IFERROR(IF(0=LEN(ReferenceData!$AQ$226),"",ReferenceData!$AQ$226),"")</f>
        <v/>
      </c>
      <c r="AR226" t="str">
        <f ca="1">IFERROR(IF(0=LEN(ReferenceData!$AR$226),"",ReferenceData!$AR$226),"")</f>
        <v/>
      </c>
      <c r="AS226" t="str">
        <f ca="1">IFERROR(IF(0=LEN(ReferenceData!$AS$226),"",ReferenceData!$AS$226),"")</f>
        <v/>
      </c>
      <c r="AT226" t="str">
        <f ca="1">IFERROR(IF(0=LEN(ReferenceData!$AT$226),"",ReferenceData!$AT$226),"")</f>
        <v/>
      </c>
      <c r="AU226" t="str">
        <f ca="1">IFERROR(IF(0=LEN(ReferenceData!$AU$226),"",ReferenceData!$AU$226),"")</f>
        <v/>
      </c>
      <c r="AV226" t="str">
        <f ca="1">IFERROR(IF(0=LEN(ReferenceData!$AV$226),"",ReferenceData!$AV$226),"")</f>
        <v/>
      </c>
      <c r="AW226" t="str">
        <f ca="1">IFERROR(IF(0=LEN(ReferenceData!$AW$226),"",ReferenceData!$AW$226),"")</f>
        <v/>
      </c>
      <c r="AX226" t="str">
        <f ca="1">IFERROR(IF(0=LEN(ReferenceData!$AX$226),"",ReferenceData!$AX$226),"")</f>
        <v/>
      </c>
      <c r="AY226" t="str">
        <f ca="1">IFERROR(IF(0=LEN(ReferenceData!$AY$226),"",ReferenceData!$AY$226),"")</f>
        <v/>
      </c>
      <c r="AZ226" t="str">
        <f ca="1">IFERROR(IF(0=LEN(ReferenceData!$AZ$226),"",ReferenceData!$AZ$226),"")</f>
        <v/>
      </c>
      <c r="BA226" t="str">
        <f ca="1">IFERROR(IF(0=LEN(ReferenceData!$BA$226),"",ReferenceData!$BA$226),"")</f>
        <v/>
      </c>
      <c r="BB226" t="str">
        <f ca="1">IFERROR(IF(0=LEN(ReferenceData!$BB$226),"",ReferenceData!$BB$226),"")</f>
        <v/>
      </c>
      <c r="BC226" t="str">
        <f ca="1">IFERROR(IF(0=LEN(ReferenceData!$BC$226),"",ReferenceData!$BC$226),"")</f>
        <v/>
      </c>
      <c r="BD226" t="str">
        <f ca="1">IFERROR(IF(0=LEN(ReferenceData!$BD$226),"",ReferenceData!$BD$226),"")</f>
        <v/>
      </c>
      <c r="BE226" t="str">
        <f ca="1">IFERROR(IF(0=LEN(ReferenceData!$BE$226),"",ReferenceData!$BE$226),"")</f>
        <v/>
      </c>
      <c r="BF226" t="str">
        <f ca="1">IFERROR(IF(0=LEN(ReferenceData!$BF$226),"",ReferenceData!$BF$226),"")</f>
        <v/>
      </c>
      <c r="BG226" t="str">
        <f ca="1">IFERROR(IF(0=LEN(ReferenceData!$BG$226),"",ReferenceData!$BG$226),"")</f>
        <v/>
      </c>
      <c r="BH226" t="str">
        <f ca="1">IFERROR(IF(0=LEN(ReferenceData!$BH$226),"",ReferenceData!$BH$226),"")</f>
        <v/>
      </c>
      <c r="BI226" t="str">
        <f ca="1">IFERROR(IF(0=LEN(ReferenceData!$BI$226),"",ReferenceData!$BI$226),"")</f>
        <v/>
      </c>
      <c r="BJ226" t="str">
        <f ca="1">IFERROR(IF(0=LEN(ReferenceData!$BJ$226),"",ReferenceData!$BJ$226),"")</f>
        <v/>
      </c>
      <c r="BK226" t="str">
        <f ca="1">IFERROR(IF(0=LEN(ReferenceData!$BK$226),"",ReferenceData!$BK$226),"")</f>
        <v/>
      </c>
      <c r="BL226" t="str">
        <f ca="1">IFERROR(IF(0=LEN(ReferenceData!$BL$226),"",ReferenceData!$BL$226),"")</f>
        <v/>
      </c>
      <c r="BM226" t="str">
        <f ca="1">IFERROR(IF(0=LEN(ReferenceData!$BM$226),"",ReferenceData!$BM$226),"")</f>
        <v/>
      </c>
    </row>
    <row r="227" spans="1:65">
      <c r="A227" t="str">
        <f>IFERROR(IF(0=LEN(ReferenceData!$A$227),"",ReferenceData!$A$227),"")</f>
        <v xml:space="preserve">    Weingarten Realty Investors</v>
      </c>
      <c r="B227" t="str">
        <f>IFERROR(IF(0=LEN(ReferenceData!$B$227),"",ReferenceData!$B$227),"")</f>
        <v>WRI US Equity</v>
      </c>
      <c r="C227" t="str">
        <f>IFERROR(IF(0=LEN(ReferenceData!$C$227),"",ReferenceData!$C$227),"")</f>
        <v>RX902</v>
      </c>
      <c r="D227" t="str">
        <f>IFERROR(IF(0=LEN(ReferenceData!$D$227),"",ReferenceData!$D$227),"")</f>
        <v>ANN_NOI_GR_AST_NET_RTL_DEV_CTD_%</v>
      </c>
      <c r="E227" t="str">
        <f>IFERROR(IF(0=LEN(ReferenceData!$E$227),"",ReferenceData!$E$227),"")</f>
        <v>动态</v>
      </c>
      <c r="F227" t="str">
        <f ca="1">IFERROR(IF(0=LEN(ReferenceData!$F$227),"",ReferenceData!$F$227),"")</f>
        <v/>
      </c>
      <c r="G227">
        <f ca="1">IFERROR(IF(0=LEN(ReferenceData!$G$227),"",ReferenceData!$G$227),"")</f>
        <v>7.0229968280000001</v>
      </c>
      <c r="H227">
        <f ca="1">IFERROR(IF(0=LEN(ReferenceData!$H$227),"",ReferenceData!$H$227),"")</f>
        <v>7.040986652</v>
      </c>
      <c r="I227">
        <f ca="1">IFERROR(IF(0=LEN(ReferenceData!$I$227),"",ReferenceData!$I$227),"")</f>
        <v>6.9770738210000003</v>
      </c>
      <c r="J227">
        <f ca="1">IFERROR(IF(0=LEN(ReferenceData!$J$227),"",ReferenceData!$J$227),"")</f>
        <v>7.0407413600000002</v>
      </c>
      <c r="K227">
        <f ca="1">IFERROR(IF(0=LEN(ReferenceData!$K$227),"",ReferenceData!$K$227),"")</f>
        <v>7.0174675840000003</v>
      </c>
      <c r="L227">
        <f ca="1">IFERROR(IF(0=LEN(ReferenceData!$L$227),"",ReferenceData!$L$227),"")</f>
        <v>6.8291318460000001</v>
      </c>
      <c r="M227">
        <f ca="1">IFERROR(IF(0=LEN(ReferenceData!$M$227),"",ReferenceData!$M$227),"")</f>
        <v>7.107660053</v>
      </c>
      <c r="N227">
        <f ca="1">IFERROR(IF(0=LEN(ReferenceData!$N$227),"",ReferenceData!$N$227),"")</f>
        <v>7.1004811659999998</v>
      </c>
      <c r="O227">
        <f ca="1">IFERROR(IF(0=LEN(ReferenceData!$O$227),"",ReferenceData!$O$227),"")</f>
        <v>7.2451569259999999</v>
      </c>
      <c r="P227">
        <f ca="1">IFERROR(IF(0=LEN(ReferenceData!$P$227),"",ReferenceData!$P$227),"")</f>
        <v>7.2566379599999999</v>
      </c>
      <c r="Q227">
        <f ca="1">IFERROR(IF(0=LEN(ReferenceData!$Q$227),"",ReferenceData!$Q$227),"")</f>
        <v>7.2134697680000004</v>
      </c>
      <c r="R227">
        <f ca="1">IFERROR(IF(0=LEN(ReferenceData!$R$227),"",ReferenceData!$R$227),"")</f>
        <v>7.1959227139999999</v>
      </c>
      <c r="S227">
        <f ca="1">IFERROR(IF(0=LEN(ReferenceData!$S$227),"",ReferenceData!$S$227),"")</f>
        <v>7.3329606939999996</v>
      </c>
      <c r="T227">
        <f ca="1">IFERROR(IF(0=LEN(ReferenceData!$T$227),"",ReferenceData!$T$227),"")</f>
        <v>7.4962739589999998</v>
      </c>
      <c r="U227">
        <f ca="1">IFERROR(IF(0=LEN(ReferenceData!$U$227),"",ReferenceData!$U$227),"")</f>
        <v>7.2312867460000003</v>
      </c>
      <c r="V227">
        <f ca="1">IFERROR(IF(0=LEN(ReferenceData!$V$227),"",ReferenceData!$V$227),"")</f>
        <v>7.2189880110000004</v>
      </c>
      <c r="W227">
        <f ca="1">IFERROR(IF(0=LEN(ReferenceData!$W$227),"",ReferenceData!$W$227),"")</f>
        <v>6.4290059900000003</v>
      </c>
      <c r="X227">
        <f ca="1">IFERROR(IF(0=LEN(ReferenceData!$X$227),"",ReferenceData!$X$227),"")</f>
        <v>6.4900528279999996</v>
      </c>
      <c r="Y227">
        <f ca="1">IFERROR(IF(0=LEN(ReferenceData!$Y$227),"",ReferenceData!$Y$227),"")</f>
        <v>6.3426238660000003</v>
      </c>
      <c r="Z227">
        <f ca="1">IFERROR(IF(0=LEN(ReferenceData!$Z$227),"",ReferenceData!$Z$227),"")</f>
        <v>7.0475734660000002</v>
      </c>
      <c r="AA227">
        <f ca="1">IFERROR(IF(0=LEN(ReferenceData!$AA$227),"",ReferenceData!$AA$227),"")</f>
        <v>6.3176872250000002</v>
      </c>
      <c r="AB227">
        <f ca="1">IFERROR(IF(0=LEN(ReferenceData!$AB$227),"",ReferenceData!$AB$227),"")</f>
        <v>6.34168866</v>
      </c>
      <c r="AC227">
        <f ca="1">IFERROR(IF(0=LEN(ReferenceData!$AC$227),"",ReferenceData!$AC$227),"")</f>
        <v>6.3376359410000003</v>
      </c>
      <c r="AD227">
        <f ca="1">IFERROR(IF(0=LEN(ReferenceData!$AD$227),"",ReferenceData!$AD$227),"")</f>
        <v>6.2233343970000004</v>
      </c>
      <c r="AE227">
        <f ca="1">IFERROR(IF(0=LEN(ReferenceData!$AE$227),"",ReferenceData!$AE$227),"")</f>
        <v>5.9356860759999996</v>
      </c>
      <c r="AF227">
        <f ca="1">IFERROR(IF(0=LEN(ReferenceData!$AF$227),"",ReferenceData!$AF$227),"")</f>
        <v>6.099512013</v>
      </c>
      <c r="AG227">
        <f ca="1">IFERROR(IF(0=LEN(ReferenceData!$AG$227),"",ReferenceData!$AG$227),"")</f>
        <v>5.9549818070000002</v>
      </c>
      <c r="AH227">
        <f ca="1">IFERROR(IF(0=LEN(ReferenceData!$AH$227),"",ReferenceData!$AH$227),"")</f>
        <v>5.8303818390000002</v>
      </c>
      <c r="AI227">
        <f ca="1">IFERROR(IF(0=LEN(ReferenceData!$AI$227),"",ReferenceData!$AI$227),"")</f>
        <v>6.5470620769999996</v>
      </c>
      <c r="AJ227">
        <f ca="1">IFERROR(IF(0=LEN(ReferenceData!$AJ$227),"",ReferenceData!$AJ$227),"")</f>
        <v>6.8139296720000004</v>
      </c>
      <c r="AK227">
        <f ca="1">IFERROR(IF(0=LEN(ReferenceData!$AK$227),"",ReferenceData!$AK$227),"")</f>
        <v>6.9555463690000003</v>
      </c>
      <c r="AL227">
        <f ca="1">IFERROR(IF(0=LEN(ReferenceData!$AL$227),"",ReferenceData!$AL$227),"")</f>
        <v>6.8952368130000004</v>
      </c>
      <c r="AM227">
        <f ca="1">IFERROR(IF(0=LEN(ReferenceData!$AM$227),"",ReferenceData!$AM$227),"")</f>
        <v>7.1546272200000001</v>
      </c>
      <c r="AN227">
        <f ca="1">IFERROR(IF(0=LEN(ReferenceData!$AN$227),"",ReferenceData!$AN$227),"")</f>
        <v>7.0272587370000004</v>
      </c>
      <c r="AO227">
        <f ca="1">IFERROR(IF(0=LEN(ReferenceData!$AO$227),"",ReferenceData!$AO$227),"")</f>
        <v>7.0099593889999996</v>
      </c>
      <c r="AP227">
        <f ca="1">IFERROR(IF(0=LEN(ReferenceData!$AP$227),"",ReferenceData!$AP$227),"")</f>
        <v>7.4204300160000001</v>
      </c>
      <c r="AQ227" t="str">
        <f ca="1">IFERROR(IF(0=LEN(ReferenceData!$AQ$227),"",ReferenceData!$AQ$227),"")</f>
        <v/>
      </c>
      <c r="AR227">
        <f ca="1">IFERROR(IF(0=LEN(ReferenceData!$AR$227),"",ReferenceData!$AR$227),"")</f>
        <v>7.8572556699999998</v>
      </c>
      <c r="AS227">
        <f ca="1">IFERROR(IF(0=LEN(ReferenceData!$AS$227),"",ReferenceData!$AS$227),"")</f>
        <v>8.0043135210000003</v>
      </c>
      <c r="AT227">
        <f ca="1">IFERROR(IF(0=LEN(ReferenceData!$AT$227),"",ReferenceData!$AT$227),"")</f>
        <v>7.8869363840000002</v>
      </c>
      <c r="AU227">
        <f ca="1">IFERROR(IF(0=LEN(ReferenceData!$AU$227),"",ReferenceData!$AU$227),"")</f>
        <v>6.7355735120000002</v>
      </c>
      <c r="AV227">
        <f ca="1">IFERROR(IF(0=LEN(ReferenceData!$AV$227),"",ReferenceData!$AV$227),"")</f>
        <v>7.1984665889999997</v>
      </c>
      <c r="AW227">
        <f ca="1">IFERROR(IF(0=LEN(ReferenceData!$AW$227),"",ReferenceData!$AW$227),"")</f>
        <v>7.2857566570000003</v>
      </c>
      <c r="AX227">
        <f ca="1">IFERROR(IF(0=LEN(ReferenceData!$AX$227),"",ReferenceData!$AX$227),"")</f>
        <v>7.5503159860000002</v>
      </c>
      <c r="AY227">
        <f ca="1">IFERROR(IF(0=LEN(ReferenceData!$AY$227),"",ReferenceData!$AY$227),"")</f>
        <v>7.3699149290000001</v>
      </c>
      <c r="AZ227">
        <f ca="1">IFERROR(IF(0=LEN(ReferenceData!$AZ$227),"",ReferenceData!$AZ$227),"")</f>
        <v>7.0605217409999996</v>
      </c>
      <c r="BA227">
        <f ca="1">IFERROR(IF(0=LEN(ReferenceData!$BA$227),"",ReferenceData!$BA$227),"")</f>
        <v>7.5367131790000004</v>
      </c>
      <c r="BB227">
        <f ca="1">IFERROR(IF(0=LEN(ReferenceData!$BB$227),"",ReferenceData!$BB$227),"")</f>
        <v>7.8773666210000002</v>
      </c>
      <c r="BC227" t="str">
        <f ca="1">IFERROR(IF(0=LEN(ReferenceData!$BC$227),"",ReferenceData!$BC$227),"")</f>
        <v/>
      </c>
      <c r="BD227">
        <f ca="1">IFERROR(IF(0=LEN(ReferenceData!$BD$227),"",ReferenceData!$BD$227),"")</f>
        <v>8.7999489999999996E-3</v>
      </c>
      <c r="BE227">
        <f ca="1">IFERROR(IF(0=LEN(ReferenceData!$BE$227),"",ReferenceData!$BE$227),"")</f>
        <v>9.1004724140000004</v>
      </c>
      <c r="BF227">
        <f ca="1">IFERROR(IF(0=LEN(ReferenceData!$BF$227),"",ReferenceData!$BF$227),"")</f>
        <v>9.2516844000000003</v>
      </c>
      <c r="BG227" t="str">
        <f ca="1">IFERROR(IF(0=LEN(ReferenceData!$BG$227),"",ReferenceData!$BG$227),"")</f>
        <v/>
      </c>
      <c r="BH227">
        <f ca="1">IFERROR(IF(0=LEN(ReferenceData!$BH$227),"",ReferenceData!$BH$227),"")</f>
        <v>9.2914502169999995</v>
      </c>
      <c r="BI227" t="str">
        <f ca="1">IFERROR(IF(0=LEN(ReferenceData!$BI$227),"",ReferenceData!$BI$227),"")</f>
        <v/>
      </c>
      <c r="BJ227" t="str">
        <f ca="1">IFERROR(IF(0=LEN(ReferenceData!$BJ$227),"",ReferenceData!$BJ$227),"")</f>
        <v/>
      </c>
      <c r="BK227" t="str">
        <f ca="1">IFERROR(IF(0=LEN(ReferenceData!$BK$227),"",ReferenceData!$BK$227),"")</f>
        <v/>
      </c>
      <c r="BL227" t="str">
        <f ca="1">IFERROR(IF(0=LEN(ReferenceData!$BL$227),"",ReferenceData!$BL$227),"")</f>
        <v/>
      </c>
      <c r="BM227" t="str">
        <f ca="1">IFERROR(IF(0=LEN(ReferenceData!$BM$227),"",ReferenceData!$BM$227),"")</f>
        <v/>
      </c>
    </row>
    <row r="228" spans="1:65">
      <c r="A228" t="str">
        <f>IFERROR(IF(0=LEN(ReferenceData!$A$228),"",ReferenceData!$A$228),"")</f>
        <v>EBITDA/房地产资产(%)</v>
      </c>
      <c r="B228" t="str">
        <f>IFERROR(IF(0=LEN(ReferenceData!$B$228),"",ReferenceData!$B$228),"")</f>
        <v/>
      </c>
      <c r="C228" t="str">
        <f>IFERROR(IF(0=LEN(ReferenceData!$C$228),"",ReferenceData!$C$228),"")</f>
        <v/>
      </c>
      <c r="D228" t="str">
        <f>IFERROR(IF(0=LEN(ReferenceData!$D$228),"",ReferenceData!$D$228),"")</f>
        <v/>
      </c>
      <c r="E228" t="str">
        <f>IFERROR(IF(0=LEN(ReferenceData!$E$228),"",ReferenceData!$E$228),"")</f>
        <v>Median</v>
      </c>
      <c r="F228" t="str">
        <f ca="1">IFERROR(IF(0=LEN(ReferenceData!$F$228),"",ReferenceData!$F$228),"")</f>
        <v/>
      </c>
      <c r="G228">
        <f ca="1">IFERROR(IF(0=LEN(ReferenceData!$G$228),"",ReferenceData!$G$228),"")</f>
        <v>1.991248014</v>
      </c>
      <c r="H228">
        <f ca="1">IFERROR(IF(0=LEN(ReferenceData!$H$228),"",ReferenceData!$H$228),"")</f>
        <v>2.1735531959999999</v>
      </c>
      <c r="I228">
        <f ca="1">IFERROR(IF(0=LEN(ReferenceData!$I$228),"",ReferenceData!$I$228),"")</f>
        <v>1.99843985</v>
      </c>
      <c r="J228">
        <f ca="1">IFERROR(IF(0=LEN(ReferenceData!$J$228),"",ReferenceData!$J$228),"")</f>
        <v>2.1491025010000002</v>
      </c>
      <c r="K228">
        <f ca="1">IFERROR(IF(0=LEN(ReferenceData!$K$228),"",ReferenceData!$K$228),"")</f>
        <v>2.2517131940000001</v>
      </c>
      <c r="L228">
        <f ca="1">IFERROR(IF(0=LEN(ReferenceData!$L$228),"",ReferenceData!$L$228),"")</f>
        <v>2.1476438369999999</v>
      </c>
      <c r="M228">
        <f ca="1">IFERROR(IF(0=LEN(ReferenceData!$M$228),"",ReferenceData!$M$228),"")</f>
        <v>2.1449025110000002</v>
      </c>
      <c r="N228">
        <f ca="1">IFERROR(IF(0=LEN(ReferenceData!$N$228),"",ReferenceData!$N$228),"")</f>
        <v>2.3110890560000001</v>
      </c>
      <c r="O228">
        <f ca="1">IFERROR(IF(0=LEN(ReferenceData!$O$228),"",ReferenceData!$O$228),"")</f>
        <v>2.0736537249999998</v>
      </c>
      <c r="P228">
        <f ca="1">IFERROR(IF(0=LEN(ReferenceData!$P$228),"",ReferenceData!$P$228),"")</f>
        <v>2.2561603240000001</v>
      </c>
      <c r="Q228">
        <f ca="1">IFERROR(IF(0=LEN(ReferenceData!$Q$228),"",ReferenceData!$Q$228),"")</f>
        <v>2.2214251250000001</v>
      </c>
      <c r="R228">
        <f ca="1">IFERROR(IF(0=LEN(ReferenceData!$R$228),"",ReferenceData!$R$228),"")</f>
        <v>2.0932709190000001</v>
      </c>
      <c r="S228">
        <f ca="1">IFERROR(IF(0=LEN(ReferenceData!$S$228),"",ReferenceData!$S$228),"")</f>
        <v>2.1580808220000001</v>
      </c>
      <c r="T228">
        <f ca="1">IFERROR(IF(0=LEN(ReferenceData!$T$228),"",ReferenceData!$T$228),"")</f>
        <v>2.2070244190000001</v>
      </c>
      <c r="U228">
        <f ca="1">IFERROR(IF(0=LEN(ReferenceData!$U$228),"",ReferenceData!$U$228),"")</f>
        <v>2.1139712369999999</v>
      </c>
      <c r="V228">
        <f ca="1">IFERROR(IF(0=LEN(ReferenceData!$V$228),"",ReferenceData!$V$228),"")</f>
        <v>2.1224974969999999</v>
      </c>
      <c r="W228">
        <f ca="1">IFERROR(IF(0=LEN(ReferenceData!$W$228),"",ReferenceData!$W$228),"")</f>
        <v>2.0415499095</v>
      </c>
      <c r="X228">
        <f ca="1">IFERROR(IF(0=LEN(ReferenceData!$X$228),"",ReferenceData!$X$228),"")</f>
        <v>2.0508286304999999</v>
      </c>
      <c r="Y228">
        <f ca="1">IFERROR(IF(0=LEN(ReferenceData!$Y$228),"",ReferenceData!$Y$228),"")</f>
        <v>2.0309040725000003</v>
      </c>
      <c r="Z228">
        <f ca="1">IFERROR(IF(0=LEN(ReferenceData!$Z$228),"",ReferenceData!$Z$228),"")</f>
        <v>1.9496240204999999</v>
      </c>
      <c r="AA228">
        <f ca="1">IFERROR(IF(0=LEN(ReferenceData!$AA$228),"",ReferenceData!$AA$228),"")</f>
        <v>1.9520999424999999</v>
      </c>
      <c r="AB228">
        <f ca="1">IFERROR(IF(0=LEN(ReferenceData!$AB$228),"",ReferenceData!$AB$228),"")</f>
        <v>2.028234453</v>
      </c>
      <c r="AC228">
        <f ca="1">IFERROR(IF(0=LEN(ReferenceData!$AC$228),"",ReferenceData!$AC$228),"")</f>
        <v>1.9610160130000001</v>
      </c>
      <c r="AD228">
        <f ca="1">IFERROR(IF(0=LEN(ReferenceData!$AD$228),"",ReferenceData!$AD$228),"")</f>
        <v>1.8712570589999999</v>
      </c>
      <c r="AE228">
        <f ca="1">IFERROR(IF(0=LEN(ReferenceData!$AE$228),"",ReferenceData!$AE$228),"")</f>
        <v>1.881042144</v>
      </c>
      <c r="AF228">
        <f ca="1">IFERROR(IF(0=LEN(ReferenceData!$AF$228),"",ReferenceData!$AF$228),"")</f>
        <v>1.8503544569999999</v>
      </c>
      <c r="AG228">
        <f ca="1">IFERROR(IF(0=LEN(ReferenceData!$AG$228),"",ReferenceData!$AG$228),"")</f>
        <v>1.97744711</v>
      </c>
      <c r="AH228">
        <f ca="1">IFERROR(IF(0=LEN(ReferenceData!$AH$228),"",ReferenceData!$AH$228),"")</f>
        <v>2.0195490930000002</v>
      </c>
      <c r="AI228">
        <f ca="1">IFERROR(IF(0=LEN(ReferenceData!$AI$228),"",ReferenceData!$AI$228),"")</f>
        <v>1.9338651069999999</v>
      </c>
      <c r="AJ228">
        <f ca="1">IFERROR(IF(0=LEN(ReferenceData!$AJ$228),"",ReferenceData!$AJ$228),"")</f>
        <v>1.947267675</v>
      </c>
      <c r="AK228">
        <f ca="1">IFERROR(IF(0=LEN(ReferenceData!$AK$228),"",ReferenceData!$AK$228),"")</f>
        <v>2.0004525559999999</v>
      </c>
      <c r="AL228">
        <f ca="1">IFERROR(IF(0=LEN(ReferenceData!$AL$228),"",ReferenceData!$AL$228),"")</f>
        <v>2.0260409429999999</v>
      </c>
      <c r="AM228">
        <f ca="1">IFERROR(IF(0=LEN(ReferenceData!$AM$228),"",ReferenceData!$AM$228),"")</f>
        <v>1.9663106435</v>
      </c>
      <c r="AN228">
        <f ca="1">IFERROR(IF(0=LEN(ReferenceData!$AN$228),"",ReferenceData!$AN$228),"")</f>
        <v>2.1940259705000003</v>
      </c>
      <c r="AO228">
        <f ca="1">IFERROR(IF(0=LEN(ReferenceData!$AO$228),"",ReferenceData!$AO$228),"")</f>
        <v>2.1245848425</v>
      </c>
      <c r="AP228">
        <f ca="1">IFERROR(IF(0=LEN(ReferenceData!$AP$228),"",ReferenceData!$AP$228),"")</f>
        <v>2.1319895935000002</v>
      </c>
      <c r="AQ228">
        <f ca="1">IFERROR(IF(0=LEN(ReferenceData!$AQ$228),"",ReferenceData!$AQ$228),"")</f>
        <v>2.3631112290000003</v>
      </c>
      <c r="AR228">
        <f ca="1">IFERROR(IF(0=LEN(ReferenceData!$AR$228),"",ReferenceData!$AR$228),"")</f>
        <v>2.090716901</v>
      </c>
      <c r="AS228">
        <f ca="1">IFERROR(IF(0=LEN(ReferenceData!$AS$228),"",ReferenceData!$AS$228),"")</f>
        <v>2.2339196369999996</v>
      </c>
      <c r="AT228">
        <f ca="1">IFERROR(IF(0=LEN(ReferenceData!$AT$228),"",ReferenceData!$AT$228),"")</f>
        <v>2.2484766499999997</v>
      </c>
      <c r="AU228">
        <f ca="1">IFERROR(IF(0=LEN(ReferenceData!$AU$228),"",ReferenceData!$AU$228),"")</f>
        <v>2.4875764409999999</v>
      </c>
      <c r="AV228">
        <f ca="1">IFERROR(IF(0=LEN(ReferenceData!$AV$228),"",ReferenceData!$AV$228),"")</f>
        <v>2.4440317980000001</v>
      </c>
      <c r="AW228">
        <f ca="1">IFERROR(IF(0=LEN(ReferenceData!$AW$228),"",ReferenceData!$AW$228),"")</f>
        <v>2.4991050490000002</v>
      </c>
      <c r="AX228">
        <f ca="1">IFERROR(IF(0=LEN(ReferenceData!$AX$228),"",ReferenceData!$AX$228),"")</f>
        <v>2.4631687590000002</v>
      </c>
      <c r="AY228">
        <f ca="1">IFERROR(IF(0=LEN(ReferenceData!$AY$228),"",ReferenceData!$AY$228),"")</f>
        <v>2.7280582500000001</v>
      </c>
      <c r="AZ228">
        <f ca="1">IFERROR(IF(0=LEN(ReferenceData!$AZ$228),"",ReferenceData!$AZ$228),"")</f>
        <v>2.539813798</v>
      </c>
      <c r="BA228">
        <f ca="1">IFERROR(IF(0=LEN(ReferenceData!$BA$228),"",ReferenceData!$BA$228),"")</f>
        <v>2.6426660979999999</v>
      </c>
      <c r="BB228">
        <f ca="1">IFERROR(IF(0=LEN(ReferenceData!$BB$228),"",ReferenceData!$BB$228),"")</f>
        <v>2.653716561</v>
      </c>
      <c r="BC228">
        <f ca="1">IFERROR(IF(0=LEN(ReferenceData!$BC$228),"",ReferenceData!$BC$228),"")</f>
        <v>2.8225638664999999</v>
      </c>
      <c r="BD228">
        <f ca="1">IFERROR(IF(0=LEN(ReferenceData!$BD$228),"",ReferenceData!$BD$228),"")</f>
        <v>2.5323177860000001</v>
      </c>
      <c r="BE228">
        <f ca="1">IFERROR(IF(0=LEN(ReferenceData!$BE$228),"",ReferenceData!$BE$228),"")</f>
        <v>2.5982113629999999</v>
      </c>
      <c r="BF228">
        <f ca="1">IFERROR(IF(0=LEN(ReferenceData!$BF$228),"",ReferenceData!$BF$228),"")</f>
        <v>2.8404951340000002</v>
      </c>
      <c r="BG228">
        <f ca="1">IFERROR(IF(0=LEN(ReferenceData!$BG$228),"",ReferenceData!$BG$228),"")</f>
        <v>2.7429059125000004</v>
      </c>
      <c r="BH228">
        <f ca="1">IFERROR(IF(0=LEN(ReferenceData!$BH$228),"",ReferenceData!$BH$228),"")</f>
        <v>2.7439519690000003</v>
      </c>
      <c r="BI228">
        <f ca="1">IFERROR(IF(0=LEN(ReferenceData!$BI$228),"",ReferenceData!$BI$228),"")</f>
        <v>2.628833685</v>
      </c>
      <c r="BJ228">
        <f ca="1">IFERROR(IF(0=LEN(ReferenceData!$BJ$228),"",ReferenceData!$BJ$228),"")</f>
        <v>2.5878444310000002</v>
      </c>
      <c r="BK228">
        <f ca="1">IFERROR(IF(0=LEN(ReferenceData!$BK$228),"",ReferenceData!$BK$228),"")</f>
        <v>2.7848205435</v>
      </c>
      <c r="BL228">
        <f ca="1">IFERROR(IF(0=LEN(ReferenceData!$BL$228),"",ReferenceData!$BL$228),"")</f>
        <v>2.878209214</v>
      </c>
      <c r="BM228">
        <f ca="1">IFERROR(IF(0=LEN(ReferenceData!$BM$228),"",ReferenceData!$BM$228),"")</f>
        <v>2.7720609270000001</v>
      </c>
    </row>
    <row r="229" spans="1:65">
      <c r="A229" t="str">
        <f>IFERROR(IF(0=LEN(ReferenceData!$A$229),"",ReferenceData!$A$229),"")</f>
        <v xml:space="preserve">    Brixmor Property Group Inc</v>
      </c>
      <c r="B229" t="str">
        <f>IFERROR(IF(0=LEN(ReferenceData!$B$229),"",ReferenceData!$B$229),"")</f>
        <v>BRX US Equity</v>
      </c>
      <c r="C229" t="str">
        <f>IFERROR(IF(0=LEN(ReferenceData!$C$229),"",ReferenceData!$C$229),"")</f>
        <v>RR553</v>
      </c>
      <c r="D229" t="str">
        <f>IFERROR(IF(0=LEN(ReferenceData!$D$229),"",ReferenceData!$D$229),"")</f>
        <v>EBITDA_RE_ASSET</v>
      </c>
      <c r="E229" t="str">
        <f>IFERROR(IF(0=LEN(ReferenceData!$E$229),"",ReferenceData!$E$229),"")</f>
        <v>动态</v>
      </c>
      <c r="F229" t="str">
        <f ca="1">IFERROR(IF(0=LEN(ReferenceData!$F$229),"",ReferenceData!$F$229),"")</f>
        <v/>
      </c>
      <c r="G229">
        <f ca="1">IFERROR(IF(0=LEN(ReferenceData!$G$229),"",ReferenceData!$G$229),"")</f>
        <v>2.2847708070000001</v>
      </c>
      <c r="H229">
        <f ca="1">IFERROR(IF(0=LEN(ReferenceData!$H$229),"",ReferenceData!$H$229),"")</f>
        <v>2.2780862599999998</v>
      </c>
      <c r="I229">
        <f ca="1">IFERROR(IF(0=LEN(ReferenceData!$I$229),"",ReferenceData!$I$229),"")</f>
        <v>2.316489743</v>
      </c>
      <c r="J229">
        <f ca="1">IFERROR(IF(0=LEN(ReferenceData!$J$229),"",ReferenceData!$J$229),"")</f>
        <v>2.3250713940000001</v>
      </c>
      <c r="K229">
        <f ca="1">IFERROR(IF(0=LEN(ReferenceData!$K$229),"",ReferenceData!$K$229),"")</f>
        <v>2.3494775379999999</v>
      </c>
      <c r="L229">
        <f ca="1">IFERROR(IF(0=LEN(ReferenceData!$L$229),"",ReferenceData!$L$229),"")</f>
        <v>2.3056683140000001</v>
      </c>
      <c r="M229">
        <f ca="1">IFERROR(IF(0=LEN(ReferenceData!$M$229),"",ReferenceData!$M$229),"")</f>
        <v>2.2613202559999999</v>
      </c>
      <c r="N229">
        <f ca="1">IFERROR(IF(0=LEN(ReferenceData!$N$229),"",ReferenceData!$N$229),"")</f>
        <v>2.3254973699999999</v>
      </c>
      <c r="O229">
        <f ca="1">IFERROR(IF(0=LEN(ReferenceData!$O$229),"",ReferenceData!$O$229),"")</f>
        <v>2.2192107390000002</v>
      </c>
      <c r="P229">
        <f ca="1">IFERROR(IF(0=LEN(ReferenceData!$P$229),"",ReferenceData!$P$229),"")</f>
        <v>2.2561603240000001</v>
      </c>
      <c r="Q229">
        <f ca="1">IFERROR(IF(0=LEN(ReferenceData!$Q$229),"",ReferenceData!$Q$229),"")</f>
        <v>2.2214251250000001</v>
      </c>
      <c r="R229">
        <f ca="1">IFERROR(IF(0=LEN(ReferenceData!$R$229),"",ReferenceData!$R$229),"")</f>
        <v>2.0523320319999998</v>
      </c>
      <c r="S229">
        <f ca="1">IFERROR(IF(0=LEN(ReferenceData!$S$229),"",ReferenceData!$S$229),"")</f>
        <v>2.1580808220000001</v>
      </c>
      <c r="T229">
        <f ca="1">IFERROR(IF(0=LEN(ReferenceData!$T$229),"",ReferenceData!$T$229),"")</f>
        <v>2.1400419529999999</v>
      </c>
      <c r="U229">
        <f ca="1">IFERROR(IF(0=LEN(ReferenceData!$U$229),"",ReferenceData!$U$229),"")</f>
        <v>2.1139712369999999</v>
      </c>
      <c r="V229">
        <f ca="1">IFERROR(IF(0=LEN(ReferenceData!$V$229),"",ReferenceData!$V$229),"")</f>
        <v>2.0663472669999998</v>
      </c>
      <c r="W229">
        <f ca="1">IFERROR(IF(0=LEN(ReferenceData!$W$229),"",ReferenceData!$W$229),"")</f>
        <v>1.6747019679999999</v>
      </c>
      <c r="X229">
        <f ca="1">IFERROR(IF(0=LEN(ReferenceData!$X$229),"",ReferenceData!$X$229),"")</f>
        <v>2.0062485200000002</v>
      </c>
      <c r="Y229">
        <f ca="1">IFERROR(IF(0=LEN(ReferenceData!$Y$229),"",ReferenceData!$Y$229),"")</f>
        <v>2.0006374880000002</v>
      </c>
      <c r="Z229">
        <f ca="1">IFERROR(IF(0=LEN(ReferenceData!$Z$229),"",ReferenceData!$Z$229),"")</f>
        <v>1.906823851</v>
      </c>
      <c r="AA229">
        <f ca="1">IFERROR(IF(0=LEN(ReferenceData!$AA$229),"",ReferenceData!$AA$229),"")</f>
        <v>1.9530032799999999</v>
      </c>
      <c r="AB229" t="str">
        <f ca="1">IFERROR(IF(0=LEN(ReferenceData!$AB$229),"",ReferenceData!$AB$229),"")</f>
        <v/>
      </c>
      <c r="AC229" t="str">
        <f ca="1">IFERROR(IF(0=LEN(ReferenceData!$AC$229),"",ReferenceData!$AC$229),"")</f>
        <v/>
      </c>
      <c r="AD229" t="str">
        <f ca="1">IFERROR(IF(0=LEN(ReferenceData!$AD$229),"",ReferenceData!$AD$229),"")</f>
        <v/>
      </c>
      <c r="AE229" t="str">
        <f ca="1">IFERROR(IF(0=LEN(ReferenceData!$AE$229),"",ReferenceData!$AE$229),"")</f>
        <v/>
      </c>
      <c r="AF229" t="str">
        <f ca="1">IFERROR(IF(0=LEN(ReferenceData!$AF$229),"",ReferenceData!$AF$229),"")</f>
        <v/>
      </c>
      <c r="AG229" t="str">
        <f ca="1">IFERROR(IF(0=LEN(ReferenceData!$AG$229),"",ReferenceData!$AG$229),"")</f>
        <v/>
      </c>
      <c r="AH229" t="str">
        <f ca="1">IFERROR(IF(0=LEN(ReferenceData!$AH$229),"",ReferenceData!$AH$229),"")</f>
        <v/>
      </c>
      <c r="AI229" t="str">
        <f ca="1">IFERROR(IF(0=LEN(ReferenceData!$AI$229),"",ReferenceData!$AI$229),"")</f>
        <v/>
      </c>
      <c r="AJ229" t="str">
        <f ca="1">IFERROR(IF(0=LEN(ReferenceData!$AJ$229),"",ReferenceData!$AJ$229),"")</f>
        <v/>
      </c>
      <c r="AK229" t="str">
        <f ca="1">IFERROR(IF(0=LEN(ReferenceData!$AK$229),"",ReferenceData!$AK$229),"")</f>
        <v/>
      </c>
      <c r="AL229" t="str">
        <f ca="1">IFERROR(IF(0=LEN(ReferenceData!$AL$229),"",ReferenceData!$AL$229),"")</f>
        <v/>
      </c>
      <c r="AM229" t="str">
        <f ca="1">IFERROR(IF(0=LEN(ReferenceData!$AM$229),"",ReferenceData!$AM$229),"")</f>
        <v/>
      </c>
      <c r="AN229" t="str">
        <f ca="1">IFERROR(IF(0=LEN(ReferenceData!$AN$229),"",ReferenceData!$AN$229),"")</f>
        <v/>
      </c>
      <c r="AO229" t="str">
        <f ca="1">IFERROR(IF(0=LEN(ReferenceData!$AO$229),"",ReferenceData!$AO$229),"")</f>
        <v/>
      </c>
      <c r="AP229" t="str">
        <f ca="1">IFERROR(IF(0=LEN(ReferenceData!$AP$229),"",ReferenceData!$AP$229),"")</f>
        <v/>
      </c>
      <c r="AQ229" t="str">
        <f ca="1">IFERROR(IF(0=LEN(ReferenceData!$AQ$229),"",ReferenceData!$AQ$229),"")</f>
        <v/>
      </c>
      <c r="AR229" t="str">
        <f ca="1">IFERROR(IF(0=LEN(ReferenceData!$AR$229),"",ReferenceData!$AR$229),"")</f>
        <v/>
      </c>
      <c r="AS229" t="str">
        <f ca="1">IFERROR(IF(0=LEN(ReferenceData!$AS$229),"",ReferenceData!$AS$229),"")</f>
        <v/>
      </c>
      <c r="AT229" t="str">
        <f ca="1">IFERROR(IF(0=LEN(ReferenceData!$AT$229),"",ReferenceData!$AT$229),"")</f>
        <v/>
      </c>
      <c r="AU229" t="str">
        <f ca="1">IFERROR(IF(0=LEN(ReferenceData!$AU$229),"",ReferenceData!$AU$229),"")</f>
        <v/>
      </c>
      <c r="AV229" t="str">
        <f ca="1">IFERROR(IF(0=LEN(ReferenceData!$AV$229),"",ReferenceData!$AV$229),"")</f>
        <v/>
      </c>
      <c r="AW229" t="str">
        <f ca="1">IFERROR(IF(0=LEN(ReferenceData!$AW$229),"",ReferenceData!$AW$229),"")</f>
        <v/>
      </c>
      <c r="AX229" t="str">
        <f ca="1">IFERROR(IF(0=LEN(ReferenceData!$AX$229),"",ReferenceData!$AX$229),"")</f>
        <v/>
      </c>
      <c r="AY229" t="str">
        <f ca="1">IFERROR(IF(0=LEN(ReferenceData!$AY$229),"",ReferenceData!$AY$229),"")</f>
        <v/>
      </c>
      <c r="AZ229" t="str">
        <f ca="1">IFERROR(IF(0=LEN(ReferenceData!$AZ$229),"",ReferenceData!$AZ$229),"")</f>
        <v/>
      </c>
      <c r="BA229" t="str">
        <f ca="1">IFERROR(IF(0=LEN(ReferenceData!$BA$229),"",ReferenceData!$BA$229),"")</f>
        <v/>
      </c>
      <c r="BB229" t="str">
        <f ca="1">IFERROR(IF(0=LEN(ReferenceData!$BB$229),"",ReferenceData!$BB$229),"")</f>
        <v/>
      </c>
      <c r="BC229" t="str">
        <f ca="1">IFERROR(IF(0=LEN(ReferenceData!$BC$229),"",ReferenceData!$BC$229),"")</f>
        <v/>
      </c>
      <c r="BD229" t="str">
        <f ca="1">IFERROR(IF(0=LEN(ReferenceData!$BD$229),"",ReferenceData!$BD$229),"")</f>
        <v/>
      </c>
      <c r="BE229" t="str">
        <f ca="1">IFERROR(IF(0=LEN(ReferenceData!$BE$229),"",ReferenceData!$BE$229),"")</f>
        <v/>
      </c>
      <c r="BF229" t="str">
        <f ca="1">IFERROR(IF(0=LEN(ReferenceData!$BF$229),"",ReferenceData!$BF$229),"")</f>
        <v/>
      </c>
      <c r="BG229" t="str">
        <f ca="1">IFERROR(IF(0=LEN(ReferenceData!$BG$229),"",ReferenceData!$BG$229),"")</f>
        <v/>
      </c>
      <c r="BH229" t="str">
        <f ca="1">IFERROR(IF(0=LEN(ReferenceData!$BH$229),"",ReferenceData!$BH$229),"")</f>
        <v/>
      </c>
      <c r="BI229" t="str">
        <f ca="1">IFERROR(IF(0=LEN(ReferenceData!$BI$229),"",ReferenceData!$BI$229),"")</f>
        <v/>
      </c>
      <c r="BJ229" t="str">
        <f ca="1">IFERROR(IF(0=LEN(ReferenceData!$BJ$229),"",ReferenceData!$BJ$229),"")</f>
        <v/>
      </c>
      <c r="BK229" t="str">
        <f ca="1">IFERROR(IF(0=LEN(ReferenceData!$BK$229),"",ReferenceData!$BK$229),"")</f>
        <v/>
      </c>
      <c r="BL229" t="str">
        <f ca="1">IFERROR(IF(0=LEN(ReferenceData!$BL$229),"",ReferenceData!$BL$229),"")</f>
        <v/>
      </c>
      <c r="BM229" t="str">
        <f ca="1">IFERROR(IF(0=LEN(ReferenceData!$BM$229),"",ReferenceData!$BM$229),"")</f>
        <v/>
      </c>
    </row>
    <row r="230" spans="1:65">
      <c r="A230" t="str">
        <f>IFERROR(IF(0=LEN(ReferenceData!$A$230),"",ReferenceData!$A$230),"")</f>
        <v xml:space="preserve">    CBL &amp; Associates Properties In</v>
      </c>
      <c r="B230" t="str">
        <f>IFERROR(IF(0=LEN(ReferenceData!$B$230),"",ReferenceData!$B$230),"")</f>
        <v>CBL US Equity</v>
      </c>
      <c r="C230" t="str">
        <f>IFERROR(IF(0=LEN(ReferenceData!$C$230),"",ReferenceData!$C$230),"")</f>
        <v>RR553</v>
      </c>
      <c r="D230" t="str">
        <f>IFERROR(IF(0=LEN(ReferenceData!$D$230),"",ReferenceData!$D$230),"")</f>
        <v>EBITDA_RE_ASSET</v>
      </c>
      <c r="E230" t="str">
        <f>IFERROR(IF(0=LEN(ReferenceData!$E$230),"",ReferenceData!$E$230),"")</f>
        <v>动态</v>
      </c>
      <c r="F230" t="str">
        <f ca="1">IFERROR(IF(0=LEN(ReferenceData!$F$230),"",ReferenceData!$F$230),"")</f>
        <v/>
      </c>
      <c r="G230">
        <f ca="1">IFERROR(IF(0=LEN(ReferenceData!$G$230),"",ReferenceData!$G$230),"")</f>
        <v>2.8822309700000002</v>
      </c>
      <c r="H230">
        <f ca="1">IFERROR(IF(0=LEN(ReferenceData!$H$230),"",ReferenceData!$H$230),"")</f>
        <v>2.2343972650000001</v>
      </c>
      <c r="I230">
        <f ca="1">IFERROR(IF(0=LEN(ReferenceData!$I$230),"",ReferenceData!$I$230),"")</f>
        <v>1.903879546</v>
      </c>
      <c r="J230">
        <f ca="1">IFERROR(IF(0=LEN(ReferenceData!$J$230),"",ReferenceData!$J$230),"")</f>
        <v>2.5431932339999999</v>
      </c>
      <c r="K230">
        <f ca="1">IFERROR(IF(0=LEN(ReferenceData!$K$230),"",ReferenceData!$K$230),"")</f>
        <v>2.9925739259999999</v>
      </c>
      <c r="L230">
        <f ca="1">IFERROR(IF(0=LEN(ReferenceData!$L$230),"",ReferenceData!$L$230),"")</f>
        <v>1.866850203</v>
      </c>
      <c r="M230">
        <f ca="1">IFERROR(IF(0=LEN(ReferenceData!$M$230),"",ReferenceData!$M$230),"")</f>
        <v>2.1155905929999999</v>
      </c>
      <c r="N230">
        <f ca="1">IFERROR(IF(0=LEN(ReferenceData!$N$230),"",ReferenceData!$N$230),"")</f>
        <v>2.3110890560000001</v>
      </c>
      <c r="O230">
        <f ca="1">IFERROR(IF(0=LEN(ReferenceData!$O$230),"",ReferenceData!$O$230),"")</f>
        <v>1.3869317130000001</v>
      </c>
      <c r="P230">
        <f ca="1">IFERROR(IF(0=LEN(ReferenceData!$P$230),"",ReferenceData!$P$230),"")</f>
        <v>2.640672694</v>
      </c>
      <c r="Q230">
        <f ca="1">IFERROR(IF(0=LEN(ReferenceData!$Q$230),"",ReferenceData!$Q$230),"")</f>
        <v>2.5403394339999998</v>
      </c>
      <c r="R230">
        <f ca="1">IFERROR(IF(0=LEN(ReferenceData!$R$230),"",ReferenceData!$R$230),"")</f>
        <v>2.5990582139999998</v>
      </c>
      <c r="S230">
        <f ca="1">IFERROR(IF(0=LEN(ReferenceData!$S$230),"",ReferenceData!$S$230),"")</f>
        <v>2.932910401</v>
      </c>
      <c r="T230">
        <f ca="1">IFERROR(IF(0=LEN(ReferenceData!$T$230),"",ReferenceData!$T$230),"")</f>
        <v>2.7247238149999999</v>
      </c>
      <c r="U230">
        <f ca="1">IFERROR(IF(0=LEN(ReferenceData!$U$230),"",ReferenceData!$U$230),"")</f>
        <v>2.6624561820000001</v>
      </c>
      <c r="V230">
        <f ca="1">IFERROR(IF(0=LEN(ReferenceData!$V$230),"",ReferenceData!$V$230),"")</f>
        <v>2.3005128250000002</v>
      </c>
      <c r="W230">
        <f ca="1">IFERROR(IF(0=LEN(ReferenceData!$W$230),"",ReferenceData!$W$230),"")</f>
        <v>2.1230556229999999</v>
      </c>
      <c r="X230">
        <f ca="1">IFERROR(IF(0=LEN(ReferenceData!$X$230),"",ReferenceData!$X$230),"")</f>
        <v>2.6174332819999999</v>
      </c>
      <c r="Y230">
        <f ca="1">IFERROR(IF(0=LEN(ReferenceData!$Y$230),"",ReferenceData!$Y$230),"")</f>
        <v>2.237156352</v>
      </c>
      <c r="Z230">
        <f ca="1">IFERROR(IF(0=LEN(ReferenceData!$Z$230),"",ReferenceData!$Z$230),"")</f>
        <v>2.515888356</v>
      </c>
      <c r="AA230">
        <f ca="1">IFERROR(IF(0=LEN(ReferenceData!$AA$230),"",ReferenceData!$AA$230),"")</f>
        <v>2.4787049529999998</v>
      </c>
      <c r="AB230">
        <f ca="1">IFERROR(IF(0=LEN(ReferenceData!$AB$230),"",ReferenceData!$AB$230),"")</f>
        <v>2.49285779</v>
      </c>
      <c r="AC230">
        <f ca="1">IFERROR(IF(0=LEN(ReferenceData!$AC$230),"",ReferenceData!$AC$230),"")</f>
        <v>2.49212386</v>
      </c>
      <c r="AD230">
        <f ca="1">IFERROR(IF(0=LEN(ReferenceData!$AD$230),"",ReferenceData!$AD$230),"")</f>
        <v>2.4713076040000002</v>
      </c>
      <c r="AE230">
        <f ca="1">IFERROR(IF(0=LEN(ReferenceData!$AE$230),"",ReferenceData!$AE$230),"")</f>
        <v>2.818048756</v>
      </c>
      <c r="AF230">
        <f ca="1">IFERROR(IF(0=LEN(ReferenceData!$AF$230),"",ReferenceData!$AF$230),"")</f>
        <v>1.7563397009999999</v>
      </c>
      <c r="AG230">
        <f ca="1">IFERROR(IF(0=LEN(ReferenceData!$AG$230),"",ReferenceData!$AG$230),"")</f>
        <v>2.3970603970000002</v>
      </c>
      <c r="AH230">
        <f ca="1">IFERROR(IF(0=LEN(ReferenceData!$AH$230),"",ReferenceData!$AH$230),"")</f>
        <v>2.3625055979999998</v>
      </c>
      <c r="AI230">
        <f ca="1">IFERROR(IF(0=LEN(ReferenceData!$AI$230),"",ReferenceData!$AI$230),"")</f>
        <v>2.5342863009999999</v>
      </c>
      <c r="AJ230">
        <f ca="1">IFERROR(IF(0=LEN(ReferenceData!$AJ$230),"",ReferenceData!$AJ$230),"")</f>
        <v>2.34490759</v>
      </c>
      <c r="AK230">
        <f ca="1">IFERROR(IF(0=LEN(ReferenceData!$AK$230),"",ReferenceData!$AK$230),"")</f>
        <v>2.3302318729999998</v>
      </c>
      <c r="AL230">
        <f ca="1">IFERROR(IF(0=LEN(ReferenceData!$AL$230),"",ReferenceData!$AL$230),"")</f>
        <v>2.3065980640000001</v>
      </c>
      <c r="AM230">
        <f ca="1">IFERROR(IF(0=LEN(ReferenceData!$AM$230),"",ReferenceData!$AM$230),"")</f>
        <v>1.101046126</v>
      </c>
      <c r="AN230">
        <f ca="1">IFERROR(IF(0=LEN(ReferenceData!$AN$230),"",ReferenceData!$AN$230),"")</f>
        <v>2.1797074890000001</v>
      </c>
      <c r="AO230">
        <f ca="1">IFERROR(IF(0=LEN(ReferenceData!$AO$230),"",ReferenceData!$AO$230),"")</f>
        <v>2.2995991980000001</v>
      </c>
      <c r="AP230">
        <f ca="1">IFERROR(IF(0=LEN(ReferenceData!$AP$230),"",ReferenceData!$AP$230),"")</f>
        <v>2.2648919240000001</v>
      </c>
      <c r="AQ230">
        <f ca="1">IFERROR(IF(0=LEN(ReferenceData!$AQ$230),"",ReferenceData!$AQ$230),"")</f>
        <v>2.3123304660000001</v>
      </c>
      <c r="AR230">
        <f ca="1">IFERROR(IF(0=LEN(ReferenceData!$AR$230),"",ReferenceData!$AR$230),"")</f>
        <v>2.4337710229999998</v>
      </c>
      <c r="AS230">
        <f ca="1">IFERROR(IF(0=LEN(ReferenceData!$AS$230),"",ReferenceData!$AS$230),"")</f>
        <v>2.2727901369999999</v>
      </c>
      <c r="AT230">
        <f ca="1">IFERROR(IF(0=LEN(ReferenceData!$AT$230),"",ReferenceData!$AT$230),"")</f>
        <v>2.2953739729999998</v>
      </c>
      <c r="AU230">
        <f ca="1">IFERROR(IF(0=LEN(ReferenceData!$AU$230),"",ReferenceData!$AU$230),"")</f>
        <v>2.4875764409999999</v>
      </c>
      <c r="AV230">
        <f ca="1">IFERROR(IF(0=LEN(ReferenceData!$AV$230),"",ReferenceData!$AV$230),"")</f>
        <v>2.4772289129999998</v>
      </c>
      <c r="AW230">
        <f ca="1">IFERROR(IF(0=LEN(ReferenceData!$AW$230),"",ReferenceData!$AW$230),"")</f>
        <v>2.4991050490000002</v>
      </c>
      <c r="AX230">
        <f ca="1">IFERROR(IF(0=LEN(ReferenceData!$AX$230),"",ReferenceData!$AX$230),"")</f>
        <v>2.5231214689999999</v>
      </c>
      <c r="AY230">
        <f ca="1">IFERROR(IF(0=LEN(ReferenceData!$AY$230),"",ReferenceData!$AY$230),"")</f>
        <v>2.9110830729999999</v>
      </c>
      <c r="AZ230">
        <f ca="1">IFERROR(IF(0=LEN(ReferenceData!$AZ$230),"",ReferenceData!$AZ$230),"")</f>
        <v>2.539813798</v>
      </c>
      <c r="BA230">
        <f ca="1">IFERROR(IF(0=LEN(ReferenceData!$BA$230),"",ReferenceData!$BA$230),"")</f>
        <v>2.5477932590000001</v>
      </c>
      <c r="BB230">
        <f ca="1">IFERROR(IF(0=LEN(ReferenceData!$BB$230),"",ReferenceData!$BB$230),"")</f>
        <v>2.653716561</v>
      </c>
      <c r="BC230">
        <f ca="1">IFERROR(IF(0=LEN(ReferenceData!$BC$230),"",ReferenceData!$BC$230),"")</f>
        <v>2.9374617459999999</v>
      </c>
      <c r="BD230">
        <f ca="1">IFERROR(IF(0=LEN(ReferenceData!$BD$230),"",ReferenceData!$BD$230),"")</f>
        <v>2.744556899</v>
      </c>
      <c r="BE230">
        <f ca="1">IFERROR(IF(0=LEN(ReferenceData!$BE$230),"",ReferenceData!$BE$230),"")</f>
        <v>2.5982113629999999</v>
      </c>
      <c r="BF230">
        <f ca="1">IFERROR(IF(0=LEN(ReferenceData!$BF$230),"",ReferenceData!$BF$230),"")</f>
        <v>2.8404951340000002</v>
      </c>
      <c r="BG230">
        <f ca="1">IFERROR(IF(0=LEN(ReferenceData!$BG$230),"",ReferenceData!$BG$230),"")</f>
        <v>2.9689461490000002</v>
      </c>
      <c r="BH230">
        <f ca="1">IFERROR(IF(0=LEN(ReferenceData!$BH$230),"",ReferenceData!$BH$230),"")</f>
        <v>3.0909239390000001</v>
      </c>
      <c r="BI230">
        <f ca="1">IFERROR(IF(0=LEN(ReferenceData!$BI$230),"",ReferenceData!$BI$230),"")</f>
        <v>2.3095975860000002</v>
      </c>
      <c r="BJ230">
        <f ca="1">IFERROR(IF(0=LEN(ReferenceData!$BJ$230),"",ReferenceData!$BJ$230),"")</f>
        <v>2.4142330310000002</v>
      </c>
      <c r="BK230">
        <f ca="1">IFERROR(IF(0=LEN(ReferenceData!$BK$230),"",ReferenceData!$BK$230),"")</f>
        <v>2.9212781219999999</v>
      </c>
      <c r="BL230">
        <f ca="1">IFERROR(IF(0=LEN(ReferenceData!$BL$230),"",ReferenceData!$BL$230),"")</f>
        <v>3.0801566970000001</v>
      </c>
      <c r="BM230">
        <f ca="1">IFERROR(IF(0=LEN(ReferenceData!$BM$230),"",ReferenceData!$BM$230),"")</f>
        <v>2.5994723400000002</v>
      </c>
    </row>
    <row r="231" spans="1:65">
      <c r="A231" t="str">
        <f>IFERROR(IF(0=LEN(ReferenceData!$A$231),"",ReferenceData!$A$231),"")</f>
        <v xml:space="preserve">    DDR Corp</v>
      </c>
      <c r="B231" t="str">
        <f>IFERROR(IF(0=LEN(ReferenceData!$B$231),"",ReferenceData!$B$231),"")</f>
        <v>DDR US Equity</v>
      </c>
      <c r="C231" t="str">
        <f>IFERROR(IF(0=LEN(ReferenceData!$C$231),"",ReferenceData!$C$231),"")</f>
        <v>RR553</v>
      </c>
      <c r="D231" t="str">
        <f>IFERROR(IF(0=LEN(ReferenceData!$D$231),"",ReferenceData!$D$231),"")</f>
        <v>EBITDA_RE_ASSET</v>
      </c>
      <c r="E231" t="str">
        <f>IFERROR(IF(0=LEN(ReferenceData!$E$231),"",ReferenceData!$E$231),"")</f>
        <v>动态</v>
      </c>
      <c r="F231" t="str">
        <f ca="1">IFERROR(IF(0=LEN(ReferenceData!$F$231),"",ReferenceData!$F$231),"")</f>
        <v/>
      </c>
      <c r="G231">
        <f ca="1">IFERROR(IF(0=LEN(ReferenceData!$G$231),"",ReferenceData!$G$231),"")</f>
        <v>-2.2136717579999998</v>
      </c>
      <c r="H231">
        <f ca="1">IFERROR(IF(0=LEN(ReferenceData!$H$231),"",ReferenceData!$H$231),"")</f>
        <v>1.8733158670000001</v>
      </c>
      <c r="I231">
        <f ca="1">IFERROR(IF(0=LEN(ReferenceData!$I$231),"",ReferenceData!$I$231),"")</f>
        <v>1.6084341360000001</v>
      </c>
      <c r="J231">
        <f ca="1">IFERROR(IF(0=LEN(ReferenceData!$J$231),"",ReferenceData!$J$231),"")</f>
        <v>1.5742198039999999</v>
      </c>
      <c r="K231">
        <f ca="1">IFERROR(IF(0=LEN(ReferenceData!$K$231),"",ReferenceData!$K$231),"")</f>
        <v>1.821437252</v>
      </c>
      <c r="L231">
        <f ca="1">IFERROR(IF(0=LEN(ReferenceData!$L$231),"",ReferenceData!$L$231),"")</f>
        <v>0.75181411300000001</v>
      </c>
      <c r="M231">
        <f ca="1">IFERROR(IF(0=LEN(ReferenceData!$M$231),"",ReferenceData!$M$231),"")</f>
        <v>2.0000814610000002</v>
      </c>
      <c r="N231">
        <f ca="1">IFERROR(IF(0=LEN(ReferenceData!$N$231),"",ReferenceData!$N$231),"")</f>
        <v>1.941288216</v>
      </c>
      <c r="O231">
        <f ca="1">IFERROR(IF(0=LEN(ReferenceData!$O$231),"",ReferenceData!$O$231),"")</f>
        <v>1.8253838870000001</v>
      </c>
      <c r="P231">
        <f ca="1">IFERROR(IF(0=LEN(ReferenceData!$P$231),"",ReferenceData!$P$231),"")</f>
        <v>1.9420077149999999</v>
      </c>
      <c r="Q231">
        <f ca="1">IFERROR(IF(0=LEN(ReferenceData!$Q$231),"",ReferenceData!$Q$231),"")</f>
        <v>1.9033775079999999</v>
      </c>
      <c r="R231">
        <f ca="1">IFERROR(IF(0=LEN(ReferenceData!$R$231),"",ReferenceData!$R$231),"")</f>
        <v>-1.344903526</v>
      </c>
      <c r="S231">
        <f ca="1">IFERROR(IF(0=LEN(ReferenceData!$S$231),"",ReferenceData!$S$231),"")</f>
        <v>1.3669663350000001</v>
      </c>
      <c r="T231">
        <f ca="1">IFERROR(IF(0=LEN(ReferenceData!$T$231),"",ReferenceData!$T$231),"")</f>
        <v>1.7850652060000001</v>
      </c>
      <c r="U231">
        <f ca="1">IFERROR(IF(0=LEN(ReferenceData!$U$231),"",ReferenceData!$U$231),"")</f>
        <v>1.659526992</v>
      </c>
      <c r="V231">
        <f ca="1">IFERROR(IF(0=LEN(ReferenceData!$V$231),"",ReferenceData!$V$231),"")</f>
        <v>1.6540715530000001</v>
      </c>
      <c r="W231">
        <f ca="1">IFERROR(IF(0=LEN(ReferenceData!$W$231),"",ReferenceData!$W$231),"")</f>
        <v>1.6695626109999999</v>
      </c>
      <c r="X231">
        <f ca="1">IFERROR(IF(0=LEN(ReferenceData!$X$231),"",ReferenceData!$X$231),"")</f>
        <v>1.5253881220000001</v>
      </c>
      <c r="Y231">
        <f ca="1">IFERROR(IF(0=LEN(ReferenceData!$Y$231),"",ReferenceData!$Y$231),"")</f>
        <v>1.582342414</v>
      </c>
      <c r="Z231">
        <f ca="1">IFERROR(IF(0=LEN(ReferenceData!$Z$231),"",ReferenceData!$Z$231),"")</f>
        <v>1.597525678</v>
      </c>
      <c r="AA231">
        <f ca="1">IFERROR(IF(0=LEN(ReferenceData!$AA$231),"",ReferenceData!$AA$231),"")</f>
        <v>1.499961635</v>
      </c>
      <c r="AB231">
        <f ca="1">IFERROR(IF(0=LEN(ReferenceData!$AB$231),"",ReferenceData!$AB$231),"")</f>
        <v>1.257199138</v>
      </c>
      <c r="AC231">
        <f ca="1">IFERROR(IF(0=LEN(ReferenceData!$AC$231),"",ReferenceData!$AC$231),"")</f>
        <v>1.024859118</v>
      </c>
      <c r="AD231">
        <f ca="1">IFERROR(IF(0=LEN(ReferenceData!$AD$231),"",ReferenceData!$AD$231),"")</f>
        <v>1.584068247</v>
      </c>
      <c r="AE231">
        <f ca="1">IFERROR(IF(0=LEN(ReferenceData!$AE$231),"",ReferenceData!$AE$231),"")</f>
        <v>1.571563617</v>
      </c>
      <c r="AF231">
        <f ca="1">IFERROR(IF(0=LEN(ReferenceData!$AF$231),"",ReferenceData!$AF$231),"")</f>
        <v>0.89867731200000001</v>
      </c>
      <c r="AG231">
        <f ca="1">IFERROR(IF(0=LEN(ReferenceData!$AG$231),"",ReferenceData!$AG$231),"")</f>
        <v>1.4404644740000001</v>
      </c>
      <c r="AH231">
        <f ca="1">IFERROR(IF(0=LEN(ReferenceData!$AH$231),"",ReferenceData!$AH$231),"")</f>
        <v>1.3074529420000001</v>
      </c>
      <c r="AI231">
        <f ca="1">IFERROR(IF(0=LEN(ReferenceData!$AI$231),"",ReferenceData!$AI$231),"")</f>
        <v>1.2720697700000001</v>
      </c>
      <c r="AJ231">
        <f ca="1">IFERROR(IF(0=LEN(ReferenceData!$AJ$231),"",ReferenceData!$AJ$231),"")</f>
        <v>1.4450909919999999</v>
      </c>
      <c r="AK231">
        <f ca="1">IFERROR(IF(0=LEN(ReferenceData!$AK$231),"",ReferenceData!$AK$231),"")</f>
        <v>0.51111883300000005</v>
      </c>
      <c r="AL231">
        <f ca="1">IFERROR(IF(0=LEN(ReferenceData!$AL$231),"",ReferenceData!$AL$231),"")</f>
        <v>1.496333068</v>
      </c>
      <c r="AM231">
        <f ca="1">IFERROR(IF(0=LEN(ReferenceData!$AM$231),"",ReferenceData!$AM$231),"")</f>
        <v>1.6380411530000001</v>
      </c>
      <c r="AN231">
        <f ca="1">IFERROR(IF(0=LEN(ReferenceData!$AN$231),"",ReferenceData!$AN$231),"")</f>
        <v>0.59092731499999995</v>
      </c>
      <c r="AO231">
        <f ca="1">IFERROR(IF(0=LEN(ReferenceData!$AO$231),"",ReferenceData!$AO$231),"")</f>
        <v>0.24682547399999999</v>
      </c>
      <c r="AP231">
        <f ca="1">IFERROR(IF(0=LEN(ReferenceData!$AP$231),"",ReferenceData!$AP$231),"")</f>
        <v>1.4060896810000001</v>
      </c>
      <c r="AQ231">
        <f ca="1">IFERROR(IF(0=LEN(ReferenceData!$AQ$231),"",ReferenceData!$AQ$231),"")</f>
        <v>2.366168311</v>
      </c>
      <c r="AR231">
        <f ca="1">IFERROR(IF(0=LEN(ReferenceData!$AR$231),"",ReferenceData!$AR$231),"")</f>
        <v>1.61339834</v>
      </c>
      <c r="AS231">
        <f ca="1">IFERROR(IF(0=LEN(ReferenceData!$AS$231),"",ReferenceData!$AS$231),"")</f>
        <v>0.97031856000000005</v>
      </c>
      <c r="AT231">
        <f ca="1">IFERROR(IF(0=LEN(ReferenceData!$AT$231),"",ReferenceData!$AT$231),"")</f>
        <v>1.761961015</v>
      </c>
      <c r="AU231" t="str">
        <f ca="1">IFERROR(IF(0=LEN(ReferenceData!$AU$231),"",ReferenceData!$AU$231),"")</f>
        <v/>
      </c>
      <c r="AV231" t="str">
        <f ca="1">IFERROR(IF(0=LEN(ReferenceData!$AV$231),"",ReferenceData!$AV$231),"")</f>
        <v/>
      </c>
      <c r="AW231" t="str">
        <f ca="1">IFERROR(IF(0=LEN(ReferenceData!$AW$231),"",ReferenceData!$AW$231),"")</f>
        <v/>
      </c>
      <c r="AX231">
        <f ca="1">IFERROR(IF(0=LEN(ReferenceData!$AX$231),"",ReferenceData!$AX$231),"")</f>
        <v>1.4297361550000001</v>
      </c>
      <c r="AY231" t="str">
        <f ca="1">IFERROR(IF(0=LEN(ReferenceData!$AY$231),"",ReferenceData!$AY$231),"")</f>
        <v/>
      </c>
      <c r="AZ231" t="str">
        <f ca="1">IFERROR(IF(0=LEN(ReferenceData!$AZ$231),"",ReferenceData!$AZ$231),"")</f>
        <v/>
      </c>
      <c r="BA231" t="str">
        <f ca="1">IFERROR(IF(0=LEN(ReferenceData!$BA$231),"",ReferenceData!$BA$231),"")</f>
        <v/>
      </c>
      <c r="BB231" t="str">
        <f ca="1">IFERROR(IF(0=LEN(ReferenceData!$BB$231),"",ReferenceData!$BB$231),"")</f>
        <v/>
      </c>
      <c r="BC231">
        <f ca="1">IFERROR(IF(0=LEN(ReferenceData!$BC$231),"",ReferenceData!$BC$231),"")</f>
        <v>3.2228478059999999</v>
      </c>
      <c r="BD231">
        <f ca="1">IFERROR(IF(0=LEN(ReferenceData!$BD$231),"",ReferenceData!$BD$231),"")</f>
        <v>1.8276055440000001</v>
      </c>
      <c r="BE231" t="str">
        <f ca="1">IFERROR(IF(0=LEN(ReferenceData!$BE$231),"",ReferenceData!$BE$231),"")</f>
        <v/>
      </c>
      <c r="BF231" t="str">
        <f ca="1">IFERROR(IF(0=LEN(ReferenceData!$BF$231),"",ReferenceData!$BF$231),"")</f>
        <v/>
      </c>
      <c r="BG231">
        <f ca="1">IFERROR(IF(0=LEN(ReferenceData!$BG$231),"",ReferenceData!$BG$231),"")</f>
        <v>1.966210301</v>
      </c>
      <c r="BH231">
        <f ca="1">IFERROR(IF(0=LEN(ReferenceData!$BH$231),"",ReferenceData!$BH$231),"")</f>
        <v>1.905919473</v>
      </c>
      <c r="BI231" t="str">
        <f ca="1">IFERROR(IF(0=LEN(ReferenceData!$BI$231),"",ReferenceData!$BI$231),"")</f>
        <v/>
      </c>
      <c r="BJ231" t="str">
        <f ca="1">IFERROR(IF(0=LEN(ReferenceData!$BJ$231),"",ReferenceData!$BJ$231),"")</f>
        <v/>
      </c>
      <c r="BK231" t="str">
        <f ca="1">IFERROR(IF(0=LEN(ReferenceData!$BK$231),"",ReferenceData!$BK$231),"")</f>
        <v/>
      </c>
      <c r="BL231" t="str">
        <f ca="1">IFERROR(IF(0=LEN(ReferenceData!$BL$231),"",ReferenceData!$BL$231),"")</f>
        <v/>
      </c>
      <c r="BM231" t="str">
        <f ca="1">IFERROR(IF(0=LEN(ReferenceData!$BM$231),"",ReferenceData!$BM$231),"")</f>
        <v/>
      </c>
    </row>
    <row r="232" spans="1:65">
      <c r="A232" t="str">
        <f>IFERROR(IF(0=LEN(ReferenceData!$A$232),"",ReferenceData!$A$232),"")</f>
        <v xml:space="preserve">    Federal Realty Investment Trus</v>
      </c>
      <c r="B232" t="str">
        <f>IFERROR(IF(0=LEN(ReferenceData!$B$232),"",ReferenceData!$B$232),"")</f>
        <v>FRT US Equity</v>
      </c>
      <c r="C232" t="str">
        <f>IFERROR(IF(0=LEN(ReferenceData!$C$232),"",ReferenceData!$C$232),"")</f>
        <v>RR553</v>
      </c>
      <c r="D232" t="str">
        <f>IFERROR(IF(0=LEN(ReferenceData!$D$232),"",ReferenceData!$D$232),"")</f>
        <v>EBITDA_RE_ASSET</v>
      </c>
      <c r="E232" t="str">
        <f>IFERROR(IF(0=LEN(ReferenceData!$E$232),"",ReferenceData!$E$232),"")</f>
        <v>动态</v>
      </c>
      <c r="F232" t="str">
        <f ca="1">IFERROR(IF(0=LEN(ReferenceData!$F$232),"",ReferenceData!$F$232),"")</f>
        <v/>
      </c>
      <c r="G232">
        <f ca="1">IFERROR(IF(0=LEN(ReferenceData!$G$232),"",ReferenceData!$G$232),"")</f>
        <v>2.4007175780000001</v>
      </c>
      <c r="H232">
        <f ca="1">IFERROR(IF(0=LEN(ReferenceData!$H$232),"",ReferenceData!$H$232),"")</f>
        <v>2.4349166219999998</v>
      </c>
      <c r="I232">
        <f ca="1">IFERROR(IF(0=LEN(ReferenceData!$I$232),"",ReferenceData!$I$232),"")</f>
        <v>2.5482106720000002</v>
      </c>
      <c r="J232">
        <f ca="1">IFERROR(IF(0=LEN(ReferenceData!$J$232),"",ReferenceData!$J$232),"")</f>
        <v>2.5271959270000002</v>
      </c>
      <c r="K232">
        <f ca="1">IFERROR(IF(0=LEN(ReferenceData!$K$232),"",ReferenceData!$K$232),"")</f>
        <v>2.599708707</v>
      </c>
      <c r="L232">
        <f ca="1">IFERROR(IF(0=LEN(ReferenceData!$L$232),"",ReferenceData!$L$232),"")</f>
        <v>2.609799964</v>
      </c>
      <c r="M232">
        <f ca="1">IFERROR(IF(0=LEN(ReferenceData!$M$232),"",ReferenceData!$M$232),"")</f>
        <v>2.6464180110000002</v>
      </c>
      <c r="N232">
        <f ca="1">IFERROR(IF(0=LEN(ReferenceData!$N$232),"",ReferenceData!$N$232),"")</f>
        <v>2.6016930060000001</v>
      </c>
      <c r="O232">
        <f ca="1">IFERROR(IF(0=LEN(ReferenceData!$O$232),"",ReferenceData!$O$232),"")</f>
        <v>2.674892845</v>
      </c>
      <c r="P232">
        <f ca="1">IFERROR(IF(0=LEN(ReferenceData!$P$232),"",ReferenceData!$P$232),"")</f>
        <v>2.6864655449999999</v>
      </c>
      <c r="Q232">
        <f ca="1">IFERROR(IF(0=LEN(ReferenceData!$Q$232),"",ReferenceData!$Q$232),"")</f>
        <v>2.6868543900000001</v>
      </c>
      <c r="R232">
        <f ca="1">IFERROR(IF(0=LEN(ReferenceData!$R$232),"",ReferenceData!$R$232),"")</f>
        <v>2.6767563270000001</v>
      </c>
      <c r="S232">
        <f ca="1">IFERROR(IF(0=LEN(ReferenceData!$S$232),"",ReferenceData!$S$232),"")</f>
        <v>2.7189199679999998</v>
      </c>
      <c r="T232">
        <f ca="1">IFERROR(IF(0=LEN(ReferenceData!$T$232),"",ReferenceData!$T$232),"")</f>
        <v>2.632509905</v>
      </c>
      <c r="U232">
        <f ca="1">IFERROR(IF(0=LEN(ReferenceData!$U$232),"",ReferenceData!$U$232),"")</f>
        <v>2.6322269149999999</v>
      </c>
      <c r="V232">
        <f ca="1">IFERROR(IF(0=LEN(ReferenceData!$V$232),"",ReferenceData!$V$232),"")</f>
        <v>2.6216842269999998</v>
      </c>
      <c r="W232">
        <f ca="1">IFERROR(IF(0=LEN(ReferenceData!$W$232),"",ReferenceData!$W$232),"")</f>
        <v>2.693590565</v>
      </c>
      <c r="X232">
        <f ca="1">IFERROR(IF(0=LEN(ReferenceData!$X$232),"",ReferenceData!$X$232),"")</f>
        <v>2.7405088800000001</v>
      </c>
      <c r="Y232">
        <f ca="1">IFERROR(IF(0=LEN(ReferenceData!$Y$232),"",ReferenceData!$Y$232),"")</f>
        <v>2.7531764189999999</v>
      </c>
      <c r="Z232">
        <f ca="1">IFERROR(IF(0=LEN(ReferenceData!$Z$232),"",ReferenceData!$Z$232),"")</f>
        <v>2.8205718000000002</v>
      </c>
      <c r="AA232">
        <f ca="1">IFERROR(IF(0=LEN(ReferenceData!$AA$232),"",ReferenceData!$AA$232),"")</f>
        <v>2.7798631889999998</v>
      </c>
      <c r="AB232">
        <f ca="1">IFERROR(IF(0=LEN(ReferenceData!$AB$232),"",ReferenceData!$AB$232),"")</f>
        <v>2.9707532680000002</v>
      </c>
      <c r="AC232">
        <f ca="1">IFERROR(IF(0=LEN(ReferenceData!$AC$232),"",ReferenceData!$AC$232),"")</f>
        <v>2.854883665</v>
      </c>
      <c r="AD232">
        <f ca="1">IFERROR(IF(0=LEN(ReferenceData!$AD$232),"",ReferenceData!$AD$232),"")</f>
        <v>2.8632735149999999</v>
      </c>
      <c r="AE232">
        <f ca="1">IFERROR(IF(0=LEN(ReferenceData!$AE$232),"",ReferenceData!$AE$232),"")</f>
        <v>2.6285452949999999</v>
      </c>
      <c r="AF232">
        <f ca="1">IFERROR(IF(0=LEN(ReferenceData!$AF$232),"",ReferenceData!$AF$232),"")</f>
        <v>2.930729677</v>
      </c>
      <c r="AG232">
        <f ca="1">IFERROR(IF(0=LEN(ReferenceData!$AG$232),"",ReferenceData!$AG$232),"")</f>
        <v>2.973782929</v>
      </c>
      <c r="AH232">
        <f ca="1">IFERROR(IF(0=LEN(ReferenceData!$AH$232),"",ReferenceData!$AH$232),"")</f>
        <v>2.8812335400000002</v>
      </c>
      <c r="AI232">
        <f ca="1">IFERROR(IF(0=LEN(ReferenceData!$AI$232),"",ReferenceData!$AI$232),"")</f>
        <v>3.0434929999999998</v>
      </c>
      <c r="AJ232">
        <f ca="1">IFERROR(IF(0=LEN(ReferenceData!$AJ$232),"",ReferenceData!$AJ$232),"")</f>
        <v>2.9171601850000002</v>
      </c>
      <c r="AK232">
        <f ca="1">IFERROR(IF(0=LEN(ReferenceData!$AK$232),"",ReferenceData!$AK$232),"")</f>
        <v>2.9878496609999998</v>
      </c>
      <c r="AL232">
        <f ca="1">IFERROR(IF(0=LEN(ReferenceData!$AL$232),"",ReferenceData!$AL$232),"")</f>
        <v>3.0284647580000001</v>
      </c>
      <c r="AM232">
        <f ca="1">IFERROR(IF(0=LEN(ReferenceData!$AM$232),"",ReferenceData!$AM$232),"")</f>
        <v>3.1661699219999999</v>
      </c>
      <c r="AN232">
        <f ca="1">IFERROR(IF(0=LEN(ReferenceData!$AN$232),"",ReferenceData!$AN$232),"")</f>
        <v>2.976805675</v>
      </c>
      <c r="AO232">
        <f ca="1">IFERROR(IF(0=LEN(ReferenceData!$AO$232),"",ReferenceData!$AO$232),"")</f>
        <v>2.936399985</v>
      </c>
      <c r="AP232">
        <f ca="1">IFERROR(IF(0=LEN(ReferenceData!$AP$232),"",ReferenceData!$AP$232),"")</f>
        <v>2.1624113180000002</v>
      </c>
      <c r="AQ232">
        <f ca="1">IFERROR(IF(0=LEN(ReferenceData!$AQ$232),"",ReferenceData!$AQ$232),"")</f>
        <v>2.866052544</v>
      </c>
      <c r="AR232">
        <f ca="1">IFERROR(IF(0=LEN(ReferenceData!$AR$232),"",ReferenceData!$AR$232),"")</f>
        <v>2.9132365550000001</v>
      </c>
      <c r="AS232">
        <f ca="1">IFERROR(IF(0=LEN(ReferenceData!$AS$232),"",ReferenceData!$AS$232),"")</f>
        <v>2.8655254139999999</v>
      </c>
      <c r="AT232">
        <f ca="1">IFERROR(IF(0=LEN(ReferenceData!$AT$232),"",ReferenceData!$AT$232),"")</f>
        <v>2.8636011090000002</v>
      </c>
      <c r="AU232">
        <f ca="1">IFERROR(IF(0=LEN(ReferenceData!$AU$232),"",ReferenceData!$AU$232),"")</f>
        <v>2.8804292029999998</v>
      </c>
      <c r="AV232">
        <f ca="1">IFERROR(IF(0=LEN(ReferenceData!$AV$232),"",ReferenceData!$AV$232),"")</f>
        <v>2.9368136649999999</v>
      </c>
      <c r="AW232">
        <f ca="1">IFERROR(IF(0=LEN(ReferenceData!$AW$232),"",ReferenceData!$AW$232),"")</f>
        <v>2.940875997</v>
      </c>
      <c r="AX232">
        <f ca="1">IFERROR(IF(0=LEN(ReferenceData!$AX$232),"",ReferenceData!$AX$232),"")</f>
        <v>2.8029146859999998</v>
      </c>
      <c r="AY232">
        <f ca="1">IFERROR(IF(0=LEN(ReferenceData!$AY$232),"",ReferenceData!$AY$232),"")</f>
        <v>2.7280582500000001</v>
      </c>
      <c r="AZ232">
        <f ca="1">IFERROR(IF(0=LEN(ReferenceData!$AZ$232),"",ReferenceData!$AZ$232),"")</f>
        <v>3.0509994709999999</v>
      </c>
      <c r="BA232">
        <f ca="1">IFERROR(IF(0=LEN(ReferenceData!$BA$232),"",ReferenceData!$BA$232),"")</f>
        <v>3.3165990320000001</v>
      </c>
      <c r="BB232">
        <f ca="1">IFERROR(IF(0=LEN(ReferenceData!$BB$232),"",ReferenceData!$BB$232),"")</f>
        <v>3.2378110470000001</v>
      </c>
      <c r="BC232">
        <f ca="1">IFERROR(IF(0=LEN(ReferenceData!$BC$232),"",ReferenceData!$BC$232),"")</f>
        <v>3.1151305109999998</v>
      </c>
      <c r="BD232">
        <f ca="1">IFERROR(IF(0=LEN(ReferenceData!$BD$232),"",ReferenceData!$BD$232),"")</f>
        <v>3.0746881099999999</v>
      </c>
      <c r="BE232">
        <f ca="1">IFERROR(IF(0=LEN(ReferenceData!$BE$232),"",ReferenceData!$BE$232),"")</f>
        <v>3.1358343639999999</v>
      </c>
      <c r="BF232">
        <f ca="1">IFERROR(IF(0=LEN(ReferenceData!$BF$232),"",ReferenceData!$BF$232),"")</f>
        <v>2.9939922019999998</v>
      </c>
      <c r="BG232">
        <f ca="1">IFERROR(IF(0=LEN(ReferenceData!$BG$232),"",ReferenceData!$BG$232),"")</f>
        <v>2.9088598189999999</v>
      </c>
      <c r="BH232">
        <f ca="1">IFERROR(IF(0=LEN(ReferenceData!$BH$232),"",ReferenceData!$BH$232),"")</f>
        <v>4.973786123</v>
      </c>
      <c r="BI232">
        <f ca="1">IFERROR(IF(0=LEN(ReferenceData!$BI$232),"",ReferenceData!$BI$232),"")</f>
        <v>3.0062159720000001</v>
      </c>
      <c r="BJ232">
        <f ca="1">IFERROR(IF(0=LEN(ReferenceData!$BJ$232),"",ReferenceData!$BJ$232),"")</f>
        <v>2.864950522</v>
      </c>
      <c r="BK232">
        <f ca="1">IFERROR(IF(0=LEN(ReferenceData!$BK$232),"",ReferenceData!$BK$232),"")</f>
        <v>3.2069035260000001</v>
      </c>
      <c r="BL232">
        <f ca="1">IFERROR(IF(0=LEN(ReferenceData!$BL$232),"",ReferenceData!$BL$232),"")</f>
        <v>4.778735824</v>
      </c>
      <c r="BM232">
        <f ca="1">IFERROR(IF(0=LEN(ReferenceData!$BM$232),"",ReferenceData!$BM$232),"")</f>
        <v>3.7704075349999999</v>
      </c>
    </row>
    <row r="233" spans="1:65">
      <c r="A233" t="str">
        <f>IFERROR(IF(0=LEN(ReferenceData!$A$233),"",ReferenceData!$A$233),"")</f>
        <v xml:space="preserve">    Kimco Realty Corp</v>
      </c>
      <c r="B233" t="str">
        <f>IFERROR(IF(0=LEN(ReferenceData!$B$233),"",ReferenceData!$B$233),"")</f>
        <v>KIM US Equity</v>
      </c>
      <c r="C233" t="str">
        <f>IFERROR(IF(0=LEN(ReferenceData!$C$233),"",ReferenceData!$C$233),"")</f>
        <v>RR553</v>
      </c>
      <c r="D233" t="str">
        <f>IFERROR(IF(0=LEN(ReferenceData!$D$233),"",ReferenceData!$D$233),"")</f>
        <v>EBITDA_RE_ASSET</v>
      </c>
      <c r="E233" t="str">
        <f>IFERROR(IF(0=LEN(ReferenceData!$E$233),"",ReferenceData!$E$233),"")</f>
        <v>动态</v>
      </c>
      <c r="F233" t="str">
        <f ca="1">IFERROR(IF(0=LEN(ReferenceData!$F$233),"",ReferenceData!$F$233),"")</f>
        <v/>
      </c>
      <c r="G233">
        <f ca="1">IFERROR(IF(0=LEN(ReferenceData!$G$233),"",ReferenceData!$G$233),"")</f>
        <v>1.4995875240000001</v>
      </c>
      <c r="H233">
        <f ca="1">IFERROR(IF(0=LEN(ReferenceData!$H$233),"",ReferenceData!$H$233),"")</f>
        <v>1.7307850170000001</v>
      </c>
      <c r="I233">
        <f ca="1">IFERROR(IF(0=LEN(ReferenceData!$I$233),"",ReferenceData!$I$233),"")</f>
        <v>1.5061979599999999</v>
      </c>
      <c r="J233">
        <f ca="1">IFERROR(IF(0=LEN(ReferenceData!$J$233),"",ReferenceData!$J$233),"")</f>
        <v>1.7637485420000001</v>
      </c>
      <c r="K233">
        <f ca="1">IFERROR(IF(0=LEN(ReferenceData!$K$233),"",ReferenceData!$K$233),"")</f>
        <v>1.554517412</v>
      </c>
      <c r="L233">
        <f ca="1">IFERROR(IF(0=LEN(ReferenceData!$L$233),"",ReferenceData!$L$233),"")</f>
        <v>1.664331819</v>
      </c>
      <c r="M233">
        <f ca="1">IFERROR(IF(0=LEN(ReferenceData!$M$233),"",ReferenceData!$M$233),"")</f>
        <v>1.335821932</v>
      </c>
      <c r="N233">
        <f ca="1">IFERROR(IF(0=LEN(ReferenceData!$N$233),"",ReferenceData!$N$233),"")</f>
        <v>1.789224382</v>
      </c>
      <c r="O233">
        <f ca="1">IFERROR(IF(0=LEN(ReferenceData!$O$233),"",ReferenceData!$O$233),"")</f>
        <v>1.6146676390000001</v>
      </c>
      <c r="P233">
        <f ca="1">IFERROR(IF(0=LEN(ReferenceData!$P$233),"",ReferenceData!$P$233),"")</f>
        <v>1.703746354</v>
      </c>
      <c r="Q233">
        <f ca="1">IFERROR(IF(0=LEN(ReferenceData!$Q$233),"",ReferenceData!$Q$233),"")</f>
        <v>1.630611491</v>
      </c>
      <c r="R233">
        <f ca="1">IFERROR(IF(0=LEN(ReferenceData!$R$233),"",ReferenceData!$R$233),"")</f>
        <v>1.5751333519999999</v>
      </c>
      <c r="S233">
        <f ca="1">IFERROR(IF(0=LEN(ReferenceData!$S$233),"",ReferenceData!$S$233),"")</f>
        <v>1.630747967</v>
      </c>
      <c r="T233">
        <f ca="1">IFERROR(IF(0=LEN(ReferenceData!$T$233),"",ReferenceData!$T$233),"")</f>
        <v>1.723608397</v>
      </c>
      <c r="U233">
        <f ca="1">IFERROR(IF(0=LEN(ReferenceData!$U$233),"",ReferenceData!$U$233),"")</f>
        <v>1.4284687149999999</v>
      </c>
      <c r="V233">
        <f ca="1">IFERROR(IF(0=LEN(ReferenceData!$V$233),"",ReferenceData!$V$233),"")</f>
        <v>1.5357230719999999</v>
      </c>
      <c r="W233">
        <f ca="1">IFERROR(IF(0=LEN(ReferenceData!$W$233),"",ReferenceData!$W$233),"")</f>
        <v>1.577449621</v>
      </c>
      <c r="X233">
        <f ca="1">IFERROR(IF(0=LEN(ReferenceData!$X$233),"",ReferenceData!$X$233),"")</f>
        <v>0.91878117199999998</v>
      </c>
      <c r="Y233">
        <f ca="1">IFERROR(IF(0=LEN(ReferenceData!$Y$233),"",ReferenceData!$Y$233),"")</f>
        <v>1.235893994</v>
      </c>
      <c r="Z233">
        <f ca="1">IFERROR(IF(0=LEN(ReferenceData!$Z$233),"",ReferenceData!$Z$233),"")</f>
        <v>1.481851646</v>
      </c>
      <c r="AA233">
        <f ca="1">IFERROR(IF(0=LEN(ReferenceData!$AA$233),"",ReferenceData!$AA$233),"")</f>
        <v>1.4036772799999999</v>
      </c>
      <c r="AB233">
        <f ca="1">IFERROR(IF(0=LEN(ReferenceData!$AB$233),"",ReferenceData!$AB$233),"")</f>
        <v>1.5172539279999999</v>
      </c>
      <c r="AC233">
        <f ca="1">IFERROR(IF(0=LEN(ReferenceData!$AC$233),"",ReferenceData!$AC$233),"")</f>
        <v>1.5607821449999999</v>
      </c>
      <c r="AD233">
        <f ca="1">IFERROR(IF(0=LEN(ReferenceData!$AD$233),"",ReferenceData!$AD$233),"")</f>
        <v>1.484360355</v>
      </c>
      <c r="AE233">
        <f ca="1">IFERROR(IF(0=LEN(ReferenceData!$AE$233),"",ReferenceData!$AE$233),"")</f>
        <v>1.4135419250000001</v>
      </c>
      <c r="AF233">
        <f ca="1">IFERROR(IF(0=LEN(ReferenceData!$AF$233),"",ReferenceData!$AF$233),"")</f>
        <v>1.394353773</v>
      </c>
      <c r="AG233">
        <f ca="1">IFERROR(IF(0=LEN(ReferenceData!$AG$233),"",ReferenceData!$AG$233),"")</f>
        <v>1.4532843900000001</v>
      </c>
      <c r="AH233">
        <f ca="1">IFERROR(IF(0=LEN(ReferenceData!$AH$233),"",ReferenceData!$AH$233),"")</f>
        <v>1.471164342</v>
      </c>
      <c r="AI233">
        <f ca="1">IFERROR(IF(0=LEN(ReferenceData!$AI$233),"",ReferenceData!$AI$233),"")</f>
        <v>1.3815193830000001</v>
      </c>
      <c r="AJ233">
        <f ca="1">IFERROR(IF(0=LEN(ReferenceData!$AJ$233),"",ReferenceData!$AJ$233),"")</f>
        <v>1.4851315389999999</v>
      </c>
      <c r="AK233">
        <f ca="1">IFERROR(IF(0=LEN(ReferenceData!$AK$233),"",ReferenceData!$AK$233),"")</f>
        <v>1.5134599479999999</v>
      </c>
      <c r="AL233">
        <f ca="1">IFERROR(IF(0=LEN(ReferenceData!$AL$233),"",ReferenceData!$AL$233),"")</f>
        <v>1.487392257</v>
      </c>
      <c r="AM233">
        <f ca="1">IFERROR(IF(0=LEN(ReferenceData!$AM$233),"",ReferenceData!$AM$233),"")</f>
        <v>1.6075517290000001</v>
      </c>
      <c r="AN233">
        <f ca="1">IFERROR(IF(0=LEN(ReferenceData!$AN$233),"",ReferenceData!$AN$233),"")</f>
        <v>1.5229342029999999</v>
      </c>
      <c r="AO233">
        <f ca="1">IFERROR(IF(0=LEN(ReferenceData!$AO$233),"",ReferenceData!$AO$233),"")</f>
        <v>1.08482089</v>
      </c>
      <c r="AP233">
        <f ca="1">IFERROR(IF(0=LEN(ReferenceData!$AP$233),"",ReferenceData!$AP$233),"")</f>
        <v>1.4913391499999999</v>
      </c>
      <c r="AQ233">
        <f ca="1">IFERROR(IF(0=LEN(ReferenceData!$AQ$233),"",ReferenceData!$AQ$233),"")</f>
        <v>1.5025644920000001</v>
      </c>
      <c r="AR233">
        <f ca="1">IFERROR(IF(0=LEN(ReferenceData!$AR$233),"",ReferenceData!$AR$233),"")</f>
        <v>1.6691933450000001</v>
      </c>
      <c r="AS233">
        <f ca="1">IFERROR(IF(0=LEN(ReferenceData!$AS$233),"",ReferenceData!$AS$233),"")</f>
        <v>1.8069591359999999</v>
      </c>
      <c r="AT233">
        <f ca="1">IFERROR(IF(0=LEN(ReferenceData!$AT$233),"",ReferenceData!$AT$233),"")</f>
        <v>1.7437964589999999</v>
      </c>
      <c r="AU233">
        <f ca="1">IFERROR(IF(0=LEN(ReferenceData!$AU$233),"",ReferenceData!$AU$233),"")</f>
        <v>1.4332498220000001</v>
      </c>
      <c r="AV233">
        <f ca="1">IFERROR(IF(0=LEN(ReferenceData!$AV$233),"",ReferenceData!$AV$233),"")</f>
        <v>1.6211313300000001</v>
      </c>
      <c r="AW233">
        <f ca="1">IFERROR(IF(0=LEN(ReferenceData!$AW$233),"",ReferenceData!$AW$233),"")</f>
        <v>1.9075526679999999</v>
      </c>
      <c r="AX233">
        <f ca="1">IFERROR(IF(0=LEN(ReferenceData!$AX$233),"",ReferenceData!$AX$233),"")</f>
        <v>1.785541831</v>
      </c>
      <c r="AY233">
        <f ca="1">IFERROR(IF(0=LEN(ReferenceData!$AY$233),"",ReferenceData!$AY$233),"")</f>
        <v>2.8252716640000002</v>
      </c>
      <c r="AZ233">
        <f ca="1">IFERROR(IF(0=LEN(ReferenceData!$AZ$233),"",ReferenceData!$AZ$233),"")</f>
        <v>1.376960524</v>
      </c>
      <c r="BA233">
        <f ca="1">IFERROR(IF(0=LEN(ReferenceData!$BA$233),"",ReferenceData!$BA$233),"")</f>
        <v>2.3337874630000002</v>
      </c>
      <c r="BB233">
        <f ca="1">IFERROR(IF(0=LEN(ReferenceData!$BB$233),"",ReferenceData!$BB$233),"")</f>
        <v>2.014635304</v>
      </c>
      <c r="BC233">
        <f ca="1">IFERROR(IF(0=LEN(ReferenceData!$BC$233),"",ReferenceData!$BC$233),"")</f>
        <v>1.609188281</v>
      </c>
      <c r="BD233">
        <f ca="1">IFERROR(IF(0=LEN(ReferenceData!$BD$233),"",ReferenceData!$BD$233),"")</f>
        <v>2.1653066170000002</v>
      </c>
      <c r="BE233">
        <f ca="1">IFERROR(IF(0=LEN(ReferenceData!$BE$233),"",ReferenceData!$BE$233),"")</f>
        <v>2.5772002770000002</v>
      </c>
      <c r="BF233">
        <f ca="1">IFERROR(IF(0=LEN(ReferenceData!$BF$233),"",ReferenceData!$BF$233),"")</f>
        <v>2.4899711689999999</v>
      </c>
      <c r="BG233">
        <f ca="1">IFERROR(IF(0=LEN(ReferenceData!$BG$233),"",ReferenceData!$BG$233),"")</f>
        <v>2.3810773510000001</v>
      </c>
      <c r="BH233">
        <f ca="1">IFERROR(IF(0=LEN(ReferenceData!$BH$233),"",ReferenceData!$BH$233),"")</f>
        <v>2.5625404000000001</v>
      </c>
      <c r="BI233">
        <f ca="1">IFERROR(IF(0=LEN(ReferenceData!$BI$233),"",ReferenceData!$BI$233),"")</f>
        <v>2.4054536469999999</v>
      </c>
      <c r="BJ233">
        <f ca="1">IFERROR(IF(0=LEN(ReferenceData!$BJ$233),"",ReferenceData!$BJ$233),"")</f>
        <v>2.3072206020000001</v>
      </c>
      <c r="BK233" t="str">
        <f ca="1">IFERROR(IF(0=LEN(ReferenceData!$BK$233),"",ReferenceData!$BK$233),"")</f>
        <v/>
      </c>
      <c r="BL233">
        <f ca="1">IFERROR(IF(0=LEN(ReferenceData!$BL$233),"",ReferenceData!$BL$233),"")</f>
        <v>2.6660947240000001</v>
      </c>
      <c r="BM233">
        <f ca="1">IFERROR(IF(0=LEN(ReferenceData!$BM$233),"",ReferenceData!$BM$233),"")</f>
        <v>2.3293890639999999</v>
      </c>
    </row>
    <row r="234" spans="1:65">
      <c r="A234" t="str">
        <f>IFERROR(IF(0=LEN(ReferenceData!$A$234),"",ReferenceData!$A$234),"")</f>
        <v xml:space="preserve">    National Retail Properties Inc</v>
      </c>
      <c r="B234" t="str">
        <f>IFERROR(IF(0=LEN(ReferenceData!$B$234),"",ReferenceData!$B$234),"")</f>
        <v>NNN US Equity</v>
      </c>
      <c r="C234" t="str">
        <f>IFERROR(IF(0=LEN(ReferenceData!$C$234),"",ReferenceData!$C$234),"")</f>
        <v>RR553</v>
      </c>
      <c r="D234" t="str">
        <f>IFERROR(IF(0=LEN(ReferenceData!$D$234),"",ReferenceData!$D$234),"")</f>
        <v>EBITDA_RE_ASSET</v>
      </c>
      <c r="E234" t="str">
        <f>IFERROR(IF(0=LEN(ReferenceData!$E$234),"",ReferenceData!$E$234),"")</f>
        <v>动态</v>
      </c>
      <c r="F234" t="str">
        <f ca="1">IFERROR(IF(0=LEN(ReferenceData!$F$234),"",ReferenceData!$F$234),"")</f>
        <v/>
      </c>
      <c r="G234">
        <f ca="1">IFERROR(IF(0=LEN(ReferenceData!$G$234),"",ReferenceData!$G$234),"")</f>
        <v>1.9738583169999999</v>
      </c>
      <c r="H234">
        <f ca="1">IFERROR(IF(0=LEN(ReferenceData!$H$234),"",ReferenceData!$H$234),"")</f>
        <v>2.1539247509999999</v>
      </c>
      <c r="I234">
        <f ca="1">IFERROR(IF(0=LEN(ReferenceData!$I$234),"",ReferenceData!$I$234),"")</f>
        <v>1.99843985</v>
      </c>
      <c r="J234">
        <f ca="1">IFERROR(IF(0=LEN(ReferenceData!$J$234),"",ReferenceData!$J$234),"")</f>
        <v>2.111137678</v>
      </c>
      <c r="K234">
        <f ca="1">IFERROR(IF(0=LEN(ReferenceData!$K$234),"",ReferenceData!$K$234),"")</f>
        <v>2.1110615309999998</v>
      </c>
      <c r="L234">
        <f ca="1">IFERROR(IF(0=LEN(ReferenceData!$L$234),"",ReferenceData!$L$234),"")</f>
        <v>1.9139691910000001</v>
      </c>
      <c r="M234">
        <f ca="1">IFERROR(IF(0=LEN(ReferenceData!$M$234),"",ReferenceData!$M$234),"")</f>
        <v>1.969553879</v>
      </c>
      <c r="N234">
        <f ca="1">IFERROR(IF(0=LEN(ReferenceData!$N$234),"",ReferenceData!$N$234),"")</f>
        <v>2.085541181</v>
      </c>
      <c r="O234">
        <f ca="1">IFERROR(IF(0=LEN(ReferenceData!$O$234),"",ReferenceData!$O$234),"")</f>
        <v>2.0736537249999998</v>
      </c>
      <c r="P234">
        <f ca="1">IFERROR(IF(0=LEN(ReferenceData!$P$234),"",ReferenceData!$P$234),"")</f>
        <v>2.1077973390000002</v>
      </c>
      <c r="Q234">
        <f ca="1">IFERROR(IF(0=LEN(ReferenceData!$Q$234),"",ReferenceData!$Q$234),"")</f>
        <v>2.0416455010000001</v>
      </c>
      <c r="R234">
        <f ca="1">IFERROR(IF(0=LEN(ReferenceData!$R$234),"",ReferenceData!$R$234),"")</f>
        <v>2.0917209190000001</v>
      </c>
      <c r="S234">
        <f ca="1">IFERROR(IF(0=LEN(ReferenceData!$S$234),"",ReferenceData!$S$234),"")</f>
        <v>2.1451472360000001</v>
      </c>
      <c r="T234">
        <f ca="1">IFERROR(IF(0=LEN(ReferenceData!$T$234),"",ReferenceData!$T$234),"")</f>
        <v>2.0385931749999999</v>
      </c>
      <c r="U234">
        <f ca="1">IFERROR(IF(0=LEN(ReferenceData!$U$234),"",ReferenceData!$U$234),"")</f>
        <v>2.0927226110000001</v>
      </c>
      <c r="V234">
        <f ca="1">IFERROR(IF(0=LEN(ReferenceData!$V$234),"",ReferenceData!$V$234),"")</f>
        <v>2.0636251849999998</v>
      </c>
      <c r="W234">
        <f ca="1">IFERROR(IF(0=LEN(ReferenceData!$W$234),"",ReferenceData!$W$234),"")</f>
        <v>2.081749071</v>
      </c>
      <c r="X234">
        <f ca="1">IFERROR(IF(0=LEN(ReferenceData!$X$234),"",ReferenceData!$X$234),"")</f>
        <v>2.0691318380000001</v>
      </c>
      <c r="Y234">
        <f ca="1">IFERROR(IF(0=LEN(ReferenceData!$Y$234),"",ReferenceData!$Y$234),"")</f>
        <v>1.9292840360000001</v>
      </c>
      <c r="Z234">
        <f ca="1">IFERROR(IF(0=LEN(ReferenceData!$Z$234),"",ReferenceData!$Z$234),"")</f>
        <v>1.9924241899999999</v>
      </c>
      <c r="AA234">
        <f ca="1">IFERROR(IF(0=LEN(ReferenceData!$AA$234),"",ReferenceData!$AA$234),"")</f>
        <v>1.951196605</v>
      </c>
      <c r="AB234">
        <f ca="1">IFERROR(IF(0=LEN(ReferenceData!$AB$234),"",ReferenceData!$AB$234),"")</f>
        <v>1.8713075219999999</v>
      </c>
      <c r="AC234">
        <f ca="1">IFERROR(IF(0=LEN(ReferenceData!$AC$234),"",ReferenceData!$AC$234),"")</f>
        <v>1.8965923010000001</v>
      </c>
      <c r="AD234">
        <f ca="1">IFERROR(IF(0=LEN(ReferenceData!$AD$234),"",ReferenceData!$AD$234),"")</f>
        <v>1.8712570589999999</v>
      </c>
      <c r="AE234">
        <f ca="1">IFERROR(IF(0=LEN(ReferenceData!$AE$234),"",ReferenceData!$AE$234),"")</f>
        <v>1.815312576</v>
      </c>
      <c r="AF234">
        <f ca="1">IFERROR(IF(0=LEN(ReferenceData!$AF$234),"",ReferenceData!$AF$234),"")</f>
        <v>1.8592148479999999</v>
      </c>
      <c r="AG234">
        <f ca="1">IFERROR(IF(0=LEN(ReferenceData!$AG$234),"",ReferenceData!$AG$234),"")</f>
        <v>1.916601115</v>
      </c>
      <c r="AH234">
        <f ca="1">IFERROR(IF(0=LEN(ReferenceData!$AH$234),"",ReferenceData!$AH$234),"")</f>
        <v>1.9201196410000001</v>
      </c>
      <c r="AI234">
        <f ca="1">IFERROR(IF(0=LEN(ReferenceData!$AI$234),"",ReferenceData!$AI$234),"")</f>
        <v>1.6101776249999999</v>
      </c>
      <c r="AJ234">
        <f ca="1">IFERROR(IF(0=LEN(ReferenceData!$AJ$234),"",ReferenceData!$AJ$234),"")</f>
        <v>1.912194612</v>
      </c>
      <c r="AK234">
        <f ca="1">IFERROR(IF(0=LEN(ReferenceData!$AK$234),"",ReferenceData!$AK$234),"")</f>
        <v>1.9503195120000001</v>
      </c>
      <c r="AL234">
        <f ca="1">IFERROR(IF(0=LEN(ReferenceData!$AL$234),"",ReferenceData!$AL$234),"")</f>
        <v>1.758170666</v>
      </c>
      <c r="AM234">
        <f ca="1">IFERROR(IF(0=LEN(ReferenceData!$AM$234),"",ReferenceData!$AM$234),"")</f>
        <v>0.85113006499999999</v>
      </c>
      <c r="AN234">
        <f ca="1">IFERROR(IF(0=LEN(ReferenceData!$AN$234),"",ReferenceData!$AN$234),"")</f>
        <v>1.91580956</v>
      </c>
      <c r="AO234">
        <f ca="1">IFERROR(IF(0=LEN(ReferenceData!$AO$234),"",ReferenceData!$AO$234),"")</f>
        <v>1.9263429510000001</v>
      </c>
      <c r="AP234">
        <f ca="1">IFERROR(IF(0=LEN(ReferenceData!$AP$234),"",ReferenceData!$AP$234),"")</f>
        <v>1.9074795950000001</v>
      </c>
      <c r="AQ234">
        <f ca="1">IFERROR(IF(0=LEN(ReferenceData!$AQ$234),"",ReferenceData!$AQ$234),"")</f>
        <v>1.8752431970000001</v>
      </c>
      <c r="AR234">
        <f ca="1">IFERROR(IF(0=LEN(ReferenceData!$AR$234),"",ReferenceData!$AR$234),"")</f>
        <v>1.992159236</v>
      </c>
      <c r="AS234">
        <f ca="1">IFERROR(IF(0=LEN(ReferenceData!$AS$234),"",ReferenceData!$AS$234),"")</f>
        <v>1.8620484230000001</v>
      </c>
      <c r="AT234">
        <f ca="1">IFERROR(IF(0=LEN(ReferenceData!$AT$234),"",ReferenceData!$AT$234),"")</f>
        <v>1.7203055300000001</v>
      </c>
      <c r="AU234">
        <f ca="1">IFERROR(IF(0=LEN(ReferenceData!$AU$234),"",ReferenceData!$AU$234),"")</f>
        <v>1.5919819310000001</v>
      </c>
      <c r="AV234">
        <f ca="1">IFERROR(IF(0=LEN(ReferenceData!$AV$234),"",ReferenceData!$AV$234),"")</f>
        <v>1.8057065720000001</v>
      </c>
      <c r="AW234">
        <f ca="1">IFERROR(IF(0=LEN(ReferenceData!$AW$234),"",ReferenceData!$AW$234),"")</f>
        <v>1.818911049</v>
      </c>
      <c r="AX234">
        <f ca="1">IFERROR(IF(0=LEN(ReferenceData!$AX$234),"",ReferenceData!$AX$234),"")</f>
        <v>1.8380883969999999</v>
      </c>
      <c r="AY234">
        <f ca="1">IFERROR(IF(0=LEN(ReferenceData!$AY$234),"",ReferenceData!$AY$234),"")</f>
        <v>1.6163545370000001</v>
      </c>
      <c r="AZ234">
        <f ca="1">IFERROR(IF(0=LEN(ReferenceData!$AZ$234),"",ReferenceData!$AZ$234),"")</f>
        <v>1.7695764510000001</v>
      </c>
      <c r="BA234">
        <f ca="1">IFERROR(IF(0=LEN(ReferenceData!$BA$234),"",ReferenceData!$BA$234),"")</f>
        <v>1.727012212</v>
      </c>
      <c r="BB234">
        <f ca="1">IFERROR(IF(0=LEN(ReferenceData!$BB$234),"",ReferenceData!$BB$234),"")</f>
        <v>1.7696115320000001</v>
      </c>
      <c r="BC234">
        <f ca="1">IFERROR(IF(0=LEN(ReferenceData!$BC$234),"",ReferenceData!$BC$234),"")</f>
        <v>1.4278787879999999</v>
      </c>
      <c r="BD234">
        <f ca="1">IFERROR(IF(0=LEN(ReferenceData!$BD$234),"",ReferenceData!$BD$234),"")</f>
        <v>1.8413680079999999</v>
      </c>
      <c r="BE234">
        <f ca="1">IFERROR(IF(0=LEN(ReferenceData!$BE$234),"",ReferenceData!$BE$234),"")</f>
        <v>1.8169780120000001</v>
      </c>
      <c r="BF234">
        <f ca="1">IFERROR(IF(0=LEN(ReferenceData!$BF$234),"",ReferenceData!$BF$234),"")</f>
        <v>1.767217662</v>
      </c>
      <c r="BG234">
        <f ca="1">IFERROR(IF(0=LEN(ReferenceData!$BG$234),"",ReferenceData!$BG$234),"")</f>
        <v>1.859431091</v>
      </c>
      <c r="BH234">
        <f ca="1">IFERROR(IF(0=LEN(ReferenceData!$BH$234),"",ReferenceData!$BH$234),"")</f>
        <v>1.888303796</v>
      </c>
      <c r="BI234">
        <f ca="1">IFERROR(IF(0=LEN(ReferenceData!$BI$234),"",ReferenceData!$BI$234),"")</f>
        <v>1.673189848</v>
      </c>
      <c r="BJ234">
        <f ca="1">IFERROR(IF(0=LEN(ReferenceData!$BJ$234),"",ReferenceData!$BJ$234),"")</f>
        <v>1.9847704049999999</v>
      </c>
      <c r="BK234">
        <f ca="1">IFERROR(IF(0=LEN(ReferenceData!$BK$234),"",ReferenceData!$BK$234),"")</f>
        <v>2.0195184529999999</v>
      </c>
      <c r="BL234">
        <f ca="1">IFERROR(IF(0=LEN(ReferenceData!$BL$234),"",ReferenceData!$BL$234),"")</f>
        <v>1.803530004</v>
      </c>
      <c r="BM234">
        <f ca="1">IFERROR(IF(0=LEN(ReferenceData!$BM$234),"",ReferenceData!$BM$234),"")</f>
        <v>1.8234160070000001</v>
      </c>
    </row>
    <row r="235" spans="1:65">
      <c r="A235" t="str">
        <f>IFERROR(IF(0=LEN(ReferenceData!$A$235),"",ReferenceData!$A$235),"")</f>
        <v xml:space="preserve">    Realty Income Corp</v>
      </c>
      <c r="B235" t="str">
        <f>IFERROR(IF(0=LEN(ReferenceData!$B$235),"",ReferenceData!$B$235),"")</f>
        <v>O US Equity</v>
      </c>
      <c r="C235" t="str">
        <f>IFERROR(IF(0=LEN(ReferenceData!$C$235),"",ReferenceData!$C$235),"")</f>
        <v>RR553</v>
      </c>
      <c r="D235" t="str">
        <f>IFERROR(IF(0=LEN(ReferenceData!$D$235),"",ReferenceData!$D$235),"")</f>
        <v>EBITDA_RE_ASSET</v>
      </c>
      <c r="E235" t="str">
        <f>IFERROR(IF(0=LEN(ReferenceData!$E$235),"",ReferenceData!$E$235),"")</f>
        <v>动态</v>
      </c>
      <c r="F235" t="str">
        <f ca="1">IFERROR(IF(0=LEN(ReferenceData!$F$235),"",ReferenceData!$F$235),"")</f>
        <v/>
      </c>
      <c r="G235">
        <f ca="1">IFERROR(IF(0=LEN(ReferenceData!$G$235),"",ReferenceData!$G$235),"")</f>
        <v>2.1465232630000002</v>
      </c>
      <c r="H235">
        <f ca="1">IFERROR(IF(0=LEN(ReferenceData!$H$235),"",ReferenceData!$H$235),"")</f>
        <v>2.2304178499999998</v>
      </c>
      <c r="I235">
        <f ca="1">IFERROR(IF(0=LEN(ReferenceData!$I$235),"",ReferenceData!$I$235),"")</f>
        <v>2.1760030430000001</v>
      </c>
      <c r="J235">
        <f ca="1">IFERROR(IF(0=LEN(ReferenceData!$J$235),"",ReferenceData!$J$235),"")</f>
        <v>2.1491025010000002</v>
      </c>
      <c r="K235">
        <f ca="1">IFERROR(IF(0=LEN(ReferenceData!$K$235),"",ReferenceData!$K$235),"")</f>
        <v>2.1267426490000001</v>
      </c>
      <c r="L235">
        <f ca="1">IFERROR(IF(0=LEN(ReferenceData!$L$235),"",ReferenceData!$L$235),"")</f>
        <v>2.1363397220000002</v>
      </c>
      <c r="M235">
        <f ca="1">IFERROR(IF(0=LEN(ReferenceData!$M$235),"",ReferenceData!$M$235),"")</f>
        <v>2.1449025110000002</v>
      </c>
      <c r="N235">
        <f ca="1">IFERROR(IF(0=LEN(ReferenceData!$N$235),"",ReferenceData!$N$235),"")</f>
        <v>2.1877452960000001</v>
      </c>
      <c r="O235">
        <f ca="1">IFERROR(IF(0=LEN(ReferenceData!$O$235),"",ReferenceData!$O$235),"")</f>
        <v>2.2264769069999999</v>
      </c>
      <c r="P235">
        <f ca="1">IFERROR(IF(0=LEN(ReferenceData!$P$235),"",ReferenceData!$P$235),"")</f>
        <v>2.2312214379999999</v>
      </c>
      <c r="Q235">
        <f ca="1">IFERROR(IF(0=LEN(ReferenceData!$Q$235),"",ReferenceData!$Q$235),"")</f>
        <v>2.1574948140000001</v>
      </c>
      <c r="R235">
        <f ca="1">IFERROR(IF(0=LEN(ReferenceData!$R$235),"",ReferenceData!$R$235),"")</f>
        <v>2.233084861</v>
      </c>
      <c r="S235">
        <f ca="1">IFERROR(IF(0=LEN(ReferenceData!$S$235),"",ReferenceData!$S$235),"")</f>
        <v>2.1124894439999999</v>
      </c>
      <c r="T235">
        <f ca="1">IFERROR(IF(0=LEN(ReferenceData!$T$235),"",ReferenceData!$T$235),"")</f>
        <v>2.2070244190000001</v>
      </c>
      <c r="U235">
        <f ca="1">IFERROR(IF(0=LEN(ReferenceData!$U$235),"",ReferenceData!$U$235),"")</f>
        <v>2.179411585</v>
      </c>
      <c r="V235">
        <f ca="1">IFERROR(IF(0=LEN(ReferenceData!$V$235),"",ReferenceData!$V$235),"")</f>
        <v>2.118082266</v>
      </c>
      <c r="W235">
        <f ca="1">IFERROR(IF(0=LEN(ReferenceData!$W$235),"",ReferenceData!$W$235),"")</f>
        <v>2.0013507480000001</v>
      </c>
      <c r="X235">
        <f ca="1">IFERROR(IF(0=LEN(ReferenceData!$X$235),"",ReferenceData!$X$235),"")</f>
        <v>2.103765154</v>
      </c>
      <c r="Y235">
        <f ca="1">IFERROR(IF(0=LEN(ReferenceData!$Y$235),"",ReferenceData!$Y$235),"")</f>
        <v>2.0611706569999999</v>
      </c>
      <c r="Z235">
        <f ca="1">IFERROR(IF(0=LEN(ReferenceData!$Z$235),"",ReferenceData!$Z$235),"")</f>
        <v>1.8472482569999999</v>
      </c>
      <c r="AA235">
        <f ca="1">IFERROR(IF(0=LEN(ReferenceData!$AA$235),"",ReferenceData!$AA$235),"")</f>
        <v>2.2582290010000001</v>
      </c>
      <c r="AB235">
        <f ca="1">IFERROR(IF(0=LEN(ReferenceData!$AB$235),"",ReferenceData!$AB$235),"")</f>
        <v>2.1902182360000002</v>
      </c>
      <c r="AC235">
        <f ca="1">IFERROR(IF(0=LEN(ReferenceData!$AC$235),"",ReferenceData!$AC$235),"")</f>
        <v>2.4459008579999999</v>
      </c>
      <c r="AD235">
        <f ca="1">IFERROR(IF(0=LEN(ReferenceData!$AD$235),"",ReferenceData!$AD$235),"")</f>
        <v>2.456726223</v>
      </c>
      <c r="AE235">
        <f ca="1">IFERROR(IF(0=LEN(ReferenceData!$AE$235),"",ReferenceData!$AE$235),"")</f>
        <v>2.4562693150000001</v>
      </c>
      <c r="AF235">
        <f ca="1">IFERROR(IF(0=LEN(ReferenceData!$AF$235),"",ReferenceData!$AF$235),"")</f>
        <v>2.4669020700000002</v>
      </c>
      <c r="AG235">
        <f ca="1">IFERROR(IF(0=LEN(ReferenceData!$AG$235),"",ReferenceData!$AG$235),"")</f>
        <v>2.5880641209999999</v>
      </c>
      <c r="AH235">
        <f ca="1">IFERROR(IF(0=LEN(ReferenceData!$AH$235),"",ReferenceData!$AH$235),"")</f>
        <v>2.508140612</v>
      </c>
      <c r="AI235">
        <f ca="1">IFERROR(IF(0=LEN(ReferenceData!$AI$235),"",ReferenceData!$AI$235),"")</f>
        <v>2.5089004660000001</v>
      </c>
      <c r="AJ235">
        <f ca="1">IFERROR(IF(0=LEN(ReferenceData!$AJ$235),"",ReferenceData!$AJ$235),"")</f>
        <v>2.6383662719999998</v>
      </c>
      <c r="AK235">
        <f ca="1">IFERROR(IF(0=LEN(ReferenceData!$AK$235),"",ReferenceData!$AK$235),"")</f>
        <v>2.48780052</v>
      </c>
      <c r="AL235">
        <f ca="1">IFERROR(IF(0=LEN(ReferenceData!$AL$235),"",ReferenceData!$AL$235),"")</f>
        <v>2.6204603309999999</v>
      </c>
      <c r="AM235">
        <f ca="1">IFERROR(IF(0=LEN(ReferenceData!$AM$235),"",ReferenceData!$AM$235),"")</f>
        <v>2.693261557</v>
      </c>
      <c r="AN235">
        <f ca="1">IFERROR(IF(0=LEN(ReferenceData!$AN$235),"",ReferenceData!$AN$235),"")</f>
        <v>2.7347239889999999</v>
      </c>
      <c r="AO235">
        <f ca="1">IFERROR(IF(0=LEN(ReferenceData!$AO$235),"",ReferenceData!$AO$235),"")</f>
        <v>2.6936575880000002</v>
      </c>
      <c r="AP235">
        <f ca="1">IFERROR(IF(0=LEN(ReferenceData!$AP$235),"",ReferenceData!$AP$235),"")</f>
        <v>2.6208483519999999</v>
      </c>
      <c r="AQ235">
        <f ca="1">IFERROR(IF(0=LEN(ReferenceData!$AQ$235),"",ReferenceData!$AQ$235),"")</f>
        <v>2.8231893960000001</v>
      </c>
      <c r="AR235">
        <f ca="1">IFERROR(IF(0=LEN(ReferenceData!$AR$235),"",ReferenceData!$AR$235),"")</f>
        <v>2.6227867219999998</v>
      </c>
      <c r="AS235">
        <f ca="1">IFERROR(IF(0=LEN(ReferenceData!$AS$235),"",ReferenceData!$AS$235),"")</f>
        <v>2.6379049929999998</v>
      </c>
      <c r="AT235">
        <f ca="1">IFERROR(IF(0=LEN(ReferenceData!$AT$235),"",ReferenceData!$AT$235),"")</f>
        <v>2.5897938260000002</v>
      </c>
      <c r="AU235">
        <f ca="1">IFERROR(IF(0=LEN(ReferenceData!$AU$235),"",ReferenceData!$AU$235),"")</f>
        <v>2.6598518900000001</v>
      </c>
      <c r="AV235">
        <f ca="1">IFERROR(IF(0=LEN(ReferenceData!$AV$235),"",ReferenceData!$AV$235),"")</f>
        <v>2.4440317980000001</v>
      </c>
      <c r="AW235">
        <f ca="1">IFERROR(IF(0=LEN(ReferenceData!$AW$235),"",ReferenceData!$AW$235),"")</f>
        <v>2.614596863</v>
      </c>
      <c r="AX235">
        <f ca="1">IFERROR(IF(0=LEN(ReferenceData!$AX$235),"",ReferenceData!$AX$235),"")</f>
        <v>2.6361803519999998</v>
      </c>
      <c r="AY235">
        <f ca="1">IFERROR(IF(0=LEN(ReferenceData!$AY$235),"",ReferenceData!$AY$235),"")</f>
        <v>2.5618480849999998</v>
      </c>
      <c r="AZ235">
        <f ca="1">IFERROR(IF(0=LEN(ReferenceData!$AZ$235),"",ReferenceData!$AZ$235),"")</f>
        <v>2.748936204</v>
      </c>
      <c r="BA235">
        <f ca="1">IFERROR(IF(0=LEN(ReferenceData!$BA$235),"",ReferenceData!$BA$235),"")</f>
        <v>2.7356722549999999</v>
      </c>
      <c r="BB235">
        <f ca="1">IFERROR(IF(0=LEN(ReferenceData!$BB$235),"",ReferenceData!$BB$235),"")</f>
        <v>2.698128766</v>
      </c>
      <c r="BC235">
        <f ca="1">IFERROR(IF(0=LEN(ReferenceData!$BC$235),"",ReferenceData!$BC$235),"")</f>
        <v>2.7504292339999998</v>
      </c>
      <c r="BD235">
        <f ca="1">IFERROR(IF(0=LEN(ReferenceData!$BD$235),"",ReferenceData!$BD$235),"")</f>
        <v>2.530797798</v>
      </c>
      <c r="BE235">
        <f ca="1">IFERROR(IF(0=LEN(ReferenceData!$BE$235),"",ReferenceData!$BE$235),"")</f>
        <v>2.8204122699999998</v>
      </c>
      <c r="BF235">
        <f ca="1">IFERROR(IF(0=LEN(ReferenceData!$BF$235),"",ReferenceData!$BF$235),"")</f>
        <v>2.8766195020000001</v>
      </c>
      <c r="BG235">
        <f ca="1">IFERROR(IF(0=LEN(ReferenceData!$BG$235),"",ReferenceData!$BG$235),"")</f>
        <v>2.8841765540000002</v>
      </c>
      <c r="BH235">
        <f ca="1">IFERROR(IF(0=LEN(ReferenceData!$BH$235),"",ReferenceData!$BH$235),"")</f>
        <v>2.885284548</v>
      </c>
      <c r="BI235">
        <f ca="1">IFERROR(IF(0=LEN(ReferenceData!$BI$235),"",ReferenceData!$BI$235),"")</f>
        <v>3.6631148019999999</v>
      </c>
      <c r="BJ235">
        <f ca="1">IFERROR(IF(0=LEN(ReferenceData!$BJ$235),"",ReferenceData!$BJ$235),"")</f>
        <v>2.7473395790000001</v>
      </c>
      <c r="BK235">
        <f ca="1">IFERROR(IF(0=LEN(ReferenceData!$BK$235),"",ReferenceData!$BK$235),"")</f>
        <v>2.7665268319999998</v>
      </c>
      <c r="BL235">
        <f ca="1">IFERROR(IF(0=LEN(ReferenceData!$BL$235),"",ReferenceData!$BL$235),"")</f>
        <v>2.9441316799999999</v>
      </c>
      <c r="BM235">
        <f ca="1">IFERROR(IF(0=LEN(ReferenceData!$BM$235),"",ReferenceData!$BM$235),"")</f>
        <v>2.9591521250000001</v>
      </c>
    </row>
    <row r="236" spans="1:65">
      <c r="A236" t="str">
        <f>IFERROR(IF(0=LEN(ReferenceData!$A$236),"",ReferenceData!$A$236),"")</f>
        <v xml:space="preserve">    Regency Centers Corp</v>
      </c>
      <c r="B236" t="str">
        <f>IFERROR(IF(0=LEN(ReferenceData!$B$236),"",ReferenceData!$B$236),"")</f>
        <v>REG US Equity</v>
      </c>
      <c r="C236" t="str">
        <f>IFERROR(IF(0=LEN(ReferenceData!$C$236),"",ReferenceData!$C$236),"")</f>
        <v>RR553</v>
      </c>
      <c r="D236" t="str">
        <f>IFERROR(IF(0=LEN(ReferenceData!$D$236),"",ReferenceData!$D$236),"")</f>
        <v>EBITDA_RE_ASSET</v>
      </c>
      <c r="E236" t="str">
        <f>IFERROR(IF(0=LEN(ReferenceData!$E$236),"",ReferenceData!$E$236),"")</f>
        <v>动态</v>
      </c>
      <c r="F236" t="str">
        <f ca="1">IFERROR(IF(0=LEN(ReferenceData!$F$236),"",ReferenceData!$F$236),"")</f>
        <v/>
      </c>
      <c r="G236">
        <f ca="1">IFERROR(IF(0=LEN(ReferenceData!$G$236),"",ReferenceData!$G$236),"")</f>
        <v>1.699828782</v>
      </c>
      <c r="H236">
        <f ca="1">IFERROR(IF(0=LEN(ReferenceData!$H$236),"",ReferenceData!$H$236),"")</f>
        <v>1.768801037</v>
      </c>
      <c r="I236">
        <f ca="1">IFERROR(IF(0=LEN(ReferenceData!$I$236),"",ReferenceData!$I$236),"")</f>
        <v>1.7272219900000001</v>
      </c>
      <c r="J236">
        <f ca="1">IFERROR(IF(0=LEN(ReferenceData!$J$236),"",ReferenceData!$J$236),"")</f>
        <v>0.54657718700000002</v>
      </c>
      <c r="K236">
        <f ca="1">IFERROR(IF(0=LEN(ReferenceData!$K$236),"",ReferenceData!$K$236),"")</f>
        <v>2.2517131940000001</v>
      </c>
      <c r="L236">
        <f ca="1">IFERROR(IF(0=LEN(ReferenceData!$L$236),"",ReferenceData!$L$236),"")</f>
        <v>2.337088864</v>
      </c>
      <c r="M236">
        <f ca="1">IFERROR(IF(0=LEN(ReferenceData!$M$236),"",ReferenceData!$M$236),"")</f>
        <v>2.2930688969999999</v>
      </c>
      <c r="N236">
        <f ca="1">IFERROR(IF(0=LEN(ReferenceData!$N$236),"",ReferenceData!$N$236),"")</f>
        <v>2.4419273769999998</v>
      </c>
      <c r="O236">
        <f ca="1">IFERROR(IF(0=LEN(ReferenceData!$O$236),"",ReferenceData!$O$236),"")</f>
        <v>2.2758464109999998</v>
      </c>
      <c r="P236">
        <f ca="1">IFERROR(IF(0=LEN(ReferenceData!$P$236),"",ReferenceData!$P$236),"")</f>
        <v>2.3484266310000002</v>
      </c>
      <c r="Q236">
        <f ca="1">IFERROR(IF(0=LEN(ReferenceData!$Q$236),"",ReferenceData!$Q$236),"")</f>
        <v>2.3262441659999999</v>
      </c>
      <c r="R236">
        <f ca="1">IFERROR(IF(0=LEN(ReferenceData!$R$236),"",ReferenceData!$R$236),"")</f>
        <v>2.2649474569999999</v>
      </c>
      <c r="S236">
        <f ca="1">IFERROR(IF(0=LEN(ReferenceData!$S$236),"",ReferenceData!$S$236),"")</f>
        <v>2.1673818790000001</v>
      </c>
      <c r="T236">
        <f ca="1">IFERROR(IF(0=LEN(ReferenceData!$T$236),"",ReferenceData!$T$236),"")</f>
        <v>2.245613117</v>
      </c>
      <c r="U236">
        <f ca="1">IFERROR(IF(0=LEN(ReferenceData!$U$236),"",ReferenceData!$U$236),"")</f>
        <v>2.2472950649999999</v>
      </c>
      <c r="V236">
        <f ca="1">IFERROR(IF(0=LEN(ReferenceData!$V$236),"",ReferenceData!$V$236),"")</f>
        <v>2.197965875</v>
      </c>
      <c r="W236">
        <f ca="1">IFERROR(IF(0=LEN(ReferenceData!$W$236),"",ReferenceData!$W$236),"")</f>
        <v>2.1328276939999999</v>
      </c>
      <c r="X236">
        <f ca="1">IFERROR(IF(0=LEN(ReferenceData!$X$236),"",ReferenceData!$X$236),"")</f>
        <v>1.9291776410000001</v>
      </c>
      <c r="Y236">
        <f ca="1">IFERROR(IF(0=LEN(ReferenceData!$Y$236),"",ReferenceData!$Y$236),"")</f>
        <v>2.1171178839999998</v>
      </c>
      <c r="Z236">
        <f ca="1">IFERROR(IF(0=LEN(ReferenceData!$Z$236),"",ReferenceData!$Z$236),"")</f>
        <v>2.0065005500000002</v>
      </c>
      <c r="AA236">
        <f ca="1">IFERROR(IF(0=LEN(ReferenceData!$AA$236),"",ReferenceData!$AA$236),"")</f>
        <v>1.9470533059999999</v>
      </c>
      <c r="AB236">
        <f ca="1">IFERROR(IF(0=LEN(ReferenceData!$AB$236),"",ReferenceData!$AB$236),"")</f>
        <v>2.028234453</v>
      </c>
      <c r="AC236">
        <f ca="1">IFERROR(IF(0=LEN(ReferenceData!$AC$236),"",ReferenceData!$AC$236),"")</f>
        <v>2.1786318320000002</v>
      </c>
      <c r="AD236">
        <f ca="1">IFERROR(IF(0=LEN(ReferenceData!$AD$236),"",ReferenceData!$AD$236),"")</f>
        <v>2.0262349209999999</v>
      </c>
      <c r="AE236">
        <f ca="1">IFERROR(IF(0=LEN(ReferenceData!$AE$236),"",ReferenceData!$AE$236),"")</f>
        <v>1.9986825459999999</v>
      </c>
      <c r="AF236">
        <f ca="1">IFERROR(IF(0=LEN(ReferenceData!$AF$236),"",ReferenceData!$AF$236),"")</f>
        <v>2.0571741129999999</v>
      </c>
      <c r="AG236">
        <f ca="1">IFERROR(IF(0=LEN(ReferenceData!$AG$236),"",ReferenceData!$AG$236),"")</f>
        <v>2.0382931050000002</v>
      </c>
      <c r="AH236">
        <f ca="1">IFERROR(IF(0=LEN(ReferenceData!$AH$236),"",ReferenceData!$AH$236),"")</f>
        <v>2.0195490930000002</v>
      </c>
      <c r="AI236">
        <f ca="1">IFERROR(IF(0=LEN(ReferenceData!$AI$236),"",ReferenceData!$AI$236),"")</f>
        <v>1.972919466</v>
      </c>
      <c r="AJ236">
        <f ca="1">IFERROR(IF(0=LEN(ReferenceData!$AJ$236),"",ReferenceData!$AJ$236),"")</f>
        <v>1.849653268</v>
      </c>
      <c r="AK236">
        <f ca="1">IFERROR(IF(0=LEN(ReferenceData!$AK$236),"",ReferenceData!$AK$236),"")</f>
        <v>2.0004525559999999</v>
      </c>
      <c r="AL236">
        <f ca="1">IFERROR(IF(0=LEN(ReferenceData!$AL$236),"",ReferenceData!$AL$236),"")</f>
        <v>2.0260409429999999</v>
      </c>
      <c r="AM236">
        <f ca="1">IFERROR(IF(0=LEN(ReferenceData!$AM$236),"",ReferenceData!$AM$236),"")</f>
        <v>1.9122393470000001</v>
      </c>
      <c r="AN236">
        <f ca="1">IFERROR(IF(0=LEN(ReferenceData!$AN$236),"",ReferenceData!$AN$236),"")</f>
        <v>2.208344452</v>
      </c>
      <c r="AO236">
        <f ca="1">IFERROR(IF(0=LEN(ReferenceData!$AO$236),"",ReferenceData!$AO$236),"")</f>
        <v>1.8033270210000001</v>
      </c>
      <c r="AP236">
        <f ca="1">IFERROR(IF(0=LEN(ReferenceData!$AP$236),"",ReferenceData!$AP$236),"")</f>
        <v>1.8447246479999999</v>
      </c>
      <c r="AQ236">
        <f ca="1">IFERROR(IF(0=LEN(ReferenceData!$AQ$236),"",ReferenceData!$AQ$236),"")</f>
        <v>2.360054147</v>
      </c>
      <c r="AR236">
        <f ca="1">IFERROR(IF(0=LEN(ReferenceData!$AR$236),"",ReferenceData!$AR$236),"")</f>
        <v>1.99218805</v>
      </c>
      <c r="AS236">
        <f ca="1">IFERROR(IF(0=LEN(ReferenceData!$AS$236),"",ReferenceData!$AS$236),"")</f>
        <v>2.004803092</v>
      </c>
      <c r="AT236">
        <f ca="1">IFERROR(IF(0=LEN(ReferenceData!$AT$236),"",ReferenceData!$AT$236),"")</f>
        <v>1.8519516439999999</v>
      </c>
      <c r="AU236">
        <f ca="1">IFERROR(IF(0=LEN(ReferenceData!$AU$236),"",ReferenceData!$AU$236),"")</f>
        <v>1.711700572</v>
      </c>
      <c r="AV236">
        <f ca="1">IFERROR(IF(0=LEN(ReferenceData!$AV$236),"",ReferenceData!$AV$236),"")</f>
        <v>1.975025448</v>
      </c>
      <c r="AW236">
        <f ca="1">IFERROR(IF(0=LEN(ReferenceData!$AW$236),"",ReferenceData!$AW$236),"")</f>
        <v>1.8377294799999999</v>
      </c>
      <c r="AX236">
        <f ca="1">IFERROR(IF(0=LEN(ReferenceData!$AX$236),"",ReferenceData!$AX$236),"")</f>
        <v>1.9258976729999999</v>
      </c>
      <c r="AY236">
        <f ca="1">IFERROR(IF(0=LEN(ReferenceData!$AY$236),"",ReferenceData!$AY$236),"")</f>
        <v>1.68806765</v>
      </c>
      <c r="AZ236">
        <f ca="1">IFERROR(IF(0=LEN(ReferenceData!$AZ$236),"",ReferenceData!$AZ$236),"")</f>
        <v>2.0101489209999999</v>
      </c>
      <c r="BA236">
        <f ca="1">IFERROR(IF(0=LEN(ReferenceData!$BA$236),"",ReferenceData!$BA$236),"")</f>
        <v>2.0462462829999999</v>
      </c>
      <c r="BB236">
        <f ca="1">IFERROR(IF(0=LEN(ReferenceData!$BB$236),"",ReferenceData!$BB$236),"")</f>
        <v>1.917825479</v>
      </c>
      <c r="BC236">
        <f ca="1">IFERROR(IF(0=LEN(ReferenceData!$BC$236),"",ReferenceData!$BC$236),"")</f>
        <v>1.762651422</v>
      </c>
      <c r="BD236">
        <f ca="1">IFERROR(IF(0=LEN(ReferenceData!$BD$236),"",ReferenceData!$BD$236),"")</f>
        <v>1.7450052920000001</v>
      </c>
      <c r="BE236">
        <f ca="1">IFERROR(IF(0=LEN(ReferenceData!$BE$236),"",ReferenceData!$BE$236),"")</f>
        <v>2.2251899719999999</v>
      </c>
      <c r="BF236">
        <f ca="1">IFERROR(IF(0=LEN(ReferenceData!$BF$236),"",ReferenceData!$BF$236),"")</f>
        <v>2.185260735</v>
      </c>
      <c r="BG236">
        <f ca="1">IFERROR(IF(0=LEN(ReferenceData!$BG$236),"",ReferenceData!$BG$236),"")</f>
        <v>2.1105351909999999</v>
      </c>
      <c r="BH236">
        <f ca="1">IFERROR(IF(0=LEN(ReferenceData!$BH$236),"",ReferenceData!$BH$236),"")</f>
        <v>2.0417618630000001</v>
      </c>
      <c r="BI236">
        <f ca="1">IFERROR(IF(0=LEN(ReferenceData!$BI$236),"",ReferenceData!$BI$236),"")</f>
        <v>2.057075754</v>
      </c>
      <c r="BJ236">
        <f ca="1">IFERROR(IF(0=LEN(ReferenceData!$BJ$236),"",ReferenceData!$BJ$236),"")</f>
        <v>2.1089254180000001</v>
      </c>
      <c r="BK236">
        <f ca="1">IFERROR(IF(0=LEN(ReferenceData!$BK$236),"",ReferenceData!$BK$236),"")</f>
        <v>1.9077690380000001</v>
      </c>
      <c r="BL236">
        <f ca="1">IFERROR(IF(0=LEN(ReferenceData!$BL$236),"",ReferenceData!$BL$236),"")</f>
        <v>2.047933778</v>
      </c>
      <c r="BM236" t="str">
        <f ca="1">IFERROR(IF(0=LEN(ReferenceData!$BM$236),"",ReferenceData!$BM$236),"")</f>
        <v/>
      </c>
    </row>
    <row r="237" spans="1:65">
      <c r="A237" t="str">
        <f>IFERROR(IF(0=LEN(ReferenceData!$A$237),"",ReferenceData!$A$237),"")</f>
        <v xml:space="preserve">    Retail Opportunity Investments</v>
      </c>
      <c r="B237" t="str">
        <f>IFERROR(IF(0=LEN(ReferenceData!$B$237),"",ReferenceData!$B$237),"")</f>
        <v>ROIC US Equity</v>
      </c>
      <c r="C237" t="str">
        <f>IFERROR(IF(0=LEN(ReferenceData!$C$237),"",ReferenceData!$C$237),"")</f>
        <v>RR553</v>
      </c>
      <c r="D237" t="str">
        <f>IFERROR(IF(0=LEN(ReferenceData!$D$237),"",ReferenceData!$D$237),"")</f>
        <v>EBITDA_RE_ASSET</v>
      </c>
      <c r="E237" t="str">
        <f>IFERROR(IF(0=LEN(ReferenceData!$E$237),"",ReferenceData!$E$237),"")</f>
        <v>动态</v>
      </c>
      <c r="F237" t="str">
        <f ca="1">IFERROR(IF(0=LEN(ReferenceData!$F$237),"",ReferenceData!$F$237),"")</f>
        <v/>
      </c>
      <c r="G237">
        <f ca="1">IFERROR(IF(0=LEN(ReferenceData!$G$237),"",ReferenceData!$G$237),"")</f>
        <v>1.7883803709999999</v>
      </c>
      <c r="H237">
        <f ca="1">IFERROR(IF(0=LEN(ReferenceData!$H$237),"",ReferenceData!$H$237),"")</f>
        <v>1.7745249080000001</v>
      </c>
      <c r="I237">
        <f ca="1">IFERROR(IF(0=LEN(ReferenceData!$I$237),"",ReferenceData!$I$237),"")</f>
        <v>1.707538088</v>
      </c>
      <c r="J237">
        <f ca="1">IFERROR(IF(0=LEN(ReferenceData!$J$237),"",ReferenceData!$J$237),"")</f>
        <v>1.7847931619999999</v>
      </c>
      <c r="K237">
        <f ca="1">IFERROR(IF(0=LEN(ReferenceData!$K$237),"",ReferenceData!$K$237),"")</f>
        <v>1.784404713</v>
      </c>
      <c r="L237">
        <f ca="1">IFERROR(IF(0=LEN(ReferenceData!$L$237),"",ReferenceData!$L$237),"")</f>
        <v>1.704513342</v>
      </c>
      <c r="M237">
        <f ca="1">IFERROR(IF(0=LEN(ReferenceData!$M$237),"",ReferenceData!$M$237),"")</f>
        <v>1.68005023</v>
      </c>
      <c r="N237">
        <f ca="1">IFERROR(IF(0=LEN(ReferenceData!$N$237),"",ReferenceData!$N$237),"")</f>
        <v>1.768232595</v>
      </c>
      <c r="O237">
        <f ca="1">IFERROR(IF(0=LEN(ReferenceData!$O$237),"",ReferenceData!$O$237),"")</f>
        <v>1.6044907610000001</v>
      </c>
      <c r="P237">
        <f ca="1">IFERROR(IF(0=LEN(ReferenceData!$P$237),"",ReferenceData!$P$237),"")</f>
        <v>1.795531046</v>
      </c>
      <c r="Q237">
        <f ca="1">IFERROR(IF(0=LEN(ReferenceData!$Q$237),"",ReferenceData!$Q$237),"")</f>
        <v>1.6940381149999999</v>
      </c>
      <c r="R237">
        <f ca="1">IFERROR(IF(0=LEN(ReferenceData!$R$237),"",ReferenceData!$R$237),"")</f>
        <v>1.6981214</v>
      </c>
      <c r="S237">
        <f ca="1">IFERROR(IF(0=LEN(ReferenceData!$S$237),"",ReferenceData!$S$237),"")</f>
        <v>1.5961914589999999</v>
      </c>
      <c r="T237">
        <f ca="1">IFERROR(IF(0=LEN(ReferenceData!$T$237),"",ReferenceData!$T$237),"")</f>
        <v>1.721827829</v>
      </c>
      <c r="U237">
        <f ca="1">IFERROR(IF(0=LEN(ReferenceData!$U$237),"",ReferenceData!$U$237),"")</f>
        <v>1.4828087569999999</v>
      </c>
      <c r="V237">
        <f ca="1">IFERROR(IF(0=LEN(ReferenceData!$V$237),"",ReferenceData!$V$237),"")</f>
        <v>1.7054796139999999</v>
      </c>
      <c r="W237">
        <f ca="1">IFERROR(IF(0=LEN(ReferenceData!$W$237),"",ReferenceData!$W$237),"")</f>
        <v>1.629046204</v>
      </c>
      <c r="X237">
        <f ca="1">IFERROR(IF(0=LEN(ReferenceData!$X$237),"",ReferenceData!$X$237),"")</f>
        <v>1.339431657</v>
      </c>
      <c r="Y237">
        <f ca="1">IFERROR(IF(0=LEN(ReferenceData!$Y$237),"",ReferenceData!$Y$237),"")</f>
        <v>1.5270975360000001</v>
      </c>
      <c r="Z237">
        <f ca="1">IFERROR(IF(0=LEN(ReferenceData!$Z$237),"",ReferenceData!$Z$237),"")</f>
        <v>1.6382617159999999</v>
      </c>
      <c r="AA237">
        <f ca="1">IFERROR(IF(0=LEN(ReferenceData!$AA$237),"",ReferenceData!$AA$237),"")</f>
        <v>1.281071241</v>
      </c>
      <c r="AB237">
        <f ca="1">IFERROR(IF(0=LEN(ReferenceData!$AB$237),"",ReferenceData!$AB$237),"")</f>
        <v>1.3995795150000001</v>
      </c>
      <c r="AC237">
        <f ca="1">IFERROR(IF(0=LEN(ReferenceData!$AC$237),"",ReferenceData!$AC$237),"")</f>
        <v>1.4183954919999999</v>
      </c>
      <c r="AD237">
        <f ca="1">IFERROR(IF(0=LEN(ReferenceData!$AD$237),"",ReferenceData!$AD$237),"")</f>
        <v>1.479750906</v>
      </c>
      <c r="AE237">
        <f ca="1">IFERROR(IF(0=LEN(ReferenceData!$AE$237),"",ReferenceData!$AE$237),"")</f>
        <v>1.4940400009999999</v>
      </c>
      <c r="AF237">
        <f ca="1">IFERROR(IF(0=LEN(ReferenceData!$AF$237),"",ReferenceData!$AF$237),"")</f>
        <v>1.080642334</v>
      </c>
      <c r="AG237">
        <f ca="1">IFERROR(IF(0=LEN(ReferenceData!$AG$237),"",ReferenceData!$AG$237),"")</f>
        <v>1.266737234</v>
      </c>
      <c r="AH237">
        <f ca="1">IFERROR(IF(0=LEN(ReferenceData!$AH$237),"",ReferenceData!$AH$237),"")</f>
        <v>1.2157039709999999</v>
      </c>
      <c r="AI237">
        <f ca="1">IFERROR(IF(0=LEN(ReferenceData!$AI$237),"",ReferenceData!$AI$237),"")</f>
        <v>0.44738086700000002</v>
      </c>
      <c r="AJ237">
        <f ca="1">IFERROR(IF(0=LEN(ReferenceData!$AJ$237),"",ReferenceData!$AJ$237),"")</f>
        <v>0.51106384299999996</v>
      </c>
      <c r="AK237">
        <f ca="1">IFERROR(IF(0=LEN(ReferenceData!$AK$237),"",ReferenceData!$AK$237),"")</f>
        <v>-0.47896719900000001</v>
      </c>
      <c r="AL237">
        <f ca="1">IFERROR(IF(0=LEN(ReferenceData!$AL$237),"",ReferenceData!$AL$237),"")</f>
        <v>-2.5399131669999999</v>
      </c>
      <c r="AM237" t="str">
        <f ca="1">IFERROR(IF(0=LEN(ReferenceData!$AM$237),"",ReferenceData!$AM$237),"")</f>
        <v/>
      </c>
      <c r="AN237" t="str">
        <f ca="1">IFERROR(IF(0=LEN(ReferenceData!$AN$237),"",ReferenceData!$AN$237),"")</f>
        <v/>
      </c>
      <c r="AO237" t="str">
        <f ca="1">IFERROR(IF(0=LEN(ReferenceData!$AO$237),"",ReferenceData!$AO$237),"")</f>
        <v/>
      </c>
      <c r="AP237" t="str">
        <f ca="1">IFERROR(IF(0=LEN(ReferenceData!$AP$237),"",ReferenceData!$AP$237),"")</f>
        <v/>
      </c>
      <c r="AQ237" t="str">
        <f ca="1">IFERROR(IF(0=LEN(ReferenceData!$AQ$237),"",ReferenceData!$AQ$237),"")</f>
        <v/>
      </c>
      <c r="AR237" t="str">
        <f ca="1">IFERROR(IF(0=LEN(ReferenceData!$AR$237),"",ReferenceData!$AR$237),"")</f>
        <v/>
      </c>
      <c r="AS237" t="str">
        <f ca="1">IFERROR(IF(0=LEN(ReferenceData!$AS$237),"",ReferenceData!$AS$237),"")</f>
        <v/>
      </c>
      <c r="AT237" t="str">
        <f ca="1">IFERROR(IF(0=LEN(ReferenceData!$AT$237),"",ReferenceData!$AT$237),"")</f>
        <v/>
      </c>
      <c r="AU237" t="str">
        <f ca="1">IFERROR(IF(0=LEN(ReferenceData!$AU$237),"",ReferenceData!$AU$237),"")</f>
        <v/>
      </c>
      <c r="AV237" t="str">
        <f ca="1">IFERROR(IF(0=LEN(ReferenceData!$AV$237),"",ReferenceData!$AV$237),"")</f>
        <v/>
      </c>
      <c r="AW237" t="str">
        <f ca="1">IFERROR(IF(0=LEN(ReferenceData!$AW$237),"",ReferenceData!$AW$237),"")</f>
        <v/>
      </c>
      <c r="AX237" t="str">
        <f ca="1">IFERROR(IF(0=LEN(ReferenceData!$AX$237),"",ReferenceData!$AX$237),"")</f>
        <v/>
      </c>
      <c r="AY237" t="str">
        <f ca="1">IFERROR(IF(0=LEN(ReferenceData!$AY$237),"",ReferenceData!$AY$237),"")</f>
        <v/>
      </c>
      <c r="AZ237" t="str">
        <f ca="1">IFERROR(IF(0=LEN(ReferenceData!$AZ$237),"",ReferenceData!$AZ$237),"")</f>
        <v/>
      </c>
      <c r="BA237" t="str">
        <f ca="1">IFERROR(IF(0=LEN(ReferenceData!$BA$237),"",ReferenceData!$BA$237),"")</f>
        <v/>
      </c>
      <c r="BB237" t="str">
        <f ca="1">IFERROR(IF(0=LEN(ReferenceData!$BB$237),"",ReferenceData!$BB$237),"")</f>
        <v/>
      </c>
      <c r="BC237" t="str">
        <f ca="1">IFERROR(IF(0=LEN(ReferenceData!$BC$237),"",ReferenceData!$BC$237),"")</f>
        <v/>
      </c>
      <c r="BD237" t="str">
        <f ca="1">IFERROR(IF(0=LEN(ReferenceData!$BD$237),"",ReferenceData!$BD$237),"")</f>
        <v/>
      </c>
      <c r="BE237" t="str">
        <f ca="1">IFERROR(IF(0=LEN(ReferenceData!$BE$237),"",ReferenceData!$BE$237),"")</f>
        <v/>
      </c>
      <c r="BF237" t="str">
        <f ca="1">IFERROR(IF(0=LEN(ReferenceData!$BF$237),"",ReferenceData!$BF$237),"")</f>
        <v/>
      </c>
      <c r="BG237" t="str">
        <f ca="1">IFERROR(IF(0=LEN(ReferenceData!$BG$237),"",ReferenceData!$BG$237),"")</f>
        <v/>
      </c>
      <c r="BH237" t="str">
        <f ca="1">IFERROR(IF(0=LEN(ReferenceData!$BH$237),"",ReferenceData!$BH$237),"")</f>
        <v/>
      </c>
      <c r="BI237" t="str">
        <f ca="1">IFERROR(IF(0=LEN(ReferenceData!$BI$237),"",ReferenceData!$BI$237),"")</f>
        <v/>
      </c>
      <c r="BJ237" t="str">
        <f ca="1">IFERROR(IF(0=LEN(ReferenceData!$BJ$237),"",ReferenceData!$BJ$237),"")</f>
        <v/>
      </c>
      <c r="BK237" t="str">
        <f ca="1">IFERROR(IF(0=LEN(ReferenceData!$BK$237),"",ReferenceData!$BK$237),"")</f>
        <v/>
      </c>
      <c r="BL237" t="str">
        <f ca="1">IFERROR(IF(0=LEN(ReferenceData!$BL$237),"",ReferenceData!$BL$237),"")</f>
        <v/>
      </c>
      <c r="BM237" t="str">
        <f ca="1">IFERROR(IF(0=LEN(ReferenceData!$BM$237),"",ReferenceData!$BM$237),"")</f>
        <v/>
      </c>
    </row>
    <row r="238" spans="1:65">
      <c r="A238" t="str">
        <f>IFERROR(IF(0=LEN(ReferenceData!$A$238),"",ReferenceData!$A$238),"")</f>
        <v xml:space="preserve">    Retail Properties of America I</v>
      </c>
      <c r="B238" t="str">
        <f>IFERROR(IF(0=LEN(ReferenceData!$B$238),"",ReferenceData!$B$238),"")</f>
        <v>RPAI US Equity</v>
      </c>
      <c r="C238" t="str">
        <f>IFERROR(IF(0=LEN(ReferenceData!$C$238),"",ReferenceData!$C$238),"")</f>
        <v>RR553</v>
      </c>
      <c r="D238" t="str">
        <f>IFERROR(IF(0=LEN(ReferenceData!$D$238),"",ReferenceData!$D$238),"")</f>
        <v>EBITDA_RE_ASSET</v>
      </c>
      <c r="E238" t="str">
        <f>IFERROR(IF(0=LEN(ReferenceData!$E$238),"",ReferenceData!$E$238),"")</f>
        <v>动态</v>
      </c>
      <c r="F238" t="str">
        <f ca="1">IFERROR(IF(0=LEN(ReferenceData!$F$238),"",ReferenceData!$F$238),"")</f>
        <v/>
      </c>
      <c r="G238">
        <f ca="1">IFERROR(IF(0=LEN(ReferenceData!$G$238),"",ReferenceData!$G$238),"")</f>
        <v>1.887264998</v>
      </c>
      <c r="H238">
        <f ca="1">IFERROR(IF(0=LEN(ReferenceData!$H$238),"",ReferenceData!$H$238),"")</f>
        <v>0.95646141900000003</v>
      </c>
      <c r="I238">
        <f ca="1">IFERROR(IF(0=LEN(ReferenceData!$I$238),"",ReferenceData!$I$238),"")</f>
        <v>1.8446163019999999</v>
      </c>
      <c r="J238">
        <f ca="1">IFERROR(IF(0=LEN(ReferenceData!$J$238),"",ReferenceData!$J$238),"")</f>
        <v>2.171642925</v>
      </c>
      <c r="K238">
        <f ca="1">IFERROR(IF(0=LEN(ReferenceData!$K$238),"",ReferenceData!$K$238),"")</f>
        <v>1.9311475410000001</v>
      </c>
      <c r="L238">
        <f ca="1">IFERROR(IF(0=LEN(ReferenceData!$L$238),"",ReferenceData!$L$238),"")</f>
        <v>2.1476438369999999</v>
      </c>
      <c r="M238">
        <f ca="1">IFERROR(IF(0=LEN(ReferenceData!$M$238),"",ReferenceData!$M$238),"")</f>
        <v>2.1113829879999999</v>
      </c>
      <c r="N238">
        <f ca="1">IFERROR(IF(0=LEN(ReferenceData!$N$238),"",ReferenceData!$N$238),"")</f>
        <v>2.1703893160000001</v>
      </c>
      <c r="O238">
        <f ca="1">IFERROR(IF(0=LEN(ReferenceData!$O$238),"",ReferenceData!$O$238),"")</f>
        <v>1.7473600039999999</v>
      </c>
      <c r="P238">
        <f ca="1">IFERROR(IF(0=LEN(ReferenceData!$P$238),"",ReferenceData!$P$238),"")</f>
        <v>2.2044016499999999</v>
      </c>
      <c r="Q238">
        <f ca="1">IFERROR(IF(0=LEN(ReferenceData!$Q$238),"",ReferenceData!$Q$238),"")</f>
        <v>1.9687967529999999</v>
      </c>
      <c r="R238">
        <f ca="1">IFERROR(IF(0=LEN(ReferenceData!$R$238),"",ReferenceData!$R$238),"")</f>
        <v>2.0932709190000001</v>
      </c>
      <c r="S238">
        <f ca="1">IFERROR(IF(0=LEN(ReferenceData!$S$238),"",ReferenceData!$S$238),"")</f>
        <v>1.997357737</v>
      </c>
      <c r="T238">
        <f ca="1">IFERROR(IF(0=LEN(ReferenceData!$T$238),"",ReferenceData!$T$238),"")</f>
        <v>1.0018294489999999</v>
      </c>
      <c r="U238">
        <f ca="1">IFERROR(IF(0=LEN(ReferenceData!$U$238),"",ReferenceData!$U$238),"")</f>
        <v>1.964772033</v>
      </c>
      <c r="V238">
        <f ca="1">IFERROR(IF(0=LEN(ReferenceData!$V$238),"",ReferenceData!$V$238),"")</f>
        <v>2.1224974969999999</v>
      </c>
      <c r="W238">
        <f ca="1">IFERROR(IF(0=LEN(ReferenceData!$W$238),"",ReferenceData!$W$238),"")</f>
        <v>1.491496156</v>
      </c>
      <c r="X238">
        <f ca="1">IFERROR(IF(0=LEN(ReferenceData!$X$238),"",ReferenceData!$X$238),"")</f>
        <v>1.426944921</v>
      </c>
      <c r="Y238">
        <f ca="1">IFERROR(IF(0=LEN(ReferenceData!$Y$238),"",ReferenceData!$Y$238),"")</f>
        <v>1.9119059860000001</v>
      </c>
      <c r="Z238">
        <f ca="1">IFERROR(IF(0=LEN(ReferenceData!$Z$238),"",ReferenceData!$Z$238),"")</f>
        <v>1.8710176160000001</v>
      </c>
      <c r="AA238">
        <f ca="1">IFERROR(IF(0=LEN(ReferenceData!$AA$238),"",ReferenceData!$AA$238),"")</f>
        <v>1.8741879930000001</v>
      </c>
      <c r="AB238">
        <f ca="1">IFERROR(IF(0=LEN(ReferenceData!$AB$238),"",ReferenceData!$AB$238),"")</f>
        <v>1.8577691030000001</v>
      </c>
      <c r="AC238">
        <f ca="1">IFERROR(IF(0=LEN(ReferenceData!$AC$238),"",ReferenceData!$AC$238),"")</f>
        <v>1.7751901990000001</v>
      </c>
      <c r="AD238">
        <f ca="1">IFERROR(IF(0=LEN(ReferenceData!$AD$238),"",ReferenceData!$AD$238),"")</f>
        <v>1.803659731</v>
      </c>
      <c r="AE238">
        <f ca="1">IFERROR(IF(0=LEN(ReferenceData!$AE$238),"",ReferenceData!$AE$238),"")</f>
        <v>1.6732635010000001</v>
      </c>
      <c r="AF238">
        <f ca="1">IFERROR(IF(0=LEN(ReferenceData!$AF$238),"",ReferenceData!$AF$238),"")</f>
        <v>1.8503544569999999</v>
      </c>
      <c r="AG238">
        <f ca="1">IFERROR(IF(0=LEN(ReferenceData!$AG$238),"",ReferenceData!$AG$238),"")</f>
        <v>1.7297684520000001</v>
      </c>
      <c r="AH238">
        <f ca="1">IFERROR(IF(0=LEN(ReferenceData!$AH$238),"",ReferenceData!$AH$238),"")</f>
        <v>1.1757356859999999</v>
      </c>
      <c r="AI238">
        <f ca="1">IFERROR(IF(0=LEN(ReferenceData!$AI$238),"",ReferenceData!$AI$238),"")</f>
        <v>1.894810748</v>
      </c>
      <c r="AJ238">
        <f ca="1">IFERROR(IF(0=LEN(ReferenceData!$AJ$238),"",ReferenceData!$AJ$238),"")</f>
        <v>1.7216448019999999</v>
      </c>
      <c r="AK238" t="str">
        <f ca="1">IFERROR(IF(0=LEN(ReferenceData!$AK$238),"",ReferenceData!$AK$238),"")</f>
        <v/>
      </c>
      <c r="AL238" t="str">
        <f ca="1">IFERROR(IF(0=LEN(ReferenceData!$AL$238),"",ReferenceData!$AL$238),"")</f>
        <v/>
      </c>
      <c r="AM238" t="str">
        <f ca="1">IFERROR(IF(0=LEN(ReferenceData!$AM$238),"",ReferenceData!$AM$238),"")</f>
        <v/>
      </c>
      <c r="AN238" t="str">
        <f ca="1">IFERROR(IF(0=LEN(ReferenceData!$AN$238),"",ReferenceData!$AN$238),"")</f>
        <v/>
      </c>
      <c r="AO238" t="str">
        <f ca="1">IFERROR(IF(0=LEN(ReferenceData!$AO$238),"",ReferenceData!$AO$238),"")</f>
        <v/>
      </c>
      <c r="AP238" t="str">
        <f ca="1">IFERROR(IF(0=LEN(ReferenceData!$AP$238),"",ReferenceData!$AP$238),"")</f>
        <v/>
      </c>
      <c r="AQ238" t="str">
        <f ca="1">IFERROR(IF(0=LEN(ReferenceData!$AQ$238),"",ReferenceData!$AQ$238),"")</f>
        <v/>
      </c>
      <c r="AR238" t="str">
        <f ca="1">IFERROR(IF(0=LEN(ReferenceData!$AR$238),"",ReferenceData!$AR$238),"")</f>
        <v/>
      </c>
      <c r="AS238" t="str">
        <f ca="1">IFERROR(IF(0=LEN(ReferenceData!$AS$238),"",ReferenceData!$AS$238),"")</f>
        <v/>
      </c>
      <c r="AT238" t="str">
        <f ca="1">IFERROR(IF(0=LEN(ReferenceData!$AT$238),"",ReferenceData!$AT$238),"")</f>
        <v/>
      </c>
      <c r="AU238" t="str">
        <f ca="1">IFERROR(IF(0=LEN(ReferenceData!$AU$238),"",ReferenceData!$AU$238),"")</f>
        <v/>
      </c>
      <c r="AV238" t="str">
        <f ca="1">IFERROR(IF(0=LEN(ReferenceData!$AV$238),"",ReferenceData!$AV$238),"")</f>
        <v/>
      </c>
      <c r="AW238" t="str">
        <f ca="1">IFERROR(IF(0=LEN(ReferenceData!$AW$238),"",ReferenceData!$AW$238),"")</f>
        <v/>
      </c>
      <c r="AX238" t="str">
        <f ca="1">IFERROR(IF(0=LEN(ReferenceData!$AX$238),"",ReferenceData!$AX$238),"")</f>
        <v/>
      </c>
      <c r="AY238" t="str">
        <f ca="1">IFERROR(IF(0=LEN(ReferenceData!$AY$238),"",ReferenceData!$AY$238),"")</f>
        <v/>
      </c>
      <c r="AZ238" t="str">
        <f ca="1">IFERROR(IF(0=LEN(ReferenceData!$AZ$238),"",ReferenceData!$AZ$238),"")</f>
        <v/>
      </c>
      <c r="BA238" t="str">
        <f ca="1">IFERROR(IF(0=LEN(ReferenceData!$BA$238),"",ReferenceData!$BA$238),"")</f>
        <v/>
      </c>
      <c r="BB238" t="str">
        <f ca="1">IFERROR(IF(0=LEN(ReferenceData!$BB$238),"",ReferenceData!$BB$238),"")</f>
        <v/>
      </c>
      <c r="BC238" t="str">
        <f ca="1">IFERROR(IF(0=LEN(ReferenceData!$BC$238),"",ReferenceData!$BC$238),"")</f>
        <v/>
      </c>
      <c r="BD238" t="str">
        <f ca="1">IFERROR(IF(0=LEN(ReferenceData!$BD$238),"",ReferenceData!$BD$238),"")</f>
        <v/>
      </c>
      <c r="BE238" t="str">
        <f ca="1">IFERROR(IF(0=LEN(ReferenceData!$BE$238),"",ReferenceData!$BE$238),"")</f>
        <v/>
      </c>
      <c r="BF238" t="str">
        <f ca="1">IFERROR(IF(0=LEN(ReferenceData!$BF$238),"",ReferenceData!$BF$238),"")</f>
        <v/>
      </c>
      <c r="BG238" t="str">
        <f ca="1">IFERROR(IF(0=LEN(ReferenceData!$BG$238),"",ReferenceData!$BG$238),"")</f>
        <v/>
      </c>
      <c r="BH238" t="str">
        <f ca="1">IFERROR(IF(0=LEN(ReferenceData!$BH$238),"",ReferenceData!$BH$238),"")</f>
        <v/>
      </c>
      <c r="BI238" t="str">
        <f ca="1">IFERROR(IF(0=LEN(ReferenceData!$BI$238),"",ReferenceData!$BI$238),"")</f>
        <v/>
      </c>
      <c r="BJ238" t="str">
        <f ca="1">IFERROR(IF(0=LEN(ReferenceData!$BJ$238),"",ReferenceData!$BJ$238),"")</f>
        <v/>
      </c>
      <c r="BK238" t="str">
        <f ca="1">IFERROR(IF(0=LEN(ReferenceData!$BK$238),"",ReferenceData!$BK$238),"")</f>
        <v/>
      </c>
      <c r="BL238" t="str">
        <f ca="1">IFERROR(IF(0=LEN(ReferenceData!$BL$238),"",ReferenceData!$BL$238),"")</f>
        <v/>
      </c>
      <c r="BM238" t="str">
        <f ca="1">IFERROR(IF(0=LEN(ReferenceData!$BM$238),"",ReferenceData!$BM$238),"")</f>
        <v/>
      </c>
    </row>
    <row r="239" spans="1:65">
      <c r="A239" t="str">
        <f>IFERROR(IF(0=LEN(ReferenceData!$A$239),"",ReferenceData!$A$239),"")</f>
        <v xml:space="preserve">    Simon Property Group Inc</v>
      </c>
      <c r="B239" t="str">
        <f>IFERROR(IF(0=LEN(ReferenceData!$B$239),"",ReferenceData!$B$239),"")</f>
        <v>SPG US Equity</v>
      </c>
      <c r="C239" t="str">
        <f>IFERROR(IF(0=LEN(ReferenceData!$C$239),"",ReferenceData!$C$239),"")</f>
        <v>RR553</v>
      </c>
      <c r="D239" t="str">
        <f>IFERROR(IF(0=LEN(ReferenceData!$D$239),"",ReferenceData!$D$239),"")</f>
        <v>EBITDA_RE_ASSET</v>
      </c>
      <c r="E239" t="str">
        <f>IFERROR(IF(0=LEN(ReferenceData!$E$239),"",ReferenceData!$E$239),"")</f>
        <v>动态</v>
      </c>
      <c r="F239" t="str">
        <f ca="1">IFERROR(IF(0=LEN(ReferenceData!$F$239),"",ReferenceData!$F$239),"")</f>
        <v/>
      </c>
      <c r="G239">
        <f ca="1">IFERROR(IF(0=LEN(ReferenceData!$G$239),"",ReferenceData!$G$239),"")</f>
        <v>3.818976412</v>
      </c>
      <c r="H239">
        <f ca="1">IFERROR(IF(0=LEN(ReferenceData!$H$239),"",ReferenceData!$H$239),"")</f>
        <v>3.6029722770000001</v>
      </c>
      <c r="I239">
        <f ca="1">IFERROR(IF(0=LEN(ReferenceData!$I$239),"",ReferenceData!$I$239),"")</f>
        <v>3.6039928419999998</v>
      </c>
      <c r="J239">
        <f ca="1">IFERROR(IF(0=LEN(ReferenceData!$J$239),"",ReferenceData!$J$239),"")</f>
        <v>3.5615451619999998</v>
      </c>
      <c r="K239">
        <f ca="1">IFERROR(IF(0=LEN(ReferenceData!$K$239),"",ReferenceData!$K$239),"")</f>
        <v>3.7033810530000002</v>
      </c>
      <c r="L239">
        <f ca="1">IFERROR(IF(0=LEN(ReferenceData!$L$239),"",ReferenceData!$L$239),"")</f>
        <v>3.4834094900000001</v>
      </c>
      <c r="M239">
        <f ca="1">IFERROR(IF(0=LEN(ReferenceData!$M$239),"",ReferenceData!$M$239),"")</f>
        <v>3.4459461569999998</v>
      </c>
      <c r="N239">
        <f ca="1">IFERROR(IF(0=LEN(ReferenceData!$N$239),"",ReferenceData!$N$239),"")</f>
        <v>3.5117700329999999</v>
      </c>
      <c r="O239">
        <f ca="1">IFERROR(IF(0=LEN(ReferenceData!$O$239),"",ReferenceData!$O$239),"")</f>
        <v>3.675926596</v>
      </c>
      <c r="P239">
        <f ca="1">IFERROR(IF(0=LEN(ReferenceData!$P$239),"",ReferenceData!$P$239),"")</f>
        <v>3.4608985489999999</v>
      </c>
      <c r="Q239">
        <f ca="1">IFERROR(IF(0=LEN(ReferenceData!$Q$239),"",ReferenceData!$Q$239),"")</f>
        <v>3.6711971800000001</v>
      </c>
      <c r="R239">
        <f ca="1">IFERROR(IF(0=LEN(ReferenceData!$R$239),"",ReferenceData!$R$239),"")</f>
        <v>3.3319634850000002</v>
      </c>
      <c r="S239">
        <f ca="1">IFERROR(IF(0=LEN(ReferenceData!$S$239),"",ReferenceData!$S$239),"")</f>
        <v>3.646160402</v>
      </c>
      <c r="T239">
        <f ca="1">IFERROR(IF(0=LEN(ReferenceData!$T$239),"",ReferenceData!$T$239),"")</f>
        <v>3.420150375</v>
      </c>
      <c r="U239">
        <f ca="1">IFERROR(IF(0=LEN(ReferenceData!$U$239),"",ReferenceData!$U$239),"")</f>
        <v>3.350875126</v>
      </c>
      <c r="V239">
        <f ca="1">IFERROR(IF(0=LEN(ReferenceData!$V$239),"",ReferenceData!$V$239),"")</f>
        <v>3.0071646269999999</v>
      </c>
      <c r="W239">
        <f ca="1">IFERROR(IF(0=LEN(ReferenceData!$W$239),"",ReferenceData!$W$239),"")</f>
        <v>3.2840451810000002</v>
      </c>
      <c r="X239">
        <f ca="1">IFERROR(IF(0=LEN(ReferenceData!$X$239),"",ReferenceData!$X$239),"")</f>
        <v>3.0661294379999999</v>
      </c>
      <c r="Y239">
        <f ca="1">IFERROR(IF(0=LEN(ReferenceData!$Y$239),"",ReferenceData!$Y$239),"")</f>
        <v>2.9057593349999999</v>
      </c>
      <c r="Z239">
        <f ca="1">IFERROR(IF(0=LEN(ReferenceData!$Z$239),"",ReferenceData!$Z$239),"")</f>
        <v>3.02477185</v>
      </c>
      <c r="AA239">
        <f ca="1">IFERROR(IF(0=LEN(ReferenceData!$AA$239),"",ReferenceData!$AA$239),"")</f>
        <v>3.3285234930000001</v>
      </c>
      <c r="AB239">
        <f ca="1">IFERROR(IF(0=LEN(ReferenceData!$AB$239),"",ReferenceData!$AB$239),"")</f>
        <v>3.0285404960000002</v>
      </c>
      <c r="AC239">
        <f ca="1">IFERROR(IF(0=LEN(ReferenceData!$AC$239),"",ReferenceData!$AC$239),"")</f>
        <v>2.899426091</v>
      </c>
      <c r="AD239">
        <f ca="1">IFERROR(IF(0=LEN(ReferenceData!$AD$239),"",ReferenceData!$AD$239),"")</f>
        <v>2.780335005</v>
      </c>
      <c r="AE239">
        <f ca="1">IFERROR(IF(0=LEN(ReferenceData!$AE$239),"",ReferenceData!$AE$239),"")</f>
        <v>3.5615675169999998</v>
      </c>
      <c r="AF239">
        <f ca="1">IFERROR(IF(0=LEN(ReferenceData!$AF$239),"",ReferenceData!$AF$239),"")</f>
        <v>3.3499429360000001</v>
      </c>
      <c r="AG239">
        <f ca="1">IFERROR(IF(0=LEN(ReferenceData!$AG$239),"",ReferenceData!$AG$239),"")</f>
        <v>3.4479828559999999</v>
      </c>
      <c r="AH239">
        <f ca="1">IFERROR(IF(0=LEN(ReferenceData!$AH$239),"",ReferenceData!$AH$239),"")</f>
        <v>3.3446462110000001</v>
      </c>
      <c r="AI239">
        <f ca="1">IFERROR(IF(0=LEN(ReferenceData!$AI$239),"",ReferenceData!$AI$239),"")</f>
        <v>3.6408759270000002</v>
      </c>
      <c r="AJ239">
        <f ca="1">IFERROR(IF(0=LEN(ReferenceData!$AJ$239),"",ReferenceData!$AJ$239),"")</f>
        <v>3.190077294</v>
      </c>
      <c r="AK239">
        <f ca="1">IFERROR(IF(0=LEN(ReferenceData!$AK$239),"",ReferenceData!$AK$239),"")</f>
        <v>3.2589895950000001</v>
      </c>
      <c r="AL239">
        <f ca="1">IFERROR(IF(0=LEN(ReferenceData!$AL$239),"",ReferenceData!$AL$239),"")</f>
        <v>3.2998992359999999</v>
      </c>
      <c r="AM239">
        <f ca="1">IFERROR(IF(0=LEN(ReferenceData!$AM$239),"",ReferenceData!$AM$239),"")</f>
        <v>3.305894334</v>
      </c>
      <c r="AN239">
        <f ca="1">IFERROR(IF(0=LEN(ReferenceData!$AN$239),"",ReferenceData!$AN$239),"")</f>
        <v>3.1174496889999999</v>
      </c>
      <c r="AO239">
        <f ca="1">IFERROR(IF(0=LEN(ReferenceData!$AO$239),"",ReferenceData!$AO$239),"")</f>
        <v>2.2957335240000001</v>
      </c>
      <c r="AP239">
        <f ca="1">IFERROR(IF(0=LEN(ReferenceData!$AP$239),"",ReferenceData!$AP$239),"")</f>
        <v>2.9630763029999998</v>
      </c>
      <c r="AQ239">
        <f ca="1">IFERROR(IF(0=LEN(ReferenceData!$AQ$239),"",ReferenceData!$AQ$239),"")</f>
        <v>4.4343878639999996</v>
      </c>
      <c r="AR239">
        <f ca="1">IFERROR(IF(0=LEN(ReferenceData!$AR$239),"",ReferenceData!$AR$239),"")</f>
        <v>1.854118709</v>
      </c>
      <c r="AS239">
        <f ca="1">IFERROR(IF(0=LEN(ReferenceData!$AS$239),"",ReferenceData!$AS$239),"")</f>
        <v>2.815216773</v>
      </c>
      <c r="AT239">
        <f ca="1">IFERROR(IF(0=LEN(ReferenceData!$AT$239),"",ReferenceData!$AT$239),"")</f>
        <v>2.6833630400000001</v>
      </c>
      <c r="AU239">
        <f ca="1">IFERROR(IF(0=LEN(ReferenceData!$AU$239),"",ReferenceData!$AU$239),"")</f>
        <v>3.2599026609999999</v>
      </c>
      <c r="AV239">
        <f ca="1">IFERROR(IF(0=LEN(ReferenceData!$AV$239),"",ReferenceData!$AV$239),"")</f>
        <v>2.7392787799999998</v>
      </c>
      <c r="AW239">
        <f ca="1">IFERROR(IF(0=LEN(ReferenceData!$AW$239),"",ReferenceData!$AW$239),"")</f>
        <v>2.6394454920000001</v>
      </c>
      <c r="AX239">
        <f ca="1">IFERROR(IF(0=LEN(ReferenceData!$AX$239),"",ReferenceData!$AX$239),"")</f>
        <v>2.5357139339999999</v>
      </c>
      <c r="AY239">
        <f ca="1">IFERROR(IF(0=LEN(ReferenceData!$AY$239),"",ReferenceData!$AY$239),"")</f>
        <v>3.044798471</v>
      </c>
      <c r="AZ239">
        <f ca="1">IFERROR(IF(0=LEN(ReferenceData!$AZ$239),"",ReferenceData!$AZ$239),"")</f>
        <v>2.6849207439999998</v>
      </c>
      <c r="BA239">
        <f ca="1">IFERROR(IF(0=LEN(ReferenceData!$BA$239),"",ReferenceData!$BA$239),"")</f>
        <v>2.6426660979999999</v>
      </c>
      <c r="BB239">
        <f ca="1">IFERROR(IF(0=LEN(ReferenceData!$BB$239),"",ReferenceData!$BB$239),"")</f>
        <v>2.5697437189999999</v>
      </c>
      <c r="BC239">
        <f ca="1">IFERROR(IF(0=LEN(ReferenceData!$BC$239),"",ReferenceData!$BC$239),"")</f>
        <v>2.894698499</v>
      </c>
      <c r="BD239">
        <f ca="1">IFERROR(IF(0=LEN(ReferenceData!$BD$239),"",ReferenceData!$BD$239),"")</f>
        <v>2.5338377740000002</v>
      </c>
      <c r="BE239">
        <f ca="1">IFERROR(IF(0=LEN(ReferenceData!$BE$239),"",ReferenceData!$BE$239),"")</f>
        <v>2.5122850109999999</v>
      </c>
      <c r="BF239">
        <f ca="1">IFERROR(IF(0=LEN(ReferenceData!$BF$239),"",ReferenceData!$BF$239),"")</f>
        <v>2.4088126220000001</v>
      </c>
      <c r="BG239">
        <f ca="1">IFERROR(IF(0=LEN(ReferenceData!$BG$239),"",ReferenceData!$BG$239),"")</f>
        <v>2.6016352710000001</v>
      </c>
      <c r="BH239">
        <f ca="1">IFERROR(IF(0=LEN(ReferenceData!$BH$239),"",ReferenceData!$BH$239),"")</f>
        <v>2.6709359510000001</v>
      </c>
      <c r="BI239">
        <f ca="1">IFERROR(IF(0=LEN(ReferenceData!$BI$239),"",ReferenceData!$BI$239),"")</f>
        <v>2.628833685</v>
      </c>
      <c r="BJ239">
        <f ca="1">IFERROR(IF(0=LEN(ReferenceData!$BJ$239),"",ReferenceData!$BJ$239),"")</f>
        <v>2.5878444310000002</v>
      </c>
      <c r="BK239">
        <f ca="1">IFERROR(IF(0=LEN(ReferenceData!$BK$239),"",ReferenceData!$BK$239),"")</f>
        <v>3.0369751410000001</v>
      </c>
      <c r="BL239">
        <f ca="1">IFERROR(IF(0=LEN(ReferenceData!$BL$239),"",ReferenceData!$BL$239),"")</f>
        <v>2.6513141789999999</v>
      </c>
      <c r="BM239">
        <f ca="1">IFERROR(IF(0=LEN(ReferenceData!$BM$239),"",ReferenceData!$BM$239),"")</f>
        <v>2.5901873649999998</v>
      </c>
    </row>
    <row r="240" spans="1:65">
      <c r="A240" t="str">
        <f>IFERROR(IF(0=LEN(ReferenceData!$A$240),"",ReferenceData!$A$240),"")</f>
        <v xml:space="preserve">    Tanger Factory Outlet Centers</v>
      </c>
      <c r="B240" t="str">
        <f>IFERROR(IF(0=LEN(ReferenceData!$B$240),"",ReferenceData!$B$240),"")</f>
        <v>SKT US Equity</v>
      </c>
      <c r="C240" t="str">
        <f>IFERROR(IF(0=LEN(ReferenceData!$C$240),"",ReferenceData!$C$240),"")</f>
        <v>RR553</v>
      </c>
      <c r="D240" t="str">
        <f>IFERROR(IF(0=LEN(ReferenceData!$D$240),"",ReferenceData!$D$240),"")</f>
        <v>EBITDA_RE_ASSET</v>
      </c>
      <c r="E240" t="str">
        <f>IFERROR(IF(0=LEN(ReferenceData!$E$240),"",ReferenceData!$E$240),"")</f>
        <v>动态</v>
      </c>
      <c r="F240" t="str">
        <f ca="1">IFERROR(IF(0=LEN(ReferenceData!$F$240),"",ReferenceData!$F$240),"")</f>
        <v/>
      </c>
      <c r="G240">
        <f ca="1">IFERROR(IF(0=LEN(ReferenceData!$G$240),"",ReferenceData!$G$240),"")</f>
        <v>3.3031229359999998</v>
      </c>
      <c r="H240">
        <f ca="1">IFERROR(IF(0=LEN(ReferenceData!$H$240),"",ReferenceData!$H$240),"")</f>
        <v>3.1435423120000001</v>
      </c>
      <c r="I240">
        <f ca="1">IFERROR(IF(0=LEN(ReferenceData!$I$240),"",ReferenceData!$I$240),"")</f>
        <v>3.1008977569999998</v>
      </c>
      <c r="J240">
        <f ca="1">IFERROR(IF(0=LEN(ReferenceData!$J$240),"",ReferenceData!$J$240),"")</f>
        <v>3.0069449079999999</v>
      </c>
      <c r="K240">
        <f ca="1">IFERROR(IF(0=LEN(ReferenceData!$K$240),"",ReferenceData!$K$240),"")</f>
        <v>3.1385944189999999</v>
      </c>
      <c r="L240">
        <f ca="1">IFERROR(IF(0=LEN(ReferenceData!$L$240),"",ReferenceData!$L$240),"")</f>
        <v>3.0201230780000001</v>
      </c>
      <c r="M240">
        <f ca="1">IFERROR(IF(0=LEN(ReferenceData!$M$240),"",ReferenceData!$M$240),"")</f>
        <v>3.0288789739999999</v>
      </c>
      <c r="N240">
        <f ca="1">IFERROR(IF(0=LEN(ReferenceData!$N$240),"",ReferenceData!$N$240),"")</f>
        <v>3.1193465470000001</v>
      </c>
      <c r="O240">
        <f ca="1">IFERROR(IF(0=LEN(ReferenceData!$O$240),"",ReferenceData!$O$240),"")</f>
        <v>3.3154811469999999</v>
      </c>
      <c r="P240">
        <f ca="1">IFERROR(IF(0=LEN(ReferenceData!$P$240),"",ReferenceData!$P$240),"")</f>
        <v>3.338886102</v>
      </c>
      <c r="Q240">
        <f ca="1">IFERROR(IF(0=LEN(ReferenceData!$Q$240),"",ReferenceData!$Q$240),"")</f>
        <v>3.1333885229999998</v>
      </c>
      <c r="R240">
        <f ca="1">IFERROR(IF(0=LEN(ReferenceData!$R$240),"",ReferenceData!$R$240),"")</f>
        <v>3.004772649</v>
      </c>
      <c r="S240">
        <f ca="1">IFERROR(IF(0=LEN(ReferenceData!$S$240),"",ReferenceData!$S$240),"")</f>
        <v>3.286853341</v>
      </c>
      <c r="T240">
        <f ca="1">IFERROR(IF(0=LEN(ReferenceData!$T$240),"",ReferenceData!$T$240),"")</f>
        <v>3.2302864019999999</v>
      </c>
      <c r="U240">
        <f ca="1">IFERROR(IF(0=LEN(ReferenceData!$U$240),"",ReferenceData!$U$240),"")</f>
        <v>3.1838888239999998</v>
      </c>
      <c r="V240">
        <f ca="1">IFERROR(IF(0=LEN(ReferenceData!$V$240),"",ReferenceData!$V$240),"")</f>
        <v>3.0855729200000002</v>
      </c>
      <c r="W240">
        <f ca="1">IFERROR(IF(0=LEN(ReferenceData!$W$240),"",ReferenceData!$W$240),"")</f>
        <v>3.6290726869999999</v>
      </c>
      <c r="X240">
        <f ca="1">IFERROR(IF(0=LEN(ReferenceData!$X$240),"",ReferenceData!$X$240),"")</f>
        <v>3.318125593</v>
      </c>
      <c r="Y240">
        <f ca="1">IFERROR(IF(0=LEN(ReferenceData!$Y$240),"",ReferenceData!$Y$240),"")</f>
        <v>3.4333121289999999</v>
      </c>
      <c r="Z240">
        <f ca="1">IFERROR(IF(0=LEN(ReferenceData!$Z$240),"",ReferenceData!$Z$240),"")</f>
        <v>3.4101305769999999</v>
      </c>
      <c r="AA240">
        <f ca="1">IFERROR(IF(0=LEN(ReferenceData!$AA$240),"",ReferenceData!$AA$240),"")</f>
        <v>3.7302707690000001</v>
      </c>
      <c r="AB240">
        <f ca="1">IFERROR(IF(0=LEN(ReferenceData!$AB$240),"",ReferenceData!$AB$240),"")</f>
        <v>3.6906491579999998</v>
      </c>
      <c r="AC240">
        <f ca="1">IFERROR(IF(0=LEN(ReferenceData!$AC$240),"",ReferenceData!$AC$240),"")</f>
        <v>3.4691315839999999</v>
      </c>
      <c r="AD240">
        <f ca="1">IFERROR(IF(0=LEN(ReferenceData!$AD$240),"",ReferenceData!$AD$240),"")</f>
        <v>3.333598812</v>
      </c>
      <c r="AE240">
        <f ca="1">IFERROR(IF(0=LEN(ReferenceData!$AE$240),"",ReferenceData!$AE$240),"")</f>
        <v>3.735507573</v>
      </c>
      <c r="AF240">
        <f ca="1">IFERROR(IF(0=LEN(ReferenceData!$AF$240),"",ReferenceData!$AF$240),"")</f>
        <v>3.4805365899999998</v>
      </c>
      <c r="AG240">
        <f ca="1">IFERROR(IF(0=LEN(ReferenceData!$AG$240),"",ReferenceData!$AG$240),"")</f>
        <v>3.2518265569999998</v>
      </c>
      <c r="AH240">
        <f ca="1">IFERROR(IF(0=LEN(ReferenceData!$AH$240),"",ReferenceData!$AH$240),"")</f>
        <v>3.468705521</v>
      </c>
      <c r="AI240">
        <f ca="1">IFERROR(IF(0=LEN(ReferenceData!$AI$240),"",ReferenceData!$AI$240),"")</f>
        <v>3.7574612140000001</v>
      </c>
      <c r="AJ240">
        <f ca="1">IFERROR(IF(0=LEN(ReferenceData!$AJ$240),"",ReferenceData!$AJ$240),"")</f>
        <v>3.6091467719999999</v>
      </c>
      <c r="AK240">
        <f ca="1">IFERROR(IF(0=LEN(ReferenceData!$AK$240),"",ReferenceData!$AK$240),"")</f>
        <v>3.3584444910000002</v>
      </c>
      <c r="AL240">
        <f ca="1">IFERROR(IF(0=LEN(ReferenceData!$AL$240),"",ReferenceData!$AL$240),"")</f>
        <v>3.4185769540000002</v>
      </c>
      <c r="AM240">
        <f ca="1">IFERROR(IF(0=LEN(ReferenceData!$AM$240),"",ReferenceData!$AM$240),"")</f>
        <v>3.7699408000000001</v>
      </c>
      <c r="AN240">
        <f ca="1">IFERROR(IF(0=LEN(ReferenceData!$AN$240),"",ReferenceData!$AN$240),"")</f>
        <v>3.0160950689999999</v>
      </c>
      <c r="AO240">
        <f ca="1">IFERROR(IF(0=LEN(ReferenceData!$AO$240),"",ReferenceData!$AO$240),"")</f>
        <v>3.4344542769999999</v>
      </c>
      <c r="AP240">
        <f ca="1">IFERROR(IF(0=LEN(ReferenceData!$AP$240),"",ReferenceData!$AP$240),"")</f>
        <v>3.3370464019999999</v>
      </c>
      <c r="AQ240">
        <f ca="1">IFERROR(IF(0=LEN(ReferenceData!$AQ$240),"",ReferenceData!$AQ$240),"")</f>
        <v>3.6944616410000002</v>
      </c>
      <c r="AR240">
        <f ca="1">IFERROR(IF(0=LEN(ReferenceData!$AR$240),"",ReferenceData!$AR$240),"")</f>
        <v>3.412007644</v>
      </c>
      <c r="AS240">
        <f ca="1">IFERROR(IF(0=LEN(ReferenceData!$AS$240),"",ReferenceData!$AS$240),"")</f>
        <v>3.2859441149999999</v>
      </c>
      <c r="AT240">
        <f ca="1">IFERROR(IF(0=LEN(ReferenceData!$AT$240),"",ReferenceData!$AT$240),"")</f>
        <v>3.2893165930000001</v>
      </c>
      <c r="AU240">
        <f ca="1">IFERROR(IF(0=LEN(ReferenceData!$AU$240),"",ReferenceData!$AU$240),"")</f>
        <v>3.7125682860000002</v>
      </c>
      <c r="AV240">
        <f ca="1">IFERROR(IF(0=LEN(ReferenceData!$AV$240),"",ReferenceData!$AV$240),"")</f>
        <v>3.567335006</v>
      </c>
      <c r="AW240">
        <f ca="1">IFERROR(IF(0=LEN(ReferenceData!$AW$240),"",ReferenceData!$AW$240),"")</f>
        <v>3.394340272</v>
      </c>
      <c r="AX240">
        <f ca="1">IFERROR(IF(0=LEN(ReferenceData!$AX$240),"",ReferenceData!$AX$240),"")</f>
        <v>3.3531000820000001</v>
      </c>
      <c r="AY240">
        <f ca="1">IFERROR(IF(0=LEN(ReferenceData!$AY$240),"",ReferenceData!$AY$240),"")</f>
        <v>3.5423244060000001</v>
      </c>
      <c r="AZ240">
        <f ca="1">IFERROR(IF(0=LEN(ReferenceData!$AZ$240),"",ReferenceData!$AZ$240),"")</f>
        <v>3.5225955469999999</v>
      </c>
      <c r="BA240">
        <f ca="1">IFERROR(IF(0=LEN(ReferenceData!$BA$240),"",ReferenceData!$BA$240),"")</f>
        <v>3.2519248780000001</v>
      </c>
      <c r="BB240">
        <f ca="1">IFERROR(IF(0=LEN(ReferenceData!$BB$240),"",ReferenceData!$BB$240),"")</f>
        <v>3.219026645</v>
      </c>
      <c r="BC240">
        <f ca="1">IFERROR(IF(0=LEN(ReferenceData!$BC$240),"",ReferenceData!$BC$240),"")</f>
        <v>3.61289785</v>
      </c>
      <c r="BD240">
        <f ca="1">IFERROR(IF(0=LEN(ReferenceData!$BD$240),"",ReferenceData!$BD$240),"")</f>
        <v>3.789908348</v>
      </c>
      <c r="BE240">
        <f ca="1">IFERROR(IF(0=LEN(ReferenceData!$BE$240),"",ReferenceData!$BE$240),"")</f>
        <v>3.5676785029999998</v>
      </c>
      <c r="BF240">
        <f ca="1">IFERROR(IF(0=LEN(ReferenceData!$BF$240),"",ReferenceData!$BF$240),"")</f>
        <v>3.3766768049999998</v>
      </c>
      <c r="BG240">
        <f ca="1">IFERROR(IF(0=LEN(ReferenceData!$BG$240),"",ReferenceData!$BG$240),"")</f>
        <v>3.7613834559999999</v>
      </c>
      <c r="BH240">
        <f ca="1">IFERROR(IF(0=LEN(ReferenceData!$BH$240),"",ReferenceData!$BH$240),"")</f>
        <v>3.6090060199999998</v>
      </c>
      <c r="BI240">
        <f ca="1">IFERROR(IF(0=LEN(ReferenceData!$BI$240),"",ReferenceData!$BI$240),"")</f>
        <v>3.5396798440000001</v>
      </c>
      <c r="BJ240">
        <f ca="1">IFERROR(IF(0=LEN(ReferenceData!$BJ$240),"",ReferenceData!$BJ$240),"")</f>
        <v>3.2761916850000001</v>
      </c>
      <c r="BK240">
        <f ca="1">IFERROR(IF(0=LEN(ReferenceData!$BK$240),"",ReferenceData!$BK$240),"")</f>
        <v>2.3954259709999999</v>
      </c>
      <c r="BL240">
        <f ca="1">IFERROR(IF(0=LEN(ReferenceData!$BL$240),"",ReferenceData!$BL$240),"")</f>
        <v>3.9130090590000002</v>
      </c>
      <c r="BM240">
        <f ca="1">IFERROR(IF(0=LEN(ReferenceData!$BM$240),"",ReferenceData!$BM$240),"")</f>
        <v>3.7914447839999998</v>
      </c>
    </row>
    <row r="241" spans="1:65">
      <c r="A241" t="str">
        <f>IFERROR(IF(0=LEN(ReferenceData!$A$241),"",ReferenceData!$A$241),"")</f>
        <v xml:space="preserve">    VEREIT Inc</v>
      </c>
      <c r="B241" t="str">
        <f>IFERROR(IF(0=LEN(ReferenceData!$B$241),"",ReferenceData!$B$241),"")</f>
        <v>VER US Equity</v>
      </c>
      <c r="C241" t="str">
        <f>IFERROR(IF(0=LEN(ReferenceData!$C$241),"",ReferenceData!$C$241),"")</f>
        <v>RR553</v>
      </c>
      <c r="D241" t="str">
        <f>IFERROR(IF(0=LEN(ReferenceData!$D$241),"",ReferenceData!$D$241),"")</f>
        <v>EBITDA_RE_ASSET</v>
      </c>
      <c r="E241" t="str">
        <f>IFERROR(IF(0=LEN(ReferenceData!$E$241),"",ReferenceData!$E$241),"")</f>
        <v>动态</v>
      </c>
      <c r="F241" t="str">
        <f ca="1">IFERROR(IF(0=LEN(ReferenceData!$F$241),"",ReferenceData!$F$241),"")</f>
        <v/>
      </c>
      <c r="G241">
        <f ca="1">IFERROR(IF(0=LEN(ReferenceData!$G$241),"",ReferenceData!$G$241),"")</f>
        <v>1.831824941</v>
      </c>
      <c r="H241">
        <f ca="1">IFERROR(IF(0=LEN(ReferenceData!$H$241),"",ReferenceData!$H$241),"")</f>
        <v>1.9897158150000001</v>
      </c>
      <c r="I241">
        <f ca="1">IFERROR(IF(0=LEN(ReferenceData!$I$241),"",ReferenceData!$I$241),"")</f>
        <v>1.922735131</v>
      </c>
      <c r="J241">
        <f ca="1">IFERROR(IF(0=LEN(ReferenceData!$J$241),"",ReferenceData!$J$241),"")</f>
        <v>2.0509498260000001</v>
      </c>
      <c r="K241">
        <f ca="1">IFERROR(IF(0=LEN(ReferenceData!$K$241),"",ReferenceData!$K$241),"")</f>
        <v>1.076491504</v>
      </c>
      <c r="L241">
        <f ca="1">IFERROR(IF(0=LEN(ReferenceData!$L$241),"",ReferenceData!$L$241),"")</f>
        <v>2.0859747689999999</v>
      </c>
      <c r="M241">
        <f ca="1">IFERROR(IF(0=LEN(ReferenceData!$M$241),"",ReferenceData!$M$241),"")</f>
        <v>2.026677308</v>
      </c>
      <c r="N241">
        <f ca="1">IFERROR(IF(0=LEN(ReferenceData!$N$241),"",ReferenceData!$N$241),"")</f>
        <v>0.99667644099999997</v>
      </c>
      <c r="O241">
        <f ca="1">IFERROR(IF(0=LEN(ReferenceData!$O$241),"",ReferenceData!$O$241),"")</f>
        <v>0.54914006400000004</v>
      </c>
      <c r="P241">
        <f ca="1">IFERROR(IF(0=LEN(ReferenceData!$P$241),"",ReferenceData!$P$241),"")</f>
        <v>1.995180121</v>
      </c>
      <c r="Q241">
        <f ca="1">IFERROR(IF(0=LEN(ReferenceData!$Q$241),"",ReferenceData!$Q$241),"")</f>
        <v>1.3670937970000001</v>
      </c>
      <c r="R241">
        <f ca="1">IFERROR(IF(0=LEN(ReferenceData!$R$241),"",ReferenceData!$R$241),"")</f>
        <v>1.859422857</v>
      </c>
      <c r="S241">
        <f ca="1">IFERROR(IF(0=LEN(ReferenceData!$S$241),"",ReferenceData!$S$241),"")</f>
        <v>-0.35210201899999999</v>
      </c>
      <c r="T241">
        <f ca="1">IFERROR(IF(0=LEN(ReferenceData!$T$241),"",ReferenceData!$T$241),"")</f>
        <v>1.9951501629999999</v>
      </c>
      <c r="U241">
        <f ca="1">IFERROR(IF(0=LEN(ReferenceData!$U$241),"",ReferenceData!$U$241),"")</f>
        <v>1.817976603</v>
      </c>
      <c r="V241">
        <f ca="1">IFERROR(IF(0=LEN(ReferenceData!$V$241),"",ReferenceData!$V$241),"")</f>
        <v>0.31749470899999999</v>
      </c>
      <c r="W241">
        <f ca="1">IFERROR(IF(0=LEN(ReferenceData!$W$241),"",ReferenceData!$W$241),"")</f>
        <v>-0.24906392599999999</v>
      </c>
      <c r="X241">
        <f ca="1">IFERROR(IF(0=LEN(ReferenceData!$X$241),"",ReferenceData!$X$241),"")</f>
        <v>2.0325254230000001</v>
      </c>
      <c r="Y241">
        <f ca="1">IFERROR(IF(0=LEN(ReferenceData!$Y$241),"",ReferenceData!$Y$241),"")</f>
        <v>0.19444782399999999</v>
      </c>
      <c r="Z241">
        <f ca="1">IFERROR(IF(0=LEN(ReferenceData!$Z$241),"",ReferenceData!$Z$241),"")</f>
        <v>-6.2614964640000004</v>
      </c>
      <c r="AA241">
        <f ca="1">IFERROR(IF(0=LEN(ReferenceData!$AA$241),"",ReferenceData!$AA$241),"")</f>
        <v>0.476761671</v>
      </c>
      <c r="AB241">
        <f ca="1">IFERROR(IF(0=LEN(ReferenceData!$AB$241),"",ReferenceData!$AB$241),"")</f>
        <v>1.481652604</v>
      </c>
      <c r="AC241">
        <f ca="1">IFERROR(IF(0=LEN(ReferenceData!$AC$241),"",ReferenceData!$AC$241),"")</f>
        <v>1.7956605839999999</v>
      </c>
      <c r="AD241">
        <f ca="1">IFERROR(IF(0=LEN(ReferenceData!$AD$241),"",ReferenceData!$AD$241),"")</f>
        <v>0.42893151600000001</v>
      </c>
      <c r="AE241">
        <f ca="1">IFERROR(IF(0=LEN(ReferenceData!$AE$241),"",ReferenceData!$AE$241),"")</f>
        <v>-0.84091163000000002</v>
      </c>
      <c r="AF241">
        <f ca="1">IFERROR(IF(0=LEN(ReferenceData!$AF$241),"",ReferenceData!$AF$241),"")</f>
        <v>-0.111127648</v>
      </c>
      <c r="AG241" t="str">
        <f ca="1">IFERROR(IF(0=LEN(ReferenceData!$AG$241),"",ReferenceData!$AG$241),"")</f>
        <v/>
      </c>
      <c r="AH241">
        <f ca="1">IFERROR(IF(0=LEN(ReferenceData!$AH$241),"",ReferenceData!$AH$241),"")</f>
        <v>2.2082933769999999</v>
      </c>
      <c r="AI241" t="str">
        <f ca="1">IFERROR(IF(0=LEN(ReferenceData!$AI$241),"",ReferenceData!$AI$241),"")</f>
        <v/>
      </c>
      <c r="AJ241" t="str">
        <f ca="1">IFERROR(IF(0=LEN(ReferenceData!$AJ$241),"",ReferenceData!$AJ$241),"")</f>
        <v/>
      </c>
      <c r="AK241" t="str">
        <f ca="1">IFERROR(IF(0=LEN(ReferenceData!$AK$241),"",ReferenceData!$AK$241),"")</f>
        <v/>
      </c>
      <c r="AL241" t="str">
        <f ca="1">IFERROR(IF(0=LEN(ReferenceData!$AL$241),"",ReferenceData!$AL$241),"")</f>
        <v/>
      </c>
      <c r="AM241" t="str">
        <f ca="1">IFERROR(IF(0=LEN(ReferenceData!$AM$241),"",ReferenceData!$AM$241),"")</f>
        <v/>
      </c>
      <c r="AN241" t="str">
        <f ca="1">IFERROR(IF(0=LEN(ReferenceData!$AN$241),"",ReferenceData!$AN$241),"")</f>
        <v/>
      </c>
      <c r="AO241" t="str">
        <f ca="1">IFERROR(IF(0=LEN(ReferenceData!$AO$241),"",ReferenceData!$AO$241),"")</f>
        <v/>
      </c>
      <c r="AP241" t="str">
        <f ca="1">IFERROR(IF(0=LEN(ReferenceData!$AP$241),"",ReferenceData!$AP$241),"")</f>
        <v/>
      </c>
      <c r="AQ241" t="str">
        <f ca="1">IFERROR(IF(0=LEN(ReferenceData!$AQ$241),"",ReferenceData!$AQ$241),"")</f>
        <v/>
      </c>
      <c r="AR241" t="str">
        <f ca="1">IFERROR(IF(0=LEN(ReferenceData!$AR$241),"",ReferenceData!$AR$241),"")</f>
        <v/>
      </c>
      <c r="AS241" t="str">
        <f ca="1">IFERROR(IF(0=LEN(ReferenceData!$AS$241),"",ReferenceData!$AS$241),"")</f>
        <v/>
      </c>
      <c r="AT241" t="str">
        <f ca="1">IFERROR(IF(0=LEN(ReferenceData!$AT$241),"",ReferenceData!$AT$241),"")</f>
        <v/>
      </c>
      <c r="AU241" t="str">
        <f ca="1">IFERROR(IF(0=LEN(ReferenceData!$AU$241),"",ReferenceData!$AU$241),"")</f>
        <v/>
      </c>
      <c r="AV241" t="str">
        <f ca="1">IFERROR(IF(0=LEN(ReferenceData!$AV$241),"",ReferenceData!$AV$241),"")</f>
        <v/>
      </c>
      <c r="AW241" t="str">
        <f ca="1">IFERROR(IF(0=LEN(ReferenceData!$AW$241),"",ReferenceData!$AW$241),"")</f>
        <v/>
      </c>
      <c r="AX241" t="str">
        <f ca="1">IFERROR(IF(0=LEN(ReferenceData!$AX$241),"",ReferenceData!$AX$241),"")</f>
        <v/>
      </c>
      <c r="AY241" t="str">
        <f ca="1">IFERROR(IF(0=LEN(ReferenceData!$AY$241),"",ReferenceData!$AY$241),"")</f>
        <v/>
      </c>
      <c r="AZ241" t="str">
        <f ca="1">IFERROR(IF(0=LEN(ReferenceData!$AZ$241),"",ReferenceData!$AZ$241),"")</f>
        <v/>
      </c>
      <c r="BA241" t="str">
        <f ca="1">IFERROR(IF(0=LEN(ReferenceData!$BA$241),"",ReferenceData!$BA$241),"")</f>
        <v/>
      </c>
      <c r="BB241" t="str">
        <f ca="1">IFERROR(IF(0=LEN(ReferenceData!$BB$241),"",ReferenceData!$BB$241),"")</f>
        <v/>
      </c>
      <c r="BC241" t="str">
        <f ca="1">IFERROR(IF(0=LEN(ReferenceData!$BC$241),"",ReferenceData!$BC$241),"")</f>
        <v/>
      </c>
      <c r="BD241" t="str">
        <f ca="1">IFERROR(IF(0=LEN(ReferenceData!$BD$241),"",ReferenceData!$BD$241),"")</f>
        <v/>
      </c>
      <c r="BE241" t="str">
        <f ca="1">IFERROR(IF(0=LEN(ReferenceData!$BE$241),"",ReferenceData!$BE$241),"")</f>
        <v/>
      </c>
      <c r="BF241" t="str">
        <f ca="1">IFERROR(IF(0=LEN(ReferenceData!$BF$241),"",ReferenceData!$BF$241),"")</f>
        <v/>
      </c>
      <c r="BG241" t="str">
        <f ca="1">IFERROR(IF(0=LEN(ReferenceData!$BG$241),"",ReferenceData!$BG$241),"")</f>
        <v/>
      </c>
      <c r="BH241" t="str">
        <f ca="1">IFERROR(IF(0=LEN(ReferenceData!$BH$241),"",ReferenceData!$BH$241),"")</f>
        <v/>
      </c>
      <c r="BI241" t="str">
        <f ca="1">IFERROR(IF(0=LEN(ReferenceData!$BI$241),"",ReferenceData!$BI$241),"")</f>
        <v/>
      </c>
      <c r="BJ241" t="str">
        <f ca="1">IFERROR(IF(0=LEN(ReferenceData!$BJ$241),"",ReferenceData!$BJ$241),"")</f>
        <v/>
      </c>
      <c r="BK241" t="str">
        <f ca="1">IFERROR(IF(0=LEN(ReferenceData!$BK$241),"",ReferenceData!$BK$241),"")</f>
        <v/>
      </c>
      <c r="BL241" t="str">
        <f ca="1">IFERROR(IF(0=LEN(ReferenceData!$BL$241),"",ReferenceData!$BL$241),"")</f>
        <v/>
      </c>
      <c r="BM241" t="str">
        <f ca="1">IFERROR(IF(0=LEN(ReferenceData!$BM$241),"",ReferenceData!$BM$241),"")</f>
        <v/>
      </c>
    </row>
    <row r="242" spans="1:65">
      <c r="A242" t="str">
        <f>IFERROR(IF(0=LEN(ReferenceData!$A$242),"",ReferenceData!$A$242),"")</f>
        <v xml:space="preserve">    Washington Prime Group Inc</v>
      </c>
      <c r="B242" t="str">
        <f>IFERROR(IF(0=LEN(ReferenceData!$B$242),"",ReferenceData!$B$242),"")</f>
        <v>WPG US Equity</v>
      </c>
      <c r="C242" t="str">
        <f>IFERROR(IF(0=LEN(ReferenceData!$C$242),"",ReferenceData!$C$242),"")</f>
        <v>RR553</v>
      </c>
      <c r="D242" t="str">
        <f>IFERROR(IF(0=LEN(ReferenceData!$D$242),"",ReferenceData!$D$242),"")</f>
        <v>EBITDA_RE_ASSET</v>
      </c>
      <c r="E242" t="str">
        <f>IFERROR(IF(0=LEN(ReferenceData!$E$242),"",ReferenceData!$E$242),"")</f>
        <v>动态</v>
      </c>
      <c r="F242" t="str">
        <f ca="1">IFERROR(IF(0=LEN(ReferenceData!$F$242),"",ReferenceData!$F$242),"")</f>
        <v/>
      </c>
      <c r="G242">
        <f ca="1">IFERROR(IF(0=LEN(ReferenceData!$G$242),"",ReferenceData!$G$242),"")</f>
        <v>1.991248014</v>
      </c>
      <c r="H242">
        <f ca="1">IFERROR(IF(0=LEN(ReferenceData!$H$242),"",ReferenceData!$H$242),"")</f>
        <v>2.1735531959999999</v>
      </c>
      <c r="I242">
        <f ca="1">IFERROR(IF(0=LEN(ReferenceData!$I$242),"",ReferenceData!$I$242),"")</f>
        <v>2.7348381850000001</v>
      </c>
      <c r="J242">
        <f ca="1">IFERROR(IF(0=LEN(ReferenceData!$J$242),"",ReferenceData!$J$242),"")</f>
        <v>2.5473057799999999</v>
      </c>
      <c r="K242">
        <f ca="1">IFERROR(IF(0=LEN(ReferenceData!$K$242),"",ReferenceData!$K$242),"")</f>
        <v>2.8949364150000001</v>
      </c>
      <c r="L242">
        <f ca="1">IFERROR(IF(0=LEN(ReferenceData!$L$242),"",ReferenceData!$L$242),"")</f>
        <v>2.2550045220000001</v>
      </c>
      <c r="M242">
        <f ca="1">IFERROR(IF(0=LEN(ReferenceData!$M$242),"",ReferenceData!$M$242),"")</f>
        <v>2.1736066150000002</v>
      </c>
      <c r="N242">
        <f ca="1">IFERROR(IF(0=LEN(ReferenceData!$N$242),"",ReferenceData!$N$242),"")</f>
        <v>2.579895627</v>
      </c>
      <c r="O242">
        <f ca="1">IFERROR(IF(0=LEN(ReferenceData!$O$242),"",ReferenceData!$O$242),"")</f>
        <v>-7.0427674999999995E-2</v>
      </c>
      <c r="P242">
        <f ca="1">IFERROR(IF(0=LEN(ReferenceData!$P$242),"",ReferenceData!$P$242),"")</f>
        <v>2.2734304330000001</v>
      </c>
      <c r="Q242">
        <f ca="1">IFERROR(IF(0=LEN(ReferenceData!$Q$242),"",ReferenceData!$Q$242),"")</f>
        <v>2.6224366670000001</v>
      </c>
      <c r="R242">
        <f ca="1">IFERROR(IF(0=LEN(ReferenceData!$R$242),"",ReferenceData!$R$242),"")</f>
        <v>1.901673046</v>
      </c>
      <c r="S242">
        <f ca="1">IFERROR(IF(0=LEN(ReferenceData!$S$242),"",ReferenceData!$S$242),"")</f>
        <v>3.427777582</v>
      </c>
      <c r="T242">
        <f ca="1">IFERROR(IF(0=LEN(ReferenceData!$T$242),"",ReferenceData!$T$242),"")</f>
        <v>3.2777011439999999</v>
      </c>
      <c r="U242">
        <f ca="1">IFERROR(IF(0=LEN(ReferenceData!$U$242),"",ReferenceData!$U$242),"")</f>
        <v>1.9487916300000001</v>
      </c>
      <c r="V242">
        <f ca="1">IFERROR(IF(0=LEN(ReferenceData!$V$242),"",ReferenceData!$V$242),"")</f>
        <v>3.6228089749999999</v>
      </c>
      <c r="W242" t="str">
        <f ca="1">IFERROR(IF(0=LEN(ReferenceData!$W$242),"",ReferenceData!$W$242),"")</f>
        <v/>
      </c>
      <c r="X242" t="str">
        <f ca="1">IFERROR(IF(0=LEN(ReferenceData!$X$242),"",ReferenceData!$X$242),"")</f>
        <v/>
      </c>
      <c r="Y242" t="str">
        <f ca="1">IFERROR(IF(0=LEN(ReferenceData!$Y$242),"",ReferenceData!$Y$242),"")</f>
        <v/>
      </c>
      <c r="Z242" t="str">
        <f ca="1">IFERROR(IF(0=LEN(ReferenceData!$Z$242),"",ReferenceData!$Z$242),"")</f>
        <v/>
      </c>
      <c r="AA242" t="str">
        <f ca="1">IFERROR(IF(0=LEN(ReferenceData!$AA$242),"",ReferenceData!$AA$242),"")</f>
        <v/>
      </c>
      <c r="AB242" t="str">
        <f ca="1">IFERROR(IF(0=LEN(ReferenceData!$AB$242),"",ReferenceData!$AB$242),"")</f>
        <v/>
      </c>
      <c r="AC242" t="str">
        <f ca="1">IFERROR(IF(0=LEN(ReferenceData!$AC$242),"",ReferenceData!$AC$242),"")</f>
        <v/>
      </c>
      <c r="AD242" t="str">
        <f ca="1">IFERROR(IF(0=LEN(ReferenceData!$AD$242),"",ReferenceData!$AD$242),"")</f>
        <v/>
      </c>
      <c r="AE242" t="str">
        <f ca="1">IFERROR(IF(0=LEN(ReferenceData!$AE$242),"",ReferenceData!$AE$242),"")</f>
        <v/>
      </c>
      <c r="AF242" t="str">
        <f ca="1">IFERROR(IF(0=LEN(ReferenceData!$AF$242),"",ReferenceData!$AF$242),"")</f>
        <v/>
      </c>
      <c r="AG242" t="str">
        <f ca="1">IFERROR(IF(0=LEN(ReferenceData!$AG$242),"",ReferenceData!$AG$242),"")</f>
        <v/>
      </c>
      <c r="AH242" t="str">
        <f ca="1">IFERROR(IF(0=LEN(ReferenceData!$AH$242),"",ReferenceData!$AH$242),"")</f>
        <v/>
      </c>
      <c r="AI242" t="str">
        <f ca="1">IFERROR(IF(0=LEN(ReferenceData!$AI$242),"",ReferenceData!$AI$242),"")</f>
        <v/>
      </c>
      <c r="AJ242" t="str">
        <f ca="1">IFERROR(IF(0=LEN(ReferenceData!$AJ$242),"",ReferenceData!$AJ$242),"")</f>
        <v/>
      </c>
      <c r="AK242" t="str">
        <f ca="1">IFERROR(IF(0=LEN(ReferenceData!$AK$242),"",ReferenceData!$AK$242),"")</f>
        <v/>
      </c>
      <c r="AL242" t="str">
        <f ca="1">IFERROR(IF(0=LEN(ReferenceData!$AL$242),"",ReferenceData!$AL$242),"")</f>
        <v/>
      </c>
      <c r="AM242" t="str">
        <f ca="1">IFERROR(IF(0=LEN(ReferenceData!$AM$242),"",ReferenceData!$AM$242),"")</f>
        <v/>
      </c>
      <c r="AN242" t="str">
        <f ca="1">IFERROR(IF(0=LEN(ReferenceData!$AN$242),"",ReferenceData!$AN$242),"")</f>
        <v/>
      </c>
      <c r="AO242" t="str">
        <f ca="1">IFERROR(IF(0=LEN(ReferenceData!$AO$242),"",ReferenceData!$AO$242),"")</f>
        <v/>
      </c>
      <c r="AP242" t="str">
        <f ca="1">IFERROR(IF(0=LEN(ReferenceData!$AP$242),"",ReferenceData!$AP$242),"")</f>
        <v/>
      </c>
      <c r="AQ242" t="str">
        <f ca="1">IFERROR(IF(0=LEN(ReferenceData!$AQ$242),"",ReferenceData!$AQ$242),"")</f>
        <v/>
      </c>
      <c r="AR242" t="str">
        <f ca="1">IFERROR(IF(0=LEN(ReferenceData!$AR$242),"",ReferenceData!$AR$242),"")</f>
        <v/>
      </c>
      <c r="AS242" t="str">
        <f ca="1">IFERROR(IF(0=LEN(ReferenceData!$AS$242),"",ReferenceData!$AS$242),"")</f>
        <v/>
      </c>
      <c r="AT242" t="str">
        <f ca="1">IFERROR(IF(0=LEN(ReferenceData!$AT$242),"",ReferenceData!$AT$242),"")</f>
        <v/>
      </c>
      <c r="AU242" t="str">
        <f ca="1">IFERROR(IF(0=LEN(ReferenceData!$AU$242),"",ReferenceData!$AU$242),"")</f>
        <v/>
      </c>
      <c r="AV242" t="str">
        <f ca="1">IFERROR(IF(0=LEN(ReferenceData!$AV$242),"",ReferenceData!$AV$242),"")</f>
        <v/>
      </c>
      <c r="AW242" t="str">
        <f ca="1">IFERROR(IF(0=LEN(ReferenceData!$AW$242),"",ReferenceData!$AW$242),"")</f>
        <v/>
      </c>
      <c r="AX242" t="str">
        <f ca="1">IFERROR(IF(0=LEN(ReferenceData!$AX$242),"",ReferenceData!$AX$242),"")</f>
        <v/>
      </c>
      <c r="AY242" t="str">
        <f ca="1">IFERROR(IF(0=LEN(ReferenceData!$AY$242),"",ReferenceData!$AY$242),"")</f>
        <v/>
      </c>
      <c r="AZ242" t="str">
        <f ca="1">IFERROR(IF(0=LEN(ReferenceData!$AZ$242),"",ReferenceData!$AZ$242),"")</f>
        <v/>
      </c>
      <c r="BA242" t="str">
        <f ca="1">IFERROR(IF(0=LEN(ReferenceData!$BA$242),"",ReferenceData!$BA$242),"")</f>
        <v/>
      </c>
      <c r="BB242" t="str">
        <f ca="1">IFERROR(IF(0=LEN(ReferenceData!$BB$242),"",ReferenceData!$BB$242),"")</f>
        <v/>
      </c>
      <c r="BC242" t="str">
        <f ca="1">IFERROR(IF(0=LEN(ReferenceData!$BC$242),"",ReferenceData!$BC$242),"")</f>
        <v/>
      </c>
      <c r="BD242" t="str">
        <f ca="1">IFERROR(IF(0=LEN(ReferenceData!$BD$242),"",ReferenceData!$BD$242),"")</f>
        <v/>
      </c>
      <c r="BE242" t="str">
        <f ca="1">IFERROR(IF(0=LEN(ReferenceData!$BE$242),"",ReferenceData!$BE$242),"")</f>
        <v/>
      </c>
      <c r="BF242" t="str">
        <f ca="1">IFERROR(IF(0=LEN(ReferenceData!$BF$242),"",ReferenceData!$BF$242),"")</f>
        <v/>
      </c>
      <c r="BG242" t="str">
        <f ca="1">IFERROR(IF(0=LEN(ReferenceData!$BG$242),"",ReferenceData!$BG$242),"")</f>
        <v/>
      </c>
      <c r="BH242" t="str">
        <f ca="1">IFERROR(IF(0=LEN(ReferenceData!$BH$242),"",ReferenceData!$BH$242),"")</f>
        <v/>
      </c>
      <c r="BI242" t="str">
        <f ca="1">IFERROR(IF(0=LEN(ReferenceData!$BI$242),"",ReferenceData!$BI$242),"")</f>
        <v/>
      </c>
      <c r="BJ242" t="str">
        <f ca="1">IFERROR(IF(0=LEN(ReferenceData!$BJ$242),"",ReferenceData!$BJ$242),"")</f>
        <v/>
      </c>
      <c r="BK242" t="str">
        <f ca="1">IFERROR(IF(0=LEN(ReferenceData!$BK$242),"",ReferenceData!$BK$242),"")</f>
        <v/>
      </c>
      <c r="BL242" t="str">
        <f ca="1">IFERROR(IF(0=LEN(ReferenceData!$BL$242),"",ReferenceData!$BL$242),"")</f>
        <v/>
      </c>
      <c r="BM242" t="str">
        <f ca="1">IFERROR(IF(0=LEN(ReferenceData!$BM$242),"",ReferenceData!$BM$242),"")</f>
        <v/>
      </c>
    </row>
    <row r="243" spans="1:65">
      <c r="A243" t="str">
        <f>IFERROR(IF(0=LEN(ReferenceData!$A$243),"",ReferenceData!$A$243),"")</f>
        <v xml:space="preserve">    Weingarten Realty Investors</v>
      </c>
      <c r="B243" t="str">
        <f>IFERROR(IF(0=LEN(ReferenceData!$B$243),"",ReferenceData!$B$243),"")</f>
        <v>WRI US Equity</v>
      </c>
      <c r="C243" t="str">
        <f>IFERROR(IF(0=LEN(ReferenceData!$C$243),"",ReferenceData!$C$243),"")</f>
        <v>RR553</v>
      </c>
      <c r="D243" t="str">
        <f>IFERROR(IF(0=LEN(ReferenceData!$D$243),"",ReferenceData!$D$243),"")</f>
        <v>EBITDA_RE_ASSET</v>
      </c>
      <c r="E243" t="str">
        <f>IFERROR(IF(0=LEN(ReferenceData!$E$243),"",ReferenceData!$E$243),"")</f>
        <v>动态</v>
      </c>
      <c r="F243" t="str">
        <f ca="1">IFERROR(IF(0=LEN(ReferenceData!$F$243),"",ReferenceData!$F$243),"")</f>
        <v/>
      </c>
      <c r="G243">
        <f ca="1">IFERROR(IF(0=LEN(ReferenceData!$G$243),"",ReferenceData!$G$243),"")</f>
        <v>2.3759286730000002</v>
      </c>
      <c r="H243">
        <f ca="1">IFERROR(IF(0=LEN(ReferenceData!$H$243),"",ReferenceData!$H$243),"")</f>
        <v>2.4082153000000002</v>
      </c>
      <c r="I243">
        <f ca="1">IFERROR(IF(0=LEN(ReferenceData!$I$243),"",ReferenceData!$I$243),"")</f>
        <v>2.376995108</v>
      </c>
      <c r="J243">
        <f ca="1">IFERROR(IF(0=LEN(ReferenceData!$J$243),"",ReferenceData!$J$243),"")</f>
        <v>1.909046494</v>
      </c>
      <c r="K243">
        <f ca="1">IFERROR(IF(0=LEN(ReferenceData!$K$243),"",ReferenceData!$K$243),"")</f>
        <v>2.4011175389999999</v>
      </c>
      <c r="L243">
        <f ca="1">IFERROR(IF(0=LEN(ReferenceData!$L$243),"",ReferenceData!$L$243),"")</f>
        <v>2.321531534</v>
      </c>
      <c r="M243">
        <f ca="1">IFERROR(IF(0=LEN(ReferenceData!$M$243),"",ReferenceData!$M$243),"")</f>
        <v>2.4316748719999999</v>
      </c>
      <c r="N243">
        <f ca="1">IFERROR(IF(0=LEN(ReferenceData!$N$243),"",ReferenceData!$N$243),"")</f>
        <v>2.471185739</v>
      </c>
      <c r="O243">
        <f ca="1">IFERROR(IF(0=LEN(ReferenceData!$O$243),"",ReferenceData!$O$243),"")</f>
        <v>2.3754854070000002</v>
      </c>
      <c r="P243">
        <f ca="1">IFERROR(IF(0=LEN(ReferenceData!$P$243),"",ReferenceData!$P$243),"")</f>
        <v>2.4441361170000002</v>
      </c>
      <c r="Q243">
        <f ca="1">IFERROR(IF(0=LEN(ReferenceData!$Q$243),"",ReferenceData!$Q$243),"")</f>
        <v>2.4093908179999999</v>
      </c>
      <c r="R243">
        <f ca="1">IFERROR(IF(0=LEN(ReferenceData!$R$243),"",ReferenceData!$R$243),"")</f>
        <v>2.3999459669999998</v>
      </c>
      <c r="S243">
        <f ca="1">IFERROR(IF(0=LEN(ReferenceData!$S$243),"",ReferenceData!$S$243),"")</f>
        <v>2.4295552310000001</v>
      </c>
      <c r="T243">
        <f ca="1">IFERROR(IF(0=LEN(ReferenceData!$T$243),"",ReferenceData!$T$243),"")</f>
        <v>2.5241473490000002</v>
      </c>
      <c r="U243">
        <f ca="1">IFERROR(IF(0=LEN(ReferenceData!$U$243),"",ReferenceData!$U$243),"")</f>
        <v>2.463137009</v>
      </c>
      <c r="V243">
        <f ca="1">IFERROR(IF(0=LEN(ReferenceData!$V$243),"",ReferenceData!$V$243),"")</f>
        <v>2.4036986869999999</v>
      </c>
      <c r="W243">
        <f ca="1">IFERROR(IF(0=LEN(ReferenceData!$W$243),"",ReferenceData!$W$243),"")</f>
        <v>2.2095659689999998</v>
      </c>
      <c r="X243">
        <f ca="1">IFERROR(IF(0=LEN(ReferenceData!$X$243),"",ReferenceData!$X$243),"")</f>
        <v>2.1610089170000002</v>
      </c>
      <c r="Y243">
        <f ca="1">IFERROR(IF(0=LEN(ReferenceData!$Y$243),"",ReferenceData!$Y$243),"")</f>
        <v>2.1924384589999999</v>
      </c>
      <c r="Z243">
        <f ca="1">IFERROR(IF(0=LEN(ReferenceData!$Z$243),"",ReferenceData!$Z$243),"")</f>
        <v>2.0973005749999998</v>
      </c>
      <c r="AA243">
        <f ca="1">IFERROR(IF(0=LEN(ReferenceData!$AA$243),"",ReferenceData!$AA$243),"")</f>
        <v>2.1141912060000001</v>
      </c>
      <c r="AB243">
        <f ca="1">IFERROR(IF(0=LEN(ReferenceData!$AB$243),"",ReferenceData!$AB$243),"")</f>
        <v>2.0391652969999998</v>
      </c>
      <c r="AC243">
        <f ca="1">IFERROR(IF(0=LEN(ReferenceData!$AC$243),"",ReferenceData!$AC$243),"")</f>
        <v>1.9610160130000001</v>
      </c>
      <c r="AD243">
        <f ca="1">IFERROR(IF(0=LEN(ReferenceData!$AD$243),"",ReferenceData!$AD$243),"")</f>
        <v>1.769750457</v>
      </c>
      <c r="AE243">
        <f ca="1">IFERROR(IF(0=LEN(ReferenceData!$AE$243),"",ReferenceData!$AE$243),"")</f>
        <v>1.881042144</v>
      </c>
      <c r="AF243">
        <f ca="1">IFERROR(IF(0=LEN(ReferenceData!$AF$243),"",ReferenceData!$AF$243),"")</f>
        <v>1.297910844</v>
      </c>
      <c r="AG243">
        <f ca="1">IFERROR(IF(0=LEN(ReferenceData!$AG$243),"",ReferenceData!$AG$243),"")</f>
        <v>1.5510167690000001</v>
      </c>
      <c r="AH243">
        <f ca="1">IFERROR(IF(0=LEN(ReferenceData!$AH$243),"",ReferenceData!$AH$243),"")</f>
        <v>1.8657012850000001</v>
      </c>
      <c r="AI243">
        <f ca="1">IFERROR(IF(0=LEN(ReferenceData!$AI$243),"",ReferenceData!$AI$243),"")</f>
        <v>1.7316303660000001</v>
      </c>
      <c r="AJ243">
        <f ca="1">IFERROR(IF(0=LEN(ReferenceData!$AJ$243),"",ReferenceData!$AJ$243),"")</f>
        <v>1.982340738</v>
      </c>
      <c r="AK243">
        <f ca="1">IFERROR(IF(0=LEN(ReferenceData!$AK$243),"",ReferenceData!$AK$243),"")</f>
        <v>1.7449140970000001</v>
      </c>
      <c r="AL243">
        <f ca="1">IFERROR(IF(0=LEN(ReferenceData!$AL$243),"",ReferenceData!$AL$243),"")</f>
        <v>2.0011394519999999</v>
      </c>
      <c r="AM243">
        <f ca="1">IFERROR(IF(0=LEN(ReferenceData!$AM$243),"",ReferenceData!$AM$243),"")</f>
        <v>2.02038194</v>
      </c>
      <c r="AN243">
        <f ca="1">IFERROR(IF(0=LEN(ReferenceData!$AN$243),"",ReferenceData!$AN$243),"")</f>
        <v>1.330276864</v>
      </c>
      <c r="AO243">
        <f ca="1">IFERROR(IF(0=LEN(ReferenceData!$AO$243),"",ReferenceData!$AO$243),"")</f>
        <v>1.9534361609999999</v>
      </c>
      <c r="AP243">
        <f ca="1">IFERROR(IF(0=LEN(ReferenceData!$AP$243),"",ReferenceData!$AP$243),"")</f>
        <v>2.1015678690000001</v>
      </c>
      <c r="AQ243">
        <f ca="1">IFERROR(IF(0=LEN(ReferenceData!$AQ$243),"",ReferenceData!$AQ$243),"")</f>
        <v>1.862878934</v>
      </c>
      <c r="AR243">
        <f ca="1">IFERROR(IF(0=LEN(ReferenceData!$AR$243),"",ReferenceData!$AR$243),"")</f>
        <v>2.1892457520000002</v>
      </c>
      <c r="AS243">
        <f ca="1">IFERROR(IF(0=LEN(ReferenceData!$AS$243),"",ReferenceData!$AS$243),"")</f>
        <v>2.1950491369999998</v>
      </c>
      <c r="AT243">
        <f ca="1">IFERROR(IF(0=LEN(ReferenceData!$AT$243),"",ReferenceData!$AT$243),"")</f>
        <v>2.2015793270000001</v>
      </c>
      <c r="AU243">
        <f ca="1">IFERROR(IF(0=LEN(ReferenceData!$AU$243),"",ReferenceData!$AU$243),"")</f>
        <v>2.1757207630000002</v>
      </c>
      <c r="AV243">
        <f ca="1">IFERROR(IF(0=LEN(ReferenceData!$AV$243),"",ReferenceData!$AV$243),"")</f>
        <v>2.2486916699999999</v>
      </c>
      <c r="AW243">
        <f ca="1">IFERROR(IF(0=LEN(ReferenceData!$AW$243),"",ReferenceData!$AW$243),"")</f>
        <v>2.3000103429999998</v>
      </c>
      <c r="AX243">
        <f ca="1">IFERROR(IF(0=LEN(ReferenceData!$AX$243),"",ReferenceData!$AX$243),"")</f>
        <v>2.4032160490000001</v>
      </c>
      <c r="AY243">
        <f ca="1">IFERROR(IF(0=LEN(ReferenceData!$AY$243),"",ReferenceData!$AY$243),"")</f>
        <v>2.5137247820000002</v>
      </c>
      <c r="AZ243">
        <f ca="1">IFERROR(IF(0=LEN(ReferenceData!$AZ$243),"",ReferenceData!$AZ$243),"")</f>
        <v>2.427693734</v>
      </c>
      <c r="BA243">
        <f ca="1">IFERROR(IF(0=LEN(ReferenceData!$BA$243),"",ReferenceData!$BA$243),"")</f>
        <v>2.6466941230000001</v>
      </c>
      <c r="BB243">
        <f ca="1">IFERROR(IF(0=LEN(ReferenceData!$BB$243),"",ReferenceData!$BB$243),"")</f>
        <v>2.7357803999999999</v>
      </c>
      <c r="BC243">
        <f ca="1">IFERROR(IF(0=LEN(ReferenceData!$BC$243),"",ReferenceData!$BC$243),"")</f>
        <v>2.5842699859999998</v>
      </c>
      <c r="BD243">
        <f ca="1">IFERROR(IF(0=LEN(ReferenceData!$BD$243),"",ReferenceData!$BD$243),"")</f>
        <v>2.7953359999999998</v>
      </c>
      <c r="BE243">
        <f ca="1">IFERROR(IF(0=LEN(ReferenceData!$BE$243),"",ReferenceData!$BE$243),"")</f>
        <v>2.8103474909999999</v>
      </c>
      <c r="BF243">
        <f ca="1">IFERROR(IF(0=LEN(ReferenceData!$BF$243),"",ReferenceData!$BF$243),"")</f>
        <v>2.8458597569999999</v>
      </c>
      <c r="BG243">
        <f ca="1">IFERROR(IF(0=LEN(ReferenceData!$BG$243),"",ReferenceData!$BG$243),"")</f>
        <v>2.9157012729999998</v>
      </c>
      <c r="BH243">
        <f ca="1">IFERROR(IF(0=LEN(ReferenceData!$BH$243),"",ReferenceData!$BH$243),"")</f>
        <v>2.816967987</v>
      </c>
      <c r="BI243">
        <f ca="1">IFERROR(IF(0=LEN(ReferenceData!$BI$243),"",ReferenceData!$BI$243),"")</f>
        <v>2.7219219469999998</v>
      </c>
      <c r="BJ243">
        <f ca="1">IFERROR(IF(0=LEN(ReferenceData!$BJ$243),"",ReferenceData!$BJ$243),"")</f>
        <v>2.729845386</v>
      </c>
      <c r="BK243">
        <f ca="1">IFERROR(IF(0=LEN(ReferenceData!$BK$243),"",ReferenceData!$BK$243),"")</f>
        <v>2.8031142550000001</v>
      </c>
      <c r="BL243">
        <f ca="1">IFERROR(IF(0=LEN(ReferenceData!$BL$243),"",ReferenceData!$BL$243),"")</f>
        <v>2.878209214</v>
      </c>
      <c r="BM243">
        <f ca="1">IFERROR(IF(0=LEN(ReferenceData!$BM$243),"",ReferenceData!$BM$243),"")</f>
        <v>2.944649514</v>
      </c>
    </row>
    <row r="244" spans="1:65">
      <c r="A244" t="str">
        <f>IFERROR(IF(0=LEN(ReferenceData!$A$244),"",ReferenceData!$A$244),"")</f>
        <v>FFO/资产(%)</v>
      </c>
      <c r="B244" t="str">
        <f>IFERROR(IF(0=LEN(ReferenceData!$B$244),"",ReferenceData!$B$244),"")</f>
        <v/>
      </c>
      <c r="C244" t="str">
        <f>IFERROR(IF(0=LEN(ReferenceData!$C$244),"",ReferenceData!$C$244),"")</f>
        <v/>
      </c>
      <c r="D244" t="str">
        <f>IFERROR(IF(0=LEN(ReferenceData!$D$244),"",ReferenceData!$D$244),"")</f>
        <v/>
      </c>
      <c r="E244" t="str">
        <f>IFERROR(IF(0=LEN(ReferenceData!$E$244),"",ReferenceData!$E$244),"")</f>
        <v>Median</v>
      </c>
      <c r="F244" t="str">
        <f ca="1">IFERROR(IF(0=LEN(ReferenceData!$F$244),"",ReferenceData!$F$244),"")</f>
        <v/>
      </c>
      <c r="G244">
        <f ca="1">IFERROR(IF(0=LEN(ReferenceData!$G$244),"",ReferenceData!$G$244),"")</f>
        <v>7.0412009639999997</v>
      </c>
      <c r="H244">
        <f ca="1">IFERROR(IF(0=LEN(ReferenceData!$H$244),"",ReferenceData!$H$244),"")</f>
        <v>6.7891683330000001</v>
      </c>
      <c r="I244">
        <f ca="1">IFERROR(IF(0=LEN(ReferenceData!$I$244),"",ReferenceData!$I$244),"")</f>
        <v>6.7076671360000004</v>
      </c>
      <c r="J244">
        <f ca="1">IFERROR(IF(0=LEN(ReferenceData!$J$244),"",ReferenceData!$J$244),"")</f>
        <v>6.5491769389999996</v>
      </c>
      <c r="K244">
        <f ca="1">IFERROR(IF(0=LEN(ReferenceData!$K$244),"",ReferenceData!$K$244),"")</f>
        <v>6.9892365390000002</v>
      </c>
      <c r="L244">
        <f ca="1">IFERROR(IF(0=LEN(ReferenceData!$L$244),"",ReferenceData!$L$244),"")</f>
        <v>6.5537318310000003</v>
      </c>
      <c r="M244">
        <f ca="1">IFERROR(IF(0=LEN(ReferenceData!$M$244),"",ReferenceData!$M$244),"")</f>
        <v>6.9140067140000001</v>
      </c>
      <c r="N244">
        <f ca="1">IFERROR(IF(0=LEN(ReferenceData!$N$244),"",ReferenceData!$N$244),"")</f>
        <v>6.750423659</v>
      </c>
      <c r="O244">
        <f ca="1">IFERROR(IF(0=LEN(ReferenceData!$O$244),"",ReferenceData!$O$244),"")</f>
        <v>6.5535912630000004</v>
      </c>
      <c r="P244">
        <f ca="1">IFERROR(IF(0=LEN(ReferenceData!$P$244),"",ReferenceData!$P$244),"")</f>
        <v>6.6243093059999998</v>
      </c>
      <c r="Q244">
        <f ca="1">IFERROR(IF(0=LEN(ReferenceData!$Q$244),"",ReferenceData!$Q$244),"")</f>
        <v>6.5875866719999996</v>
      </c>
      <c r="R244">
        <f ca="1">IFERROR(IF(0=LEN(ReferenceData!$R$244),"",ReferenceData!$R$244),"")</f>
        <v>6.2451905249999999</v>
      </c>
      <c r="S244">
        <f ca="1">IFERROR(IF(0=LEN(ReferenceData!$S$244),"",ReferenceData!$S$244),"")</f>
        <v>6.2974806294999999</v>
      </c>
      <c r="T244">
        <f ca="1">IFERROR(IF(0=LEN(ReferenceData!$T$244),"",ReferenceData!$T$244),"")</f>
        <v>6.1123890005000003</v>
      </c>
      <c r="U244">
        <f ca="1">IFERROR(IF(0=LEN(ReferenceData!$U$244),"",ReferenceData!$U$244),"")</f>
        <v>6.237204985</v>
      </c>
      <c r="V244">
        <f ca="1">IFERROR(IF(0=LEN(ReferenceData!$V$244),"",ReferenceData!$V$244),"")</f>
        <v>6.2386874539999999</v>
      </c>
      <c r="W244">
        <f ca="1">IFERROR(IF(0=LEN(ReferenceData!$W$244),"",ReferenceData!$W$244),"")</f>
        <v>6.4385123279999998</v>
      </c>
      <c r="X244">
        <f ca="1">IFERROR(IF(0=LEN(ReferenceData!$X$244),"",ReferenceData!$X$244),"")</f>
        <v>6.1450475400000002</v>
      </c>
      <c r="Y244">
        <f ca="1">IFERROR(IF(0=LEN(ReferenceData!$Y$244),"",ReferenceData!$Y$244),"")</f>
        <v>5.7272564519999998</v>
      </c>
      <c r="Z244">
        <f ca="1">IFERROR(IF(0=LEN(ReferenceData!$Z$244),"",ReferenceData!$Z$244),"")</f>
        <v>5.684264958</v>
      </c>
      <c r="AA244">
        <f ca="1">IFERROR(IF(0=LEN(ReferenceData!$AA$244),"",ReferenceData!$AA$244),"")</f>
        <v>5.6695694320000003</v>
      </c>
      <c r="AB244">
        <f ca="1">IFERROR(IF(0=LEN(ReferenceData!$AB$244),"",ReferenceData!$AB$244),"")</f>
        <v>5.8186115879999996</v>
      </c>
      <c r="AC244">
        <f ca="1">IFERROR(IF(0=LEN(ReferenceData!$AC$244),"",ReferenceData!$AC$244),"")</f>
        <v>5.9127626959999997</v>
      </c>
      <c r="AD244">
        <f ca="1">IFERROR(IF(0=LEN(ReferenceData!$AD$244),"",ReferenceData!$AD$244),"")</f>
        <v>5.7874408654999998</v>
      </c>
      <c r="AE244">
        <f ca="1">IFERROR(IF(0=LEN(ReferenceData!$AE$244),"",ReferenceData!$AE$244),"")</f>
        <v>6.0823475094999999</v>
      </c>
      <c r="AF244">
        <f ca="1">IFERROR(IF(0=LEN(ReferenceData!$AF$244),"",ReferenceData!$AF$244),"")</f>
        <v>5.8620224035000001</v>
      </c>
      <c r="AG244">
        <f ca="1">IFERROR(IF(0=LEN(ReferenceData!$AG$244),"",ReferenceData!$AG$244),"")</f>
        <v>5.9471462519999996</v>
      </c>
      <c r="AH244">
        <f ca="1">IFERROR(IF(0=LEN(ReferenceData!$AH$244),"",ReferenceData!$AH$244),"")</f>
        <v>5.5634124180000004</v>
      </c>
      <c r="AI244">
        <f ca="1">IFERROR(IF(0=LEN(ReferenceData!$AI$244),"",ReferenceData!$AI$244),"")</f>
        <v>5.2002575714999999</v>
      </c>
      <c r="AJ244">
        <f ca="1">IFERROR(IF(0=LEN(ReferenceData!$AJ$244),"",ReferenceData!$AJ$244),"")</f>
        <v>5.3725311295000004</v>
      </c>
      <c r="AK244">
        <f ca="1">IFERROR(IF(0=LEN(ReferenceData!$AK$244),"",ReferenceData!$AK$244),"")</f>
        <v>4.4834589650000005</v>
      </c>
      <c r="AL244">
        <f ca="1">IFERROR(IF(0=LEN(ReferenceData!$AL$244),"",ReferenceData!$AL$244),"")</f>
        <v>4.1380942589999998</v>
      </c>
      <c r="AM244">
        <f ca="1">IFERROR(IF(0=LEN(ReferenceData!$AM$244),"",ReferenceData!$AM$244),"")</f>
        <v>4.2783740100000003</v>
      </c>
      <c r="AN244">
        <f ca="1">IFERROR(IF(0=LEN(ReferenceData!$AN$244),"",ReferenceData!$AN$244),"")</f>
        <v>4.9944894054999995</v>
      </c>
      <c r="AO244">
        <f ca="1">IFERROR(IF(0=LEN(ReferenceData!$AO$244),"",ReferenceData!$AO$244),"")</f>
        <v>5.2020412500000006</v>
      </c>
      <c r="AP244">
        <f ca="1">IFERROR(IF(0=LEN(ReferenceData!$AP$244),"",ReferenceData!$AP$244),"")</f>
        <v>6.0105358854999995</v>
      </c>
      <c r="AQ244">
        <f ca="1">IFERROR(IF(0=LEN(ReferenceData!$AQ$244),"",ReferenceData!$AQ$244),"")</f>
        <v>6.3505450870000004</v>
      </c>
      <c r="AR244">
        <f ca="1">IFERROR(IF(0=LEN(ReferenceData!$AR$244),"",ReferenceData!$AR$244),"")</f>
        <v>7.0334426445</v>
      </c>
      <c r="AS244">
        <f ca="1">IFERROR(IF(0=LEN(ReferenceData!$AS$244),"",ReferenceData!$AS$244),"")</f>
        <v>7.0163798980000003</v>
      </c>
      <c r="AT244">
        <f ca="1">IFERROR(IF(0=LEN(ReferenceData!$AT$244),"",ReferenceData!$AT$244),"")</f>
        <v>7.071244589</v>
      </c>
      <c r="AU244">
        <f ca="1">IFERROR(IF(0=LEN(ReferenceData!$AU$244),"",ReferenceData!$AU$244),"")</f>
        <v>7.4876660380000004</v>
      </c>
      <c r="AV244">
        <f ca="1">IFERROR(IF(0=LEN(ReferenceData!$AV$244),"",ReferenceData!$AV$244),"")</f>
        <v>7.7292177595</v>
      </c>
      <c r="AW244">
        <f ca="1">IFERROR(IF(0=LEN(ReferenceData!$AW$244),"",ReferenceData!$AW$244),"")</f>
        <v>7.7989056669999997</v>
      </c>
      <c r="AX244">
        <f ca="1">IFERROR(IF(0=LEN(ReferenceData!$AX$244),"",ReferenceData!$AX$244),"")</f>
        <v>7.5038010034999996</v>
      </c>
      <c r="AY244">
        <f ca="1">IFERROR(IF(0=LEN(ReferenceData!$AY$244),"",ReferenceData!$AY$244),"")</f>
        <v>7.3783307755000003</v>
      </c>
      <c r="AZ244">
        <f ca="1">IFERROR(IF(0=LEN(ReferenceData!$AZ$244),"",ReferenceData!$AZ$244),"")</f>
        <v>7.6970888404999993</v>
      </c>
      <c r="BA244">
        <f ca="1">IFERROR(IF(0=LEN(ReferenceData!$BA$244),"",ReferenceData!$BA$244),"")</f>
        <v>7.6230997185000007</v>
      </c>
      <c r="BB244">
        <f ca="1">IFERROR(IF(0=LEN(ReferenceData!$BB$244),"",ReferenceData!$BB$244),"")</f>
        <v>7.3365601864999999</v>
      </c>
      <c r="BC244">
        <f ca="1">IFERROR(IF(0=LEN(ReferenceData!$BC$244),"",ReferenceData!$BC$244),"")</f>
        <v>6.9635168954999997</v>
      </c>
      <c r="BD244">
        <f ca="1">IFERROR(IF(0=LEN(ReferenceData!$BD$244),"",ReferenceData!$BD$244),"")</f>
        <v>7.4923008910000002</v>
      </c>
      <c r="BE244">
        <f ca="1">IFERROR(IF(0=LEN(ReferenceData!$BE$244),"",ReferenceData!$BE$244),"")</f>
        <v>7.4039108870000003</v>
      </c>
      <c r="BF244">
        <f ca="1">IFERROR(IF(0=LEN(ReferenceData!$BF$244),"",ReferenceData!$BF$244),"")</f>
        <v>7.2206942319999996</v>
      </c>
      <c r="BG244">
        <f ca="1">IFERROR(IF(0=LEN(ReferenceData!$BG$244),"",ReferenceData!$BG$244),"")</f>
        <v>6.7922986190000003</v>
      </c>
      <c r="BH244">
        <f ca="1">IFERROR(IF(0=LEN(ReferenceData!$BH$244),"",ReferenceData!$BH$244),"")</f>
        <v>6.5322221549999995</v>
      </c>
      <c r="BI244">
        <f ca="1">IFERROR(IF(0=LEN(ReferenceData!$BI$244),"",ReferenceData!$BI$244),"")</f>
        <v>7.6661469169999998</v>
      </c>
      <c r="BJ244">
        <f ca="1">IFERROR(IF(0=LEN(ReferenceData!$BJ$244),"",ReferenceData!$BJ$244),"")</f>
        <v>7.4197214630000001</v>
      </c>
      <c r="BK244">
        <f ca="1">IFERROR(IF(0=LEN(ReferenceData!$BK$244),"",ReferenceData!$BK$244),"")</f>
        <v>7.1897621779999996</v>
      </c>
      <c r="BL244">
        <f ca="1">IFERROR(IF(0=LEN(ReferenceData!$BL$244),"",ReferenceData!$BL$244),"")</f>
        <v>7.355948766</v>
      </c>
      <c r="BM244">
        <f ca="1">IFERROR(IF(0=LEN(ReferenceData!$BM$244),"",ReferenceData!$BM$244),"")</f>
        <v>9.1556467490000006</v>
      </c>
    </row>
    <row r="245" spans="1:65">
      <c r="A245" t="str">
        <f>IFERROR(IF(0=LEN(ReferenceData!$A$245),"",ReferenceData!$A$245),"")</f>
        <v xml:space="preserve">    Brixmor Property Group Inc</v>
      </c>
      <c r="B245" t="str">
        <f>IFERROR(IF(0=LEN(ReferenceData!$B$245),"",ReferenceData!$B$245),"")</f>
        <v>BRX US Equity</v>
      </c>
      <c r="C245" t="str">
        <f>IFERROR(IF(0=LEN(ReferenceData!$C$245),"",ReferenceData!$C$245),"")</f>
        <v>RR554</v>
      </c>
      <c r="D245" t="str">
        <f>IFERROR(IF(0=LEN(ReferenceData!$D$245),"",ReferenceData!$D$245),"")</f>
        <v>FFO_RE_ASSET</v>
      </c>
      <c r="E245" t="str">
        <f>IFERROR(IF(0=LEN(ReferenceData!$E$245),"",ReferenceData!$E$245),"")</f>
        <v>动态</v>
      </c>
      <c r="F245" t="str">
        <f ca="1">IFERROR(IF(0=LEN(ReferenceData!$F$245),"",ReferenceData!$F$245),"")</f>
        <v/>
      </c>
      <c r="G245">
        <f ca="1">IFERROR(IF(0=LEN(ReferenceData!$G$245),"",ReferenceData!$G$245),"")</f>
        <v>7.3333522489999998</v>
      </c>
      <c r="H245">
        <f ca="1">IFERROR(IF(0=LEN(ReferenceData!$H$245),"",ReferenceData!$H$245),"")</f>
        <v>7.3670887609999998</v>
      </c>
      <c r="I245">
        <f ca="1">IFERROR(IF(0=LEN(ReferenceData!$I$245),"",ReferenceData!$I$245),"")</f>
        <v>7.2565957470000004</v>
      </c>
      <c r="J245">
        <f ca="1">IFERROR(IF(0=LEN(ReferenceData!$J$245),"",ReferenceData!$J$245),"")</f>
        <v>7.0748486269999997</v>
      </c>
      <c r="K245">
        <f ca="1">IFERROR(IF(0=LEN(ReferenceData!$K$245),"",ReferenceData!$K$245),"")</f>
        <v>7.0581800780000004</v>
      </c>
      <c r="L245">
        <f ca="1">IFERROR(IF(0=LEN(ReferenceData!$L$245),"",ReferenceData!$L$245),"")</f>
        <v>6.9480060459999997</v>
      </c>
      <c r="M245">
        <f ca="1">IFERROR(IF(0=LEN(ReferenceData!$M$245),"",ReferenceData!$M$245),"")</f>
        <v>6.9140067140000001</v>
      </c>
      <c r="N245">
        <f ca="1">IFERROR(IF(0=LEN(ReferenceData!$N$245),"",ReferenceData!$N$245),"")</f>
        <v>6.8475112679999999</v>
      </c>
      <c r="O245">
        <f ca="1">IFERROR(IF(0=LEN(ReferenceData!$O$245),"",ReferenceData!$O$245),"")</f>
        <v>6.5535912630000004</v>
      </c>
      <c r="P245">
        <f ca="1">IFERROR(IF(0=LEN(ReferenceData!$P$245),"",ReferenceData!$P$245),"")</f>
        <v>6.2529327620000004</v>
      </c>
      <c r="Q245">
        <f ca="1">IFERROR(IF(0=LEN(ReferenceData!$Q$245),"",ReferenceData!$Q$245),"")</f>
        <v>6.0864042859999996</v>
      </c>
      <c r="R245">
        <f ca="1">IFERROR(IF(0=LEN(ReferenceData!$R$245),"",ReferenceData!$R$245),"")</f>
        <v>5.9670744830000002</v>
      </c>
      <c r="S245">
        <f ca="1">IFERROR(IF(0=LEN(ReferenceData!$S$245),"",ReferenceData!$S$245),"")</f>
        <v>5.7986819880000002</v>
      </c>
      <c r="T245">
        <f ca="1">IFERROR(IF(0=LEN(ReferenceData!$T$245),"",ReferenceData!$T$245),"")</f>
        <v>5.6338468989999999</v>
      </c>
      <c r="U245">
        <f ca="1">IFERROR(IF(0=LEN(ReferenceData!$U$245),"",ReferenceData!$U$245),"")</f>
        <v>4.9797276699999999</v>
      </c>
      <c r="V245">
        <f ca="1">IFERROR(IF(0=LEN(ReferenceData!$V$245),"",ReferenceData!$V$245),"")</f>
        <v>4.369391888</v>
      </c>
      <c r="W245">
        <f ca="1">IFERROR(IF(0=LEN(ReferenceData!$W$245),"",ReferenceData!$W$245),"")</f>
        <v>3.8630476030000001</v>
      </c>
      <c r="X245" t="str">
        <f ca="1">IFERROR(IF(0=LEN(ReferenceData!$X$245),"",ReferenceData!$X$245),"")</f>
        <v/>
      </c>
      <c r="Y245" t="str">
        <f ca="1">IFERROR(IF(0=LEN(ReferenceData!$Y$245),"",ReferenceData!$Y$245),"")</f>
        <v/>
      </c>
      <c r="Z245" t="str">
        <f ca="1">IFERROR(IF(0=LEN(ReferenceData!$Z$245),"",ReferenceData!$Z$245),"")</f>
        <v/>
      </c>
      <c r="AA245" t="str">
        <f ca="1">IFERROR(IF(0=LEN(ReferenceData!$AA$245),"",ReferenceData!$AA$245),"")</f>
        <v/>
      </c>
      <c r="AB245" t="str">
        <f ca="1">IFERROR(IF(0=LEN(ReferenceData!$AB$245),"",ReferenceData!$AB$245),"")</f>
        <v/>
      </c>
      <c r="AC245" t="str">
        <f ca="1">IFERROR(IF(0=LEN(ReferenceData!$AC$245),"",ReferenceData!$AC$245),"")</f>
        <v/>
      </c>
      <c r="AD245" t="str">
        <f ca="1">IFERROR(IF(0=LEN(ReferenceData!$AD$245),"",ReferenceData!$AD$245),"")</f>
        <v/>
      </c>
      <c r="AE245" t="str">
        <f ca="1">IFERROR(IF(0=LEN(ReferenceData!$AE$245),"",ReferenceData!$AE$245),"")</f>
        <v/>
      </c>
      <c r="AF245" t="str">
        <f ca="1">IFERROR(IF(0=LEN(ReferenceData!$AF$245),"",ReferenceData!$AF$245),"")</f>
        <v/>
      </c>
      <c r="AG245" t="str">
        <f ca="1">IFERROR(IF(0=LEN(ReferenceData!$AG$245),"",ReferenceData!$AG$245),"")</f>
        <v/>
      </c>
      <c r="AH245" t="str">
        <f ca="1">IFERROR(IF(0=LEN(ReferenceData!$AH$245),"",ReferenceData!$AH$245),"")</f>
        <v/>
      </c>
      <c r="AI245" t="str">
        <f ca="1">IFERROR(IF(0=LEN(ReferenceData!$AI$245),"",ReferenceData!$AI$245),"")</f>
        <v/>
      </c>
      <c r="AJ245" t="str">
        <f ca="1">IFERROR(IF(0=LEN(ReferenceData!$AJ$245),"",ReferenceData!$AJ$245),"")</f>
        <v/>
      </c>
      <c r="AK245" t="str">
        <f ca="1">IFERROR(IF(0=LEN(ReferenceData!$AK$245),"",ReferenceData!$AK$245),"")</f>
        <v/>
      </c>
      <c r="AL245" t="str">
        <f ca="1">IFERROR(IF(0=LEN(ReferenceData!$AL$245),"",ReferenceData!$AL$245),"")</f>
        <v/>
      </c>
      <c r="AM245" t="str">
        <f ca="1">IFERROR(IF(0=LEN(ReferenceData!$AM$245),"",ReferenceData!$AM$245),"")</f>
        <v/>
      </c>
      <c r="AN245" t="str">
        <f ca="1">IFERROR(IF(0=LEN(ReferenceData!$AN$245),"",ReferenceData!$AN$245),"")</f>
        <v/>
      </c>
      <c r="AO245" t="str">
        <f ca="1">IFERROR(IF(0=LEN(ReferenceData!$AO$245),"",ReferenceData!$AO$245),"")</f>
        <v/>
      </c>
      <c r="AP245" t="str">
        <f ca="1">IFERROR(IF(0=LEN(ReferenceData!$AP$245),"",ReferenceData!$AP$245),"")</f>
        <v/>
      </c>
      <c r="AQ245" t="str">
        <f ca="1">IFERROR(IF(0=LEN(ReferenceData!$AQ$245),"",ReferenceData!$AQ$245),"")</f>
        <v/>
      </c>
      <c r="AR245" t="str">
        <f ca="1">IFERROR(IF(0=LEN(ReferenceData!$AR$245),"",ReferenceData!$AR$245),"")</f>
        <v/>
      </c>
      <c r="AS245" t="str">
        <f ca="1">IFERROR(IF(0=LEN(ReferenceData!$AS$245),"",ReferenceData!$AS$245),"")</f>
        <v/>
      </c>
      <c r="AT245" t="str">
        <f ca="1">IFERROR(IF(0=LEN(ReferenceData!$AT$245),"",ReferenceData!$AT$245),"")</f>
        <v/>
      </c>
      <c r="AU245" t="str">
        <f ca="1">IFERROR(IF(0=LEN(ReferenceData!$AU$245),"",ReferenceData!$AU$245),"")</f>
        <v/>
      </c>
      <c r="AV245" t="str">
        <f ca="1">IFERROR(IF(0=LEN(ReferenceData!$AV$245),"",ReferenceData!$AV$245),"")</f>
        <v/>
      </c>
      <c r="AW245" t="str">
        <f ca="1">IFERROR(IF(0=LEN(ReferenceData!$AW$245),"",ReferenceData!$AW$245),"")</f>
        <v/>
      </c>
      <c r="AX245" t="str">
        <f ca="1">IFERROR(IF(0=LEN(ReferenceData!$AX$245),"",ReferenceData!$AX$245),"")</f>
        <v/>
      </c>
      <c r="AY245" t="str">
        <f ca="1">IFERROR(IF(0=LEN(ReferenceData!$AY$245),"",ReferenceData!$AY$245),"")</f>
        <v/>
      </c>
      <c r="AZ245" t="str">
        <f ca="1">IFERROR(IF(0=LEN(ReferenceData!$AZ$245),"",ReferenceData!$AZ$245),"")</f>
        <v/>
      </c>
      <c r="BA245" t="str">
        <f ca="1">IFERROR(IF(0=LEN(ReferenceData!$BA$245),"",ReferenceData!$BA$245),"")</f>
        <v/>
      </c>
      <c r="BB245" t="str">
        <f ca="1">IFERROR(IF(0=LEN(ReferenceData!$BB$245),"",ReferenceData!$BB$245),"")</f>
        <v/>
      </c>
      <c r="BC245" t="str">
        <f ca="1">IFERROR(IF(0=LEN(ReferenceData!$BC$245),"",ReferenceData!$BC$245),"")</f>
        <v/>
      </c>
      <c r="BD245" t="str">
        <f ca="1">IFERROR(IF(0=LEN(ReferenceData!$BD$245),"",ReferenceData!$BD$245),"")</f>
        <v/>
      </c>
      <c r="BE245" t="str">
        <f ca="1">IFERROR(IF(0=LEN(ReferenceData!$BE$245),"",ReferenceData!$BE$245),"")</f>
        <v/>
      </c>
      <c r="BF245" t="str">
        <f ca="1">IFERROR(IF(0=LEN(ReferenceData!$BF$245),"",ReferenceData!$BF$245),"")</f>
        <v/>
      </c>
      <c r="BG245" t="str">
        <f ca="1">IFERROR(IF(0=LEN(ReferenceData!$BG$245),"",ReferenceData!$BG$245),"")</f>
        <v/>
      </c>
      <c r="BH245" t="str">
        <f ca="1">IFERROR(IF(0=LEN(ReferenceData!$BH$245),"",ReferenceData!$BH$245),"")</f>
        <v/>
      </c>
      <c r="BI245" t="str">
        <f ca="1">IFERROR(IF(0=LEN(ReferenceData!$BI$245),"",ReferenceData!$BI$245),"")</f>
        <v/>
      </c>
      <c r="BJ245" t="str">
        <f ca="1">IFERROR(IF(0=LEN(ReferenceData!$BJ$245),"",ReferenceData!$BJ$245),"")</f>
        <v/>
      </c>
      <c r="BK245" t="str">
        <f ca="1">IFERROR(IF(0=LEN(ReferenceData!$BK$245),"",ReferenceData!$BK$245),"")</f>
        <v/>
      </c>
      <c r="BL245" t="str">
        <f ca="1">IFERROR(IF(0=LEN(ReferenceData!$BL$245),"",ReferenceData!$BL$245),"")</f>
        <v/>
      </c>
      <c r="BM245" t="str">
        <f ca="1">IFERROR(IF(0=LEN(ReferenceData!$BM$245),"",ReferenceData!$BM$245),"")</f>
        <v/>
      </c>
    </row>
    <row r="246" spans="1:65">
      <c r="A246" t="str">
        <f>IFERROR(IF(0=LEN(ReferenceData!$A$246),"",ReferenceData!$A$246),"")</f>
        <v xml:space="preserve">    CBL &amp; Associates Properties In</v>
      </c>
      <c r="B246" t="str">
        <f>IFERROR(IF(0=LEN(ReferenceData!$B$246),"",ReferenceData!$B$246),"")</f>
        <v>CBL US Equity</v>
      </c>
      <c r="C246" t="str">
        <f>IFERROR(IF(0=LEN(ReferenceData!$C$246),"",ReferenceData!$C$246),"")</f>
        <v>RR554</v>
      </c>
      <c r="D246" t="str">
        <f>IFERROR(IF(0=LEN(ReferenceData!$D$246),"",ReferenceData!$D$246),"")</f>
        <v>FFO_RE_ASSET</v>
      </c>
      <c r="E246" t="str">
        <f>IFERROR(IF(0=LEN(ReferenceData!$E$246),"",ReferenceData!$E$246),"")</f>
        <v>动态</v>
      </c>
      <c r="F246" t="str">
        <f ca="1">IFERROR(IF(0=LEN(ReferenceData!$F$246),"",ReferenceData!$F$246),"")</f>
        <v/>
      </c>
      <c r="G246">
        <f ca="1">IFERROR(IF(0=LEN(ReferenceData!$G$246),"",ReferenceData!$G$246),"")</f>
        <v>7.7517239529999999</v>
      </c>
      <c r="H246">
        <f ca="1">IFERROR(IF(0=LEN(ReferenceData!$H$246),"",ReferenceData!$H$246),"")</f>
        <v>8.3504306970000002</v>
      </c>
      <c r="I246">
        <f ca="1">IFERROR(IF(0=LEN(ReferenceData!$I$246),"",ReferenceData!$I$246),"")</f>
        <v>8.3989813850000008</v>
      </c>
      <c r="J246">
        <f ca="1">IFERROR(IF(0=LEN(ReferenceData!$J$246),"",ReferenceData!$J$246),"")</f>
        <v>8.5900511829999999</v>
      </c>
      <c r="K246">
        <f ca="1">IFERROR(IF(0=LEN(ReferenceData!$K$246),"",ReferenceData!$K$246),"")</f>
        <v>9.0067992219999997</v>
      </c>
      <c r="L246">
        <f ca="1">IFERROR(IF(0=LEN(ReferenceData!$L$246),"",ReferenceData!$L$246),"")</f>
        <v>8.7974787350000003</v>
      </c>
      <c r="M246">
        <f ca="1">IFERROR(IF(0=LEN(ReferenceData!$M$246),"",ReferenceData!$M$246),"")</f>
        <v>8.7367762080000002</v>
      </c>
      <c r="N246">
        <f ca="1">IFERROR(IF(0=LEN(ReferenceData!$N$246),"",ReferenceData!$N$246),"")</f>
        <v>8.0499914290000003</v>
      </c>
      <c r="O246">
        <f ca="1">IFERROR(IF(0=LEN(ReferenceData!$O$246),"",ReferenceData!$O$246),"")</f>
        <v>7.7585299709999997</v>
      </c>
      <c r="P246">
        <f ca="1">IFERROR(IF(0=LEN(ReferenceData!$P$246),"",ReferenceData!$P$246),"")</f>
        <v>8.0133999829999993</v>
      </c>
      <c r="Q246">
        <f ca="1">IFERROR(IF(0=LEN(ReferenceData!$Q$246),"",ReferenceData!$Q$246),"")</f>
        <v>8.2007756100000009</v>
      </c>
      <c r="R246">
        <f ca="1">IFERROR(IF(0=LEN(ReferenceData!$R$246),"",ReferenceData!$R$246),"")</f>
        <v>8.3599466660000008</v>
      </c>
      <c r="S246">
        <f ca="1">IFERROR(IF(0=LEN(ReferenceData!$S$246),"",ReferenceData!$S$246),"")</f>
        <v>8.6430642340000006</v>
      </c>
      <c r="T246">
        <f ca="1">IFERROR(IF(0=LEN(ReferenceData!$T$246),"",ReferenceData!$T$246),"")</f>
        <v>7.9879927349999997</v>
      </c>
      <c r="U246">
        <f ca="1">IFERROR(IF(0=LEN(ReferenceData!$U$246),"",ReferenceData!$U$246),"")</f>
        <v>7.6066095269999998</v>
      </c>
      <c r="V246">
        <f ca="1">IFERROR(IF(0=LEN(ReferenceData!$V$246),"",ReferenceData!$V$246),"")</f>
        <v>7.4901318610000001</v>
      </c>
      <c r="W246">
        <f ca="1">IFERROR(IF(0=LEN(ReferenceData!$W$246),"",ReferenceData!$W$246),"")</f>
        <v>6.7507552630000003</v>
      </c>
      <c r="X246">
        <f ca="1">IFERROR(IF(0=LEN(ReferenceData!$X$246),"",ReferenceData!$X$246),"")</f>
        <v>7.3728810139999998</v>
      </c>
      <c r="Y246">
        <f ca="1">IFERROR(IF(0=LEN(ReferenceData!$Y$246),"",ReferenceData!$Y$246),"")</f>
        <v>7.1217984950000002</v>
      </c>
      <c r="Z246">
        <f ca="1">IFERROR(IF(0=LEN(ReferenceData!$Z$246),"",ReferenceData!$Z$246),"")</f>
        <v>7.2806429469999996</v>
      </c>
      <c r="AA246">
        <f ca="1">IFERROR(IF(0=LEN(ReferenceData!$AA$246),"",ReferenceData!$AA$246),"")</f>
        <v>7.0953675770000002</v>
      </c>
      <c r="AB246">
        <f ca="1">IFERROR(IF(0=LEN(ReferenceData!$AB$246),"",ReferenceData!$AB$246),"")</f>
        <v>6.0841180169999998</v>
      </c>
      <c r="AC246">
        <f ca="1">IFERROR(IF(0=LEN(ReferenceData!$AC$246),"",ReferenceData!$AC$246),"")</f>
        <v>5.8870113389999998</v>
      </c>
      <c r="AD246">
        <f ca="1">IFERROR(IF(0=LEN(ReferenceData!$AD$246),"",ReferenceData!$AD$246),"")</f>
        <v>5.885194104</v>
      </c>
      <c r="AE246">
        <f ca="1">IFERROR(IF(0=LEN(ReferenceData!$AE$246),"",ReferenceData!$AE$246),"")</f>
        <v>6.2945119859999998</v>
      </c>
      <c r="AF246">
        <f ca="1">IFERROR(IF(0=LEN(ReferenceData!$AF$246),"",ReferenceData!$AF$246),"")</f>
        <v>6.0071296240000001</v>
      </c>
      <c r="AG246">
        <f ca="1">IFERROR(IF(0=LEN(ReferenceData!$AG$246),"",ReferenceData!$AG$246),"")</f>
        <v>5.9471462519999996</v>
      </c>
      <c r="AH246">
        <f ca="1">IFERROR(IF(0=LEN(ReferenceData!$AH$246),"",ReferenceData!$AH$246),"")</f>
        <v>5.5634124180000004</v>
      </c>
      <c r="AI246">
        <f ca="1">IFERROR(IF(0=LEN(ReferenceData!$AI$246),"",ReferenceData!$AI$246),"")</f>
        <v>5.1236103169999998</v>
      </c>
      <c r="AJ246">
        <f ca="1">IFERROR(IF(0=LEN(ReferenceData!$AJ$246),"",ReferenceData!$AJ$246),"")</f>
        <v>3.467074158</v>
      </c>
      <c r="AK246">
        <f ca="1">IFERROR(IF(0=LEN(ReferenceData!$AK$246),"",ReferenceData!$AK$246),"")</f>
        <v>3.5172696979999998</v>
      </c>
      <c r="AL246">
        <f ca="1">IFERROR(IF(0=LEN(ReferenceData!$AL$246),"",ReferenceData!$AL$246),"")</f>
        <v>3.8767568909999999</v>
      </c>
      <c r="AM246">
        <f ca="1">IFERROR(IF(0=LEN(ReferenceData!$AM$246),"",ReferenceData!$AM$246),"")</f>
        <v>3.7860117089999998</v>
      </c>
      <c r="AN246">
        <f ca="1">IFERROR(IF(0=LEN(ReferenceData!$AN$246),"",ReferenceData!$AN$246),"")</f>
        <v>4.943042567</v>
      </c>
      <c r="AO246">
        <f ca="1">IFERROR(IF(0=LEN(ReferenceData!$AO$246),"",ReferenceData!$AO$246),"")</f>
        <v>4.9563846979999999</v>
      </c>
      <c r="AP246">
        <f ca="1">IFERROR(IF(0=LEN(ReferenceData!$AP$246),"",ReferenceData!$AP$246),"")</f>
        <v>4.9533390419999996</v>
      </c>
      <c r="AQ246">
        <f ca="1">IFERROR(IF(0=LEN(ReferenceData!$AQ$246),"",ReferenceData!$AQ$246),"")</f>
        <v>4.928889292</v>
      </c>
      <c r="AR246">
        <f ca="1">IFERROR(IF(0=LEN(ReferenceData!$AR$246),"",ReferenceData!$AR$246),"")</f>
        <v>5.4335413729999997</v>
      </c>
      <c r="AS246">
        <f ca="1">IFERROR(IF(0=LEN(ReferenceData!$AS$246),"",ReferenceData!$AS$246),"")</f>
        <v>5.3585018800000004</v>
      </c>
      <c r="AT246">
        <f ca="1">IFERROR(IF(0=LEN(ReferenceData!$AT$246),"",ReferenceData!$AT$246),"")</f>
        <v>5.2980022450000002</v>
      </c>
      <c r="AU246">
        <f ca="1">IFERROR(IF(0=LEN(ReferenceData!$AU$246),"",ReferenceData!$AU$246),"")</f>
        <v>5.2113642760000003</v>
      </c>
      <c r="AV246">
        <f ca="1">IFERROR(IF(0=LEN(ReferenceData!$AV$246),"",ReferenceData!$AV$246),"")</f>
        <v>6.039783527</v>
      </c>
      <c r="AW246">
        <f ca="1">IFERROR(IF(0=LEN(ReferenceData!$AW$246),"",ReferenceData!$AW$246),"")</f>
        <v>6.1827828970000001</v>
      </c>
      <c r="AX246">
        <f ca="1">IFERROR(IF(0=LEN(ReferenceData!$AX$246),"",ReferenceData!$AX$246),"")</f>
        <v>6.2465300240000001</v>
      </c>
      <c r="AY246">
        <f ca="1">IFERROR(IF(0=LEN(ReferenceData!$AY$246),"",ReferenceData!$AY$246),"")</f>
        <v>6.3733164699999998</v>
      </c>
      <c r="AZ246">
        <f ca="1">IFERROR(IF(0=LEN(ReferenceData!$AZ$246),"",ReferenceData!$AZ$246),"")</f>
        <v>5.7955133679999999</v>
      </c>
      <c r="BA246">
        <f ca="1">IFERROR(IF(0=LEN(ReferenceData!$BA$246),"",ReferenceData!$BA$246),"")</f>
        <v>6.3954524130000001</v>
      </c>
      <c r="BB246">
        <f ca="1">IFERROR(IF(0=LEN(ReferenceData!$BB$246),"",ReferenceData!$BB$246),"")</f>
        <v>6.3775709169999999</v>
      </c>
      <c r="BC246">
        <f ca="1">IFERROR(IF(0=LEN(ReferenceData!$BC$246),"",ReferenceData!$BC$246),"")</f>
        <v>6.2000991670000003</v>
      </c>
      <c r="BD246">
        <f ca="1">IFERROR(IF(0=LEN(ReferenceData!$BD$246),"",ReferenceData!$BD$246),"")</f>
        <v>7.5457653560000004</v>
      </c>
      <c r="BE246">
        <f ca="1">IFERROR(IF(0=LEN(ReferenceData!$BE$246),"",ReferenceData!$BE$246),"")</f>
        <v>7.1413715849999999</v>
      </c>
      <c r="BF246">
        <f ca="1">IFERROR(IF(0=LEN(ReferenceData!$BF$246),"",ReferenceData!$BF$246),"")</f>
        <v>7.1844671130000002</v>
      </c>
      <c r="BG246">
        <f ca="1">IFERROR(IF(0=LEN(ReferenceData!$BG$246),"",ReferenceData!$BG$246),"")</f>
        <v>6.8581080559999998</v>
      </c>
      <c r="BH246">
        <f ca="1">IFERROR(IF(0=LEN(ReferenceData!$BH$246),"",ReferenceData!$BH$246),"")</f>
        <v>6.51327531</v>
      </c>
      <c r="BI246">
        <f ca="1">IFERROR(IF(0=LEN(ReferenceData!$BI$246),"",ReferenceData!$BI$246),"")</f>
        <v>6.6185958630000004</v>
      </c>
      <c r="BJ246">
        <f ca="1">IFERROR(IF(0=LEN(ReferenceData!$BJ$246),"",ReferenceData!$BJ$246),"")</f>
        <v>6.9071570189999996</v>
      </c>
      <c r="BK246">
        <f ca="1">IFERROR(IF(0=LEN(ReferenceData!$BK$246),"",ReferenceData!$BK$246),"")</f>
        <v>7.0108921710000001</v>
      </c>
      <c r="BL246">
        <f ca="1">IFERROR(IF(0=LEN(ReferenceData!$BL$246),"",ReferenceData!$BL$246),"")</f>
        <v>7.0985009469999998</v>
      </c>
      <c r="BM246">
        <f ca="1">IFERROR(IF(0=LEN(ReferenceData!$BM$246),"",ReferenceData!$BM$246),"")</f>
        <v>7.0582361630000001</v>
      </c>
    </row>
    <row r="247" spans="1:65">
      <c r="A247" t="str">
        <f>IFERROR(IF(0=LEN(ReferenceData!$A$247),"",ReferenceData!$A$247),"")</f>
        <v xml:space="preserve">    DDR Corp</v>
      </c>
      <c r="B247" t="str">
        <f>IFERROR(IF(0=LEN(ReferenceData!$B$247),"",ReferenceData!$B$247),"")</f>
        <v>DDR US Equity</v>
      </c>
      <c r="C247" t="str">
        <f>IFERROR(IF(0=LEN(ReferenceData!$C$247),"",ReferenceData!$C$247),"")</f>
        <v>RR554</v>
      </c>
      <c r="D247" t="str">
        <f>IFERROR(IF(0=LEN(ReferenceData!$D$247),"",ReferenceData!$D$247),"")</f>
        <v>FFO_RE_ASSET</v>
      </c>
      <c r="E247" t="str">
        <f>IFERROR(IF(0=LEN(ReferenceData!$E$247),"",ReferenceData!$E$247),"")</f>
        <v>动态</v>
      </c>
      <c r="F247" t="str">
        <f ca="1">IFERROR(IF(0=LEN(ReferenceData!$F$247),"",ReferenceData!$F$247),"")</f>
        <v/>
      </c>
      <c r="G247">
        <f ca="1">IFERROR(IF(0=LEN(ReferenceData!$G$247),"",ReferenceData!$G$247),"")</f>
        <v>3.5547597130000002</v>
      </c>
      <c r="H247">
        <f ca="1">IFERROR(IF(0=LEN(ReferenceData!$H$247),"",ReferenceData!$H$247),"")</f>
        <v>3.5313756999999999</v>
      </c>
      <c r="I247">
        <f ca="1">IFERROR(IF(0=LEN(ReferenceData!$I$247),"",ReferenceData!$I$247),"")</f>
        <v>4.3951498840000003</v>
      </c>
      <c r="J247">
        <f ca="1">IFERROR(IF(0=LEN(ReferenceData!$J$247),"",ReferenceData!$J$247),"")</f>
        <v>4.6586425560000002</v>
      </c>
      <c r="K247">
        <f ca="1">IFERROR(IF(0=LEN(ReferenceData!$K$247),"",ReferenceData!$K$247),"")</f>
        <v>5.71026715</v>
      </c>
      <c r="L247">
        <f ca="1">IFERROR(IF(0=LEN(ReferenceData!$L$247),"",ReferenceData!$L$247),"")</f>
        <v>5.6148448899999996</v>
      </c>
      <c r="M247">
        <f ca="1">IFERROR(IF(0=LEN(ReferenceData!$M$247),"",ReferenceData!$M$247),"")</f>
        <v>5.477454356</v>
      </c>
      <c r="N247">
        <f ca="1">IFERROR(IF(0=LEN(ReferenceData!$N$247),"",ReferenceData!$N$247),"")</f>
        <v>5.2947703319999997</v>
      </c>
      <c r="O247">
        <f ca="1">IFERROR(IF(0=LEN(ReferenceData!$O$247),"",ReferenceData!$O$247),"")</f>
        <v>3.986720204</v>
      </c>
      <c r="P247">
        <f ca="1">IFERROR(IF(0=LEN(ReferenceData!$P$247),"",ReferenceData!$P$247),"")</f>
        <v>3.5963740529999999</v>
      </c>
      <c r="Q247">
        <f ca="1">IFERROR(IF(0=LEN(ReferenceData!$Q$247),"",ReferenceData!$Q$247),"")</f>
        <v>3.578997776</v>
      </c>
      <c r="R247">
        <f ca="1">IFERROR(IF(0=LEN(ReferenceData!$R$247),"",ReferenceData!$R$247),"")</f>
        <v>3.3134777259999999</v>
      </c>
      <c r="S247">
        <f ca="1">IFERROR(IF(0=LEN(ReferenceData!$S$247),"",ReferenceData!$S$247),"")</f>
        <v>4.0352048150000002</v>
      </c>
      <c r="T247">
        <f ca="1">IFERROR(IF(0=LEN(ReferenceData!$T$247),"",ReferenceData!$T$247),"")</f>
        <v>4.7852210099999999</v>
      </c>
      <c r="U247">
        <f ca="1">IFERROR(IF(0=LEN(ReferenceData!$U$247),"",ReferenceData!$U$247),"")</f>
        <v>4.6197132280000002</v>
      </c>
      <c r="V247">
        <f ca="1">IFERROR(IF(0=LEN(ReferenceData!$V$247),"",ReferenceData!$V$247),"")</f>
        <v>4.5747227930000003</v>
      </c>
      <c r="W247">
        <f ca="1">IFERROR(IF(0=LEN(ReferenceData!$W$247),"",ReferenceData!$W$247),"")</f>
        <v>4.494281033</v>
      </c>
      <c r="X247">
        <f ca="1">IFERROR(IF(0=LEN(ReferenceData!$X$247),"",ReferenceData!$X$247),"")</f>
        <v>4.0645952339999996</v>
      </c>
      <c r="Y247">
        <f ca="1">IFERROR(IF(0=LEN(ReferenceData!$Y$247),"",ReferenceData!$Y$247),"")</f>
        <v>4.5011127279999998</v>
      </c>
      <c r="Z247">
        <f ca="1">IFERROR(IF(0=LEN(ReferenceData!$Z$247),"",ReferenceData!$Z$247),"")</f>
        <v>4.5229482460000003</v>
      </c>
      <c r="AA247">
        <f ca="1">IFERROR(IF(0=LEN(ReferenceData!$AA$247),"",ReferenceData!$AA$247),"")</f>
        <v>4.2165069270000002</v>
      </c>
      <c r="AB247">
        <f ca="1">IFERROR(IF(0=LEN(ReferenceData!$AB$247),"",ReferenceData!$AB$247),"")</f>
        <v>3.9906541240000002</v>
      </c>
      <c r="AC247">
        <f ca="1">IFERROR(IF(0=LEN(ReferenceData!$AC$247),"",ReferenceData!$AC$247),"")</f>
        <v>2.9917698069999998</v>
      </c>
      <c r="AD247">
        <f ca="1">IFERROR(IF(0=LEN(ReferenceData!$AD$247),"",ReferenceData!$AD$247),"")</f>
        <v>2.650108747</v>
      </c>
      <c r="AE247">
        <f ca="1">IFERROR(IF(0=LEN(ReferenceData!$AE$247),"",ReferenceData!$AE$247),"")</f>
        <v>3.1044177209999999</v>
      </c>
      <c r="AF247">
        <f ca="1">IFERROR(IF(0=LEN(ReferenceData!$AF$247),"",ReferenceData!$AF$247),"")</f>
        <v>2.068062646</v>
      </c>
      <c r="AG247">
        <f ca="1">IFERROR(IF(0=LEN(ReferenceData!$AG$247),"",ReferenceData!$AG$247),"")</f>
        <v>2.2078818400000002</v>
      </c>
      <c r="AH247">
        <f ca="1">IFERROR(IF(0=LEN(ReferenceData!$AH$247),"",ReferenceData!$AH$247),"")</f>
        <v>1.192620614</v>
      </c>
      <c r="AI247">
        <f ca="1">IFERROR(IF(0=LEN(ReferenceData!$AI$247),"",ReferenceData!$AI$247),"")</f>
        <v>0.49033041599999999</v>
      </c>
      <c r="AJ247">
        <f ca="1">IFERROR(IF(0=LEN(ReferenceData!$AJ$247),"",ReferenceData!$AJ$247),"")</f>
        <v>0.60125463899999998</v>
      </c>
      <c r="AK247">
        <f ca="1">IFERROR(IF(0=LEN(ReferenceData!$AK$247),"",ReferenceData!$AK$247),"")</f>
        <v>-1.0082386139999999</v>
      </c>
      <c r="AL247">
        <f ca="1">IFERROR(IF(0=LEN(ReferenceData!$AL$247),"",ReferenceData!$AL$247),"")</f>
        <v>-2.6087107619999998</v>
      </c>
      <c r="AM247">
        <f ca="1">IFERROR(IF(0=LEN(ReferenceData!$AM$247),"",ReferenceData!$AM$247),"")</f>
        <v>-1.237302788</v>
      </c>
      <c r="AN247">
        <f ca="1">IFERROR(IF(0=LEN(ReferenceData!$AN$247),"",ReferenceData!$AN$247),"")</f>
        <v>-2.298149139</v>
      </c>
      <c r="AO247">
        <f ca="1">IFERROR(IF(0=LEN(ReferenceData!$AO$247),"",ReferenceData!$AO$247),"")</f>
        <v>-7.9203909000000003E-2</v>
      </c>
      <c r="AP247">
        <f ca="1">IFERROR(IF(0=LEN(ReferenceData!$AP$247),"",ReferenceData!$AP$247),"")</f>
        <v>2.977316455</v>
      </c>
      <c r="AQ247">
        <f ca="1">IFERROR(IF(0=LEN(ReferenceData!$AQ$247),"",ReferenceData!$AQ$247),"")</f>
        <v>2.4677627750000002</v>
      </c>
      <c r="AR247">
        <f ca="1">IFERROR(IF(0=LEN(ReferenceData!$AR$247),"",ReferenceData!$AR$247),"")</f>
        <v>4.9904619549999998</v>
      </c>
      <c r="AS247">
        <f ca="1">IFERROR(IF(0=LEN(ReferenceData!$AS$247),"",ReferenceData!$AS$247),"")</f>
        <v>5.0017013840000004</v>
      </c>
      <c r="AT247">
        <f ca="1">IFERROR(IF(0=LEN(ReferenceData!$AT$247),"",ReferenceData!$AT$247),"")</f>
        <v>5.3600291110000002</v>
      </c>
      <c r="AU247">
        <f ca="1">IFERROR(IF(0=LEN(ReferenceData!$AU$247),"",ReferenceData!$AU$247),"")</f>
        <v>6.6517891389999999</v>
      </c>
      <c r="AV247">
        <f ca="1">IFERROR(IF(0=LEN(ReferenceData!$AV$247),"",ReferenceData!$AV$247),"")</f>
        <v>6.6830248540000001</v>
      </c>
      <c r="AW247">
        <f ca="1">IFERROR(IF(0=LEN(ReferenceData!$AW$247),"",ReferenceData!$AW$247),"")</f>
        <v>6.5769891400000002</v>
      </c>
      <c r="AX247">
        <f ca="1">IFERROR(IF(0=LEN(ReferenceData!$AX$247),"",ReferenceData!$AX$247),"")</f>
        <v>5.3531550360000004</v>
      </c>
      <c r="AY247">
        <f ca="1">IFERROR(IF(0=LEN(ReferenceData!$AY$247),"",ReferenceData!$AY$247),"")</f>
        <v>6.398981429</v>
      </c>
      <c r="AZ247">
        <f ca="1">IFERROR(IF(0=LEN(ReferenceData!$AZ$247),"",ReferenceData!$AZ$247),"")</f>
        <v>6.3592028740000002</v>
      </c>
      <c r="BA247">
        <f ca="1">IFERROR(IF(0=LEN(ReferenceData!$BA$247),"",ReferenceData!$BA$247),"")</f>
        <v>6.0502330830000002</v>
      </c>
      <c r="BB247">
        <f ca="1">IFERROR(IF(0=LEN(ReferenceData!$BB$247),"",ReferenceData!$BB$247),"")</f>
        <v>5.6355847419999998</v>
      </c>
      <c r="BC247">
        <f ca="1">IFERROR(IF(0=LEN(ReferenceData!$BC$247),"",ReferenceData!$BC$247),"")</f>
        <v>6.3899676080000001</v>
      </c>
      <c r="BD247">
        <f ca="1">IFERROR(IF(0=LEN(ReferenceData!$BD$247),"",ReferenceData!$BD$247),"")</f>
        <v>5.8743212509999996</v>
      </c>
      <c r="BE247">
        <f ca="1">IFERROR(IF(0=LEN(ReferenceData!$BE$247),"",ReferenceData!$BE$247),"")</f>
        <v>5.9813029999999996</v>
      </c>
      <c r="BF247">
        <f ca="1">IFERROR(IF(0=LEN(ReferenceData!$BF$247),"",ReferenceData!$BF$247),"")</f>
        <v>5.5935422609999996</v>
      </c>
      <c r="BG247">
        <f ca="1">IFERROR(IF(0=LEN(ReferenceData!$BG$247),"",ReferenceData!$BG$247),"")</f>
        <v>5.3552041509999997</v>
      </c>
      <c r="BH247">
        <f ca="1">IFERROR(IF(0=LEN(ReferenceData!$BH$247),"",ReferenceData!$BH$247),"")</f>
        <v>4.8750946720000004</v>
      </c>
      <c r="BI247">
        <f ca="1">IFERROR(IF(0=LEN(ReferenceData!$BI$247),"",ReferenceData!$BI$247),"")</f>
        <v>3.5996842999999998</v>
      </c>
      <c r="BJ247">
        <f ca="1">IFERROR(IF(0=LEN(ReferenceData!$BJ$247),"",ReferenceData!$BJ$247),"")</f>
        <v>4.0525276789999998</v>
      </c>
      <c r="BK247">
        <f ca="1">IFERROR(IF(0=LEN(ReferenceData!$BK$247),"",ReferenceData!$BK$247),"")</f>
        <v>4.0508991859999997</v>
      </c>
      <c r="BL247">
        <f ca="1">IFERROR(IF(0=LEN(ReferenceData!$BL$247),"",ReferenceData!$BL$247),"")</f>
        <v>3.4848774599999999</v>
      </c>
      <c r="BM247">
        <f ca="1">IFERROR(IF(0=LEN(ReferenceData!$BM$247),"",ReferenceData!$BM$247),"")</f>
        <v>3.142048119</v>
      </c>
    </row>
    <row r="248" spans="1:65">
      <c r="A248" t="str">
        <f>IFERROR(IF(0=LEN(ReferenceData!$A$248),"",ReferenceData!$A$248),"")</f>
        <v xml:space="preserve">    Federal Realty Investment Trus</v>
      </c>
      <c r="B248" t="str">
        <f>IFERROR(IF(0=LEN(ReferenceData!$B$248),"",ReferenceData!$B$248),"")</f>
        <v>FRT US Equity</v>
      </c>
      <c r="C248" t="str">
        <f>IFERROR(IF(0=LEN(ReferenceData!$C$248),"",ReferenceData!$C$248),"")</f>
        <v>RR554</v>
      </c>
      <c r="D248" t="str">
        <f>IFERROR(IF(0=LEN(ReferenceData!$D$248),"",ReferenceData!$D$248),"")</f>
        <v>FFO_RE_ASSET</v>
      </c>
      <c r="E248" t="str">
        <f>IFERROR(IF(0=LEN(ReferenceData!$E$248),"",ReferenceData!$E$248),"")</f>
        <v>动态</v>
      </c>
      <c r="F248" t="str">
        <f ca="1">IFERROR(IF(0=LEN(ReferenceData!$F$248),"",ReferenceData!$F$248),"")</f>
        <v/>
      </c>
      <c r="G248">
        <f ca="1">IFERROR(IF(0=LEN(ReferenceData!$G$248),"",ReferenceData!$G$248),"")</f>
        <v>7.7125553409999998</v>
      </c>
      <c r="H248">
        <f ca="1">IFERROR(IF(0=LEN(ReferenceData!$H$248),"",ReferenceData!$H$248),"")</f>
        <v>8.0157976299999998</v>
      </c>
      <c r="I248">
        <f ca="1">IFERROR(IF(0=LEN(ReferenceData!$I$248),"",ReferenceData!$I$248),"")</f>
        <v>8.2661415419999997</v>
      </c>
      <c r="J248">
        <f ca="1">IFERROR(IF(0=LEN(ReferenceData!$J$248),"",ReferenceData!$J$248),"")</f>
        <v>8.2471423260000005</v>
      </c>
      <c r="K248">
        <f ca="1">IFERROR(IF(0=LEN(ReferenceData!$K$248),"",ReferenceData!$K$248),"")</f>
        <v>8.4235752900000005</v>
      </c>
      <c r="L248">
        <f ca="1">IFERROR(IF(0=LEN(ReferenceData!$L$248),"",ReferenceData!$L$248),"")</f>
        <v>8.4570372440000003</v>
      </c>
      <c r="M248">
        <f ca="1">IFERROR(IF(0=LEN(ReferenceData!$M$248),"",ReferenceData!$M$248),"")</f>
        <v>8.4330337869999994</v>
      </c>
      <c r="N248">
        <f ca="1">IFERROR(IF(0=LEN(ReferenceData!$N$248),"",ReferenceData!$N$248),"")</f>
        <v>8.019666355</v>
      </c>
      <c r="O248">
        <f ca="1">IFERROR(IF(0=LEN(ReferenceData!$O$248),"",ReferenceData!$O$248),"")</f>
        <v>8.0159047300000008</v>
      </c>
      <c r="P248">
        <f ca="1">IFERROR(IF(0=LEN(ReferenceData!$P$248),"",ReferenceData!$P$248),"")</f>
        <v>7.7323611740000002</v>
      </c>
      <c r="Q248">
        <f ca="1">IFERROR(IF(0=LEN(ReferenceData!$Q$248),"",ReferenceData!$Q$248),"")</f>
        <v>7.5440967570000002</v>
      </c>
      <c r="R248">
        <f ca="1">IFERROR(IF(0=LEN(ReferenceData!$R$248),"",ReferenceData!$R$248),"")</f>
        <v>7.9740230460000001</v>
      </c>
      <c r="S248">
        <f ca="1">IFERROR(IF(0=LEN(ReferenceData!$S$248),"",ReferenceData!$S$248),"")</f>
        <v>8.0720687600000005</v>
      </c>
      <c r="T248">
        <f ca="1">IFERROR(IF(0=LEN(ReferenceData!$T$248),"",ReferenceData!$T$248),"")</f>
        <v>7.9674246540000002</v>
      </c>
      <c r="U248">
        <f ca="1">IFERROR(IF(0=LEN(ReferenceData!$U$248),"",ReferenceData!$U$248),"")</f>
        <v>7.847093976</v>
      </c>
      <c r="V248">
        <f ca="1">IFERROR(IF(0=LEN(ReferenceData!$V$248),"",ReferenceData!$V$248),"")</f>
        <v>7.6823041180000002</v>
      </c>
      <c r="W248">
        <f ca="1">IFERROR(IF(0=LEN(ReferenceData!$W$248),"",ReferenceData!$W$248),"")</f>
        <v>7.7178290690000004</v>
      </c>
      <c r="X248">
        <f ca="1">IFERROR(IF(0=LEN(ReferenceData!$X$248),"",ReferenceData!$X$248),"")</f>
        <v>8.1089632779999992</v>
      </c>
      <c r="Y248">
        <f ca="1">IFERROR(IF(0=LEN(ReferenceData!$Y$248),"",ReferenceData!$Y$248),"")</f>
        <v>8.0835361760000009</v>
      </c>
      <c r="Z248">
        <f ca="1">IFERROR(IF(0=LEN(ReferenceData!$Z$248),"",ReferenceData!$Z$248),"")</f>
        <v>8.0769732269999999</v>
      </c>
      <c r="AA248">
        <f ca="1">IFERROR(IF(0=LEN(ReferenceData!$AA$248),"",ReferenceData!$AA$248),"")</f>
        <v>7.9027978579999996</v>
      </c>
      <c r="AB248">
        <f ca="1">IFERROR(IF(0=LEN(ReferenceData!$AB$248),"",ReferenceData!$AB$248),"")</f>
        <v>8.2764014939999999</v>
      </c>
      <c r="AC248">
        <f ca="1">IFERROR(IF(0=LEN(ReferenceData!$AC$248),"",ReferenceData!$AC$248),"")</f>
        <v>8.104403392</v>
      </c>
      <c r="AD248">
        <f ca="1">IFERROR(IF(0=LEN(ReferenceData!$AD$248),"",ReferenceData!$AD$248),"")</f>
        <v>8.0182495060000001</v>
      </c>
      <c r="AE248">
        <f ca="1">IFERROR(IF(0=LEN(ReferenceData!$AE$248),"",ReferenceData!$AE$248),"")</f>
        <v>7.974592983</v>
      </c>
      <c r="AF248">
        <f ca="1">IFERROR(IF(0=LEN(ReferenceData!$AF$248),"",ReferenceData!$AF$248),"")</f>
        <v>8.4440406899999996</v>
      </c>
      <c r="AG248">
        <f ca="1">IFERROR(IF(0=LEN(ReferenceData!$AG$248),"",ReferenceData!$AG$248),"")</f>
        <v>8.3338965300000005</v>
      </c>
      <c r="AH248">
        <f ca="1">IFERROR(IF(0=LEN(ReferenceData!$AH$248),"",ReferenceData!$AH$248),"")</f>
        <v>8.1976201129999993</v>
      </c>
      <c r="AI248">
        <f ca="1">IFERROR(IF(0=LEN(ReferenceData!$AI$248),"",ReferenceData!$AI$248),"")</f>
        <v>8.2224435479999993</v>
      </c>
      <c r="AJ248">
        <f ca="1">IFERROR(IF(0=LEN(ReferenceData!$AJ$248),"",ReferenceData!$AJ$248),"")</f>
        <v>8.1443755679999992</v>
      </c>
      <c r="AK248">
        <f ca="1">IFERROR(IF(0=LEN(ReferenceData!$AK$248),"",ReferenceData!$AK$248),"")</f>
        <v>8.0510905319999999</v>
      </c>
      <c r="AL248">
        <f ca="1">IFERROR(IF(0=LEN(ReferenceData!$AL$248),"",ReferenceData!$AL$248),"")</f>
        <v>7.9531825700000001</v>
      </c>
      <c r="AM248">
        <f ca="1">IFERROR(IF(0=LEN(ReferenceData!$AM$248),"",ReferenceData!$AM$248),"")</f>
        <v>7.2687578190000002</v>
      </c>
      <c r="AN248">
        <f ca="1">IFERROR(IF(0=LEN(ReferenceData!$AN$248),"",ReferenceData!$AN$248),"")</f>
        <v>7.2460431830000003</v>
      </c>
      <c r="AO248">
        <f ca="1">IFERROR(IF(0=LEN(ReferenceData!$AO$248),"",ReferenceData!$AO$248),"")</f>
        <v>7.3816611700000001</v>
      </c>
      <c r="AP248">
        <f ca="1">IFERROR(IF(0=LEN(ReferenceData!$AP$248),"",ReferenceData!$AP$248),"")</f>
        <v>7.4235567610000004</v>
      </c>
      <c r="AQ248">
        <f ca="1">IFERROR(IF(0=LEN(ReferenceData!$AQ$248),"",ReferenceData!$AQ$248),"")</f>
        <v>8.0647929660000006</v>
      </c>
      <c r="AR248">
        <f ca="1">IFERROR(IF(0=LEN(ReferenceData!$AR$248),"",ReferenceData!$AR$248),"")</f>
        <v>7.9341945640000002</v>
      </c>
      <c r="AS248">
        <f ca="1">IFERROR(IF(0=LEN(ReferenceData!$AS$248),"",ReferenceData!$AS$248),"")</f>
        <v>7.8352070889999998</v>
      </c>
      <c r="AT248">
        <f ca="1">IFERROR(IF(0=LEN(ReferenceData!$AT$248),"",ReferenceData!$AT$248),"")</f>
        <v>7.6952613310000002</v>
      </c>
      <c r="AU248">
        <f ca="1">IFERROR(IF(0=LEN(ReferenceData!$AU$248),"",ReferenceData!$AU$248),"")</f>
        <v>7.8304085560000001</v>
      </c>
      <c r="AV248">
        <f ca="1">IFERROR(IF(0=LEN(ReferenceData!$AV$248),"",ReferenceData!$AV$248),"")</f>
        <v>7.6583330680000001</v>
      </c>
      <c r="AW248">
        <f ca="1">IFERROR(IF(0=LEN(ReferenceData!$AW$248),"",ReferenceData!$AW$248),"")</f>
        <v>7.7497054690000002</v>
      </c>
      <c r="AX248">
        <f ca="1">IFERROR(IF(0=LEN(ReferenceData!$AX$248),"",ReferenceData!$AX$248),"")</f>
        <v>7.4128788969999997</v>
      </c>
      <c r="AY248">
        <f ca="1">IFERROR(IF(0=LEN(ReferenceData!$AY$248),"",ReferenceData!$AY$248),"")</f>
        <v>7.4884373230000003</v>
      </c>
      <c r="AZ248">
        <f ca="1">IFERROR(IF(0=LEN(ReferenceData!$AZ$248),"",ReferenceData!$AZ$248),"")</f>
        <v>7.6589295159999997</v>
      </c>
      <c r="BA248">
        <f ca="1">IFERROR(IF(0=LEN(ReferenceData!$BA$248),"",ReferenceData!$BA$248),"")</f>
        <v>7.8043958990000002</v>
      </c>
      <c r="BB248">
        <f ca="1">IFERROR(IF(0=LEN(ReferenceData!$BB$248),"",ReferenceData!$BB$248),"")</f>
        <v>7.6325195790000002</v>
      </c>
      <c r="BC248">
        <f ca="1">IFERROR(IF(0=LEN(ReferenceData!$BC$248),"",ReferenceData!$BC$248),"")</f>
        <v>7.5379900910000002</v>
      </c>
      <c r="BD248">
        <f ca="1">IFERROR(IF(0=LEN(ReferenceData!$BD$248),"",ReferenceData!$BD$248),"")</f>
        <v>7.3512195790000003</v>
      </c>
      <c r="BE248">
        <f ca="1">IFERROR(IF(0=LEN(ReferenceData!$BE$248),"",ReferenceData!$BE$248),"")</f>
        <v>10.6859561</v>
      </c>
      <c r="BF248">
        <f ca="1">IFERROR(IF(0=LEN(ReferenceData!$BF$248),"",ReferenceData!$BF$248),"")</f>
        <v>10.578109960000001</v>
      </c>
      <c r="BG248">
        <f ca="1">IFERROR(IF(0=LEN(ReferenceData!$BG$248),"",ReferenceData!$BG$248),"")</f>
        <v>10.785765400000001</v>
      </c>
      <c r="BH248">
        <f ca="1">IFERROR(IF(0=LEN(ReferenceData!$BH$248),"",ReferenceData!$BH$248),"")</f>
        <v>-28.692079530000001</v>
      </c>
      <c r="BI248">
        <f ca="1">IFERROR(IF(0=LEN(ReferenceData!$BI$248),"",ReferenceData!$BI$248),"")</f>
        <v>10.12946045</v>
      </c>
      <c r="BJ248">
        <f ca="1">IFERROR(IF(0=LEN(ReferenceData!$BJ$248),"",ReferenceData!$BJ$248),"")</f>
        <v>37.640681610000001</v>
      </c>
      <c r="BK248">
        <f ca="1">IFERROR(IF(0=LEN(ReferenceData!$BK$248),"",ReferenceData!$BK$248),"")</f>
        <v>39.087354439999999</v>
      </c>
      <c r="BL248">
        <f ca="1">IFERROR(IF(0=LEN(ReferenceData!$BL$248),"",ReferenceData!$BL$248),"")</f>
        <v>81.816589789999995</v>
      </c>
      <c r="BM248">
        <f ca="1">IFERROR(IF(0=LEN(ReferenceData!$BM$248),"",ReferenceData!$BM$248),"")</f>
        <v>38.549290460000002</v>
      </c>
    </row>
    <row r="249" spans="1:65">
      <c r="A249" t="str">
        <f>IFERROR(IF(0=LEN(ReferenceData!$A$249),"",ReferenceData!$A$249),"")</f>
        <v xml:space="preserve">    Kimco Realty Corp</v>
      </c>
      <c r="B249" t="str">
        <f>IFERROR(IF(0=LEN(ReferenceData!$B$249),"",ReferenceData!$B$249),"")</f>
        <v>KIM US Equity</v>
      </c>
      <c r="C249" t="str">
        <f>IFERROR(IF(0=LEN(ReferenceData!$C$249),"",ReferenceData!$C$249),"")</f>
        <v>RR554</v>
      </c>
      <c r="D249" t="str">
        <f>IFERROR(IF(0=LEN(ReferenceData!$D$249),"",ReferenceData!$D$249),"")</f>
        <v>FFO_RE_ASSET</v>
      </c>
      <c r="E249" t="str">
        <f>IFERROR(IF(0=LEN(ReferenceData!$E$249),"",ReferenceData!$E$249),"")</f>
        <v>动态</v>
      </c>
      <c r="F249" t="str">
        <f ca="1">IFERROR(IF(0=LEN(ReferenceData!$F$249),"",ReferenceData!$F$249),"")</f>
        <v/>
      </c>
      <c r="G249">
        <f ca="1">IFERROR(IF(0=LEN(ReferenceData!$G$249),"",ReferenceData!$G$249),"")</f>
        <v>6.1238828879999998</v>
      </c>
      <c r="H249">
        <f ca="1">IFERROR(IF(0=LEN(ReferenceData!$H$249),"",ReferenceData!$H$249),"")</f>
        <v>6.1915943379999998</v>
      </c>
      <c r="I249">
        <f ca="1">IFERROR(IF(0=LEN(ReferenceData!$I$249),"",ReferenceData!$I$249),"")</f>
        <v>5.4464597279999998</v>
      </c>
      <c r="J249">
        <f ca="1">IFERROR(IF(0=LEN(ReferenceData!$J$249),"",ReferenceData!$J$249),"")</f>
        <v>5.3232862870000002</v>
      </c>
      <c r="K249">
        <f ca="1">IFERROR(IF(0=LEN(ReferenceData!$K$249),"",ReferenceData!$K$249),"")</f>
        <v>5.3173271150000003</v>
      </c>
      <c r="L249">
        <f ca="1">IFERROR(IF(0=LEN(ReferenceData!$L$249),"",ReferenceData!$L$249),"")</f>
        <v>5.1338937910000002</v>
      </c>
      <c r="M249">
        <f ca="1">IFERROR(IF(0=LEN(ReferenceData!$M$249),"",ReferenceData!$M$249),"")</f>
        <v>5.9989021869999997</v>
      </c>
      <c r="N249">
        <f ca="1">IFERROR(IF(0=LEN(ReferenceData!$N$249),"",ReferenceData!$N$249),"")</f>
        <v>6.1743000529999996</v>
      </c>
      <c r="O249">
        <f ca="1">IFERROR(IF(0=LEN(ReferenceData!$O$249),"",ReferenceData!$O$249),"")</f>
        <v>6.4726274750000004</v>
      </c>
      <c r="P249">
        <f ca="1">IFERROR(IF(0=LEN(ReferenceData!$P$249),"",ReferenceData!$P$249),"")</f>
        <v>6.6243093059999998</v>
      </c>
      <c r="Q249">
        <f ca="1">IFERROR(IF(0=LEN(ReferenceData!$Q$249),"",ReferenceData!$Q$249),"")</f>
        <v>6.5875866719999996</v>
      </c>
      <c r="R249">
        <f ca="1">IFERROR(IF(0=LEN(ReferenceData!$R$249),"",ReferenceData!$R$249),"")</f>
        <v>6.2451905249999999</v>
      </c>
      <c r="S249">
        <f ca="1">IFERROR(IF(0=LEN(ReferenceData!$S$249),"",ReferenceData!$S$249),"")</f>
        <v>6.5352187089999996</v>
      </c>
      <c r="T249">
        <f ca="1">IFERROR(IF(0=LEN(ReferenceData!$T$249),"",ReferenceData!$T$249),"")</f>
        <v>6.3210664339999996</v>
      </c>
      <c r="U249">
        <f ca="1">IFERROR(IF(0=LEN(ReferenceData!$U$249),"",ReferenceData!$U$249),"")</f>
        <v>6.0352207699999996</v>
      </c>
      <c r="V249">
        <f ca="1">IFERROR(IF(0=LEN(ReferenceData!$V$249),"",ReferenceData!$V$249),"")</f>
        <v>6.1338731920000003</v>
      </c>
      <c r="W249">
        <f ca="1">IFERROR(IF(0=LEN(ReferenceData!$W$249),"",ReferenceData!$W$249),"")</f>
        <v>6.1996999910000001</v>
      </c>
      <c r="X249">
        <f ca="1">IFERROR(IF(0=LEN(ReferenceData!$X$249),"",ReferenceData!$X$249),"")</f>
        <v>6.0923274599999999</v>
      </c>
      <c r="Y249">
        <f ca="1">IFERROR(IF(0=LEN(ReferenceData!$Y$249),"",ReferenceData!$Y$249),"")</f>
        <v>5.7272564519999998</v>
      </c>
      <c r="Z249">
        <f ca="1">IFERROR(IF(0=LEN(ReferenceData!$Z$249),"",ReferenceData!$Z$249),"")</f>
        <v>5.684264958</v>
      </c>
      <c r="AA249">
        <f ca="1">IFERROR(IF(0=LEN(ReferenceData!$AA$249),"",ReferenceData!$AA$249),"")</f>
        <v>5.6880635289999999</v>
      </c>
      <c r="AB249">
        <f ca="1">IFERROR(IF(0=LEN(ReferenceData!$AB$249),"",ReferenceData!$AB$249),"")</f>
        <v>5.7939678160000003</v>
      </c>
      <c r="AC249">
        <f ca="1">IFERROR(IF(0=LEN(ReferenceData!$AC$249),"",ReferenceData!$AC$249),"")</f>
        <v>5.9042033209999998</v>
      </c>
      <c r="AD249">
        <f ca="1">IFERROR(IF(0=LEN(ReferenceData!$AD$249),"",ReferenceData!$AD$249),"")</f>
        <v>5.7483947869999996</v>
      </c>
      <c r="AE249">
        <f ca="1">IFERROR(IF(0=LEN(ReferenceData!$AE$249),"",ReferenceData!$AE$249),"")</f>
        <v>5.739098244</v>
      </c>
      <c r="AF249">
        <f ca="1">IFERROR(IF(0=LEN(ReferenceData!$AF$249),"",ReferenceData!$AF$249),"")</f>
        <v>5.7169151830000002</v>
      </c>
      <c r="AG249">
        <f ca="1">IFERROR(IF(0=LEN(ReferenceData!$AG$249),"",ReferenceData!$AG$249),"")</f>
        <v>5.3690688409999998</v>
      </c>
      <c r="AH249">
        <f ca="1">IFERROR(IF(0=LEN(ReferenceData!$AH$249),"",ReferenceData!$AH$249),"")</f>
        <v>5.0430824559999996</v>
      </c>
      <c r="AI249">
        <f ca="1">IFERROR(IF(0=LEN(ReferenceData!$AI$249),"",ReferenceData!$AI$249),"")</f>
        <v>5.2738098950000003</v>
      </c>
      <c r="AJ249">
        <f ca="1">IFERROR(IF(0=LEN(ReferenceData!$AJ$249),"",ReferenceData!$AJ$249),"")</f>
        <v>5.3071585749999999</v>
      </c>
      <c r="AK249">
        <f ca="1">IFERROR(IF(0=LEN(ReferenceData!$AK$249),"",ReferenceData!$AK$249),"")</f>
        <v>5.2981192070000001</v>
      </c>
      <c r="AL249">
        <f ca="1">IFERROR(IF(0=LEN(ReferenceData!$AL$249),"",ReferenceData!$AL$249),"")</f>
        <v>3.291296548</v>
      </c>
      <c r="AM249">
        <f ca="1">IFERROR(IF(0=LEN(ReferenceData!$AM$249),"",ReferenceData!$AM$249),"")</f>
        <v>3.3107691240000001</v>
      </c>
      <c r="AN249">
        <f ca="1">IFERROR(IF(0=LEN(ReferenceData!$AN$249),"",ReferenceData!$AN$249),"")</f>
        <v>2.0593741670000001</v>
      </c>
      <c r="AO249">
        <f ca="1">IFERROR(IF(0=LEN(ReferenceData!$AO$249),"",ReferenceData!$AO$249),"")</f>
        <v>2.8341354339999998</v>
      </c>
      <c r="AP249">
        <f ca="1">IFERROR(IF(0=LEN(ReferenceData!$AP$249),"",ReferenceData!$AP$249),"")</f>
        <v>5.603254916</v>
      </c>
      <c r="AQ249">
        <f ca="1">IFERROR(IF(0=LEN(ReferenceData!$AQ$249),"",ReferenceData!$AQ$249),"")</f>
        <v>6.175916462</v>
      </c>
      <c r="AR249">
        <f ca="1">IFERROR(IF(0=LEN(ReferenceData!$AR$249),"",ReferenceData!$AR$249),"")</f>
        <v>7.6020737069999997</v>
      </c>
      <c r="AS249">
        <f ca="1">IFERROR(IF(0=LEN(ReferenceData!$AS$249),"",ReferenceData!$AS$249),"")</f>
        <v>7.4946177409999999</v>
      </c>
      <c r="AT249">
        <f ca="1">IFERROR(IF(0=LEN(ReferenceData!$AT$249),"",ReferenceData!$AT$249),"")</f>
        <v>8.0829374230000006</v>
      </c>
      <c r="AU249">
        <f ca="1">IFERROR(IF(0=LEN(ReferenceData!$AU$249),"",ReferenceData!$AU$249),"")</f>
        <v>8.7901200090000007</v>
      </c>
      <c r="AV249">
        <f ca="1">IFERROR(IF(0=LEN(ReferenceData!$AV$249),"",ReferenceData!$AV$249),"")</f>
        <v>9.3412063869999997</v>
      </c>
      <c r="AW249">
        <f ca="1">IFERROR(IF(0=LEN(ReferenceData!$AW$249),"",ReferenceData!$AW$249),"")</f>
        <v>9.7082028999999999</v>
      </c>
      <c r="AX249">
        <f ca="1">IFERROR(IF(0=LEN(ReferenceData!$AX$249),"",ReferenceData!$AX$249),"")</f>
        <v>9.6703500869999992</v>
      </c>
      <c r="AY249">
        <f ca="1">IFERROR(IF(0=LEN(ReferenceData!$AY$249),"",ReferenceData!$AY$249),"")</f>
        <v>9.188491741</v>
      </c>
      <c r="AZ249">
        <f ca="1">IFERROR(IF(0=LEN(ReferenceData!$AZ$249),"",ReferenceData!$AZ$249),"")</f>
        <v>9.5501492970000008</v>
      </c>
      <c r="BA249">
        <f ca="1">IFERROR(IF(0=LEN(ReferenceData!$BA$249),"",ReferenceData!$BA$249),"")</f>
        <v>9.5253005589999997</v>
      </c>
      <c r="BB249">
        <f ca="1">IFERROR(IF(0=LEN(ReferenceData!$BB$249),"",ReferenceData!$BB$249),"")</f>
        <v>9.5590368290000001</v>
      </c>
      <c r="BC249">
        <f ca="1">IFERROR(IF(0=LEN(ReferenceData!$BC$249),"",ReferenceData!$BC$249),"")</f>
        <v>9.9361051230000008</v>
      </c>
      <c r="BD249">
        <f ca="1">IFERROR(IF(0=LEN(ReferenceData!$BD$249),"",ReferenceData!$BD$249),"")</f>
        <v>10.25205558</v>
      </c>
      <c r="BE249">
        <f ca="1">IFERROR(IF(0=LEN(ReferenceData!$BE$249),"",ReferenceData!$BE$249),"")</f>
        <v>9.9654160150000006</v>
      </c>
      <c r="BF249" t="str">
        <f ca="1">IFERROR(IF(0=LEN(ReferenceData!$BF$249),"",ReferenceData!$BF$249),"")</f>
        <v/>
      </c>
      <c r="BG249" t="str">
        <f ca="1">IFERROR(IF(0=LEN(ReferenceData!$BG$249),"",ReferenceData!$BG$249),"")</f>
        <v/>
      </c>
      <c r="BH249" t="str">
        <f ca="1">IFERROR(IF(0=LEN(ReferenceData!$BH$249),"",ReferenceData!$BH$249),"")</f>
        <v/>
      </c>
      <c r="BI249" t="str">
        <f ca="1">IFERROR(IF(0=LEN(ReferenceData!$BI$249),"",ReferenceData!$BI$249),"")</f>
        <v/>
      </c>
      <c r="BJ249" t="str">
        <f ca="1">IFERROR(IF(0=LEN(ReferenceData!$BJ$249),"",ReferenceData!$BJ$249),"")</f>
        <v/>
      </c>
      <c r="BK249" t="str">
        <f ca="1">IFERROR(IF(0=LEN(ReferenceData!$BK$249),"",ReferenceData!$BK$249),"")</f>
        <v/>
      </c>
      <c r="BL249" t="str">
        <f ca="1">IFERROR(IF(0=LEN(ReferenceData!$BL$249),"",ReferenceData!$BL$249),"")</f>
        <v/>
      </c>
      <c r="BM249" t="str">
        <f ca="1">IFERROR(IF(0=LEN(ReferenceData!$BM$249),"",ReferenceData!$BM$249),"")</f>
        <v/>
      </c>
    </row>
    <row r="250" spans="1:65">
      <c r="A250" t="str">
        <f>IFERROR(IF(0=LEN(ReferenceData!$A$250),"",ReferenceData!$A$250),"")</f>
        <v xml:space="preserve">    National Retail Properties Inc</v>
      </c>
      <c r="B250" t="str">
        <f>IFERROR(IF(0=LEN(ReferenceData!$B$250),"",ReferenceData!$B$250),"")</f>
        <v>NNN US Equity</v>
      </c>
      <c r="C250" t="str">
        <f>IFERROR(IF(0=LEN(ReferenceData!$C$250),"",ReferenceData!$C$250),"")</f>
        <v>RR554</v>
      </c>
      <c r="D250" t="str">
        <f>IFERROR(IF(0=LEN(ReferenceData!$D$250),"",ReferenceData!$D$250),"")</f>
        <v>FFO_RE_ASSET</v>
      </c>
      <c r="E250" t="str">
        <f>IFERROR(IF(0=LEN(ReferenceData!$E$250),"",ReferenceData!$E$250),"")</f>
        <v>动态</v>
      </c>
      <c r="F250" t="str">
        <f ca="1">IFERROR(IF(0=LEN(ReferenceData!$F$250),"",ReferenceData!$F$250),"")</f>
        <v/>
      </c>
      <c r="G250">
        <f ca="1">IFERROR(IF(0=LEN(ReferenceData!$G$250),"",ReferenceData!$G$250),"")</f>
        <v>5.8124021309999998</v>
      </c>
      <c r="H250">
        <f ca="1">IFERROR(IF(0=LEN(ReferenceData!$H$250),"",ReferenceData!$H$250),"")</f>
        <v>5.8919698040000004</v>
      </c>
      <c r="I250">
        <f ca="1">IFERROR(IF(0=LEN(ReferenceData!$I$250),"",ReferenceData!$I$250),"")</f>
        <v>5.6659970800000004</v>
      </c>
      <c r="J250">
        <f ca="1">IFERROR(IF(0=LEN(ReferenceData!$J$250),"",ReferenceData!$J$250),"")</f>
        <v>5.8029954769999996</v>
      </c>
      <c r="K250">
        <f ca="1">IFERROR(IF(0=LEN(ReferenceData!$K$250),"",ReferenceData!$K$250),"")</f>
        <v>5.8817641629999997</v>
      </c>
      <c r="L250">
        <f ca="1">IFERROR(IF(0=LEN(ReferenceData!$L$250),"",ReferenceData!$L$250),"")</f>
        <v>5.6575280040000004</v>
      </c>
      <c r="M250">
        <f ca="1">IFERROR(IF(0=LEN(ReferenceData!$M$250),"",ReferenceData!$M$250),"")</f>
        <v>5.7495031729999999</v>
      </c>
      <c r="N250">
        <f ca="1">IFERROR(IF(0=LEN(ReferenceData!$N$250),"",ReferenceData!$N$250),"")</f>
        <v>5.8261269540000002</v>
      </c>
      <c r="O250">
        <f ca="1">IFERROR(IF(0=LEN(ReferenceData!$O$250),"",ReferenceData!$O$250),"")</f>
        <v>5.7345168470000001</v>
      </c>
      <c r="P250">
        <f ca="1">IFERROR(IF(0=LEN(ReferenceData!$P$250),"",ReferenceData!$P$250),"")</f>
        <v>5.9301536160000001</v>
      </c>
      <c r="Q250">
        <f ca="1">IFERROR(IF(0=LEN(ReferenceData!$Q$250),"",ReferenceData!$Q$250),"")</f>
        <v>5.989245779</v>
      </c>
      <c r="R250">
        <f ca="1">IFERROR(IF(0=LEN(ReferenceData!$R$250),"",ReferenceData!$R$250),"")</f>
        <v>5.8485217980000002</v>
      </c>
      <c r="S250">
        <f ca="1">IFERROR(IF(0=LEN(ReferenceData!$S$250),"",ReferenceData!$S$250),"")</f>
        <v>5.7492531920000003</v>
      </c>
      <c r="T250">
        <f ca="1">IFERROR(IF(0=LEN(ReferenceData!$T$250),"",ReferenceData!$T$250),"")</f>
        <v>5.5353804389999999</v>
      </c>
      <c r="U250">
        <f ca="1">IFERROR(IF(0=LEN(ReferenceData!$U$250),"",ReferenceData!$U$250),"")</f>
        <v>5.6117631159999997</v>
      </c>
      <c r="V250">
        <f ca="1">IFERROR(IF(0=LEN(ReferenceData!$V$250),"",ReferenceData!$V$250),"")</f>
        <v>5.7253877759999998</v>
      </c>
      <c r="W250">
        <f ca="1">IFERROR(IF(0=LEN(ReferenceData!$W$250),"",ReferenceData!$W$250),"")</f>
        <v>5.603716897</v>
      </c>
      <c r="X250">
        <f ca="1">IFERROR(IF(0=LEN(ReferenceData!$X$250),"",ReferenceData!$X$250),"")</f>
        <v>5.5125354010000001</v>
      </c>
      <c r="Y250">
        <f ca="1">IFERROR(IF(0=LEN(ReferenceData!$Y$250),"",ReferenceData!$Y$250),"")</f>
        <v>5.5138386600000002</v>
      </c>
      <c r="Z250">
        <f ca="1">IFERROR(IF(0=LEN(ReferenceData!$Z$250),"",ReferenceData!$Z$250),"")</f>
        <v>5.5742983930000003</v>
      </c>
      <c r="AA250">
        <f ca="1">IFERROR(IF(0=LEN(ReferenceData!$AA$250),"",ReferenceData!$AA$250),"")</f>
        <v>5.332478772</v>
      </c>
      <c r="AB250">
        <f ca="1">IFERROR(IF(0=LEN(ReferenceData!$AB$250),"",ReferenceData!$AB$250),"")</f>
        <v>5.4682859930000003</v>
      </c>
      <c r="AC250">
        <f ca="1">IFERROR(IF(0=LEN(ReferenceData!$AC$250),"",ReferenceData!$AC$250),"")</f>
        <v>5.1027080959999997</v>
      </c>
      <c r="AD250">
        <f ca="1">IFERROR(IF(0=LEN(ReferenceData!$AD$250),"",ReferenceData!$AD$250),"")</f>
        <v>4.8345745689999999</v>
      </c>
      <c r="AE250">
        <f ca="1">IFERROR(IF(0=LEN(ReferenceData!$AE$250),"",ReferenceData!$AE$250),"")</f>
        <v>4.5925517899999999</v>
      </c>
      <c r="AF250">
        <f ca="1">IFERROR(IF(0=LEN(ReferenceData!$AF$250),"",ReferenceData!$AF$250),"")</f>
        <v>4.3967725</v>
      </c>
      <c r="AG250">
        <f ca="1">IFERROR(IF(0=LEN(ReferenceData!$AG$250),"",ReferenceData!$AG$250),"")</f>
        <v>4.5288337009999999</v>
      </c>
      <c r="AH250">
        <f ca="1">IFERROR(IF(0=LEN(ReferenceData!$AH$250),"",ReferenceData!$AH$250),"")</f>
        <v>4.4295308249999996</v>
      </c>
      <c r="AI250">
        <f ca="1">IFERROR(IF(0=LEN(ReferenceData!$AI$250),"",ReferenceData!$AI$250),"")</f>
        <v>4.185081125</v>
      </c>
      <c r="AJ250">
        <f ca="1">IFERROR(IF(0=LEN(ReferenceData!$AJ$250),"",ReferenceData!$AJ$250),"")</f>
        <v>3.1841509220000002</v>
      </c>
      <c r="AK250">
        <f ca="1">IFERROR(IF(0=LEN(ReferenceData!$AK$250),"",ReferenceData!$AK$250),"")</f>
        <v>3.2911375760000001</v>
      </c>
      <c r="AL250">
        <f ca="1">IFERROR(IF(0=LEN(ReferenceData!$AL$250),"",ReferenceData!$AL$250),"")</f>
        <v>3.168834666</v>
      </c>
      <c r="AM250">
        <f ca="1">IFERROR(IF(0=LEN(ReferenceData!$AM$250),"",ReferenceData!$AM$250),"")</f>
        <v>3.526088449</v>
      </c>
      <c r="AN250">
        <f ca="1">IFERROR(IF(0=LEN(ReferenceData!$AN$250),"",ReferenceData!$AN$250),"")</f>
        <v>5.045936244</v>
      </c>
      <c r="AO250">
        <f ca="1">IFERROR(IF(0=LEN(ReferenceData!$AO$250),"",ReferenceData!$AO$250),"")</f>
        <v>5.2128714340000002</v>
      </c>
      <c r="AP250">
        <f ca="1">IFERROR(IF(0=LEN(ReferenceData!$AP$250),"",ReferenceData!$AP$250),"")</f>
        <v>5.5901138909999997</v>
      </c>
      <c r="AQ250">
        <f ca="1">IFERROR(IF(0=LEN(ReferenceData!$AQ$250),"",ReferenceData!$AQ$250),"")</f>
        <v>5.8031095109999997</v>
      </c>
      <c r="AR250">
        <f ca="1">IFERROR(IF(0=LEN(ReferenceData!$AR$250),"",ReferenceData!$AR$250),"")</f>
        <v>5.9406231219999999</v>
      </c>
      <c r="AS250">
        <f ca="1">IFERROR(IF(0=LEN(ReferenceData!$AS$250),"",ReferenceData!$AS$250),"")</f>
        <v>5.7775706409999996</v>
      </c>
      <c r="AT250">
        <f ca="1">IFERROR(IF(0=LEN(ReferenceData!$AT$250),"",ReferenceData!$AT$250),"")</f>
        <v>5.9458650610000001</v>
      </c>
      <c r="AU250">
        <f ca="1">IFERROR(IF(0=LEN(ReferenceData!$AU$250),"",ReferenceData!$AU$250),"")</f>
        <v>5.855294067</v>
      </c>
      <c r="AV250">
        <f ca="1">IFERROR(IF(0=LEN(ReferenceData!$AV$250),"",ReferenceData!$AV$250),"")</f>
        <v>6.0999885909999998</v>
      </c>
      <c r="AW250">
        <f ca="1">IFERROR(IF(0=LEN(ReferenceData!$AW$250),"",ReferenceData!$AW$250),"")</f>
        <v>5.9324837029999999</v>
      </c>
      <c r="AX250">
        <f ca="1">IFERROR(IF(0=LEN(ReferenceData!$AX$250),"",ReferenceData!$AX$250),"")</f>
        <v>5.9197896549999998</v>
      </c>
      <c r="AY250">
        <f ca="1">IFERROR(IF(0=LEN(ReferenceData!$AY$250),"",ReferenceData!$AY$250),"")</f>
        <v>5.6557980949999997</v>
      </c>
      <c r="AZ250">
        <f ca="1">IFERROR(IF(0=LEN(ReferenceData!$AZ$250),"",ReferenceData!$AZ$250),"")</f>
        <v>8.3034942950000001</v>
      </c>
      <c r="BA250">
        <f ca="1">IFERROR(IF(0=LEN(ReferenceData!$BA$250),"",ReferenceData!$BA$250),"")</f>
        <v>8.6588118129999998</v>
      </c>
      <c r="BB250">
        <f ca="1">IFERROR(IF(0=LEN(ReferenceData!$BB$250),"",ReferenceData!$BB$250),"")</f>
        <v>5.8577666199999996</v>
      </c>
      <c r="BC250">
        <f ca="1">IFERROR(IF(0=LEN(ReferenceData!$BC$250),"",ReferenceData!$BC$250),"")</f>
        <v>5.6885283070000003</v>
      </c>
      <c r="BD250">
        <f ca="1">IFERROR(IF(0=LEN(ReferenceData!$BD$250),"",ReferenceData!$BD$250),"")</f>
        <v>3.1193538689999998</v>
      </c>
      <c r="BE250">
        <f ca="1">IFERROR(IF(0=LEN(ReferenceData!$BE$250),"",ReferenceData!$BE$250),"")</f>
        <v>1.583667709</v>
      </c>
      <c r="BF250" t="str">
        <f ca="1">IFERROR(IF(0=LEN(ReferenceData!$BF$250),"",ReferenceData!$BF$250),"")</f>
        <v/>
      </c>
      <c r="BG250" t="str">
        <f ca="1">IFERROR(IF(0=LEN(ReferenceData!$BG$250),"",ReferenceData!$BG$250),"")</f>
        <v/>
      </c>
      <c r="BH250" t="str">
        <f ca="1">IFERROR(IF(0=LEN(ReferenceData!$BH$250),"",ReferenceData!$BH$250),"")</f>
        <v/>
      </c>
      <c r="BI250" t="str">
        <f ca="1">IFERROR(IF(0=LEN(ReferenceData!$BI$250),"",ReferenceData!$BI$250),"")</f>
        <v/>
      </c>
      <c r="BJ250" t="str">
        <f ca="1">IFERROR(IF(0=LEN(ReferenceData!$BJ$250),"",ReferenceData!$BJ$250),"")</f>
        <v/>
      </c>
      <c r="BK250" t="str">
        <f ca="1">IFERROR(IF(0=LEN(ReferenceData!$BK$250),"",ReferenceData!$BK$250),"")</f>
        <v/>
      </c>
      <c r="BL250" t="str">
        <f ca="1">IFERROR(IF(0=LEN(ReferenceData!$BL$250),"",ReferenceData!$BL$250),"")</f>
        <v/>
      </c>
      <c r="BM250" t="str">
        <f ca="1">IFERROR(IF(0=LEN(ReferenceData!$BM$250),"",ReferenceData!$BM$250),"")</f>
        <v/>
      </c>
    </row>
    <row r="251" spans="1:65">
      <c r="A251" t="str">
        <f>IFERROR(IF(0=LEN(ReferenceData!$A$251),"",ReferenceData!$A$251),"")</f>
        <v xml:space="preserve">    Realty Income Corp</v>
      </c>
      <c r="B251" t="str">
        <f>IFERROR(IF(0=LEN(ReferenceData!$B$251),"",ReferenceData!$B$251),"")</f>
        <v>O US Equity</v>
      </c>
      <c r="C251" t="str">
        <f>IFERROR(IF(0=LEN(ReferenceData!$C$251),"",ReferenceData!$C$251),"")</f>
        <v>RR554</v>
      </c>
      <c r="D251" t="str">
        <f>IFERROR(IF(0=LEN(ReferenceData!$D$251),"",ReferenceData!$D$251),"")</f>
        <v>FFO_RE_ASSET</v>
      </c>
      <c r="E251" t="str">
        <f>IFERROR(IF(0=LEN(ReferenceData!$E$251),"",ReferenceData!$E$251),"")</f>
        <v>动态</v>
      </c>
      <c r="F251" t="str">
        <f ca="1">IFERROR(IF(0=LEN(ReferenceData!$F$251),"",ReferenceData!$F$251),"")</f>
        <v/>
      </c>
      <c r="G251">
        <f ca="1">IFERROR(IF(0=LEN(ReferenceData!$G$251),"",ReferenceData!$G$251),"")</f>
        <v>6.2868664279999997</v>
      </c>
      <c r="H251">
        <f ca="1">IFERROR(IF(0=LEN(ReferenceData!$H$251),"",ReferenceData!$H$251),"")</f>
        <v>6.7891683330000001</v>
      </c>
      <c r="I251">
        <f ca="1">IFERROR(IF(0=LEN(ReferenceData!$I$251),"",ReferenceData!$I$251),"")</f>
        <v>6.7076671360000004</v>
      </c>
      <c r="J251">
        <f ca="1">IFERROR(IF(0=LEN(ReferenceData!$J$251),"",ReferenceData!$J$251),"")</f>
        <v>6.5491769389999996</v>
      </c>
      <c r="K251">
        <f ca="1">IFERROR(IF(0=LEN(ReferenceData!$K$251),"",ReferenceData!$K$251),"")</f>
        <v>6.5302722700000002</v>
      </c>
      <c r="L251">
        <f ca="1">IFERROR(IF(0=LEN(ReferenceData!$L$251),"",ReferenceData!$L$251),"")</f>
        <v>6.5537318310000003</v>
      </c>
      <c r="M251">
        <f ca="1">IFERROR(IF(0=LEN(ReferenceData!$M$251),"",ReferenceData!$M$251),"")</f>
        <v>6.3945577350000002</v>
      </c>
      <c r="N251">
        <f ca="1">IFERROR(IF(0=LEN(ReferenceData!$N$251),"",ReferenceData!$N$251),"")</f>
        <v>6.4683538880000002</v>
      </c>
      <c r="O251">
        <f ca="1">IFERROR(IF(0=LEN(ReferenceData!$O$251),"",ReferenceData!$O$251),"")</f>
        <v>6.3963180370000003</v>
      </c>
      <c r="P251">
        <f ca="1">IFERROR(IF(0=LEN(ReferenceData!$P$251),"",ReferenceData!$P$251),"")</f>
        <v>6.1177710210000003</v>
      </c>
      <c r="Q251">
        <f ca="1">IFERROR(IF(0=LEN(ReferenceData!$Q$251),"",ReferenceData!$Q$251),"")</f>
        <v>5.9503863470000002</v>
      </c>
      <c r="R251">
        <f ca="1">IFERROR(IF(0=LEN(ReferenceData!$R$251),"",ReferenceData!$R$251),"")</f>
        <v>6.0529305750000004</v>
      </c>
      <c r="S251">
        <f ca="1">IFERROR(IF(0=LEN(ReferenceData!$S$251),"",ReferenceData!$S$251),"")</f>
        <v>6.0597425500000002</v>
      </c>
      <c r="T251">
        <f ca="1">IFERROR(IF(0=LEN(ReferenceData!$T$251),"",ReferenceData!$T$251),"")</f>
        <v>5.9037115670000002</v>
      </c>
      <c r="U251">
        <f ca="1">IFERROR(IF(0=LEN(ReferenceData!$U$251),"",ReferenceData!$U$251),"")</f>
        <v>5.8000183730000003</v>
      </c>
      <c r="V251">
        <f ca="1">IFERROR(IF(0=LEN(ReferenceData!$V$251),"",ReferenceData!$V$251),"")</f>
        <v>5.7792788079999999</v>
      </c>
      <c r="W251">
        <f ca="1">IFERROR(IF(0=LEN(ReferenceData!$W$251),"",ReferenceData!$W$251),"")</f>
        <v>6.6773246650000004</v>
      </c>
      <c r="X251">
        <f ca="1">IFERROR(IF(0=LEN(ReferenceData!$X$251),"",ReferenceData!$X$251),"")</f>
        <v>6.0788512519999998</v>
      </c>
      <c r="Y251">
        <f ca="1">IFERROR(IF(0=LEN(ReferenceData!$Y$251),"",ReferenceData!$Y$251),"")</f>
        <v>5.6841654479999999</v>
      </c>
      <c r="Z251">
        <f ca="1">IFERROR(IF(0=LEN(ReferenceData!$Z$251),"",ReferenceData!$Z$251),"")</f>
        <v>5.1323654850000002</v>
      </c>
      <c r="AA251">
        <f ca="1">IFERROR(IF(0=LEN(ReferenceData!$AA$251),"",ReferenceData!$AA$251),"")</f>
        <v>5.6695694320000003</v>
      </c>
      <c r="AB251">
        <f ca="1">IFERROR(IF(0=LEN(ReferenceData!$AB$251),"",ReferenceData!$AB$251),"")</f>
        <v>5.8806338199999999</v>
      </c>
      <c r="AC251">
        <f ca="1">IFERROR(IF(0=LEN(ReferenceData!$AC$251),"",ReferenceData!$AC$251),"")</f>
        <v>6.48872581</v>
      </c>
      <c r="AD251">
        <f ca="1">IFERROR(IF(0=LEN(ReferenceData!$AD$251),"",ReferenceData!$AD$251),"")</f>
        <v>6.6351825780000002</v>
      </c>
      <c r="AE251">
        <f ca="1">IFERROR(IF(0=LEN(ReferenceData!$AE$251),"",ReferenceData!$AE$251),"")</f>
        <v>6.593437099</v>
      </c>
      <c r="AF251">
        <f ca="1">IFERROR(IF(0=LEN(ReferenceData!$AF$251),"",ReferenceData!$AF$251),"")</f>
        <v>6.6260043150000003</v>
      </c>
      <c r="AG251">
        <f ca="1">IFERROR(IF(0=LEN(ReferenceData!$AG$251),"",ReferenceData!$AG$251),"")</f>
        <v>6.5196760840000003</v>
      </c>
      <c r="AH251">
        <f ca="1">IFERROR(IF(0=LEN(ReferenceData!$AH$251),"",ReferenceData!$AH$251),"")</f>
        <v>6.4541655860000002</v>
      </c>
      <c r="AI251">
        <f ca="1">IFERROR(IF(0=LEN(ReferenceData!$AI$251),"",ReferenceData!$AI$251),"")</f>
        <v>6.2283341050000001</v>
      </c>
      <c r="AJ251">
        <f ca="1">IFERROR(IF(0=LEN(ReferenceData!$AJ$251),"",ReferenceData!$AJ$251),"")</f>
        <v>6.493655038</v>
      </c>
      <c r="AK251">
        <f ca="1">IFERROR(IF(0=LEN(ReferenceData!$AK$251),"",ReferenceData!$AK$251),"")</f>
        <v>6.4711082040000001</v>
      </c>
      <c r="AL251">
        <f ca="1">IFERROR(IF(0=LEN(ReferenceData!$AL$251),"",ReferenceData!$AL$251),"")</f>
        <v>6.724319028</v>
      </c>
      <c r="AM251">
        <f ca="1">IFERROR(IF(0=LEN(ReferenceData!$AM$251),"",ReferenceData!$AM$251),"")</f>
        <v>6.7068788980000003</v>
      </c>
      <c r="AN251">
        <f ca="1">IFERROR(IF(0=LEN(ReferenceData!$AN$251),"",ReferenceData!$AN$251),"")</f>
        <v>6.6493518729999996</v>
      </c>
      <c r="AO251">
        <f ca="1">IFERROR(IF(0=LEN(ReferenceData!$AO$251),"",ReferenceData!$AO$251),"")</f>
        <v>6.5164786389999998</v>
      </c>
      <c r="AP251">
        <f ca="1">IFERROR(IF(0=LEN(ReferenceData!$AP$251),"",ReferenceData!$AP$251),"")</f>
        <v>6.4178168549999999</v>
      </c>
      <c r="AQ251">
        <f ca="1">IFERROR(IF(0=LEN(ReferenceData!$AQ$251),"",ReferenceData!$AQ$251),"")</f>
        <v>6.525173712</v>
      </c>
      <c r="AR251">
        <f ca="1">IFERROR(IF(0=LEN(ReferenceData!$AR$251),"",ReferenceData!$AR$251),"")</f>
        <v>6.6123352339999997</v>
      </c>
      <c r="AS251">
        <f ca="1">IFERROR(IF(0=LEN(ReferenceData!$AS$251),"",ReferenceData!$AS$251),"")</f>
        <v>6.9370302439999998</v>
      </c>
      <c r="AT251">
        <f ca="1">IFERROR(IF(0=LEN(ReferenceData!$AT$251),"",ReferenceData!$AT$251),"")</f>
        <v>6.9039200909999998</v>
      </c>
      <c r="AU251">
        <f ca="1">IFERROR(IF(0=LEN(ReferenceData!$AU$251),"",ReferenceData!$AU$251),"")</f>
        <v>7.1449235199999999</v>
      </c>
      <c r="AV251">
        <f ca="1">IFERROR(IF(0=LEN(ReferenceData!$AV$251),"",ReferenceData!$AV$251),"")</f>
        <v>7.8789984989999997</v>
      </c>
      <c r="AW251">
        <f ca="1">IFERROR(IF(0=LEN(ReferenceData!$AW$251),"",ReferenceData!$AW$251),"")</f>
        <v>8.1041139330000007</v>
      </c>
      <c r="AX251">
        <f ca="1">IFERROR(IF(0=LEN(ReferenceData!$AX$251),"",ReferenceData!$AX$251),"")</f>
        <v>7.6125137499999997</v>
      </c>
      <c r="AY251">
        <f ca="1">IFERROR(IF(0=LEN(ReferenceData!$AY$251),"",ReferenceData!$AY$251),"")</f>
        <v>7.2682242280000002</v>
      </c>
      <c r="AZ251">
        <f ca="1">IFERROR(IF(0=LEN(ReferenceData!$AZ$251),"",ReferenceData!$AZ$251),"")</f>
        <v>7.8379316929999998</v>
      </c>
      <c r="BA251">
        <f ca="1">IFERROR(IF(0=LEN(ReferenceData!$BA$251),"",ReferenceData!$BA$251),"")</f>
        <v>8.1715329850000007</v>
      </c>
      <c r="BB251">
        <f ca="1">IFERROR(IF(0=LEN(ReferenceData!$BB$251),"",ReferenceData!$BB$251),"")</f>
        <v>7.9957111510000001</v>
      </c>
      <c r="BC251">
        <f ca="1">IFERROR(IF(0=LEN(ReferenceData!$BC$251),"",ReferenceData!$BC$251),"")</f>
        <v>8.080826364</v>
      </c>
      <c r="BD251">
        <f ca="1">IFERROR(IF(0=LEN(ReferenceData!$BD$251),"",ReferenceData!$BD$251),"")</f>
        <v>7.773066794</v>
      </c>
      <c r="BE251">
        <f ca="1">IFERROR(IF(0=LEN(ReferenceData!$BE$251),"",ReferenceData!$BE$251),"")</f>
        <v>8.2765575210000009</v>
      </c>
      <c r="BF251">
        <f ca="1">IFERROR(IF(0=LEN(ReferenceData!$BF$251),"",ReferenceData!$BF$251),"")</f>
        <v>10.430315889999999</v>
      </c>
      <c r="BG251">
        <f ca="1">IFERROR(IF(0=LEN(ReferenceData!$BG$251),"",ReferenceData!$BG$251),"")</f>
        <v>10.921863800000001</v>
      </c>
      <c r="BH251">
        <f ca="1">IFERROR(IF(0=LEN(ReferenceData!$BH$251),"",ReferenceData!$BH$251),"")</f>
        <v>12.06150622</v>
      </c>
      <c r="BI251">
        <f ca="1">IFERROR(IF(0=LEN(ReferenceData!$BI$251),"",ReferenceData!$BI$251),"")</f>
        <v>11.997803060000001</v>
      </c>
      <c r="BJ251">
        <f ca="1">IFERROR(IF(0=LEN(ReferenceData!$BJ$251),"",ReferenceData!$BJ$251),"")</f>
        <v>9.077895775</v>
      </c>
      <c r="BK251">
        <f ca="1">IFERROR(IF(0=LEN(ReferenceData!$BK$251),"",ReferenceData!$BK$251),"")</f>
        <v>8.8212674470000003</v>
      </c>
      <c r="BL251">
        <f ca="1">IFERROR(IF(0=LEN(ReferenceData!$BL$251),"",ReferenceData!$BL$251),"")</f>
        <v>9.0275979979999992</v>
      </c>
      <c r="BM251">
        <f ca="1">IFERROR(IF(0=LEN(ReferenceData!$BM$251),"",ReferenceData!$BM$251),"")</f>
        <v>9.1556467490000006</v>
      </c>
    </row>
    <row r="252" spans="1:65">
      <c r="A252" t="str">
        <f>IFERROR(IF(0=LEN(ReferenceData!$A$252),"",ReferenceData!$A$252),"")</f>
        <v xml:space="preserve">    Regency Centers Corp</v>
      </c>
      <c r="B252" t="str">
        <f>IFERROR(IF(0=LEN(ReferenceData!$B$252),"",ReferenceData!$B$252),"")</f>
        <v>REG US Equity</v>
      </c>
      <c r="C252" t="str">
        <f>IFERROR(IF(0=LEN(ReferenceData!$C$252),"",ReferenceData!$C$252),"")</f>
        <v>RR554</v>
      </c>
      <c r="D252" t="str">
        <f>IFERROR(IF(0=LEN(ReferenceData!$D$252),"",ReferenceData!$D$252),"")</f>
        <v>FFO_RE_ASSET</v>
      </c>
      <c r="E252" t="str">
        <f>IFERROR(IF(0=LEN(ReferenceData!$E$252),"",ReferenceData!$E$252),"")</f>
        <v>动态</v>
      </c>
      <c r="F252" t="str">
        <f ca="1">IFERROR(IF(0=LEN(ReferenceData!$F$252),"",ReferenceData!$F$252),"")</f>
        <v/>
      </c>
      <c r="G252">
        <f ca="1">IFERROR(IF(0=LEN(ReferenceData!$G$252),"",ReferenceData!$G$252),"")</f>
        <v>7.0412009639999997</v>
      </c>
      <c r="H252">
        <f ca="1">IFERROR(IF(0=LEN(ReferenceData!$H$252),"",ReferenceData!$H$252),"")</f>
        <v>5.9309165400000001</v>
      </c>
      <c r="I252">
        <f ca="1">IFERROR(IF(0=LEN(ReferenceData!$I$252),"",ReferenceData!$I$252),"")</f>
        <v>4.1340954610000002</v>
      </c>
      <c r="J252">
        <f ca="1">IFERROR(IF(0=LEN(ReferenceData!$J$252),"",ReferenceData!$J$252),"")</f>
        <v>3.2480773109999999</v>
      </c>
      <c r="K252">
        <f ca="1">IFERROR(IF(0=LEN(ReferenceData!$K$252),"",ReferenceData!$K$252),"")</f>
        <v>6.9892365390000002</v>
      </c>
      <c r="L252">
        <f ca="1">IFERROR(IF(0=LEN(ReferenceData!$L$252),"",ReferenceData!$L$252),"")</f>
        <v>6.5480712030000001</v>
      </c>
      <c r="M252">
        <f ca="1">IFERROR(IF(0=LEN(ReferenceData!$M$252),"",ReferenceData!$M$252),"")</f>
        <v>7.6298727929999997</v>
      </c>
      <c r="N252">
        <f ca="1">IFERROR(IF(0=LEN(ReferenceData!$N$252),"",ReferenceData!$N$252),"")</f>
        <v>7.6571526209999998</v>
      </c>
      <c r="O252">
        <f ca="1">IFERROR(IF(0=LEN(ReferenceData!$O$252),"",ReferenceData!$O$252),"")</f>
        <v>7.2383510749999997</v>
      </c>
      <c r="P252">
        <f ca="1">IFERROR(IF(0=LEN(ReferenceData!$P$252),"",ReferenceData!$P$252),"")</f>
        <v>7.54522914</v>
      </c>
      <c r="Q252">
        <f ca="1">IFERROR(IF(0=LEN(ReferenceData!$Q$252),"",ReferenceData!$Q$252),"")</f>
        <v>7.4069066619999999</v>
      </c>
      <c r="R252">
        <f ca="1">IFERROR(IF(0=LEN(ReferenceData!$R$252),"",ReferenceData!$R$252),"")</f>
        <v>7.2470573869999999</v>
      </c>
      <c r="S252">
        <f ca="1">IFERROR(IF(0=LEN(ReferenceData!$S$252),"",ReferenceData!$S$252),"")</f>
        <v>7.2863314389999996</v>
      </c>
      <c r="T252">
        <f ca="1">IFERROR(IF(0=LEN(ReferenceData!$T$252),"",ReferenceData!$T$252),"")</f>
        <v>6.9904731379999996</v>
      </c>
      <c r="U252">
        <f ca="1">IFERROR(IF(0=LEN(ReferenceData!$U$252),"",ReferenceData!$U$252),"")</f>
        <v>6.8899968429999996</v>
      </c>
      <c r="V252">
        <f ca="1">IFERROR(IF(0=LEN(ReferenceData!$V$252),"",ReferenceData!$V$252),"")</f>
        <v>6.7917880569999998</v>
      </c>
      <c r="W252">
        <f ca="1">IFERROR(IF(0=LEN(ReferenceData!$W$252),"",ReferenceData!$W$252),"")</f>
        <v>6.7341346050000004</v>
      </c>
      <c r="X252">
        <f ca="1">IFERROR(IF(0=LEN(ReferenceData!$X$252),"",ReferenceData!$X$252),"")</f>
        <v>6.7301207569999999</v>
      </c>
      <c r="Y252">
        <f ca="1">IFERROR(IF(0=LEN(ReferenceData!$Y$252),"",ReferenceData!$Y$252),"")</f>
        <v>6.293419256</v>
      </c>
      <c r="Z252">
        <f ca="1">IFERROR(IF(0=LEN(ReferenceData!$Z$252),"",ReferenceData!$Z$252),"")</f>
        <v>6.2804356219999997</v>
      </c>
      <c r="AA252">
        <f ca="1">IFERROR(IF(0=LEN(ReferenceData!$AA$252),"",ReferenceData!$AA$252),"")</f>
        <v>6.0626740190000001</v>
      </c>
      <c r="AB252">
        <f ca="1">IFERROR(IF(0=LEN(ReferenceData!$AB$252),"",ReferenceData!$AB$252),"")</f>
        <v>5.9540180759999997</v>
      </c>
      <c r="AC252">
        <f ca="1">IFERROR(IF(0=LEN(ReferenceData!$AC$252),"",ReferenceData!$AC$252),"")</f>
        <v>5.9213220709999996</v>
      </c>
      <c r="AD252">
        <f ca="1">IFERROR(IF(0=LEN(ReferenceData!$AD$252),"",ReferenceData!$AD$252),"")</f>
        <v>5.826486944</v>
      </c>
      <c r="AE252">
        <f ca="1">IFERROR(IF(0=LEN(ReferenceData!$AE$252),"",ReferenceData!$AE$252),"")</f>
        <v>5.870183033</v>
      </c>
      <c r="AF252">
        <f ca="1">IFERROR(IF(0=LEN(ReferenceData!$AF$252),"",ReferenceData!$AF$252),"")</f>
        <v>5.3881384920000004</v>
      </c>
      <c r="AG252">
        <f ca="1">IFERROR(IF(0=LEN(ReferenceData!$AG$252),"",ReferenceData!$AG$252),"")</f>
        <v>5.3373020960000002</v>
      </c>
      <c r="AH252">
        <f ca="1">IFERROR(IF(0=LEN(ReferenceData!$AH$252),"",ReferenceData!$AH$252),"")</f>
        <v>5.2847150489999999</v>
      </c>
      <c r="AI252">
        <f ca="1">IFERROR(IF(0=LEN(ReferenceData!$AI$252),"",ReferenceData!$AI$252),"")</f>
        <v>5.1267052480000004</v>
      </c>
      <c r="AJ252">
        <f ca="1">IFERROR(IF(0=LEN(ReferenceData!$AJ$252),"",ReferenceData!$AJ$252),"")</f>
        <v>5.4379036840000001</v>
      </c>
      <c r="AK252">
        <f ca="1">IFERROR(IF(0=LEN(ReferenceData!$AK$252),"",ReferenceData!$AK$252),"")</f>
        <v>2.826074277</v>
      </c>
      <c r="AL252">
        <f ca="1">IFERROR(IF(0=LEN(ReferenceData!$AL$252),"",ReferenceData!$AL$252),"")</f>
        <v>2.0838277039999999</v>
      </c>
      <c r="AM252">
        <f ca="1">IFERROR(IF(0=LEN(ReferenceData!$AM$252),"",ReferenceData!$AM$252),"")</f>
        <v>2.2632558569999999</v>
      </c>
      <c r="AN252">
        <f ca="1">IFERROR(IF(0=LEN(ReferenceData!$AN$252),"",ReferenceData!$AN$252),"")</f>
        <v>2.012888523</v>
      </c>
      <c r="AO252">
        <f ca="1">IFERROR(IF(0=LEN(ReferenceData!$AO$252),"",ReferenceData!$AO$252),"")</f>
        <v>5.1912110660000002</v>
      </c>
      <c r="AP252">
        <f ca="1">IFERROR(IF(0=LEN(ReferenceData!$AP$252),"",ReferenceData!$AP$252),"")</f>
        <v>6.4401158330000001</v>
      </c>
      <c r="AQ252">
        <f ca="1">IFERROR(IF(0=LEN(ReferenceData!$AQ$252),"",ReferenceData!$AQ$252),"")</f>
        <v>6.7182829829999999</v>
      </c>
      <c r="AR252">
        <f ca="1">IFERROR(IF(0=LEN(ReferenceData!$AR$252),"",ReferenceData!$AR$252),"")</f>
        <v>7.4545500550000003</v>
      </c>
      <c r="AS252">
        <f ca="1">IFERROR(IF(0=LEN(ReferenceData!$AS$252),"",ReferenceData!$AS$252),"")</f>
        <v>7.0957295519999999</v>
      </c>
      <c r="AT252">
        <f ca="1">IFERROR(IF(0=LEN(ReferenceData!$AT$252),"",ReferenceData!$AT$252),"")</f>
        <v>7.2385690870000001</v>
      </c>
      <c r="AU252">
        <f ca="1">IFERROR(IF(0=LEN(ReferenceData!$AU$252),"",ReferenceData!$AU$252),"")</f>
        <v>7.9062074640000004</v>
      </c>
      <c r="AV252">
        <f ca="1">IFERROR(IF(0=LEN(ReferenceData!$AV$252),"",ReferenceData!$AV$252),"")</f>
        <v>7.8001024509999999</v>
      </c>
      <c r="AW252">
        <f ca="1">IFERROR(IF(0=LEN(ReferenceData!$AW$252),"",ReferenceData!$AW$252),"")</f>
        <v>8.0263457949999992</v>
      </c>
      <c r="AX252">
        <f ca="1">IFERROR(IF(0=LEN(ReferenceData!$AX$252),"",ReferenceData!$AX$252),"")</f>
        <v>8.3236056979999997</v>
      </c>
      <c r="AY252">
        <f ca="1">IFERROR(IF(0=LEN(ReferenceData!$AY$252),"",ReferenceData!$AY$252),"")</f>
        <v>7.7550159220000001</v>
      </c>
      <c r="AZ252">
        <f ca="1">IFERROR(IF(0=LEN(ReferenceData!$AZ$252),"",ReferenceData!$AZ$252),"")</f>
        <v>7.4357850169999997</v>
      </c>
      <c r="BA252">
        <f ca="1">IFERROR(IF(0=LEN(ReferenceData!$BA$252),"",ReferenceData!$BA$252),"")</f>
        <v>7.0665521809999996</v>
      </c>
      <c r="BB252">
        <f ca="1">IFERROR(IF(0=LEN(ReferenceData!$BB$252),"",ReferenceData!$BB$252),"")</f>
        <v>7.6525987110000004</v>
      </c>
      <c r="BC252">
        <f ca="1">IFERROR(IF(0=LEN(ReferenceData!$BC$252),"",ReferenceData!$BC$252),"")</f>
        <v>7.5037908209999999</v>
      </c>
      <c r="BD252">
        <f ca="1">IFERROR(IF(0=LEN(ReferenceData!$BD$252),"",ReferenceData!$BD$252),"")</f>
        <v>7.4388364259999999</v>
      </c>
      <c r="BE252">
        <f ca="1">IFERROR(IF(0=LEN(ReferenceData!$BE$252),"",ReferenceData!$BE$252),"")</f>
        <v>7.3499472069999996</v>
      </c>
      <c r="BF252">
        <f ca="1">IFERROR(IF(0=LEN(ReferenceData!$BF$252),"",ReferenceData!$BF$252),"")</f>
        <v>7.2569213509999999</v>
      </c>
      <c r="BG252">
        <f ca="1">IFERROR(IF(0=LEN(ReferenceData!$BG$252),"",ReferenceData!$BG$252),"")</f>
        <v>6.7264891819999999</v>
      </c>
      <c r="BH252">
        <f ca="1">IFERROR(IF(0=LEN(ReferenceData!$BH$252),"",ReferenceData!$BH$252),"")</f>
        <v>6.5511689999999998</v>
      </c>
      <c r="BI252" t="str">
        <f ca="1">IFERROR(IF(0=LEN(ReferenceData!$BI$252),"",ReferenceData!$BI$252),"")</f>
        <v/>
      </c>
      <c r="BJ252">
        <f ca="1">IFERROR(IF(0=LEN(ReferenceData!$BJ$252),"",ReferenceData!$BJ$252),"")</f>
        <v>6.3010652189999998</v>
      </c>
      <c r="BK252">
        <f ca="1">IFERROR(IF(0=LEN(ReferenceData!$BK$252),"",ReferenceData!$BK$252),"")</f>
        <v>6.2122146919999999</v>
      </c>
      <c r="BL252">
        <f ca="1">IFERROR(IF(0=LEN(ReferenceData!$BL$252),"",ReferenceData!$BL$252),"")</f>
        <v>6.0120736680000002</v>
      </c>
      <c r="BM252" t="str">
        <f ca="1">IFERROR(IF(0=LEN(ReferenceData!$BM$252),"",ReferenceData!$BM$252),"")</f>
        <v/>
      </c>
    </row>
    <row r="253" spans="1:65">
      <c r="A253" t="str">
        <f>IFERROR(IF(0=LEN(ReferenceData!$A$253),"",ReferenceData!$A$253),"")</f>
        <v xml:space="preserve">    Retail Opportunity Investments</v>
      </c>
      <c r="B253" t="str">
        <f>IFERROR(IF(0=LEN(ReferenceData!$B$253),"",ReferenceData!$B$253),"")</f>
        <v>ROIC US Equity</v>
      </c>
      <c r="C253" t="str">
        <f>IFERROR(IF(0=LEN(ReferenceData!$C$253),"",ReferenceData!$C$253),"")</f>
        <v>RR554</v>
      </c>
      <c r="D253" t="str">
        <f>IFERROR(IF(0=LEN(ReferenceData!$D$253),"",ReferenceData!$D$253),"")</f>
        <v>FFO_RE_ASSET</v>
      </c>
      <c r="E253" t="str">
        <f>IFERROR(IF(0=LEN(ReferenceData!$E$253),"",ReferenceData!$E$253),"")</f>
        <v>动态</v>
      </c>
      <c r="F253" t="str">
        <f ca="1">IFERROR(IF(0=LEN(ReferenceData!$F$253),"",ReferenceData!$F$253),"")</f>
        <v/>
      </c>
      <c r="G253">
        <f ca="1">IFERROR(IF(0=LEN(ReferenceData!$G$253),"",ReferenceData!$G$253),"")</f>
        <v>5.2007016669999997</v>
      </c>
      <c r="H253">
        <f ca="1">IFERROR(IF(0=LEN(ReferenceData!$H$253),"",ReferenceData!$H$253),"")</f>
        <v>5.2861708470000002</v>
      </c>
      <c r="I253">
        <f ca="1">IFERROR(IF(0=LEN(ReferenceData!$I$253),"",ReferenceData!$I$253),"")</f>
        <v>5.20518941</v>
      </c>
      <c r="J253">
        <f ca="1">IFERROR(IF(0=LEN(ReferenceData!$J$253),"",ReferenceData!$J$253),"")</f>
        <v>5.3841015280000004</v>
      </c>
      <c r="K253">
        <f ca="1">IFERROR(IF(0=LEN(ReferenceData!$K$253),"",ReferenceData!$K$253),"")</f>
        <v>5.3600034189999999</v>
      </c>
      <c r="L253">
        <f ca="1">IFERROR(IF(0=LEN(ReferenceData!$L$253),"",ReferenceData!$L$253),"")</f>
        <v>5.4129710070000003</v>
      </c>
      <c r="M253">
        <f ca="1">IFERROR(IF(0=LEN(ReferenceData!$M$253),"",ReferenceData!$M$253),"")</f>
        <v>5.3191029890000001</v>
      </c>
      <c r="N253">
        <f ca="1">IFERROR(IF(0=LEN(ReferenceData!$N$253),"",ReferenceData!$N$253),"")</f>
        <v>5.1680973440000004</v>
      </c>
      <c r="O253">
        <f ca="1">IFERROR(IF(0=LEN(ReferenceData!$O$253),"",ReferenceData!$O$253),"")</f>
        <v>4.9765921930000001</v>
      </c>
      <c r="P253">
        <f ca="1">IFERROR(IF(0=LEN(ReferenceData!$P$253),"",ReferenceData!$P$253),"")</f>
        <v>5.1307194149999997</v>
      </c>
      <c r="Q253">
        <f ca="1">IFERROR(IF(0=LEN(ReferenceData!$Q$253),"",ReferenceData!$Q$253),"")</f>
        <v>4.9798389270000003</v>
      </c>
      <c r="R253">
        <f ca="1">IFERROR(IF(0=LEN(ReferenceData!$R$253),"",ReferenceData!$R$253),"")</f>
        <v>5.039895595</v>
      </c>
      <c r="S253">
        <f ca="1">IFERROR(IF(0=LEN(ReferenceData!$S$253),"",ReferenceData!$S$253),"")</f>
        <v>4.9445424060000001</v>
      </c>
      <c r="T253">
        <f ca="1">IFERROR(IF(0=LEN(ReferenceData!$T$253),"",ReferenceData!$T$253),"")</f>
        <v>5.0155622339999999</v>
      </c>
      <c r="U253">
        <f ca="1">IFERROR(IF(0=LEN(ReferenceData!$U$253),"",ReferenceData!$U$253),"")</f>
        <v>6.4391892000000004</v>
      </c>
      <c r="V253">
        <f ca="1">IFERROR(IF(0=LEN(ReferenceData!$V$253),"",ReferenceData!$V$253),"")</f>
        <v>7.1033818709999998</v>
      </c>
      <c r="W253">
        <f ca="1">IFERROR(IF(0=LEN(ReferenceData!$W$253),"",ReferenceData!$W$253),"")</f>
        <v>6.9724922180000002</v>
      </c>
      <c r="X253">
        <f ca="1">IFERROR(IF(0=LEN(ReferenceData!$X$253),"",ReferenceData!$X$253),"")</f>
        <v>7.0384137500000001</v>
      </c>
      <c r="Y253">
        <f ca="1">IFERROR(IF(0=LEN(ReferenceData!$Y$253),"",ReferenceData!$Y$253),"")</f>
        <v>4.9690394009999999</v>
      </c>
      <c r="Z253">
        <f ca="1">IFERROR(IF(0=LEN(ReferenceData!$Z$253),"",ReferenceData!$Z$253),"")</f>
        <v>5.4708064179999996</v>
      </c>
      <c r="AA253">
        <f ca="1">IFERROR(IF(0=LEN(ReferenceData!$AA$253),"",ReferenceData!$AA$253),"")</f>
        <v>5.3354583079999998</v>
      </c>
      <c r="AB253">
        <f ca="1">IFERROR(IF(0=LEN(ReferenceData!$AB$253),"",ReferenceData!$AB$253),"")</f>
        <v>5.8186115879999996</v>
      </c>
      <c r="AC253">
        <f ca="1">IFERROR(IF(0=LEN(ReferenceData!$AC$253),"",ReferenceData!$AC$253),"")</f>
        <v>6.4973012289999996</v>
      </c>
      <c r="AD253">
        <f ca="1">IFERROR(IF(0=LEN(ReferenceData!$AD$253),"",ReferenceData!$AD$253),"")</f>
        <v>5.6516598619999998</v>
      </c>
      <c r="AE253">
        <f ca="1">IFERROR(IF(0=LEN(ReferenceData!$AE$253),"",ReferenceData!$AE$253),"")</f>
        <v>6.9793978839999999</v>
      </c>
      <c r="AF253">
        <f ca="1">IFERROR(IF(0=LEN(ReferenceData!$AF$253),"",ReferenceData!$AF$253),"")</f>
        <v>7.7055290029999997</v>
      </c>
      <c r="AG253">
        <f ca="1">IFERROR(IF(0=LEN(ReferenceData!$AG$253),"",ReferenceData!$AG$253),"")</f>
        <v>8.5094444019999997</v>
      </c>
      <c r="AH253">
        <f ca="1">IFERROR(IF(0=LEN(ReferenceData!$AH$253),"",ReferenceData!$AH$253),"")</f>
        <v>7.1060185359999997</v>
      </c>
      <c r="AI253" t="str">
        <f ca="1">IFERROR(IF(0=LEN(ReferenceData!$AI$253),"",ReferenceData!$AI$253),"")</f>
        <v/>
      </c>
      <c r="AJ253" t="str">
        <f ca="1">IFERROR(IF(0=LEN(ReferenceData!$AJ$253),"",ReferenceData!$AJ$253),"")</f>
        <v/>
      </c>
      <c r="AK253" t="str">
        <f ca="1">IFERROR(IF(0=LEN(ReferenceData!$AK$253),"",ReferenceData!$AK$253),"")</f>
        <v/>
      </c>
      <c r="AL253" t="str">
        <f ca="1">IFERROR(IF(0=LEN(ReferenceData!$AL$253),"",ReferenceData!$AL$253),"")</f>
        <v/>
      </c>
      <c r="AM253" t="str">
        <f ca="1">IFERROR(IF(0=LEN(ReferenceData!$AM$253),"",ReferenceData!$AM$253),"")</f>
        <v/>
      </c>
      <c r="AN253" t="str">
        <f ca="1">IFERROR(IF(0=LEN(ReferenceData!$AN$253),"",ReferenceData!$AN$253),"")</f>
        <v/>
      </c>
      <c r="AO253" t="str">
        <f ca="1">IFERROR(IF(0=LEN(ReferenceData!$AO$253),"",ReferenceData!$AO$253),"")</f>
        <v/>
      </c>
      <c r="AP253" t="str">
        <f ca="1">IFERROR(IF(0=LEN(ReferenceData!$AP$253),"",ReferenceData!$AP$253),"")</f>
        <v/>
      </c>
      <c r="AQ253" t="str">
        <f ca="1">IFERROR(IF(0=LEN(ReferenceData!$AQ$253),"",ReferenceData!$AQ$253),"")</f>
        <v/>
      </c>
      <c r="AR253" t="str">
        <f ca="1">IFERROR(IF(0=LEN(ReferenceData!$AR$253),"",ReferenceData!$AR$253),"")</f>
        <v/>
      </c>
      <c r="AS253" t="str">
        <f ca="1">IFERROR(IF(0=LEN(ReferenceData!$AS$253),"",ReferenceData!$AS$253),"")</f>
        <v/>
      </c>
      <c r="AT253" t="str">
        <f ca="1">IFERROR(IF(0=LEN(ReferenceData!$AT$253),"",ReferenceData!$AT$253),"")</f>
        <v/>
      </c>
      <c r="AU253" t="str">
        <f ca="1">IFERROR(IF(0=LEN(ReferenceData!$AU$253),"",ReferenceData!$AU$253),"")</f>
        <v/>
      </c>
      <c r="AV253" t="str">
        <f ca="1">IFERROR(IF(0=LEN(ReferenceData!$AV$253),"",ReferenceData!$AV$253),"")</f>
        <v/>
      </c>
      <c r="AW253" t="str">
        <f ca="1">IFERROR(IF(0=LEN(ReferenceData!$AW$253),"",ReferenceData!$AW$253),"")</f>
        <v/>
      </c>
      <c r="AX253" t="str">
        <f ca="1">IFERROR(IF(0=LEN(ReferenceData!$AX$253),"",ReferenceData!$AX$253),"")</f>
        <v/>
      </c>
      <c r="AY253" t="str">
        <f ca="1">IFERROR(IF(0=LEN(ReferenceData!$AY$253),"",ReferenceData!$AY$253),"")</f>
        <v/>
      </c>
      <c r="AZ253" t="str">
        <f ca="1">IFERROR(IF(0=LEN(ReferenceData!$AZ$253),"",ReferenceData!$AZ$253),"")</f>
        <v/>
      </c>
      <c r="BA253" t="str">
        <f ca="1">IFERROR(IF(0=LEN(ReferenceData!$BA$253),"",ReferenceData!$BA$253),"")</f>
        <v/>
      </c>
      <c r="BB253" t="str">
        <f ca="1">IFERROR(IF(0=LEN(ReferenceData!$BB$253),"",ReferenceData!$BB$253),"")</f>
        <v/>
      </c>
      <c r="BC253" t="str">
        <f ca="1">IFERROR(IF(0=LEN(ReferenceData!$BC$253),"",ReferenceData!$BC$253),"")</f>
        <v/>
      </c>
      <c r="BD253" t="str">
        <f ca="1">IFERROR(IF(0=LEN(ReferenceData!$BD$253),"",ReferenceData!$BD$253),"")</f>
        <v/>
      </c>
      <c r="BE253" t="str">
        <f ca="1">IFERROR(IF(0=LEN(ReferenceData!$BE$253),"",ReferenceData!$BE$253),"")</f>
        <v/>
      </c>
      <c r="BF253" t="str">
        <f ca="1">IFERROR(IF(0=LEN(ReferenceData!$BF$253),"",ReferenceData!$BF$253),"")</f>
        <v/>
      </c>
      <c r="BG253" t="str">
        <f ca="1">IFERROR(IF(0=LEN(ReferenceData!$BG$253),"",ReferenceData!$BG$253),"")</f>
        <v/>
      </c>
      <c r="BH253" t="str">
        <f ca="1">IFERROR(IF(0=LEN(ReferenceData!$BH$253),"",ReferenceData!$BH$253),"")</f>
        <v/>
      </c>
      <c r="BI253" t="str">
        <f ca="1">IFERROR(IF(0=LEN(ReferenceData!$BI$253),"",ReferenceData!$BI$253),"")</f>
        <v/>
      </c>
      <c r="BJ253" t="str">
        <f ca="1">IFERROR(IF(0=LEN(ReferenceData!$BJ$253),"",ReferenceData!$BJ$253),"")</f>
        <v/>
      </c>
      <c r="BK253" t="str">
        <f ca="1">IFERROR(IF(0=LEN(ReferenceData!$BK$253),"",ReferenceData!$BK$253),"")</f>
        <v/>
      </c>
      <c r="BL253" t="str">
        <f ca="1">IFERROR(IF(0=LEN(ReferenceData!$BL$253),"",ReferenceData!$BL$253),"")</f>
        <v/>
      </c>
      <c r="BM253" t="str">
        <f ca="1">IFERROR(IF(0=LEN(ReferenceData!$BM$253),"",ReferenceData!$BM$253),"")</f>
        <v/>
      </c>
    </row>
    <row r="254" spans="1:65">
      <c r="A254" t="str">
        <f>IFERROR(IF(0=LEN(ReferenceData!$A$254),"",ReferenceData!$A$254),"")</f>
        <v xml:space="preserve">    Retail Properties of America I</v>
      </c>
      <c r="B254" t="str">
        <f>IFERROR(IF(0=LEN(ReferenceData!$B$254),"",ReferenceData!$B$254),"")</f>
        <v>RPAI US Equity</v>
      </c>
      <c r="C254" t="str">
        <f>IFERROR(IF(0=LEN(ReferenceData!$C$254),"",ReferenceData!$C$254),"")</f>
        <v>RR554</v>
      </c>
      <c r="D254" t="str">
        <f>IFERROR(IF(0=LEN(ReferenceData!$D$254),"",ReferenceData!$D$254),"")</f>
        <v>FFO_RE_ASSET</v>
      </c>
      <c r="E254" t="str">
        <f>IFERROR(IF(0=LEN(ReferenceData!$E$254),"",ReferenceData!$E$254),"")</f>
        <v>动态</v>
      </c>
      <c r="F254" t="str">
        <f ca="1">IFERROR(IF(0=LEN(ReferenceData!$F$254),"",ReferenceData!$F$254),"")</f>
        <v/>
      </c>
      <c r="G254">
        <f ca="1">IFERROR(IF(0=LEN(ReferenceData!$G$254),"",ReferenceData!$G$254),"")</f>
        <v>4.405982625</v>
      </c>
      <c r="H254">
        <f ca="1">IFERROR(IF(0=LEN(ReferenceData!$H$254),"",ReferenceData!$H$254),"")</f>
        <v>4.3743587719999999</v>
      </c>
      <c r="I254">
        <f ca="1">IFERROR(IF(0=LEN(ReferenceData!$I$254),"",ReferenceData!$I$254),"")</f>
        <v>4.3699071580000002</v>
      </c>
      <c r="J254">
        <f ca="1">IFERROR(IF(0=LEN(ReferenceData!$J$254),"",ReferenceData!$J$254),"")</f>
        <v>4.6127749519999997</v>
      </c>
      <c r="K254">
        <f ca="1">IFERROR(IF(0=LEN(ReferenceData!$K$254),"",ReferenceData!$K$254),"")</f>
        <v>6.4267164509999999</v>
      </c>
      <c r="L254">
        <f ca="1">IFERROR(IF(0=LEN(ReferenceData!$L$254),"",ReferenceData!$L$254),"")</f>
        <v>6.4777600069999997</v>
      </c>
      <c r="M254">
        <f ca="1">IFERROR(IF(0=LEN(ReferenceData!$M$254),"",ReferenceData!$M$254),"")</f>
        <v>5.9544110809999999</v>
      </c>
      <c r="N254">
        <f ca="1">IFERROR(IF(0=LEN(ReferenceData!$N$254),"",ReferenceData!$N$254),"")</f>
        <v>5.5231580170000001</v>
      </c>
      <c r="O254">
        <f ca="1">IFERROR(IF(0=LEN(ReferenceData!$O$254),"",ReferenceData!$O$254),"")</f>
        <v>5.2985217579999997</v>
      </c>
      <c r="P254">
        <f ca="1">IFERROR(IF(0=LEN(ReferenceData!$P$254),"",ReferenceData!$P$254),"")</f>
        <v>5.1831746360000004</v>
      </c>
      <c r="Q254">
        <f ca="1">IFERROR(IF(0=LEN(ReferenceData!$Q$254),"",ReferenceData!$Q$254),"")</f>
        <v>5.2414234540000004</v>
      </c>
      <c r="R254">
        <f ca="1">IFERROR(IF(0=LEN(ReferenceData!$R$254),"",ReferenceData!$R$254),"")</f>
        <v>5.52395367</v>
      </c>
      <c r="S254">
        <f ca="1">IFERROR(IF(0=LEN(ReferenceData!$S$254),"",ReferenceData!$S$254),"")</f>
        <v>5.7809551079999997</v>
      </c>
      <c r="T254">
        <f ca="1">IFERROR(IF(0=LEN(ReferenceData!$T$254),"",ReferenceData!$T$254),"")</f>
        <v>5.8981784209999999</v>
      </c>
      <c r="U254">
        <f ca="1">IFERROR(IF(0=LEN(ReferenceData!$U$254),"",ReferenceData!$U$254),"")</f>
        <v>5.6996016039999997</v>
      </c>
      <c r="V254">
        <f ca="1">IFERROR(IF(0=LEN(ReferenceData!$V$254),"",ReferenceData!$V$254),"")</f>
        <v>6.3007356459999997</v>
      </c>
      <c r="W254">
        <f ca="1">IFERROR(IF(0=LEN(ReferenceData!$W$254),"",ReferenceData!$W$254),"")</f>
        <v>5.7646037789999998</v>
      </c>
      <c r="X254">
        <f ca="1">IFERROR(IF(0=LEN(ReferenceData!$X$254),"",ReferenceData!$X$254),"")</f>
        <v>5.3577379790000004</v>
      </c>
      <c r="Y254">
        <f ca="1">IFERROR(IF(0=LEN(ReferenceData!$Y$254),"",ReferenceData!$Y$254),"")</f>
        <v>5.0529266000000002</v>
      </c>
      <c r="Z254">
        <f ca="1">IFERROR(IF(0=LEN(ReferenceData!$Z$254),"",ReferenceData!$Z$254),"")</f>
        <v>4.6277961779999996</v>
      </c>
      <c r="AA254">
        <f ca="1">IFERROR(IF(0=LEN(ReferenceData!$AA$254),"",ReferenceData!$AA$254),"")</f>
        <v>4.6713960129999998</v>
      </c>
      <c r="AB254">
        <f ca="1">IFERROR(IF(0=LEN(ReferenceData!$AB$254),"",ReferenceData!$AB$254),"")</f>
        <v>4.3313575420000001</v>
      </c>
      <c r="AC254">
        <f ca="1">IFERROR(IF(0=LEN(ReferenceData!$AC$254),"",ReferenceData!$AC$254),"")</f>
        <v>3.969997249</v>
      </c>
      <c r="AD254">
        <f ca="1">IFERROR(IF(0=LEN(ReferenceData!$AD$254),"",ReferenceData!$AD$254),"")</f>
        <v>3.5256721839999998</v>
      </c>
      <c r="AE254">
        <f ca="1">IFERROR(IF(0=LEN(ReferenceData!$AE$254),"",ReferenceData!$AE$254),"")</f>
        <v>3.5275152699999999</v>
      </c>
      <c r="AF254">
        <f ca="1">IFERROR(IF(0=LEN(ReferenceData!$AF$254),"",ReferenceData!$AF$254),"")</f>
        <v>3.3053090119999999</v>
      </c>
      <c r="AG254" t="str">
        <f ca="1">IFERROR(IF(0=LEN(ReferenceData!$AG$254),"",ReferenceData!$AG$254),"")</f>
        <v/>
      </c>
      <c r="AH254" t="str">
        <f ca="1">IFERROR(IF(0=LEN(ReferenceData!$AH$254),"",ReferenceData!$AH$254),"")</f>
        <v/>
      </c>
      <c r="AI254" t="str">
        <f ca="1">IFERROR(IF(0=LEN(ReferenceData!$AI$254),"",ReferenceData!$AI$254),"")</f>
        <v/>
      </c>
      <c r="AJ254" t="str">
        <f ca="1">IFERROR(IF(0=LEN(ReferenceData!$AJ$254),"",ReferenceData!$AJ$254),"")</f>
        <v/>
      </c>
      <c r="AK254" t="str">
        <f ca="1">IFERROR(IF(0=LEN(ReferenceData!$AK$254),"",ReferenceData!$AK$254),"")</f>
        <v/>
      </c>
      <c r="AL254" t="str">
        <f ca="1">IFERROR(IF(0=LEN(ReferenceData!$AL$254),"",ReferenceData!$AL$254),"")</f>
        <v/>
      </c>
      <c r="AM254" t="str">
        <f ca="1">IFERROR(IF(0=LEN(ReferenceData!$AM$254),"",ReferenceData!$AM$254),"")</f>
        <v/>
      </c>
      <c r="AN254" t="str">
        <f ca="1">IFERROR(IF(0=LEN(ReferenceData!$AN$254),"",ReferenceData!$AN$254),"")</f>
        <v/>
      </c>
      <c r="AO254" t="str">
        <f ca="1">IFERROR(IF(0=LEN(ReferenceData!$AO$254),"",ReferenceData!$AO$254),"")</f>
        <v/>
      </c>
      <c r="AP254" t="str">
        <f ca="1">IFERROR(IF(0=LEN(ReferenceData!$AP$254),"",ReferenceData!$AP$254),"")</f>
        <v/>
      </c>
      <c r="AQ254" t="str">
        <f ca="1">IFERROR(IF(0=LEN(ReferenceData!$AQ$254),"",ReferenceData!$AQ$254),"")</f>
        <v/>
      </c>
      <c r="AR254" t="str">
        <f ca="1">IFERROR(IF(0=LEN(ReferenceData!$AR$254),"",ReferenceData!$AR$254),"")</f>
        <v/>
      </c>
      <c r="AS254" t="str">
        <f ca="1">IFERROR(IF(0=LEN(ReferenceData!$AS$254),"",ReferenceData!$AS$254),"")</f>
        <v/>
      </c>
      <c r="AT254" t="str">
        <f ca="1">IFERROR(IF(0=LEN(ReferenceData!$AT$254),"",ReferenceData!$AT$254),"")</f>
        <v/>
      </c>
      <c r="AU254" t="str">
        <f ca="1">IFERROR(IF(0=LEN(ReferenceData!$AU$254),"",ReferenceData!$AU$254),"")</f>
        <v/>
      </c>
      <c r="AV254" t="str">
        <f ca="1">IFERROR(IF(0=LEN(ReferenceData!$AV$254),"",ReferenceData!$AV$254),"")</f>
        <v/>
      </c>
      <c r="AW254" t="str">
        <f ca="1">IFERROR(IF(0=LEN(ReferenceData!$AW$254),"",ReferenceData!$AW$254),"")</f>
        <v/>
      </c>
      <c r="AX254" t="str">
        <f ca="1">IFERROR(IF(0=LEN(ReferenceData!$AX$254),"",ReferenceData!$AX$254),"")</f>
        <v/>
      </c>
      <c r="AY254" t="str">
        <f ca="1">IFERROR(IF(0=LEN(ReferenceData!$AY$254),"",ReferenceData!$AY$254),"")</f>
        <v/>
      </c>
      <c r="AZ254" t="str">
        <f ca="1">IFERROR(IF(0=LEN(ReferenceData!$AZ$254),"",ReferenceData!$AZ$254),"")</f>
        <v/>
      </c>
      <c r="BA254" t="str">
        <f ca="1">IFERROR(IF(0=LEN(ReferenceData!$BA$254),"",ReferenceData!$BA$254),"")</f>
        <v/>
      </c>
      <c r="BB254" t="str">
        <f ca="1">IFERROR(IF(0=LEN(ReferenceData!$BB$254),"",ReferenceData!$BB$254),"")</f>
        <v/>
      </c>
      <c r="BC254" t="str">
        <f ca="1">IFERROR(IF(0=LEN(ReferenceData!$BC$254),"",ReferenceData!$BC$254),"")</f>
        <v/>
      </c>
      <c r="BD254" t="str">
        <f ca="1">IFERROR(IF(0=LEN(ReferenceData!$BD$254),"",ReferenceData!$BD$254),"")</f>
        <v/>
      </c>
      <c r="BE254" t="str">
        <f ca="1">IFERROR(IF(0=LEN(ReferenceData!$BE$254),"",ReferenceData!$BE$254),"")</f>
        <v/>
      </c>
      <c r="BF254" t="str">
        <f ca="1">IFERROR(IF(0=LEN(ReferenceData!$BF$254),"",ReferenceData!$BF$254),"")</f>
        <v/>
      </c>
      <c r="BG254" t="str">
        <f ca="1">IFERROR(IF(0=LEN(ReferenceData!$BG$254),"",ReferenceData!$BG$254),"")</f>
        <v/>
      </c>
      <c r="BH254" t="str">
        <f ca="1">IFERROR(IF(0=LEN(ReferenceData!$BH$254),"",ReferenceData!$BH$254),"")</f>
        <v/>
      </c>
      <c r="BI254" t="str">
        <f ca="1">IFERROR(IF(0=LEN(ReferenceData!$BI$254),"",ReferenceData!$BI$254),"")</f>
        <v/>
      </c>
      <c r="BJ254" t="str">
        <f ca="1">IFERROR(IF(0=LEN(ReferenceData!$BJ$254),"",ReferenceData!$BJ$254),"")</f>
        <v/>
      </c>
      <c r="BK254" t="str">
        <f ca="1">IFERROR(IF(0=LEN(ReferenceData!$BK$254),"",ReferenceData!$BK$254),"")</f>
        <v/>
      </c>
      <c r="BL254" t="str">
        <f ca="1">IFERROR(IF(0=LEN(ReferenceData!$BL$254),"",ReferenceData!$BL$254),"")</f>
        <v/>
      </c>
      <c r="BM254" t="str">
        <f ca="1">IFERROR(IF(0=LEN(ReferenceData!$BM$254),"",ReferenceData!$BM$254),"")</f>
        <v/>
      </c>
    </row>
    <row r="255" spans="1:65">
      <c r="A255" t="str">
        <f>IFERROR(IF(0=LEN(ReferenceData!$A$255),"",ReferenceData!$A$255),"")</f>
        <v xml:space="preserve">    Simon Property Group Inc</v>
      </c>
      <c r="B255" t="str">
        <f>IFERROR(IF(0=LEN(ReferenceData!$B$255),"",ReferenceData!$B$255),"")</f>
        <v>SPG US Equity</v>
      </c>
      <c r="C255" t="str">
        <f>IFERROR(IF(0=LEN(ReferenceData!$C$255),"",ReferenceData!$C$255),"")</f>
        <v>RR554</v>
      </c>
      <c r="D255" t="str">
        <f>IFERROR(IF(0=LEN(ReferenceData!$D$255),"",ReferenceData!$D$255),"")</f>
        <v>FFO_RE_ASSET</v>
      </c>
      <c r="E255" t="str">
        <f>IFERROR(IF(0=LEN(ReferenceData!$E$255),"",ReferenceData!$E$255),"")</f>
        <v>动态</v>
      </c>
      <c r="F255" t="str">
        <f ca="1">IFERROR(IF(0=LEN(ReferenceData!$F$255),"",ReferenceData!$F$255),"")</f>
        <v/>
      </c>
      <c r="G255">
        <f ca="1">IFERROR(IF(0=LEN(ReferenceData!$G$255),"",ReferenceData!$G$255),"")</f>
        <v>14.06164656</v>
      </c>
      <c r="H255">
        <f ca="1">IFERROR(IF(0=LEN(ReferenceData!$H$255),"",ReferenceData!$H$255),"")</f>
        <v>13.30894073</v>
      </c>
      <c r="I255">
        <f ca="1">IFERROR(IF(0=LEN(ReferenceData!$I$255),"",ReferenceData!$I$255),"")</f>
        <v>13.179879590000001</v>
      </c>
      <c r="J255">
        <f ca="1">IFERROR(IF(0=LEN(ReferenceData!$J$255),"",ReferenceData!$J$255),"")</f>
        <v>13.42997038</v>
      </c>
      <c r="K255">
        <f ca="1">IFERROR(IF(0=LEN(ReferenceData!$K$255),"",ReferenceData!$K$255),"")</f>
        <v>13.426853599999999</v>
      </c>
      <c r="L255">
        <f ca="1">IFERROR(IF(0=LEN(ReferenceData!$L$255),"",ReferenceData!$L$255),"")</f>
        <v>13.219008580000001</v>
      </c>
      <c r="M255">
        <f ca="1">IFERROR(IF(0=LEN(ReferenceData!$M$255),"",ReferenceData!$M$255),"")</f>
        <v>13.13011126</v>
      </c>
      <c r="N255">
        <f ca="1">IFERROR(IF(0=LEN(ReferenceData!$N$255),"",ReferenceData!$N$255),"")</f>
        <v>13.277301700000001</v>
      </c>
      <c r="O255">
        <f ca="1">IFERROR(IF(0=LEN(ReferenceData!$O$255),"",ReferenceData!$O$255),"")</f>
        <v>13.10407747</v>
      </c>
      <c r="P255">
        <f ca="1">IFERROR(IF(0=LEN(ReferenceData!$P$255),"",ReferenceData!$P$255),"")</f>
        <v>13.22948338</v>
      </c>
      <c r="Q255">
        <f ca="1">IFERROR(IF(0=LEN(ReferenceData!$Q$255),"",ReferenceData!$Q$255),"")</f>
        <v>12.36248374</v>
      </c>
      <c r="R255">
        <f ca="1">IFERROR(IF(0=LEN(ReferenceData!$R$255),"",ReferenceData!$R$255),"")</f>
        <v>11.287329099999999</v>
      </c>
      <c r="S255">
        <f ca="1">IFERROR(IF(0=LEN(ReferenceData!$S$255),"",ReferenceData!$S$255),"")</f>
        <v>11.546485349999999</v>
      </c>
      <c r="T255">
        <f ca="1">IFERROR(IF(0=LEN(ReferenceData!$T$255),"",ReferenceData!$T$255),"")</f>
        <v>11.642192140000001</v>
      </c>
      <c r="U255">
        <f ca="1">IFERROR(IF(0=LEN(ReferenceData!$U$255),"",ReferenceData!$U$255),"")</f>
        <v>11.981870450000001</v>
      </c>
      <c r="V255">
        <f ca="1">IFERROR(IF(0=LEN(ReferenceData!$V$255),"",ReferenceData!$V$255),"")</f>
        <v>11.33734452</v>
      </c>
      <c r="W255">
        <f ca="1">IFERROR(IF(0=LEN(ReferenceData!$W$255),"",ReferenceData!$W$255),"")</f>
        <v>10.90066816</v>
      </c>
      <c r="X255">
        <f ca="1">IFERROR(IF(0=LEN(ReferenceData!$X$255),"",ReferenceData!$X$255),"")</f>
        <v>10.794399889999999</v>
      </c>
      <c r="Y255">
        <f ca="1">IFERROR(IF(0=LEN(ReferenceData!$Y$255),"",ReferenceData!$Y$255),"")</f>
        <v>10.51285373</v>
      </c>
      <c r="Z255">
        <f ca="1">IFERROR(IF(0=LEN(ReferenceData!$Z$255),"",ReferenceData!$Z$255),"")</f>
        <v>10.198627309999999</v>
      </c>
      <c r="AA255">
        <f ca="1">IFERROR(IF(0=LEN(ReferenceData!$AA$255),"",ReferenceData!$AA$255),"")</f>
        <v>10.967583230000001</v>
      </c>
      <c r="AB255">
        <f ca="1">IFERROR(IF(0=LEN(ReferenceData!$AB$255),"",ReferenceData!$AB$255),"")</f>
        <v>10.5532576</v>
      </c>
      <c r="AC255">
        <f ca="1">IFERROR(IF(0=LEN(ReferenceData!$AC$255),"",ReferenceData!$AC$255),"")</f>
        <v>10.37123783</v>
      </c>
      <c r="AD255">
        <f ca="1">IFERROR(IF(0=LEN(ReferenceData!$AD$255),"",ReferenceData!$AD$255),"")</f>
        <v>9.8692101910000005</v>
      </c>
      <c r="AE255">
        <f ca="1">IFERROR(IF(0=LEN(ReferenceData!$AE$255),"",ReferenceData!$AE$255),"")</f>
        <v>10.80616377</v>
      </c>
      <c r="AF255">
        <f ca="1">IFERROR(IF(0=LEN(ReferenceData!$AF$255),"",ReferenceData!$AF$255),"")</f>
        <v>10.704572389999999</v>
      </c>
      <c r="AG255">
        <f ca="1">IFERROR(IF(0=LEN(ReferenceData!$AG$255),"",ReferenceData!$AG$255),"")</f>
        <v>10.129945060000001</v>
      </c>
      <c r="AH255">
        <f ca="1">IFERROR(IF(0=LEN(ReferenceData!$AH$255),"",ReferenceData!$AH$255),"")</f>
        <v>9.6007720770000002</v>
      </c>
      <c r="AI255">
        <f ca="1">IFERROR(IF(0=LEN(ReferenceData!$AI$255),"",ReferenceData!$AI$255),"")</f>
        <v>8.3382539920000003</v>
      </c>
      <c r="AJ255">
        <f ca="1">IFERROR(IF(0=LEN(ReferenceData!$AJ$255),"",ReferenceData!$AJ$255),"")</f>
        <v>7.5667200079999999</v>
      </c>
      <c r="AK255">
        <f ca="1">IFERROR(IF(0=LEN(ReferenceData!$AK$255),"",ReferenceData!$AK$255),"")</f>
        <v>8.6455731260000004</v>
      </c>
      <c r="AL255">
        <f ca="1">IFERROR(IF(0=LEN(ReferenceData!$AL$255),"",ReferenceData!$AL$255),"")</f>
        <v>7.7672015510000003</v>
      </c>
      <c r="AM255">
        <f ca="1">IFERROR(IF(0=LEN(ReferenceData!$AM$255),"",ReferenceData!$AM$255),"")</f>
        <v>8.397471479</v>
      </c>
      <c r="AN255">
        <f ca="1">IFERROR(IF(0=LEN(ReferenceData!$AN$255),"",ReferenceData!$AN$255),"")</f>
        <v>8.5888715419999997</v>
      </c>
      <c r="AO255">
        <f ca="1">IFERROR(IF(0=LEN(ReferenceData!$AO$255),"",ReferenceData!$AO$255),"")</f>
        <v>8.4770414380000005</v>
      </c>
      <c r="AP255">
        <f ca="1">IFERROR(IF(0=LEN(ReferenceData!$AP$255),"",ReferenceData!$AP$255),"")</f>
        <v>8.9867306560000006</v>
      </c>
      <c r="AQ255">
        <f ca="1">IFERROR(IF(0=LEN(ReferenceData!$AQ$255),"",ReferenceData!$AQ$255),"")</f>
        <v>8.6671255089999999</v>
      </c>
      <c r="AR255">
        <f ca="1">IFERROR(IF(0=LEN(ReferenceData!$AR$255),"",ReferenceData!$AR$255),"")</f>
        <v>8.4529026460000001</v>
      </c>
      <c r="AS255">
        <f ca="1">IFERROR(IF(0=LEN(ReferenceData!$AS$255),"",ReferenceData!$AS$255),"")</f>
        <v>8.3460087590000001</v>
      </c>
      <c r="AT255">
        <f ca="1">IFERROR(IF(0=LEN(ReferenceData!$AT$255),"",ReferenceData!$AT$255),"")</f>
        <v>7.9150248449999996</v>
      </c>
      <c r="AU255">
        <f ca="1">IFERROR(IF(0=LEN(ReferenceData!$AU$255),"",ReferenceData!$AU$255),"")</f>
        <v>8.1888124720000004</v>
      </c>
      <c r="AV255">
        <f ca="1">IFERROR(IF(0=LEN(ReferenceData!$AV$255),"",ReferenceData!$AV$255),"")</f>
        <v>7.9470203179999999</v>
      </c>
      <c r="AW255">
        <f ca="1">IFERROR(IF(0=LEN(ReferenceData!$AW$255),"",ReferenceData!$AW$255),"")</f>
        <v>7.848105865</v>
      </c>
      <c r="AX255">
        <f ca="1">IFERROR(IF(0=LEN(ReferenceData!$AX$255),"",ReferenceData!$AX$255),"")</f>
        <v>7.5947231100000003</v>
      </c>
      <c r="AY255">
        <f ca="1">IFERROR(IF(0=LEN(ReferenceData!$AY$255),"",ReferenceData!$AY$255),"")</f>
        <v>7.8264672329999998</v>
      </c>
      <c r="AZ255">
        <f ca="1">IFERROR(IF(0=LEN(ReferenceData!$AZ$255),"",ReferenceData!$AZ$255),"")</f>
        <v>7.7352481649999998</v>
      </c>
      <c r="BA255">
        <f ca="1">IFERROR(IF(0=LEN(ReferenceData!$BA$255),"",ReferenceData!$BA$255),"")</f>
        <v>7.5269696020000003</v>
      </c>
      <c r="BB255">
        <f ca="1">IFERROR(IF(0=LEN(ReferenceData!$BB$255),"",ReferenceData!$BB$255),"")</f>
        <v>7.3356598130000004</v>
      </c>
      <c r="BC255">
        <f ca="1">IFERROR(IF(0=LEN(ReferenceData!$BC$255),"",ReferenceData!$BC$255),"")</f>
        <v>7.144207948</v>
      </c>
      <c r="BD255">
        <f ca="1">IFERROR(IF(0=LEN(ReferenceData!$BD$255),"",ReferenceData!$BD$255),"")</f>
        <v>8.0072963739999992</v>
      </c>
      <c r="BE255">
        <f ca="1">IFERROR(IF(0=LEN(ReferenceData!$BE$255),"",ReferenceData!$BE$255),"")</f>
        <v>7.757786501</v>
      </c>
      <c r="BF255">
        <f ca="1">IFERROR(IF(0=LEN(ReferenceData!$BF$255),"",ReferenceData!$BF$255),"")</f>
        <v>7.0608542449999998</v>
      </c>
      <c r="BG255">
        <f ca="1">IFERROR(IF(0=LEN(ReferenceData!$BG$255),"",ReferenceData!$BG$255),"")</f>
        <v>6.2050327699999999</v>
      </c>
      <c r="BH255">
        <f ca="1">IFERROR(IF(0=LEN(ReferenceData!$BH$255),"",ReferenceData!$BH$255),"")</f>
        <v>8.2909204560000003</v>
      </c>
      <c r="BI255">
        <f ca="1">IFERROR(IF(0=LEN(ReferenceData!$BI$255),"",ReferenceData!$BI$255),"")</f>
        <v>7.6661469169999998</v>
      </c>
      <c r="BJ255">
        <f ca="1">IFERROR(IF(0=LEN(ReferenceData!$BJ$255),"",ReferenceData!$BJ$255),"")</f>
        <v>7.6118777980000001</v>
      </c>
      <c r="BK255">
        <f ca="1">IFERROR(IF(0=LEN(ReferenceData!$BK$255),"",ReferenceData!$BK$255),"")</f>
        <v>7.4377526109999996</v>
      </c>
      <c r="BL255">
        <f ca="1">IFERROR(IF(0=LEN(ReferenceData!$BL$255),"",ReferenceData!$BL$255),"")</f>
        <v>7.1365647870000002</v>
      </c>
      <c r="BM255">
        <f ca="1">IFERROR(IF(0=LEN(ReferenceData!$BM$255),"",ReferenceData!$BM$255),"")</f>
        <v>9.2616929809999995</v>
      </c>
    </row>
    <row r="256" spans="1:65">
      <c r="A256" t="str">
        <f>IFERROR(IF(0=LEN(ReferenceData!$A$256),"",ReferenceData!$A$256),"")</f>
        <v xml:space="preserve">    Tanger Factory Outlet Centers</v>
      </c>
      <c r="B256" t="str">
        <f>IFERROR(IF(0=LEN(ReferenceData!$B$256),"",ReferenceData!$B$256),"")</f>
        <v>SKT US Equity</v>
      </c>
      <c r="C256" t="str">
        <f>IFERROR(IF(0=LEN(ReferenceData!$C$256),"",ReferenceData!$C$256),"")</f>
        <v>RR554</v>
      </c>
      <c r="D256" t="str">
        <f>IFERROR(IF(0=LEN(ReferenceData!$D$256),"",ReferenceData!$D$256),"")</f>
        <v>FFO_RE_ASSET</v>
      </c>
      <c r="E256" t="str">
        <f>IFERROR(IF(0=LEN(ReferenceData!$E$256),"",ReferenceData!$E$256),"")</f>
        <v>动态</v>
      </c>
      <c r="F256" t="str">
        <f ca="1">IFERROR(IF(0=LEN(ReferenceData!$F$256),"",ReferenceData!$F$256),"")</f>
        <v/>
      </c>
      <c r="G256">
        <f ca="1">IFERROR(IF(0=LEN(ReferenceData!$G$256),"",ReferenceData!$G$256),"")</f>
        <v>9.2129593990000007</v>
      </c>
      <c r="H256">
        <f ca="1">IFERROR(IF(0=LEN(ReferenceData!$H$256),"",ReferenceData!$H$256),"")</f>
        <v>8.9203805319999994</v>
      </c>
      <c r="I256">
        <f ca="1">IFERROR(IF(0=LEN(ReferenceData!$I$256),"",ReferenceData!$I$256),"")</f>
        <v>10.854320019999999</v>
      </c>
      <c r="J256">
        <f ca="1">IFERROR(IF(0=LEN(ReferenceData!$J$256),"",ReferenceData!$J$256),"")</f>
        <v>11.262690640000001</v>
      </c>
      <c r="K256">
        <f ca="1">IFERROR(IF(0=LEN(ReferenceData!$K$256),"",ReferenceData!$K$256),"")</f>
        <v>11.15846447</v>
      </c>
      <c r="L256">
        <f ca="1">IFERROR(IF(0=LEN(ReferenceData!$L$256),"",ReferenceData!$L$256),"")</f>
        <v>11.07706404</v>
      </c>
      <c r="M256">
        <f ca="1">IFERROR(IF(0=LEN(ReferenceData!$M$256),"",ReferenceData!$M$256),"")</f>
        <v>11.359847179999999</v>
      </c>
      <c r="N256">
        <f ca="1">IFERROR(IF(0=LEN(ReferenceData!$N$256),"",ReferenceData!$N$256),"")</f>
        <v>11.761819989999999</v>
      </c>
      <c r="O256">
        <f ca="1">IFERROR(IF(0=LEN(ReferenceData!$O$256),"",ReferenceData!$O$256),"")</f>
        <v>11.626634449999999</v>
      </c>
      <c r="P256">
        <f ca="1">IFERROR(IF(0=LEN(ReferenceData!$P$256),"",ReferenceData!$P$256),"")</f>
        <v>10.55240607</v>
      </c>
      <c r="Q256">
        <f ca="1">IFERROR(IF(0=LEN(ReferenceData!$Q$256),"",ReferenceData!$Q$256),"")</f>
        <v>10.34740362</v>
      </c>
      <c r="R256">
        <f ca="1">IFERROR(IF(0=LEN(ReferenceData!$R$256),"",ReferenceData!$R$256),"")</f>
        <v>10.220752770000001</v>
      </c>
      <c r="S256">
        <f ca="1">IFERROR(IF(0=LEN(ReferenceData!$S$256),"",ReferenceData!$S$256),"")</f>
        <v>10.02410589</v>
      </c>
      <c r="T256">
        <f ca="1">IFERROR(IF(0=LEN(ReferenceData!$T$256),"",ReferenceData!$T$256),"")</f>
        <v>10.624003119999999</v>
      </c>
      <c r="U256">
        <f ca="1">IFERROR(IF(0=LEN(ReferenceData!$U$256),"",ReferenceData!$U$256),"")</f>
        <v>11.85086819</v>
      </c>
      <c r="V256">
        <f ca="1">IFERROR(IF(0=LEN(ReferenceData!$V$256),"",ReferenceData!$V$256),"")</f>
        <v>11.915791560000001</v>
      </c>
      <c r="W256">
        <f ca="1">IFERROR(IF(0=LEN(ReferenceData!$W$256),"",ReferenceData!$W$256),"")</f>
        <v>11.90301522</v>
      </c>
      <c r="X256">
        <f ca="1">IFERROR(IF(0=LEN(ReferenceData!$X$256),"",ReferenceData!$X$256),"")</f>
        <v>11.532149609999999</v>
      </c>
      <c r="Y256">
        <f ca="1">IFERROR(IF(0=LEN(ReferenceData!$Y$256),"",ReferenceData!$Y$256),"")</f>
        <v>11.440393029999999</v>
      </c>
      <c r="Z256">
        <f ca="1">IFERROR(IF(0=LEN(ReferenceData!$Z$256),"",ReferenceData!$Z$256),"")</f>
        <v>11.334007339999999</v>
      </c>
      <c r="AA256">
        <f ca="1">IFERROR(IF(0=LEN(ReferenceData!$AA$256),"",ReferenceData!$AA$256),"")</f>
        <v>11.007243519999999</v>
      </c>
      <c r="AB256">
        <f ca="1">IFERROR(IF(0=LEN(ReferenceData!$AB$256),"",ReferenceData!$AB$256),"")</f>
        <v>10.97088123</v>
      </c>
      <c r="AC256">
        <f ca="1">IFERROR(IF(0=LEN(ReferenceData!$AC$256),"",ReferenceData!$AC$256),"")</f>
        <v>11.3857853</v>
      </c>
      <c r="AD256">
        <f ca="1">IFERROR(IF(0=LEN(ReferenceData!$AD$256),"",ReferenceData!$AD$256),"")</f>
        <v>11.23399815</v>
      </c>
      <c r="AE256">
        <f ca="1">IFERROR(IF(0=LEN(ReferenceData!$AE$256),"",ReferenceData!$AE$256),"")</f>
        <v>10.8082096</v>
      </c>
      <c r="AF256">
        <f ca="1">IFERROR(IF(0=LEN(ReferenceData!$AF$256),"",ReferenceData!$AF$256),"")</f>
        <v>10.03704651</v>
      </c>
      <c r="AG256">
        <f ca="1">IFERROR(IF(0=LEN(ReferenceData!$AG$256),"",ReferenceData!$AG$256),"")</f>
        <v>10.266172510000001</v>
      </c>
      <c r="AH256">
        <f ca="1">IFERROR(IF(0=LEN(ReferenceData!$AH$256),"",ReferenceData!$AH$256),"")</f>
        <v>10.136216040000001</v>
      </c>
      <c r="AI256">
        <f ca="1">IFERROR(IF(0=LEN(ReferenceData!$AI$256),"",ReferenceData!$AI$256),"")</f>
        <v>10.04514511</v>
      </c>
      <c r="AJ256">
        <f ca="1">IFERROR(IF(0=LEN(ReferenceData!$AJ$256),"",ReferenceData!$AJ$256),"")</f>
        <v>10.35614681</v>
      </c>
      <c r="AK256">
        <f ca="1">IFERROR(IF(0=LEN(ReferenceData!$AK$256),"",ReferenceData!$AK$256),"")</f>
        <v>9.7240336850000002</v>
      </c>
      <c r="AL256">
        <f ca="1">IFERROR(IF(0=LEN(ReferenceData!$AL$256),"",ReferenceData!$AL$256),"")</f>
        <v>10.64322106</v>
      </c>
      <c r="AM256">
        <f ca="1">IFERROR(IF(0=LEN(ReferenceData!$AM$256),"",ReferenceData!$AM$256),"")</f>
        <v>10.579090430000001</v>
      </c>
      <c r="AN256">
        <f ca="1">IFERROR(IF(0=LEN(ReferenceData!$AN$256),"",ReferenceData!$AN$256),"")</f>
        <v>10.00944524</v>
      </c>
      <c r="AO256">
        <f ca="1">IFERROR(IF(0=LEN(ReferenceData!$AO$256),"",ReferenceData!$AO$256),"")</f>
        <v>10.20025034</v>
      </c>
      <c r="AP256">
        <f ca="1">IFERROR(IF(0=LEN(ReferenceData!$AP$256),"",ReferenceData!$AP$256),"")</f>
        <v>8.5695289290000005</v>
      </c>
      <c r="AQ256">
        <f ca="1">IFERROR(IF(0=LEN(ReferenceData!$AQ$256),"",ReferenceData!$AQ$256),"")</f>
        <v>8.6549158189999993</v>
      </c>
      <c r="AR256">
        <f ca="1">IFERROR(IF(0=LEN(ReferenceData!$AR$256),"",ReferenceData!$AR$256),"")</f>
        <v>8.7279713139999995</v>
      </c>
      <c r="AS256">
        <f ca="1">IFERROR(IF(0=LEN(ReferenceData!$AS$256),"",ReferenceData!$AS$256),"")</f>
        <v>8.6840468830000006</v>
      </c>
      <c r="AT256">
        <f ca="1">IFERROR(IF(0=LEN(ReferenceData!$AT$256),"",ReferenceData!$AT$256),"")</f>
        <v>9.679163977</v>
      </c>
      <c r="AU256">
        <f ca="1">IFERROR(IF(0=LEN(ReferenceData!$AU$256),"",ReferenceData!$AU$256),"")</f>
        <v>9.6563839429999998</v>
      </c>
      <c r="AV256">
        <f ca="1">IFERROR(IF(0=LEN(ReferenceData!$AV$256),"",ReferenceData!$AV$256),"")</f>
        <v>9.6265973539999994</v>
      </c>
      <c r="AW256">
        <f ca="1">IFERROR(IF(0=LEN(ReferenceData!$AW$256),"",ReferenceData!$AW$256),"")</f>
        <v>9.2756877919999994</v>
      </c>
      <c r="AX256">
        <f ca="1">IFERROR(IF(0=LEN(ReferenceData!$AX$256),"",ReferenceData!$AX$256),"")</f>
        <v>9.1745487099999998</v>
      </c>
      <c r="AY256">
        <f ca="1">IFERROR(IF(0=LEN(ReferenceData!$AY$256),"",ReferenceData!$AY$256),"")</f>
        <v>8.9126237190000008</v>
      </c>
      <c r="AZ256">
        <f ca="1">IFERROR(IF(0=LEN(ReferenceData!$AZ$256),"",ReferenceData!$AZ$256),"")</f>
        <v>8.2188696750000005</v>
      </c>
      <c r="BA256">
        <f ca="1">IFERROR(IF(0=LEN(ReferenceData!$BA$256),"",ReferenceData!$BA$256),"")</f>
        <v>7.7192298350000002</v>
      </c>
      <c r="BB256">
        <f ca="1">IFERROR(IF(0=LEN(ReferenceData!$BB$256),"",ReferenceData!$BB$256),"")</f>
        <v>7.3374605600000002</v>
      </c>
      <c r="BC256">
        <f ca="1">IFERROR(IF(0=LEN(ReferenceData!$BC$256),"",ReferenceData!$BC$256),"")</f>
        <v>6.7828258430000004</v>
      </c>
      <c r="BD256">
        <f ca="1">IFERROR(IF(0=LEN(ReferenceData!$BD$256),"",ReferenceData!$BD$256),"")</f>
        <v>7.7265354210000003</v>
      </c>
      <c r="BE256">
        <f ca="1">IFERROR(IF(0=LEN(ReferenceData!$BE$256),"",ReferenceData!$BE$256),"")</f>
        <v>7.4578745670000002</v>
      </c>
      <c r="BF256">
        <f ca="1">IFERROR(IF(0=LEN(ReferenceData!$BF$256),"",ReferenceData!$BF$256),"")</f>
        <v>7.3868802369999997</v>
      </c>
      <c r="BG256">
        <f ca="1">IFERROR(IF(0=LEN(ReferenceData!$BG$256),"",ReferenceData!$BG$256),"")</f>
        <v>7.2213444029999998</v>
      </c>
      <c r="BH256">
        <f ca="1">IFERROR(IF(0=LEN(ReferenceData!$BH$256),"",ReferenceData!$BH$256),"")</f>
        <v>9.1376421879999992</v>
      </c>
      <c r="BI256">
        <f ca="1">IFERROR(IF(0=LEN(ReferenceData!$BI$256),"",ReferenceData!$BI$256),"")</f>
        <v>8.3862490800000007</v>
      </c>
      <c r="BJ256">
        <f ca="1">IFERROR(IF(0=LEN(ReferenceData!$BJ$256),"",ReferenceData!$BJ$256),"")</f>
        <v>7.5916224809999999</v>
      </c>
      <c r="BK256">
        <f ca="1">IFERROR(IF(0=LEN(ReferenceData!$BK$256),"",ReferenceData!$BK$256),"")</f>
        <v>7.0520331589999996</v>
      </c>
      <c r="BL256">
        <f ca="1">IFERROR(IF(0=LEN(ReferenceData!$BL$256),"",ReferenceData!$BL$256),"")</f>
        <v>10.294902069999999</v>
      </c>
      <c r="BM256">
        <f ca="1">IFERROR(IF(0=LEN(ReferenceData!$BM$256),"",ReferenceData!$BM$256),"")</f>
        <v>10.25822455</v>
      </c>
    </row>
    <row r="257" spans="1:65">
      <c r="A257" t="str">
        <f>IFERROR(IF(0=LEN(ReferenceData!$A$257),"",ReferenceData!$A$257),"")</f>
        <v xml:space="preserve">    VEREIT Inc</v>
      </c>
      <c r="B257" t="str">
        <f>IFERROR(IF(0=LEN(ReferenceData!$B$257),"",ReferenceData!$B$257),"")</f>
        <v>VER US Equity</v>
      </c>
      <c r="C257" t="str">
        <f>IFERROR(IF(0=LEN(ReferenceData!$C$257),"",ReferenceData!$C$257),"")</f>
        <v>RR554</v>
      </c>
      <c r="D257" t="str">
        <f>IFERROR(IF(0=LEN(ReferenceData!$D$257),"",ReferenceData!$D$257),"")</f>
        <v>FFO_RE_ASSET</v>
      </c>
      <c r="E257" t="str">
        <f>IFERROR(IF(0=LEN(ReferenceData!$E$257),"",ReferenceData!$E$257),"")</f>
        <v>动态</v>
      </c>
      <c r="F257" t="str">
        <f ca="1">IFERROR(IF(0=LEN(ReferenceData!$F$257),"",ReferenceData!$F$257),"")</f>
        <v/>
      </c>
      <c r="G257">
        <f ca="1">IFERROR(IF(0=LEN(ReferenceData!$G$257),"",ReferenceData!$G$257),"")</f>
        <v>5.0031252869999996</v>
      </c>
      <c r="H257">
        <f ca="1">IFERROR(IF(0=LEN(ReferenceData!$H$257),"",ReferenceData!$H$257),"")</f>
        <v>4.3278892859999996</v>
      </c>
      <c r="I257">
        <f ca="1">IFERROR(IF(0=LEN(ReferenceData!$I$257),"",ReferenceData!$I$257),"")</f>
        <v>4.2715371559999999</v>
      </c>
      <c r="J257">
        <f ca="1">IFERROR(IF(0=LEN(ReferenceData!$J$257),"",ReferenceData!$J$257),"")</f>
        <v>4.244476841</v>
      </c>
      <c r="K257">
        <f ca="1">IFERROR(IF(0=LEN(ReferenceData!$K$257),"",ReferenceData!$K$257),"")</f>
        <v>4.3126041849999996</v>
      </c>
      <c r="L257">
        <f ca="1">IFERROR(IF(0=LEN(ReferenceData!$L$257),"",ReferenceData!$L$257),"")</f>
        <v>3.8361539869999999</v>
      </c>
      <c r="M257">
        <f ca="1">IFERROR(IF(0=LEN(ReferenceData!$M$257),"",ReferenceData!$M$257),"")</f>
        <v>3.795324913</v>
      </c>
      <c r="N257">
        <f ca="1">IFERROR(IF(0=LEN(ReferenceData!$N$257),"",ReferenceData!$N$257),"")</f>
        <v>3.7268712750000001</v>
      </c>
      <c r="O257">
        <f ca="1">IFERROR(IF(0=LEN(ReferenceData!$O$257),"",ReferenceData!$O$257),"")</f>
        <v>3.5986047160000001</v>
      </c>
      <c r="P257">
        <f ca="1">IFERROR(IF(0=LEN(ReferenceData!$P$257),"",ReferenceData!$P$257),"")</f>
        <v>3.1223865050000001</v>
      </c>
      <c r="Q257">
        <f ca="1">IFERROR(IF(0=LEN(ReferenceData!$Q$257),"",ReferenceData!$Q$257),"")</f>
        <v>3.1029586230000001</v>
      </c>
      <c r="R257">
        <f ca="1">IFERROR(IF(0=LEN(ReferenceData!$R$257),"",ReferenceData!$R$257),"")</f>
        <v>2.87923763</v>
      </c>
      <c r="S257">
        <f ca="1">IFERROR(IF(0=LEN(ReferenceData!$S$257),"",ReferenceData!$S$257),"")</f>
        <v>1.2090208149999999</v>
      </c>
      <c r="T257">
        <f ca="1">IFERROR(IF(0=LEN(ReferenceData!$T$257),"",ReferenceData!$T$257),"")</f>
        <v>0.85659141000000005</v>
      </c>
      <c r="U257">
        <f ca="1">IFERROR(IF(0=LEN(ReferenceData!$U$257),"",ReferenceData!$U$257),"")</f>
        <v>-1.2810103370000001</v>
      </c>
      <c r="V257">
        <f ca="1">IFERROR(IF(0=LEN(ReferenceData!$V$257),"",ReferenceData!$V$257),"")</f>
        <v>-2.8944504869999998</v>
      </c>
      <c r="W257">
        <f ca="1">IFERROR(IF(0=LEN(ReferenceData!$W$257),"",ReferenceData!$W$257),"")</f>
        <v>-5.3730541330000001</v>
      </c>
      <c r="X257">
        <f ca="1">IFERROR(IF(0=LEN(ReferenceData!$X$257),"",ReferenceData!$X$257),"")</f>
        <v>-8.8091210029999996</v>
      </c>
      <c r="Y257">
        <f ca="1">IFERROR(IF(0=LEN(ReferenceData!$Y$257),"",ReferenceData!$Y$257),"")</f>
        <v>-7.4111882480000002</v>
      </c>
      <c r="Z257">
        <f ca="1">IFERROR(IF(0=LEN(ReferenceData!$Z$257),"",ReferenceData!$Z$257),"")</f>
        <v>-12.19683199</v>
      </c>
      <c r="AA257">
        <f ca="1">IFERROR(IF(0=LEN(ReferenceData!$AA$257),"",ReferenceData!$AA$257),"")</f>
        <v>1.0683253E-2</v>
      </c>
      <c r="AB257">
        <f ca="1">IFERROR(IF(0=LEN(ReferenceData!$AB$257),"",ReferenceData!$AB$257),"")</f>
        <v>0.309701697</v>
      </c>
      <c r="AC257" t="str">
        <f ca="1">IFERROR(IF(0=LEN(ReferenceData!$AC$257),"",ReferenceData!$AC$257),"")</f>
        <v/>
      </c>
      <c r="AD257" t="str">
        <f ca="1">IFERROR(IF(0=LEN(ReferenceData!$AD$257),"",ReferenceData!$AD$257),"")</f>
        <v/>
      </c>
      <c r="AE257" t="str">
        <f ca="1">IFERROR(IF(0=LEN(ReferenceData!$AE$257),"",ReferenceData!$AE$257),"")</f>
        <v/>
      </c>
      <c r="AF257" t="str">
        <f ca="1">IFERROR(IF(0=LEN(ReferenceData!$AF$257),"",ReferenceData!$AF$257),"")</f>
        <v/>
      </c>
      <c r="AG257" t="str">
        <f ca="1">IFERROR(IF(0=LEN(ReferenceData!$AG$257),"",ReferenceData!$AG$257),"")</f>
        <v/>
      </c>
      <c r="AH257" t="str">
        <f ca="1">IFERROR(IF(0=LEN(ReferenceData!$AH$257),"",ReferenceData!$AH$257),"")</f>
        <v/>
      </c>
      <c r="AI257" t="str">
        <f ca="1">IFERROR(IF(0=LEN(ReferenceData!$AI$257),"",ReferenceData!$AI$257),"")</f>
        <v/>
      </c>
      <c r="AJ257" t="str">
        <f ca="1">IFERROR(IF(0=LEN(ReferenceData!$AJ$257),"",ReferenceData!$AJ$257),"")</f>
        <v/>
      </c>
      <c r="AK257" t="str">
        <f ca="1">IFERROR(IF(0=LEN(ReferenceData!$AK$257),"",ReferenceData!$AK$257),"")</f>
        <v/>
      </c>
      <c r="AL257" t="str">
        <f ca="1">IFERROR(IF(0=LEN(ReferenceData!$AL$257),"",ReferenceData!$AL$257),"")</f>
        <v/>
      </c>
      <c r="AM257" t="str">
        <f ca="1">IFERROR(IF(0=LEN(ReferenceData!$AM$257),"",ReferenceData!$AM$257),"")</f>
        <v/>
      </c>
      <c r="AN257" t="str">
        <f ca="1">IFERROR(IF(0=LEN(ReferenceData!$AN$257),"",ReferenceData!$AN$257),"")</f>
        <v/>
      </c>
      <c r="AO257" t="str">
        <f ca="1">IFERROR(IF(0=LEN(ReferenceData!$AO$257),"",ReferenceData!$AO$257),"")</f>
        <v/>
      </c>
      <c r="AP257" t="str">
        <f ca="1">IFERROR(IF(0=LEN(ReferenceData!$AP$257),"",ReferenceData!$AP$257),"")</f>
        <v/>
      </c>
      <c r="AQ257" t="str">
        <f ca="1">IFERROR(IF(0=LEN(ReferenceData!$AQ$257),"",ReferenceData!$AQ$257),"")</f>
        <v/>
      </c>
      <c r="AR257" t="str">
        <f ca="1">IFERROR(IF(0=LEN(ReferenceData!$AR$257),"",ReferenceData!$AR$257),"")</f>
        <v/>
      </c>
      <c r="AS257" t="str">
        <f ca="1">IFERROR(IF(0=LEN(ReferenceData!$AS$257),"",ReferenceData!$AS$257),"")</f>
        <v/>
      </c>
      <c r="AT257" t="str">
        <f ca="1">IFERROR(IF(0=LEN(ReferenceData!$AT$257),"",ReferenceData!$AT$257),"")</f>
        <v/>
      </c>
      <c r="AU257" t="str">
        <f ca="1">IFERROR(IF(0=LEN(ReferenceData!$AU$257),"",ReferenceData!$AU$257),"")</f>
        <v/>
      </c>
      <c r="AV257" t="str">
        <f ca="1">IFERROR(IF(0=LEN(ReferenceData!$AV$257),"",ReferenceData!$AV$257),"")</f>
        <v/>
      </c>
      <c r="AW257" t="str">
        <f ca="1">IFERROR(IF(0=LEN(ReferenceData!$AW$257),"",ReferenceData!$AW$257),"")</f>
        <v/>
      </c>
      <c r="AX257" t="str">
        <f ca="1">IFERROR(IF(0=LEN(ReferenceData!$AX$257),"",ReferenceData!$AX$257),"")</f>
        <v/>
      </c>
      <c r="AY257" t="str">
        <f ca="1">IFERROR(IF(0=LEN(ReferenceData!$AY$257),"",ReferenceData!$AY$257),"")</f>
        <v/>
      </c>
      <c r="AZ257" t="str">
        <f ca="1">IFERROR(IF(0=LEN(ReferenceData!$AZ$257),"",ReferenceData!$AZ$257),"")</f>
        <v/>
      </c>
      <c r="BA257" t="str">
        <f ca="1">IFERROR(IF(0=LEN(ReferenceData!$BA$257),"",ReferenceData!$BA$257),"")</f>
        <v/>
      </c>
      <c r="BB257" t="str">
        <f ca="1">IFERROR(IF(0=LEN(ReferenceData!$BB$257),"",ReferenceData!$BB$257),"")</f>
        <v/>
      </c>
      <c r="BC257" t="str">
        <f ca="1">IFERROR(IF(0=LEN(ReferenceData!$BC$257),"",ReferenceData!$BC$257),"")</f>
        <v/>
      </c>
      <c r="BD257" t="str">
        <f ca="1">IFERROR(IF(0=LEN(ReferenceData!$BD$257),"",ReferenceData!$BD$257),"")</f>
        <v/>
      </c>
      <c r="BE257" t="str">
        <f ca="1">IFERROR(IF(0=LEN(ReferenceData!$BE$257),"",ReferenceData!$BE$257),"")</f>
        <v/>
      </c>
      <c r="BF257" t="str">
        <f ca="1">IFERROR(IF(0=LEN(ReferenceData!$BF$257),"",ReferenceData!$BF$257),"")</f>
        <v/>
      </c>
      <c r="BG257" t="str">
        <f ca="1">IFERROR(IF(0=LEN(ReferenceData!$BG$257),"",ReferenceData!$BG$257),"")</f>
        <v/>
      </c>
      <c r="BH257" t="str">
        <f ca="1">IFERROR(IF(0=LEN(ReferenceData!$BH$257),"",ReferenceData!$BH$257),"")</f>
        <v/>
      </c>
      <c r="BI257" t="str">
        <f ca="1">IFERROR(IF(0=LEN(ReferenceData!$BI$257),"",ReferenceData!$BI$257),"")</f>
        <v/>
      </c>
      <c r="BJ257" t="str">
        <f ca="1">IFERROR(IF(0=LEN(ReferenceData!$BJ$257),"",ReferenceData!$BJ$257),"")</f>
        <v/>
      </c>
      <c r="BK257" t="str">
        <f ca="1">IFERROR(IF(0=LEN(ReferenceData!$BK$257),"",ReferenceData!$BK$257),"")</f>
        <v/>
      </c>
      <c r="BL257" t="str">
        <f ca="1">IFERROR(IF(0=LEN(ReferenceData!$BL$257),"",ReferenceData!$BL$257),"")</f>
        <v/>
      </c>
      <c r="BM257" t="str">
        <f ca="1">IFERROR(IF(0=LEN(ReferenceData!$BM$257),"",ReferenceData!$BM$257),"")</f>
        <v/>
      </c>
    </row>
    <row r="258" spans="1:65">
      <c r="A258" t="str">
        <f>IFERROR(IF(0=LEN(ReferenceData!$A$258),"",ReferenceData!$A$258),"")</f>
        <v xml:space="preserve">    Washington Prime Group Inc</v>
      </c>
      <c r="B258" t="str">
        <f>IFERROR(IF(0=LEN(ReferenceData!$B$258),"",ReferenceData!$B$258),"")</f>
        <v>WPG US Equity</v>
      </c>
      <c r="C258" t="str">
        <f>IFERROR(IF(0=LEN(ReferenceData!$C$258),"",ReferenceData!$C$258),"")</f>
        <v>RR554</v>
      </c>
      <c r="D258" t="str">
        <f>IFERROR(IF(0=LEN(ReferenceData!$D$258),"",ReferenceData!$D$258),"")</f>
        <v>FFO_RE_ASSET</v>
      </c>
      <c r="E258" t="str">
        <f>IFERROR(IF(0=LEN(ReferenceData!$E$258),"",ReferenceData!$E$258),"")</f>
        <v>动态</v>
      </c>
      <c r="F258" t="str">
        <f ca="1">IFERROR(IF(0=LEN(ReferenceData!$F$258),"",ReferenceData!$F$258),"")</f>
        <v/>
      </c>
      <c r="G258">
        <f ca="1">IFERROR(IF(0=LEN(ReferenceData!$G$258),"",ReferenceData!$G$258),"")</f>
        <v>10.042684619999999</v>
      </c>
      <c r="H258">
        <f ca="1">IFERROR(IF(0=LEN(ReferenceData!$H$258),"",ReferenceData!$H$258),"")</f>
        <v>8.5167914119999999</v>
      </c>
      <c r="I258">
        <f ca="1">IFERROR(IF(0=LEN(ReferenceData!$I$258),"",ReferenceData!$I$258),"")</f>
        <v>8.8139939589999994</v>
      </c>
      <c r="J258">
        <f ca="1">IFERROR(IF(0=LEN(ReferenceData!$J$258),"",ReferenceData!$J$258),"")</f>
        <v>8.1440698210000004</v>
      </c>
      <c r="K258">
        <f ca="1">IFERROR(IF(0=LEN(ReferenceData!$K$258),"",ReferenceData!$K$258),"")</f>
        <v>8.0093877469999999</v>
      </c>
      <c r="L258">
        <f ca="1">IFERROR(IF(0=LEN(ReferenceData!$L$258),"",ReferenceData!$L$258),"")</f>
        <v>7.7333953949999996</v>
      </c>
      <c r="M258">
        <f ca="1">IFERROR(IF(0=LEN(ReferenceData!$M$258),"",ReferenceData!$M$258),"")</f>
        <v>7.6496292319999997</v>
      </c>
      <c r="N258">
        <f ca="1">IFERROR(IF(0=LEN(ReferenceData!$N$258),"",ReferenceData!$N$258),"")</f>
        <v>6.750423659</v>
      </c>
      <c r="O258">
        <f ca="1">IFERROR(IF(0=LEN(ReferenceData!$O$258),"",ReferenceData!$O$258),"")</f>
        <v>8.8888125939999991</v>
      </c>
      <c r="P258">
        <f ca="1">IFERROR(IF(0=LEN(ReferenceData!$P$258),"",ReferenceData!$P$258),"")</f>
        <v>8.3032813310000009</v>
      </c>
      <c r="Q258">
        <f ca="1">IFERROR(IF(0=LEN(ReferenceData!$Q$258),"",ReferenceData!$Q$258),"")</f>
        <v>8.1308722699999993</v>
      </c>
      <c r="R258">
        <f ca="1">IFERROR(IF(0=LEN(ReferenceData!$R$258),"",ReferenceData!$R$258),"")</f>
        <v>6.2914857150000003</v>
      </c>
      <c r="S258" t="str">
        <f ca="1">IFERROR(IF(0=LEN(ReferenceData!$S$258),"",ReferenceData!$S$258),"")</f>
        <v/>
      </c>
      <c r="T258" t="str">
        <f ca="1">IFERROR(IF(0=LEN(ReferenceData!$T$258),"",ReferenceData!$T$258),"")</f>
        <v/>
      </c>
      <c r="U258" t="str">
        <f ca="1">IFERROR(IF(0=LEN(ReferenceData!$U$258),"",ReferenceData!$U$258),"")</f>
        <v/>
      </c>
      <c r="V258" t="str">
        <f ca="1">IFERROR(IF(0=LEN(ReferenceData!$V$258),"",ReferenceData!$V$258),"")</f>
        <v/>
      </c>
      <c r="W258" t="str">
        <f ca="1">IFERROR(IF(0=LEN(ReferenceData!$W$258),"",ReferenceData!$W$258),"")</f>
        <v/>
      </c>
      <c r="X258" t="str">
        <f ca="1">IFERROR(IF(0=LEN(ReferenceData!$X$258),"",ReferenceData!$X$258),"")</f>
        <v/>
      </c>
      <c r="Y258" t="str">
        <f ca="1">IFERROR(IF(0=LEN(ReferenceData!$Y$258),"",ReferenceData!$Y$258),"")</f>
        <v/>
      </c>
      <c r="Z258" t="str">
        <f ca="1">IFERROR(IF(0=LEN(ReferenceData!$Z$258),"",ReferenceData!$Z$258),"")</f>
        <v/>
      </c>
      <c r="AA258" t="str">
        <f ca="1">IFERROR(IF(0=LEN(ReferenceData!$AA$258),"",ReferenceData!$AA$258),"")</f>
        <v/>
      </c>
      <c r="AB258" t="str">
        <f ca="1">IFERROR(IF(0=LEN(ReferenceData!$AB$258),"",ReferenceData!$AB$258),"")</f>
        <v/>
      </c>
      <c r="AC258" t="str">
        <f ca="1">IFERROR(IF(0=LEN(ReferenceData!$AC$258),"",ReferenceData!$AC$258),"")</f>
        <v/>
      </c>
      <c r="AD258" t="str">
        <f ca="1">IFERROR(IF(0=LEN(ReferenceData!$AD$258),"",ReferenceData!$AD$258),"")</f>
        <v/>
      </c>
      <c r="AE258" t="str">
        <f ca="1">IFERROR(IF(0=LEN(ReferenceData!$AE$258),"",ReferenceData!$AE$258),"")</f>
        <v/>
      </c>
      <c r="AF258" t="str">
        <f ca="1">IFERROR(IF(0=LEN(ReferenceData!$AF$258),"",ReferenceData!$AF$258),"")</f>
        <v/>
      </c>
      <c r="AG258" t="str">
        <f ca="1">IFERROR(IF(0=LEN(ReferenceData!$AG$258),"",ReferenceData!$AG$258),"")</f>
        <v/>
      </c>
      <c r="AH258" t="str">
        <f ca="1">IFERROR(IF(0=LEN(ReferenceData!$AH$258),"",ReferenceData!$AH$258),"")</f>
        <v/>
      </c>
      <c r="AI258" t="str">
        <f ca="1">IFERROR(IF(0=LEN(ReferenceData!$AI$258),"",ReferenceData!$AI$258),"")</f>
        <v/>
      </c>
      <c r="AJ258" t="str">
        <f ca="1">IFERROR(IF(0=LEN(ReferenceData!$AJ$258),"",ReferenceData!$AJ$258),"")</f>
        <v/>
      </c>
      <c r="AK258" t="str">
        <f ca="1">IFERROR(IF(0=LEN(ReferenceData!$AK$258),"",ReferenceData!$AK$258),"")</f>
        <v/>
      </c>
      <c r="AL258" t="str">
        <f ca="1">IFERROR(IF(0=LEN(ReferenceData!$AL$258),"",ReferenceData!$AL$258),"")</f>
        <v/>
      </c>
      <c r="AM258" t="str">
        <f ca="1">IFERROR(IF(0=LEN(ReferenceData!$AM$258),"",ReferenceData!$AM$258),"")</f>
        <v/>
      </c>
      <c r="AN258" t="str">
        <f ca="1">IFERROR(IF(0=LEN(ReferenceData!$AN$258),"",ReferenceData!$AN$258),"")</f>
        <v/>
      </c>
      <c r="AO258" t="str">
        <f ca="1">IFERROR(IF(0=LEN(ReferenceData!$AO$258),"",ReferenceData!$AO$258),"")</f>
        <v/>
      </c>
      <c r="AP258" t="str">
        <f ca="1">IFERROR(IF(0=LEN(ReferenceData!$AP$258),"",ReferenceData!$AP$258),"")</f>
        <v/>
      </c>
      <c r="AQ258" t="str">
        <f ca="1">IFERROR(IF(0=LEN(ReferenceData!$AQ$258),"",ReferenceData!$AQ$258),"")</f>
        <v/>
      </c>
      <c r="AR258" t="str">
        <f ca="1">IFERROR(IF(0=LEN(ReferenceData!$AR$258),"",ReferenceData!$AR$258),"")</f>
        <v/>
      </c>
      <c r="AS258" t="str">
        <f ca="1">IFERROR(IF(0=LEN(ReferenceData!$AS$258),"",ReferenceData!$AS$258),"")</f>
        <v/>
      </c>
      <c r="AT258" t="str">
        <f ca="1">IFERROR(IF(0=LEN(ReferenceData!$AT$258),"",ReferenceData!$AT$258),"")</f>
        <v/>
      </c>
      <c r="AU258" t="str">
        <f ca="1">IFERROR(IF(0=LEN(ReferenceData!$AU$258),"",ReferenceData!$AU$258),"")</f>
        <v/>
      </c>
      <c r="AV258" t="str">
        <f ca="1">IFERROR(IF(0=LEN(ReferenceData!$AV$258),"",ReferenceData!$AV$258),"")</f>
        <v/>
      </c>
      <c r="AW258" t="str">
        <f ca="1">IFERROR(IF(0=LEN(ReferenceData!$AW$258),"",ReferenceData!$AW$258),"")</f>
        <v/>
      </c>
      <c r="AX258" t="str">
        <f ca="1">IFERROR(IF(0=LEN(ReferenceData!$AX$258),"",ReferenceData!$AX$258),"")</f>
        <v/>
      </c>
      <c r="AY258" t="str">
        <f ca="1">IFERROR(IF(0=LEN(ReferenceData!$AY$258),"",ReferenceData!$AY$258),"")</f>
        <v/>
      </c>
      <c r="AZ258" t="str">
        <f ca="1">IFERROR(IF(0=LEN(ReferenceData!$AZ$258),"",ReferenceData!$AZ$258),"")</f>
        <v/>
      </c>
      <c r="BA258" t="str">
        <f ca="1">IFERROR(IF(0=LEN(ReferenceData!$BA$258),"",ReferenceData!$BA$258),"")</f>
        <v/>
      </c>
      <c r="BB258" t="str">
        <f ca="1">IFERROR(IF(0=LEN(ReferenceData!$BB$258),"",ReferenceData!$BB$258),"")</f>
        <v/>
      </c>
      <c r="BC258" t="str">
        <f ca="1">IFERROR(IF(0=LEN(ReferenceData!$BC$258),"",ReferenceData!$BC$258),"")</f>
        <v/>
      </c>
      <c r="BD258" t="str">
        <f ca="1">IFERROR(IF(0=LEN(ReferenceData!$BD$258),"",ReferenceData!$BD$258),"")</f>
        <v/>
      </c>
      <c r="BE258" t="str">
        <f ca="1">IFERROR(IF(0=LEN(ReferenceData!$BE$258),"",ReferenceData!$BE$258),"")</f>
        <v/>
      </c>
      <c r="BF258" t="str">
        <f ca="1">IFERROR(IF(0=LEN(ReferenceData!$BF$258),"",ReferenceData!$BF$258),"")</f>
        <v/>
      </c>
      <c r="BG258" t="str">
        <f ca="1">IFERROR(IF(0=LEN(ReferenceData!$BG$258),"",ReferenceData!$BG$258),"")</f>
        <v/>
      </c>
      <c r="BH258" t="str">
        <f ca="1">IFERROR(IF(0=LEN(ReferenceData!$BH$258),"",ReferenceData!$BH$258),"")</f>
        <v/>
      </c>
      <c r="BI258" t="str">
        <f ca="1">IFERROR(IF(0=LEN(ReferenceData!$BI$258),"",ReferenceData!$BI$258),"")</f>
        <v/>
      </c>
      <c r="BJ258" t="str">
        <f ca="1">IFERROR(IF(0=LEN(ReferenceData!$BJ$258),"",ReferenceData!$BJ$258),"")</f>
        <v/>
      </c>
      <c r="BK258" t="str">
        <f ca="1">IFERROR(IF(0=LEN(ReferenceData!$BK$258),"",ReferenceData!$BK$258),"")</f>
        <v/>
      </c>
      <c r="BL258" t="str">
        <f ca="1">IFERROR(IF(0=LEN(ReferenceData!$BL$258),"",ReferenceData!$BL$258),"")</f>
        <v/>
      </c>
      <c r="BM258" t="str">
        <f ca="1">IFERROR(IF(0=LEN(ReferenceData!$BM$258),"",ReferenceData!$BM$258),"")</f>
        <v/>
      </c>
    </row>
    <row r="259" spans="1:65">
      <c r="A259" t="str">
        <f>IFERROR(IF(0=LEN(ReferenceData!$A$259),"",ReferenceData!$A$259),"")</f>
        <v xml:space="preserve">    Weingarten Realty Investors</v>
      </c>
      <c r="B259" t="str">
        <f>IFERROR(IF(0=LEN(ReferenceData!$B$259),"",ReferenceData!$B$259),"")</f>
        <v>WRI US Equity</v>
      </c>
      <c r="C259" t="str">
        <f>IFERROR(IF(0=LEN(ReferenceData!$C$259),"",ReferenceData!$C$259),"")</f>
        <v>RR554</v>
      </c>
      <c r="D259" t="str">
        <f>IFERROR(IF(0=LEN(ReferenceData!$D$259),"",ReferenceData!$D$259),"")</f>
        <v>FFO_RE_ASSET</v>
      </c>
      <c r="E259" t="str">
        <f>IFERROR(IF(0=LEN(ReferenceData!$E$259),"",ReferenceData!$E$259),"")</f>
        <v>动态</v>
      </c>
      <c r="F259" t="str">
        <f ca="1">IFERROR(IF(0=LEN(ReferenceData!$F$259),"",ReferenceData!$F$259),"")</f>
        <v/>
      </c>
      <c r="G259">
        <f ca="1">IFERROR(IF(0=LEN(ReferenceData!$G$259),"",ReferenceData!$G$259),"")</f>
        <v>8.1605798650000008</v>
      </c>
      <c r="H259">
        <f ca="1">IFERROR(IF(0=LEN(ReferenceData!$H$259),"",ReferenceData!$H$259),"")</f>
        <v>8.1541688889999993</v>
      </c>
      <c r="I259">
        <f ca="1">IFERROR(IF(0=LEN(ReferenceData!$I$259),"",ReferenceData!$I$259),"")</f>
        <v>8.2113100600000006</v>
      </c>
      <c r="J259">
        <f ca="1">IFERROR(IF(0=LEN(ReferenceData!$J$259),"",ReferenceData!$J$259),"")</f>
        <v>8.198285168</v>
      </c>
      <c r="K259">
        <f ca="1">IFERROR(IF(0=LEN(ReferenceData!$K$259),"",ReferenceData!$K$259),"")</f>
        <v>7.9677752960000001</v>
      </c>
      <c r="L259">
        <f ca="1">IFERROR(IF(0=LEN(ReferenceData!$L$259),"",ReferenceData!$L$259),"")</f>
        <v>7.8061583419999998</v>
      </c>
      <c r="M259">
        <f ca="1">IFERROR(IF(0=LEN(ReferenceData!$M$259),"",ReferenceData!$M$259),"")</f>
        <v>8.0361746979999999</v>
      </c>
      <c r="N259">
        <f ca="1">IFERROR(IF(0=LEN(ReferenceData!$N$259),"",ReferenceData!$N$259),"")</f>
        <v>7.6969675899999999</v>
      </c>
      <c r="O259">
        <f ca="1">IFERROR(IF(0=LEN(ReferenceData!$O$259),"",ReferenceData!$O$259),"")</f>
        <v>7.6228787469999997</v>
      </c>
      <c r="P259">
        <f ca="1">IFERROR(IF(0=LEN(ReferenceData!$P$259),"",ReferenceData!$P$259),"")</f>
        <v>7.3079354429999999</v>
      </c>
      <c r="Q259">
        <f ca="1">IFERROR(IF(0=LEN(ReferenceData!$Q$259),"",ReferenceData!$Q$259),"")</f>
        <v>7.1802593540000004</v>
      </c>
      <c r="R259">
        <f ca="1">IFERROR(IF(0=LEN(ReferenceData!$R$259),"",ReferenceData!$R$259),"")</f>
        <v>7.427318262</v>
      </c>
      <c r="S259">
        <f ca="1">IFERROR(IF(0=LEN(ReferenceData!$S$259),"",ReferenceData!$S$259),"")</f>
        <v>7.3724951699999997</v>
      </c>
      <c r="T259">
        <f ca="1">IFERROR(IF(0=LEN(ReferenceData!$T$259),"",ReferenceData!$T$259),"")</f>
        <v>7.0089556200000001</v>
      </c>
      <c r="U259">
        <f ca="1">IFERROR(IF(0=LEN(ReferenceData!$U$259),"",ReferenceData!$U$259),"")</f>
        <v>6.7747850060000001</v>
      </c>
      <c r="V259">
        <f ca="1">IFERROR(IF(0=LEN(ReferenceData!$V$259),"",ReferenceData!$V$259),"")</f>
        <v>6.1766392620000001</v>
      </c>
      <c r="W259">
        <f ca="1">IFERROR(IF(0=LEN(ReferenceData!$W$259),"",ReferenceData!$W$259),"")</f>
        <v>6.0795200329999997</v>
      </c>
      <c r="X259">
        <f ca="1">IFERROR(IF(0=LEN(ReferenceData!$X$259),"",ReferenceData!$X$259),"")</f>
        <v>6.1450475400000002</v>
      </c>
      <c r="Y259">
        <f ca="1">IFERROR(IF(0=LEN(ReferenceData!$Y$259),"",ReferenceData!$Y$259),"")</f>
        <v>5.9518833710000001</v>
      </c>
      <c r="Z259">
        <f ca="1">IFERROR(IF(0=LEN(ReferenceData!$Z$259),"",ReferenceData!$Z$259),"")</f>
        <v>5.9335511089999997</v>
      </c>
      <c r="AA259">
        <f ca="1">IFERROR(IF(0=LEN(ReferenceData!$AA$259),"",ReferenceData!$AA$259),"")</f>
        <v>5.6123630100000002</v>
      </c>
      <c r="AB259">
        <f ca="1">IFERROR(IF(0=LEN(ReferenceData!$AB$259),"",ReferenceData!$AB$259),"")</f>
        <v>5.5320921189999996</v>
      </c>
      <c r="AC259">
        <f ca="1">IFERROR(IF(0=LEN(ReferenceData!$AC$259),"",ReferenceData!$AC$259),"")</f>
        <v>4.9067135789999998</v>
      </c>
      <c r="AD259">
        <f ca="1">IFERROR(IF(0=LEN(ReferenceData!$AD$259),"",ReferenceData!$AD$259),"")</f>
        <v>4.2303877490000001</v>
      </c>
      <c r="AE259">
        <f ca="1">IFERROR(IF(0=LEN(ReferenceData!$AE$259),"",ReferenceData!$AE$259),"")</f>
        <v>4.0629838090000003</v>
      </c>
      <c r="AF259">
        <f ca="1">IFERROR(IF(0=LEN(ReferenceData!$AF$259),"",ReferenceData!$AF$259),"")</f>
        <v>3.623210619</v>
      </c>
      <c r="AG259">
        <f ca="1">IFERROR(IF(0=LEN(ReferenceData!$AG$259),"",ReferenceData!$AG$259),"")</f>
        <v>4.0182908790000003</v>
      </c>
      <c r="AH259">
        <f ca="1">IFERROR(IF(0=LEN(ReferenceData!$AH$259),"",ReferenceData!$AH$259),"")</f>
        <v>3.9645724250000001</v>
      </c>
      <c r="AI259">
        <f ca="1">IFERROR(IF(0=LEN(ReferenceData!$AI$259),"",ReferenceData!$AI$259),"")</f>
        <v>3.898674046</v>
      </c>
      <c r="AJ259">
        <f ca="1">IFERROR(IF(0=LEN(ReferenceData!$AJ$259),"",ReferenceData!$AJ$259),"")</f>
        <v>4.1150317899999997</v>
      </c>
      <c r="AK259">
        <f ca="1">IFERROR(IF(0=LEN(ReferenceData!$AK$259),"",ReferenceData!$AK$259),"")</f>
        <v>3.6687987230000001</v>
      </c>
      <c r="AL259">
        <f ca="1">IFERROR(IF(0=LEN(ReferenceData!$AL$259),"",ReferenceData!$AL$259),"")</f>
        <v>4.3994316270000002</v>
      </c>
      <c r="AM259">
        <f ca="1">IFERROR(IF(0=LEN(ReferenceData!$AM$259),"",ReferenceData!$AM$259),"")</f>
        <v>4.7707363110000003</v>
      </c>
      <c r="AN259">
        <f ca="1">IFERROR(IF(0=LEN(ReferenceData!$AN$259),"",ReferenceData!$AN$259),"")</f>
        <v>3.8342678669999999</v>
      </c>
      <c r="AO259">
        <f ca="1">IFERROR(IF(0=LEN(ReferenceData!$AO$259),"",ReferenceData!$AO$259),"")</f>
        <v>4.4249175010000004</v>
      </c>
      <c r="AP259">
        <f ca="1">IFERROR(IF(0=LEN(ReferenceData!$AP$259),"",ReferenceData!$AP$259),"")</f>
        <v>4.3888906959999998</v>
      </c>
      <c r="AQ259">
        <f ca="1">IFERROR(IF(0=LEN(ReferenceData!$AQ$259),"",ReferenceData!$AQ$259),"")</f>
        <v>4.3359855009999997</v>
      </c>
      <c r="AR259">
        <f ca="1">IFERROR(IF(0=LEN(ReferenceData!$AR$259),"",ReferenceData!$AR$259),"")</f>
        <v>5.5849459860000001</v>
      </c>
      <c r="AS259">
        <f ca="1">IFERROR(IF(0=LEN(ReferenceData!$AS$259),"",ReferenceData!$AS$259),"")</f>
        <v>6.0581428429999997</v>
      </c>
      <c r="AT259">
        <f ca="1">IFERROR(IF(0=LEN(ReferenceData!$AT$259),"",ReferenceData!$AT$259),"")</f>
        <v>6.1215115920000001</v>
      </c>
      <c r="AU259">
        <f ca="1">IFERROR(IF(0=LEN(ReferenceData!$AU$259),"",ReferenceData!$AU$259),"")</f>
        <v>6.3824028500000001</v>
      </c>
      <c r="AV259">
        <f ca="1">IFERROR(IF(0=LEN(ReferenceData!$AV$259),"",ReferenceData!$AV$259),"")</f>
        <v>6.4540586129999999</v>
      </c>
      <c r="AW259">
        <f ca="1">IFERROR(IF(0=LEN(ReferenceData!$AW$259),"",ReferenceData!$AW$259),"")</f>
        <v>6.82632701</v>
      </c>
      <c r="AX259">
        <f ca="1">IFERROR(IF(0=LEN(ReferenceData!$AX$259),"",ReferenceData!$AX$259),"")</f>
        <v>6.7597928219999996</v>
      </c>
      <c r="AY259">
        <f ca="1">IFERROR(IF(0=LEN(ReferenceData!$AY$259),"",ReferenceData!$AY$259),"")</f>
        <v>7.0039300280000001</v>
      </c>
      <c r="AZ259">
        <f ca="1">IFERROR(IF(0=LEN(ReferenceData!$AZ$259),"",ReferenceData!$AZ$259),"")</f>
        <v>7.109171409</v>
      </c>
      <c r="BA259">
        <f ca="1">IFERROR(IF(0=LEN(ReferenceData!$BA$259),"",ReferenceData!$BA$259),"")</f>
        <v>3.7054031749999998</v>
      </c>
      <c r="BB259">
        <f ca="1">IFERROR(IF(0=LEN(ReferenceData!$BB$259),"",ReferenceData!$BB$259),"")</f>
        <v>3.8318541590000001</v>
      </c>
      <c r="BC259">
        <f ca="1">IFERROR(IF(0=LEN(ReferenceData!$BC$259),"",ReferenceData!$BC$259),"")</f>
        <v>3.6941122640000001</v>
      </c>
      <c r="BD259">
        <f ca="1">IFERROR(IF(0=LEN(ReferenceData!$BD$259),"",ReferenceData!$BD$259),"")</f>
        <v>3.76710886</v>
      </c>
      <c r="BE259">
        <f ca="1">IFERROR(IF(0=LEN(ReferenceData!$BE$259),"",ReferenceData!$BE$259),"")</f>
        <v>4.2875649960000004</v>
      </c>
      <c r="BF259">
        <f ca="1">IFERROR(IF(0=LEN(ReferenceData!$BF$259),"",ReferenceData!$BF$259),"")</f>
        <v>4.0676901990000003</v>
      </c>
      <c r="BG259">
        <f ca="1">IFERROR(IF(0=LEN(ReferenceData!$BG$259),"",ReferenceData!$BG$259),"")</f>
        <v>3.995607175</v>
      </c>
      <c r="BH259">
        <f ca="1">IFERROR(IF(0=LEN(ReferenceData!$BH$259),"",ReferenceData!$BH$259),"")</f>
        <v>3.6678173109999999</v>
      </c>
      <c r="BI259">
        <f ca="1">IFERROR(IF(0=LEN(ReferenceData!$BI$259),"",ReferenceData!$BI$259),"")</f>
        <v>7.2144773659999997</v>
      </c>
      <c r="BJ259">
        <f ca="1">IFERROR(IF(0=LEN(ReferenceData!$BJ$259),"",ReferenceData!$BJ$259),"")</f>
        <v>7.2478204450000003</v>
      </c>
      <c r="BK259">
        <f ca="1">IFERROR(IF(0=LEN(ReferenceData!$BK$259),"",ReferenceData!$BK$259),"")</f>
        <v>7.3274911969999996</v>
      </c>
      <c r="BL259">
        <f ca="1">IFERROR(IF(0=LEN(ReferenceData!$BL$259),"",ReferenceData!$BL$259),"")</f>
        <v>7.5753327449999999</v>
      </c>
      <c r="BM259">
        <f ca="1">IFERROR(IF(0=LEN(ReferenceData!$BM$259),"",ReferenceData!$BM$259),"")</f>
        <v>7.7433419810000004</v>
      </c>
    </row>
    <row r="260" spans="1:65">
      <c r="A260" t="str">
        <f>IFERROR(IF(0=LEN(ReferenceData!$A$260),"",ReferenceData!$A$260),"")</f>
        <v>债务/EBITDA</v>
      </c>
      <c r="B260" t="str">
        <f>IFERROR(IF(0=LEN(ReferenceData!$B$260),"",ReferenceData!$B$260),"")</f>
        <v/>
      </c>
      <c r="C260" t="str">
        <f>IFERROR(IF(0=LEN(ReferenceData!$C$260),"",ReferenceData!$C$260),"")</f>
        <v/>
      </c>
      <c r="D260" t="str">
        <f>IFERROR(IF(0=LEN(ReferenceData!$D$260),"",ReferenceData!$D$260),"")</f>
        <v/>
      </c>
      <c r="E260" t="str">
        <f>IFERROR(IF(0=LEN(ReferenceData!$E$260),"",ReferenceData!$E$260),"")</f>
        <v>Median</v>
      </c>
      <c r="F260" t="str">
        <f ca="1">IFERROR(IF(0=LEN(ReferenceData!$F$260),"",ReferenceData!$F$260),"")</f>
        <v/>
      </c>
      <c r="G260">
        <f ca="1">IFERROR(IF(0=LEN(ReferenceData!$G$260),"",ReferenceData!$G$260),"")</f>
        <v>6.2623278940000002</v>
      </c>
      <c r="H260">
        <f ca="1">IFERROR(IF(0=LEN(ReferenceData!$H$260),"",ReferenceData!$H$260),"")</f>
        <v>6.4828011969999997</v>
      </c>
      <c r="I260">
        <f ca="1">IFERROR(IF(0=LEN(ReferenceData!$I$260),"",ReferenceData!$I$260),"")</f>
        <v>6.444705065</v>
      </c>
      <c r="J260">
        <f ca="1">IFERROR(IF(0=LEN(ReferenceData!$J$260),"",ReferenceData!$J$260),"")</f>
        <v>6.7497131269999997</v>
      </c>
      <c r="K260">
        <f ca="1">IFERROR(IF(0=LEN(ReferenceData!$K$260),"",ReferenceData!$K$260),"")</f>
        <v>6.6013255720000004</v>
      </c>
      <c r="L260">
        <f ca="1">IFERROR(IF(0=LEN(ReferenceData!$L$260),"",ReferenceData!$L$260),"")</f>
        <v>6.706467935</v>
      </c>
      <c r="M260">
        <f ca="1">IFERROR(IF(0=LEN(ReferenceData!$M$260),"",ReferenceData!$M$260),"")</f>
        <v>6.4466887389999998</v>
      </c>
      <c r="N260">
        <f ca="1">IFERROR(IF(0=LEN(ReferenceData!$N$260),"",ReferenceData!$N$260),"")</f>
        <v>6.5138678140000001</v>
      </c>
      <c r="O260">
        <f ca="1">IFERROR(IF(0=LEN(ReferenceData!$O$260),"",ReferenceData!$O$260),"")</f>
        <v>6.3915900969999999</v>
      </c>
      <c r="P260">
        <f ca="1">IFERROR(IF(0=LEN(ReferenceData!$P$260),"",ReferenceData!$P$260),"")</f>
        <v>6.4372819120000004</v>
      </c>
      <c r="Q260">
        <f ca="1">IFERROR(IF(0=LEN(ReferenceData!$Q$260),"",ReferenceData!$Q$260),"")</f>
        <v>7.152979073</v>
      </c>
      <c r="R260">
        <f ca="1">IFERROR(IF(0=LEN(ReferenceData!$R$260),"",ReferenceData!$R$260),"")</f>
        <v>6.8418067589999998</v>
      </c>
      <c r="S260">
        <f ca="1">IFERROR(IF(0=LEN(ReferenceData!$S$260),"",ReferenceData!$S$260),"")</f>
        <v>6.2454007630000001</v>
      </c>
      <c r="T260">
        <f ca="1">IFERROR(IF(0=LEN(ReferenceData!$T$260),"",ReferenceData!$T$260),"")</f>
        <v>6.6203737645</v>
      </c>
      <c r="U260">
        <f ca="1">IFERROR(IF(0=LEN(ReferenceData!$U$260),"",ReferenceData!$U$260),"")</f>
        <v>7.1756739325000005</v>
      </c>
      <c r="V260">
        <f ca="1">IFERROR(IF(0=LEN(ReferenceData!$V$260),"",ReferenceData!$V$260),"")</f>
        <v>6.9452903644999999</v>
      </c>
      <c r="W260">
        <f ca="1">IFERROR(IF(0=LEN(ReferenceData!$W$260),"",ReferenceData!$W$260),"")</f>
        <v>7.2428503490000002</v>
      </c>
      <c r="X260">
        <f ca="1">IFERROR(IF(0=LEN(ReferenceData!$X$260),"",ReferenceData!$X$260),"")</f>
        <v>7.2528131990000002</v>
      </c>
      <c r="Y260">
        <f ca="1">IFERROR(IF(0=LEN(ReferenceData!$Y$260),"",ReferenceData!$Y$260),"")</f>
        <v>7.2539789900000002</v>
      </c>
      <c r="Z260">
        <f ca="1">IFERROR(IF(0=LEN(ReferenceData!$Z$260),"",ReferenceData!$Z$260),"")</f>
        <v>6.9234933270000001</v>
      </c>
      <c r="AA260">
        <f ca="1">IFERROR(IF(0=LEN(ReferenceData!$AA$260),"",ReferenceData!$AA$260),"")</f>
        <v>7.1215177384999997</v>
      </c>
      <c r="AB260">
        <f ca="1">IFERROR(IF(0=LEN(ReferenceData!$AB$260),"",ReferenceData!$AB$260),"")</f>
        <v>6.7541839890000004</v>
      </c>
      <c r="AC260">
        <f ca="1">IFERROR(IF(0=LEN(ReferenceData!$AC$260),"",ReferenceData!$AC$260),"")</f>
        <v>6.9143890880000001</v>
      </c>
      <c r="AD260">
        <f ca="1">IFERROR(IF(0=LEN(ReferenceData!$AD$260),"",ReferenceData!$AD$260),"")</f>
        <v>6.8696780010000005</v>
      </c>
      <c r="AE260">
        <f ca="1">IFERROR(IF(0=LEN(ReferenceData!$AE$260),"",ReferenceData!$AE$260),"")</f>
        <v>6.4813449654999999</v>
      </c>
      <c r="AF260">
        <f ca="1">IFERROR(IF(0=LEN(ReferenceData!$AF$260),"",ReferenceData!$AF$260),"")</f>
        <v>7.2663790795000001</v>
      </c>
      <c r="AG260">
        <f ca="1">IFERROR(IF(0=LEN(ReferenceData!$AG$260),"",ReferenceData!$AG$260),"")</f>
        <v>6.3945082835000004</v>
      </c>
      <c r="AH260">
        <f ca="1">IFERROR(IF(0=LEN(ReferenceData!$AH$260),"",ReferenceData!$AH$260),"")</f>
        <v>6.5430295750000003</v>
      </c>
      <c r="AI260">
        <f ca="1">IFERROR(IF(0=LEN(ReferenceData!$AI$260),"",ReferenceData!$AI$260),"")</f>
        <v>6.2008347150000001</v>
      </c>
      <c r="AJ260">
        <f ca="1">IFERROR(IF(0=LEN(ReferenceData!$AJ$260),"",ReferenceData!$AJ$260),"")</f>
        <v>6.7071443559999997</v>
      </c>
      <c r="AK260">
        <f ca="1">IFERROR(IF(0=LEN(ReferenceData!$AK$260),"",ReferenceData!$AK$260),"")</f>
        <v>6.5649853939999998</v>
      </c>
      <c r="AL260">
        <f ca="1">IFERROR(IF(0=LEN(ReferenceData!$AL$260),"",ReferenceData!$AL$260),"")</f>
        <v>6.7908749005000004</v>
      </c>
      <c r="AM260">
        <f ca="1">IFERROR(IF(0=LEN(ReferenceData!$AM$260),"",ReferenceData!$AM$260),"")</f>
        <v>6.8606909749999998</v>
      </c>
      <c r="AN260">
        <f ca="1">IFERROR(IF(0=LEN(ReferenceData!$AN$260),"",ReferenceData!$AN$260),"")</f>
        <v>6.7595322810000003</v>
      </c>
      <c r="AO260">
        <f ca="1">IFERROR(IF(0=LEN(ReferenceData!$AO$260),"",ReferenceData!$AO$260),"")</f>
        <v>6.7639634184999995</v>
      </c>
      <c r="AP260">
        <f ca="1">IFERROR(IF(0=LEN(ReferenceData!$AP$260),"",ReferenceData!$AP$260),"")</f>
        <v>6.8620481840000007</v>
      </c>
      <c r="AQ260">
        <f ca="1">IFERROR(IF(0=LEN(ReferenceData!$AQ$260),"",ReferenceData!$AQ$260),"")</f>
        <v>6.8560936205000003</v>
      </c>
      <c r="AR260">
        <f ca="1">IFERROR(IF(0=LEN(ReferenceData!$AR$260),"",ReferenceData!$AR$260),"")</f>
        <v>7.092574892</v>
      </c>
      <c r="AS260">
        <f ca="1">IFERROR(IF(0=LEN(ReferenceData!$AS$260),"",ReferenceData!$AS$260),"")</f>
        <v>7.1351012840000001</v>
      </c>
      <c r="AT260">
        <f ca="1">IFERROR(IF(0=LEN(ReferenceData!$AT$260),"",ReferenceData!$AT$260),"")</f>
        <v>7.2913141110000002</v>
      </c>
      <c r="AU260">
        <f ca="1">IFERROR(IF(0=LEN(ReferenceData!$AU$260),"",ReferenceData!$AU$260),"")</f>
        <v>7.1140458100000004</v>
      </c>
      <c r="AV260">
        <f ca="1">IFERROR(IF(0=LEN(ReferenceData!$AV$260),"",ReferenceData!$AV$260),"")</f>
        <v>7.1578464190000002</v>
      </c>
      <c r="AW260">
        <f ca="1">IFERROR(IF(0=LEN(ReferenceData!$AW$260),"",ReferenceData!$AW$260),"")</f>
        <v>7.0133852650000001</v>
      </c>
      <c r="AX260">
        <f ca="1">IFERROR(IF(0=LEN(ReferenceData!$AX$260),"",ReferenceData!$AX$260),"")</f>
        <v>6.2566551830000003</v>
      </c>
      <c r="AY260">
        <f ca="1">IFERROR(IF(0=LEN(ReferenceData!$AY$260),"",ReferenceData!$AY$260),"")</f>
        <v>6.6763824119999997</v>
      </c>
      <c r="AZ260">
        <f ca="1">IFERROR(IF(0=LEN(ReferenceData!$AZ$260),"",ReferenceData!$AZ$260),"")</f>
        <v>6.7981014689999997</v>
      </c>
      <c r="BA260">
        <f ca="1">IFERROR(IF(0=LEN(ReferenceData!$BA$260),"",ReferenceData!$BA$260),"")</f>
        <v>6.3447142950000002</v>
      </c>
      <c r="BB260">
        <f ca="1">IFERROR(IF(0=LEN(ReferenceData!$BB$260),"",ReferenceData!$BB$260),"")</f>
        <v>6.2618814279999997</v>
      </c>
      <c r="BC260">
        <f ca="1">IFERROR(IF(0=LEN(ReferenceData!$BC$260),"",ReferenceData!$BC$260),"")</f>
        <v>6.1867436400000004</v>
      </c>
      <c r="BD260">
        <f ca="1">IFERROR(IF(0=LEN(ReferenceData!$BD$260),"",ReferenceData!$BD$260),"")</f>
        <v>5.9844567040000003</v>
      </c>
      <c r="BE260">
        <f ca="1">IFERROR(IF(0=LEN(ReferenceData!$BE$260),"",ReferenceData!$BE$260),"")</f>
        <v>6.0029182959999998</v>
      </c>
      <c r="BF260">
        <f ca="1">IFERROR(IF(0=LEN(ReferenceData!$BF$260),"",ReferenceData!$BF$260),"")</f>
        <v>5.6919048999999999</v>
      </c>
      <c r="BG260">
        <f ca="1">IFERROR(IF(0=LEN(ReferenceData!$BG$260),"",ReferenceData!$BG$260),"")</f>
        <v>5.7610800360000001</v>
      </c>
      <c r="BH260">
        <f ca="1">IFERROR(IF(0=LEN(ReferenceData!$BH$260),"",ReferenceData!$BH$260),"")</f>
        <v>6.1033913549999994</v>
      </c>
      <c r="BI260">
        <f ca="1">IFERROR(IF(0=LEN(ReferenceData!$BI$260),"",ReferenceData!$BI$260),"")</f>
        <v>6.2304148274999998</v>
      </c>
      <c r="BJ260">
        <f ca="1">IFERROR(IF(0=LEN(ReferenceData!$BJ$260),"",ReferenceData!$BJ$260),"")</f>
        <v>6.1769181670000002</v>
      </c>
      <c r="BK260">
        <f ca="1">IFERROR(IF(0=LEN(ReferenceData!$BK$260),"",ReferenceData!$BK$260),"")</f>
        <v>6.1410875689999997</v>
      </c>
      <c r="BL260">
        <f ca="1">IFERROR(IF(0=LEN(ReferenceData!$BL$260),"",ReferenceData!$BL$260),"")</f>
        <v>5.8981202044999996</v>
      </c>
      <c r="BM260">
        <f ca="1">IFERROR(IF(0=LEN(ReferenceData!$BM$260),"",ReferenceData!$BM$260),"")</f>
        <v>5.5472221990000001</v>
      </c>
    </row>
    <row r="261" spans="1:65">
      <c r="A261" t="str">
        <f>IFERROR(IF(0=LEN(ReferenceData!$A$261),"",ReferenceData!$A$261),"")</f>
        <v xml:space="preserve">    Brixmor Property Group Inc</v>
      </c>
      <c r="B261" t="str">
        <f>IFERROR(IF(0=LEN(ReferenceData!$B$261),"",ReferenceData!$B$261),"")</f>
        <v>BRX US Equity</v>
      </c>
      <c r="C261" t="str">
        <f>IFERROR(IF(0=LEN(ReferenceData!$C$261),"",ReferenceData!$C$261),"")</f>
        <v>RR052</v>
      </c>
      <c r="D261" t="str">
        <f>IFERROR(IF(0=LEN(ReferenceData!$D$261),"",ReferenceData!$D$261),"")</f>
        <v>TOT_DEBT_TO_EBITDA</v>
      </c>
      <c r="E261" t="str">
        <f>IFERROR(IF(0=LEN(ReferenceData!$E$261),"",ReferenceData!$E$261),"")</f>
        <v>动态</v>
      </c>
      <c r="F261" t="str">
        <f ca="1">IFERROR(IF(0=LEN(ReferenceData!$F$261),"",ReferenceData!$F$261),"")</f>
        <v/>
      </c>
      <c r="G261">
        <f ca="1">IFERROR(IF(0=LEN(ReferenceData!$G$261),"",ReferenceData!$G$261),"")</f>
        <v>7.0892450570000003</v>
      </c>
      <c r="H261">
        <f ca="1">IFERROR(IF(0=LEN(ReferenceData!$H$261),"",ReferenceData!$H$261),"")</f>
        <v>7.0276990589999997</v>
      </c>
      <c r="I261">
        <f ca="1">IFERROR(IF(0=LEN(ReferenceData!$I$261),"",ReferenceData!$I$261),"")</f>
        <v>7.0865738670000002</v>
      </c>
      <c r="J261">
        <f ca="1">IFERROR(IF(0=LEN(ReferenceData!$J$261),"",ReferenceData!$J$261),"")</f>
        <v>7.2184793379999999</v>
      </c>
      <c r="K261">
        <f ca="1">IFERROR(IF(0=LEN(ReferenceData!$K$261),"",ReferenceData!$K$261),"")</f>
        <v>7.0899711249999999</v>
      </c>
      <c r="L261">
        <f ca="1">IFERROR(IF(0=LEN(ReferenceData!$L$261),"",ReferenceData!$L$261),"")</f>
        <v>7.1728358480000001</v>
      </c>
      <c r="M261">
        <f ca="1">IFERROR(IF(0=LEN(ReferenceData!$M$261),"",ReferenceData!$M$261),"")</f>
        <v>7.2948705719999998</v>
      </c>
      <c r="N261">
        <f ca="1">IFERROR(IF(0=LEN(ReferenceData!$N$261),"",ReferenceData!$N$261),"")</f>
        <v>7.329499438</v>
      </c>
      <c r="O261">
        <f ca="1">IFERROR(IF(0=LEN(ReferenceData!$O$261),"",ReferenceData!$O$261),"")</f>
        <v>7.4787140289999998</v>
      </c>
      <c r="P261">
        <f ca="1">IFERROR(IF(0=LEN(ReferenceData!$P$261),"",ReferenceData!$P$261),"")</f>
        <v>7.4837939660000004</v>
      </c>
      <c r="Q261">
        <f ca="1">IFERROR(IF(0=LEN(ReferenceData!$Q$261),"",ReferenceData!$Q$261),"")</f>
        <v>7.5834282530000001</v>
      </c>
      <c r="R261">
        <f ca="1">IFERROR(IF(0=LEN(ReferenceData!$R$261),"",ReferenceData!$R$261),"")</f>
        <v>7.718200242</v>
      </c>
      <c r="S261">
        <f ca="1">IFERROR(IF(0=LEN(ReferenceData!$S$261),"",ReferenceData!$S$261),"")</f>
        <v>7.6110670899999997</v>
      </c>
      <c r="T261">
        <f ca="1">IFERROR(IF(0=LEN(ReferenceData!$T$261),"",ReferenceData!$T$261),"")</f>
        <v>7.8774495230000001</v>
      </c>
      <c r="U261">
        <f ca="1">IFERROR(IF(0=LEN(ReferenceData!$U$261),"",ReferenceData!$U$261),"")</f>
        <v>8.1289996299999991</v>
      </c>
      <c r="V261">
        <f ca="1">IFERROR(IF(0=LEN(ReferenceData!$V$261),"",ReferenceData!$V$261),"")</f>
        <v>8.4012588059999995</v>
      </c>
      <c r="W261">
        <f ca="1">IFERROR(IF(0=LEN(ReferenceData!$W$261),"",ReferenceData!$W$261),"")</f>
        <v>8.6854903700000001</v>
      </c>
      <c r="X261">
        <f ca="1">IFERROR(IF(0=LEN(ReferenceData!$X$261),"",ReferenceData!$X$261),"")</f>
        <v>9.188497881</v>
      </c>
      <c r="Y261">
        <f ca="1">IFERROR(IF(0=LEN(ReferenceData!$Y$261),"",ReferenceData!$Y$261),"")</f>
        <v>9.2072144649999998</v>
      </c>
      <c r="Z261">
        <f ca="1">IFERROR(IF(0=LEN(ReferenceData!$Z$261),"",ReferenceData!$Z$261),"")</f>
        <v>9.3310904820000005</v>
      </c>
      <c r="AA261">
        <f ca="1">IFERROR(IF(0=LEN(ReferenceData!$AA$261),"",ReferenceData!$AA$261),"")</f>
        <v>9.3835494409999995</v>
      </c>
      <c r="AB261" t="str">
        <f ca="1">IFERROR(IF(0=LEN(ReferenceData!$AB$261),"",ReferenceData!$AB$261),"")</f>
        <v/>
      </c>
      <c r="AC261" t="str">
        <f ca="1">IFERROR(IF(0=LEN(ReferenceData!$AC$261),"",ReferenceData!$AC$261),"")</f>
        <v/>
      </c>
      <c r="AD261" t="str">
        <f ca="1">IFERROR(IF(0=LEN(ReferenceData!$AD$261),"",ReferenceData!$AD$261),"")</f>
        <v/>
      </c>
      <c r="AE261" t="str">
        <f ca="1">IFERROR(IF(0=LEN(ReferenceData!$AE$261),"",ReferenceData!$AE$261),"")</f>
        <v/>
      </c>
      <c r="AF261" t="str">
        <f ca="1">IFERROR(IF(0=LEN(ReferenceData!$AF$261),"",ReferenceData!$AF$261),"")</f>
        <v/>
      </c>
      <c r="AG261" t="str">
        <f ca="1">IFERROR(IF(0=LEN(ReferenceData!$AG$261),"",ReferenceData!$AG$261),"")</f>
        <v/>
      </c>
      <c r="AH261" t="str">
        <f ca="1">IFERROR(IF(0=LEN(ReferenceData!$AH$261),"",ReferenceData!$AH$261),"")</f>
        <v/>
      </c>
      <c r="AI261" t="str">
        <f ca="1">IFERROR(IF(0=LEN(ReferenceData!$AI$261),"",ReferenceData!$AI$261),"")</f>
        <v/>
      </c>
      <c r="AJ261" t="str">
        <f ca="1">IFERROR(IF(0=LEN(ReferenceData!$AJ$261),"",ReferenceData!$AJ$261),"")</f>
        <v/>
      </c>
      <c r="AK261" t="str">
        <f ca="1">IFERROR(IF(0=LEN(ReferenceData!$AK$261),"",ReferenceData!$AK$261),"")</f>
        <v/>
      </c>
      <c r="AL261" t="str">
        <f ca="1">IFERROR(IF(0=LEN(ReferenceData!$AL$261),"",ReferenceData!$AL$261),"")</f>
        <v/>
      </c>
      <c r="AM261" t="str">
        <f ca="1">IFERROR(IF(0=LEN(ReferenceData!$AM$261),"",ReferenceData!$AM$261),"")</f>
        <v/>
      </c>
      <c r="AN261" t="str">
        <f ca="1">IFERROR(IF(0=LEN(ReferenceData!$AN$261),"",ReferenceData!$AN$261),"")</f>
        <v/>
      </c>
      <c r="AO261" t="str">
        <f ca="1">IFERROR(IF(0=LEN(ReferenceData!$AO$261),"",ReferenceData!$AO$261),"")</f>
        <v/>
      </c>
      <c r="AP261" t="str">
        <f ca="1">IFERROR(IF(0=LEN(ReferenceData!$AP$261),"",ReferenceData!$AP$261),"")</f>
        <v/>
      </c>
      <c r="AQ261" t="str">
        <f ca="1">IFERROR(IF(0=LEN(ReferenceData!$AQ$261),"",ReferenceData!$AQ$261),"")</f>
        <v/>
      </c>
      <c r="AR261" t="str">
        <f ca="1">IFERROR(IF(0=LEN(ReferenceData!$AR$261),"",ReferenceData!$AR$261),"")</f>
        <v/>
      </c>
      <c r="AS261" t="str">
        <f ca="1">IFERROR(IF(0=LEN(ReferenceData!$AS$261),"",ReferenceData!$AS$261),"")</f>
        <v/>
      </c>
      <c r="AT261" t="str">
        <f ca="1">IFERROR(IF(0=LEN(ReferenceData!$AT$261),"",ReferenceData!$AT$261),"")</f>
        <v/>
      </c>
      <c r="AU261" t="str">
        <f ca="1">IFERROR(IF(0=LEN(ReferenceData!$AU$261),"",ReferenceData!$AU$261),"")</f>
        <v/>
      </c>
      <c r="AV261" t="str">
        <f ca="1">IFERROR(IF(0=LEN(ReferenceData!$AV$261),"",ReferenceData!$AV$261),"")</f>
        <v/>
      </c>
      <c r="AW261" t="str">
        <f ca="1">IFERROR(IF(0=LEN(ReferenceData!$AW$261),"",ReferenceData!$AW$261),"")</f>
        <v/>
      </c>
      <c r="AX261" t="str">
        <f ca="1">IFERROR(IF(0=LEN(ReferenceData!$AX$261),"",ReferenceData!$AX$261),"")</f>
        <v/>
      </c>
      <c r="AY261" t="str">
        <f ca="1">IFERROR(IF(0=LEN(ReferenceData!$AY$261),"",ReferenceData!$AY$261),"")</f>
        <v/>
      </c>
      <c r="AZ261" t="str">
        <f ca="1">IFERROR(IF(0=LEN(ReferenceData!$AZ$261),"",ReferenceData!$AZ$261),"")</f>
        <v/>
      </c>
      <c r="BA261" t="str">
        <f ca="1">IFERROR(IF(0=LEN(ReferenceData!$BA$261),"",ReferenceData!$BA$261),"")</f>
        <v/>
      </c>
      <c r="BB261" t="str">
        <f ca="1">IFERROR(IF(0=LEN(ReferenceData!$BB$261),"",ReferenceData!$BB$261),"")</f>
        <v/>
      </c>
      <c r="BC261" t="str">
        <f ca="1">IFERROR(IF(0=LEN(ReferenceData!$BC$261),"",ReferenceData!$BC$261),"")</f>
        <v/>
      </c>
      <c r="BD261" t="str">
        <f ca="1">IFERROR(IF(0=LEN(ReferenceData!$BD$261),"",ReferenceData!$BD$261),"")</f>
        <v/>
      </c>
      <c r="BE261" t="str">
        <f ca="1">IFERROR(IF(0=LEN(ReferenceData!$BE$261),"",ReferenceData!$BE$261),"")</f>
        <v/>
      </c>
      <c r="BF261" t="str">
        <f ca="1">IFERROR(IF(0=LEN(ReferenceData!$BF$261),"",ReferenceData!$BF$261),"")</f>
        <v/>
      </c>
      <c r="BG261" t="str">
        <f ca="1">IFERROR(IF(0=LEN(ReferenceData!$BG$261),"",ReferenceData!$BG$261),"")</f>
        <v/>
      </c>
      <c r="BH261" t="str">
        <f ca="1">IFERROR(IF(0=LEN(ReferenceData!$BH$261),"",ReferenceData!$BH$261),"")</f>
        <v/>
      </c>
      <c r="BI261" t="str">
        <f ca="1">IFERROR(IF(0=LEN(ReferenceData!$BI$261),"",ReferenceData!$BI$261),"")</f>
        <v/>
      </c>
      <c r="BJ261" t="str">
        <f ca="1">IFERROR(IF(0=LEN(ReferenceData!$BJ$261),"",ReferenceData!$BJ$261),"")</f>
        <v/>
      </c>
      <c r="BK261" t="str">
        <f ca="1">IFERROR(IF(0=LEN(ReferenceData!$BK$261),"",ReferenceData!$BK$261),"")</f>
        <v/>
      </c>
      <c r="BL261" t="str">
        <f ca="1">IFERROR(IF(0=LEN(ReferenceData!$BL$261),"",ReferenceData!$BL$261),"")</f>
        <v/>
      </c>
      <c r="BM261" t="str">
        <f ca="1">IFERROR(IF(0=LEN(ReferenceData!$BM$261),"",ReferenceData!$BM$261),"")</f>
        <v/>
      </c>
    </row>
    <row r="262" spans="1:65">
      <c r="A262" t="str">
        <f>IFERROR(IF(0=LEN(ReferenceData!$A$262),"",ReferenceData!$A$262),"")</f>
        <v xml:space="preserve">    CBL &amp; Associates Properties In</v>
      </c>
      <c r="B262" t="str">
        <f>IFERROR(IF(0=LEN(ReferenceData!$B$262),"",ReferenceData!$B$262),"")</f>
        <v>CBL US Equity</v>
      </c>
      <c r="C262" t="str">
        <f>IFERROR(IF(0=LEN(ReferenceData!$C$262),"",ReferenceData!$C$262),"")</f>
        <v>RR052</v>
      </c>
      <c r="D262" t="str">
        <f>IFERROR(IF(0=LEN(ReferenceData!$D$262),"",ReferenceData!$D$262),"")</f>
        <v>TOT_DEBT_TO_EBITDA</v>
      </c>
      <c r="E262" t="str">
        <f>IFERROR(IF(0=LEN(ReferenceData!$E$262),"",ReferenceData!$E$262),"")</f>
        <v>动态</v>
      </c>
      <c r="F262" t="str">
        <f ca="1">IFERROR(IF(0=LEN(ReferenceData!$F$262),"",ReferenceData!$F$262),"")</f>
        <v/>
      </c>
      <c r="G262">
        <f ca="1">IFERROR(IF(0=LEN(ReferenceData!$G$262),"",ReferenceData!$G$262),"")</f>
        <v>7.9847753389999996</v>
      </c>
      <c r="H262">
        <f ca="1">IFERROR(IF(0=LEN(ReferenceData!$H$262),"",ReferenceData!$H$262),"")</f>
        <v>7.70342693</v>
      </c>
      <c r="I262">
        <f ca="1">IFERROR(IF(0=LEN(ReferenceData!$I$262),"",ReferenceData!$I$262),"")</f>
        <v>7.9521535400000003</v>
      </c>
      <c r="J262">
        <f ca="1">IFERROR(IF(0=LEN(ReferenceData!$J$262),"",ReferenceData!$J$262),"")</f>
        <v>8.1590355970000008</v>
      </c>
      <c r="K262">
        <f ca="1">IFERROR(IF(0=LEN(ReferenceData!$K$262),"",ReferenceData!$K$262),"")</f>
        <v>8.1716986859999992</v>
      </c>
      <c r="L262">
        <f ca="1">IFERROR(IF(0=LEN(ReferenceData!$L$262),"",ReferenceData!$L$262),"")</f>
        <v>9.8882892590000004</v>
      </c>
      <c r="M262">
        <f ca="1">IFERROR(IF(0=LEN(ReferenceData!$M$262),"",ReferenceData!$M$262),"")</f>
        <v>8.8555121680000006</v>
      </c>
      <c r="N262">
        <f ca="1">IFERROR(IF(0=LEN(ReferenceData!$N$262),"",ReferenceData!$N$262),"")</f>
        <v>8.4576574200000003</v>
      </c>
      <c r="O262">
        <f ca="1">IFERROR(IF(0=LEN(ReferenceData!$O$262),"",ReferenceData!$O$262),"")</f>
        <v>8.1900320949999994</v>
      </c>
      <c r="P262">
        <f ca="1">IFERROR(IF(0=LEN(ReferenceData!$P$262),"",ReferenceData!$P$262),"")</f>
        <v>7.1631419039999997</v>
      </c>
      <c r="Q262">
        <f ca="1">IFERROR(IF(0=LEN(ReferenceData!$Q$262),"",ReferenceData!$Q$262),"")</f>
        <v>7.152979073</v>
      </c>
      <c r="R262">
        <f ca="1">IFERROR(IF(0=LEN(ReferenceData!$R$262),"",ReferenceData!$R$262),"")</f>
        <v>6.8418067589999998</v>
      </c>
      <c r="S262">
        <f ca="1">IFERROR(IF(0=LEN(ReferenceData!$S$262),"",ReferenceData!$S$262),"")</f>
        <v>7.0237633180000003</v>
      </c>
      <c r="T262">
        <f ca="1">IFERROR(IF(0=LEN(ReferenceData!$T$262),"",ReferenceData!$T$262),"")</f>
        <v>7.6130397409999997</v>
      </c>
      <c r="U262">
        <f ca="1">IFERROR(IF(0=LEN(ReferenceData!$U$262),"",ReferenceData!$U$262),"")</f>
        <v>7.7961907200000002</v>
      </c>
      <c r="V262">
        <f ca="1">IFERROR(IF(0=LEN(ReferenceData!$V$262),"",ReferenceData!$V$262),"")</f>
        <v>8.0425483789999994</v>
      </c>
      <c r="W262">
        <f ca="1">IFERROR(IF(0=LEN(ReferenceData!$W$262),"",ReferenceData!$W$262),"")</f>
        <v>7.8807661539999998</v>
      </c>
      <c r="X262">
        <f ca="1">IFERROR(IF(0=LEN(ReferenceData!$X$262),"",ReferenceData!$X$262),"")</f>
        <v>7.5554108610000004</v>
      </c>
      <c r="Y262">
        <f ca="1">IFERROR(IF(0=LEN(ReferenceData!$Y$262),"",ReferenceData!$Y$262),"")</f>
        <v>7.2539789900000002</v>
      </c>
      <c r="Z262">
        <f ca="1">IFERROR(IF(0=LEN(ReferenceData!$Z$262),"",ReferenceData!$Z$262),"")</f>
        <v>7.1831420599999998</v>
      </c>
      <c r="AA262">
        <f ca="1">IFERROR(IF(0=LEN(ReferenceData!$AA$262),"",ReferenceData!$AA$262),"")</f>
        <v>7.3932963589999998</v>
      </c>
      <c r="AB262">
        <f ca="1">IFERROR(IF(0=LEN(ReferenceData!$AB$262),"",ReferenceData!$AB$262),"")</f>
        <v>7.1552130859999998</v>
      </c>
      <c r="AC262">
        <f ca="1">IFERROR(IF(0=LEN(ReferenceData!$AC$262),"",ReferenceData!$AC$262),"")</f>
        <v>7.5888092260000004</v>
      </c>
      <c r="AD262">
        <f ca="1">IFERROR(IF(0=LEN(ReferenceData!$AD$262),"",ReferenceData!$AD$262),"")</f>
        <v>7.1346940600000002</v>
      </c>
      <c r="AE262">
        <f ca="1">IFERROR(IF(0=LEN(ReferenceData!$AE$262),"",ReferenceData!$AE$262),"")</f>
        <v>7.0537434210000001</v>
      </c>
      <c r="AF262">
        <f ca="1">IFERROR(IF(0=LEN(ReferenceData!$AF$262),"",ReferenceData!$AF$262),"")</f>
        <v>8.2025934700000001</v>
      </c>
      <c r="AG262">
        <f ca="1">IFERROR(IF(0=LEN(ReferenceData!$AG$262),"",ReferenceData!$AG$262),"")</f>
        <v>7.5913894730000004</v>
      </c>
      <c r="AH262">
        <f ca="1">IFERROR(IF(0=LEN(ReferenceData!$AH$262),"",ReferenceData!$AH$262),"")</f>
        <v>7.5762883030000001</v>
      </c>
      <c r="AI262">
        <f ca="1">IFERROR(IF(0=LEN(ReferenceData!$AI$262),"",ReferenceData!$AI$262),"")</f>
        <v>7.602229415</v>
      </c>
      <c r="AJ262">
        <f ca="1">IFERROR(IF(0=LEN(ReferenceData!$AJ$262),"",ReferenceData!$AJ$262),"")</f>
        <v>9.258247291</v>
      </c>
      <c r="AK262">
        <f ca="1">IFERROR(IF(0=LEN(ReferenceData!$AK$262),"",ReferenceData!$AK$262),"")</f>
        <v>9.3970110019999993</v>
      </c>
      <c r="AL262">
        <f ca="1">IFERROR(IF(0=LEN(ReferenceData!$AL$262),"",ReferenceData!$AL$262),"")</f>
        <v>9.3322249139999993</v>
      </c>
      <c r="AM262">
        <f ca="1">IFERROR(IF(0=LEN(ReferenceData!$AM$262),"",ReferenceData!$AM$262),"")</f>
        <v>9.5476520770000004</v>
      </c>
      <c r="AN262">
        <f ca="1">IFERROR(IF(0=LEN(ReferenceData!$AN$262),"",ReferenceData!$AN$262),"")</f>
        <v>8.313061695</v>
      </c>
      <c r="AO262">
        <f ca="1">IFERROR(IF(0=LEN(ReferenceData!$AO$262),"",ReferenceData!$AO$262),"")</f>
        <v>8.0872816499999995</v>
      </c>
      <c r="AP262">
        <f ca="1">IFERROR(IF(0=LEN(ReferenceData!$AP$262),"",ReferenceData!$AP$262),"")</f>
        <v>8.6811012289999994</v>
      </c>
      <c r="AQ262">
        <f ca="1">IFERROR(IF(0=LEN(ReferenceData!$AQ$262),"",ReferenceData!$AQ$262),"")</f>
        <v>8.6787496009999998</v>
      </c>
      <c r="AR262">
        <f ca="1">IFERROR(IF(0=LEN(ReferenceData!$AR$262),"",ReferenceData!$AR$262),"")</f>
        <v>8.3901834659999999</v>
      </c>
      <c r="AS262">
        <f ca="1">IFERROR(IF(0=LEN(ReferenceData!$AS$262),"",ReferenceData!$AS$262),"")</f>
        <v>8.6535899619999999</v>
      </c>
      <c r="AT262">
        <f ca="1">IFERROR(IF(0=LEN(ReferenceData!$AT$262),"",ReferenceData!$AT$262),"")</f>
        <v>8.6653729070000001</v>
      </c>
      <c r="AU262">
        <f ca="1">IFERROR(IF(0=LEN(ReferenceData!$AU$262),"",ReferenceData!$AU$262),"")</f>
        <v>8.8075264329999996</v>
      </c>
      <c r="AV262">
        <f ca="1">IFERROR(IF(0=LEN(ReferenceData!$AV$262),"",ReferenceData!$AV$262),"")</f>
        <v>7.7053367169999998</v>
      </c>
      <c r="AW262">
        <f ca="1">IFERROR(IF(0=LEN(ReferenceData!$AW$262),"",ReferenceData!$AW$262),"")</f>
        <v>7.5984403240000002</v>
      </c>
      <c r="AX262">
        <f ca="1">IFERROR(IF(0=LEN(ReferenceData!$AX$262),"",ReferenceData!$AX$262),"")</f>
        <v>7.2906635990000002</v>
      </c>
      <c r="AY262">
        <f ca="1">IFERROR(IF(0=LEN(ReferenceData!$AY$262),"",ReferenceData!$AY$262),"")</f>
        <v>7.0343307230000001</v>
      </c>
      <c r="AZ262">
        <f ca="1">IFERROR(IF(0=LEN(ReferenceData!$AZ$262),"",ReferenceData!$AZ$262),"")</f>
        <v>6.9089142069999996</v>
      </c>
      <c r="BA262">
        <f ca="1">IFERROR(IF(0=LEN(ReferenceData!$BA$262),"",ReferenceData!$BA$262),"")</f>
        <v>6.8299496040000003</v>
      </c>
      <c r="BB262">
        <f ca="1">IFERROR(IF(0=LEN(ReferenceData!$BB$262),"",ReferenceData!$BB$262),"")</f>
        <v>7.096106732</v>
      </c>
      <c r="BC262">
        <f ca="1">IFERROR(IF(0=LEN(ReferenceData!$BC$262),"",ReferenceData!$BC$262),"")</f>
        <v>7.2374076369999996</v>
      </c>
      <c r="BD262">
        <f ca="1">IFERROR(IF(0=LEN(ReferenceData!$BD$262),"",ReferenceData!$BD$262),"")</f>
        <v>6.4185931629999997</v>
      </c>
      <c r="BE262">
        <f ca="1">IFERROR(IF(0=LEN(ReferenceData!$BE$262),"",ReferenceData!$BE$262),"")</f>
        <v>6.0744723240000003</v>
      </c>
      <c r="BF262">
        <f ca="1">IFERROR(IF(0=LEN(ReferenceData!$BF$262),"",ReferenceData!$BF$262),"")</f>
        <v>6.2359836900000003</v>
      </c>
      <c r="BG262">
        <f ca="1">IFERROR(IF(0=LEN(ReferenceData!$BG$262),"",ReferenceData!$BG$262),"")</f>
        <v>6.7313492330000004</v>
      </c>
      <c r="BH262">
        <f ca="1">IFERROR(IF(0=LEN(ReferenceData!$BH$262),"",ReferenceData!$BH$262),"")</f>
        <v>7.0039091879999997</v>
      </c>
      <c r="BI262">
        <f ca="1">IFERROR(IF(0=LEN(ReferenceData!$BI$262),"",ReferenceData!$BI$262),"")</f>
        <v>6.929669981</v>
      </c>
      <c r="BJ262">
        <f ca="1">IFERROR(IF(0=LEN(ReferenceData!$BJ$262),"",ReferenceData!$BJ$262),"")</f>
        <v>6.3721147619999998</v>
      </c>
      <c r="BK262">
        <f ca="1">IFERROR(IF(0=LEN(ReferenceData!$BK$262),"",ReferenceData!$BK$262),"")</f>
        <v>6.2353875810000003</v>
      </c>
      <c r="BL262">
        <f ca="1">IFERROR(IF(0=LEN(ReferenceData!$BL$262),"",ReferenceData!$BL$262),"")</f>
        <v>5.9359346860000004</v>
      </c>
      <c r="BM262">
        <f ca="1">IFERROR(IF(0=LEN(ReferenceData!$BM$262),"",ReferenceData!$BM$262),"")</f>
        <v>6.2605679900000002</v>
      </c>
    </row>
    <row r="263" spans="1:65">
      <c r="A263" t="str">
        <f>IFERROR(IF(0=LEN(ReferenceData!$A$263),"",ReferenceData!$A$263),"")</f>
        <v xml:space="preserve">    DDR Corp</v>
      </c>
      <c r="B263" t="str">
        <f>IFERROR(IF(0=LEN(ReferenceData!$B$263),"",ReferenceData!$B$263),"")</f>
        <v>DDR US Equity</v>
      </c>
      <c r="C263" t="str">
        <f>IFERROR(IF(0=LEN(ReferenceData!$C$263),"",ReferenceData!$C$263),"")</f>
        <v>RR052</v>
      </c>
      <c r="D263" t="str">
        <f>IFERROR(IF(0=LEN(ReferenceData!$D$263),"",ReferenceData!$D$263),"")</f>
        <v>TOT_DEBT_TO_EBITDA</v>
      </c>
      <c r="E263" t="str">
        <f>IFERROR(IF(0=LEN(ReferenceData!$E$263),"",ReferenceData!$E$263),"")</f>
        <v>动态</v>
      </c>
      <c r="F263" t="str">
        <f ca="1">IFERROR(IF(0=LEN(ReferenceData!$F$263),"",ReferenceData!$F$263),"")</f>
        <v/>
      </c>
      <c r="G263">
        <f ca="1">IFERROR(IF(0=LEN(ReferenceData!$G$263),"",ReferenceData!$G$263),"")</f>
        <v>17.011052530000001</v>
      </c>
      <c r="H263">
        <f ca="1">IFERROR(IF(0=LEN(ReferenceData!$H$263),"",ReferenceData!$H$263),"")</f>
        <v>7.7897774870000003</v>
      </c>
      <c r="I263">
        <f ca="1">IFERROR(IF(0=LEN(ReferenceData!$I$263),"",ReferenceData!$I$263),"")</f>
        <v>10.31653545</v>
      </c>
      <c r="J263">
        <f ca="1">IFERROR(IF(0=LEN(ReferenceData!$J$263),"",ReferenceData!$J$263),"")</f>
        <v>9.2231420810000007</v>
      </c>
      <c r="K263">
        <f ca="1">IFERROR(IF(0=LEN(ReferenceData!$K$263),"",ReferenceData!$K$263),"")</f>
        <v>8.4216475739999996</v>
      </c>
      <c r="L263">
        <f ca="1">IFERROR(IF(0=LEN(ReferenceData!$L$263),"",ReferenceData!$L$263),"")</f>
        <v>9.0467385230000001</v>
      </c>
      <c r="M263">
        <f ca="1">IFERROR(IF(0=LEN(ReferenceData!$M$263),"",ReferenceData!$M$263),"")</f>
        <v>7.561045697</v>
      </c>
      <c r="N263">
        <f ca="1">IFERROR(IF(0=LEN(ReferenceData!$N$263),"",ReferenceData!$N$263),"")</f>
        <v>7.7355728800000003</v>
      </c>
      <c r="O263">
        <f ca="1">IFERROR(IF(0=LEN(ReferenceData!$O$263),"",ReferenceData!$O$263),"")</f>
        <v>13.82309418</v>
      </c>
      <c r="P263">
        <f ca="1">IFERROR(IF(0=LEN(ReferenceData!$P$263),"",ReferenceData!$P$263),"")</f>
        <v>15.505105459999999</v>
      </c>
      <c r="Q263">
        <f ca="1">IFERROR(IF(0=LEN(ReferenceData!$Q$263),"",ReferenceData!$Q$263),"")</f>
        <v>16.027410280000002</v>
      </c>
      <c r="R263">
        <f ca="1">IFERROR(IF(0=LEN(ReferenceData!$R$263),"",ReferenceData!$R$263),"")</f>
        <v>17.024327490000001</v>
      </c>
      <c r="S263">
        <f ca="1">IFERROR(IF(0=LEN(ReferenceData!$S$263),"",ReferenceData!$S$263),"")</f>
        <v>9.1715742690000006</v>
      </c>
      <c r="T263">
        <f ca="1">IFERROR(IF(0=LEN(ReferenceData!$T$263),"",ReferenceData!$T$263),"")</f>
        <v>8.7893199580000001</v>
      </c>
      <c r="U263">
        <f ca="1">IFERROR(IF(0=LEN(ReferenceData!$U$263),"",ReferenceData!$U$263),"")</f>
        <v>9.5506671569999995</v>
      </c>
      <c r="V263">
        <f ca="1">IFERROR(IF(0=LEN(ReferenceData!$V$263),"",ReferenceData!$V$263),"")</f>
        <v>9.7994042520000004</v>
      </c>
      <c r="W263">
        <f ca="1">IFERROR(IF(0=LEN(ReferenceData!$W$263),"",ReferenceData!$W$263),"")</f>
        <v>10.3277059</v>
      </c>
      <c r="X263">
        <f ca="1">IFERROR(IF(0=LEN(ReferenceData!$X$263),"",ReferenceData!$X$263),"")</f>
        <v>9.6078053039999993</v>
      </c>
      <c r="Y263">
        <f ca="1">IFERROR(IF(0=LEN(ReferenceData!$Y$263),"",ReferenceData!$Y$263),"")</f>
        <v>9.7826280269999994</v>
      </c>
      <c r="Z263">
        <f ca="1">IFERROR(IF(0=LEN(ReferenceData!$Z$263),"",ReferenceData!$Z$263),"")</f>
        <v>10.67781347</v>
      </c>
      <c r="AA263">
        <f ca="1">IFERROR(IF(0=LEN(ReferenceData!$AA$263),"",ReferenceData!$AA$263),"")</f>
        <v>10.83613615</v>
      </c>
      <c r="AB263">
        <f ca="1">IFERROR(IF(0=LEN(ReferenceData!$AB$263),"",ReferenceData!$AB$263),"")</f>
        <v>10.90711318</v>
      </c>
      <c r="AC263">
        <f ca="1">IFERROR(IF(0=LEN(ReferenceData!$AC$263),"",ReferenceData!$AC$263),"")</f>
        <v>11.219453740000001</v>
      </c>
      <c r="AD263">
        <f ca="1">IFERROR(IF(0=LEN(ReferenceData!$AD$263),"",ReferenceData!$AD$263),"")</f>
        <v>10.426381259999999</v>
      </c>
      <c r="AE263">
        <f ca="1">IFERROR(IF(0=LEN(ReferenceData!$AE$263),"",ReferenceData!$AE$263),"")</f>
        <v>10.708541609999999</v>
      </c>
      <c r="AF263">
        <f ca="1">IFERROR(IF(0=LEN(ReferenceData!$AF$263),"",ReferenceData!$AF$263),"")</f>
        <v>11.54470796</v>
      </c>
      <c r="AG263">
        <f ca="1">IFERROR(IF(0=LEN(ReferenceData!$AG$263),"",ReferenceData!$AG$263),"")</f>
        <v>10.294813449999999</v>
      </c>
      <c r="AH263">
        <f ca="1">IFERROR(IF(0=LEN(ReferenceData!$AH$263),"",ReferenceData!$AH$263),"")</f>
        <v>12.47905744</v>
      </c>
      <c r="AI263">
        <f ca="1">IFERROR(IF(0=LEN(ReferenceData!$AI$263),"",ReferenceData!$AI$263),"")</f>
        <v>11.88338701</v>
      </c>
      <c r="AJ263">
        <f ca="1">IFERROR(IF(0=LEN(ReferenceData!$AJ$263),"",ReferenceData!$AJ$263),"")</f>
        <v>11.05825375</v>
      </c>
      <c r="AK263">
        <f ca="1">IFERROR(IF(0=LEN(ReferenceData!$AK$263),"",ReferenceData!$AK$263),"")</f>
        <v>13.805407799999999</v>
      </c>
      <c r="AL263">
        <f ca="1">IFERROR(IF(0=LEN(ReferenceData!$AL$263),"",ReferenceData!$AL$263),"")</f>
        <v>14.93080747</v>
      </c>
      <c r="AM263">
        <f ca="1">IFERROR(IF(0=LEN(ReferenceData!$AM$263),"",ReferenceData!$AM$263),"")</f>
        <v>16.26955049</v>
      </c>
      <c r="AN263">
        <f ca="1">IFERROR(IF(0=LEN(ReferenceData!$AN$263),"",ReferenceData!$AN$263),"")</f>
        <v>13.24245462</v>
      </c>
      <c r="AO263">
        <f ca="1">IFERROR(IF(0=LEN(ReferenceData!$AO$263),"",ReferenceData!$AO$263),"")</f>
        <v>11.490480870000001</v>
      </c>
      <c r="AP263">
        <f ca="1">IFERROR(IF(0=LEN(ReferenceData!$AP$263),"",ReferenceData!$AP$263),"")</f>
        <v>10.46362508</v>
      </c>
      <c r="AQ263">
        <f ca="1">IFERROR(IF(0=LEN(ReferenceData!$AQ$263),"",ReferenceData!$AQ$263),"")</f>
        <v>10.068485859999999</v>
      </c>
      <c r="AR263" t="str">
        <f ca="1">IFERROR(IF(0=LEN(ReferenceData!$AR$263),"",ReferenceData!$AR$263),"")</f>
        <v/>
      </c>
      <c r="AS263" t="str">
        <f ca="1">IFERROR(IF(0=LEN(ReferenceData!$AS$263),"",ReferenceData!$AS$263),"")</f>
        <v/>
      </c>
      <c r="AT263" t="str">
        <f ca="1">IFERROR(IF(0=LEN(ReferenceData!$AT$263),"",ReferenceData!$AT$263),"")</f>
        <v/>
      </c>
      <c r="AU263" t="str">
        <f ca="1">IFERROR(IF(0=LEN(ReferenceData!$AU$263),"",ReferenceData!$AU$263),"")</f>
        <v/>
      </c>
      <c r="AV263" t="str">
        <f ca="1">IFERROR(IF(0=LEN(ReferenceData!$AV$263),"",ReferenceData!$AV$263),"")</f>
        <v/>
      </c>
      <c r="AW263" t="str">
        <f ca="1">IFERROR(IF(0=LEN(ReferenceData!$AW$263),"",ReferenceData!$AW$263),"")</f>
        <v/>
      </c>
      <c r="AX263" t="str">
        <f ca="1">IFERROR(IF(0=LEN(ReferenceData!$AX$263),"",ReferenceData!$AX$263),"")</f>
        <v/>
      </c>
      <c r="AY263" t="str">
        <f ca="1">IFERROR(IF(0=LEN(ReferenceData!$AY$263),"",ReferenceData!$AY$263),"")</f>
        <v/>
      </c>
      <c r="AZ263" t="str">
        <f ca="1">IFERROR(IF(0=LEN(ReferenceData!$AZ$263),"",ReferenceData!$AZ$263),"")</f>
        <v/>
      </c>
      <c r="BA263" t="str">
        <f ca="1">IFERROR(IF(0=LEN(ReferenceData!$BA$263),"",ReferenceData!$BA$263),"")</f>
        <v/>
      </c>
      <c r="BB263" t="str">
        <f ca="1">IFERROR(IF(0=LEN(ReferenceData!$BB$263),"",ReferenceData!$BB$263),"")</f>
        <v/>
      </c>
      <c r="BC263" t="str">
        <f ca="1">IFERROR(IF(0=LEN(ReferenceData!$BC$263),"",ReferenceData!$BC$263),"")</f>
        <v/>
      </c>
      <c r="BD263" t="str">
        <f ca="1">IFERROR(IF(0=LEN(ReferenceData!$BD$263),"",ReferenceData!$BD$263),"")</f>
        <v/>
      </c>
      <c r="BE263" t="str">
        <f ca="1">IFERROR(IF(0=LEN(ReferenceData!$BE$263),"",ReferenceData!$BE$263),"")</f>
        <v/>
      </c>
      <c r="BF263" t="str">
        <f ca="1">IFERROR(IF(0=LEN(ReferenceData!$BF$263),"",ReferenceData!$BF$263),"")</f>
        <v/>
      </c>
      <c r="BG263" t="str">
        <f ca="1">IFERROR(IF(0=LEN(ReferenceData!$BG$263),"",ReferenceData!$BG$263),"")</f>
        <v/>
      </c>
      <c r="BH263" t="str">
        <f ca="1">IFERROR(IF(0=LEN(ReferenceData!$BH$263),"",ReferenceData!$BH$263),"")</f>
        <v/>
      </c>
      <c r="BI263" t="str">
        <f ca="1">IFERROR(IF(0=LEN(ReferenceData!$BI$263),"",ReferenceData!$BI$263),"")</f>
        <v/>
      </c>
      <c r="BJ263" t="str">
        <f ca="1">IFERROR(IF(0=LEN(ReferenceData!$BJ$263),"",ReferenceData!$BJ$263),"")</f>
        <v/>
      </c>
      <c r="BK263" t="str">
        <f ca="1">IFERROR(IF(0=LEN(ReferenceData!$BK$263),"",ReferenceData!$BK$263),"")</f>
        <v/>
      </c>
      <c r="BL263" t="str">
        <f ca="1">IFERROR(IF(0=LEN(ReferenceData!$BL$263),"",ReferenceData!$BL$263),"")</f>
        <v/>
      </c>
      <c r="BM263" t="str">
        <f ca="1">IFERROR(IF(0=LEN(ReferenceData!$BM$263),"",ReferenceData!$BM$263),"")</f>
        <v/>
      </c>
    </row>
    <row r="264" spans="1:65">
      <c r="A264" t="str">
        <f>IFERROR(IF(0=LEN(ReferenceData!$A$264),"",ReferenceData!$A$264),"")</f>
        <v xml:space="preserve">    Federal Realty Investment Trus</v>
      </c>
      <c r="B264" t="str">
        <f>IFERROR(IF(0=LEN(ReferenceData!$B$264),"",ReferenceData!$B$264),"")</f>
        <v>FRT US Equity</v>
      </c>
      <c r="C264" t="str">
        <f>IFERROR(IF(0=LEN(ReferenceData!$C$264),"",ReferenceData!$C$264),"")</f>
        <v>RR052</v>
      </c>
      <c r="D264" t="str">
        <f>IFERROR(IF(0=LEN(ReferenceData!$D$264),"",ReferenceData!$D$264),"")</f>
        <v>TOT_DEBT_TO_EBITDA</v>
      </c>
      <c r="E264" t="str">
        <f>IFERROR(IF(0=LEN(ReferenceData!$E$264),"",ReferenceData!$E$264),"")</f>
        <v>动态</v>
      </c>
      <c r="F264" t="str">
        <f ca="1">IFERROR(IF(0=LEN(ReferenceData!$F$264),"",ReferenceData!$F$264),"")</f>
        <v/>
      </c>
      <c r="G264">
        <f ca="1">IFERROR(IF(0=LEN(ReferenceData!$G$264),"",ReferenceData!$G$264),"")</f>
        <v>5.9904037289999996</v>
      </c>
      <c r="H264">
        <f ca="1">IFERROR(IF(0=LEN(ReferenceData!$H$264),"",ReferenceData!$H$264),"")</f>
        <v>6.0354902419999998</v>
      </c>
      <c r="I264">
        <f ca="1">IFERROR(IF(0=LEN(ReferenceData!$I$264),"",ReferenceData!$I$264),"")</f>
        <v>5.9305241070000001</v>
      </c>
      <c r="J264">
        <f ca="1">IFERROR(IF(0=LEN(ReferenceData!$J$264),"",ReferenceData!$J$264),"")</f>
        <v>5.764102437</v>
      </c>
      <c r="K264">
        <f ca="1">IFERROR(IF(0=LEN(ReferenceData!$K$264),"",ReferenceData!$K$264),"")</f>
        <v>5.4383225150000003</v>
      </c>
      <c r="L264">
        <f ca="1">IFERROR(IF(0=LEN(ReferenceData!$L$264),"",ReferenceData!$L$264),"")</f>
        <v>5.5635812050000002</v>
      </c>
      <c r="M264">
        <f ca="1">IFERROR(IF(0=LEN(ReferenceData!$M$264),"",ReferenceData!$M$264),"")</f>
        <v>5.3808844999999996</v>
      </c>
      <c r="N264">
        <f ca="1">IFERROR(IF(0=LEN(ReferenceData!$N$264),"",ReferenceData!$N$264),"")</f>
        <v>5.4767580039999997</v>
      </c>
      <c r="O264">
        <f ca="1">IFERROR(IF(0=LEN(ReferenceData!$O$264),"",ReferenceData!$O$264),"")</f>
        <v>5.5315633220000002</v>
      </c>
      <c r="P264">
        <f ca="1">IFERROR(IF(0=LEN(ReferenceData!$P$264),"",ReferenceData!$P$264),"")</f>
        <v>5.4162550200000004</v>
      </c>
      <c r="Q264">
        <f ca="1">IFERROR(IF(0=LEN(ReferenceData!$Q$264),"",ReferenceData!$Q$264),"")</f>
        <v>5.541370906</v>
      </c>
      <c r="R264">
        <f ca="1">IFERROR(IF(0=LEN(ReferenceData!$R$264),"",ReferenceData!$R$264),"")</f>
        <v>5.8768674929999998</v>
      </c>
      <c r="S264">
        <f ca="1">IFERROR(IF(0=LEN(ReferenceData!$S$264),"",ReferenceData!$S$264),"")</f>
        <v>5.4535963479999996</v>
      </c>
      <c r="T264">
        <f ca="1">IFERROR(IF(0=LEN(ReferenceData!$T$264),"",ReferenceData!$T$264),"")</f>
        <v>5.3145042800000004</v>
      </c>
      <c r="U264">
        <f ca="1">IFERROR(IF(0=LEN(ReferenceData!$U$264),"",ReferenceData!$U$264),"")</f>
        <v>5.543201807</v>
      </c>
      <c r="V264">
        <f ca="1">IFERROR(IF(0=LEN(ReferenceData!$V$264),"",ReferenceData!$V$264),"")</f>
        <v>5.7028548399999996</v>
      </c>
      <c r="W264">
        <f ca="1">IFERROR(IF(0=LEN(ReferenceData!$W$264),"",ReferenceData!$W$264),"")</f>
        <v>5.5913451810000003</v>
      </c>
      <c r="X264">
        <f ca="1">IFERROR(IF(0=LEN(ReferenceData!$X$264),"",ReferenceData!$X$264),"")</f>
        <v>5.6056907699999998</v>
      </c>
      <c r="Y264">
        <f ca="1">IFERROR(IF(0=LEN(ReferenceData!$Y$264),"",ReferenceData!$Y$264),"")</f>
        <v>5.6430527499999998</v>
      </c>
      <c r="Z264">
        <f ca="1">IFERROR(IF(0=LEN(ReferenceData!$Z$264),"",ReferenceData!$Z$264),"")</f>
        <v>5.449060265</v>
      </c>
      <c r="AA264">
        <f ca="1">IFERROR(IF(0=LEN(ReferenceData!$AA$264),"",ReferenceData!$AA$264),"")</f>
        <v>5.5635375260000002</v>
      </c>
      <c r="AB264">
        <f ca="1">IFERROR(IF(0=LEN(ReferenceData!$AB$264),"",ReferenceData!$AB$264),"")</f>
        <v>5.6547398099999997</v>
      </c>
      <c r="AC264">
        <f ca="1">IFERROR(IF(0=LEN(ReferenceData!$AC$264),"",ReferenceData!$AC$264),"")</f>
        <v>5.6725704390000002</v>
      </c>
      <c r="AD264">
        <f ca="1">IFERROR(IF(0=LEN(ReferenceData!$AD$264),"",ReferenceData!$AD$264),"")</f>
        <v>5.8041603439999996</v>
      </c>
      <c r="AE264">
        <f ca="1">IFERROR(IF(0=LEN(ReferenceData!$AE$264),"",ReferenceData!$AE$264),"")</f>
        <v>5.9571507209999996</v>
      </c>
      <c r="AF264">
        <f ca="1">IFERROR(IF(0=LEN(ReferenceData!$AF$264),"",ReferenceData!$AF$264),"")</f>
        <v>4.8886902389999998</v>
      </c>
      <c r="AG264">
        <f ca="1">IFERROR(IF(0=LEN(ReferenceData!$AG$264),"",ReferenceData!$AG$264),"")</f>
        <v>5.0193097309999999</v>
      </c>
      <c r="AH264">
        <f ca="1">IFERROR(IF(0=LEN(ReferenceData!$AH$264),"",ReferenceData!$AH$264),"")</f>
        <v>5.1792142989999999</v>
      </c>
      <c r="AI264">
        <f ca="1">IFERROR(IF(0=LEN(ReferenceData!$AI$264),"",ReferenceData!$AI$264),"")</f>
        <v>5.0591443409999997</v>
      </c>
      <c r="AJ264">
        <f ca="1">IFERROR(IF(0=LEN(ReferenceData!$AJ$264),"",ReferenceData!$AJ$264),"")</f>
        <v>4.8872145649999998</v>
      </c>
      <c r="AK264">
        <f ca="1">IFERROR(IF(0=LEN(ReferenceData!$AK$264),"",ReferenceData!$AK$264),"")</f>
        <v>4.8110818809999998</v>
      </c>
      <c r="AL264">
        <f ca="1">IFERROR(IF(0=LEN(ReferenceData!$AL$264),"",ReferenceData!$AL$264),"")</f>
        <v>4.819889216</v>
      </c>
      <c r="AM264">
        <f ca="1">IFERROR(IF(0=LEN(ReferenceData!$AM$264),"",ReferenceData!$AM$264),"")</f>
        <v>5.5088705239999998</v>
      </c>
      <c r="AN264">
        <f ca="1">IFERROR(IF(0=LEN(ReferenceData!$AN$264),"",ReferenceData!$AN$264),"")</f>
        <v>6.4412479930000002</v>
      </c>
      <c r="AO264">
        <f ca="1">IFERROR(IF(0=LEN(ReferenceData!$AO$264),"",ReferenceData!$AO$264),"")</f>
        <v>6.0182397539999997</v>
      </c>
      <c r="AP264">
        <f ca="1">IFERROR(IF(0=LEN(ReferenceData!$AP$264),"",ReferenceData!$AP$264),"")</f>
        <v>5.6225819399999999</v>
      </c>
      <c r="AQ264">
        <f ca="1">IFERROR(IF(0=LEN(ReferenceData!$AQ$264),"",ReferenceData!$AQ$264),"")</f>
        <v>5.3164855710000003</v>
      </c>
      <c r="AR264">
        <f ca="1">IFERROR(IF(0=LEN(ReferenceData!$AR$264),"",ReferenceData!$AR$264),"")</f>
        <v>5.4006698039999996</v>
      </c>
      <c r="AS264">
        <f ca="1">IFERROR(IF(0=LEN(ReferenceData!$AS$264),"",ReferenceData!$AS$264),"")</f>
        <v>5.1906987469999999</v>
      </c>
      <c r="AT264">
        <f ca="1">IFERROR(IF(0=LEN(ReferenceData!$AT$264),"",ReferenceData!$AT$264),"")</f>
        <v>5.123935812</v>
      </c>
      <c r="AU264">
        <f ca="1">IFERROR(IF(0=LEN(ReferenceData!$AU$264),"",ReferenceData!$AU$264),"")</f>
        <v>5.1821465399999997</v>
      </c>
      <c r="AV264">
        <f ca="1">IFERROR(IF(0=LEN(ReferenceData!$AV$264),"",ReferenceData!$AV$264),"")</f>
        <v>6.0142021339999996</v>
      </c>
      <c r="AW264">
        <f ca="1">IFERROR(IF(0=LEN(ReferenceData!$AW$264),"",ReferenceData!$AW$264),"")</f>
        <v>6.0688278479999997</v>
      </c>
      <c r="AX264">
        <f ca="1">IFERROR(IF(0=LEN(ReferenceData!$AX$264),"",ReferenceData!$AX$264),"")</f>
        <v>6.2566551830000003</v>
      </c>
      <c r="AY264">
        <f ca="1">IFERROR(IF(0=LEN(ReferenceData!$AY$264),"",ReferenceData!$AY$264),"")</f>
        <v>5.905199713</v>
      </c>
      <c r="AZ264">
        <f ca="1">IFERROR(IF(0=LEN(ReferenceData!$AZ$264),"",ReferenceData!$AZ$264),"")</f>
        <v>5.2593763789999999</v>
      </c>
      <c r="BA264">
        <f ca="1">IFERROR(IF(0=LEN(ReferenceData!$BA$264),"",ReferenceData!$BA$264),"")</f>
        <v>4.966791035</v>
      </c>
      <c r="BB264">
        <f ca="1">IFERROR(IF(0=LEN(ReferenceData!$BB$264),"",ReferenceData!$BB$264),"")</f>
        <v>5.0503880329999999</v>
      </c>
      <c r="BC264">
        <f ca="1">IFERROR(IF(0=LEN(ReferenceData!$BC$264),"",ReferenceData!$BC$264),"")</f>
        <v>5.1631537310000004</v>
      </c>
      <c r="BD264">
        <f ca="1">IFERROR(IF(0=LEN(ReferenceData!$BD$264),"",ReferenceData!$BD$264),"")</f>
        <v>5.0897033350000003</v>
      </c>
      <c r="BE264">
        <f ca="1">IFERROR(IF(0=LEN(ReferenceData!$BE$264),"",ReferenceData!$BE$264),"")</f>
        <v>4.4454555219999996</v>
      </c>
      <c r="BF264">
        <f ca="1">IFERROR(IF(0=LEN(ReferenceData!$BF$264),"",ReferenceData!$BF$264),"")</f>
        <v>4.5708805249999997</v>
      </c>
      <c r="BG264">
        <f ca="1">IFERROR(IF(0=LEN(ReferenceData!$BG$264),"",ReferenceData!$BG$264),"")</f>
        <v>4.4581468910000002</v>
      </c>
      <c r="BH264">
        <f ca="1">IFERROR(IF(0=LEN(ReferenceData!$BH$264),"",ReferenceData!$BH$264),"")</f>
        <v>4.4094484530000004</v>
      </c>
      <c r="BI264">
        <f ca="1">IFERROR(IF(0=LEN(ReferenceData!$BI$264),"",ReferenceData!$BI$264),"")</f>
        <v>4.727695411</v>
      </c>
      <c r="BJ264">
        <f ca="1">IFERROR(IF(0=LEN(ReferenceData!$BJ$264),"",ReferenceData!$BJ$264),"")</f>
        <v>4.8900356030000003</v>
      </c>
      <c r="BK264">
        <f ca="1">IFERROR(IF(0=LEN(ReferenceData!$BK$264),"",ReferenceData!$BK$264),"")</f>
        <v>4.6715900829999999</v>
      </c>
      <c r="BL264">
        <f ca="1">IFERROR(IF(0=LEN(ReferenceData!$BL$264),"",ReferenceData!$BL$264),"")</f>
        <v>4.5733135679999997</v>
      </c>
      <c r="BM264">
        <f ca="1">IFERROR(IF(0=LEN(ReferenceData!$BM$264),"",ReferenceData!$BM$264),"")</f>
        <v>4.745662029</v>
      </c>
    </row>
    <row r="265" spans="1:65">
      <c r="A265" t="str">
        <f>IFERROR(IF(0=LEN(ReferenceData!$A$265),"",ReferenceData!$A$265),"")</f>
        <v xml:space="preserve">    Kimco Realty Corp</v>
      </c>
      <c r="B265" t="str">
        <f>IFERROR(IF(0=LEN(ReferenceData!$B$265),"",ReferenceData!$B$265),"")</f>
        <v>KIM US Equity</v>
      </c>
      <c r="C265" t="str">
        <f>IFERROR(IF(0=LEN(ReferenceData!$C$265),"",ReferenceData!$C$265),"")</f>
        <v>RR052</v>
      </c>
      <c r="D265" t="str">
        <f>IFERROR(IF(0=LEN(ReferenceData!$D$265),"",ReferenceData!$D$265),"")</f>
        <v>TOT_DEBT_TO_EBITDA</v>
      </c>
      <c r="E265" t="str">
        <f>IFERROR(IF(0=LEN(ReferenceData!$E$265),"",ReferenceData!$E$265),"")</f>
        <v>动态</v>
      </c>
      <c r="F265" t="str">
        <f ca="1">IFERROR(IF(0=LEN(ReferenceData!$F$265),"",ReferenceData!$F$265),"")</f>
        <v/>
      </c>
      <c r="G265">
        <f ca="1">IFERROR(IF(0=LEN(ReferenceData!$G$265),"",ReferenceData!$G$265),"")</f>
        <v>7.8462057310000004</v>
      </c>
      <c r="H265">
        <f ca="1">IFERROR(IF(0=LEN(ReferenceData!$H$265),"",ReferenceData!$H$265),"")</f>
        <v>7.9658808319999999</v>
      </c>
      <c r="I265">
        <f ca="1">IFERROR(IF(0=LEN(ReferenceData!$I$265),"",ReferenceData!$I$265),"")</f>
        <v>7.9092883350000003</v>
      </c>
      <c r="J265">
        <f ca="1">IFERROR(IF(0=LEN(ReferenceData!$J$265),"",ReferenceData!$J$265),"")</f>
        <v>7.8035307789999999</v>
      </c>
      <c r="K265">
        <f ca="1">IFERROR(IF(0=LEN(ReferenceData!$K$265),"",ReferenceData!$K$265),"")</f>
        <v>7.721438772</v>
      </c>
      <c r="L265">
        <f ca="1">IFERROR(IF(0=LEN(ReferenceData!$L$265),"",ReferenceData!$L$265),"")</f>
        <v>7.5535709969999996</v>
      </c>
      <c r="M265">
        <f ca="1">IFERROR(IF(0=LEN(ReferenceData!$M$265),"",ReferenceData!$M$265),"")</f>
        <v>7.7708077490000003</v>
      </c>
      <c r="N265">
        <f ca="1">IFERROR(IF(0=LEN(ReferenceData!$N$265),"",ReferenceData!$N$265),"")</f>
        <v>7.3363877559999997</v>
      </c>
      <c r="O265">
        <f ca="1">IFERROR(IF(0=LEN(ReferenceData!$O$265),"",ReferenceData!$O$265),"")</f>
        <v>7.8132797749999998</v>
      </c>
      <c r="P265">
        <f ca="1">IFERROR(IF(0=LEN(ReferenceData!$P$265),"",ReferenceData!$P$265),"")</f>
        <v>8.1636747770000007</v>
      </c>
      <c r="Q265">
        <f ca="1">IFERROR(IF(0=LEN(ReferenceData!$Q$265),"",ReferenceData!$Q$265),"")</f>
        <v>8.4435790780000008</v>
      </c>
      <c r="R265">
        <f ca="1">IFERROR(IF(0=LEN(ReferenceData!$R$265),"",ReferenceData!$R$265),"")</f>
        <v>9.2936441799999994</v>
      </c>
      <c r="S265">
        <f ca="1">IFERROR(IF(0=LEN(ReferenceData!$S$265),"",ReferenceData!$S$265),"")</f>
        <v>7.8777973560000003</v>
      </c>
      <c r="T265">
        <f ca="1">IFERROR(IF(0=LEN(ReferenceData!$T$265),"",ReferenceData!$T$265),"")</f>
        <v>8.2643807589999998</v>
      </c>
      <c r="U265">
        <f ca="1">IFERROR(IF(0=LEN(ReferenceData!$U$265),"",ReferenceData!$U$265),"")</f>
        <v>9.6841951179999999</v>
      </c>
      <c r="V265">
        <f ca="1">IFERROR(IF(0=LEN(ReferenceData!$V$265),"",ReferenceData!$V$265),"")</f>
        <v>9.2845052149999994</v>
      </c>
      <c r="W265">
        <f ca="1">IFERROR(IF(0=LEN(ReferenceData!$W$265),"",ReferenceData!$W$265),"")</f>
        <v>8.9327641119999992</v>
      </c>
      <c r="X265">
        <f ca="1">IFERROR(IF(0=LEN(ReferenceData!$X$265),"",ReferenceData!$X$265),"")</f>
        <v>9.5181284670000004</v>
      </c>
      <c r="Y265">
        <f ca="1">IFERROR(IF(0=LEN(ReferenceData!$Y$265),"",ReferenceData!$Y$265),"")</f>
        <v>8.6402549830000002</v>
      </c>
      <c r="Z265">
        <f ca="1">IFERROR(IF(0=LEN(ReferenceData!$Z$265),"",ReferenceData!$Z$265),"")</f>
        <v>8.1946072230000002</v>
      </c>
      <c r="AA265">
        <f ca="1">IFERROR(IF(0=LEN(ReferenceData!$AA$265),"",ReferenceData!$AA$265),"")</f>
        <v>7.7720272619999999</v>
      </c>
      <c r="AB265">
        <f ca="1">IFERROR(IF(0=LEN(ReferenceData!$AB$265),"",ReferenceData!$AB$265),"")</f>
        <v>7.8196899699999998</v>
      </c>
      <c r="AC265">
        <f ca="1">IFERROR(IF(0=LEN(ReferenceData!$AC$265),"",ReferenceData!$AC$265),"")</f>
        <v>7.9833461889999997</v>
      </c>
      <c r="AD265">
        <f ca="1">IFERROR(IF(0=LEN(ReferenceData!$AD$265),"",ReferenceData!$AD$265),"")</f>
        <v>7.6151853909999998</v>
      </c>
      <c r="AE265">
        <f ca="1">IFERROR(IF(0=LEN(ReferenceData!$AE$265),"",ReferenceData!$AE$265),"")</f>
        <v>8.0291022840000004</v>
      </c>
      <c r="AF265">
        <f ca="1">IFERROR(IF(0=LEN(ReferenceData!$AF$265),"",ReferenceData!$AF$265),"")</f>
        <v>7.8157430249999997</v>
      </c>
      <c r="AG265">
        <f ca="1">IFERROR(IF(0=LEN(ReferenceData!$AG$265),"",ReferenceData!$AG$265),"")</f>
        <v>7.6659662649999998</v>
      </c>
      <c r="AH265">
        <f ca="1">IFERROR(IF(0=LEN(ReferenceData!$AH$265),"",ReferenceData!$AH$265),"")</f>
        <v>7.9028617240000001</v>
      </c>
      <c r="AI265">
        <f ca="1">IFERROR(IF(0=LEN(ReferenceData!$AI$265),"",ReferenceData!$AI$265),"")</f>
        <v>7.6216806430000004</v>
      </c>
      <c r="AJ265">
        <f ca="1">IFERROR(IF(0=LEN(ReferenceData!$AJ$265),"",ReferenceData!$AJ$265),"")</f>
        <v>7.3419752440000003</v>
      </c>
      <c r="AK265">
        <f ca="1">IFERROR(IF(0=LEN(ReferenceData!$AK$265),"",ReferenceData!$AK$265),"")</f>
        <v>7.7969655930000004</v>
      </c>
      <c r="AL265">
        <f ca="1">IFERROR(IF(0=LEN(ReferenceData!$AL$265),"",ReferenceData!$AL$265),"")</f>
        <v>9.0196002600000007</v>
      </c>
      <c r="AM265">
        <f ca="1">IFERROR(IF(0=LEN(ReferenceData!$AM$265),"",ReferenceData!$AM$265),"")</f>
        <v>9.0594307799999996</v>
      </c>
      <c r="AN265">
        <f ca="1">IFERROR(IF(0=LEN(ReferenceData!$AN$265),"",ReferenceData!$AN$265),"")</f>
        <v>8.3241740049999997</v>
      </c>
      <c r="AO265">
        <f ca="1">IFERROR(IF(0=LEN(ReferenceData!$AO$265),"",ReferenceData!$AO$265),"")</f>
        <v>8.3514972959999998</v>
      </c>
      <c r="AP265">
        <f ca="1">IFERROR(IF(0=LEN(ReferenceData!$AP$265),"",ReferenceData!$AP$265),"")</f>
        <v>8.3094972709999997</v>
      </c>
      <c r="AQ265">
        <f ca="1">IFERROR(IF(0=LEN(ReferenceData!$AQ$265),"",ReferenceData!$AQ$265),"")</f>
        <v>7.8615995639999996</v>
      </c>
      <c r="AR265">
        <f ca="1">IFERROR(IF(0=LEN(ReferenceData!$AR$265),"",ReferenceData!$AR$265),"")</f>
        <v>7.7026538310000001</v>
      </c>
      <c r="AS265">
        <f ca="1">IFERROR(IF(0=LEN(ReferenceData!$AS$265),"",ReferenceData!$AS$265),"")</f>
        <v>8.5123704670000002</v>
      </c>
      <c r="AT265">
        <f ca="1">IFERROR(IF(0=LEN(ReferenceData!$AT$265),"",ReferenceData!$AT$265),"")</f>
        <v>8.2442655200000008</v>
      </c>
      <c r="AU265">
        <f ca="1">IFERROR(IF(0=LEN(ReferenceData!$AU$265),"",ReferenceData!$AU$265),"")</f>
        <v>7.9348096100000003</v>
      </c>
      <c r="AV265">
        <f ca="1">IFERROR(IF(0=LEN(ReferenceData!$AV$265),"",ReferenceData!$AV$265),"")</f>
        <v>7.2902326979999996</v>
      </c>
      <c r="AW265">
        <f ca="1">IFERROR(IF(0=LEN(ReferenceData!$AW$265),"",ReferenceData!$AW$265),"")</f>
        <v>7.4861974179999997</v>
      </c>
      <c r="AX265">
        <f ca="1">IFERROR(IF(0=LEN(ReferenceData!$AX$265),"",ReferenceData!$AX$265),"")</f>
        <v>6.5956063409999999</v>
      </c>
      <c r="AY265">
        <f ca="1">IFERROR(IF(0=LEN(ReferenceData!$AY$265),"",ReferenceData!$AY$265),"")</f>
        <v>6.6803784860000004</v>
      </c>
      <c r="AZ265">
        <f ca="1">IFERROR(IF(0=LEN(ReferenceData!$AZ$265),"",ReferenceData!$AZ$265),"")</f>
        <v>7.9315979480000003</v>
      </c>
      <c r="BA265">
        <f ca="1">IFERROR(IF(0=LEN(ReferenceData!$BA$265),"",ReferenceData!$BA$265),"")</f>
        <v>7.2136005330000001</v>
      </c>
      <c r="BB265">
        <f ca="1">IFERROR(IF(0=LEN(ReferenceData!$BB$265),"",ReferenceData!$BB$265),"")</f>
        <v>6.9908838680000001</v>
      </c>
      <c r="BC265">
        <f ca="1">IFERROR(IF(0=LEN(ReferenceData!$BC$265),"",ReferenceData!$BC$265),"")</f>
        <v>6.6450268399999999</v>
      </c>
      <c r="BD265">
        <f ca="1">IFERROR(IF(0=LEN(ReferenceData!$BD$265),"",ReferenceData!$BD$265),"")</f>
        <v>5.4902499239999996</v>
      </c>
      <c r="BE265">
        <f ca="1">IFERROR(IF(0=LEN(ReferenceData!$BE$265),"",ReferenceData!$BE$265),"")</f>
        <v>5.2533005140000002</v>
      </c>
      <c r="BF265">
        <f ca="1">IFERROR(IF(0=LEN(ReferenceData!$BF$265),"",ReferenceData!$BF$265),"")</f>
        <v>5.1976263579999999</v>
      </c>
      <c r="BG265">
        <f ca="1">IFERROR(IF(0=LEN(ReferenceData!$BG$265),"",ReferenceData!$BG$265),"")</f>
        <v>5.2174197849999997</v>
      </c>
      <c r="BH265" t="str">
        <f ca="1">IFERROR(IF(0=LEN(ReferenceData!$BH$265),"",ReferenceData!$BH$265),"")</f>
        <v/>
      </c>
      <c r="BI265" t="str">
        <f ca="1">IFERROR(IF(0=LEN(ReferenceData!$BI$265),"",ReferenceData!$BI$265),"")</f>
        <v/>
      </c>
      <c r="BJ265" t="str">
        <f ca="1">IFERROR(IF(0=LEN(ReferenceData!$BJ$265),"",ReferenceData!$BJ$265),"")</f>
        <v/>
      </c>
      <c r="BK265" t="str">
        <f ca="1">IFERROR(IF(0=LEN(ReferenceData!$BK$265),"",ReferenceData!$BK$265),"")</f>
        <v/>
      </c>
      <c r="BL265" t="str">
        <f ca="1">IFERROR(IF(0=LEN(ReferenceData!$BL$265),"",ReferenceData!$BL$265),"")</f>
        <v/>
      </c>
      <c r="BM265" t="str">
        <f ca="1">IFERROR(IF(0=LEN(ReferenceData!$BM$265),"",ReferenceData!$BM$265),"")</f>
        <v/>
      </c>
    </row>
    <row r="266" spans="1:65">
      <c r="A266" t="str">
        <f>IFERROR(IF(0=LEN(ReferenceData!$A$266),"",ReferenceData!$A$266),"")</f>
        <v xml:space="preserve">    National Retail Properties Inc</v>
      </c>
      <c r="B266" t="str">
        <f>IFERROR(IF(0=LEN(ReferenceData!$B$266),"",ReferenceData!$B$266),"")</f>
        <v>NNN US Equity</v>
      </c>
      <c r="C266" t="str">
        <f>IFERROR(IF(0=LEN(ReferenceData!$C$266),"",ReferenceData!$C$266),"")</f>
        <v>RR052</v>
      </c>
      <c r="D266" t="str">
        <f>IFERROR(IF(0=LEN(ReferenceData!$D$266),"",ReferenceData!$D$266),"")</f>
        <v>TOT_DEBT_TO_EBITDA</v>
      </c>
      <c r="E266" t="str">
        <f>IFERROR(IF(0=LEN(ReferenceData!$E$266),"",ReferenceData!$E$266),"")</f>
        <v>动态</v>
      </c>
      <c r="F266" t="str">
        <f ca="1">IFERROR(IF(0=LEN(ReferenceData!$F$266),"",ReferenceData!$F$266),"")</f>
        <v/>
      </c>
      <c r="G266">
        <f ca="1">IFERROR(IF(0=LEN(ReferenceData!$G$266),"",ReferenceData!$G$266),"")</f>
        <v>5.0471262049999996</v>
      </c>
      <c r="H266">
        <f ca="1">IFERROR(IF(0=LEN(ReferenceData!$H$266),"",ReferenceData!$H$266),"")</f>
        <v>5.3224292269999998</v>
      </c>
      <c r="I266">
        <f ca="1">IFERROR(IF(0=LEN(ReferenceData!$I$266),"",ReferenceData!$I$266),"")</f>
        <v>5.2242881370000003</v>
      </c>
      <c r="J266">
        <f ca="1">IFERROR(IF(0=LEN(ReferenceData!$J$266),"",ReferenceData!$J$266),"")</f>
        <v>4.9028416479999999</v>
      </c>
      <c r="K266">
        <f ca="1">IFERROR(IF(0=LEN(ReferenceData!$K$266),"",ReferenceData!$K$266),"")</f>
        <v>5.045472105</v>
      </c>
      <c r="L266">
        <f ca="1">IFERROR(IF(0=LEN(ReferenceData!$L$266),"",ReferenceData!$L$266),"")</f>
        <v>4.857730825</v>
      </c>
      <c r="M266">
        <f ca="1">IFERROR(IF(0=LEN(ReferenceData!$M$266),"",ReferenceData!$M$266),"")</f>
        <v>4.7723526669999998</v>
      </c>
      <c r="N266">
        <f ca="1">IFERROR(IF(0=LEN(ReferenceData!$N$266),"",ReferenceData!$N$266),"")</f>
        <v>4.5406512499999998</v>
      </c>
      <c r="O266">
        <f ca="1">IFERROR(IF(0=LEN(ReferenceData!$O$266),"",ReferenceData!$O$266),"")</f>
        <v>4.6662431660000001</v>
      </c>
      <c r="P266">
        <f ca="1">IFERROR(IF(0=LEN(ReferenceData!$P$266),"",ReferenceData!$P$266),"")</f>
        <v>4.8709676640000001</v>
      </c>
      <c r="Q266">
        <f ca="1">IFERROR(IF(0=LEN(ReferenceData!$Q$266),"",ReferenceData!$Q$266),"")</f>
        <v>4.6496813860000001</v>
      </c>
      <c r="R266">
        <f ca="1">IFERROR(IF(0=LEN(ReferenceData!$R$266),"",ReferenceData!$R$266),"")</f>
        <v>4.5391726779999999</v>
      </c>
      <c r="S266">
        <f ca="1">IFERROR(IF(0=LEN(ReferenceData!$S$266),"",ReferenceData!$S$266),"")</f>
        <v>4.5670464109999998</v>
      </c>
      <c r="T266">
        <f ca="1">IFERROR(IF(0=LEN(ReferenceData!$T$266),"",ReferenceData!$T$266),"")</f>
        <v>5.0443590250000003</v>
      </c>
      <c r="U266">
        <f ca="1">IFERROR(IF(0=LEN(ReferenceData!$U$266),"",ReferenceData!$U$266),"")</f>
        <v>4.7658355649999997</v>
      </c>
      <c r="V266">
        <f ca="1">IFERROR(IF(0=LEN(ReferenceData!$V$266),"",ReferenceData!$V$266),"")</f>
        <v>4.5986544279999997</v>
      </c>
      <c r="W266">
        <f ca="1">IFERROR(IF(0=LEN(ReferenceData!$W$266),"",ReferenceData!$W$266),"")</f>
        <v>4.6390373619999998</v>
      </c>
      <c r="X266">
        <f ca="1">IFERROR(IF(0=LEN(ReferenceData!$X$266),"",ReferenceData!$X$266),"")</f>
        <v>4.699411821</v>
      </c>
      <c r="Y266">
        <f ca="1">IFERROR(IF(0=LEN(ReferenceData!$Y$266),"",ReferenceData!$Y$266),"")</f>
        <v>5.7378702019999999</v>
      </c>
      <c r="Z266">
        <f ca="1">IFERROR(IF(0=LEN(ReferenceData!$Z$266),"",ReferenceData!$Z$266),"")</f>
        <v>5.0195035280000004</v>
      </c>
      <c r="AA266">
        <f ca="1">IFERROR(IF(0=LEN(ReferenceData!$AA$266),"",ReferenceData!$AA$266),"")</f>
        <v>5.6928380540000001</v>
      </c>
      <c r="AB266">
        <f ca="1">IFERROR(IF(0=LEN(ReferenceData!$AB$266),"",ReferenceData!$AB$266),"")</f>
        <v>5.8005820000000003</v>
      </c>
      <c r="AC266">
        <f ca="1">IFERROR(IF(0=LEN(ReferenceData!$AC$266),"",ReferenceData!$AC$266),"")</f>
        <v>5.455572621</v>
      </c>
      <c r="AD266">
        <f ca="1">IFERROR(IF(0=LEN(ReferenceData!$AD$266),"",ReferenceData!$AD$266),"")</f>
        <v>5.5185549780000001</v>
      </c>
      <c r="AE266">
        <f ca="1">IFERROR(IF(0=LEN(ReferenceData!$AE$266),"",ReferenceData!$AE$266),"")</f>
        <v>6.0544129419999999</v>
      </c>
      <c r="AF266">
        <f ca="1">IFERROR(IF(0=LEN(ReferenceData!$AF$266),"",ReferenceData!$AF$266),"")</f>
        <v>6.2742847560000001</v>
      </c>
      <c r="AG266">
        <f ca="1">IFERROR(IF(0=LEN(ReferenceData!$AG$266),"",ReferenceData!$AG$266),"")</f>
        <v>6.1321250569999997</v>
      </c>
      <c r="AH266">
        <f ca="1">IFERROR(IF(0=LEN(ReferenceData!$AH$266),"",ReferenceData!$AH$266),"")</f>
        <v>6.0718546870000001</v>
      </c>
      <c r="AI266">
        <f ca="1">IFERROR(IF(0=LEN(ReferenceData!$AI$266),"",ReferenceData!$AI$266),"")</f>
        <v>6.1851308290000002</v>
      </c>
      <c r="AJ266">
        <f ca="1">IFERROR(IF(0=LEN(ReferenceData!$AJ$266),"",ReferenceData!$AJ$266),"")</f>
        <v>6.2461488909999998</v>
      </c>
      <c r="AK266">
        <f ca="1">IFERROR(IF(0=LEN(ReferenceData!$AK$266),"",ReferenceData!$AK$266),"")</f>
        <v>6.1469462110000004</v>
      </c>
      <c r="AL266">
        <f ca="1">IFERROR(IF(0=LEN(ReferenceData!$AL$266),"",ReferenceData!$AL$266),"")</f>
        <v>6.0903744</v>
      </c>
      <c r="AM266">
        <f ca="1">IFERROR(IF(0=LEN(ReferenceData!$AM$266),"",ReferenceData!$AM$266),"")</f>
        <v>5.863482769</v>
      </c>
      <c r="AN266">
        <f ca="1">IFERROR(IF(0=LEN(ReferenceData!$AN$266),"",ReferenceData!$AN$266),"")</f>
        <v>5.0450385000000004</v>
      </c>
      <c r="AO266">
        <f ca="1">IFERROR(IF(0=LEN(ReferenceData!$AO$266),"",ReferenceData!$AO$266),"")</f>
        <v>5.0916658239999997</v>
      </c>
      <c r="AP266">
        <f ca="1">IFERROR(IF(0=LEN(ReferenceData!$AP$266),"",ReferenceData!$AP$266),"")</f>
        <v>5.1263021489999998</v>
      </c>
      <c r="AQ266">
        <f ca="1">IFERROR(IF(0=LEN(ReferenceData!$AQ$266),"",ReferenceData!$AQ$266),"")</f>
        <v>5.3491281690000001</v>
      </c>
      <c r="AR266">
        <f ca="1">IFERROR(IF(0=LEN(ReferenceData!$AR$266),"",ReferenceData!$AR$266),"")</f>
        <v>6.0518472250000004</v>
      </c>
      <c r="AS266">
        <f ca="1">IFERROR(IF(0=LEN(ReferenceData!$AS$266),"",ReferenceData!$AS$266),"")</f>
        <v>6.8858104000000004</v>
      </c>
      <c r="AT266">
        <f ca="1">IFERROR(IF(0=LEN(ReferenceData!$AT$266),"",ReferenceData!$AT$266),"")</f>
        <v>7.2913141110000002</v>
      </c>
      <c r="AU266">
        <f ca="1">IFERROR(IF(0=LEN(ReferenceData!$AU$266),"",ReferenceData!$AU$266),"")</f>
        <v>7.050025217</v>
      </c>
      <c r="AV266">
        <f ca="1">IFERROR(IF(0=LEN(ReferenceData!$AV$266),"",ReferenceData!$AV$266),"")</f>
        <v>7.1578464190000002</v>
      </c>
      <c r="AW266">
        <f ca="1">IFERROR(IF(0=LEN(ReferenceData!$AW$266),"",ReferenceData!$AW$266),"")</f>
        <v>7.0133852650000001</v>
      </c>
      <c r="AX266">
        <f ca="1">IFERROR(IF(0=LEN(ReferenceData!$AX$266),"",ReferenceData!$AX$266),"")</f>
        <v>6.0019610290000003</v>
      </c>
      <c r="AY266">
        <f ca="1">IFERROR(IF(0=LEN(ReferenceData!$AY$266),"",ReferenceData!$AY$266),"")</f>
        <v>6.6763824119999997</v>
      </c>
      <c r="AZ266">
        <f ca="1">IFERROR(IF(0=LEN(ReferenceData!$AZ$266),"",ReferenceData!$AZ$266),"")</f>
        <v>7.508914399</v>
      </c>
      <c r="BA266">
        <f ca="1">IFERROR(IF(0=LEN(ReferenceData!$BA$266),"",ReferenceData!$BA$266),"")</f>
        <v>6.8058892120000003</v>
      </c>
      <c r="BB266">
        <f ca="1">IFERROR(IF(0=LEN(ReferenceData!$BB$266),"",ReferenceData!$BB$266),"")</f>
        <v>8.0368406790000009</v>
      </c>
      <c r="BC266">
        <f ca="1">IFERROR(IF(0=LEN(ReferenceData!$BC$266),"",ReferenceData!$BC$266),"")</f>
        <v>8.8164909910000002</v>
      </c>
      <c r="BD266">
        <f ca="1">IFERROR(IF(0=LEN(ReferenceData!$BD$266),"",ReferenceData!$BD$266),"")</f>
        <v>6.6311286330000003</v>
      </c>
      <c r="BE266">
        <f ca="1">IFERROR(IF(0=LEN(ReferenceData!$BE$266),"",ReferenceData!$BE$266),"")</f>
        <v>6.3797412549999999</v>
      </c>
      <c r="BF266">
        <f ca="1">IFERROR(IF(0=LEN(ReferenceData!$BF$266),"",ReferenceData!$BF$266),"")</f>
        <v>5.6919048999999999</v>
      </c>
      <c r="BG266">
        <f ca="1">IFERROR(IF(0=LEN(ReferenceData!$BG$266),"",ReferenceData!$BG$266),"")</f>
        <v>5.7610800360000001</v>
      </c>
      <c r="BH266">
        <f ca="1">IFERROR(IF(0=LEN(ReferenceData!$BH$266),"",ReferenceData!$BH$266),"")</f>
        <v>6.1107436210000001</v>
      </c>
      <c r="BI266">
        <f ca="1">IFERROR(IF(0=LEN(ReferenceData!$BI$266),"",ReferenceData!$BI$266),"")</f>
        <v>6.2188584889999996</v>
      </c>
      <c r="BJ266">
        <f ca="1">IFERROR(IF(0=LEN(ReferenceData!$BJ$266),"",ReferenceData!$BJ$266),"")</f>
        <v>5.8862800750000002</v>
      </c>
      <c r="BK266">
        <f ca="1">IFERROR(IF(0=LEN(ReferenceData!$BK$266),"",ReferenceData!$BK$266),"")</f>
        <v>5.811900241</v>
      </c>
      <c r="BL266">
        <f ca="1">IFERROR(IF(0=LEN(ReferenceData!$BL$266),"",ReferenceData!$BL$266),"")</f>
        <v>6.2128109939999998</v>
      </c>
      <c r="BM266">
        <f ca="1">IFERROR(IF(0=LEN(ReferenceData!$BM$266),"",ReferenceData!$BM$266),"")</f>
        <v>5.8959531390000004</v>
      </c>
    </row>
    <row r="267" spans="1:65">
      <c r="A267" t="str">
        <f>IFERROR(IF(0=LEN(ReferenceData!$A$267),"",ReferenceData!$A$267),"")</f>
        <v xml:space="preserve">    Realty Income Corp</v>
      </c>
      <c r="B267" t="str">
        <f>IFERROR(IF(0=LEN(ReferenceData!$B$267),"",ReferenceData!$B$267),"")</f>
        <v>O US Equity</v>
      </c>
      <c r="C267" t="str">
        <f>IFERROR(IF(0=LEN(ReferenceData!$C$267),"",ReferenceData!$C$267),"")</f>
        <v>RR052</v>
      </c>
      <c r="D267" t="str">
        <f>IFERROR(IF(0=LEN(ReferenceData!$D$267),"",ReferenceData!$D$267),"")</f>
        <v>TOT_DEBT_TO_EBITDA</v>
      </c>
      <c r="E267" t="str">
        <f>IFERROR(IF(0=LEN(ReferenceData!$E$267),"",ReferenceData!$E$267),"")</f>
        <v>动态</v>
      </c>
      <c r="F267" t="str">
        <f ca="1">IFERROR(IF(0=LEN(ReferenceData!$F$267),"",ReferenceData!$F$267),"")</f>
        <v/>
      </c>
      <c r="G267">
        <f ca="1">IFERROR(IF(0=LEN(ReferenceData!$G$267),"",ReferenceData!$G$267),"")</f>
        <v>5.6951976159999997</v>
      </c>
      <c r="H267">
        <f ca="1">IFERROR(IF(0=LEN(ReferenceData!$H$267),"",ReferenceData!$H$267),"")</f>
        <v>5.4897514679999997</v>
      </c>
      <c r="I267">
        <f ca="1">IFERROR(IF(0=LEN(ReferenceData!$I$267),"",ReferenceData!$I$267),"")</f>
        <v>5.8742404649999997</v>
      </c>
      <c r="J267">
        <f ca="1">IFERROR(IF(0=LEN(ReferenceData!$J$267),"",ReferenceData!$J$267),"")</f>
        <v>5.4791904709999999</v>
      </c>
      <c r="K267">
        <f ca="1">IFERROR(IF(0=LEN(ReferenceData!$K$267),"",ReferenceData!$K$267),"")</f>
        <v>6.0346634259999998</v>
      </c>
      <c r="L267">
        <f ca="1">IFERROR(IF(0=LEN(ReferenceData!$L$267),"",ReferenceData!$L$267),"")</f>
        <v>5.5215802030000001</v>
      </c>
      <c r="M267">
        <f ca="1">IFERROR(IF(0=LEN(ReferenceData!$M$267),"",ReferenceData!$M$267),"")</f>
        <v>5.2581894780000002</v>
      </c>
      <c r="N267">
        <f ca="1">IFERROR(IF(0=LEN(ReferenceData!$N$267),"",ReferenceData!$N$267),"")</f>
        <v>5.4826732590000002</v>
      </c>
      <c r="O267">
        <f ca="1">IFERROR(IF(0=LEN(ReferenceData!$O$267),"",ReferenceData!$O$267),"")</f>
        <v>5.2902101930000001</v>
      </c>
      <c r="P267">
        <f ca="1">IFERROR(IF(0=LEN(ReferenceData!$P$267),"",ReferenceData!$P$267),"")</f>
        <v>5.9855920850000004</v>
      </c>
      <c r="Q267">
        <f ca="1">IFERROR(IF(0=LEN(ReferenceData!$Q$267),"",ReferenceData!$Q$267),"")</f>
        <v>6.1242505600000001</v>
      </c>
      <c r="R267">
        <f ca="1">IFERROR(IF(0=LEN(ReferenceData!$R$267),"",ReferenceData!$R$267),"")</f>
        <v>5.9332225019999996</v>
      </c>
      <c r="S267">
        <f ca="1">IFERROR(IF(0=LEN(ReferenceData!$S$267),"",ReferenceData!$S$267),"")</f>
        <v>5.9617373489999999</v>
      </c>
      <c r="T267">
        <f ca="1">IFERROR(IF(0=LEN(ReferenceData!$T$267),"",ReferenceData!$T$267),"")</f>
        <v>5.8716742310000001</v>
      </c>
      <c r="U267">
        <f ca="1">IFERROR(IF(0=LEN(ReferenceData!$U$267),"",ReferenceData!$U$267),"")</f>
        <v>5.9790618780000004</v>
      </c>
      <c r="V267">
        <f ca="1">IFERROR(IF(0=LEN(ReferenceData!$V$267),"",ReferenceData!$V$267),"")</f>
        <v>6.6249120010000002</v>
      </c>
      <c r="W267">
        <f ca="1">IFERROR(IF(0=LEN(ReferenceData!$W$267),"",ReferenceData!$W$267),"")</f>
        <v>6.2056137119999999</v>
      </c>
      <c r="X267">
        <f ca="1">IFERROR(IF(0=LEN(ReferenceData!$X$267),"",ReferenceData!$X$267),"")</f>
        <v>7.5965469160000003</v>
      </c>
      <c r="Y267">
        <f ca="1">IFERROR(IF(0=LEN(ReferenceData!$Y$267),"",ReferenceData!$Y$267),"")</f>
        <v>7.7455906050000003</v>
      </c>
      <c r="Z267">
        <f ca="1">IFERROR(IF(0=LEN(ReferenceData!$Z$267),"",ReferenceData!$Z$267),"")</f>
        <v>7.4166948369999997</v>
      </c>
      <c r="AA267">
        <f ca="1">IFERROR(IF(0=LEN(ReferenceData!$AA$267),"",ReferenceData!$AA$267),"")</f>
        <v>6.8785949689999999</v>
      </c>
      <c r="AB267">
        <f ca="1">IFERROR(IF(0=LEN(ReferenceData!$AB$267),"",ReferenceData!$AB$267),"")</f>
        <v>6.2087885810000003</v>
      </c>
      <c r="AC267">
        <f ca="1">IFERROR(IF(0=LEN(ReferenceData!$AC$267),"",ReferenceData!$AC$267),"")</f>
        <v>4.9966634699999997</v>
      </c>
      <c r="AD267">
        <f ca="1">IFERROR(IF(0=LEN(ReferenceData!$AD$267),"",ReferenceData!$AD$267),"")</f>
        <v>4.7641659580000004</v>
      </c>
      <c r="AE267">
        <f ca="1">IFERROR(IF(0=LEN(ReferenceData!$AE$267),"",ReferenceData!$AE$267),"")</f>
        <v>5.4802342289999997</v>
      </c>
      <c r="AF267">
        <f ca="1">IFERROR(IF(0=LEN(ReferenceData!$AF$267),"",ReferenceData!$AF$267),"")</f>
        <v>5.3449998880000003</v>
      </c>
      <c r="AG267">
        <f ca="1">IFERROR(IF(0=LEN(ReferenceData!$AG$267),"",ReferenceData!$AG$267),"")</f>
        <v>5.326898452</v>
      </c>
      <c r="AH267">
        <f ca="1">IFERROR(IF(0=LEN(ReferenceData!$AH$267),"",ReferenceData!$AH$267),"")</f>
        <v>4.9704105250000001</v>
      </c>
      <c r="AI267">
        <f ca="1">IFERROR(IF(0=LEN(ReferenceData!$AI$267),"",ReferenceData!$AI$267),"")</f>
        <v>5.1925798030000001</v>
      </c>
      <c r="AJ267">
        <f ca="1">IFERROR(IF(0=LEN(ReferenceData!$AJ$267),"",ReferenceData!$AJ$267),"")</f>
        <v>5.3161268030000004</v>
      </c>
      <c r="AK267">
        <f ca="1">IFERROR(IF(0=LEN(ReferenceData!$AK$267),"",ReferenceData!$AK$267),"")</f>
        <v>5.4782758029999998</v>
      </c>
      <c r="AL267">
        <f ca="1">IFERROR(IF(0=LEN(ReferenceData!$AL$267),"",ReferenceData!$AL$267),"")</f>
        <v>4.6732994190000001</v>
      </c>
      <c r="AM267">
        <f ca="1">IFERROR(IF(0=LEN(ReferenceData!$AM$267),"",ReferenceData!$AM$267),"")</f>
        <v>4.5468734790000003</v>
      </c>
      <c r="AN267">
        <f ca="1">IFERROR(IF(0=LEN(ReferenceData!$AN$267),"",ReferenceData!$AN$267),"")</f>
        <v>4.4321729799999998</v>
      </c>
      <c r="AO267">
        <f ca="1">IFERROR(IF(0=LEN(ReferenceData!$AO$267),"",ReferenceData!$AO$267),"")</f>
        <v>4.4776713460000002</v>
      </c>
      <c r="AP267">
        <f ca="1">IFERROR(IF(0=LEN(ReferenceData!$AP$267),"",ReferenceData!$AP$267),"")</f>
        <v>4.4258522219999996</v>
      </c>
      <c r="AQ267">
        <f ca="1">IFERROR(IF(0=LEN(ReferenceData!$AQ$267),"",ReferenceData!$AQ$267),"")</f>
        <v>4.4567773920000002</v>
      </c>
      <c r="AR267">
        <f ca="1">IFERROR(IF(0=LEN(ReferenceData!$AR$267),"",ReferenceData!$AR$267),"")</f>
        <v>4.8721637050000002</v>
      </c>
      <c r="AS267">
        <f ca="1">IFERROR(IF(0=LEN(ReferenceData!$AS$267),"",ReferenceData!$AS$267),"")</f>
        <v>4.9482453919999996</v>
      </c>
      <c r="AT267">
        <f ca="1">IFERROR(IF(0=LEN(ReferenceData!$AT$267),"",ReferenceData!$AT$267),"")</f>
        <v>5.1777518950000001</v>
      </c>
      <c r="AU267">
        <f ca="1">IFERROR(IF(0=LEN(ReferenceData!$AU$267),"",ReferenceData!$AU$267),"")</f>
        <v>5.3788031519999997</v>
      </c>
      <c r="AV267">
        <f ca="1">IFERROR(IF(0=LEN(ReferenceData!$AV$267),"",ReferenceData!$AV$267),"")</f>
        <v>5.6141584020000002</v>
      </c>
      <c r="AW267">
        <f ca="1">IFERROR(IF(0=LEN(ReferenceData!$AW$267),"",ReferenceData!$AW$267),"")</f>
        <v>3.7260660570000002</v>
      </c>
      <c r="AX267">
        <f ca="1">IFERROR(IF(0=LEN(ReferenceData!$AX$267),"",ReferenceData!$AX$267),"")</f>
        <v>4.0721501529999999</v>
      </c>
      <c r="AY267">
        <f ca="1">IFERROR(IF(0=LEN(ReferenceData!$AY$267),"",ReferenceData!$AY$267),"")</f>
        <v>4.151212407</v>
      </c>
      <c r="AZ267">
        <f ca="1">IFERROR(IF(0=LEN(ReferenceData!$AZ$267),"",ReferenceData!$AZ$267),"")</f>
        <v>4.4332648859999999</v>
      </c>
      <c r="BA267">
        <f ca="1">IFERROR(IF(0=LEN(ReferenceData!$BA$267),"",ReferenceData!$BA$267),"")</f>
        <v>4.2522827530000002</v>
      </c>
      <c r="BB267">
        <f ca="1">IFERROR(IF(0=LEN(ReferenceData!$BB$267),"",ReferenceData!$BB$267),"")</f>
        <v>4.2075721440000002</v>
      </c>
      <c r="BC267">
        <f ca="1">IFERROR(IF(0=LEN(ReferenceData!$BC$267),"",ReferenceData!$BC$267),"")</f>
        <v>4.9805903950000001</v>
      </c>
      <c r="BD267">
        <f ca="1">IFERROR(IF(0=LEN(ReferenceData!$BD$267),"",ReferenceData!$BD$267),"")</f>
        <v>4.5312068200000004</v>
      </c>
      <c r="BE267">
        <f ca="1">IFERROR(IF(0=LEN(ReferenceData!$BE$267),"",ReferenceData!$BE$267),"")</f>
        <v>3.8211958699999999</v>
      </c>
      <c r="BF267">
        <f ca="1">IFERROR(IF(0=LEN(ReferenceData!$BF$267),"",ReferenceData!$BF$267),"")</f>
        <v>3.3580970699999999</v>
      </c>
      <c r="BG267">
        <f ca="1">IFERROR(IF(0=LEN(ReferenceData!$BG$267),"",ReferenceData!$BG$267),"")</f>
        <v>2.9677997189999998</v>
      </c>
      <c r="BH267">
        <f ca="1">IFERROR(IF(0=LEN(ReferenceData!$BH$267),"",ReferenceData!$BH$267),"")</f>
        <v>3.159635878</v>
      </c>
      <c r="BI267">
        <f ca="1">IFERROR(IF(0=LEN(ReferenceData!$BI$267),"",ReferenceData!$BI$267),"")</f>
        <v>3.031527901</v>
      </c>
      <c r="BJ267">
        <f ca="1">IFERROR(IF(0=LEN(ReferenceData!$BJ$267),"",ReferenceData!$BJ$267),"")</f>
        <v>3.6683870860000001</v>
      </c>
      <c r="BK267">
        <f ca="1">IFERROR(IF(0=LEN(ReferenceData!$BK$267),"",ReferenceData!$BK$267),"")</f>
        <v>3.808377803</v>
      </c>
      <c r="BL267">
        <f ca="1">IFERROR(IF(0=LEN(ReferenceData!$BL$267),"",ReferenceData!$BL$267),"")</f>
        <v>3.3022749280000001</v>
      </c>
      <c r="BM267">
        <f ca="1">IFERROR(IF(0=LEN(ReferenceData!$BM$267),"",ReferenceData!$BM$267),"")</f>
        <v>3.009016881</v>
      </c>
    </row>
    <row r="268" spans="1:65">
      <c r="A268" t="str">
        <f>IFERROR(IF(0=LEN(ReferenceData!$A$268),"",ReferenceData!$A$268),"")</f>
        <v xml:space="preserve">    Regency Centers Corp</v>
      </c>
      <c r="B268" t="str">
        <f>IFERROR(IF(0=LEN(ReferenceData!$B$268),"",ReferenceData!$B$268),"")</f>
        <v>REG US Equity</v>
      </c>
      <c r="C268" t="str">
        <f>IFERROR(IF(0=LEN(ReferenceData!$C$268),"",ReferenceData!$C$268),"")</f>
        <v>RR052</v>
      </c>
      <c r="D268" t="str">
        <f>IFERROR(IF(0=LEN(ReferenceData!$D$268),"",ReferenceData!$D$268),"")</f>
        <v>TOT_DEBT_TO_EBITDA</v>
      </c>
      <c r="E268" t="str">
        <f>IFERROR(IF(0=LEN(ReferenceData!$E$268),"",ReferenceData!$E$268),"")</f>
        <v>动态</v>
      </c>
      <c r="F268" t="str">
        <f ca="1">IFERROR(IF(0=LEN(ReferenceData!$F$268),"",ReferenceData!$F$268),"")</f>
        <v/>
      </c>
      <c r="G268">
        <f ca="1">IFERROR(IF(0=LEN(ReferenceData!$G$268),"",ReferenceData!$G$268),"")</f>
        <v>6.2623278940000002</v>
      </c>
      <c r="H268">
        <f ca="1">IFERROR(IF(0=LEN(ReferenceData!$H$268),"",ReferenceData!$H$268),"")</f>
        <v>7.0754059370000002</v>
      </c>
      <c r="I268">
        <f ca="1">IFERROR(IF(0=LEN(ReferenceData!$I$268),"",ReferenceData!$I$268),"")</f>
        <v>8.4199225220000002</v>
      </c>
      <c r="J268">
        <f ca="1">IFERROR(IF(0=LEN(ReferenceData!$J$268),"",ReferenceData!$J$268),"")</f>
        <v>10.116166379999999</v>
      </c>
      <c r="K268">
        <f ca="1">IFERROR(IF(0=LEN(ReferenceData!$K$268),"",ReferenceData!$K$268),"")</f>
        <v>4.3968464310000002</v>
      </c>
      <c r="L268">
        <f ca="1">IFERROR(IF(0=LEN(ReferenceData!$L$268),"",ReferenceData!$L$268),"")</f>
        <v>4.4256732510000001</v>
      </c>
      <c r="M268">
        <f ca="1">IFERROR(IF(0=LEN(ReferenceData!$M$268),"",ReferenceData!$M$268),"")</f>
        <v>5.4789288530000002</v>
      </c>
      <c r="N268">
        <f ca="1">IFERROR(IF(0=LEN(ReferenceData!$N$268),"",ReferenceData!$N$268),"")</f>
        <v>5.1349990209999996</v>
      </c>
      <c r="O268">
        <f ca="1">IFERROR(IF(0=LEN(ReferenceData!$O$268),"",ReferenceData!$O$268),"")</f>
        <v>5.3038885440000003</v>
      </c>
      <c r="P268">
        <f ca="1">IFERROR(IF(0=LEN(ReferenceData!$P$268),"",ReferenceData!$P$268),"")</f>
        <v>5.8249676179999996</v>
      </c>
      <c r="Q268">
        <f ca="1">IFERROR(IF(0=LEN(ReferenceData!$Q$268),"",ReferenceData!$Q$268),"")</f>
        <v>5.8176169619999998</v>
      </c>
      <c r="R268">
        <f ca="1">IFERROR(IF(0=LEN(ReferenceData!$R$268),"",ReferenceData!$R$268),"")</f>
        <v>5.9204942430000003</v>
      </c>
      <c r="S268">
        <f ca="1">IFERROR(IF(0=LEN(ReferenceData!$S$268),"",ReferenceData!$S$268),"")</f>
        <v>6.0889382239999996</v>
      </c>
      <c r="T268">
        <f ca="1">IFERROR(IF(0=LEN(ReferenceData!$T$268),"",ReferenceData!$T$268),"")</f>
        <v>6.2270108400000002</v>
      </c>
      <c r="U268">
        <f ca="1">IFERROR(IF(0=LEN(ReferenceData!$U$268),"",ReferenceData!$U$268),"")</f>
        <v>6.5551571449999999</v>
      </c>
      <c r="V268">
        <f ca="1">IFERROR(IF(0=LEN(ReferenceData!$V$268),"",ReferenceData!$V$268),"")</f>
        <v>6.6200007279999999</v>
      </c>
      <c r="W268">
        <f ca="1">IFERROR(IF(0=LEN(ReferenceData!$W$268),"",ReferenceData!$W$268),"")</f>
        <v>6.3349102039999998</v>
      </c>
      <c r="X268">
        <f ca="1">IFERROR(IF(0=LEN(ReferenceData!$X$268),"",ReferenceData!$X$268),"")</f>
        <v>6.4967489020000002</v>
      </c>
      <c r="Y268">
        <f ca="1">IFERROR(IF(0=LEN(ReferenceData!$Y$268),"",ReferenceData!$Y$268),"")</f>
        <v>6.5308486439999998</v>
      </c>
      <c r="Z268">
        <f ca="1">IFERROR(IF(0=LEN(ReferenceData!$Z$268),"",ReferenceData!$Z$268),"")</f>
        <v>6.5289134049999999</v>
      </c>
      <c r="AA268">
        <f ca="1">IFERROR(IF(0=LEN(ReferenceData!$AA$268),"",ReferenceData!$AA$268),"")</f>
        <v>6.4924690490000003</v>
      </c>
      <c r="AB268">
        <f ca="1">IFERROR(IF(0=LEN(ReferenceData!$AB$268),"",ReferenceData!$AB$268),"")</f>
        <v>5.9967142410000003</v>
      </c>
      <c r="AC268">
        <f ca="1">IFERROR(IF(0=LEN(ReferenceData!$AC$268),"",ReferenceData!$AC$268),"")</f>
        <v>6.6331648760000004</v>
      </c>
      <c r="AD268">
        <f ca="1">IFERROR(IF(0=LEN(ReferenceData!$AD$268),"",ReferenceData!$AD$268),"")</f>
        <v>6.6046619419999999</v>
      </c>
      <c r="AE268">
        <f ca="1">IFERROR(IF(0=LEN(ReferenceData!$AE$268),"",ReferenceData!$AE$268),"")</f>
        <v>6.4824600410000004</v>
      </c>
      <c r="AF268">
        <f ca="1">IFERROR(IF(0=LEN(ReferenceData!$AF$268),"",ReferenceData!$AF$268),"")</f>
        <v>6.7170151340000004</v>
      </c>
      <c r="AG268">
        <f ca="1">IFERROR(IF(0=LEN(ReferenceData!$AG$268),"",ReferenceData!$AG$268),"")</f>
        <v>6.6568915100000003</v>
      </c>
      <c r="AH268">
        <f ca="1">IFERROR(IF(0=LEN(ReferenceData!$AH$268),"",ReferenceData!$AH$268),"")</f>
        <v>6.5430295750000003</v>
      </c>
      <c r="AI268">
        <f ca="1">IFERROR(IF(0=LEN(ReferenceData!$AI$268),"",ReferenceData!$AI$268),"")</f>
        <v>7.1580889159999996</v>
      </c>
      <c r="AJ268">
        <f ca="1">IFERROR(IF(0=LEN(ReferenceData!$AJ$268),"",ReferenceData!$AJ$268),"")</f>
        <v>6.9341653169999997</v>
      </c>
      <c r="AK268">
        <f ca="1">IFERROR(IF(0=LEN(ReferenceData!$AK$268),"",ReferenceData!$AK$268),"")</f>
        <v>6.6437688149999996</v>
      </c>
      <c r="AL268">
        <f ca="1">IFERROR(IF(0=LEN(ReferenceData!$AL$268),"",ReferenceData!$AL$268),"")</f>
        <v>6.2977497079999996</v>
      </c>
      <c r="AM268">
        <f ca="1">IFERROR(IF(0=LEN(ReferenceData!$AM$268),"",ReferenceData!$AM$268),"")</f>
        <v>6.307742019</v>
      </c>
      <c r="AN268">
        <f ca="1">IFERROR(IF(0=LEN(ReferenceData!$AN$268),"",ReferenceData!$AN$268),"")</f>
        <v>6.5705352299999999</v>
      </c>
      <c r="AO268">
        <f ca="1">IFERROR(IF(0=LEN(ReferenceData!$AO$268),"",ReferenceData!$AO$268),"")</f>
        <v>6.5507176190000003</v>
      </c>
      <c r="AP268">
        <f ca="1">IFERROR(IF(0=LEN(ReferenceData!$AP$268),"",ReferenceData!$AP$268),"")</f>
        <v>6.9367742000000003</v>
      </c>
      <c r="AQ268">
        <f ca="1">IFERROR(IF(0=LEN(ReferenceData!$AQ$268),"",ReferenceData!$AQ$268),"")</f>
        <v>6.5426283180000002</v>
      </c>
      <c r="AR268">
        <f ca="1">IFERROR(IF(0=LEN(ReferenceData!$AR$268),"",ReferenceData!$AR$268),"")</f>
        <v>7.092574892</v>
      </c>
      <c r="AS268">
        <f ca="1">IFERROR(IF(0=LEN(ReferenceData!$AS$268),"",ReferenceData!$AS$268),"")</f>
        <v>7.3456326079999998</v>
      </c>
      <c r="AT268">
        <f ca="1">IFERROR(IF(0=LEN(ReferenceData!$AT$268),"",ReferenceData!$AT$268),"")</f>
        <v>7.352710407</v>
      </c>
      <c r="AU268">
        <f ca="1">IFERROR(IF(0=LEN(ReferenceData!$AU$268),"",ReferenceData!$AU$268),"")</f>
        <v>7.1140458100000004</v>
      </c>
      <c r="AV268">
        <f ca="1">IFERROR(IF(0=LEN(ReferenceData!$AV$268),"",ReferenceData!$AV$268),"")</f>
        <v>7.1179623689999998</v>
      </c>
      <c r="AW268">
        <f ca="1">IFERROR(IF(0=LEN(ReferenceData!$AW$268),"",ReferenceData!$AW$268),"")</f>
        <v>6.8603825069999997</v>
      </c>
      <c r="AX268">
        <f ca="1">IFERROR(IF(0=LEN(ReferenceData!$AX$268),"",ReferenceData!$AX$268),"")</f>
        <v>6.1996172740000004</v>
      </c>
      <c r="AY268">
        <f ca="1">IFERROR(IF(0=LEN(ReferenceData!$AY$268),"",ReferenceData!$AY$268),"")</f>
        <v>5.9443817660000002</v>
      </c>
      <c r="AZ268">
        <f ca="1">IFERROR(IF(0=LEN(ReferenceData!$AZ$268),"",ReferenceData!$AZ$268),"")</f>
        <v>6.1080001800000003</v>
      </c>
      <c r="BA268">
        <f ca="1">IFERROR(IF(0=LEN(ReferenceData!$BA$268),"",ReferenceData!$BA$268),"")</f>
        <v>6.1907940119999996</v>
      </c>
      <c r="BB268">
        <f ca="1">IFERROR(IF(0=LEN(ReferenceData!$BB$268),"",ReferenceData!$BB$268),"")</f>
        <v>5.968307373</v>
      </c>
      <c r="BC268">
        <f ca="1">IFERROR(IF(0=LEN(ReferenceData!$BC$268),"",ReferenceData!$BC$268),"")</f>
        <v>6.1867436400000004</v>
      </c>
      <c r="BD268">
        <f ca="1">IFERROR(IF(0=LEN(ReferenceData!$BD$268),"",ReferenceData!$BD$268),"")</f>
        <v>6.003481786</v>
      </c>
      <c r="BE268">
        <f ca="1">IFERROR(IF(0=LEN(ReferenceData!$BE$268),"",ReferenceData!$BE$268),"")</f>
        <v>6.6183693459999997</v>
      </c>
      <c r="BF268">
        <f ca="1">IFERROR(IF(0=LEN(ReferenceData!$BF$268),"",ReferenceData!$BF$268),"")</f>
        <v>5.7748536399999999</v>
      </c>
      <c r="BG268">
        <f ca="1">IFERROR(IF(0=LEN(ReferenceData!$BG$268),"",ReferenceData!$BG$268),"")</f>
        <v>5.9719299970000002</v>
      </c>
      <c r="BH268">
        <f ca="1">IFERROR(IF(0=LEN(ReferenceData!$BH$268),"",ReferenceData!$BH$268),"")</f>
        <v>6.0960390889999996</v>
      </c>
      <c r="BI268">
        <f ca="1">IFERROR(IF(0=LEN(ReferenceData!$BI$268),"",ReferenceData!$BI$268),"")</f>
        <v>6.2419711659999999</v>
      </c>
      <c r="BJ268">
        <f ca="1">IFERROR(IF(0=LEN(ReferenceData!$BJ$268),"",ReferenceData!$BJ$268),"")</f>
        <v>6.1848601680000002</v>
      </c>
      <c r="BK268">
        <f ca="1">IFERROR(IF(0=LEN(ReferenceData!$BK$268),"",ReferenceData!$BK$268),"")</f>
        <v>6.046787557</v>
      </c>
      <c r="BL268">
        <f ca="1">IFERROR(IF(0=LEN(ReferenceData!$BL$268),"",ReferenceData!$BL$268),"")</f>
        <v>6.0161945729999999</v>
      </c>
      <c r="BM268" t="str">
        <f ca="1">IFERROR(IF(0=LEN(ReferenceData!$BM$268),"",ReferenceData!$BM$268),"")</f>
        <v/>
      </c>
    </row>
    <row r="269" spans="1:65">
      <c r="A269" t="str">
        <f>IFERROR(IF(0=LEN(ReferenceData!$A$269),"",ReferenceData!$A$269),"")</f>
        <v xml:space="preserve">    Retail Opportunity Investments</v>
      </c>
      <c r="B269" t="str">
        <f>IFERROR(IF(0=LEN(ReferenceData!$B$269),"",ReferenceData!$B$269),"")</f>
        <v>ROIC US Equity</v>
      </c>
      <c r="C269" t="str">
        <f>IFERROR(IF(0=LEN(ReferenceData!$C$269),"",ReferenceData!$C$269),"")</f>
        <v>RR052</v>
      </c>
      <c r="D269" t="str">
        <f>IFERROR(IF(0=LEN(ReferenceData!$D$269),"",ReferenceData!$D$269),"")</f>
        <v>TOT_DEBT_TO_EBITDA</v>
      </c>
      <c r="E269" t="str">
        <f>IFERROR(IF(0=LEN(ReferenceData!$E$269),"",ReferenceData!$E$269),"")</f>
        <v>动态</v>
      </c>
      <c r="F269" t="str">
        <f ca="1">IFERROR(IF(0=LEN(ReferenceData!$F$269),"",ReferenceData!$F$269),"")</f>
        <v/>
      </c>
      <c r="G269">
        <f ca="1">IFERROR(IF(0=LEN(ReferenceData!$G$269),"",ReferenceData!$G$269),"")</f>
        <v>7.830339983</v>
      </c>
      <c r="H269">
        <f ca="1">IFERROR(IF(0=LEN(ReferenceData!$H$269),"",ReferenceData!$H$269),"")</f>
        <v>7.4442736610000004</v>
      </c>
      <c r="I269">
        <f ca="1">IFERROR(IF(0=LEN(ReferenceData!$I$269),"",ReferenceData!$I$269),"")</f>
        <v>7.5192802780000001</v>
      </c>
      <c r="J269">
        <f ca="1">IFERROR(IF(0=LEN(ReferenceData!$J$269),"",ReferenceData!$J$269),"")</f>
        <v>7.2343218220000001</v>
      </c>
      <c r="K269">
        <f ca="1">IFERROR(IF(0=LEN(ReferenceData!$K$269),"",ReferenceData!$K$269),"")</f>
        <v>6.9853198819999998</v>
      </c>
      <c r="L269">
        <f ca="1">IFERROR(IF(0=LEN(ReferenceData!$L$269),"",ReferenceData!$L$269),"")</f>
        <v>6.845242453</v>
      </c>
      <c r="M269">
        <f ca="1">IFERROR(IF(0=LEN(ReferenceData!$M$269),"",ReferenceData!$M$269),"")</f>
        <v>8.0052141779999992</v>
      </c>
      <c r="N269">
        <f ca="1">IFERROR(IF(0=LEN(ReferenceData!$N$269),"",ReferenceData!$N$269),"")</f>
        <v>7.4338341000000003</v>
      </c>
      <c r="O269">
        <f ca="1">IFERROR(IF(0=LEN(ReferenceData!$O$269),"",ReferenceData!$O$269),"")</f>
        <v>7.5387974699999996</v>
      </c>
      <c r="P269">
        <f ca="1">IFERROR(IF(0=LEN(ReferenceData!$P$269),"",ReferenceData!$P$269),"")</f>
        <v>7.1090932899999997</v>
      </c>
      <c r="Q269">
        <f ca="1">IFERROR(IF(0=LEN(ReferenceData!$Q$269),"",ReferenceData!$Q$269),"")</f>
        <v>7.3755913340000001</v>
      </c>
      <c r="R269">
        <f ca="1">IFERROR(IF(0=LEN(ReferenceData!$R$269),"",ReferenceData!$R$269),"")</f>
        <v>7.5498403500000002</v>
      </c>
      <c r="S269">
        <f ca="1">IFERROR(IF(0=LEN(ReferenceData!$S$269),"",ReferenceData!$S$269),"")</f>
        <v>7.2731623279999997</v>
      </c>
      <c r="T269">
        <f ca="1">IFERROR(IF(0=LEN(ReferenceData!$T$269),"",ReferenceData!$T$269),"")</f>
        <v>7.0101983690000003</v>
      </c>
      <c r="U269">
        <f ca="1">IFERROR(IF(0=LEN(ReferenceData!$U$269),"",ReferenceData!$U$269),"")</f>
        <v>8.0419107140000001</v>
      </c>
      <c r="V269">
        <f ca="1">IFERROR(IF(0=LEN(ReferenceData!$V$269),"",ReferenceData!$V$269),"")</f>
        <v>8.9204656179999997</v>
      </c>
      <c r="W269">
        <f ca="1">IFERROR(IF(0=LEN(ReferenceData!$W$269),"",ReferenceData!$W$269),"")</f>
        <v>9.1194160259999997</v>
      </c>
      <c r="X269">
        <f ca="1">IFERROR(IF(0=LEN(ReferenceData!$X$269),"",ReferenceData!$X$269),"")</f>
        <v>8.6749511080000001</v>
      </c>
      <c r="Y269">
        <f ca="1">IFERROR(IF(0=LEN(ReferenceData!$Y$269),"",ReferenceData!$Y$269),"")</f>
        <v>7.4647818709999996</v>
      </c>
      <c r="Z269">
        <f ca="1">IFERROR(IF(0=LEN(ReferenceData!$Z$269),"",ReferenceData!$Z$269),"")</f>
        <v>6.536696729</v>
      </c>
      <c r="AA269">
        <f ca="1">IFERROR(IF(0=LEN(ReferenceData!$AA$269),"",ReferenceData!$AA$269),"")</f>
        <v>9.6407657590000007</v>
      </c>
      <c r="AB269">
        <f ca="1">IFERROR(IF(0=LEN(ReferenceData!$AB$269),"",ReferenceData!$AB$269),"")</f>
        <v>6.7541839890000004</v>
      </c>
      <c r="AC269">
        <f ca="1">IFERROR(IF(0=LEN(ReferenceData!$AC$269),"",ReferenceData!$AC$269),"")</f>
        <v>6.7609601760000002</v>
      </c>
      <c r="AD269">
        <f ca="1">IFERROR(IF(0=LEN(ReferenceData!$AD$269),"",ReferenceData!$AD$269),"")</f>
        <v>6.3346807900000002</v>
      </c>
      <c r="AE269">
        <f ca="1">IFERROR(IF(0=LEN(ReferenceData!$AE$269),"",ReferenceData!$AE$269),"")</f>
        <v>6.4802298900000004</v>
      </c>
      <c r="AF269">
        <f ca="1">IFERROR(IF(0=LEN(ReferenceData!$AF$269),"",ReferenceData!$AF$269),"")</f>
        <v>10.692814630000001</v>
      </c>
      <c r="AG269">
        <f ca="1">IFERROR(IF(0=LEN(ReferenceData!$AG$269),"",ReferenceData!$AG$269),"")</f>
        <v>4.9047512290000004</v>
      </c>
      <c r="AH269">
        <f ca="1">IFERROR(IF(0=LEN(ReferenceData!$AH$269),"",ReferenceData!$AH$269),"")</f>
        <v>7.396539282</v>
      </c>
      <c r="AI269">
        <f ca="1">IFERROR(IF(0=LEN(ReferenceData!$AI$269),"",ReferenceData!$AI$269),"")</f>
        <v>0</v>
      </c>
      <c r="AJ269" t="str">
        <f ca="1">IFERROR(IF(0=LEN(ReferenceData!$AJ$269),"",ReferenceData!$AJ$269),"")</f>
        <v/>
      </c>
      <c r="AK269" t="str">
        <f ca="1">IFERROR(IF(0=LEN(ReferenceData!$AK$269),"",ReferenceData!$AK$269),"")</f>
        <v/>
      </c>
      <c r="AL269" t="str">
        <f ca="1">IFERROR(IF(0=LEN(ReferenceData!$AL$269),"",ReferenceData!$AL$269),"")</f>
        <v/>
      </c>
      <c r="AM269" t="str">
        <f ca="1">IFERROR(IF(0=LEN(ReferenceData!$AM$269),"",ReferenceData!$AM$269),"")</f>
        <v/>
      </c>
      <c r="AN269" t="str">
        <f ca="1">IFERROR(IF(0=LEN(ReferenceData!$AN$269),"",ReferenceData!$AN$269),"")</f>
        <v/>
      </c>
      <c r="AO269" t="str">
        <f ca="1">IFERROR(IF(0=LEN(ReferenceData!$AO$269),"",ReferenceData!$AO$269),"")</f>
        <v/>
      </c>
      <c r="AP269" t="str">
        <f ca="1">IFERROR(IF(0=LEN(ReferenceData!$AP$269),"",ReferenceData!$AP$269),"")</f>
        <v/>
      </c>
      <c r="AQ269" t="str">
        <f ca="1">IFERROR(IF(0=LEN(ReferenceData!$AQ$269),"",ReferenceData!$AQ$269),"")</f>
        <v/>
      </c>
      <c r="AR269" t="str">
        <f ca="1">IFERROR(IF(0=LEN(ReferenceData!$AR$269),"",ReferenceData!$AR$269),"")</f>
        <v/>
      </c>
      <c r="AS269" t="str">
        <f ca="1">IFERROR(IF(0=LEN(ReferenceData!$AS$269),"",ReferenceData!$AS$269),"")</f>
        <v/>
      </c>
      <c r="AT269" t="str">
        <f ca="1">IFERROR(IF(0=LEN(ReferenceData!$AT$269),"",ReferenceData!$AT$269),"")</f>
        <v/>
      </c>
      <c r="AU269" t="str">
        <f ca="1">IFERROR(IF(0=LEN(ReferenceData!$AU$269),"",ReferenceData!$AU$269),"")</f>
        <v/>
      </c>
      <c r="AV269" t="str">
        <f ca="1">IFERROR(IF(0=LEN(ReferenceData!$AV$269),"",ReferenceData!$AV$269),"")</f>
        <v/>
      </c>
      <c r="AW269" t="str">
        <f ca="1">IFERROR(IF(0=LEN(ReferenceData!$AW$269),"",ReferenceData!$AW$269),"")</f>
        <v/>
      </c>
      <c r="AX269" t="str">
        <f ca="1">IFERROR(IF(0=LEN(ReferenceData!$AX$269),"",ReferenceData!$AX$269),"")</f>
        <v/>
      </c>
      <c r="AY269" t="str">
        <f ca="1">IFERROR(IF(0=LEN(ReferenceData!$AY$269),"",ReferenceData!$AY$269),"")</f>
        <v/>
      </c>
      <c r="AZ269" t="str">
        <f ca="1">IFERROR(IF(0=LEN(ReferenceData!$AZ$269),"",ReferenceData!$AZ$269),"")</f>
        <v/>
      </c>
      <c r="BA269" t="str">
        <f ca="1">IFERROR(IF(0=LEN(ReferenceData!$BA$269),"",ReferenceData!$BA$269),"")</f>
        <v/>
      </c>
      <c r="BB269" t="str">
        <f ca="1">IFERROR(IF(0=LEN(ReferenceData!$BB$269),"",ReferenceData!$BB$269),"")</f>
        <v/>
      </c>
      <c r="BC269" t="str">
        <f ca="1">IFERROR(IF(0=LEN(ReferenceData!$BC$269),"",ReferenceData!$BC$269),"")</f>
        <v/>
      </c>
      <c r="BD269" t="str">
        <f ca="1">IFERROR(IF(0=LEN(ReferenceData!$BD$269),"",ReferenceData!$BD$269),"")</f>
        <v/>
      </c>
      <c r="BE269" t="str">
        <f ca="1">IFERROR(IF(0=LEN(ReferenceData!$BE$269),"",ReferenceData!$BE$269),"")</f>
        <v/>
      </c>
      <c r="BF269" t="str">
        <f ca="1">IFERROR(IF(0=LEN(ReferenceData!$BF$269),"",ReferenceData!$BF$269),"")</f>
        <v/>
      </c>
      <c r="BG269" t="str">
        <f ca="1">IFERROR(IF(0=LEN(ReferenceData!$BG$269),"",ReferenceData!$BG$269),"")</f>
        <v/>
      </c>
      <c r="BH269" t="str">
        <f ca="1">IFERROR(IF(0=LEN(ReferenceData!$BH$269),"",ReferenceData!$BH$269),"")</f>
        <v/>
      </c>
      <c r="BI269" t="str">
        <f ca="1">IFERROR(IF(0=LEN(ReferenceData!$BI$269),"",ReferenceData!$BI$269),"")</f>
        <v/>
      </c>
      <c r="BJ269" t="str">
        <f ca="1">IFERROR(IF(0=LEN(ReferenceData!$BJ$269),"",ReferenceData!$BJ$269),"")</f>
        <v/>
      </c>
      <c r="BK269" t="str">
        <f ca="1">IFERROR(IF(0=LEN(ReferenceData!$BK$269),"",ReferenceData!$BK$269),"")</f>
        <v/>
      </c>
      <c r="BL269" t="str">
        <f ca="1">IFERROR(IF(0=LEN(ReferenceData!$BL$269),"",ReferenceData!$BL$269),"")</f>
        <v/>
      </c>
      <c r="BM269" t="str">
        <f ca="1">IFERROR(IF(0=LEN(ReferenceData!$BM$269),"",ReferenceData!$BM$269),"")</f>
        <v/>
      </c>
    </row>
    <row r="270" spans="1:65">
      <c r="A270" t="str">
        <f>IFERROR(IF(0=LEN(ReferenceData!$A$270),"",ReferenceData!$A$270),"")</f>
        <v xml:space="preserve">    Retail Properties of America I</v>
      </c>
      <c r="B270" t="str">
        <f>IFERROR(IF(0=LEN(ReferenceData!$B$270),"",ReferenceData!$B$270),"")</f>
        <v>RPAI US Equity</v>
      </c>
      <c r="C270" t="str">
        <f>IFERROR(IF(0=LEN(ReferenceData!$C$270),"",ReferenceData!$C$270),"")</f>
        <v>RR052</v>
      </c>
      <c r="D270" t="str">
        <f>IFERROR(IF(0=LEN(ReferenceData!$D$270),"",ReferenceData!$D$270),"")</f>
        <v>TOT_DEBT_TO_EBITDA</v>
      </c>
      <c r="E270" t="str">
        <f>IFERROR(IF(0=LEN(ReferenceData!$E$270),"",ReferenceData!$E$270),"")</f>
        <v>动态</v>
      </c>
      <c r="F270" t="str">
        <f ca="1">IFERROR(IF(0=LEN(ReferenceData!$F$270),"",ReferenceData!$F$270),"")</f>
        <v/>
      </c>
      <c r="G270">
        <f ca="1">IFERROR(IF(0=LEN(ReferenceData!$G$270),"",ReferenceData!$G$270),"")</f>
        <v>6.6365616249999997</v>
      </c>
      <c r="H270">
        <f ca="1">IFERROR(IF(0=LEN(ReferenceData!$H$270),"",ReferenceData!$H$270),"")</f>
        <v>6.255313492</v>
      </c>
      <c r="I270">
        <f ca="1">IFERROR(IF(0=LEN(ReferenceData!$I$270),"",ReferenceData!$I$270),"")</f>
        <v>5.7370855330000001</v>
      </c>
      <c r="J270">
        <f ca="1">IFERROR(IF(0=LEN(ReferenceData!$J$270),"",ReferenceData!$J$270),"")</f>
        <v>5.9834064810000003</v>
      </c>
      <c r="K270">
        <f ca="1">IFERROR(IF(0=LEN(ReferenceData!$K$270),"",ReferenceData!$K$270),"")</f>
        <v>5.6989782529999999</v>
      </c>
      <c r="L270">
        <f ca="1">IFERROR(IF(0=LEN(ReferenceData!$L$270),"",ReferenceData!$L$270),"")</f>
        <v>5.9043509429999999</v>
      </c>
      <c r="M270">
        <f ca="1">IFERROR(IF(0=LEN(ReferenceData!$M$270),"",ReferenceData!$M$270),"")</f>
        <v>6.4466887389999998</v>
      </c>
      <c r="N270">
        <f ca="1">IFERROR(IF(0=LEN(ReferenceData!$N$270),"",ReferenceData!$N$270),"")</f>
        <v>6.3916213109999997</v>
      </c>
      <c r="O270">
        <f ca="1">IFERROR(IF(0=LEN(ReferenceData!$O$270),"",ReferenceData!$O$270),"")</f>
        <v>6.0887693379999996</v>
      </c>
      <c r="P270">
        <f ca="1">IFERROR(IF(0=LEN(ReferenceData!$P$270),"",ReferenceData!$P$270),"")</f>
        <v>6.2708288080000001</v>
      </c>
      <c r="Q270">
        <f ca="1">IFERROR(IF(0=LEN(ReferenceData!$Q$270),"",ReferenceData!$Q$270),"")</f>
        <v>7.8736543120000002</v>
      </c>
      <c r="R270">
        <f ca="1">IFERROR(IF(0=LEN(ReferenceData!$R$270),"",ReferenceData!$R$270),"")</f>
        <v>7.9664222789999997</v>
      </c>
      <c r="S270">
        <f ca="1">IFERROR(IF(0=LEN(ReferenceData!$S$270),"",ReferenceData!$S$270),"")</f>
        <v>7.327006914</v>
      </c>
      <c r="T270">
        <f ca="1">IFERROR(IF(0=LEN(ReferenceData!$T$270),"",ReferenceData!$T$270),"")</f>
        <v>8.0667126210000006</v>
      </c>
      <c r="U270">
        <f ca="1">IFERROR(IF(0=LEN(ReferenceData!$U$270),"",ReferenceData!$U$270),"")</f>
        <v>7.8244846050000003</v>
      </c>
      <c r="V270">
        <f ca="1">IFERROR(IF(0=LEN(ReferenceData!$V$270),"",ReferenceData!$V$270),"")</f>
        <v>7.2656687279999996</v>
      </c>
      <c r="W270">
        <f ca="1">IFERROR(IF(0=LEN(ReferenceData!$W$270),"",ReferenceData!$W$270),"")</f>
        <v>7.4614715719999998</v>
      </c>
      <c r="X270">
        <f ca="1">IFERROR(IF(0=LEN(ReferenceData!$X$270),"",ReferenceData!$X$270),"")</f>
        <v>7.0337083759999999</v>
      </c>
      <c r="Y270">
        <f ca="1">IFERROR(IF(0=LEN(ReferenceData!$Y$270),"",ReferenceData!$Y$270),"")</f>
        <v>6.6618253320000003</v>
      </c>
      <c r="Z270">
        <f ca="1">IFERROR(IF(0=LEN(ReferenceData!$Z$270),"",ReferenceData!$Z$270),"")</f>
        <v>6.9234933270000001</v>
      </c>
      <c r="AA270">
        <f ca="1">IFERROR(IF(0=LEN(ReferenceData!$AA$270),"",ReferenceData!$AA$270),"")</f>
        <v>7.0230517250000002</v>
      </c>
      <c r="AB270">
        <f ca="1">IFERROR(IF(0=LEN(ReferenceData!$AB$270),"",ReferenceData!$AB$270),"")</f>
        <v>7.9371369009999997</v>
      </c>
      <c r="AC270">
        <f ca="1">IFERROR(IF(0=LEN(ReferenceData!$AC$270),"",ReferenceData!$AC$270),"")</f>
        <v>8.3239322480000002</v>
      </c>
      <c r="AD270">
        <f ca="1">IFERROR(IF(0=LEN(ReferenceData!$AD$270),"",ReferenceData!$AD$270),"")</f>
        <v>9.2035685409999992</v>
      </c>
      <c r="AE270">
        <f ca="1">IFERROR(IF(0=LEN(ReferenceData!$AE$270),"",ReferenceData!$AE$270),"")</f>
        <v>10.075355979999999</v>
      </c>
      <c r="AF270">
        <f ca="1">IFERROR(IF(0=LEN(ReferenceData!$AF$270),"",ReferenceData!$AF$270),"")</f>
        <v>9.5645828319999993</v>
      </c>
      <c r="AG270">
        <f ca="1">IFERROR(IF(0=LEN(ReferenceData!$AG$270),"",ReferenceData!$AG$270),"")</f>
        <v>9.9100565550000006</v>
      </c>
      <c r="AH270" t="str">
        <f ca="1">IFERROR(IF(0=LEN(ReferenceData!$AH$270),"",ReferenceData!$AH$270),"")</f>
        <v/>
      </c>
      <c r="AI270" t="str">
        <f ca="1">IFERROR(IF(0=LEN(ReferenceData!$AI$270),"",ReferenceData!$AI$270),"")</f>
        <v/>
      </c>
      <c r="AJ270" t="str">
        <f ca="1">IFERROR(IF(0=LEN(ReferenceData!$AJ$270),"",ReferenceData!$AJ$270),"")</f>
        <v/>
      </c>
      <c r="AK270" t="str">
        <f ca="1">IFERROR(IF(0=LEN(ReferenceData!$AK$270),"",ReferenceData!$AK$270),"")</f>
        <v/>
      </c>
      <c r="AL270" t="str">
        <f ca="1">IFERROR(IF(0=LEN(ReferenceData!$AL$270),"",ReferenceData!$AL$270),"")</f>
        <v/>
      </c>
      <c r="AM270" t="str">
        <f ca="1">IFERROR(IF(0=LEN(ReferenceData!$AM$270),"",ReferenceData!$AM$270),"")</f>
        <v/>
      </c>
      <c r="AN270" t="str">
        <f ca="1">IFERROR(IF(0=LEN(ReferenceData!$AN$270),"",ReferenceData!$AN$270),"")</f>
        <v/>
      </c>
      <c r="AO270" t="str">
        <f ca="1">IFERROR(IF(0=LEN(ReferenceData!$AO$270),"",ReferenceData!$AO$270),"")</f>
        <v/>
      </c>
      <c r="AP270" t="str">
        <f ca="1">IFERROR(IF(0=LEN(ReferenceData!$AP$270),"",ReferenceData!$AP$270),"")</f>
        <v/>
      </c>
      <c r="AQ270" t="str">
        <f ca="1">IFERROR(IF(0=LEN(ReferenceData!$AQ$270),"",ReferenceData!$AQ$270),"")</f>
        <v/>
      </c>
      <c r="AR270" t="str">
        <f ca="1">IFERROR(IF(0=LEN(ReferenceData!$AR$270),"",ReferenceData!$AR$270),"")</f>
        <v/>
      </c>
      <c r="AS270" t="str">
        <f ca="1">IFERROR(IF(0=LEN(ReferenceData!$AS$270),"",ReferenceData!$AS$270),"")</f>
        <v/>
      </c>
      <c r="AT270" t="str">
        <f ca="1">IFERROR(IF(0=LEN(ReferenceData!$AT$270),"",ReferenceData!$AT$270),"")</f>
        <v/>
      </c>
      <c r="AU270" t="str">
        <f ca="1">IFERROR(IF(0=LEN(ReferenceData!$AU$270),"",ReferenceData!$AU$270),"")</f>
        <v/>
      </c>
      <c r="AV270" t="str">
        <f ca="1">IFERROR(IF(0=LEN(ReferenceData!$AV$270),"",ReferenceData!$AV$270),"")</f>
        <v/>
      </c>
      <c r="AW270" t="str">
        <f ca="1">IFERROR(IF(0=LEN(ReferenceData!$AW$270),"",ReferenceData!$AW$270),"")</f>
        <v/>
      </c>
      <c r="AX270" t="str">
        <f ca="1">IFERROR(IF(0=LEN(ReferenceData!$AX$270),"",ReferenceData!$AX$270),"")</f>
        <v/>
      </c>
      <c r="AY270" t="str">
        <f ca="1">IFERROR(IF(0=LEN(ReferenceData!$AY$270),"",ReferenceData!$AY$270),"")</f>
        <v/>
      </c>
      <c r="AZ270" t="str">
        <f ca="1">IFERROR(IF(0=LEN(ReferenceData!$AZ$270),"",ReferenceData!$AZ$270),"")</f>
        <v/>
      </c>
      <c r="BA270" t="str">
        <f ca="1">IFERROR(IF(0=LEN(ReferenceData!$BA$270),"",ReferenceData!$BA$270),"")</f>
        <v/>
      </c>
      <c r="BB270" t="str">
        <f ca="1">IFERROR(IF(0=LEN(ReferenceData!$BB$270),"",ReferenceData!$BB$270),"")</f>
        <v/>
      </c>
      <c r="BC270" t="str">
        <f ca="1">IFERROR(IF(0=LEN(ReferenceData!$BC$270),"",ReferenceData!$BC$270),"")</f>
        <v/>
      </c>
      <c r="BD270" t="str">
        <f ca="1">IFERROR(IF(0=LEN(ReferenceData!$BD$270),"",ReferenceData!$BD$270),"")</f>
        <v/>
      </c>
      <c r="BE270" t="str">
        <f ca="1">IFERROR(IF(0=LEN(ReferenceData!$BE$270),"",ReferenceData!$BE$270),"")</f>
        <v/>
      </c>
      <c r="BF270" t="str">
        <f ca="1">IFERROR(IF(0=LEN(ReferenceData!$BF$270),"",ReferenceData!$BF$270),"")</f>
        <v/>
      </c>
      <c r="BG270" t="str">
        <f ca="1">IFERROR(IF(0=LEN(ReferenceData!$BG$270),"",ReferenceData!$BG$270),"")</f>
        <v/>
      </c>
      <c r="BH270" t="str">
        <f ca="1">IFERROR(IF(0=LEN(ReferenceData!$BH$270),"",ReferenceData!$BH$270),"")</f>
        <v/>
      </c>
      <c r="BI270" t="str">
        <f ca="1">IFERROR(IF(0=LEN(ReferenceData!$BI$270),"",ReferenceData!$BI$270),"")</f>
        <v/>
      </c>
      <c r="BJ270" t="str">
        <f ca="1">IFERROR(IF(0=LEN(ReferenceData!$BJ$270),"",ReferenceData!$BJ$270),"")</f>
        <v/>
      </c>
      <c r="BK270" t="str">
        <f ca="1">IFERROR(IF(0=LEN(ReferenceData!$BK$270),"",ReferenceData!$BK$270),"")</f>
        <v/>
      </c>
      <c r="BL270" t="str">
        <f ca="1">IFERROR(IF(0=LEN(ReferenceData!$BL$270),"",ReferenceData!$BL$270),"")</f>
        <v/>
      </c>
      <c r="BM270" t="str">
        <f ca="1">IFERROR(IF(0=LEN(ReferenceData!$BM$270),"",ReferenceData!$BM$270),"")</f>
        <v/>
      </c>
    </row>
    <row r="271" spans="1:65">
      <c r="A271" t="str">
        <f>IFERROR(IF(0=LEN(ReferenceData!$A$271),"",ReferenceData!$A$271),"")</f>
        <v xml:space="preserve">    Simon Property Group Inc</v>
      </c>
      <c r="B271" t="str">
        <f>IFERROR(IF(0=LEN(ReferenceData!$B$271),"",ReferenceData!$B$271),"")</f>
        <v>SPG US Equity</v>
      </c>
      <c r="C271" t="str">
        <f>IFERROR(IF(0=LEN(ReferenceData!$C$271),"",ReferenceData!$C$271),"")</f>
        <v>RR052</v>
      </c>
      <c r="D271" t="str">
        <f>IFERROR(IF(0=LEN(ReferenceData!$D$271),"",ReferenceData!$D$271),"")</f>
        <v>TOT_DEBT_TO_EBITDA</v>
      </c>
      <c r="E271" t="str">
        <f>IFERROR(IF(0=LEN(ReferenceData!$E$271),"",ReferenceData!$E$271),"")</f>
        <v>动态</v>
      </c>
      <c r="F271" t="str">
        <f ca="1">IFERROR(IF(0=LEN(ReferenceData!$F$271),"",ReferenceData!$F$271),"")</f>
        <v/>
      </c>
      <c r="G271">
        <f ca="1">IFERROR(IF(0=LEN(ReferenceData!$G$271),"",ReferenceData!$G$271),"")</f>
        <v>5.9217050020000004</v>
      </c>
      <c r="H271">
        <f ca="1">IFERROR(IF(0=LEN(ReferenceData!$H$271),"",ReferenceData!$H$271),"")</f>
        <v>5.6798866180000003</v>
      </c>
      <c r="I271">
        <f ca="1">IFERROR(IF(0=LEN(ReferenceData!$I$271),"",ReferenceData!$I$271),"")</f>
        <v>5.7122648409999996</v>
      </c>
      <c r="J271">
        <f ca="1">IFERROR(IF(0=LEN(ReferenceData!$J$271),"",ReferenceData!$J$271),"")</f>
        <v>5.7038515509999996</v>
      </c>
      <c r="K271">
        <f ca="1">IFERROR(IF(0=LEN(ReferenceData!$K$271),"",ReferenceData!$K$271),"")</f>
        <v>5.6750755479999997</v>
      </c>
      <c r="L271">
        <f ca="1">IFERROR(IF(0=LEN(ReferenceData!$L$271),"",ReferenceData!$L$271),"")</f>
        <v>5.7400260010000004</v>
      </c>
      <c r="M271">
        <f ca="1">IFERROR(IF(0=LEN(ReferenceData!$M$271),"",ReferenceData!$M$271),"")</f>
        <v>5.7625858299999999</v>
      </c>
      <c r="N271">
        <f ca="1">IFERROR(IF(0=LEN(ReferenceData!$N$271),"",ReferenceData!$N$271),"")</f>
        <v>5.7311332720000001</v>
      </c>
      <c r="O271">
        <f ca="1">IFERROR(IF(0=LEN(ReferenceData!$O$271),"",ReferenceData!$O$271),"")</f>
        <v>5.735973124</v>
      </c>
      <c r="P271">
        <f ca="1">IFERROR(IF(0=LEN(ReferenceData!$P$271),"",ReferenceData!$P$271),"")</f>
        <v>5.8818471280000004</v>
      </c>
      <c r="Q271">
        <f ca="1">IFERROR(IF(0=LEN(ReferenceData!$Q$271),"",ReferenceData!$Q$271),"")</f>
        <v>5.8161806399999998</v>
      </c>
      <c r="R271">
        <f ca="1">IFERROR(IF(0=LEN(ReferenceData!$R$271),"",ReferenceData!$R$271),"")</f>
        <v>5.8928241589999999</v>
      </c>
      <c r="S271">
        <f ca="1">IFERROR(IF(0=LEN(ReferenceData!$S$271),"",ReferenceData!$S$271),"")</f>
        <v>5.6802732130000004</v>
      </c>
      <c r="T271">
        <f ca="1">IFERROR(IF(0=LEN(ReferenceData!$T$271),"",ReferenceData!$T$271),"")</f>
        <v>5.772976817</v>
      </c>
      <c r="U271">
        <f ca="1">IFERROR(IF(0=LEN(ReferenceData!$U$271),"",ReferenceData!$U$271),"")</f>
        <v>6.0018476029999999</v>
      </c>
      <c r="V271">
        <f ca="1">IFERROR(IF(0=LEN(ReferenceData!$V$271),"",ReferenceData!$V$271),"")</f>
        <v>6.4610251820000002</v>
      </c>
      <c r="W271">
        <f ca="1">IFERROR(IF(0=LEN(ReferenceData!$W$271),"",ReferenceData!$W$271),"")</f>
        <v>6.5948239009999998</v>
      </c>
      <c r="X271">
        <f ca="1">IFERROR(IF(0=LEN(ReferenceData!$X$271),"",ReferenceData!$X$271),"")</f>
        <v>6.3430182339999996</v>
      </c>
      <c r="Y271">
        <f ca="1">IFERROR(IF(0=LEN(ReferenceData!$Y$271),"",ReferenceData!$Y$271),"")</f>
        <v>6.3344086300000004</v>
      </c>
      <c r="Z271">
        <f ca="1">IFERROR(IF(0=LEN(ReferenceData!$Z$271),"",ReferenceData!$Z$271),"")</f>
        <v>6.2940480040000004</v>
      </c>
      <c r="AA271">
        <f ca="1">IFERROR(IF(0=LEN(ReferenceData!$AA$271),"",ReferenceData!$AA$271),"")</f>
        <v>6.5626472390000004</v>
      </c>
      <c r="AB271">
        <f ca="1">IFERROR(IF(0=LEN(ReferenceData!$AB$271),"",ReferenceData!$AB$271),"")</f>
        <v>6.6851498109999996</v>
      </c>
      <c r="AC271">
        <f ca="1">IFERROR(IF(0=LEN(ReferenceData!$AC$271),"",ReferenceData!$AC$271),"")</f>
        <v>6.9143890880000001</v>
      </c>
      <c r="AD271">
        <f ca="1">IFERROR(IF(0=LEN(ReferenceData!$AD$271),"",ReferenceData!$AD$271),"")</f>
        <v>7.2591500450000002</v>
      </c>
      <c r="AE271">
        <f ca="1">IFERROR(IF(0=LEN(ReferenceData!$AE$271),"",ReferenceData!$AE$271),"")</f>
        <v>6.0462547449999997</v>
      </c>
      <c r="AF271">
        <f ca="1">IFERROR(IF(0=LEN(ReferenceData!$AF$271),"",ReferenceData!$AF$271),"")</f>
        <v>5.9482050190000004</v>
      </c>
      <c r="AG271">
        <f ca="1">IFERROR(IF(0=LEN(ReferenceData!$AG$271),"",ReferenceData!$AG$271),"")</f>
        <v>5.7466088920000002</v>
      </c>
      <c r="AH271">
        <f ca="1">IFERROR(IF(0=LEN(ReferenceData!$AH$271),"",ReferenceData!$AH$271),"")</f>
        <v>5.9651658090000002</v>
      </c>
      <c r="AI271">
        <f ca="1">IFERROR(IF(0=LEN(ReferenceData!$AI$271),"",ReferenceData!$AI$271),"")</f>
        <v>6.2008347150000001</v>
      </c>
      <c r="AJ271">
        <f ca="1">IFERROR(IF(0=LEN(ReferenceData!$AJ$271),"",ReferenceData!$AJ$271),"")</f>
        <v>6.4801233949999997</v>
      </c>
      <c r="AK271">
        <f ca="1">IFERROR(IF(0=LEN(ReferenceData!$AK$271),"",ReferenceData!$AK$271),"")</f>
        <v>6.486201973</v>
      </c>
      <c r="AL271">
        <f ca="1">IFERROR(IF(0=LEN(ReferenceData!$AL$271),"",ReferenceData!$AL$271),"")</f>
        <v>7.2840000930000004</v>
      </c>
      <c r="AM271">
        <f ca="1">IFERROR(IF(0=LEN(ReferenceData!$AM$271),"",ReferenceData!$AM$271),"")</f>
        <v>7.7106368639999996</v>
      </c>
      <c r="AN271">
        <f ca="1">IFERROR(IF(0=LEN(ReferenceData!$AN$271),"",ReferenceData!$AN$271),"")</f>
        <v>6.9485293319999997</v>
      </c>
      <c r="AO271">
        <f ca="1">IFERROR(IF(0=LEN(ReferenceData!$AO$271),"",ReferenceData!$AO$271),"")</f>
        <v>7.3637144049999996</v>
      </c>
      <c r="AP271">
        <f ca="1">IFERROR(IF(0=LEN(ReferenceData!$AP$271),"",ReferenceData!$AP$271),"")</f>
        <v>6.7873221680000002</v>
      </c>
      <c r="AQ271">
        <f ca="1">IFERROR(IF(0=LEN(ReferenceData!$AQ$271),"",ReferenceData!$AQ$271),"")</f>
        <v>7.1695589230000003</v>
      </c>
      <c r="AR271">
        <f ca="1">IFERROR(IF(0=LEN(ReferenceData!$AR$271),"",ReferenceData!$AR$271),"")</f>
        <v>7.8476277510000001</v>
      </c>
      <c r="AS271">
        <f ca="1">IFERROR(IF(0=LEN(ReferenceData!$AS$271),"",ReferenceData!$AS$271),"")</f>
        <v>7.1351012840000001</v>
      </c>
      <c r="AT271">
        <f ca="1">IFERROR(IF(0=LEN(ReferenceData!$AT$271),"",ReferenceData!$AT$271),"")</f>
        <v>7.177042181</v>
      </c>
      <c r="AU271">
        <f ca="1">IFERROR(IF(0=LEN(ReferenceData!$AU$271),"",ReferenceData!$AU$271),"")</f>
        <v>7.1436435139999999</v>
      </c>
      <c r="AV271">
        <f ca="1">IFERROR(IF(0=LEN(ReferenceData!$AV$271),"",ReferenceData!$AV$271),"")</f>
        <v>7.4726419990000004</v>
      </c>
      <c r="AW271">
        <f ca="1">IFERROR(IF(0=LEN(ReferenceData!$AW$271),"",ReferenceData!$AW$271),"")</f>
        <v>7.3567020510000001</v>
      </c>
      <c r="AX271">
        <f ca="1">IFERROR(IF(0=LEN(ReferenceData!$AX$271),"",ReferenceData!$AX$271),"")</f>
        <v>7.8302164489999999</v>
      </c>
      <c r="AY271">
        <f ca="1">IFERROR(IF(0=LEN(ReferenceData!$AY$271),"",ReferenceData!$AY$271),"")</f>
        <v>7.2174737579999997</v>
      </c>
      <c r="AZ271">
        <f ca="1">IFERROR(IF(0=LEN(ReferenceData!$AZ$271),"",ReferenceData!$AZ$271),"")</f>
        <v>6.7981014689999997</v>
      </c>
      <c r="BA271">
        <f ca="1">IFERROR(IF(0=LEN(ReferenceData!$BA$271),"",ReferenceData!$BA$271),"")</f>
        <v>6.8261470129999999</v>
      </c>
      <c r="BB271">
        <f ca="1">IFERROR(IF(0=LEN(ReferenceData!$BB$271),"",ReferenceData!$BB$271),"")</f>
        <v>6.906718283</v>
      </c>
      <c r="BC271">
        <f ca="1">IFERROR(IF(0=LEN(ReferenceData!$BC$271),"",ReferenceData!$BC$271),"")</f>
        <v>6.9698007449999997</v>
      </c>
      <c r="BD271">
        <f ca="1">IFERROR(IF(0=LEN(ReferenceData!$BD$271),"",ReferenceData!$BD$271),"")</f>
        <v>7.2370726879999996</v>
      </c>
      <c r="BE271">
        <f ca="1">IFERROR(IF(0=LEN(ReferenceData!$BE$271),"",ReferenceData!$BE$271),"")</f>
        <v>7.5807077239999998</v>
      </c>
      <c r="BF271">
        <f ca="1">IFERROR(IF(0=LEN(ReferenceData!$BF$271),"",ReferenceData!$BF$271),"")</f>
        <v>8.1599396350000006</v>
      </c>
      <c r="BG271">
        <f ca="1">IFERROR(IF(0=LEN(ReferenceData!$BG$271),"",ReferenceData!$BG$271),"")</f>
        <v>8.7109102020000009</v>
      </c>
      <c r="BH271">
        <f ca="1">IFERROR(IF(0=LEN(ReferenceData!$BH$271),"",ReferenceData!$BH$271),"")</f>
        <v>6.9536528569999998</v>
      </c>
      <c r="BI271">
        <f ca="1">IFERROR(IF(0=LEN(ReferenceData!$BI$271),"",ReferenceData!$BI$271),"")</f>
        <v>7.0947645890000004</v>
      </c>
      <c r="BJ271">
        <f ca="1">IFERROR(IF(0=LEN(ReferenceData!$BJ$271),"",ReferenceData!$BJ$271),"")</f>
        <v>6.9077178889999997</v>
      </c>
      <c r="BK271">
        <f ca="1">IFERROR(IF(0=LEN(ReferenceData!$BK$271),"",ReferenceData!$BK$271),"")</f>
        <v>6.8593904820000002</v>
      </c>
      <c r="BL271">
        <f ca="1">IFERROR(IF(0=LEN(ReferenceData!$BL$271),"",ReferenceData!$BL$271),"")</f>
        <v>6.8408910719999998</v>
      </c>
      <c r="BM271">
        <f ca="1">IFERROR(IF(0=LEN(ReferenceData!$BM$271),"",ReferenceData!$BM$271),"")</f>
        <v>6.6835131030000001</v>
      </c>
    </row>
    <row r="272" spans="1:65">
      <c r="A272" t="str">
        <f>IFERROR(IF(0=LEN(ReferenceData!$A$272),"",ReferenceData!$A$272),"")</f>
        <v xml:space="preserve">    Tanger Factory Outlet Centers</v>
      </c>
      <c r="B272" t="str">
        <f>IFERROR(IF(0=LEN(ReferenceData!$B$272),"",ReferenceData!$B$272),"")</f>
        <v>SKT US Equity</v>
      </c>
      <c r="C272" t="str">
        <f>IFERROR(IF(0=LEN(ReferenceData!$C$272),"",ReferenceData!$C$272),"")</f>
        <v>RR052</v>
      </c>
      <c r="D272" t="str">
        <f>IFERROR(IF(0=LEN(ReferenceData!$D$272),"",ReferenceData!$D$272),"")</f>
        <v>TOT_DEBT_TO_EBITDA</v>
      </c>
      <c r="E272" t="str">
        <f>IFERROR(IF(0=LEN(ReferenceData!$E$272),"",ReferenceData!$E$272),"")</f>
        <v>动态</v>
      </c>
      <c r="F272" t="str">
        <f ca="1">IFERROR(IF(0=LEN(ReferenceData!$F$272),"",ReferenceData!$F$272),"")</f>
        <v/>
      </c>
      <c r="G272">
        <f ca="1">IFERROR(IF(0=LEN(ReferenceData!$G$272),"",ReferenceData!$G$272),"")</f>
        <v>6.1138743770000001</v>
      </c>
      <c r="H272">
        <f ca="1">IFERROR(IF(0=LEN(ReferenceData!$H$272),"",ReferenceData!$H$272),"")</f>
        <v>6.2499110419999999</v>
      </c>
      <c r="I272">
        <f ca="1">IFERROR(IF(0=LEN(ReferenceData!$I$272),"",ReferenceData!$I$272),"")</f>
        <v>6.1626378480000001</v>
      </c>
      <c r="J272">
        <f ca="1">IFERROR(IF(0=LEN(ReferenceData!$J$272),"",ReferenceData!$J$272),"")</f>
        <v>6.1976623760000003</v>
      </c>
      <c r="K272">
        <f ca="1">IFERROR(IF(0=LEN(ReferenceData!$K$272),"",ReferenceData!$K$272),"")</f>
        <v>6.3302729580000001</v>
      </c>
      <c r="L272">
        <f ca="1">IFERROR(IF(0=LEN(ReferenceData!$L$272),"",ReferenceData!$L$272),"")</f>
        <v>6.6262962349999999</v>
      </c>
      <c r="M272">
        <f ca="1">IFERROR(IF(0=LEN(ReferenceData!$M$272),"",ReferenceData!$M$272),"")</f>
        <v>6.2524750930000002</v>
      </c>
      <c r="N272">
        <f ca="1">IFERROR(IF(0=LEN(ReferenceData!$N$272),"",ReferenceData!$N$272),"")</f>
        <v>5.8355861019999997</v>
      </c>
      <c r="O272">
        <f ca="1">IFERROR(IF(0=LEN(ReferenceData!$O$272),"",ReferenceData!$O$272),"")</f>
        <v>6.2477566150000001</v>
      </c>
      <c r="P272">
        <f ca="1">IFERROR(IF(0=LEN(ReferenceData!$P$272),"",ReferenceData!$P$272),"")</f>
        <v>6.3031027719999999</v>
      </c>
      <c r="Q272">
        <f ca="1">IFERROR(IF(0=LEN(ReferenceData!$Q$272),"",ReferenceData!$Q$272),"")</f>
        <v>6.307825587</v>
      </c>
      <c r="R272">
        <f ca="1">IFERROR(IF(0=LEN(ReferenceData!$R$272),"",ReferenceData!$R$272),"")</f>
        <v>6.1743969449999998</v>
      </c>
      <c r="S272">
        <f ca="1">IFERROR(IF(0=LEN(ReferenceData!$S$272),"",ReferenceData!$S$272),"")</f>
        <v>6.1597565449999996</v>
      </c>
      <c r="T272">
        <f ca="1">IFERROR(IF(0=LEN(ReferenceData!$T$272),"",ReferenceData!$T$272),"")</f>
        <v>6.2305491599999998</v>
      </c>
      <c r="U272">
        <f ca="1">IFERROR(IF(0=LEN(ReferenceData!$U$272),"",ReferenceData!$U$272),"")</f>
        <v>6.0803699809999996</v>
      </c>
      <c r="V272">
        <f ca="1">IFERROR(IF(0=LEN(ReferenceData!$V$272),"",ReferenceData!$V$272),"")</f>
        <v>6.0360533649999999</v>
      </c>
      <c r="W272">
        <f ca="1">IFERROR(IF(0=LEN(ReferenceData!$W$272),"",ReferenceData!$W$272),"")</f>
        <v>5.9840806210000004</v>
      </c>
      <c r="X272">
        <f ca="1">IFERROR(IF(0=LEN(ReferenceData!$X$272),"",ReferenceData!$X$272),"")</f>
        <v>6.1566500780000002</v>
      </c>
      <c r="Y272">
        <f ca="1">IFERROR(IF(0=LEN(ReferenceData!$Y$272),"",ReferenceData!$Y$272),"")</f>
        <v>5.3255175340000003</v>
      </c>
      <c r="Z272">
        <f ca="1">IFERROR(IF(0=LEN(ReferenceData!$Z$272),"",ReferenceData!$Z$272),"")</f>
        <v>5.193997231</v>
      </c>
      <c r="AA272">
        <f ca="1">IFERROR(IF(0=LEN(ReferenceData!$AA$272),"",ReferenceData!$AA$272),"")</f>
        <v>5.284638062</v>
      </c>
      <c r="AB272">
        <f ca="1">IFERROR(IF(0=LEN(ReferenceData!$AB$272),"",ReferenceData!$AB$272),"")</f>
        <v>5.1583931229999997</v>
      </c>
      <c r="AC272">
        <f ca="1">IFERROR(IF(0=LEN(ReferenceData!$AC$272),"",ReferenceData!$AC$272),"")</f>
        <v>5.3260900859999998</v>
      </c>
      <c r="AD272">
        <f ca="1">IFERROR(IF(0=LEN(ReferenceData!$AD$272),"",ReferenceData!$AD$272),"")</f>
        <v>5.522092518</v>
      </c>
      <c r="AE272">
        <f ca="1">IFERROR(IF(0=LEN(ReferenceData!$AE$272),"",ReferenceData!$AE$272),"")</f>
        <v>5.7114168100000002</v>
      </c>
      <c r="AF272">
        <f ca="1">IFERROR(IF(0=LEN(ReferenceData!$AF$272),"",ReferenceData!$AF$272),"")</f>
        <v>5.8597380110000001</v>
      </c>
      <c r="AG272">
        <f ca="1">IFERROR(IF(0=LEN(ReferenceData!$AG$272),"",ReferenceData!$AG$272),"")</f>
        <v>5.6319253170000003</v>
      </c>
      <c r="AH272">
        <f ca="1">IFERROR(IF(0=LEN(ReferenceData!$AH$272),"",ReferenceData!$AH$272),"")</f>
        <v>4.7188533489999998</v>
      </c>
      <c r="AI272">
        <f ca="1">IFERROR(IF(0=LEN(ReferenceData!$AI$272),"",ReferenceData!$AI$272),"")</f>
        <v>4.7316252209999998</v>
      </c>
      <c r="AJ272">
        <f ca="1">IFERROR(IF(0=LEN(ReferenceData!$AJ$272),"",ReferenceData!$AJ$272),"")</f>
        <v>4.0806877129999997</v>
      </c>
      <c r="AK272">
        <f ca="1">IFERROR(IF(0=LEN(ReferenceData!$AK$272),"",ReferenceData!$AK$272),"")</f>
        <v>4.2533653429999996</v>
      </c>
      <c r="AL272">
        <f ca="1">IFERROR(IF(0=LEN(ReferenceData!$AL$272),"",ReferenceData!$AL$272),"")</f>
        <v>4.0367312210000001</v>
      </c>
      <c r="AM272">
        <f ca="1">IFERROR(IF(0=LEN(ReferenceData!$AM$272),"",ReferenceData!$AM$272),"")</f>
        <v>3.887584038</v>
      </c>
      <c r="AN272">
        <f ca="1">IFERROR(IF(0=LEN(ReferenceData!$AN$272),"",ReferenceData!$AN$272),"")</f>
        <v>3.988883918</v>
      </c>
      <c r="AO272">
        <f ca="1">IFERROR(IF(0=LEN(ReferenceData!$AO$272),"",ReferenceData!$AO$272),"")</f>
        <v>4.7946754650000001</v>
      </c>
      <c r="AP272">
        <f ca="1">IFERROR(IF(0=LEN(ReferenceData!$AP$272),"",ReferenceData!$AP$272),"")</f>
        <v>5.8781343100000001</v>
      </c>
      <c r="AQ272">
        <f ca="1">IFERROR(IF(0=LEN(ReferenceData!$AQ$272),"",ReferenceData!$AQ$272),"")</f>
        <v>5.654079726</v>
      </c>
      <c r="AR272">
        <f ca="1">IFERROR(IF(0=LEN(ReferenceData!$AR$272),"",ReferenceData!$AR$272),"")</f>
        <v>5.6324081399999999</v>
      </c>
      <c r="AS272">
        <f ca="1">IFERROR(IF(0=LEN(ReferenceData!$AS$272),"",ReferenceData!$AS$272),"")</f>
        <v>5.5413852029999999</v>
      </c>
      <c r="AT272">
        <f ca="1">IFERROR(IF(0=LEN(ReferenceData!$AT$272),"",ReferenceData!$AT$272),"")</f>
        <v>5.336420296</v>
      </c>
      <c r="AU272">
        <f ca="1">IFERROR(IF(0=LEN(ReferenceData!$AU$272),"",ReferenceData!$AU$272),"")</f>
        <v>5.3878644319999998</v>
      </c>
      <c r="AV272">
        <f ca="1">IFERROR(IF(0=LEN(ReferenceData!$AV$272),"",ReferenceData!$AV$272),"")</f>
        <v>5.461217575</v>
      </c>
      <c r="AW272">
        <f ca="1">IFERROR(IF(0=LEN(ReferenceData!$AW$272),"",ReferenceData!$AW$272),"")</f>
        <v>5.2175645660000001</v>
      </c>
      <c r="AX272">
        <f ca="1">IFERROR(IF(0=LEN(ReferenceData!$AX$272),"",ReferenceData!$AX$272),"")</f>
        <v>5.2570328210000001</v>
      </c>
      <c r="AY272">
        <f ca="1">IFERROR(IF(0=LEN(ReferenceData!$AY$272),"",ReferenceData!$AY$272),"")</f>
        <v>5.5574438779999999</v>
      </c>
      <c r="AZ272">
        <f ca="1">IFERROR(IF(0=LEN(ReferenceData!$AZ$272),"",ReferenceData!$AZ$272),"")</f>
        <v>5.4221680059999997</v>
      </c>
      <c r="BA272">
        <f ca="1">IFERROR(IF(0=LEN(ReferenceData!$BA$272),"",ReferenceData!$BA$272),"")</f>
        <v>5.2247679160000002</v>
      </c>
      <c r="BB272">
        <f ca="1">IFERROR(IF(0=LEN(ReferenceData!$BB$272),"",ReferenceData!$BB$272),"")</f>
        <v>5.2382631000000002</v>
      </c>
      <c r="BC272">
        <f ca="1">IFERROR(IF(0=LEN(ReferenceData!$BC$272),"",ReferenceData!$BC$272),"")</f>
        <v>5.5091660630000003</v>
      </c>
      <c r="BD272">
        <f ca="1">IFERROR(IF(0=LEN(ReferenceData!$BD$272),"",ReferenceData!$BD$272),"")</f>
        <v>3.5540879830000001</v>
      </c>
      <c r="BE272">
        <f ca="1">IFERROR(IF(0=LEN(ReferenceData!$BE$272),"",ReferenceData!$BE$272),"")</f>
        <v>4.0256756420000004</v>
      </c>
      <c r="BF272">
        <f ca="1">IFERROR(IF(0=LEN(ReferenceData!$BF$272),"",ReferenceData!$BF$272),"")</f>
        <v>4.0263501809999998</v>
      </c>
      <c r="BG272">
        <f ca="1">IFERROR(IF(0=LEN(ReferenceData!$BG$272),"",ReferenceData!$BG$272),"")</f>
        <v>4.0664475879999999</v>
      </c>
      <c r="BH272">
        <f ca="1">IFERROR(IF(0=LEN(ReferenceData!$BH$272),"",ReferenceData!$BH$272),"")</f>
        <v>4.5737943750000003</v>
      </c>
      <c r="BI272">
        <f ca="1">IFERROR(IF(0=LEN(ReferenceData!$BI$272),"",ReferenceData!$BI$272),"")</f>
        <v>5.2255674909999996</v>
      </c>
      <c r="BJ272">
        <f ca="1">IFERROR(IF(0=LEN(ReferenceData!$BJ$272),"",ReferenceData!$BJ$272),"")</f>
        <v>6.1689761660000002</v>
      </c>
      <c r="BK272">
        <f ca="1">IFERROR(IF(0=LEN(ReferenceData!$BK$272),"",ReferenceData!$BK$272),"")</f>
        <v>7.4860273810000004</v>
      </c>
      <c r="BL272">
        <f ca="1">IFERROR(IF(0=LEN(ReferenceData!$BL$272),"",ReferenceData!$BL$272),"")</f>
        <v>4.6539134290000002</v>
      </c>
      <c r="BM272">
        <f ca="1">IFERROR(IF(0=LEN(ReferenceData!$BM$272),"",ReferenceData!$BM$272),"")</f>
        <v>4.767998983</v>
      </c>
    </row>
    <row r="273" spans="1:65">
      <c r="A273" t="str">
        <f>IFERROR(IF(0=LEN(ReferenceData!$A$273),"",ReferenceData!$A$273),"")</f>
        <v xml:space="preserve">    VEREIT Inc</v>
      </c>
      <c r="B273" t="str">
        <f>IFERROR(IF(0=LEN(ReferenceData!$B$273),"",ReferenceData!$B$273),"")</f>
        <v>VER US Equity</v>
      </c>
      <c r="C273" t="str">
        <f>IFERROR(IF(0=LEN(ReferenceData!$C$273),"",ReferenceData!$C$273),"")</f>
        <v>RR052</v>
      </c>
      <c r="D273" t="str">
        <f>IFERROR(IF(0=LEN(ReferenceData!$D$273),"",ReferenceData!$D$273),"")</f>
        <v>TOT_DEBT_TO_EBITDA</v>
      </c>
      <c r="E273" t="str">
        <f>IFERROR(IF(0=LEN(ReferenceData!$E$273),"",ReferenceData!$E$273),"")</f>
        <v>动态</v>
      </c>
      <c r="F273" t="str">
        <f ca="1">IFERROR(IF(0=LEN(ReferenceData!$F$273),"",ReferenceData!$F$273),"")</f>
        <v/>
      </c>
      <c r="G273">
        <f ca="1">IFERROR(IF(0=LEN(ReferenceData!$G$273),"",ReferenceData!$G$273),"")</f>
        <v>6.0546805450000001</v>
      </c>
      <c r="H273">
        <f ca="1">IFERROR(IF(0=LEN(ReferenceData!$H$273),"",ReferenceData!$H$273),"")</f>
        <v>6.4828011969999997</v>
      </c>
      <c r="I273">
        <f ca="1">IFERROR(IF(0=LEN(ReferenceData!$I$273),"",ReferenceData!$I$273),"")</f>
        <v>6.444705065</v>
      </c>
      <c r="J273">
        <f ca="1">IFERROR(IF(0=LEN(ReferenceData!$J$273),"",ReferenceData!$J$273),"")</f>
        <v>6.3927166130000002</v>
      </c>
      <c r="K273">
        <f ca="1">IFERROR(IF(0=LEN(ReferenceData!$K$273),"",ReferenceData!$K$273),"")</f>
        <v>7.4036131760000004</v>
      </c>
      <c r="L273">
        <f ca="1">IFERROR(IF(0=LEN(ReferenceData!$L$273),"",ReferenceData!$L$273),"")</f>
        <v>8.1974395920000003</v>
      </c>
      <c r="M273">
        <f ca="1">IFERROR(IF(0=LEN(ReferenceData!$M$273),"",ReferenceData!$M$273),"")</f>
        <v>10.239126000000001</v>
      </c>
      <c r="N273">
        <f ca="1">IFERROR(IF(0=LEN(ReferenceData!$N$273),"",ReferenceData!$N$273),"")</f>
        <v>10.200951509999999</v>
      </c>
      <c r="O273">
        <f ca="1">IFERROR(IF(0=LEN(ReferenceData!$O$273),"",ReferenceData!$O$273),"")</f>
        <v>8.6305026159999993</v>
      </c>
      <c r="P273">
        <f ca="1">IFERROR(IF(0=LEN(ReferenceData!$P$273),"",ReferenceData!$P$273),"")</f>
        <v>11.206410139999999</v>
      </c>
      <c r="Q273">
        <f ca="1">IFERROR(IF(0=LEN(ReferenceData!$Q$273),"",ReferenceData!$Q$273),"")</f>
        <v>11.40089079</v>
      </c>
      <c r="R273">
        <f ca="1">IFERROR(IF(0=LEN(ReferenceData!$R$273),"",ReferenceData!$R$273),"")</f>
        <v>11.214702519999999</v>
      </c>
      <c r="S273">
        <f ca="1">IFERROR(IF(0=LEN(ReferenceData!$S$273),"",ReferenceData!$S$273),"")</f>
        <v>15.660482050000001</v>
      </c>
      <c r="T273">
        <f ca="1">IFERROR(IF(0=LEN(ReferenceData!$T$273),"",ReferenceData!$T$273),"")</f>
        <v>16.379427369999998</v>
      </c>
      <c r="U273">
        <f ca="1">IFERROR(IF(0=LEN(ReferenceData!$U$273),"",ReferenceData!$U$273),"")</f>
        <v>23.995686500000001</v>
      </c>
      <c r="V273">
        <f ca="1">IFERROR(IF(0=LEN(ReferenceData!$V$273),"",ReferenceData!$V$273),"")</f>
        <v>111.1375366</v>
      </c>
      <c r="W273" t="str">
        <f ca="1">IFERROR(IF(0=LEN(ReferenceData!$W$273),"",ReferenceData!$W$273),"")</f>
        <v/>
      </c>
      <c r="X273" t="str">
        <f ca="1">IFERROR(IF(0=LEN(ReferenceData!$X$273),"",ReferenceData!$X$273),"")</f>
        <v/>
      </c>
      <c r="Y273" t="str">
        <f ca="1">IFERROR(IF(0=LEN(ReferenceData!$Y$273),"",ReferenceData!$Y$273),"")</f>
        <v/>
      </c>
      <c r="Z273" t="str">
        <f ca="1">IFERROR(IF(0=LEN(ReferenceData!$Z$273),"",ReferenceData!$Z$273),"")</f>
        <v/>
      </c>
      <c r="AA273">
        <f ca="1">IFERROR(IF(0=LEN(ReferenceData!$AA$273),"",ReferenceData!$AA$273),"")</f>
        <v>26.48827567</v>
      </c>
      <c r="AB273">
        <f ca="1">IFERROR(IF(0=LEN(ReferenceData!$AB$273),"",ReferenceData!$AB$273),"")</f>
        <v>23.178733529999999</v>
      </c>
      <c r="AC273">
        <f ca="1">IFERROR(IF(0=LEN(ReferenceData!$AC$273),"",ReferenceData!$AC$273),"")</f>
        <v>41.420197590000001</v>
      </c>
      <c r="AD273" t="str">
        <f ca="1">IFERROR(IF(0=LEN(ReferenceData!$AD$273),"",ReferenceData!$AD$273),"")</f>
        <v/>
      </c>
      <c r="AE273" t="str">
        <f ca="1">IFERROR(IF(0=LEN(ReferenceData!$AE$273),"",ReferenceData!$AE$273),"")</f>
        <v/>
      </c>
      <c r="AF273" t="str">
        <f ca="1">IFERROR(IF(0=LEN(ReferenceData!$AF$273),"",ReferenceData!$AF$273),"")</f>
        <v/>
      </c>
      <c r="AG273" t="str">
        <f ca="1">IFERROR(IF(0=LEN(ReferenceData!$AG$273),"",ReferenceData!$AG$273),"")</f>
        <v/>
      </c>
      <c r="AH273" t="str">
        <f ca="1">IFERROR(IF(0=LEN(ReferenceData!$AH$273),"",ReferenceData!$AH$273),"")</f>
        <v/>
      </c>
      <c r="AI273" t="str">
        <f ca="1">IFERROR(IF(0=LEN(ReferenceData!$AI$273),"",ReferenceData!$AI$273),"")</f>
        <v/>
      </c>
      <c r="AJ273" t="str">
        <f ca="1">IFERROR(IF(0=LEN(ReferenceData!$AJ$273),"",ReferenceData!$AJ$273),"")</f>
        <v/>
      </c>
      <c r="AK273" t="str">
        <f ca="1">IFERROR(IF(0=LEN(ReferenceData!$AK$273),"",ReferenceData!$AK$273),"")</f>
        <v/>
      </c>
      <c r="AL273" t="str">
        <f ca="1">IFERROR(IF(0=LEN(ReferenceData!$AL$273),"",ReferenceData!$AL$273),"")</f>
        <v/>
      </c>
      <c r="AM273" t="str">
        <f ca="1">IFERROR(IF(0=LEN(ReferenceData!$AM$273),"",ReferenceData!$AM$273),"")</f>
        <v/>
      </c>
      <c r="AN273" t="str">
        <f ca="1">IFERROR(IF(0=LEN(ReferenceData!$AN$273),"",ReferenceData!$AN$273),"")</f>
        <v/>
      </c>
      <c r="AO273" t="str">
        <f ca="1">IFERROR(IF(0=LEN(ReferenceData!$AO$273),"",ReferenceData!$AO$273),"")</f>
        <v/>
      </c>
      <c r="AP273" t="str">
        <f ca="1">IFERROR(IF(0=LEN(ReferenceData!$AP$273),"",ReferenceData!$AP$273),"")</f>
        <v/>
      </c>
      <c r="AQ273" t="str">
        <f ca="1">IFERROR(IF(0=LEN(ReferenceData!$AQ$273),"",ReferenceData!$AQ$273),"")</f>
        <v/>
      </c>
      <c r="AR273" t="str">
        <f ca="1">IFERROR(IF(0=LEN(ReferenceData!$AR$273),"",ReferenceData!$AR$273),"")</f>
        <v/>
      </c>
      <c r="AS273" t="str">
        <f ca="1">IFERROR(IF(0=LEN(ReferenceData!$AS$273),"",ReferenceData!$AS$273),"")</f>
        <v/>
      </c>
      <c r="AT273" t="str">
        <f ca="1">IFERROR(IF(0=LEN(ReferenceData!$AT$273),"",ReferenceData!$AT$273),"")</f>
        <v/>
      </c>
      <c r="AU273" t="str">
        <f ca="1">IFERROR(IF(0=LEN(ReferenceData!$AU$273),"",ReferenceData!$AU$273),"")</f>
        <v/>
      </c>
      <c r="AV273" t="str">
        <f ca="1">IFERROR(IF(0=LEN(ReferenceData!$AV$273),"",ReferenceData!$AV$273),"")</f>
        <v/>
      </c>
      <c r="AW273" t="str">
        <f ca="1">IFERROR(IF(0=LEN(ReferenceData!$AW$273),"",ReferenceData!$AW$273),"")</f>
        <v/>
      </c>
      <c r="AX273" t="str">
        <f ca="1">IFERROR(IF(0=LEN(ReferenceData!$AX$273),"",ReferenceData!$AX$273),"")</f>
        <v/>
      </c>
      <c r="AY273" t="str">
        <f ca="1">IFERROR(IF(0=LEN(ReferenceData!$AY$273),"",ReferenceData!$AY$273),"")</f>
        <v/>
      </c>
      <c r="AZ273" t="str">
        <f ca="1">IFERROR(IF(0=LEN(ReferenceData!$AZ$273),"",ReferenceData!$AZ$273),"")</f>
        <v/>
      </c>
      <c r="BA273" t="str">
        <f ca="1">IFERROR(IF(0=LEN(ReferenceData!$BA$273),"",ReferenceData!$BA$273),"")</f>
        <v/>
      </c>
      <c r="BB273" t="str">
        <f ca="1">IFERROR(IF(0=LEN(ReferenceData!$BB$273),"",ReferenceData!$BB$273),"")</f>
        <v/>
      </c>
      <c r="BC273" t="str">
        <f ca="1">IFERROR(IF(0=LEN(ReferenceData!$BC$273),"",ReferenceData!$BC$273),"")</f>
        <v/>
      </c>
      <c r="BD273" t="str">
        <f ca="1">IFERROR(IF(0=LEN(ReferenceData!$BD$273),"",ReferenceData!$BD$273),"")</f>
        <v/>
      </c>
      <c r="BE273" t="str">
        <f ca="1">IFERROR(IF(0=LEN(ReferenceData!$BE$273),"",ReferenceData!$BE$273),"")</f>
        <v/>
      </c>
      <c r="BF273" t="str">
        <f ca="1">IFERROR(IF(0=LEN(ReferenceData!$BF$273),"",ReferenceData!$BF$273),"")</f>
        <v/>
      </c>
      <c r="BG273" t="str">
        <f ca="1">IFERROR(IF(0=LEN(ReferenceData!$BG$273),"",ReferenceData!$BG$273),"")</f>
        <v/>
      </c>
      <c r="BH273" t="str">
        <f ca="1">IFERROR(IF(0=LEN(ReferenceData!$BH$273),"",ReferenceData!$BH$273),"")</f>
        <v/>
      </c>
      <c r="BI273" t="str">
        <f ca="1">IFERROR(IF(0=LEN(ReferenceData!$BI$273),"",ReferenceData!$BI$273),"")</f>
        <v/>
      </c>
      <c r="BJ273" t="str">
        <f ca="1">IFERROR(IF(0=LEN(ReferenceData!$BJ$273),"",ReferenceData!$BJ$273),"")</f>
        <v/>
      </c>
      <c r="BK273" t="str">
        <f ca="1">IFERROR(IF(0=LEN(ReferenceData!$BK$273),"",ReferenceData!$BK$273),"")</f>
        <v/>
      </c>
      <c r="BL273" t="str">
        <f ca="1">IFERROR(IF(0=LEN(ReferenceData!$BL$273),"",ReferenceData!$BL$273),"")</f>
        <v/>
      </c>
      <c r="BM273" t="str">
        <f ca="1">IFERROR(IF(0=LEN(ReferenceData!$BM$273),"",ReferenceData!$BM$273),"")</f>
        <v/>
      </c>
    </row>
    <row r="274" spans="1:65">
      <c r="A274" t="str">
        <f>IFERROR(IF(0=LEN(ReferenceData!$A$274),"",ReferenceData!$A$274),"")</f>
        <v xml:space="preserve">    Washington Prime Group Inc</v>
      </c>
      <c r="B274" t="str">
        <f>IFERROR(IF(0=LEN(ReferenceData!$B$274),"",ReferenceData!$B$274),"")</f>
        <v>WPG US Equity</v>
      </c>
      <c r="C274" t="str">
        <f>IFERROR(IF(0=LEN(ReferenceData!$C$274),"",ReferenceData!$C$274),"")</f>
        <v>RR052</v>
      </c>
      <c r="D274" t="str">
        <f>IFERROR(IF(0=LEN(ReferenceData!$D$274),"",ReferenceData!$D$274),"")</f>
        <v>TOT_DEBT_TO_EBITDA</v>
      </c>
      <c r="E274" t="str">
        <f>IFERROR(IF(0=LEN(ReferenceData!$E$274),"",ReferenceData!$E$274),"")</f>
        <v>动态</v>
      </c>
      <c r="F274" t="str">
        <f ca="1">IFERROR(IF(0=LEN(ReferenceData!$F$274),"",ReferenceData!$F$274),"")</f>
        <v/>
      </c>
      <c r="G274">
        <f ca="1">IFERROR(IF(0=LEN(ReferenceData!$G$274),"",ReferenceData!$G$274),"")</f>
        <v>7.1419990440000003</v>
      </c>
      <c r="H274">
        <f ca="1">IFERROR(IF(0=LEN(ReferenceData!$H$274),"",ReferenceData!$H$274),"")</f>
        <v>6.5515819090000003</v>
      </c>
      <c r="I274">
        <f ca="1">IFERROR(IF(0=LEN(ReferenceData!$I$274),"",ReferenceData!$I$274),"")</f>
        <v>6.3406378840000004</v>
      </c>
      <c r="J274">
        <f ca="1">IFERROR(IF(0=LEN(ReferenceData!$J$274),"",ReferenceData!$J$274),"")</f>
        <v>7.5523857000000003</v>
      </c>
      <c r="K274">
        <f ca="1">IFERROR(IF(0=LEN(ReferenceData!$K$274),"",ReferenceData!$K$274),"")</f>
        <v>7.4505264279999999</v>
      </c>
      <c r="L274">
        <f ca="1">IFERROR(IF(0=LEN(ReferenceData!$L$274),"",ReferenceData!$L$274),"")</f>
        <v>10.638169550000001</v>
      </c>
      <c r="M274">
        <f ca="1">IFERROR(IF(0=LEN(ReferenceData!$M$274),"",ReferenceData!$M$274),"")</f>
        <v>10.27660727</v>
      </c>
      <c r="N274">
        <f ca="1">IFERROR(IF(0=LEN(ReferenceData!$N$274),"",ReferenceData!$N$274),"")</f>
        <v>9.7831130159999997</v>
      </c>
      <c r="O274">
        <f ca="1">IFERROR(IF(0=LEN(ReferenceData!$O$274),"",ReferenceData!$O$274),"")</f>
        <v>10.03385594</v>
      </c>
      <c r="P274">
        <f ca="1">IFERROR(IF(0=LEN(ReferenceData!$P$274),"",ReferenceData!$P$274),"")</f>
        <v>7.6574541070000004</v>
      </c>
      <c r="Q274">
        <f ca="1">IFERROR(IF(0=LEN(ReferenceData!$Q$274),"",ReferenceData!$Q$274),"")</f>
        <v>7.8416042670000001</v>
      </c>
      <c r="R274">
        <f ca="1">IFERROR(IF(0=LEN(ReferenceData!$R$274),"",ReferenceData!$R$274),"")</f>
        <v>12.36904144</v>
      </c>
      <c r="S274">
        <f ca="1">IFERROR(IF(0=LEN(ReferenceData!$S$274),"",ReferenceData!$S$274),"")</f>
        <v>6.2454007630000001</v>
      </c>
      <c r="T274" t="str">
        <f ca="1">IFERROR(IF(0=LEN(ReferenceData!$T$274),"",ReferenceData!$T$274),"")</f>
        <v/>
      </c>
      <c r="U274" t="str">
        <f ca="1">IFERROR(IF(0=LEN(ReferenceData!$U$274),"",ReferenceData!$U$274),"")</f>
        <v/>
      </c>
      <c r="V274" t="str">
        <f ca="1">IFERROR(IF(0=LEN(ReferenceData!$V$274),"",ReferenceData!$V$274),"")</f>
        <v/>
      </c>
      <c r="W274" t="str">
        <f ca="1">IFERROR(IF(0=LEN(ReferenceData!$W$274),"",ReferenceData!$W$274),"")</f>
        <v/>
      </c>
      <c r="X274" t="str">
        <f ca="1">IFERROR(IF(0=LEN(ReferenceData!$X$274),"",ReferenceData!$X$274),"")</f>
        <v/>
      </c>
      <c r="Y274" t="str">
        <f ca="1">IFERROR(IF(0=LEN(ReferenceData!$Y$274),"",ReferenceData!$Y$274),"")</f>
        <v/>
      </c>
      <c r="Z274" t="str">
        <f ca="1">IFERROR(IF(0=LEN(ReferenceData!$Z$274),"",ReferenceData!$Z$274),"")</f>
        <v/>
      </c>
      <c r="AA274" t="str">
        <f ca="1">IFERROR(IF(0=LEN(ReferenceData!$AA$274),"",ReferenceData!$AA$274),"")</f>
        <v/>
      </c>
      <c r="AB274" t="str">
        <f ca="1">IFERROR(IF(0=LEN(ReferenceData!$AB$274),"",ReferenceData!$AB$274),"")</f>
        <v/>
      </c>
      <c r="AC274" t="str">
        <f ca="1">IFERROR(IF(0=LEN(ReferenceData!$AC$274),"",ReferenceData!$AC$274),"")</f>
        <v/>
      </c>
      <c r="AD274" t="str">
        <f ca="1">IFERROR(IF(0=LEN(ReferenceData!$AD$274),"",ReferenceData!$AD$274),"")</f>
        <v/>
      </c>
      <c r="AE274" t="str">
        <f ca="1">IFERROR(IF(0=LEN(ReferenceData!$AE$274),"",ReferenceData!$AE$274),"")</f>
        <v/>
      </c>
      <c r="AF274" t="str">
        <f ca="1">IFERROR(IF(0=LEN(ReferenceData!$AF$274),"",ReferenceData!$AF$274),"")</f>
        <v/>
      </c>
      <c r="AG274" t="str">
        <f ca="1">IFERROR(IF(0=LEN(ReferenceData!$AG$274),"",ReferenceData!$AG$274),"")</f>
        <v/>
      </c>
      <c r="AH274" t="str">
        <f ca="1">IFERROR(IF(0=LEN(ReferenceData!$AH$274),"",ReferenceData!$AH$274),"")</f>
        <v/>
      </c>
      <c r="AI274" t="str">
        <f ca="1">IFERROR(IF(0=LEN(ReferenceData!$AI$274),"",ReferenceData!$AI$274),"")</f>
        <v/>
      </c>
      <c r="AJ274" t="str">
        <f ca="1">IFERROR(IF(0=LEN(ReferenceData!$AJ$274),"",ReferenceData!$AJ$274),"")</f>
        <v/>
      </c>
      <c r="AK274" t="str">
        <f ca="1">IFERROR(IF(0=LEN(ReferenceData!$AK$274),"",ReferenceData!$AK$274),"")</f>
        <v/>
      </c>
      <c r="AL274" t="str">
        <f ca="1">IFERROR(IF(0=LEN(ReferenceData!$AL$274),"",ReferenceData!$AL$274),"")</f>
        <v/>
      </c>
      <c r="AM274" t="str">
        <f ca="1">IFERROR(IF(0=LEN(ReferenceData!$AM$274),"",ReferenceData!$AM$274),"")</f>
        <v/>
      </c>
      <c r="AN274" t="str">
        <f ca="1">IFERROR(IF(0=LEN(ReferenceData!$AN$274),"",ReferenceData!$AN$274),"")</f>
        <v/>
      </c>
      <c r="AO274" t="str">
        <f ca="1">IFERROR(IF(0=LEN(ReferenceData!$AO$274),"",ReferenceData!$AO$274),"")</f>
        <v/>
      </c>
      <c r="AP274" t="str">
        <f ca="1">IFERROR(IF(0=LEN(ReferenceData!$AP$274),"",ReferenceData!$AP$274),"")</f>
        <v/>
      </c>
      <c r="AQ274" t="str">
        <f ca="1">IFERROR(IF(0=LEN(ReferenceData!$AQ$274),"",ReferenceData!$AQ$274),"")</f>
        <v/>
      </c>
      <c r="AR274" t="str">
        <f ca="1">IFERROR(IF(0=LEN(ReferenceData!$AR$274),"",ReferenceData!$AR$274),"")</f>
        <v/>
      </c>
      <c r="AS274" t="str">
        <f ca="1">IFERROR(IF(0=LEN(ReferenceData!$AS$274),"",ReferenceData!$AS$274),"")</f>
        <v/>
      </c>
      <c r="AT274" t="str">
        <f ca="1">IFERROR(IF(0=LEN(ReferenceData!$AT$274),"",ReferenceData!$AT$274),"")</f>
        <v/>
      </c>
      <c r="AU274" t="str">
        <f ca="1">IFERROR(IF(0=LEN(ReferenceData!$AU$274),"",ReferenceData!$AU$274),"")</f>
        <v/>
      </c>
      <c r="AV274" t="str">
        <f ca="1">IFERROR(IF(0=LEN(ReferenceData!$AV$274),"",ReferenceData!$AV$274),"")</f>
        <v/>
      </c>
      <c r="AW274" t="str">
        <f ca="1">IFERROR(IF(0=LEN(ReferenceData!$AW$274),"",ReferenceData!$AW$274),"")</f>
        <v/>
      </c>
      <c r="AX274" t="str">
        <f ca="1">IFERROR(IF(0=LEN(ReferenceData!$AX$274),"",ReferenceData!$AX$274),"")</f>
        <v/>
      </c>
      <c r="AY274" t="str">
        <f ca="1">IFERROR(IF(0=LEN(ReferenceData!$AY$274),"",ReferenceData!$AY$274),"")</f>
        <v/>
      </c>
      <c r="AZ274" t="str">
        <f ca="1">IFERROR(IF(0=LEN(ReferenceData!$AZ$274),"",ReferenceData!$AZ$274),"")</f>
        <v/>
      </c>
      <c r="BA274" t="str">
        <f ca="1">IFERROR(IF(0=LEN(ReferenceData!$BA$274),"",ReferenceData!$BA$274),"")</f>
        <v/>
      </c>
      <c r="BB274" t="str">
        <f ca="1">IFERROR(IF(0=LEN(ReferenceData!$BB$274),"",ReferenceData!$BB$274),"")</f>
        <v/>
      </c>
      <c r="BC274" t="str">
        <f ca="1">IFERROR(IF(0=LEN(ReferenceData!$BC$274),"",ReferenceData!$BC$274),"")</f>
        <v/>
      </c>
      <c r="BD274" t="str">
        <f ca="1">IFERROR(IF(0=LEN(ReferenceData!$BD$274),"",ReferenceData!$BD$274),"")</f>
        <v/>
      </c>
      <c r="BE274" t="str">
        <f ca="1">IFERROR(IF(0=LEN(ReferenceData!$BE$274),"",ReferenceData!$BE$274),"")</f>
        <v/>
      </c>
      <c r="BF274" t="str">
        <f ca="1">IFERROR(IF(0=LEN(ReferenceData!$BF$274),"",ReferenceData!$BF$274),"")</f>
        <v/>
      </c>
      <c r="BG274" t="str">
        <f ca="1">IFERROR(IF(0=LEN(ReferenceData!$BG$274),"",ReferenceData!$BG$274),"")</f>
        <v/>
      </c>
      <c r="BH274" t="str">
        <f ca="1">IFERROR(IF(0=LEN(ReferenceData!$BH$274),"",ReferenceData!$BH$274),"")</f>
        <v/>
      </c>
      <c r="BI274" t="str">
        <f ca="1">IFERROR(IF(0=LEN(ReferenceData!$BI$274),"",ReferenceData!$BI$274),"")</f>
        <v/>
      </c>
      <c r="BJ274" t="str">
        <f ca="1">IFERROR(IF(0=LEN(ReferenceData!$BJ$274),"",ReferenceData!$BJ$274),"")</f>
        <v/>
      </c>
      <c r="BK274" t="str">
        <f ca="1">IFERROR(IF(0=LEN(ReferenceData!$BK$274),"",ReferenceData!$BK$274),"")</f>
        <v/>
      </c>
      <c r="BL274" t="str">
        <f ca="1">IFERROR(IF(0=LEN(ReferenceData!$BL$274),"",ReferenceData!$BL$274),"")</f>
        <v/>
      </c>
      <c r="BM274" t="str">
        <f ca="1">IFERROR(IF(0=LEN(ReferenceData!$BM$274),"",ReferenceData!$BM$274),"")</f>
        <v/>
      </c>
    </row>
    <row r="275" spans="1:65">
      <c r="A275" t="str">
        <f>IFERROR(IF(0=LEN(ReferenceData!$A$275),"",ReferenceData!$A$275),"")</f>
        <v xml:space="preserve">    Weingarten Realty Investors</v>
      </c>
      <c r="B275" t="str">
        <f>IFERROR(IF(0=LEN(ReferenceData!$B$275),"",ReferenceData!$B$275),"")</f>
        <v>WRI US Equity</v>
      </c>
      <c r="C275" t="str">
        <f>IFERROR(IF(0=LEN(ReferenceData!$C$275),"",ReferenceData!$C$275),"")</f>
        <v>RR052</v>
      </c>
      <c r="D275" t="str">
        <f>IFERROR(IF(0=LEN(ReferenceData!$D$275),"",ReferenceData!$D$275),"")</f>
        <v>TOT_DEBT_TO_EBITDA</v>
      </c>
      <c r="E275" t="str">
        <f>IFERROR(IF(0=LEN(ReferenceData!$E$275),"",ReferenceData!$E$275),"")</f>
        <v>动态</v>
      </c>
      <c r="F275" t="str">
        <f ca="1">IFERROR(IF(0=LEN(ReferenceData!$F$275),"",ReferenceData!$F$275),"")</f>
        <v/>
      </c>
      <c r="G275">
        <f ca="1">IFERROR(IF(0=LEN(ReferenceData!$G$275),"",ReferenceData!$G$275),"")</f>
        <v>6.040641463</v>
      </c>
      <c r="H275">
        <f ca="1">IFERROR(IF(0=LEN(ReferenceData!$H$275),"",ReferenceData!$H$275),"")</f>
        <v>6.3266980190000002</v>
      </c>
      <c r="I275">
        <f ca="1">IFERROR(IF(0=LEN(ReferenceData!$I$275),"",ReferenceData!$I$275),"")</f>
        <v>6.5760973439999999</v>
      </c>
      <c r="J275">
        <f ca="1">IFERROR(IF(0=LEN(ReferenceData!$J$275),"",ReferenceData!$J$275),"")</f>
        <v>6.7497131269999997</v>
      </c>
      <c r="K275">
        <f ca="1">IFERROR(IF(0=LEN(ReferenceData!$K$275),"",ReferenceData!$K$275),"")</f>
        <v>6.6013255720000004</v>
      </c>
      <c r="L275">
        <f ca="1">IFERROR(IF(0=LEN(ReferenceData!$L$275),"",ReferenceData!$L$275),"")</f>
        <v>6.706467935</v>
      </c>
      <c r="M275">
        <f ca="1">IFERROR(IF(0=LEN(ReferenceData!$M$275),"",ReferenceData!$M$275),"")</f>
        <v>6.0180403150000004</v>
      </c>
      <c r="N275">
        <f ca="1">IFERROR(IF(0=LEN(ReferenceData!$N$275),"",ReferenceData!$N$275),"")</f>
        <v>6.5138678140000001</v>
      </c>
      <c r="O275">
        <f ca="1">IFERROR(IF(0=LEN(ReferenceData!$O$275),"",ReferenceData!$O$275),"")</f>
        <v>6.3915900969999999</v>
      </c>
      <c r="P275">
        <f ca="1">IFERROR(IF(0=LEN(ReferenceData!$P$275),"",ReferenceData!$P$275),"")</f>
        <v>6.4372819120000004</v>
      </c>
      <c r="Q275">
        <f ca="1">IFERROR(IF(0=LEN(ReferenceData!$Q$275),"",ReferenceData!$Q$275),"")</f>
        <v>6.3388019780000002</v>
      </c>
      <c r="R275">
        <f ca="1">IFERROR(IF(0=LEN(ReferenceData!$R$275),"",ReferenceData!$R$275),"")</f>
        <v>5.8638434530000003</v>
      </c>
      <c r="S275">
        <f ca="1">IFERROR(IF(0=LEN(ReferenceData!$S$275),"",ReferenceData!$S$275),"")</f>
        <v>5.8018511730000002</v>
      </c>
      <c r="T275">
        <f ca="1">IFERROR(IF(0=LEN(ReferenceData!$T$275),"",ReferenceData!$T$275),"")</f>
        <v>6.0373077779999997</v>
      </c>
      <c r="U275">
        <f ca="1">IFERROR(IF(0=LEN(ReferenceData!$U$275),"",ReferenceData!$U$275),"")</f>
        <v>6.3770863899999997</v>
      </c>
      <c r="V275">
        <f ca="1">IFERROR(IF(0=LEN(ReferenceData!$V$275),"",ReferenceData!$V$275),"")</f>
        <v>6.5057870480000002</v>
      </c>
      <c r="W275">
        <f ca="1">IFERROR(IF(0=LEN(ReferenceData!$W$275),"",ReferenceData!$W$275),"")</f>
        <v>7.2428503490000002</v>
      </c>
      <c r="X275">
        <f ca="1">IFERROR(IF(0=LEN(ReferenceData!$X$275),"",ReferenceData!$X$275),"")</f>
        <v>7.2528131990000002</v>
      </c>
      <c r="Y275">
        <f ca="1">IFERROR(IF(0=LEN(ReferenceData!$Y$275),"",ReferenceData!$Y$275),"")</f>
        <v>7.4262418339999998</v>
      </c>
      <c r="Z275">
        <f ca="1">IFERROR(IF(0=LEN(ReferenceData!$Z$275),"",ReferenceData!$Z$275),"")</f>
        <v>7.4893153440000004</v>
      </c>
      <c r="AA275">
        <f ca="1">IFERROR(IF(0=LEN(ReferenceData!$AA$275),"",ReferenceData!$AA$275),"")</f>
        <v>7.2199837520000001</v>
      </c>
      <c r="AB275">
        <f ca="1">IFERROR(IF(0=LEN(ReferenceData!$AB$275),"",ReferenceData!$AB$275),"")</f>
        <v>7.3002366309999998</v>
      </c>
      <c r="AC275">
        <f ca="1">IFERROR(IF(0=LEN(ReferenceData!$AC$275),"",ReferenceData!$AC$275),"")</f>
        <v>7.7872101110000003</v>
      </c>
      <c r="AD275">
        <f ca="1">IFERROR(IF(0=LEN(ReferenceData!$AD$275),"",ReferenceData!$AD$275),"")</f>
        <v>9.122010994</v>
      </c>
      <c r="AE275">
        <f ca="1">IFERROR(IF(0=LEN(ReferenceData!$AE$275),"",ReferenceData!$AE$275),"")</f>
        <v>8.9924951160000006</v>
      </c>
      <c r="AF275">
        <f ca="1">IFERROR(IF(0=LEN(ReferenceData!$AF$275),"",ReferenceData!$AF$275),"")</f>
        <v>9.3795651699999993</v>
      </c>
      <c r="AG275">
        <f ca="1">IFERROR(IF(0=LEN(ReferenceData!$AG$275),"",ReferenceData!$AG$275),"")</f>
        <v>8.510421784</v>
      </c>
      <c r="AH275">
        <f ca="1">IFERROR(IF(0=LEN(ReferenceData!$AH$275),"",ReferenceData!$AH$275),"")</f>
        <v>8.3968017629999991</v>
      </c>
      <c r="AI275">
        <f ca="1">IFERROR(IF(0=LEN(ReferenceData!$AI$275),"",ReferenceData!$AI$275),"")</f>
        <v>8.0520666189999996</v>
      </c>
      <c r="AJ275">
        <f ca="1">IFERROR(IF(0=LEN(ReferenceData!$AJ$275),"",ReferenceData!$AJ$275),"")</f>
        <v>7.6617925810000003</v>
      </c>
      <c r="AK275">
        <f ca="1">IFERROR(IF(0=LEN(ReferenceData!$AK$275),"",ReferenceData!$AK$275),"")</f>
        <v>8.1295530130000007</v>
      </c>
      <c r="AL275">
        <f ca="1">IFERROR(IF(0=LEN(ReferenceData!$AL$275),"",ReferenceData!$AL$275),"")</f>
        <v>7.5132160389999996</v>
      </c>
      <c r="AM275">
        <f ca="1">IFERROR(IF(0=LEN(ReferenceData!$AM$275),"",ReferenceData!$AM$275),"")</f>
        <v>7.4136399309999996</v>
      </c>
      <c r="AN275">
        <f ca="1">IFERROR(IF(0=LEN(ReferenceData!$AN$275),"",ReferenceData!$AN$275),"")</f>
        <v>8.0300823670000003</v>
      </c>
      <c r="AO275">
        <f ca="1">IFERROR(IF(0=LEN(ReferenceData!$AO$275),"",ReferenceData!$AO$275),"")</f>
        <v>6.9772092179999996</v>
      </c>
      <c r="AP275">
        <f ca="1">IFERROR(IF(0=LEN(ReferenceData!$AP$275),"",ReferenceData!$AP$275),"")</f>
        <v>8.0819902450000001</v>
      </c>
      <c r="AQ275">
        <f ca="1">IFERROR(IF(0=LEN(ReferenceData!$AQ$275),"",ReferenceData!$AQ$275),"")</f>
        <v>7.9681439850000002</v>
      </c>
      <c r="AR275">
        <f ca="1">IFERROR(IF(0=LEN(ReferenceData!$AR$275),"",ReferenceData!$AR$275),"")</f>
        <v>8.1454724420000009</v>
      </c>
      <c r="AS275">
        <f ca="1">IFERROR(IF(0=LEN(ReferenceData!$AS$275),"",ReferenceData!$AS$275),"")</f>
        <v>7.881433167</v>
      </c>
      <c r="AT275">
        <f ca="1">IFERROR(IF(0=LEN(ReferenceData!$AT$275),"",ReferenceData!$AT$275),"")</f>
        <v>8.0705767749999993</v>
      </c>
      <c r="AU275">
        <f ca="1">IFERROR(IF(0=LEN(ReferenceData!$AU$275),"",ReferenceData!$AU$275),"")</f>
        <v>7.9747106859999999</v>
      </c>
      <c r="AV275">
        <f ca="1">IFERROR(IF(0=LEN(ReferenceData!$AV$275),"",ReferenceData!$AV$275),"")</f>
        <v>7.7075560940000001</v>
      </c>
      <c r="AW275">
        <f ca="1">IFERROR(IF(0=LEN(ReferenceData!$AW$275),"",ReferenceData!$AW$275),"")</f>
        <v>7.4280452370000001</v>
      </c>
      <c r="AX275">
        <f ca="1">IFERROR(IF(0=LEN(ReferenceData!$AX$275),"",ReferenceData!$AX$275),"")</f>
        <v>7.4773828919999996</v>
      </c>
      <c r="AY275">
        <f ca="1">IFERROR(IF(0=LEN(ReferenceData!$AY$275),"",ReferenceData!$AY$275),"")</f>
        <v>7.6903982429999997</v>
      </c>
      <c r="AZ275">
        <f ca="1">IFERROR(IF(0=LEN(ReferenceData!$AZ$275),"",ReferenceData!$AZ$275),"")</f>
        <v>8.0160223599999991</v>
      </c>
      <c r="BA275">
        <f ca="1">IFERROR(IF(0=LEN(ReferenceData!$BA$275),"",ReferenceData!$BA$275),"")</f>
        <v>6.3447142950000002</v>
      </c>
      <c r="BB275">
        <f ca="1">IFERROR(IF(0=LEN(ReferenceData!$BB$275),"",ReferenceData!$BB$275),"")</f>
        <v>6.2618814279999997</v>
      </c>
      <c r="BC275">
        <f ca="1">IFERROR(IF(0=LEN(ReferenceData!$BC$275),"",ReferenceData!$BC$275),"")</f>
        <v>6.184949724</v>
      </c>
      <c r="BD275">
        <f ca="1">IFERROR(IF(0=LEN(ReferenceData!$BD$275),"",ReferenceData!$BD$275),"")</f>
        <v>5.9844567040000003</v>
      </c>
      <c r="BE275">
        <f ca="1">IFERROR(IF(0=LEN(ReferenceData!$BE$275),"",ReferenceData!$BE$275),"")</f>
        <v>6.0029182959999998</v>
      </c>
      <c r="BF275">
        <f ca="1">IFERROR(IF(0=LEN(ReferenceData!$BF$275),"",ReferenceData!$BF$275),"")</f>
        <v>5.9830477049999997</v>
      </c>
      <c r="BG275">
        <f ca="1">IFERROR(IF(0=LEN(ReferenceData!$BG$275),"",ReferenceData!$BG$275),"")</f>
        <v>6.0326274350000002</v>
      </c>
      <c r="BH275">
        <f ca="1">IFERROR(IF(0=LEN(ReferenceData!$BH$275),"",ReferenceData!$BH$275),"")</f>
        <v>6.1777841410000001</v>
      </c>
      <c r="BI275">
        <f ca="1">IFERROR(IF(0=LEN(ReferenceData!$BI$275),"",ReferenceData!$BI$275),"")</f>
        <v>6.9409371039999996</v>
      </c>
      <c r="BJ275">
        <f ca="1">IFERROR(IF(0=LEN(ReferenceData!$BJ$275),"",ReferenceData!$BJ$275),"")</f>
        <v>6.7732507100000001</v>
      </c>
      <c r="BK275">
        <f ca="1">IFERROR(IF(0=LEN(ReferenceData!$BK$275),"",ReferenceData!$BK$275),"")</f>
        <v>6.583202752</v>
      </c>
      <c r="BL275">
        <f ca="1">IFERROR(IF(0=LEN(ReferenceData!$BL$275),"",ReferenceData!$BL$275),"")</f>
        <v>5.8603057229999997</v>
      </c>
      <c r="BM275">
        <f ca="1">IFERROR(IF(0=LEN(ReferenceData!$BM$275),"",ReferenceData!$BM$275),"")</f>
        <v>5.5472221990000001</v>
      </c>
    </row>
    <row r="276" spans="1:65">
      <c r="A276" t="str">
        <f>IFERROR(IF(0=LEN(ReferenceData!$A$276),"",ReferenceData!$A$276),"")</f>
        <v>净债务/调整后EBITIDA</v>
      </c>
      <c r="B276" t="str">
        <f>IFERROR(IF(0=LEN(ReferenceData!$B$276),"",ReferenceData!$B$276),"")</f>
        <v/>
      </c>
      <c r="C276" t="str">
        <f>IFERROR(IF(0=LEN(ReferenceData!$C$276),"",ReferenceData!$C$276),"")</f>
        <v/>
      </c>
      <c r="D276" t="str">
        <f>IFERROR(IF(0=LEN(ReferenceData!$D$276),"",ReferenceData!$D$276),"")</f>
        <v/>
      </c>
      <c r="E276" t="str">
        <f>IFERROR(IF(0=LEN(ReferenceData!$E$276),"",ReferenceData!$E$276),"")</f>
        <v>Median</v>
      </c>
      <c r="F276" t="str">
        <f ca="1">IFERROR(IF(0=LEN(ReferenceData!$F$276),"",ReferenceData!$F$276),"")</f>
        <v/>
      </c>
      <c r="G276">
        <f ca="1">IFERROR(IF(0=LEN(ReferenceData!$G$276),"",ReferenceData!$G$276),"")</f>
        <v>6.0206415470000003</v>
      </c>
      <c r="H276">
        <f ca="1">IFERROR(IF(0=LEN(ReferenceData!$H$276),"",ReferenceData!$H$276),"")</f>
        <v>6.0424785539999997</v>
      </c>
      <c r="I276">
        <f ca="1">IFERROR(IF(0=LEN(ReferenceData!$I$276),"",ReferenceData!$I$276),"")</f>
        <v>6.2852234530000004</v>
      </c>
      <c r="J276">
        <f ca="1">IFERROR(IF(0=LEN(ReferenceData!$J$276),"",ReferenceData!$J$276),"")</f>
        <v>6.4570712830000003</v>
      </c>
      <c r="K276">
        <f ca="1">IFERROR(IF(0=LEN(ReferenceData!$K$276),"",ReferenceData!$K$276),"")</f>
        <v>6.1278425470000002</v>
      </c>
      <c r="L276">
        <f ca="1">IFERROR(IF(0=LEN(ReferenceData!$L$276),"",ReferenceData!$L$276),"")</f>
        <v>6.1679904309999998</v>
      </c>
      <c r="M276">
        <f ca="1">IFERROR(IF(0=LEN(ReferenceData!$M$276),"",ReferenceData!$M$276),"")</f>
        <v>6.1467345939999998</v>
      </c>
      <c r="N276">
        <f ca="1">IFERROR(IF(0=LEN(ReferenceData!$N$276),"",ReferenceData!$N$276),"")</f>
        <v>6.2122360470000002</v>
      </c>
      <c r="O276">
        <f ca="1">IFERROR(IF(0=LEN(ReferenceData!$O$276),"",ReferenceData!$O$276),"")</f>
        <v>6.1609681280000004</v>
      </c>
      <c r="P276">
        <f ca="1">IFERROR(IF(0=LEN(ReferenceData!$P$276),"",ReferenceData!$P$276),"")</f>
        <v>6.3037478719999998</v>
      </c>
      <c r="Q276">
        <f ca="1">IFERROR(IF(0=LEN(ReferenceData!$Q$276),"",ReferenceData!$Q$276),"")</f>
        <v>6.2760020570000004</v>
      </c>
      <c r="R276">
        <f ca="1">IFERROR(IF(0=LEN(ReferenceData!$R$276),"",ReferenceData!$R$276),"")</f>
        <v>6.338407707</v>
      </c>
      <c r="S276">
        <f ca="1">IFERROR(IF(0=LEN(ReferenceData!$S$276),"",ReferenceData!$S$276),"")</f>
        <v>5.9466549349999998</v>
      </c>
      <c r="T276">
        <f ca="1">IFERROR(IF(0=LEN(ReferenceData!$T$276),"",ReferenceData!$T$276),"")</f>
        <v>6.0915163410000002</v>
      </c>
      <c r="U276">
        <f ca="1">IFERROR(IF(0=LEN(ReferenceData!$U$276),"",ReferenceData!$U$276),"")</f>
        <v>6.5671261164999999</v>
      </c>
      <c r="V276">
        <f ca="1">IFERROR(IF(0=LEN(ReferenceData!$V$276),"",ReferenceData!$V$276),"")</f>
        <v>6.5117288035000005</v>
      </c>
      <c r="W276">
        <f ca="1">IFERROR(IF(0=LEN(ReferenceData!$W$276),"",ReferenceData!$W$276),"")</f>
        <v>6.7327324170000002</v>
      </c>
      <c r="X276">
        <f ca="1">IFERROR(IF(0=LEN(ReferenceData!$X$276),"",ReferenceData!$X$276),"")</f>
        <v>7.0106426135</v>
      </c>
      <c r="Y276">
        <f ca="1">IFERROR(IF(0=LEN(ReferenceData!$Y$276),"",ReferenceData!$Y$276),"")</f>
        <v>6.9993628814999997</v>
      </c>
      <c r="Z276">
        <f ca="1">IFERROR(IF(0=LEN(ReferenceData!$Z$276),"",ReferenceData!$Z$276),"")</f>
        <v>6.7624820840000002</v>
      </c>
      <c r="AA276">
        <f ca="1">IFERROR(IF(0=LEN(ReferenceData!$AA$276),"",ReferenceData!$AA$276),"")</f>
        <v>6.7832569075000002</v>
      </c>
      <c r="AB276">
        <f ca="1">IFERROR(IF(0=LEN(ReferenceData!$AB$276),"",ReferenceData!$AB$276),"")</f>
        <v>6.5510560309999999</v>
      </c>
      <c r="AC276">
        <f ca="1">IFERROR(IF(0=LEN(ReferenceData!$AC$276),"",ReferenceData!$AC$276),"")</f>
        <v>6.6862834720000004</v>
      </c>
      <c r="AD276">
        <f ca="1">IFERROR(IF(0=LEN(ReferenceData!$AD$276),"",ReferenceData!$AD$276),"")</f>
        <v>6.5092183205000005</v>
      </c>
      <c r="AE276">
        <f ca="1">IFERROR(IF(0=LEN(ReferenceData!$AE$276),"",ReferenceData!$AE$276),"")</f>
        <v>6.2531858580000002</v>
      </c>
      <c r="AF276">
        <f ca="1">IFERROR(IF(0=LEN(ReferenceData!$AF$276),"",ReferenceData!$AF$276),"")</f>
        <v>6.9362367579999997</v>
      </c>
      <c r="AG276">
        <f ca="1">IFERROR(IF(0=LEN(ReferenceData!$AG$276),"",ReferenceData!$AG$276),"")</f>
        <v>6.2539638530000001</v>
      </c>
      <c r="AH276">
        <f ca="1">IFERROR(IF(0=LEN(ReferenceData!$AH$276),"",ReferenceData!$AH$276),"")</f>
        <v>5.8156246070000002</v>
      </c>
      <c r="AI276">
        <f ca="1">IFERROR(IF(0=LEN(ReferenceData!$AI$276),"",ReferenceData!$AI$276),"")</f>
        <v>5.9181069769999999</v>
      </c>
      <c r="AJ276">
        <f ca="1">IFERROR(IF(0=LEN(ReferenceData!$AJ$276),"",ReferenceData!$AJ$276),"")</f>
        <v>6.3894557005000001</v>
      </c>
      <c r="AK276">
        <f ca="1">IFERROR(IF(0=LEN(ReferenceData!$AK$276),"",ReferenceData!$AK$276),"")</f>
        <v>5.8944955609999994</v>
      </c>
      <c r="AL276">
        <f ca="1">IFERROR(IF(0=LEN(ReferenceData!$AL$276),"",ReferenceData!$AL$276),"")</f>
        <v>5.6932936529999996</v>
      </c>
      <c r="AM276">
        <f ca="1">IFERROR(IF(0=LEN(ReferenceData!$AM$276),"",ReferenceData!$AM$276),"")</f>
        <v>5.7945916879999997</v>
      </c>
      <c r="AN276" t="str">
        <f ca="1">IFERROR(IF(0=LEN(ReferenceData!$AN$276),"",ReferenceData!$AN$276),"")</f>
        <v/>
      </c>
      <c r="AO276" t="str">
        <f ca="1">IFERROR(IF(0=LEN(ReferenceData!$AO$276),"",ReferenceData!$AO$276),"")</f>
        <v/>
      </c>
      <c r="AP276" t="str">
        <f ca="1">IFERROR(IF(0=LEN(ReferenceData!$AP$276),"",ReferenceData!$AP$276),"")</f>
        <v/>
      </c>
      <c r="AQ276" t="str">
        <f ca="1">IFERROR(IF(0=LEN(ReferenceData!$AQ$276),"",ReferenceData!$AQ$276),"")</f>
        <v/>
      </c>
      <c r="AR276" t="str">
        <f ca="1">IFERROR(IF(0=LEN(ReferenceData!$AR$276),"",ReferenceData!$AR$276),"")</f>
        <v/>
      </c>
      <c r="AS276" t="str">
        <f ca="1">IFERROR(IF(0=LEN(ReferenceData!$AS$276),"",ReferenceData!$AS$276),"")</f>
        <v/>
      </c>
      <c r="AT276" t="str">
        <f ca="1">IFERROR(IF(0=LEN(ReferenceData!$AT$276),"",ReferenceData!$AT$276),"")</f>
        <v/>
      </c>
      <c r="AU276" t="str">
        <f ca="1">IFERROR(IF(0=LEN(ReferenceData!$AU$276),"",ReferenceData!$AU$276),"")</f>
        <v/>
      </c>
      <c r="AV276" t="str">
        <f ca="1">IFERROR(IF(0=LEN(ReferenceData!$AV$276),"",ReferenceData!$AV$276),"")</f>
        <v/>
      </c>
      <c r="AW276" t="str">
        <f ca="1">IFERROR(IF(0=LEN(ReferenceData!$AW$276),"",ReferenceData!$AW$276),"")</f>
        <v/>
      </c>
      <c r="AX276" t="str">
        <f ca="1">IFERROR(IF(0=LEN(ReferenceData!$AX$276),"",ReferenceData!$AX$276),"")</f>
        <v/>
      </c>
      <c r="AY276" t="str">
        <f ca="1">IFERROR(IF(0=LEN(ReferenceData!$AY$276),"",ReferenceData!$AY$276),"")</f>
        <v/>
      </c>
      <c r="AZ276" t="str">
        <f ca="1">IFERROR(IF(0=LEN(ReferenceData!$AZ$276),"",ReferenceData!$AZ$276),"")</f>
        <v/>
      </c>
      <c r="BA276" t="str">
        <f ca="1">IFERROR(IF(0=LEN(ReferenceData!$BA$276),"",ReferenceData!$BA$276),"")</f>
        <v/>
      </c>
      <c r="BB276" t="str">
        <f ca="1">IFERROR(IF(0=LEN(ReferenceData!$BB$276),"",ReferenceData!$BB$276),"")</f>
        <v/>
      </c>
      <c r="BC276" t="str">
        <f ca="1">IFERROR(IF(0=LEN(ReferenceData!$BC$276),"",ReferenceData!$BC$276),"")</f>
        <v/>
      </c>
      <c r="BD276" t="str">
        <f ca="1">IFERROR(IF(0=LEN(ReferenceData!$BD$276),"",ReferenceData!$BD$276),"")</f>
        <v/>
      </c>
      <c r="BE276" t="str">
        <f ca="1">IFERROR(IF(0=LEN(ReferenceData!$BE$276),"",ReferenceData!$BE$276),"")</f>
        <v/>
      </c>
      <c r="BF276" t="str">
        <f ca="1">IFERROR(IF(0=LEN(ReferenceData!$BF$276),"",ReferenceData!$BF$276),"")</f>
        <v/>
      </c>
      <c r="BG276" t="str">
        <f ca="1">IFERROR(IF(0=LEN(ReferenceData!$BG$276),"",ReferenceData!$BG$276),"")</f>
        <v/>
      </c>
      <c r="BH276" t="str">
        <f ca="1">IFERROR(IF(0=LEN(ReferenceData!$BH$276),"",ReferenceData!$BH$276),"")</f>
        <v/>
      </c>
      <c r="BI276" t="str">
        <f ca="1">IFERROR(IF(0=LEN(ReferenceData!$BI$276),"",ReferenceData!$BI$276),"")</f>
        <v/>
      </c>
      <c r="BJ276" t="str">
        <f ca="1">IFERROR(IF(0=LEN(ReferenceData!$BJ$276),"",ReferenceData!$BJ$276),"")</f>
        <v/>
      </c>
      <c r="BK276" t="str">
        <f ca="1">IFERROR(IF(0=LEN(ReferenceData!$BK$276),"",ReferenceData!$BK$276),"")</f>
        <v/>
      </c>
      <c r="BL276" t="str">
        <f ca="1">IFERROR(IF(0=LEN(ReferenceData!$BL$276),"",ReferenceData!$BL$276),"")</f>
        <v/>
      </c>
      <c r="BM276" t="str">
        <f ca="1">IFERROR(IF(0=LEN(ReferenceData!$BM$276),"",ReferenceData!$BM$276),"")</f>
        <v/>
      </c>
    </row>
    <row r="277" spans="1:65">
      <c r="A277" t="str">
        <f>IFERROR(IF(0=LEN(ReferenceData!$A$277),"",ReferenceData!$A$277),"")</f>
        <v xml:space="preserve">    Brixmor Property Group Inc</v>
      </c>
      <c r="B277" t="str">
        <f>IFERROR(IF(0=LEN(ReferenceData!$B$277),"",ReferenceData!$B$277),"")</f>
        <v>BRX US Equity</v>
      </c>
      <c r="C277" t="str">
        <f>IFERROR(IF(0=LEN(ReferenceData!$C$277),"",ReferenceData!$C$277),"")</f>
        <v>F1178</v>
      </c>
      <c r="D277" t="str">
        <f>IFERROR(IF(0=LEN(ReferenceData!$D$277),"",ReferenceData!$D$277),"")</f>
        <v>NET_DEBT_EBITDA_ADJUSTED</v>
      </c>
      <c r="E277" t="str">
        <f>IFERROR(IF(0=LEN(ReferenceData!$E$277),"",ReferenceData!$E$277),"")</f>
        <v>动态</v>
      </c>
      <c r="F277" t="str">
        <f ca="1">IFERROR(IF(0=LEN(ReferenceData!$F$277),"",ReferenceData!$F$277),"")</f>
        <v/>
      </c>
      <c r="G277">
        <f ca="1">IFERROR(IF(0=LEN(ReferenceData!$G$277),"",ReferenceData!$G$277),"")</f>
        <v>6.8961581650000001</v>
      </c>
      <c r="H277">
        <f ca="1">IFERROR(IF(0=LEN(ReferenceData!$H$277),"",ReferenceData!$H$277),"")</f>
        <v>6.9512919990000004</v>
      </c>
      <c r="I277">
        <f ca="1">IFERROR(IF(0=LEN(ReferenceData!$I$277),"",ReferenceData!$I$277),"")</f>
        <v>6.8613174560000001</v>
      </c>
      <c r="J277">
        <f ca="1">IFERROR(IF(0=LEN(ReferenceData!$J$277),"",ReferenceData!$J$277),"")</f>
        <v>7.1402321659999997</v>
      </c>
      <c r="K277">
        <f ca="1">IFERROR(IF(0=LEN(ReferenceData!$K$277),"",ReferenceData!$K$277),"")</f>
        <v>7.071156459</v>
      </c>
      <c r="L277">
        <f ca="1">IFERROR(IF(0=LEN(ReferenceData!$L$277),"",ReferenceData!$L$277),"")</f>
        <v>7.2058475050000004</v>
      </c>
      <c r="M277">
        <f ca="1">IFERROR(IF(0=LEN(ReferenceData!$M$277),"",ReferenceData!$M$277),"")</f>
        <v>7.22212473</v>
      </c>
      <c r="N277">
        <f ca="1">IFERROR(IF(0=LEN(ReferenceData!$N$277),"",ReferenceData!$N$277),"")</f>
        <v>7.1986492110000002</v>
      </c>
      <c r="O277">
        <f ca="1">IFERROR(IF(0=LEN(ReferenceData!$O$277),"",ReferenceData!$O$277),"")</f>
        <v>7.3823897499999998</v>
      </c>
      <c r="P277">
        <f ca="1">IFERROR(IF(0=LEN(ReferenceData!$P$277),"",ReferenceData!$P$277),"")</f>
        <v>7.4286585629999999</v>
      </c>
      <c r="Q277">
        <f ca="1">IFERROR(IF(0=LEN(ReferenceData!$Q$277),"",ReferenceData!$Q$277),"")</f>
        <v>7.5217294670000001</v>
      </c>
      <c r="R277">
        <f ca="1">IFERROR(IF(0=LEN(ReferenceData!$R$277),"",ReferenceData!$R$277),"")</f>
        <v>7.6235118369999997</v>
      </c>
      <c r="S277">
        <f ca="1">IFERROR(IF(0=LEN(ReferenceData!$S$277),"",ReferenceData!$S$277),"")</f>
        <v>7.5344889249999998</v>
      </c>
      <c r="T277">
        <f ca="1">IFERROR(IF(0=LEN(ReferenceData!$T$277),"",ReferenceData!$T$277),"")</f>
        <v>7.7542989450000004</v>
      </c>
      <c r="U277">
        <f ca="1">IFERROR(IF(0=LEN(ReferenceData!$U$277),"",ReferenceData!$U$277),"")</f>
        <v>8.0444861190000001</v>
      </c>
      <c r="V277">
        <f ca="1">IFERROR(IF(0=LEN(ReferenceData!$V$277),"",ReferenceData!$V$277),"")</f>
        <v>7.8742017989999997</v>
      </c>
      <c r="W277">
        <f ca="1">IFERROR(IF(0=LEN(ReferenceData!$W$277),"",ReferenceData!$W$277),"")</f>
        <v>8.0464158220000002</v>
      </c>
      <c r="X277">
        <f ca="1">IFERROR(IF(0=LEN(ReferenceData!$X$277),"",ReferenceData!$X$277),"")</f>
        <v>8.5045535090000008</v>
      </c>
      <c r="Y277">
        <f ca="1">IFERROR(IF(0=LEN(ReferenceData!$Y$277),"",ReferenceData!$Y$277),"")</f>
        <v>8.5150247050000001</v>
      </c>
      <c r="Z277">
        <f ca="1">IFERROR(IF(0=LEN(ReferenceData!$Z$277),"",ReferenceData!$Z$277),"")</f>
        <v>9.1783238919999999</v>
      </c>
      <c r="AA277">
        <f ca="1">IFERROR(IF(0=LEN(ReferenceData!$AA$277),"",ReferenceData!$AA$277),"")</f>
        <v>9.2347000500000007</v>
      </c>
      <c r="AB277" t="str">
        <f ca="1">IFERROR(IF(0=LEN(ReferenceData!$AB$277),"",ReferenceData!$AB$277),"")</f>
        <v/>
      </c>
      <c r="AC277" t="str">
        <f ca="1">IFERROR(IF(0=LEN(ReferenceData!$AC$277),"",ReferenceData!$AC$277),"")</f>
        <v/>
      </c>
      <c r="AD277" t="str">
        <f ca="1">IFERROR(IF(0=LEN(ReferenceData!$AD$277),"",ReferenceData!$AD$277),"")</f>
        <v/>
      </c>
      <c r="AE277" t="str">
        <f ca="1">IFERROR(IF(0=LEN(ReferenceData!$AE$277),"",ReferenceData!$AE$277),"")</f>
        <v/>
      </c>
      <c r="AF277" t="str">
        <f ca="1">IFERROR(IF(0=LEN(ReferenceData!$AF$277),"",ReferenceData!$AF$277),"")</f>
        <v/>
      </c>
      <c r="AG277" t="str">
        <f ca="1">IFERROR(IF(0=LEN(ReferenceData!$AG$277),"",ReferenceData!$AG$277),"")</f>
        <v/>
      </c>
      <c r="AH277" t="str">
        <f ca="1">IFERROR(IF(0=LEN(ReferenceData!$AH$277),"",ReferenceData!$AH$277),"")</f>
        <v/>
      </c>
      <c r="AI277" t="str">
        <f ca="1">IFERROR(IF(0=LEN(ReferenceData!$AI$277),"",ReferenceData!$AI$277),"")</f>
        <v/>
      </c>
      <c r="AJ277" t="str">
        <f ca="1">IFERROR(IF(0=LEN(ReferenceData!$AJ$277),"",ReferenceData!$AJ$277),"")</f>
        <v/>
      </c>
      <c r="AK277" t="str">
        <f ca="1">IFERROR(IF(0=LEN(ReferenceData!$AK$277),"",ReferenceData!$AK$277),"")</f>
        <v/>
      </c>
      <c r="AL277" t="str">
        <f ca="1">IFERROR(IF(0=LEN(ReferenceData!$AL$277),"",ReferenceData!$AL$277),"")</f>
        <v/>
      </c>
      <c r="AM277" t="str">
        <f ca="1">IFERROR(IF(0=LEN(ReferenceData!$AM$277),"",ReferenceData!$AM$277),"")</f>
        <v/>
      </c>
      <c r="AN277" t="str">
        <f ca="1">IFERROR(IF(0=LEN(ReferenceData!$AN$277),"",ReferenceData!$AN$277),"")</f>
        <v/>
      </c>
      <c r="AO277" t="str">
        <f ca="1">IFERROR(IF(0=LEN(ReferenceData!$AO$277),"",ReferenceData!$AO$277),"")</f>
        <v/>
      </c>
      <c r="AP277" t="str">
        <f ca="1">IFERROR(IF(0=LEN(ReferenceData!$AP$277),"",ReferenceData!$AP$277),"")</f>
        <v/>
      </c>
      <c r="AQ277" t="str">
        <f ca="1">IFERROR(IF(0=LEN(ReferenceData!$AQ$277),"",ReferenceData!$AQ$277),"")</f>
        <v/>
      </c>
      <c r="AR277" t="str">
        <f ca="1">IFERROR(IF(0=LEN(ReferenceData!$AR$277),"",ReferenceData!$AR$277),"")</f>
        <v/>
      </c>
      <c r="AS277" t="str">
        <f ca="1">IFERROR(IF(0=LEN(ReferenceData!$AS$277),"",ReferenceData!$AS$277),"")</f>
        <v/>
      </c>
      <c r="AT277" t="str">
        <f ca="1">IFERROR(IF(0=LEN(ReferenceData!$AT$277),"",ReferenceData!$AT$277),"")</f>
        <v/>
      </c>
      <c r="AU277" t="str">
        <f ca="1">IFERROR(IF(0=LEN(ReferenceData!$AU$277),"",ReferenceData!$AU$277),"")</f>
        <v/>
      </c>
      <c r="AV277" t="str">
        <f ca="1">IFERROR(IF(0=LEN(ReferenceData!$AV$277),"",ReferenceData!$AV$277),"")</f>
        <v/>
      </c>
      <c r="AW277" t="str">
        <f ca="1">IFERROR(IF(0=LEN(ReferenceData!$AW$277),"",ReferenceData!$AW$277),"")</f>
        <v/>
      </c>
      <c r="AX277" t="str">
        <f ca="1">IFERROR(IF(0=LEN(ReferenceData!$AX$277),"",ReferenceData!$AX$277),"")</f>
        <v/>
      </c>
      <c r="AY277" t="str">
        <f ca="1">IFERROR(IF(0=LEN(ReferenceData!$AY$277),"",ReferenceData!$AY$277),"")</f>
        <v/>
      </c>
      <c r="AZ277" t="str">
        <f ca="1">IFERROR(IF(0=LEN(ReferenceData!$AZ$277),"",ReferenceData!$AZ$277),"")</f>
        <v/>
      </c>
      <c r="BA277" t="str">
        <f ca="1">IFERROR(IF(0=LEN(ReferenceData!$BA$277),"",ReferenceData!$BA$277),"")</f>
        <v/>
      </c>
      <c r="BB277" t="str">
        <f ca="1">IFERROR(IF(0=LEN(ReferenceData!$BB$277),"",ReferenceData!$BB$277),"")</f>
        <v/>
      </c>
      <c r="BC277" t="str">
        <f ca="1">IFERROR(IF(0=LEN(ReferenceData!$BC$277),"",ReferenceData!$BC$277),"")</f>
        <v/>
      </c>
      <c r="BD277" t="str">
        <f ca="1">IFERROR(IF(0=LEN(ReferenceData!$BD$277),"",ReferenceData!$BD$277),"")</f>
        <v/>
      </c>
      <c r="BE277" t="str">
        <f ca="1">IFERROR(IF(0=LEN(ReferenceData!$BE$277),"",ReferenceData!$BE$277),"")</f>
        <v/>
      </c>
      <c r="BF277" t="str">
        <f ca="1">IFERROR(IF(0=LEN(ReferenceData!$BF$277),"",ReferenceData!$BF$277),"")</f>
        <v/>
      </c>
      <c r="BG277" t="str">
        <f ca="1">IFERROR(IF(0=LEN(ReferenceData!$BG$277),"",ReferenceData!$BG$277),"")</f>
        <v/>
      </c>
      <c r="BH277" t="str">
        <f ca="1">IFERROR(IF(0=LEN(ReferenceData!$BH$277),"",ReferenceData!$BH$277),"")</f>
        <v/>
      </c>
      <c r="BI277" t="str">
        <f ca="1">IFERROR(IF(0=LEN(ReferenceData!$BI$277),"",ReferenceData!$BI$277),"")</f>
        <v/>
      </c>
      <c r="BJ277" t="str">
        <f ca="1">IFERROR(IF(0=LEN(ReferenceData!$BJ$277),"",ReferenceData!$BJ$277),"")</f>
        <v/>
      </c>
      <c r="BK277" t="str">
        <f ca="1">IFERROR(IF(0=LEN(ReferenceData!$BK$277),"",ReferenceData!$BK$277),"")</f>
        <v/>
      </c>
      <c r="BL277" t="str">
        <f ca="1">IFERROR(IF(0=LEN(ReferenceData!$BL$277),"",ReferenceData!$BL$277),"")</f>
        <v/>
      </c>
      <c r="BM277" t="str">
        <f ca="1">IFERROR(IF(0=LEN(ReferenceData!$BM$277),"",ReferenceData!$BM$277),"")</f>
        <v/>
      </c>
    </row>
    <row r="278" spans="1:65">
      <c r="A278" t="str">
        <f>IFERROR(IF(0=LEN(ReferenceData!$A$278),"",ReferenceData!$A$278),"")</f>
        <v xml:space="preserve">    CBL &amp; Associates Properties In</v>
      </c>
      <c r="B278" t="str">
        <f>IFERROR(IF(0=LEN(ReferenceData!$B$278),"",ReferenceData!$B$278),"")</f>
        <v>CBL US Equity</v>
      </c>
      <c r="C278" t="str">
        <f>IFERROR(IF(0=LEN(ReferenceData!$C$278),"",ReferenceData!$C$278),"")</f>
        <v>F1178</v>
      </c>
      <c r="D278" t="str">
        <f>IFERROR(IF(0=LEN(ReferenceData!$D$278),"",ReferenceData!$D$278),"")</f>
        <v>NET_DEBT_EBITDA_ADJUSTED</v>
      </c>
      <c r="E278" t="str">
        <f>IFERROR(IF(0=LEN(ReferenceData!$E$278),"",ReferenceData!$E$278),"")</f>
        <v>动态</v>
      </c>
      <c r="F278" t="str">
        <f ca="1">IFERROR(IF(0=LEN(ReferenceData!$F$278),"",ReferenceData!$F$278),"")</f>
        <v/>
      </c>
      <c r="G278">
        <f ca="1">IFERROR(IF(0=LEN(ReferenceData!$G$278),"",ReferenceData!$G$278),"")</f>
        <v>8.0466944710000003</v>
      </c>
      <c r="H278">
        <f ca="1">IFERROR(IF(0=LEN(ReferenceData!$H$278),"",ReferenceData!$H$278),"")</f>
        <v>7.7602277910000002</v>
      </c>
      <c r="I278">
        <f ca="1">IFERROR(IF(0=LEN(ReferenceData!$I$278),"",ReferenceData!$I$278),"")</f>
        <v>7.6039196110000002</v>
      </c>
      <c r="J278">
        <f ca="1">IFERROR(IF(0=LEN(ReferenceData!$J$278),"",ReferenceData!$J$278),"")</f>
        <v>6.865722914</v>
      </c>
      <c r="K278">
        <f ca="1">IFERROR(IF(0=LEN(ReferenceData!$K$278),"",ReferenceData!$K$278),"")</f>
        <v>6.7038111980000004</v>
      </c>
      <c r="L278">
        <f ca="1">IFERROR(IF(0=LEN(ReferenceData!$L$278),"",ReferenceData!$L$278),"")</f>
        <v>6.654442446</v>
      </c>
      <c r="M278">
        <f ca="1">IFERROR(IF(0=LEN(ReferenceData!$M$278),"",ReferenceData!$M$278),"")</f>
        <v>6.6690815920000004</v>
      </c>
      <c r="N278">
        <f ca="1">IFERROR(IF(0=LEN(ReferenceData!$N$278),"",ReferenceData!$N$278),"")</f>
        <v>6.8568518379999999</v>
      </c>
      <c r="O278">
        <f ca="1">IFERROR(IF(0=LEN(ReferenceData!$O$278),"",ReferenceData!$O$278),"")</f>
        <v>6.8619299939999996</v>
      </c>
      <c r="P278">
        <f ca="1">IFERROR(IF(0=LEN(ReferenceData!$P$278),"",ReferenceData!$P$278),"")</f>
        <v>7.0753222579999999</v>
      </c>
      <c r="Q278">
        <f ca="1">IFERROR(IF(0=LEN(ReferenceData!$Q$278),"",ReferenceData!$Q$278),"")</f>
        <v>7.0722982740000004</v>
      </c>
      <c r="R278">
        <f ca="1">IFERROR(IF(0=LEN(ReferenceData!$R$278),"",ReferenceData!$R$278),"")</f>
        <v>6.7791313080000002</v>
      </c>
      <c r="S278">
        <f ca="1">IFERROR(IF(0=LEN(ReferenceData!$S$278),"",ReferenceData!$S$278),"")</f>
        <v>6.7851446449999999</v>
      </c>
      <c r="T278">
        <f ca="1">IFERROR(IF(0=LEN(ReferenceData!$T$278),"",ReferenceData!$T$278),"")</f>
        <v>6.8059700190000001</v>
      </c>
      <c r="U278">
        <f ca="1">IFERROR(IF(0=LEN(ReferenceData!$U$278),"",ReferenceData!$U$278),"")</f>
        <v>6.9472531200000001</v>
      </c>
      <c r="V278">
        <f ca="1">IFERROR(IF(0=LEN(ReferenceData!$V$278),"",ReferenceData!$V$278),"")</f>
        <v>6.9351069150000004</v>
      </c>
      <c r="W278">
        <f ca="1">IFERROR(IF(0=LEN(ReferenceData!$W$278),"",ReferenceData!$W$278),"")</f>
        <v>6.9811210529999999</v>
      </c>
      <c r="X278">
        <f ca="1">IFERROR(IF(0=LEN(ReferenceData!$X$278),"",ReferenceData!$X$278),"")</f>
        <v>6.9893711339999998</v>
      </c>
      <c r="Y278">
        <f ca="1">IFERROR(IF(0=LEN(ReferenceData!$Y$278),"",ReferenceData!$Y$278),"")</f>
        <v>6.6769771430000002</v>
      </c>
      <c r="Z278">
        <f ca="1">IFERROR(IF(0=LEN(ReferenceData!$Z$278),"",ReferenceData!$Z$278),"")</f>
        <v>6.8255887399999997</v>
      </c>
      <c r="AA278">
        <f ca="1">IFERROR(IF(0=LEN(ReferenceData!$AA$278),"",ReferenceData!$AA$278),"")</f>
        <v>7.0053311799999998</v>
      </c>
      <c r="AB278">
        <f ca="1">IFERROR(IF(0=LEN(ReferenceData!$AB$278),"",ReferenceData!$AB$278),"")</f>
        <v>7.0124816560000003</v>
      </c>
      <c r="AC278">
        <f ca="1">IFERROR(IF(0=LEN(ReferenceData!$AC$278),"",ReferenceData!$AC$278),"")</f>
        <v>6.9006736919999998</v>
      </c>
      <c r="AD278">
        <f ca="1">IFERROR(IF(0=LEN(ReferenceData!$AD$278),"",ReferenceData!$AD$278),"")</f>
        <v>6.5022837060000001</v>
      </c>
      <c r="AE278">
        <f ca="1">IFERROR(IF(0=LEN(ReferenceData!$AE$278),"",ReferenceData!$AE$278),"")</f>
        <v>6.4460010409999997</v>
      </c>
      <c r="AF278">
        <f ca="1">IFERROR(IF(0=LEN(ReferenceData!$AF$278),"",ReferenceData!$AF$278),"")</f>
        <v>7.3445041590000004</v>
      </c>
      <c r="AG278">
        <f ca="1">IFERROR(IF(0=LEN(ReferenceData!$AG$278),"",ReferenceData!$AG$278),"")</f>
        <v>7.3620928909999996</v>
      </c>
      <c r="AH278">
        <f ca="1">IFERROR(IF(0=LEN(ReferenceData!$AH$278),"",ReferenceData!$AH$278),"")</f>
        <v>7.3452531839999997</v>
      </c>
      <c r="AI278">
        <f ca="1">IFERROR(IF(0=LEN(ReferenceData!$AI$278),"",ReferenceData!$AI$278),"")</f>
        <v>7.3687660419999998</v>
      </c>
      <c r="AJ278">
        <f ca="1">IFERROR(IF(0=LEN(ReferenceData!$AJ$278),"",ReferenceData!$AJ$278),"")</f>
        <v>7.6599744300000001</v>
      </c>
      <c r="AK278">
        <f ca="1">IFERROR(IF(0=LEN(ReferenceData!$AK$278),"",ReferenceData!$AK$278),"")</f>
        <v>7.7577912680000001</v>
      </c>
      <c r="AL278">
        <f ca="1">IFERROR(IF(0=LEN(ReferenceData!$AL$278),"",ReferenceData!$AL$278),"")</f>
        <v>7.7286714810000001</v>
      </c>
      <c r="AM278">
        <f ca="1">IFERROR(IF(0=LEN(ReferenceData!$AM$278),"",ReferenceData!$AM$278),"")</f>
        <v>7.9195046400000004</v>
      </c>
      <c r="AN278" t="str">
        <f ca="1">IFERROR(IF(0=LEN(ReferenceData!$AN$278),"",ReferenceData!$AN$278),"")</f>
        <v/>
      </c>
      <c r="AO278" t="str">
        <f ca="1">IFERROR(IF(0=LEN(ReferenceData!$AO$278),"",ReferenceData!$AO$278),"")</f>
        <v/>
      </c>
      <c r="AP278" t="str">
        <f ca="1">IFERROR(IF(0=LEN(ReferenceData!$AP$278),"",ReferenceData!$AP$278),"")</f>
        <v/>
      </c>
      <c r="AQ278" t="str">
        <f ca="1">IFERROR(IF(0=LEN(ReferenceData!$AQ$278),"",ReferenceData!$AQ$278),"")</f>
        <v/>
      </c>
      <c r="AR278" t="str">
        <f ca="1">IFERROR(IF(0=LEN(ReferenceData!$AR$278),"",ReferenceData!$AR$278),"")</f>
        <v/>
      </c>
      <c r="AS278" t="str">
        <f ca="1">IFERROR(IF(0=LEN(ReferenceData!$AS$278),"",ReferenceData!$AS$278),"")</f>
        <v/>
      </c>
      <c r="AT278" t="str">
        <f ca="1">IFERROR(IF(0=LEN(ReferenceData!$AT$278),"",ReferenceData!$AT$278),"")</f>
        <v/>
      </c>
      <c r="AU278" t="str">
        <f ca="1">IFERROR(IF(0=LEN(ReferenceData!$AU$278),"",ReferenceData!$AU$278),"")</f>
        <v/>
      </c>
      <c r="AV278" t="str">
        <f ca="1">IFERROR(IF(0=LEN(ReferenceData!$AV$278),"",ReferenceData!$AV$278),"")</f>
        <v/>
      </c>
      <c r="AW278" t="str">
        <f ca="1">IFERROR(IF(0=LEN(ReferenceData!$AW$278),"",ReferenceData!$AW$278),"")</f>
        <v/>
      </c>
      <c r="AX278" t="str">
        <f ca="1">IFERROR(IF(0=LEN(ReferenceData!$AX$278),"",ReferenceData!$AX$278),"")</f>
        <v/>
      </c>
      <c r="AY278" t="str">
        <f ca="1">IFERROR(IF(0=LEN(ReferenceData!$AY$278),"",ReferenceData!$AY$278),"")</f>
        <v/>
      </c>
      <c r="AZ278" t="str">
        <f ca="1">IFERROR(IF(0=LEN(ReferenceData!$AZ$278),"",ReferenceData!$AZ$278),"")</f>
        <v/>
      </c>
      <c r="BA278" t="str">
        <f ca="1">IFERROR(IF(0=LEN(ReferenceData!$BA$278),"",ReferenceData!$BA$278),"")</f>
        <v/>
      </c>
      <c r="BB278" t="str">
        <f ca="1">IFERROR(IF(0=LEN(ReferenceData!$BB$278),"",ReferenceData!$BB$278),"")</f>
        <v/>
      </c>
      <c r="BC278" t="str">
        <f ca="1">IFERROR(IF(0=LEN(ReferenceData!$BC$278),"",ReferenceData!$BC$278),"")</f>
        <v/>
      </c>
      <c r="BD278" t="str">
        <f ca="1">IFERROR(IF(0=LEN(ReferenceData!$BD$278),"",ReferenceData!$BD$278),"")</f>
        <v/>
      </c>
      <c r="BE278" t="str">
        <f ca="1">IFERROR(IF(0=LEN(ReferenceData!$BE$278),"",ReferenceData!$BE$278),"")</f>
        <v/>
      </c>
      <c r="BF278" t="str">
        <f ca="1">IFERROR(IF(0=LEN(ReferenceData!$BF$278),"",ReferenceData!$BF$278),"")</f>
        <v/>
      </c>
      <c r="BG278" t="str">
        <f ca="1">IFERROR(IF(0=LEN(ReferenceData!$BG$278),"",ReferenceData!$BG$278),"")</f>
        <v/>
      </c>
      <c r="BH278" t="str">
        <f ca="1">IFERROR(IF(0=LEN(ReferenceData!$BH$278),"",ReferenceData!$BH$278),"")</f>
        <v/>
      </c>
      <c r="BI278" t="str">
        <f ca="1">IFERROR(IF(0=LEN(ReferenceData!$BI$278),"",ReferenceData!$BI$278),"")</f>
        <v/>
      </c>
      <c r="BJ278" t="str">
        <f ca="1">IFERROR(IF(0=LEN(ReferenceData!$BJ$278),"",ReferenceData!$BJ$278),"")</f>
        <v/>
      </c>
      <c r="BK278" t="str">
        <f ca="1">IFERROR(IF(0=LEN(ReferenceData!$BK$278),"",ReferenceData!$BK$278),"")</f>
        <v/>
      </c>
      <c r="BL278" t="str">
        <f ca="1">IFERROR(IF(0=LEN(ReferenceData!$BL$278),"",ReferenceData!$BL$278),"")</f>
        <v/>
      </c>
      <c r="BM278" t="str">
        <f ca="1">IFERROR(IF(0=LEN(ReferenceData!$BM$278),"",ReferenceData!$BM$278),"")</f>
        <v/>
      </c>
    </row>
    <row r="279" spans="1:65">
      <c r="A279" t="str">
        <f>IFERROR(IF(0=LEN(ReferenceData!$A$279),"",ReferenceData!$A$279),"")</f>
        <v xml:space="preserve">    DDR Corp</v>
      </c>
      <c r="B279" t="str">
        <f>IFERROR(IF(0=LEN(ReferenceData!$B$279),"",ReferenceData!$B$279),"")</f>
        <v>DDR US Equity</v>
      </c>
      <c r="C279" t="str">
        <f>IFERROR(IF(0=LEN(ReferenceData!$C$279),"",ReferenceData!$C$279),"")</f>
        <v>F1178</v>
      </c>
      <c r="D279" t="str">
        <f>IFERROR(IF(0=LEN(ReferenceData!$D$279),"",ReferenceData!$D$279),"")</f>
        <v>NET_DEBT_EBITDA_ADJUSTED</v>
      </c>
      <c r="E279" t="str">
        <f>IFERROR(IF(0=LEN(ReferenceData!$E$279),"",ReferenceData!$E$279),"")</f>
        <v>动态</v>
      </c>
      <c r="F279" t="str">
        <f ca="1">IFERROR(IF(0=LEN(ReferenceData!$F$279),"",ReferenceData!$F$279),"")</f>
        <v/>
      </c>
      <c r="G279">
        <f ca="1">IFERROR(IF(0=LEN(ReferenceData!$G$279),"",ReferenceData!$G$279),"")</f>
        <v>6.5597117479999998</v>
      </c>
      <c r="H279">
        <f ca="1">IFERROR(IF(0=LEN(ReferenceData!$H$279),"",ReferenceData!$H$279),"")</f>
        <v>6.7989816650000003</v>
      </c>
      <c r="I279">
        <f ca="1">IFERROR(IF(0=LEN(ReferenceData!$I$279),"",ReferenceData!$I$279),"")</f>
        <v>6.8793664989999996</v>
      </c>
      <c r="J279">
        <f ca="1">IFERROR(IF(0=LEN(ReferenceData!$J$279),"",ReferenceData!$J$279),"")</f>
        <v>7.2244663759999996</v>
      </c>
      <c r="K279">
        <f ca="1">IFERROR(IF(0=LEN(ReferenceData!$K$279),"",ReferenceData!$K$279),"")</f>
        <v>6.9252925010000004</v>
      </c>
      <c r="L279">
        <f ca="1">IFERROR(IF(0=LEN(ReferenceData!$L$279),"",ReferenceData!$L$279),"")</f>
        <v>7.542025604</v>
      </c>
      <c r="M279">
        <f ca="1">IFERROR(IF(0=LEN(ReferenceData!$M$279),"",ReferenceData!$M$279),"")</f>
        <v>7.5115646470000002</v>
      </c>
      <c r="N279">
        <f ca="1">IFERROR(IF(0=LEN(ReferenceData!$N$279),"",ReferenceData!$N$279),"")</f>
        <v>7.6765767169999997</v>
      </c>
      <c r="O279">
        <f ca="1">IFERROR(IF(0=LEN(ReferenceData!$O$279),"",ReferenceData!$O$279),"")</f>
        <v>7.8394715799999997</v>
      </c>
      <c r="P279">
        <f ca="1">IFERROR(IF(0=LEN(ReferenceData!$P$279),"",ReferenceData!$P$279),"")</f>
        <v>8.0221441989999995</v>
      </c>
      <c r="Q279">
        <f ca="1">IFERROR(IF(0=LEN(ReferenceData!$Q$279),"",ReferenceData!$Q$279),"")</f>
        <v>8.1632749810000007</v>
      </c>
      <c r="R279">
        <f ca="1">IFERROR(IF(0=LEN(ReferenceData!$R$279),"",ReferenceData!$R$279),"")</f>
        <v>8.1668583399999992</v>
      </c>
      <c r="S279">
        <f ca="1">IFERROR(IF(0=LEN(ReferenceData!$S$279),"",ReferenceData!$S$279),"")</f>
        <v>8.2646960489999994</v>
      </c>
      <c r="T279">
        <f ca="1">IFERROR(IF(0=LEN(ReferenceData!$T$279),"",ReferenceData!$T$279),"")</f>
        <v>8.1710078500000005</v>
      </c>
      <c r="U279">
        <f ca="1">IFERROR(IF(0=LEN(ReferenceData!$U$279),"",ReferenceData!$U$279),"")</f>
        <v>8.3604433240000002</v>
      </c>
      <c r="V279">
        <f ca="1">IFERROR(IF(0=LEN(ReferenceData!$V$279),"",ReferenceData!$V$279),"")</f>
        <v>8.8987000750000007</v>
      </c>
      <c r="W279">
        <f ca="1">IFERROR(IF(0=LEN(ReferenceData!$W$279),"",ReferenceData!$W$279),"")</f>
        <v>9.6985051890000005</v>
      </c>
      <c r="X279">
        <f ca="1">IFERROR(IF(0=LEN(ReferenceData!$X$279),"",ReferenceData!$X$279),"")</f>
        <v>8.8495537100000004</v>
      </c>
      <c r="Y279">
        <f ca="1">IFERROR(IF(0=LEN(ReferenceData!$Y$279),"",ReferenceData!$Y$279),"")</f>
        <v>8.6205528640000004</v>
      </c>
      <c r="Z279">
        <f ca="1">IFERROR(IF(0=LEN(ReferenceData!$Z$279),"",ReferenceData!$Z$279),"")</f>
        <v>8.8001006830000001</v>
      </c>
      <c r="AA279">
        <f ca="1">IFERROR(IF(0=LEN(ReferenceData!$AA$279),"",ReferenceData!$AA$279),"")</f>
        <v>8.8311402920000006</v>
      </c>
      <c r="AB279">
        <f ca="1">IFERROR(IF(0=LEN(ReferenceData!$AB$279),"",ReferenceData!$AB$279),"")</f>
        <v>8.8193412230000003</v>
      </c>
      <c r="AC279">
        <f ca="1">IFERROR(IF(0=LEN(ReferenceData!$AC$279),"",ReferenceData!$AC$279),"")</f>
        <v>8.6062504489999991</v>
      </c>
      <c r="AD279">
        <f ca="1">IFERROR(IF(0=LEN(ReferenceData!$AD$279),"",ReferenceData!$AD$279),"")</f>
        <v>8.8464547240000009</v>
      </c>
      <c r="AE279">
        <f ca="1">IFERROR(IF(0=LEN(ReferenceData!$AE$279),"",ReferenceData!$AE$279),"")</f>
        <v>8.9475506070000002</v>
      </c>
      <c r="AF279">
        <f ca="1">IFERROR(IF(0=LEN(ReferenceData!$AF$279),"",ReferenceData!$AF$279),"")</f>
        <v>9.4635213419999999</v>
      </c>
      <c r="AG279">
        <f ca="1">IFERROR(IF(0=LEN(ReferenceData!$AG$279),"",ReferenceData!$AG$279),"")</f>
        <v>9.5103535749999999</v>
      </c>
      <c r="AH279">
        <f ca="1">IFERROR(IF(0=LEN(ReferenceData!$AH$279),"",ReferenceData!$AH$279),"")</f>
        <v>9.5090245440000007</v>
      </c>
      <c r="AI279">
        <f ca="1">IFERROR(IF(0=LEN(ReferenceData!$AI$279),"",ReferenceData!$AI$279),"")</f>
        <v>9.2375309259999998</v>
      </c>
      <c r="AJ279">
        <f ca="1">IFERROR(IF(0=LEN(ReferenceData!$AJ$279),"",ReferenceData!$AJ$279),"")</f>
        <v>9.2423634769999996</v>
      </c>
      <c r="AK279">
        <f ca="1">IFERROR(IF(0=LEN(ReferenceData!$AK$279),"",ReferenceData!$AK$279),"")</f>
        <v>9.7457583830000001</v>
      </c>
      <c r="AL279">
        <f ca="1">IFERROR(IF(0=LEN(ReferenceData!$AL$279),"",ReferenceData!$AL$279),"")</f>
        <v>10.047219330000001</v>
      </c>
      <c r="AM279">
        <f ca="1">IFERROR(IF(0=LEN(ReferenceData!$AM$279),"",ReferenceData!$AM$279),"")</f>
        <v>10.77627146</v>
      </c>
      <c r="AN279" t="str">
        <f ca="1">IFERROR(IF(0=LEN(ReferenceData!$AN$279),"",ReferenceData!$AN$279),"")</f>
        <v/>
      </c>
      <c r="AO279" t="str">
        <f ca="1">IFERROR(IF(0=LEN(ReferenceData!$AO$279),"",ReferenceData!$AO$279),"")</f>
        <v/>
      </c>
      <c r="AP279" t="str">
        <f ca="1">IFERROR(IF(0=LEN(ReferenceData!$AP$279),"",ReferenceData!$AP$279),"")</f>
        <v/>
      </c>
      <c r="AQ279" t="str">
        <f ca="1">IFERROR(IF(0=LEN(ReferenceData!$AQ$279),"",ReferenceData!$AQ$279),"")</f>
        <v/>
      </c>
      <c r="AR279" t="str">
        <f ca="1">IFERROR(IF(0=LEN(ReferenceData!$AR$279),"",ReferenceData!$AR$279),"")</f>
        <v/>
      </c>
      <c r="AS279" t="str">
        <f ca="1">IFERROR(IF(0=LEN(ReferenceData!$AS$279),"",ReferenceData!$AS$279),"")</f>
        <v/>
      </c>
      <c r="AT279" t="str">
        <f ca="1">IFERROR(IF(0=LEN(ReferenceData!$AT$279),"",ReferenceData!$AT$279),"")</f>
        <v/>
      </c>
      <c r="AU279" t="str">
        <f ca="1">IFERROR(IF(0=LEN(ReferenceData!$AU$279),"",ReferenceData!$AU$279),"")</f>
        <v/>
      </c>
      <c r="AV279" t="str">
        <f ca="1">IFERROR(IF(0=LEN(ReferenceData!$AV$279),"",ReferenceData!$AV$279),"")</f>
        <v/>
      </c>
      <c r="AW279" t="str">
        <f ca="1">IFERROR(IF(0=LEN(ReferenceData!$AW$279),"",ReferenceData!$AW$279),"")</f>
        <v/>
      </c>
      <c r="AX279" t="str">
        <f ca="1">IFERROR(IF(0=LEN(ReferenceData!$AX$279),"",ReferenceData!$AX$279),"")</f>
        <v/>
      </c>
      <c r="AY279" t="str">
        <f ca="1">IFERROR(IF(0=LEN(ReferenceData!$AY$279),"",ReferenceData!$AY$279),"")</f>
        <v/>
      </c>
      <c r="AZ279" t="str">
        <f ca="1">IFERROR(IF(0=LEN(ReferenceData!$AZ$279),"",ReferenceData!$AZ$279),"")</f>
        <v/>
      </c>
      <c r="BA279" t="str">
        <f ca="1">IFERROR(IF(0=LEN(ReferenceData!$BA$279),"",ReferenceData!$BA$279),"")</f>
        <v/>
      </c>
      <c r="BB279" t="str">
        <f ca="1">IFERROR(IF(0=LEN(ReferenceData!$BB$279),"",ReferenceData!$BB$279),"")</f>
        <v/>
      </c>
      <c r="BC279" t="str">
        <f ca="1">IFERROR(IF(0=LEN(ReferenceData!$BC$279),"",ReferenceData!$BC$279),"")</f>
        <v/>
      </c>
      <c r="BD279" t="str">
        <f ca="1">IFERROR(IF(0=LEN(ReferenceData!$BD$279),"",ReferenceData!$BD$279),"")</f>
        <v/>
      </c>
      <c r="BE279" t="str">
        <f ca="1">IFERROR(IF(0=LEN(ReferenceData!$BE$279),"",ReferenceData!$BE$279),"")</f>
        <v/>
      </c>
      <c r="BF279" t="str">
        <f ca="1">IFERROR(IF(0=LEN(ReferenceData!$BF$279),"",ReferenceData!$BF$279),"")</f>
        <v/>
      </c>
      <c r="BG279" t="str">
        <f ca="1">IFERROR(IF(0=LEN(ReferenceData!$BG$279),"",ReferenceData!$BG$279),"")</f>
        <v/>
      </c>
      <c r="BH279" t="str">
        <f ca="1">IFERROR(IF(0=LEN(ReferenceData!$BH$279),"",ReferenceData!$BH$279),"")</f>
        <v/>
      </c>
      <c r="BI279" t="str">
        <f ca="1">IFERROR(IF(0=LEN(ReferenceData!$BI$279),"",ReferenceData!$BI$279),"")</f>
        <v/>
      </c>
      <c r="BJ279" t="str">
        <f ca="1">IFERROR(IF(0=LEN(ReferenceData!$BJ$279),"",ReferenceData!$BJ$279),"")</f>
        <v/>
      </c>
      <c r="BK279" t="str">
        <f ca="1">IFERROR(IF(0=LEN(ReferenceData!$BK$279),"",ReferenceData!$BK$279),"")</f>
        <v/>
      </c>
      <c r="BL279" t="str">
        <f ca="1">IFERROR(IF(0=LEN(ReferenceData!$BL$279),"",ReferenceData!$BL$279),"")</f>
        <v/>
      </c>
      <c r="BM279" t="str">
        <f ca="1">IFERROR(IF(0=LEN(ReferenceData!$BM$279),"",ReferenceData!$BM$279),"")</f>
        <v/>
      </c>
    </row>
    <row r="280" spans="1:65">
      <c r="A280" t="str">
        <f>IFERROR(IF(0=LEN(ReferenceData!$A$280),"",ReferenceData!$A$280),"")</f>
        <v xml:space="preserve">    Federal Realty Investment Trus</v>
      </c>
      <c r="B280" t="str">
        <f>IFERROR(IF(0=LEN(ReferenceData!$B$280),"",ReferenceData!$B$280),"")</f>
        <v>FRT US Equity</v>
      </c>
      <c r="C280" t="str">
        <f>IFERROR(IF(0=LEN(ReferenceData!$C$280),"",ReferenceData!$C$280),"")</f>
        <v>F1178</v>
      </c>
      <c r="D280" t="str">
        <f>IFERROR(IF(0=LEN(ReferenceData!$D$280),"",ReferenceData!$D$280),"")</f>
        <v>NET_DEBT_EBITDA_ADJUSTED</v>
      </c>
      <c r="E280" t="str">
        <f>IFERROR(IF(0=LEN(ReferenceData!$E$280),"",ReferenceData!$E$280),"")</f>
        <v>动态</v>
      </c>
      <c r="F280" t="str">
        <f ca="1">IFERROR(IF(0=LEN(ReferenceData!$F$280),"",ReferenceData!$F$280),"")</f>
        <v/>
      </c>
      <c r="G280">
        <f ca="1">IFERROR(IF(0=LEN(ReferenceData!$G$280),"",ReferenceData!$G$280),"")</f>
        <v>5.9627054849999999</v>
      </c>
      <c r="H280">
        <f ca="1">IFERROR(IF(0=LEN(ReferenceData!$H$280),"",ReferenceData!$H$280),"")</f>
        <v>5.9932311470000004</v>
      </c>
      <c r="I280">
        <f ca="1">IFERROR(IF(0=LEN(ReferenceData!$I$280),"",ReferenceData!$I$280),"")</f>
        <v>5.7487659630000003</v>
      </c>
      <c r="J280">
        <f ca="1">IFERROR(IF(0=LEN(ReferenceData!$J$280),"",ReferenceData!$J$280),"")</f>
        <v>5.725631334</v>
      </c>
      <c r="K280">
        <f ca="1">IFERROR(IF(0=LEN(ReferenceData!$K$280),"",ReferenceData!$K$280),"")</f>
        <v>5.392910723</v>
      </c>
      <c r="L280">
        <f ca="1">IFERROR(IF(0=LEN(ReferenceData!$L$280),"",ReferenceData!$L$280),"")</f>
        <v>5.3630215919999999</v>
      </c>
      <c r="M280">
        <f ca="1">IFERROR(IF(0=LEN(ReferenceData!$M$280),"",ReferenceData!$M$280),"")</f>
        <v>5.3432842750000002</v>
      </c>
      <c r="N280">
        <f ca="1">IFERROR(IF(0=LEN(ReferenceData!$N$280),"",ReferenceData!$N$280),"")</f>
        <v>5.4361537589999998</v>
      </c>
      <c r="O280">
        <f ca="1">IFERROR(IF(0=LEN(ReferenceData!$O$280),"",ReferenceData!$O$280),"")</f>
        <v>5.4872512899999997</v>
      </c>
      <c r="P280">
        <f ca="1">IFERROR(IF(0=LEN(ReferenceData!$P$280),"",ReferenceData!$P$280),"")</f>
        <v>5.3887463269999998</v>
      </c>
      <c r="Q280">
        <f ca="1">IFERROR(IF(0=LEN(ReferenceData!$Q$280),"",ReferenceData!$Q$280),"")</f>
        <v>5.492983562</v>
      </c>
      <c r="R280">
        <f ca="1">IFERROR(IF(0=LEN(ReferenceData!$R$280),"",ReferenceData!$R$280),"")</f>
        <v>5.4947611009999999</v>
      </c>
      <c r="S280">
        <f ca="1">IFERROR(IF(0=LEN(ReferenceData!$S$280),"",ReferenceData!$S$280),"")</f>
        <v>5.3450733389999998</v>
      </c>
      <c r="T280">
        <f ca="1">IFERROR(IF(0=LEN(ReferenceData!$T$280),"",ReferenceData!$T$280),"")</f>
        <v>5.2590785000000002</v>
      </c>
      <c r="U280">
        <f ca="1">IFERROR(IF(0=LEN(ReferenceData!$U$280),"",ReferenceData!$U$280),"")</f>
        <v>5.4460750320000004</v>
      </c>
      <c r="V280">
        <f ca="1">IFERROR(IF(0=LEN(ReferenceData!$V$280),"",ReferenceData!$V$280),"")</f>
        <v>5.5223733270000004</v>
      </c>
      <c r="W280">
        <f ca="1">IFERROR(IF(0=LEN(ReferenceData!$W$280),"",ReferenceData!$W$280),"")</f>
        <v>5.3771974179999997</v>
      </c>
      <c r="X280">
        <f ca="1">IFERROR(IF(0=LEN(ReferenceData!$X$280),"",ReferenceData!$X$280),"")</f>
        <v>5.2949711109999997</v>
      </c>
      <c r="Y280">
        <f ca="1">IFERROR(IF(0=LEN(ReferenceData!$Y$280),"",ReferenceData!$Y$280),"")</f>
        <v>5.3783250970000003</v>
      </c>
      <c r="Z280">
        <f ca="1">IFERROR(IF(0=LEN(ReferenceData!$Z$280),"",ReferenceData!$Z$280),"")</f>
        <v>5.371454591</v>
      </c>
      <c r="AA280">
        <f ca="1">IFERROR(IF(0=LEN(ReferenceData!$AA$280),"",ReferenceData!$AA$280),"")</f>
        <v>5.4703635970000004</v>
      </c>
      <c r="AB280">
        <f ca="1">IFERROR(IF(0=LEN(ReferenceData!$AB$280),"",ReferenceData!$AB$280),"")</f>
        <v>5.2713913769999996</v>
      </c>
      <c r="AC280">
        <f ca="1">IFERROR(IF(0=LEN(ReferenceData!$AC$280),"",ReferenceData!$AC$280),"")</f>
        <v>5.4500728450000002</v>
      </c>
      <c r="AD280">
        <f ca="1">IFERROR(IF(0=LEN(ReferenceData!$AD$280),"",ReferenceData!$AD$280),"")</f>
        <v>5.6143298919999998</v>
      </c>
      <c r="AE280">
        <f ca="1">IFERROR(IF(0=LEN(ReferenceData!$AE$280),"",ReferenceData!$AE$280),"")</f>
        <v>5.7657516270000002</v>
      </c>
      <c r="AF280">
        <f ca="1">IFERROR(IF(0=LEN(ReferenceData!$AF$280),"",ReferenceData!$AF$280),"")</f>
        <v>4.8263556430000003</v>
      </c>
      <c r="AG280">
        <f ca="1">IFERROR(IF(0=LEN(ReferenceData!$AG$280),"",ReferenceData!$AG$280),"")</f>
        <v>4.9627149959999999</v>
      </c>
      <c r="AH280">
        <f ca="1">IFERROR(IF(0=LEN(ReferenceData!$AH$280),"",ReferenceData!$AH$280),"")</f>
        <v>5.1505026899999997</v>
      </c>
      <c r="AI280">
        <f ca="1">IFERROR(IF(0=LEN(ReferenceData!$AI$280),"",ReferenceData!$AI$280),"")</f>
        <v>5.0139193469999999</v>
      </c>
      <c r="AJ280">
        <f ca="1">IFERROR(IF(0=LEN(ReferenceData!$AJ$280),"",ReferenceData!$AJ$280),"")</f>
        <v>4.9273708450000004</v>
      </c>
      <c r="AK280">
        <f ca="1">IFERROR(IF(0=LEN(ReferenceData!$AK$280),"",ReferenceData!$AK$280),"")</f>
        <v>4.8042537190000001</v>
      </c>
      <c r="AL280">
        <f ca="1">IFERROR(IF(0=LEN(ReferenceData!$AL$280),"",ReferenceData!$AL$280),"")</f>
        <v>4.8141767870000001</v>
      </c>
      <c r="AM280">
        <f ca="1">IFERROR(IF(0=LEN(ReferenceData!$AM$280),"",ReferenceData!$AM$280),"")</f>
        <v>4.8495222</v>
      </c>
      <c r="AN280" t="str">
        <f ca="1">IFERROR(IF(0=LEN(ReferenceData!$AN$280),"",ReferenceData!$AN$280),"")</f>
        <v/>
      </c>
      <c r="AO280" t="str">
        <f ca="1">IFERROR(IF(0=LEN(ReferenceData!$AO$280),"",ReferenceData!$AO$280),"")</f>
        <v/>
      </c>
      <c r="AP280" t="str">
        <f ca="1">IFERROR(IF(0=LEN(ReferenceData!$AP$280),"",ReferenceData!$AP$280),"")</f>
        <v/>
      </c>
      <c r="AQ280" t="str">
        <f ca="1">IFERROR(IF(0=LEN(ReferenceData!$AQ$280),"",ReferenceData!$AQ$280),"")</f>
        <v/>
      </c>
      <c r="AR280" t="str">
        <f ca="1">IFERROR(IF(0=LEN(ReferenceData!$AR$280),"",ReferenceData!$AR$280),"")</f>
        <v/>
      </c>
      <c r="AS280" t="str">
        <f ca="1">IFERROR(IF(0=LEN(ReferenceData!$AS$280),"",ReferenceData!$AS$280),"")</f>
        <v/>
      </c>
      <c r="AT280" t="str">
        <f ca="1">IFERROR(IF(0=LEN(ReferenceData!$AT$280),"",ReferenceData!$AT$280),"")</f>
        <v/>
      </c>
      <c r="AU280" t="str">
        <f ca="1">IFERROR(IF(0=LEN(ReferenceData!$AU$280),"",ReferenceData!$AU$280),"")</f>
        <v/>
      </c>
      <c r="AV280" t="str">
        <f ca="1">IFERROR(IF(0=LEN(ReferenceData!$AV$280),"",ReferenceData!$AV$280),"")</f>
        <v/>
      </c>
      <c r="AW280" t="str">
        <f ca="1">IFERROR(IF(0=LEN(ReferenceData!$AW$280),"",ReferenceData!$AW$280),"")</f>
        <v/>
      </c>
      <c r="AX280" t="str">
        <f ca="1">IFERROR(IF(0=LEN(ReferenceData!$AX$280),"",ReferenceData!$AX$280),"")</f>
        <v/>
      </c>
      <c r="AY280" t="str">
        <f ca="1">IFERROR(IF(0=LEN(ReferenceData!$AY$280),"",ReferenceData!$AY$280),"")</f>
        <v/>
      </c>
      <c r="AZ280" t="str">
        <f ca="1">IFERROR(IF(0=LEN(ReferenceData!$AZ$280),"",ReferenceData!$AZ$280),"")</f>
        <v/>
      </c>
      <c r="BA280" t="str">
        <f ca="1">IFERROR(IF(0=LEN(ReferenceData!$BA$280),"",ReferenceData!$BA$280),"")</f>
        <v/>
      </c>
      <c r="BB280" t="str">
        <f ca="1">IFERROR(IF(0=LEN(ReferenceData!$BB$280),"",ReferenceData!$BB$280),"")</f>
        <v/>
      </c>
      <c r="BC280" t="str">
        <f ca="1">IFERROR(IF(0=LEN(ReferenceData!$BC$280),"",ReferenceData!$BC$280),"")</f>
        <v/>
      </c>
      <c r="BD280" t="str">
        <f ca="1">IFERROR(IF(0=LEN(ReferenceData!$BD$280),"",ReferenceData!$BD$280),"")</f>
        <v/>
      </c>
      <c r="BE280" t="str">
        <f ca="1">IFERROR(IF(0=LEN(ReferenceData!$BE$280),"",ReferenceData!$BE$280),"")</f>
        <v/>
      </c>
      <c r="BF280" t="str">
        <f ca="1">IFERROR(IF(0=LEN(ReferenceData!$BF$280),"",ReferenceData!$BF$280),"")</f>
        <v/>
      </c>
      <c r="BG280" t="str">
        <f ca="1">IFERROR(IF(0=LEN(ReferenceData!$BG$280),"",ReferenceData!$BG$280),"")</f>
        <v/>
      </c>
      <c r="BH280" t="str">
        <f ca="1">IFERROR(IF(0=LEN(ReferenceData!$BH$280),"",ReferenceData!$BH$280),"")</f>
        <v/>
      </c>
      <c r="BI280" t="str">
        <f ca="1">IFERROR(IF(0=LEN(ReferenceData!$BI$280),"",ReferenceData!$BI$280),"")</f>
        <v/>
      </c>
      <c r="BJ280" t="str">
        <f ca="1">IFERROR(IF(0=LEN(ReferenceData!$BJ$280),"",ReferenceData!$BJ$280),"")</f>
        <v/>
      </c>
      <c r="BK280" t="str">
        <f ca="1">IFERROR(IF(0=LEN(ReferenceData!$BK$280),"",ReferenceData!$BK$280),"")</f>
        <v/>
      </c>
      <c r="BL280" t="str">
        <f ca="1">IFERROR(IF(0=LEN(ReferenceData!$BL$280),"",ReferenceData!$BL$280),"")</f>
        <v/>
      </c>
      <c r="BM280" t="str">
        <f ca="1">IFERROR(IF(0=LEN(ReferenceData!$BM$280),"",ReferenceData!$BM$280),"")</f>
        <v/>
      </c>
    </row>
    <row r="281" spans="1:65">
      <c r="A281" t="str">
        <f>IFERROR(IF(0=LEN(ReferenceData!$A$281),"",ReferenceData!$A$281),"")</f>
        <v xml:space="preserve">    Kimco Realty Corp</v>
      </c>
      <c r="B281" t="str">
        <f>IFERROR(IF(0=LEN(ReferenceData!$B$281),"",ReferenceData!$B$281),"")</f>
        <v>KIM US Equity</v>
      </c>
      <c r="C281" t="str">
        <f>IFERROR(IF(0=LEN(ReferenceData!$C$281),"",ReferenceData!$C$281),"")</f>
        <v>F1178</v>
      </c>
      <c r="D281" t="str">
        <f>IFERROR(IF(0=LEN(ReferenceData!$D$281),"",ReferenceData!$D$281),"")</f>
        <v>NET_DEBT_EBITDA_ADJUSTED</v>
      </c>
      <c r="E281" t="str">
        <f>IFERROR(IF(0=LEN(ReferenceData!$E$281),"",ReferenceData!$E$281),"")</f>
        <v>动态</v>
      </c>
      <c r="F281" t="str">
        <f ca="1">IFERROR(IF(0=LEN(ReferenceData!$F$281),"",ReferenceData!$F$281),"")</f>
        <v/>
      </c>
      <c r="G281">
        <f ca="1">IFERROR(IF(0=LEN(ReferenceData!$G$281),"",ReferenceData!$G$281),"")</f>
        <v>6.8597642470000002</v>
      </c>
      <c r="H281">
        <f ca="1">IFERROR(IF(0=LEN(ReferenceData!$H$281),"",ReferenceData!$H$281),"")</f>
        <v>7.1489209730000001</v>
      </c>
      <c r="I281">
        <f ca="1">IFERROR(IF(0=LEN(ReferenceData!$I$281),"",ReferenceData!$I$281),"")</f>
        <v>7.0301997820000004</v>
      </c>
      <c r="J281">
        <f ca="1">IFERROR(IF(0=LEN(ReferenceData!$J$281),"",ReferenceData!$J$281),"")</f>
        <v>6.662351363</v>
      </c>
      <c r="K281">
        <f ca="1">IFERROR(IF(0=LEN(ReferenceData!$K$281),"",ReferenceData!$K$281),"")</f>
        <v>6.5703534389999998</v>
      </c>
      <c r="L281">
        <f ca="1">IFERROR(IF(0=LEN(ReferenceData!$L$281),"",ReferenceData!$L$281),"")</f>
        <v>6.4604752889999997</v>
      </c>
      <c r="M281">
        <f ca="1">IFERROR(IF(0=LEN(ReferenceData!$M$281),"",ReferenceData!$M$281),"")</f>
        <v>6.4738895899999997</v>
      </c>
      <c r="N281">
        <f ca="1">IFERROR(IF(0=LEN(ReferenceData!$N$281),"",ReferenceData!$N$281),"")</f>
        <v>6.6003866340000004</v>
      </c>
      <c r="O281">
        <f ca="1">IFERROR(IF(0=LEN(ReferenceData!$O$281),"",ReferenceData!$O$281),"")</f>
        <v>7.0714427889999998</v>
      </c>
      <c r="P281">
        <f ca="1">IFERROR(IF(0=LEN(ReferenceData!$P$281),"",ReferenceData!$P$281),"")</f>
        <v>7.459516518</v>
      </c>
      <c r="Q281">
        <f ca="1">IFERROR(IF(0=LEN(ReferenceData!$Q$281),"",ReferenceData!$Q$281),"")</f>
        <v>7.7950086519999999</v>
      </c>
      <c r="R281">
        <f ca="1">IFERROR(IF(0=LEN(ReferenceData!$R$281),"",ReferenceData!$R$281),"")</f>
        <v>8.3130037619999992</v>
      </c>
      <c r="S281">
        <f ca="1">IFERROR(IF(0=LEN(ReferenceData!$S$281),"",ReferenceData!$S$281),"")</f>
        <v>7.0740289079999998</v>
      </c>
      <c r="T281">
        <f ca="1">IFERROR(IF(0=LEN(ReferenceData!$T$281),"",ReferenceData!$T$281),"")</f>
        <v>7.6051126760000001</v>
      </c>
      <c r="U281">
        <f ca="1">IFERROR(IF(0=LEN(ReferenceData!$U$281),"",ReferenceData!$U$281),"")</f>
        <v>7.9128817009999999</v>
      </c>
      <c r="V281">
        <f ca="1">IFERROR(IF(0=LEN(ReferenceData!$V$281),"",ReferenceData!$V$281),"")</f>
        <v>7.2848443080000003</v>
      </c>
      <c r="W281">
        <f ca="1">IFERROR(IF(0=LEN(ReferenceData!$W$281),"",ReferenceData!$W$281),"")</f>
        <v>7.2030622409999996</v>
      </c>
      <c r="X281">
        <f ca="1">IFERROR(IF(0=LEN(ReferenceData!$X$281),"",ReferenceData!$X$281),"")</f>
        <v>7.0745949670000003</v>
      </c>
      <c r="Y281">
        <f ca="1">IFERROR(IF(0=LEN(ReferenceData!$Y$281),"",ReferenceData!$Y$281),"")</f>
        <v>7.689700717</v>
      </c>
      <c r="Z281">
        <f ca="1">IFERROR(IF(0=LEN(ReferenceData!$Z$281),"",ReferenceData!$Z$281),"")</f>
        <v>7.738441141</v>
      </c>
      <c r="AA281">
        <f ca="1">IFERROR(IF(0=LEN(ReferenceData!$AA$281),"",ReferenceData!$AA$281),"")</f>
        <v>7.3687691329999998</v>
      </c>
      <c r="AB281">
        <f ca="1">IFERROR(IF(0=LEN(ReferenceData!$AB$281),"",ReferenceData!$AB$281),"")</f>
        <v>6.9506913700000004</v>
      </c>
      <c r="AC281">
        <f ca="1">IFERROR(IF(0=LEN(ReferenceData!$AC$281),"",ReferenceData!$AC$281),"")</f>
        <v>7.1211795929999999</v>
      </c>
      <c r="AD281">
        <f ca="1">IFERROR(IF(0=LEN(ReferenceData!$AD$281),"",ReferenceData!$AD$281),"")</f>
        <v>6.9633477859999999</v>
      </c>
      <c r="AE281">
        <f ca="1">IFERROR(IF(0=LEN(ReferenceData!$AE$281),"",ReferenceData!$AE$281),"")</f>
        <v>7.6144845410000004</v>
      </c>
      <c r="AF281">
        <f ca="1">IFERROR(IF(0=LEN(ReferenceData!$AF$281),"",ReferenceData!$AF$281),"")</f>
        <v>7.1832577259999999</v>
      </c>
      <c r="AG281">
        <f ca="1">IFERROR(IF(0=LEN(ReferenceData!$AG$281),"",ReferenceData!$AG$281),"")</f>
        <v>7.1706579440000002</v>
      </c>
      <c r="AH281">
        <f ca="1">IFERROR(IF(0=LEN(ReferenceData!$AH$281),"",ReferenceData!$AH$281),"")</f>
        <v>7.423709541</v>
      </c>
      <c r="AI281">
        <f ca="1">IFERROR(IF(0=LEN(ReferenceData!$AI$281),"",ReferenceData!$AI$281),"")</f>
        <v>7.1980856739999997</v>
      </c>
      <c r="AJ281">
        <f ca="1">IFERROR(IF(0=LEN(ReferenceData!$AJ$281),"",ReferenceData!$AJ$281),"")</f>
        <v>7.0301585490000003</v>
      </c>
      <c r="AK281">
        <f ca="1">IFERROR(IF(0=LEN(ReferenceData!$AK$281),"",ReferenceData!$AK$281),"")</f>
        <v>7.5232153930000001</v>
      </c>
      <c r="AL281">
        <f ca="1">IFERROR(IF(0=LEN(ReferenceData!$AL$281),"",ReferenceData!$AL$281),"")</f>
        <v>8.1177237959999999</v>
      </c>
      <c r="AM281">
        <f ca="1">IFERROR(IF(0=LEN(ReferenceData!$AM$281),"",ReferenceData!$AM$281),"")</f>
        <v>8.1629997139999997</v>
      </c>
      <c r="AN281" t="str">
        <f ca="1">IFERROR(IF(0=LEN(ReferenceData!$AN$281),"",ReferenceData!$AN$281),"")</f>
        <v/>
      </c>
      <c r="AO281" t="str">
        <f ca="1">IFERROR(IF(0=LEN(ReferenceData!$AO$281),"",ReferenceData!$AO$281),"")</f>
        <v/>
      </c>
      <c r="AP281" t="str">
        <f ca="1">IFERROR(IF(0=LEN(ReferenceData!$AP$281),"",ReferenceData!$AP$281),"")</f>
        <v/>
      </c>
      <c r="AQ281" t="str">
        <f ca="1">IFERROR(IF(0=LEN(ReferenceData!$AQ$281),"",ReferenceData!$AQ$281),"")</f>
        <v/>
      </c>
      <c r="AR281" t="str">
        <f ca="1">IFERROR(IF(0=LEN(ReferenceData!$AR$281),"",ReferenceData!$AR$281),"")</f>
        <v/>
      </c>
      <c r="AS281" t="str">
        <f ca="1">IFERROR(IF(0=LEN(ReferenceData!$AS$281),"",ReferenceData!$AS$281),"")</f>
        <v/>
      </c>
      <c r="AT281" t="str">
        <f ca="1">IFERROR(IF(0=LEN(ReferenceData!$AT$281),"",ReferenceData!$AT$281),"")</f>
        <v/>
      </c>
      <c r="AU281" t="str">
        <f ca="1">IFERROR(IF(0=LEN(ReferenceData!$AU$281),"",ReferenceData!$AU$281),"")</f>
        <v/>
      </c>
      <c r="AV281" t="str">
        <f ca="1">IFERROR(IF(0=LEN(ReferenceData!$AV$281),"",ReferenceData!$AV$281),"")</f>
        <v/>
      </c>
      <c r="AW281" t="str">
        <f ca="1">IFERROR(IF(0=LEN(ReferenceData!$AW$281),"",ReferenceData!$AW$281),"")</f>
        <v/>
      </c>
      <c r="AX281" t="str">
        <f ca="1">IFERROR(IF(0=LEN(ReferenceData!$AX$281),"",ReferenceData!$AX$281),"")</f>
        <v/>
      </c>
      <c r="AY281" t="str">
        <f ca="1">IFERROR(IF(0=LEN(ReferenceData!$AY$281),"",ReferenceData!$AY$281),"")</f>
        <v/>
      </c>
      <c r="AZ281" t="str">
        <f ca="1">IFERROR(IF(0=LEN(ReferenceData!$AZ$281),"",ReferenceData!$AZ$281),"")</f>
        <v/>
      </c>
      <c r="BA281" t="str">
        <f ca="1">IFERROR(IF(0=LEN(ReferenceData!$BA$281),"",ReferenceData!$BA$281),"")</f>
        <v/>
      </c>
      <c r="BB281" t="str">
        <f ca="1">IFERROR(IF(0=LEN(ReferenceData!$BB$281),"",ReferenceData!$BB$281),"")</f>
        <v/>
      </c>
      <c r="BC281" t="str">
        <f ca="1">IFERROR(IF(0=LEN(ReferenceData!$BC$281),"",ReferenceData!$BC$281),"")</f>
        <v/>
      </c>
      <c r="BD281" t="str">
        <f ca="1">IFERROR(IF(0=LEN(ReferenceData!$BD$281),"",ReferenceData!$BD$281),"")</f>
        <v/>
      </c>
      <c r="BE281" t="str">
        <f ca="1">IFERROR(IF(0=LEN(ReferenceData!$BE$281),"",ReferenceData!$BE$281),"")</f>
        <v/>
      </c>
      <c r="BF281" t="str">
        <f ca="1">IFERROR(IF(0=LEN(ReferenceData!$BF$281),"",ReferenceData!$BF$281),"")</f>
        <v/>
      </c>
      <c r="BG281" t="str">
        <f ca="1">IFERROR(IF(0=LEN(ReferenceData!$BG$281),"",ReferenceData!$BG$281),"")</f>
        <v/>
      </c>
      <c r="BH281" t="str">
        <f ca="1">IFERROR(IF(0=LEN(ReferenceData!$BH$281),"",ReferenceData!$BH$281),"")</f>
        <v/>
      </c>
      <c r="BI281" t="str">
        <f ca="1">IFERROR(IF(0=LEN(ReferenceData!$BI$281),"",ReferenceData!$BI$281),"")</f>
        <v/>
      </c>
      <c r="BJ281" t="str">
        <f ca="1">IFERROR(IF(0=LEN(ReferenceData!$BJ$281),"",ReferenceData!$BJ$281),"")</f>
        <v/>
      </c>
      <c r="BK281" t="str">
        <f ca="1">IFERROR(IF(0=LEN(ReferenceData!$BK$281),"",ReferenceData!$BK$281),"")</f>
        <v/>
      </c>
      <c r="BL281" t="str">
        <f ca="1">IFERROR(IF(0=LEN(ReferenceData!$BL$281),"",ReferenceData!$BL$281),"")</f>
        <v/>
      </c>
      <c r="BM281" t="str">
        <f ca="1">IFERROR(IF(0=LEN(ReferenceData!$BM$281),"",ReferenceData!$BM$281),"")</f>
        <v/>
      </c>
    </row>
    <row r="282" spans="1:65">
      <c r="A282" t="str">
        <f>IFERROR(IF(0=LEN(ReferenceData!$A$282),"",ReferenceData!$A$282),"")</f>
        <v xml:space="preserve">    National Retail Properties Inc</v>
      </c>
      <c r="B282" t="str">
        <f>IFERROR(IF(0=LEN(ReferenceData!$B$282),"",ReferenceData!$B$282),"")</f>
        <v>NNN US Equity</v>
      </c>
      <c r="C282" t="str">
        <f>IFERROR(IF(0=LEN(ReferenceData!$C$282),"",ReferenceData!$C$282),"")</f>
        <v>F1178</v>
      </c>
      <c r="D282" t="str">
        <f>IFERROR(IF(0=LEN(ReferenceData!$D$282),"",ReferenceData!$D$282),"")</f>
        <v>NET_DEBT_EBITDA_ADJUSTED</v>
      </c>
      <c r="E282" t="str">
        <f>IFERROR(IF(0=LEN(ReferenceData!$E$282),"",ReferenceData!$E$282),"")</f>
        <v>动态</v>
      </c>
      <c r="F282" t="str">
        <f ca="1">IFERROR(IF(0=LEN(ReferenceData!$F$282),"",ReferenceData!$F$282),"")</f>
        <v/>
      </c>
      <c r="G282">
        <f ca="1">IFERROR(IF(0=LEN(ReferenceData!$G$282),"",ReferenceData!$G$282),"")</f>
        <v>5.0230775669999996</v>
      </c>
      <c r="H282">
        <f ca="1">IFERROR(IF(0=LEN(ReferenceData!$H$282),"",ReferenceData!$H$282),"")</f>
        <v>4.8744315540000001</v>
      </c>
      <c r="I282">
        <f ca="1">IFERROR(IF(0=LEN(ReferenceData!$I$282),"",ReferenceData!$I$282),"")</f>
        <v>5.1596235879999996</v>
      </c>
      <c r="J282">
        <f ca="1">IFERROR(IF(0=LEN(ReferenceData!$J$282),"",ReferenceData!$J$282),"")</f>
        <v>4.7902007910000002</v>
      </c>
      <c r="K282">
        <f ca="1">IFERROR(IF(0=LEN(ReferenceData!$K$282),"",ReferenceData!$K$282),"")</f>
        <v>4.3886174159999998</v>
      </c>
      <c r="L282">
        <f ca="1">IFERROR(IF(0=LEN(ReferenceData!$L$282),"",ReferenceData!$L$282),"")</f>
        <v>4.6501051499999999</v>
      </c>
      <c r="M282">
        <f ca="1">IFERROR(IF(0=LEN(ReferenceData!$M$282),"",ReferenceData!$M$282),"")</f>
        <v>4.6857836519999996</v>
      </c>
      <c r="N282">
        <f ca="1">IFERROR(IF(0=LEN(ReferenceData!$N$282),"",ReferenceData!$N$282),"")</f>
        <v>4.4731248020000001</v>
      </c>
      <c r="O282">
        <f ca="1">IFERROR(IF(0=LEN(ReferenceData!$O$282),"",ReferenceData!$O$282),"")</f>
        <v>4.5790301720000004</v>
      </c>
      <c r="P282">
        <f ca="1">IFERROR(IF(0=LEN(ReferenceData!$P$282),"",ReferenceData!$P$282),"")</f>
        <v>4.8137774740000001</v>
      </c>
      <c r="Q282">
        <f ca="1">IFERROR(IF(0=LEN(ReferenceData!$Q$282),"",ReferenceData!$Q$282),"")</f>
        <v>4.5928509179999999</v>
      </c>
      <c r="R282">
        <f ca="1">IFERROR(IF(0=LEN(ReferenceData!$R$282),"",ReferenceData!$R$282),"")</f>
        <v>4.510715255</v>
      </c>
      <c r="S282">
        <f ca="1">IFERROR(IF(0=LEN(ReferenceData!$S$282),"",ReferenceData!$S$282),"")</f>
        <v>4.5271650829999999</v>
      </c>
      <c r="T282">
        <f ca="1">IFERROR(IF(0=LEN(ReferenceData!$T$282),"",ReferenceData!$T$282),"")</f>
        <v>5.003707039</v>
      </c>
      <c r="U282">
        <f ca="1">IFERROR(IF(0=LEN(ReferenceData!$U$282),"",ReferenceData!$U$282),"")</f>
        <v>4.5056168029999997</v>
      </c>
      <c r="V282">
        <f ca="1">IFERROR(IF(0=LEN(ReferenceData!$V$282),"",ReferenceData!$V$282),"")</f>
        <v>4.5554269119999997</v>
      </c>
      <c r="W282">
        <f ca="1">IFERROR(IF(0=LEN(ReferenceData!$W$282),"",ReferenceData!$W$282),"")</f>
        <v>4.5761172080000003</v>
      </c>
      <c r="X282">
        <f ca="1">IFERROR(IF(0=LEN(ReferenceData!$X$282),"",ReferenceData!$X$282),"")</f>
        <v>4.633199469</v>
      </c>
      <c r="Y282">
        <f ca="1">IFERROR(IF(0=LEN(ReferenceData!$Y$282),"",ReferenceData!$Y$282),"")</f>
        <v>4.8569392520000001</v>
      </c>
      <c r="Z282">
        <f ca="1">IFERROR(IF(0=LEN(ReferenceData!$Z$282),"",ReferenceData!$Z$282),"")</f>
        <v>4.8617367319999998</v>
      </c>
      <c r="AA282">
        <f ca="1">IFERROR(IF(0=LEN(ReferenceData!$AA$282),"",ReferenceData!$AA$282),"")</f>
        <v>5.5675548450000001</v>
      </c>
      <c r="AB282">
        <f ca="1">IFERROR(IF(0=LEN(ReferenceData!$AB$282),"",ReferenceData!$AB$282),"")</f>
        <v>5.1718369559999999</v>
      </c>
      <c r="AC282">
        <f ca="1">IFERROR(IF(0=LEN(ReferenceData!$AC$282),"",ReferenceData!$AC$282),"")</f>
        <v>5.4097701220000003</v>
      </c>
      <c r="AD282">
        <f ca="1">IFERROR(IF(0=LEN(ReferenceData!$AD$282),"",ReferenceData!$AD$282),"")</f>
        <v>5.5217346899999997</v>
      </c>
      <c r="AE282">
        <f ca="1">IFERROR(IF(0=LEN(ReferenceData!$AE$282),"",ReferenceData!$AE$282),"")</f>
        <v>6.0611955320000002</v>
      </c>
      <c r="AF282">
        <f ca="1">IFERROR(IF(0=LEN(ReferenceData!$AF$282),"",ReferenceData!$AF$282),"")</f>
        <v>5.9409862489999998</v>
      </c>
      <c r="AG282">
        <f ca="1">IFERROR(IF(0=LEN(ReferenceData!$AG$282),"",ReferenceData!$AG$282),"")</f>
        <v>5.8706244759999997</v>
      </c>
      <c r="AH282">
        <f ca="1">IFERROR(IF(0=LEN(ReferenceData!$AH$282),"",ReferenceData!$AH$282),"")</f>
        <v>5.8156246070000002</v>
      </c>
      <c r="AI282">
        <f ca="1">IFERROR(IF(0=LEN(ReferenceData!$AI$282),"",ReferenceData!$AI$282),"")</f>
        <v>5.808896828</v>
      </c>
      <c r="AJ282">
        <f ca="1">IFERROR(IF(0=LEN(ReferenceData!$AJ$282),"",ReferenceData!$AJ$282),"")</f>
        <v>5.2044011960000001</v>
      </c>
      <c r="AK282">
        <f ca="1">IFERROR(IF(0=LEN(ReferenceData!$AK$282),"",ReferenceData!$AK$282),"")</f>
        <v>4.8767960879999999</v>
      </c>
      <c r="AL282">
        <f ca="1">IFERROR(IF(0=LEN(ReferenceData!$AL$282),"",ReferenceData!$AL$282),"")</f>
        <v>4.9208038189999996</v>
      </c>
      <c r="AM282">
        <f ca="1">IFERROR(IF(0=LEN(ReferenceData!$AM$282),"",ReferenceData!$AM$282),"")</f>
        <v>4.9126297489999997</v>
      </c>
      <c r="AN282" t="str">
        <f ca="1">IFERROR(IF(0=LEN(ReferenceData!$AN$282),"",ReferenceData!$AN$282),"")</f>
        <v/>
      </c>
      <c r="AO282" t="str">
        <f ca="1">IFERROR(IF(0=LEN(ReferenceData!$AO$282),"",ReferenceData!$AO$282),"")</f>
        <v/>
      </c>
      <c r="AP282" t="str">
        <f ca="1">IFERROR(IF(0=LEN(ReferenceData!$AP$282),"",ReferenceData!$AP$282),"")</f>
        <v/>
      </c>
      <c r="AQ282" t="str">
        <f ca="1">IFERROR(IF(0=LEN(ReferenceData!$AQ$282),"",ReferenceData!$AQ$282),"")</f>
        <v/>
      </c>
      <c r="AR282" t="str">
        <f ca="1">IFERROR(IF(0=LEN(ReferenceData!$AR$282),"",ReferenceData!$AR$282),"")</f>
        <v/>
      </c>
      <c r="AS282" t="str">
        <f ca="1">IFERROR(IF(0=LEN(ReferenceData!$AS$282),"",ReferenceData!$AS$282),"")</f>
        <v/>
      </c>
      <c r="AT282" t="str">
        <f ca="1">IFERROR(IF(0=LEN(ReferenceData!$AT$282),"",ReferenceData!$AT$282),"")</f>
        <v/>
      </c>
      <c r="AU282" t="str">
        <f ca="1">IFERROR(IF(0=LEN(ReferenceData!$AU$282),"",ReferenceData!$AU$282),"")</f>
        <v/>
      </c>
      <c r="AV282" t="str">
        <f ca="1">IFERROR(IF(0=LEN(ReferenceData!$AV$282),"",ReferenceData!$AV$282),"")</f>
        <v/>
      </c>
      <c r="AW282" t="str">
        <f ca="1">IFERROR(IF(0=LEN(ReferenceData!$AW$282),"",ReferenceData!$AW$282),"")</f>
        <v/>
      </c>
      <c r="AX282" t="str">
        <f ca="1">IFERROR(IF(0=LEN(ReferenceData!$AX$282),"",ReferenceData!$AX$282),"")</f>
        <v/>
      </c>
      <c r="AY282" t="str">
        <f ca="1">IFERROR(IF(0=LEN(ReferenceData!$AY$282),"",ReferenceData!$AY$282),"")</f>
        <v/>
      </c>
      <c r="AZ282" t="str">
        <f ca="1">IFERROR(IF(0=LEN(ReferenceData!$AZ$282),"",ReferenceData!$AZ$282),"")</f>
        <v/>
      </c>
      <c r="BA282" t="str">
        <f ca="1">IFERROR(IF(0=LEN(ReferenceData!$BA$282),"",ReferenceData!$BA$282),"")</f>
        <v/>
      </c>
      <c r="BB282" t="str">
        <f ca="1">IFERROR(IF(0=LEN(ReferenceData!$BB$282),"",ReferenceData!$BB$282),"")</f>
        <v/>
      </c>
      <c r="BC282" t="str">
        <f ca="1">IFERROR(IF(0=LEN(ReferenceData!$BC$282),"",ReferenceData!$BC$282),"")</f>
        <v/>
      </c>
      <c r="BD282" t="str">
        <f ca="1">IFERROR(IF(0=LEN(ReferenceData!$BD$282),"",ReferenceData!$BD$282),"")</f>
        <v/>
      </c>
      <c r="BE282" t="str">
        <f ca="1">IFERROR(IF(0=LEN(ReferenceData!$BE$282),"",ReferenceData!$BE$282),"")</f>
        <v/>
      </c>
      <c r="BF282" t="str">
        <f ca="1">IFERROR(IF(0=LEN(ReferenceData!$BF$282),"",ReferenceData!$BF$282),"")</f>
        <v/>
      </c>
      <c r="BG282" t="str">
        <f ca="1">IFERROR(IF(0=LEN(ReferenceData!$BG$282),"",ReferenceData!$BG$282),"")</f>
        <v/>
      </c>
      <c r="BH282" t="str">
        <f ca="1">IFERROR(IF(0=LEN(ReferenceData!$BH$282),"",ReferenceData!$BH$282),"")</f>
        <v/>
      </c>
      <c r="BI282" t="str">
        <f ca="1">IFERROR(IF(0=LEN(ReferenceData!$BI$282),"",ReferenceData!$BI$282),"")</f>
        <v/>
      </c>
      <c r="BJ282" t="str">
        <f ca="1">IFERROR(IF(0=LEN(ReferenceData!$BJ$282),"",ReferenceData!$BJ$282),"")</f>
        <v/>
      </c>
      <c r="BK282" t="str">
        <f ca="1">IFERROR(IF(0=LEN(ReferenceData!$BK$282),"",ReferenceData!$BK$282),"")</f>
        <v/>
      </c>
      <c r="BL282" t="str">
        <f ca="1">IFERROR(IF(0=LEN(ReferenceData!$BL$282),"",ReferenceData!$BL$282),"")</f>
        <v/>
      </c>
      <c r="BM282" t="str">
        <f ca="1">IFERROR(IF(0=LEN(ReferenceData!$BM$282),"",ReferenceData!$BM$282),"")</f>
        <v/>
      </c>
    </row>
    <row r="283" spans="1:65">
      <c r="A283" t="str">
        <f>IFERROR(IF(0=LEN(ReferenceData!$A$283),"",ReferenceData!$A$283),"")</f>
        <v xml:space="preserve">    Realty Income Corp</v>
      </c>
      <c r="B283" t="str">
        <f>IFERROR(IF(0=LEN(ReferenceData!$B$283),"",ReferenceData!$B$283),"")</f>
        <v>O US Equity</v>
      </c>
      <c r="C283" t="str">
        <f>IFERROR(IF(0=LEN(ReferenceData!$C$283),"",ReferenceData!$C$283),"")</f>
        <v>F1178</v>
      </c>
      <c r="D283" t="str">
        <f>IFERROR(IF(0=LEN(ReferenceData!$D$283),"",ReferenceData!$D$283),"")</f>
        <v>NET_DEBT_EBITDA_ADJUSTED</v>
      </c>
      <c r="E283" t="str">
        <f>IFERROR(IF(0=LEN(ReferenceData!$E$283),"",ReferenceData!$E$283),"")</f>
        <v>动态</v>
      </c>
      <c r="F283" t="str">
        <f ca="1">IFERROR(IF(0=LEN(ReferenceData!$F$283),"",ReferenceData!$F$283),"")</f>
        <v/>
      </c>
      <c r="G283">
        <f ca="1">IFERROR(IF(0=LEN(ReferenceData!$G$283),"",ReferenceData!$G$283),"")</f>
        <v>5.6116305390000001</v>
      </c>
      <c r="H283">
        <f ca="1">IFERROR(IF(0=LEN(ReferenceData!$H$283),"",ReferenceData!$H$283),"")</f>
        <v>5.4260759600000004</v>
      </c>
      <c r="I283">
        <f ca="1">IFERROR(IF(0=LEN(ReferenceData!$I$283),"",ReferenceData!$I$283),"")</f>
        <v>5.749685682</v>
      </c>
      <c r="J283">
        <f ca="1">IFERROR(IF(0=LEN(ReferenceData!$J$283),"",ReferenceData!$J$283),"")</f>
        <v>5.3213534469999999</v>
      </c>
      <c r="K283">
        <f ca="1">IFERROR(IF(0=LEN(ReferenceData!$K$283),"",ReferenceData!$K$283),"")</f>
        <v>5.8989609859999996</v>
      </c>
      <c r="L283">
        <f ca="1">IFERROR(IF(0=LEN(ReferenceData!$L$283),"",ReferenceData!$L$283),"")</f>
        <v>5.3863984800000004</v>
      </c>
      <c r="M283">
        <f ca="1">IFERROR(IF(0=LEN(ReferenceData!$M$283),"",ReferenceData!$M$283),"")</f>
        <v>5.1627529030000003</v>
      </c>
      <c r="N283">
        <f ca="1">IFERROR(IF(0=LEN(ReferenceData!$N$283),"",ReferenceData!$N$283),"")</f>
        <v>5.4315398730000002</v>
      </c>
      <c r="O283">
        <f ca="1">IFERROR(IF(0=LEN(ReferenceData!$O$283),"",ReferenceData!$O$283),"")</f>
        <v>5.2041411489999998</v>
      </c>
      <c r="P283">
        <f ca="1">IFERROR(IF(0=LEN(ReferenceData!$P$283),"",ReferenceData!$P$283),"")</f>
        <v>5.9275277300000004</v>
      </c>
      <c r="Q283">
        <f ca="1">IFERROR(IF(0=LEN(ReferenceData!$Q$283),"",ReferenceData!$Q$283),"")</f>
        <v>6.0778029800000004</v>
      </c>
      <c r="R283">
        <f ca="1">IFERROR(IF(0=LEN(ReferenceData!$R$283),"",ReferenceData!$R$283),"")</f>
        <v>5.8942136630000004</v>
      </c>
      <c r="S283">
        <f ca="1">IFERROR(IF(0=LEN(ReferenceData!$S$283),"",ReferenceData!$S$283),"")</f>
        <v>5.9466549349999998</v>
      </c>
      <c r="T283">
        <f ca="1">IFERROR(IF(0=LEN(ReferenceData!$T$283),"",ReferenceData!$T$283),"")</f>
        <v>5.9457201069999996</v>
      </c>
      <c r="U283">
        <f ca="1">IFERROR(IF(0=LEN(ReferenceData!$U$283),"",ReferenceData!$U$283),"")</f>
        <v>5.9645313389999997</v>
      </c>
      <c r="V283">
        <f ca="1">IFERROR(IF(0=LEN(ReferenceData!$V$283),"",ReferenceData!$V$283),"")</f>
        <v>6.5965509710000001</v>
      </c>
      <c r="W283">
        <f ca="1">IFERROR(IF(0=LEN(ReferenceData!$W$283),"",ReferenceData!$W$283),"")</f>
        <v>6.0726497349999997</v>
      </c>
      <c r="X283">
        <f ca="1">IFERROR(IF(0=LEN(ReferenceData!$X$283),"",ReferenceData!$X$283),"")</f>
        <v>7.2710961190000001</v>
      </c>
      <c r="Y283">
        <f ca="1">IFERROR(IF(0=LEN(ReferenceData!$Y$283),"",ReferenceData!$Y$283),"")</f>
        <v>7.3217486200000002</v>
      </c>
      <c r="Z283">
        <f ca="1">IFERROR(IF(0=LEN(ReferenceData!$Z$283),"",ReferenceData!$Z$283),"")</f>
        <v>7.0057587549999996</v>
      </c>
      <c r="AA283">
        <f ca="1">IFERROR(IF(0=LEN(ReferenceData!$AA$283),"",ReferenceData!$AA$283),"")</f>
        <v>6.6285904029999996</v>
      </c>
      <c r="AB283">
        <f ca="1">IFERROR(IF(0=LEN(ReferenceData!$AB$283),"",ReferenceData!$AB$283),"")</f>
        <v>5.9516239310000003</v>
      </c>
      <c r="AC283">
        <f ca="1">IFERROR(IF(0=LEN(ReferenceData!$AC$283),"",ReferenceData!$AC$283),"")</f>
        <v>4.860452242</v>
      </c>
      <c r="AD283">
        <f ca="1">IFERROR(IF(0=LEN(ReferenceData!$AD$283),"",ReferenceData!$AD$283),"")</f>
        <v>4.6467581740000004</v>
      </c>
      <c r="AE283">
        <f ca="1">IFERROR(IF(0=LEN(ReferenceData!$AE$283),"",ReferenceData!$AE$283),"")</f>
        <v>5.3546018929999999</v>
      </c>
      <c r="AF283">
        <f ca="1">IFERROR(IF(0=LEN(ReferenceData!$AF$283),"",ReferenceData!$AF$283),"")</f>
        <v>5.2123964599999999</v>
      </c>
      <c r="AG283">
        <f ca="1">IFERROR(IF(0=LEN(ReferenceData!$AG$283),"",ReferenceData!$AG$283),"")</f>
        <v>4.7614571669999997</v>
      </c>
      <c r="AH283">
        <f ca="1">IFERROR(IF(0=LEN(ReferenceData!$AH$283),"",ReferenceData!$AH$283),"")</f>
        <v>4.4640638570000002</v>
      </c>
      <c r="AI283">
        <f ca="1">IFERROR(IF(0=LEN(ReferenceData!$AI$283),"",ReferenceData!$AI$283),"")</f>
        <v>5.1354387079999997</v>
      </c>
      <c r="AJ283">
        <f ca="1">IFERROR(IF(0=LEN(ReferenceData!$AJ$283),"",ReferenceData!$AJ$283),"")</f>
        <v>4.7165593450000003</v>
      </c>
      <c r="AK283">
        <f ca="1">IFERROR(IF(0=LEN(ReferenceData!$AK$283),"",ReferenceData!$AK$283),"")</f>
        <v>5.3729723659999999</v>
      </c>
      <c r="AL283">
        <f ca="1">IFERROR(IF(0=LEN(ReferenceData!$AL$283),"",ReferenceData!$AL$283),"")</f>
        <v>4.5928606619999996</v>
      </c>
      <c r="AM283">
        <f ca="1">IFERROR(IF(0=LEN(ReferenceData!$AM$283),"",ReferenceData!$AM$283),"")</f>
        <v>4.4415103939999998</v>
      </c>
      <c r="AN283" t="str">
        <f ca="1">IFERROR(IF(0=LEN(ReferenceData!$AN$283),"",ReferenceData!$AN$283),"")</f>
        <v/>
      </c>
      <c r="AO283" t="str">
        <f ca="1">IFERROR(IF(0=LEN(ReferenceData!$AO$283),"",ReferenceData!$AO$283),"")</f>
        <v/>
      </c>
      <c r="AP283" t="str">
        <f ca="1">IFERROR(IF(0=LEN(ReferenceData!$AP$283),"",ReferenceData!$AP$283),"")</f>
        <v/>
      </c>
      <c r="AQ283" t="str">
        <f ca="1">IFERROR(IF(0=LEN(ReferenceData!$AQ$283),"",ReferenceData!$AQ$283),"")</f>
        <v/>
      </c>
      <c r="AR283" t="str">
        <f ca="1">IFERROR(IF(0=LEN(ReferenceData!$AR$283),"",ReferenceData!$AR$283),"")</f>
        <v/>
      </c>
      <c r="AS283" t="str">
        <f ca="1">IFERROR(IF(0=LEN(ReferenceData!$AS$283),"",ReferenceData!$AS$283),"")</f>
        <v/>
      </c>
      <c r="AT283" t="str">
        <f ca="1">IFERROR(IF(0=LEN(ReferenceData!$AT$283),"",ReferenceData!$AT$283),"")</f>
        <v/>
      </c>
      <c r="AU283" t="str">
        <f ca="1">IFERROR(IF(0=LEN(ReferenceData!$AU$283),"",ReferenceData!$AU$283),"")</f>
        <v/>
      </c>
      <c r="AV283" t="str">
        <f ca="1">IFERROR(IF(0=LEN(ReferenceData!$AV$283),"",ReferenceData!$AV$283),"")</f>
        <v/>
      </c>
      <c r="AW283" t="str">
        <f ca="1">IFERROR(IF(0=LEN(ReferenceData!$AW$283),"",ReferenceData!$AW$283),"")</f>
        <v/>
      </c>
      <c r="AX283" t="str">
        <f ca="1">IFERROR(IF(0=LEN(ReferenceData!$AX$283),"",ReferenceData!$AX$283),"")</f>
        <v/>
      </c>
      <c r="AY283" t="str">
        <f ca="1">IFERROR(IF(0=LEN(ReferenceData!$AY$283),"",ReferenceData!$AY$283),"")</f>
        <v/>
      </c>
      <c r="AZ283" t="str">
        <f ca="1">IFERROR(IF(0=LEN(ReferenceData!$AZ$283),"",ReferenceData!$AZ$283),"")</f>
        <v/>
      </c>
      <c r="BA283" t="str">
        <f ca="1">IFERROR(IF(0=LEN(ReferenceData!$BA$283),"",ReferenceData!$BA$283),"")</f>
        <v/>
      </c>
      <c r="BB283" t="str">
        <f ca="1">IFERROR(IF(0=LEN(ReferenceData!$BB$283),"",ReferenceData!$BB$283),"")</f>
        <v/>
      </c>
      <c r="BC283" t="str">
        <f ca="1">IFERROR(IF(0=LEN(ReferenceData!$BC$283),"",ReferenceData!$BC$283),"")</f>
        <v/>
      </c>
      <c r="BD283" t="str">
        <f ca="1">IFERROR(IF(0=LEN(ReferenceData!$BD$283),"",ReferenceData!$BD$283),"")</f>
        <v/>
      </c>
      <c r="BE283" t="str">
        <f ca="1">IFERROR(IF(0=LEN(ReferenceData!$BE$283),"",ReferenceData!$BE$283),"")</f>
        <v/>
      </c>
      <c r="BF283" t="str">
        <f ca="1">IFERROR(IF(0=LEN(ReferenceData!$BF$283),"",ReferenceData!$BF$283),"")</f>
        <v/>
      </c>
      <c r="BG283" t="str">
        <f ca="1">IFERROR(IF(0=LEN(ReferenceData!$BG$283),"",ReferenceData!$BG$283),"")</f>
        <v/>
      </c>
      <c r="BH283" t="str">
        <f ca="1">IFERROR(IF(0=LEN(ReferenceData!$BH$283),"",ReferenceData!$BH$283),"")</f>
        <v/>
      </c>
      <c r="BI283" t="str">
        <f ca="1">IFERROR(IF(0=LEN(ReferenceData!$BI$283),"",ReferenceData!$BI$283),"")</f>
        <v/>
      </c>
      <c r="BJ283" t="str">
        <f ca="1">IFERROR(IF(0=LEN(ReferenceData!$BJ$283),"",ReferenceData!$BJ$283),"")</f>
        <v/>
      </c>
      <c r="BK283" t="str">
        <f ca="1">IFERROR(IF(0=LEN(ReferenceData!$BK$283),"",ReferenceData!$BK$283),"")</f>
        <v/>
      </c>
      <c r="BL283" t="str">
        <f ca="1">IFERROR(IF(0=LEN(ReferenceData!$BL$283),"",ReferenceData!$BL$283),"")</f>
        <v/>
      </c>
      <c r="BM283" t="str">
        <f ca="1">IFERROR(IF(0=LEN(ReferenceData!$BM$283),"",ReferenceData!$BM$283),"")</f>
        <v/>
      </c>
    </row>
    <row r="284" spans="1:65">
      <c r="A284" t="str">
        <f>IFERROR(IF(0=LEN(ReferenceData!$A$284),"",ReferenceData!$A$284),"")</f>
        <v xml:space="preserve">    Regency Centers Corp</v>
      </c>
      <c r="B284" t="str">
        <f>IFERROR(IF(0=LEN(ReferenceData!$B$284),"",ReferenceData!$B$284),"")</f>
        <v>REG US Equity</v>
      </c>
      <c r="C284" t="str">
        <f>IFERROR(IF(0=LEN(ReferenceData!$C$284),"",ReferenceData!$C$284),"")</f>
        <v>F1178</v>
      </c>
      <c r="D284" t="str">
        <f>IFERROR(IF(0=LEN(ReferenceData!$D$284),"",ReferenceData!$D$284),"")</f>
        <v>NET_DEBT_EBITDA_ADJUSTED</v>
      </c>
      <c r="E284" t="str">
        <f>IFERROR(IF(0=LEN(ReferenceData!$E$284),"",ReferenceData!$E$284),"")</f>
        <v>动态</v>
      </c>
      <c r="F284" t="str">
        <f ca="1">IFERROR(IF(0=LEN(ReferenceData!$F$284),"",ReferenceData!$F$284),"")</f>
        <v/>
      </c>
      <c r="G284">
        <f ca="1">IFERROR(IF(0=LEN(ReferenceData!$G$284),"",ReferenceData!$G$284),"")</f>
        <v>6.4405984070000004</v>
      </c>
      <c r="H284">
        <f ca="1">IFERROR(IF(0=LEN(ReferenceData!$H$284),"",ReferenceData!$H$284),"")</f>
        <v>7.0339757609999998</v>
      </c>
      <c r="I284">
        <f ca="1">IFERROR(IF(0=LEN(ReferenceData!$I$284),"",ReferenceData!$I$284),"")</f>
        <v>8.1946283090000005</v>
      </c>
      <c r="J284">
        <f ca="1">IFERROR(IF(0=LEN(ReferenceData!$J$284),"",ReferenceData!$J$284),"")</f>
        <v>10.01908768</v>
      </c>
      <c r="K284">
        <f ca="1">IFERROR(IF(0=LEN(ReferenceData!$K$284),"",ReferenceData!$K$284),"")</f>
        <v>4.3613594080000002</v>
      </c>
      <c r="L284">
        <f ca="1">IFERROR(IF(0=LEN(ReferenceData!$L$284),"",ReferenceData!$L$284),"")</f>
        <v>4.3144563959999997</v>
      </c>
      <c r="M284">
        <f ca="1">IFERROR(IF(0=LEN(ReferenceData!$M$284),"",ReferenceData!$M$284),"")</f>
        <v>5.4100658839999998</v>
      </c>
      <c r="N284">
        <f ca="1">IFERROR(IF(0=LEN(ReferenceData!$N$284),"",ReferenceData!$N$284),"")</f>
        <v>5.0590722140000004</v>
      </c>
      <c r="O284">
        <f ca="1">IFERROR(IF(0=LEN(ReferenceData!$O$284),"",ReferenceData!$O$284),"")</f>
        <v>5.1990332690000001</v>
      </c>
      <c r="P284">
        <f ca="1">IFERROR(IF(0=LEN(ReferenceData!$P$284),"",ReferenceData!$P$284),"")</f>
        <v>5.7562303909999999</v>
      </c>
      <c r="Q284">
        <f ca="1">IFERROR(IF(0=LEN(ReferenceData!$Q$284),"",ReferenceData!$Q$284),"")</f>
        <v>5.7382993850000004</v>
      </c>
      <c r="R284">
        <f ca="1">IFERROR(IF(0=LEN(ReferenceData!$R$284),"",ReferenceData!$R$284),"")</f>
        <v>5.8121922479999997</v>
      </c>
      <c r="S284">
        <f ca="1">IFERROR(IF(0=LEN(ReferenceData!$S$284),"",ReferenceData!$S$284),"")</f>
        <v>5.7462105240000003</v>
      </c>
      <c r="T284">
        <f ca="1">IFERROR(IF(0=LEN(ReferenceData!$T$284),"",ReferenceData!$T$284),"")</f>
        <v>5.9170580519999998</v>
      </c>
      <c r="U284">
        <f ca="1">IFERROR(IF(0=LEN(ReferenceData!$U$284),"",ReferenceData!$U$284),"")</f>
        <v>6.3143185519999996</v>
      </c>
      <c r="V284">
        <f ca="1">IFERROR(IF(0=LEN(ReferenceData!$V$284),"",ReferenceData!$V$284),"")</f>
        <v>6.3770598180000002</v>
      </c>
      <c r="W284">
        <f ca="1">IFERROR(IF(0=LEN(ReferenceData!$W$284),"",ReferenceData!$W$284),"")</f>
        <v>5.9376418299999996</v>
      </c>
      <c r="X284">
        <f ca="1">IFERROR(IF(0=LEN(ReferenceData!$X$284),"",ReferenceData!$X$284),"")</f>
        <v>6.1496859849999996</v>
      </c>
      <c r="Y284">
        <f ca="1">IFERROR(IF(0=LEN(ReferenceData!$Y$284),"",ReferenceData!$Y$284),"")</f>
        <v>6.3267108700000003</v>
      </c>
      <c r="Z284">
        <f ca="1">IFERROR(IF(0=LEN(ReferenceData!$Z$284),"",ReferenceData!$Z$284),"")</f>
        <v>6.4531480400000003</v>
      </c>
      <c r="AA284">
        <f ca="1">IFERROR(IF(0=LEN(ReferenceData!$AA$284),"",ReferenceData!$AA$284),"")</f>
        <v>6.4177479699999997</v>
      </c>
      <c r="AB284">
        <f ca="1">IFERROR(IF(0=LEN(ReferenceData!$AB$284),"",ReferenceData!$AB$284),"")</f>
        <v>5.9264227040000002</v>
      </c>
      <c r="AC284">
        <f ca="1">IFERROR(IF(0=LEN(ReferenceData!$AC$284),"",ReferenceData!$AC$284),"")</f>
        <v>6.5591272370000002</v>
      </c>
      <c r="AD284">
        <f ca="1">IFERROR(IF(0=LEN(ReferenceData!$AD$284),"",ReferenceData!$AD$284),"")</f>
        <v>6.516152935</v>
      </c>
      <c r="AE284">
        <f ca="1">IFERROR(IF(0=LEN(ReferenceData!$AE$284),"",ReferenceData!$AE$284),"")</f>
        <v>6.4451761840000001</v>
      </c>
      <c r="AF284">
        <f ca="1">IFERROR(IF(0=LEN(ReferenceData!$AF$284),"",ReferenceData!$AF$284),"")</f>
        <v>6.6892157900000004</v>
      </c>
      <c r="AG284">
        <f ca="1">IFERROR(IF(0=LEN(ReferenceData!$AG$284),"",ReferenceData!$AG$284),"")</f>
        <v>6.6373032299999997</v>
      </c>
      <c r="AH284">
        <f ca="1">IFERROR(IF(0=LEN(ReferenceData!$AH$284),"",ReferenceData!$AH$284),"")</f>
        <v>6.3603342070000002</v>
      </c>
      <c r="AI284">
        <f ca="1">IFERROR(IF(0=LEN(ReferenceData!$AI$284),"",ReferenceData!$AI$284),"")</f>
        <v>7.138301706</v>
      </c>
      <c r="AJ284">
        <f ca="1">IFERROR(IF(0=LEN(ReferenceData!$AJ$284),"",ReferenceData!$AJ$284),"")</f>
        <v>6.799707003</v>
      </c>
      <c r="AK284">
        <f ca="1">IFERROR(IF(0=LEN(ReferenceData!$AK$284),"",ReferenceData!$AK$284),"")</f>
        <v>6.2928856489999996</v>
      </c>
      <c r="AL284">
        <f ca="1">IFERROR(IF(0=LEN(ReferenceData!$AL$284),"",ReferenceData!$AL$284),"")</f>
        <v>5.8986989630000002</v>
      </c>
      <c r="AM284">
        <f ca="1">IFERROR(IF(0=LEN(ReferenceData!$AM$284),"",ReferenceData!$AM$284),"")</f>
        <v>5.9751074209999997</v>
      </c>
      <c r="AN284" t="str">
        <f ca="1">IFERROR(IF(0=LEN(ReferenceData!$AN$284),"",ReferenceData!$AN$284),"")</f>
        <v/>
      </c>
      <c r="AO284" t="str">
        <f ca="1">IFERROR(IF(0=LEN(ReferenceData!$AO$284),"",ReferenceData!$AO$284),"")</f>
        <v/>
      </c>
      <c r="AP284" t="str">
        <f ca="1">IFERROR(IF(0=LEN(ReferenceData!$AP$284),"",ReferenceData!$AP$284),"")</f>
        <v/>
      </c>
      <c r="AQ284" t="str">
        <f ca="1">IFERROR(IF(0=LEN(ReferenceData!$AQ$284),"",ReferenceData!$AQ$284),"")</f>
        <v/>
      </c>
      <c r="AR284" t="str">
        <f ca="1">IFERROR(IF(0=LEN(ReferenceData!$AR$284),"",ReferenceData!$AR$284),"")</f>
        <v/>
      </c>
      <c r="AS284" t="str">
        <f ca="1">IFERROR(IF(0=LEN(ReferenceData!$AS$284),"",ReferenceData!$AS$284),"")</f>
        <v/>
      </c>
      <c r="AT284" t="str">
        <f ca="1">IFERROR(IF(0=LEN(ReferenceData!$AT$284),"",ReferenceData!$AT$284),"")</f>
        <v/>
      </c>
      <c r="AU284" t="str">
        <f ca="1">IFERROR(IF(0=LEN(ReferenceData!$AU$284),"",ReferenceData!$AU$284),"")</f>
        <v/>
      </c>
      <c r="AV284" t="str">
        <f ca="1">IFERROR(IF(0=LEN(ReferenceData!$AV$284),"",ReferenceData!$AV$284),"")</f>
        <v/>
      </c>
      <c r="AW284" t="str">
        <f ca="1">IFERROR(IF(0=LEN(ReferenceData!$AW$284),"",ReferenceData!$AW$284),"")</f>
        <v/>
      </c>
      <c r="AX284" t="str">
        <f ca="1">IFERROR(IF(0=LEN(ReferenceData!$AX$284),"",ReferenceData!$AX$284),"")</f>
        <v/>
      </c>
      <c r="AY284" t="str">
        <f ca="1">IFERROR(IF(0=LEN(ReferenceData!$AY$284),"",ReferenceData!$AY$284),"")</f>
        <v/>
      </c>
      <c r="AZ284" t="str">
        <f ca="1">IFERROR(IF(0=LEN(ReferenceData!$AZ$284),"",ReferenceData!$AZ$284),"")</f>
        <v/>
      </c>
      <c r="BA284" t="str">
        <f ca="1">IFERROR(IF(0=LEN(ReferenceData!$BA$284),"",ReferenceData!$BA$284),"")</f>
        <v/>
      </c>
      <c r="BB284" t="str">
        <f ca="1">IFERROR(IF(0=LEN(ReferenceData!$BB$284),"",ReferenceData!$BB$284),"")</f>
        <v/>
      </c>
      <c r="BC284" t="str">
        <f ca="1">IFERROR(IF(0=LEN(ReferenceData!$BC$284),"",ReferenceData!$BC$284),"")</f>
        <v/>
      </c>
      <c r="BD284" t="str">
        <f ca="1">IFERROR(IF(0=LEN(ReferenceData!$BD$284),"",ReferenceData!$BD$284),"")</f>
        <v/>
      </c>
      <c r="BE284" t="str">
        <f ca="1">IFERROR(IF(0=LEN(ReferenceData!$BE$284),"",ReferenceData!$BE$284),"")</f>
        <v/>
      </c>
      <c r="BF284" t="str">
        <f ca="1">IFERROR(IF(0=LEN(ReferenceData!$BF$284),"",ReferenceData!$BF$284),"")</f>
        <v/>
      </c>
      <c r="BG284" t="str">
        <f ca="1">IFERROR(IF(0=LEN(ReferenceData!$BG$284),"",ReferenceData!$BG$284),"")</f>
        <v/>
      </c>
      <c r="BH284" t="str">
        <f ca="1">IFERROR(IF(0=LEN(ReferenceData!$BH$284),"",ReferenceData!$BH$284),"")</f>
        <v/>
      </c>
      <c r="BI284" t="str">
        <f ca="1">IFERROR(IF(0=LEN(ReferenceData!$BI$284),"",ReferenceData!$BI$284),"")</f>
        <v/>
      </c>
      <c r="BJ284" t="str">
        <f ca="1">IFERROR(IF(0=LEN(ReferenceData!$BJ$284),"",ReferenceData!$BJ$284),"")</f>
        <v/>
      </c>
      <c r="BK284" t="str">
        <f ca="1">IFERROR(IF(0=LEN(ReferenceData!$BK$284),"",ReferenceData!$BK$284),"")</f>
        <v/>
      </c>
      <c r="BL284" t="str">
        <f ca="1">IFERROR(IF(0=LEN(ReferenceData!$BL$284),"",ReferenceData!$BL$284),"")</f>
        <v/>
      </c>
      <c r="BM284" t="str">
        <f ca="1">IFERROR(IF(0=LEN(ReferenceData!$BM$284),"",ReferenceData!$BM$284),"")</f>
        <v/>
      </c>
    </row>
    <row r="285" spans="1:65">
      <c r="A285" t="str">
        <f>IFERROR(IF(0=LEN(ReferenceData!$A$285),"",ReferenceData!$A$285),"")</f>
        <v xml:space="preserve">    Retail Opportunity Investments</v>
      </c>
      <c r="B285" t="str">
        <f>IFERROR(IF(0=LEN(ReferenceData!$B$285),"",ReferenceData!$B$285),"")</f>
        <v>ROIC US Equity</v>
      </c>
      <c r="C285" t="str">
        <f>IFERROR(IF(0=LEN(ReferenceData!$C$285),"",ReferenceData!$C$285),"")</f>
        <v>F1178</v>
      </c>
      <c r="D285" t="str">
        <f>IFERROR(IF(0=LEN(ReferenceData!$D$285),"",ReferenceData!$D$285),"")</f>
        <v>NET_DEBT_EBITDA_ADJUSTED</v>
      </c>
      <c r="E285" t="str">
        <f>IFERROR(IF(0=LEN(ReferenceData!$E$285),"",ReferenceData!$E$285),"")</f>
        <v>动态</v>
      </c>
      <c r="F285" t="str">
        <f ca="1">IFERROR(IF(0=LEN(ReferenceData!$F$285),"",ReferenceData!$F$285),"")</f>
        <v/>
      </c>
      <c r="G285">
        <f ca="1">IFERROR(IF(0=LEN(ReferenceData!$G$285),"",ReferenceData!$G$285),"")</f>
        <v>7.7695094280000001</v>
      </c>
      <c r="H285">
        <f ca="1">IFERROR(IF(0=LEN(ReferenceData!$H$285),"",ReferenceData!$H$285),"")</f>
        <v>7.3893703530000003</v>
      </c>
      <c r="I285">
        <f ca="1">IFERROR(IF(0=LEN(ReferenceData!$I$285),"",ReferenceData!$I$285),"")</f>
        <v>7.4548734220000004</v>
      </c>
      <c r="J285">
        <f ca="1">IFERROR(IF(0=LEN(ReferenceData!$J$285),"",ReferenceData!$J$285),"")</f>
        <v>7.1214761119999999</v>
      </c>
      <c r="K285">
        <f ca="1">IFERROR(IF(0=LEN(ReferenceData!$K$285),"",ReferenceData!$K$285),"")</f>
        <v>6.9060291190000003</v>
      </c>
      <c r="L285">
        <f ca="1">IFERROR(IF(0=LEN(ReferenceData!$L$285),"",ReferenceData!$L$285),"")</f>
        <v>6.7781545200000002</v>
      </c>
      <c r="M285">
        <f ca="1">IFERROR(IF(0=LEN(ReferenceData!$M$285),"",ReferenceData!$M$285),"")</f>
        <v>7.8873912309999996</v>
      </c>
      <c r="N285">
        <f ca="1">IFERROR(IF(0=LEN(ReferenceData!$N$285),"",ReferenceData!$N$285),"")</f>
        <v>7.3261069579999996</v>
      </c>
      <c r="O285">
        <f ca="1">IFERROR(IF(0=LEN(ReferenceData!$O$285),"",ReferenceData!$O$285),"")</f>
        <v>7.4709191659999998</v>
      </c>
      <c r="P285">
        <f ca="1">IFERROR(IF(0=LEN(ReferenceData!$P$285),"",ReferenceData!$P$285),"")</f>
        <v>7.0524252110000001</v>
      </c>
      <c r="Q285">
        <f ca="1">IFERROR(IF(0=LEN(ReferenceData!$Q$285),"",ReferenceData!$Q$285),"")</f>
        <v>7.310546328</v>
      </c>
      <c r="R285">
        <f ca="1">IFERROR(IF(0=LEN(ReferenceData!$R$285),"",ReferenceData!$R$285),"")</f>
        <v>7.4428614020000001</v>
      </c>
      <c r="S285">
        <f ca="1">IFERROR(IF(0=LEN(ReferenceData!$S$285),"",ReferenceData!$S$285),"")</f>
        <v>7.1677560619999996</v>
      </c>
      <c r="T285">
        <f ca="1">IFERROR(IF(0=LEN(ReferenceData!$T$285),"",ReferenceData!$T$285),"")</f>
        <v>6.8962856840000004</v>
      </c>
      <c r="U285">
        <f ca="1">IFERROR(IF(0=LEN(ReferenceData!$U$285),"",ReferenceData!$U$285),"")</f>
        <v>7.9298195820000004</v>
      </c>
      <c r="V285">
        <f ca="1">IFERROR(IF(0=LEN(ReferenceData!$V$285),"",ReferenceData!$V$285),"")</f>
        <v>8.7545023999999998</v>
      </c>
      <c r="W285">
        <f ca="1">IFERROR(IF(0=LEN(ReferenceData!$W$285),"",ReferenceData!$W$285),"")</f>
        <v>9.0032455630000001</v>
      </c>
      <c r="X285">
        <f ca="1">IFERROR(IF(0=LEN(ReferenceData!$X$285),"",ReferenceData!$X$285),"")</f>
        <v>8.5048911579999995</v>
      </c>
      <c r="Y285">
        <f ca="1">IFERROR(IF(0=LEN(ReferenceData!$Y$285),"",ReferenceData!$Y$285),"")</f>
        <v>7.3412258719999999</v>
      </c>
      <c r="Z285">
        <f ca="1">IFERROR(IF(0=LEN(ReferenceData!$Z$285),"",ReferenceData!$Z$285),"")</f>
        <v>6.3863682590000002</v>
      </c>
      <c r="AA285">
        <f ca="1">IFERROR(IF(0=LEN(ReferenceData!$AA$285),"",ReferenceData!$AA$285),"")</f>
        <v>9.5252746599999991</v>
      </c>
      <c r="AB285">
        <f ca="1">IFERROR(IF(0=LEN(ReferenceData!$AB$285),"",ReferenceData!$AB$285),"")</f>
        <v>6.1449627759999998</v>
      </c>
      <c r="AC285">
        <f ca="1">IFERROR(IF(0=LEN(ReferenceData!$AC$285),"",ReferenceData!$AC$285),"")</f>
        <v>6.4686824920000001</v>
      </c>
      <c r="AD285">
        <f ca="1">IFERROR(IF(0=LEN(ReferenceData!$AD$285),"",ReferenceData!$AD$285),"")</f>
        <v>5.9819555830000004</v>
      </c>
      <c r="AE285">
        <f ca="1">IFERROR(IF(0=LEN(ReferenceData!$AE$285),"",ReferenceData!$AE$285),"")</f>
        <v>5.1713537670000003</v>
      </c>
      <c r="AF285">
        <f ca="1">IFERROR(IF(0=LEN(ReferenceData!$AF$285),"",ReferenceData!$AF$285),"")</f>
        <v>10.25239023</v>
      </c>
      <c r="AG285">
        <f ca="1">IFERROR(IF(0=LEN(ReferenceData!$AG$285),"",ReferenceData!$AG$285),"")</f>
        <v>3.7754561660000001</v>
      </c>
      <c r="AH285">
        <f ca="1">IFERROR(IF(0=LEN(ReferenceData!$AH$285),"",ReferenceData!$AH$285),"")</f>
        <v>5.8144257650000002</v>
      </c>
      <c r="AI285">
        <f ca="1">IFERROR(IF(0=LEN(ReferenceData!$AI$285),"",ReferenceData!$AI$285),"")</f>
        <v>-164.5897707</v>
      </c>
      <c r="AJ285" t="str">
        <f ca="1">IFERROR(IF(0=LEN(ReferenceData!$AJ$285),"",ReferenceData!$AJ$285),"")</f>
        <v/>
      </c>
      <c r="AK285" t="str">
        <f ca="1">IFERROR(IF(0=LEN(ReferenceData!$AK$285),"",ReferenceData!$AK$285),"")</f>
        <v/>
      </c>
      <c r="AL285" t="str">
        <f ca="1">IFERROR(IF(0=LEN(ReferenceData!$AL$285),"",ReferenceData!$AL$285),"")</f>
        <v/>
      </c>
      <c r="AM285" t="str">
        <f ca="1">IFERROR(IF(0=LEN(ReferenceData!$AM$285),"",ReferenceData!$AM$285),"")</f>
        <v/>
      </c>
      <c r="AN285" t="str">
        <f ca="1">IFERROR(IF(0=LEN(ReferenceData!$AN$285),"",ReferenceData!$AN$285),"")</f>
        <v/>
      </c>
      <c r="AO285" t="str">
        <f ca="1">IFERROR(IF(0=LEN(ReferenceData!$AO$285),"",ReferenceData!$AO$285),"")</f>
        <v/>
      </c>
      <c r="AP285" t="str">
        <f ca="1">IFERROR(IF(0=LEN(ReferenceData!$AP$285),"",ReferenceData!$AP$285),"")</f>
        <v/>
      </c>
      <c r="AQ285" t="str">
        <f ca="1">IFERROR(IF(0=LEN(ReferenceData!$AQ$285),"",ReferenceData!$AQ$285),"")</f>
        <v/>
      </c>
      <c r="AR285" t="str">
        <f ca="1">IFERROR(IF(0=LEN(ReferenceData!$AR$285),"",ReferenceData!$AR$285),"")</f>
        <v/>
      </c>
      <c r="AS285" t="str">
        <f ca="1">IFERROR(IF(0=LEN(ReferenceData!$AS$285),"",ReferenceData!$AS$285),"")</f>
        <v/>
      </c>
      <c r="AT285" t="str">
        <f ca="1">IFERROR(IF(0=LEN(ReferenceData!$AT$285),"",ReferenceData!$AT$285),"")</f>
        <v/>
      </c>
      <c r="AU285" t="str">
        <f ca="1">IFERROR(IF(0=LEN(ReferenceData!$AU$285),"",ReferenceData!$AU$285),"")</f>
        <v/>
      </c>
      <c r="AV285" t="str">
        <f ca="1">IFERROR(IF(0=LEN(ReferenceData!$AV$285),"",ReferenceData!$AV$285),"")</f>
        <v/>
      </c>
      <c r="AW285" t="str">
        <f ca="1">IFERROR(IF(0=LEN(ReferenceData!$AW$285),"",ReferenceData!$AW$285),"")</f>
        <v/>
      </c>
      <c r="AX285" t="str">
        <f ca="1">IFERROR(IF(0=LEN(ReferenceData!$AX$285),"",ReferenceData!$AX$285),"")</f>
        <v/>
      </c>
      <c r="AY285" t="str">
        <f ca="1">IFERROR(IF(0=LEN(ReferenceData!$AY$285),"",ReferenceData!$AY$285),"")</f>
        <v/>
      </c>
      <c r="AZ285" t="str">
        <f ca="1">IFERROR(IF(0=LEN(ReferenceData!$AZ$285),"",ReferenceData!$AZ$285),"")</f>
        <v/>
      </c>
      <c r="BA285" t="str">
        <f ca="1">IFERROR(IF(0=LEN(ReferenceData!$BA$285),"",ReferenceData!$BA$285),"")</f>
        <v/>
      </c>
      <c r="BB285" t="str">
        <f ca="1">IFERROR(IF(0=LEN(ReferenceData!$BB$285),"",ReferenceData!$BB$285),"")</f>
        <v/>
      </c>
      <c r="BC285" t="str">
        <f ca="1">IFERROR(IF(0=LEN(ReferenceData!$BC$285),"",ReferenceData!$BC$285),"")</f>
        <v/>
      </c>
      <c r="BD285" t="str">
        <f ca="1">IFERROR(IF(0=LEN(ReferenceData!$BD$285),"",ReferenceData!$BD$285),"")</f>
        <v/>
      </c>
      <c r="BE285" t="str">
        <f ca="1">IFERROR(IF(0=LEN(ReferenceData!$BE$285),"",ReferenceData!$BE$285),"")</f>
        <v/>
      </c>
      <c r="BF285" t="str">
        <f ca="1">IFERROR(IF(0=LEN(ReferenceData!$BF$285),"",ReferenceData!$BF$285),"")</f>
        <v/>
      </c>
      <c r="BG285" t="str">
        <f ca="1">IFERROR(IF(0=LEN(ReferenceData!$BG$285),"",ReferenceData!$BG$285),"")</f>
        <v/>
      </c>
      <c r="BH285" t="str">
        <f ca="1">IFERROR(IF(0=LEN(ReferenceData!$BH$285),"",ReferenceData!$BH$285),"")</f>
        <v/>
      </c>
      <c r="BI285" t="str">
        <f ca="1">IFERROR(IF(0=LEN(ReferenceData!$BI$285),"",ReferenceData!$BI$285),"")</f>
        <v/>
      </c>
      <c r="BJ285" t="str">
        <f ca="1">IFERROR(IF(0=LEN(ReferenceData!$BJ$285),"",ReferenceData!$BJ$285),"")</f>
        <v/>
      </c>
      <c r="BK285" t="str">
        <f ca="1">IFERROR(IF(0=LEN(ReferenceData!$BK$285),"",ReferenceData!$BK$285),"")</f>
        <v/>
      </c>
      <c r="BL285" t="str">
        <f ca="1">IFERROR(IF(0=LEN(ReferenceData!$BL$285),"",ReferenceData!$BL$285),"")</f>
        <v/>
      </c>
      <c r="BM285" t="str">
        <f ca="1">IFERROR(IF(0=LEN(ReferenceData!$BM$285),"",ReferenceData!$BM$285),"")</f>
        <v/>
      </c>
    </row>
    <row r="286" spans="1:65">
      <c r="A286" t="str">
        <f>IFERROR(IF(0=LEN(ReferenceData!$A$286),"",ReferenceData!$A$286),"")</f>
        <v xml:space="preserve">    Retail Properties of America I</v>
      </c>
      <c r="B286" t="str">
        <f>IFERROR(IF(0=LEN(ReferenceData!$B$286),"",ReferenceData!$B$286),"")</f>
        <v>RPAI US Equity</v>
      </c>
      <c r="C286" t="str">
        <f>IFERROR(IF(0=LEN(ReferenceData!$C$286),"",ReferenceData!$C$286),"")</f>
        <v>F1178</v>
      </c>
      <c r="D286" t="str">
        <f>IFERROR(IF(0=LEN(ReferenceData!$D$286),"",ReferenceData!$D$286),"")</f>
        <v>NET_DEBT_EBITDA_ADJUSTED</v>
      </c>
      <c r="E286" t="str">
        <f>IFERROR(IF(0=LEN(ReferenceData!$E$286),"",ReferenceData!$E$286),"")</f>
        <v>动态</v>
      </c>
      <c r="F286" t="str">
        <f ca="1">IFERROR(IF(0=LEN(ReferenceData!$F$286),"",ReferenceData!$F$286),"")</f>
        <v/>
      </c>
      <c r="G286">
        <f ca="1">IFERROR(IF(0=LEN(ReferenceData!$G$286),"",ReferenceData!$G$286),"")</f>
        <v>5.2132085650000004</v>
      </c>
      <c r="H286">
        <f ca="1">IFERROR(IF(0=LEN(ReferenceData!$H$286),"",ReferenceData!$H$286),"")</f>
        <v>4.9244882839999997</v>
      </c>
      <c r="I286">
        <f ca="1">IFERROR(IF(0=LEN(ReferenceData!$I$286),"",ReferenceData!$I$286),"")</f>
        <v>5.2196902410000003</v>
      </c>
      <c r="J286">
        <f ca="1">IFERROR(IF(0=LEN(ReferenceData!$J$286),"",ReferenceData!$J$286),"")</f>
        <v>5.5750295520000002</v>
      </c>
      <c r="K286">
        <f ca="1">IFERROR(IF(0=LEN(ReferenceData!$K$286),"",ReferenceData!$K$286),"")</f>
        <v>5.2427429959999996</v>
      </c>
      <c r="L286">
        <f ca="1">IFERROR(IF(0=LEN(ReferenceData!$L$286),"",ReferenceData!$L$286),"")</f>
        <v>5.2935880449999999</v>
      </c>
      <c r="M286">
        <f ca="1">IFERROR(IF(0=LEN(ReferenceData!$M$286),"",ReferenceData!$M$286),"")</f>
        <v>5.9851217859999997</v>
      </c>
      <c r="N286">
        <f ca="1">IFERROR(IF(0=LEN(ReferenceData!$N$286),"",ReferenceData!$N$286),"")</f>
        <v>5.7448722539999997</v>
      </c>
      <c r="O286">
        <f ca="1">IFERROR(IF(0=LEN(ReferenceData!$O$286),"",ReferenceData!$O$286),"")</f>
        <v>5.6288017720000001</v>
      </c>
      <c r="P286">
        <f ca="1">IFERROR(IF(0=LEN(ReferenceData!$P$286),"",ReferenceData!$P$286),"")</f>
        <v>5.7074039760000002</v>
      </c>
      <c r="Q286">
        <f ca="1">IFERROR(IF(0=LEN(ReferenceData!$Q$286),"",ReferenceData!$Q$286),"")</f>
        <v>6.2258585550000003</v>
      </c>
      <c r="R286">
        <f ca="1">IFERROR(IF(0=LEN(ReferenceData!$R$286),"",ReferenceData!$R$286),"")</f>
        <v>6.338407707</v>
      </c>
      <c r="S286">
        <f ca="1">IFERROR(IF(0=LEN(ReferenceData!$S$286),"",ReferenceData!$S$286),"")</f>
        <v>5.6860117600000004</v>
      </c>
      <c r="T286">
        <f ca="1">IFERROR(IF(0=LEN(ReferenceData!$T$286),"",ReferenceData!$T$286),"")</f>
        <v>5.9839578070000004</v>
      </c>
      <c r="U286">
        <f ca="1">IFERROR(IF(0=LEN(ReferenceData!$U$286),"",ReferenceData!$U$286),"")</f>
        <v>6.8199336810000002</v>
      </c>
      <c r="V286">
        <f ca="1">IFERROR(IF(0=LEN(ReferenceData!$V$286),"",ReferenceData!$V$286),"")</f>
        <v>6.3924103250000002</v>
      </c>
      <c r="W286">
        <f ca="1">IFERROR(IF(0=LEN(ReferenceData!$W$286),"",ReferenceData!$W$286),"")</f>
        <v>6.5670417820000004</v>
      </c>
      <c r="X286">
        <f ca="1">IFERROR(IF(0=LEN(ReferenceData!$X$286),"",ReferenceData!$X$286),"")</f>
        <v>6.825322839</v>
      </c>
      <c r="Y286">
        <f ca="1">IFERROR(IF(0=LEN(ReferenceData!$Y$286),"",ReferenceData!$Y$286),"")</f>
        <v>6.4339334319999999</v>
      </c>
      <c r="Z286">
        <f ca="1">IFERROR(IF(0=LEN(ReferenceData!$Z$286),"",ReferenceData!$Z$286),"")</f>
        <v>6.6993754279999997</v>
      </c>
      <c r="AA286">
        <f ca="1">IFERROR(IF(0=LEN(ReferenceData!$AA$286),"",ReferenceData!$AA$286),"")</f>
        <v>6.5510935750000003</v>
      </c>
      <c r="AB286">
        <f ca="1">IFERROR(IF(0=LEN(ReferenceData!$AB$286),"",ReferenceData!$AB$286),"")</f>
        <v>7.5027453189999997</v>
      </c>
      <c r="AC286">
        <f ca="1">IFERROR(IF(0=LEN(ReferenceData!$AC$286),"",ReferenceData!$AC$286),"")</f>
        <v>7.9096900149999998</v>
      </c>
      <c r="AD286">
        <f ca="1">IFERROR(IF(0=LEN(ReferenceData!$AD$286),"",ReferenceData!$AD$286),"")</f>
        <v>8.666995193</v>
      </c>
      <c r="AE286">
        <f ca="1">IFERROR(IF(0=LEN(ReferenceData!$AE$286),"",ReferenceData!$AE$286),"")</f>
        <v>9.4555655430000005</v>
      </c>
      <c r="AF286">
        <f ca="1">IFERROR(IF(0=LEN(ReferenceData!$AF$286),"",ReferenceData!$AF$286),"")</f>
        <v>8.9343352140000007</v>
      </c>
      <c r="AG286">
        <f ca="1">IFERROR(IF(0=LEN(ReferenceData!$AG$286),"",ReferenceData!$AG$286),"")</f>
        <v>9.1921234799999993</v>
      </c>
      <c r="AH286" t="str">
        <f ca="1">IFERROR(IF(0=LEN(ReferenceData!$AH$286),"",ReferenceData!$AH$286),"")</f>
        <v/>
      </c>
      <c r="AI286" t="str">
        <f ca="1">IFERROR(IF(0=LEN(ReferenceData!$AI$286),"",ReferenceData!$AI$286),"")</f>
        <v/>
      </c>
      <c r="AJ286" t="str">
        <f ca="1">IFERROR(IF(0=LEN(ReferenceData!$AJ$286),"",ReferenceData!$AJ$286),"")</f>
        <v/>
      </c>
      <c r="AK286" t="str">
        <f ca="1">IFERROR(IF(0=LEN(ReferenceData!$AK$286),"",ReferenceData!$AK$286),"")</f>
        <v/>
      </c>
      <c r="AL286" t="str">
        <f ca="1">IFERROR(IF(0=LEN(ReferenceData!$AL$286),"",ReferenceData!$AL$286),"")</f>
        <v/>
      </c>
      <c r="AM286" t="str">
        <f ca="1">IFERROR(IF(0=LEN(ReferenceData!$AM$286),"",ReferenceData!$AM$286),"")</f>
        <v/>
      </c>
      <c r="AN286" t="str">
        <f ca="1">IFERROR(IF(0=LEN(ReferenceData!$AN$286),"",ReferenceData!$AN$286),"")</f>
        <v/>
      </c>
      <c r="AO286" t="str">
        <f ca="1">IFERROR(IF(0=LEN(ReferenceData!$AO$286),"",ReferenceData!$AO$286),"")</f>
        <v/>
      </c>
      <c r="AP286" t="str">
        <f ca="1">IFERROR(IF(0=LEN(ReferenceData!$AP$286),"",ReferenceData!$AP$286),"")</f>
        <v/>
      </c>
      <c r="AQ286" t="str">
        <f ca="1">IFERROR(IF(0=LEN(ReferenceData!$AQ$286),"",ReferenceData!$AQ$286),"")</f>
        <v/>
      </c>
      <c r="AR286" t="str">
        <f ca="1">IFERROR(IF(0=LEN(ReferenceData!$AR$286),"",ReferenceData!$AR$286),"")</f>
        <v/>
      </c>
      <c r="AS286" t="str">
        <f ca="1">IFERROR(IF(0=LEN(ReferenceData!$AS$286),"",ReferenceData!$AS$286),"")</f>
        <v/>
      </c>
      <c r="AT286" t="str">
        <f ca="1">IFERROR(IF(0=LEN(ReferenceData!$AT$286),"",ReferenceData!$AT$286),"")</f>
        <v/>
      </c>
      <c r="AU286" t="str">
        <f ca="1">IFERROR(IF(0=LEN(ReferenceData!$AU$286),"",ReferenceData!$AU$286),"")</f>
        <v/>
      </c>
      <c r="AV286" t="str">
        <f ca="1">IFERROR(IF(0=LEN(ReferenceData!$AV$286),"",ReferenceData!$AV$286),"")</f>
        <v/>
      </c>
      <c r="AW286" t="str">
        <f ca="1">IFERROR(IF(0=LEN(ReferenceData!$AW$286),"",ReferenceData!$AW$286),"")</f>
        <v/>
      </c>
      <c r="AX286" t="str">
        <f ca="1">IFERROR(IF(0=LEN(ReferenceData!$AX$286),"",ReferenceData!$AX$286),"")</f>
        <v/>
      </c>
      <c r="AY286" t="str">
        <f ca="1">IFERROR(IF(0=LEN(ReferenceData!$AY$286),"",ReferenceData!$AY$286),"")</f>
        <v/>
      </c>
      <c r="AZ286" t="str">
        <f ca="1">IFERROR(IF(0=LEN(ReferenceData!$AZ$286),"",ReferenceData!$AZ$286),"")</f>
        <v/>
      </c>
      <c r="BA286" t="str">
        <f ca="1">IFERROR(IF(0=LEN(ReferenceData!$BA$286),"",ReferenceData!$BA$286),"")</f>
        <v/>
      </c>
      <c r="BB286" t="str">
        <f ca="1">IFERROR(IF(0=LEN(ReferenceData!$BB$286),"",ReferenceData!$BB$286),"")</f>
        <v/>
      </c>
      <c r="BC286" t="str">
        <f ca="1">IFERROR(IF(0=LEN(ReferenceData!$BC$286),"",ReferenceData!$BC$286),"")</f>
        <v/>
      </c>
      <c r="BD286" t="str">
        <f ca="1">IFERROR(IF(0=LEN(ReferenceData!$BD$286),"",ReferenceData!$BD$286),"")</f>
        <v/>
      </c>
      <c r="BE286" t="str">
        <f ca="1">IFERROR(IF(0=LEN(ReferenceData!$BE$286),"",ReferenceData!$BE$286),"")</f>
        <v/>
      </c>
      <c r="BF286" t="str">
        <f ca="1">IFERROR(IF(0=LEN(ReferenceData!$BF$286),"",ReferenceData!$BF$286),"")</f>
        <v/>
      </c>
      <c r="BG286" t="str">
        <f ca="1">IFERROR(IF(0=LEN(ReferenceData!$BG$286),"",ReferenceData!$BG$286),"")</f>
        <v/>
      </c>
      <c r="BH286" t="str">
        <f ca="1">IFERROR(IF(0=LEN(ReferenceData!$BH$286),"",ReferenceData!$BH$286),"")</f>
        <v/>
      </c>
      <c r="BI286" t="str">
        <f ca="1">IFERROR(IF(0=LEN(ReferenceData!$BI$286),"",ReferenceData!$BI$286),"")</f>
        <v/>
      </c>
      <c r="BJ286" t="str">
        <f ca="1">IFERROR(IF(0=LEN(ReferenceData!$BJ$286),"",ReferenceData!$BJ$286),"")</f>
        <v/>
      </c>
      <c r="BK286" t="str">
        <f ca="1">IFERROR(IF(0=LEN(ReferenceData!$BK$286),"",ReferenceData!$BK$286),"")</f>
        <v/>
      </c>
      <c r="BL286" t="str">
        <f ca="1">IFERROR(IF(0=LEN(ReferenceData!$BL$286),"",ReferenceData!$BL$286),"")</f>
        <v/>
      </c>
      <c r="BM286" t="str">
        <f ca="1">IFERROR(IF(0=LEN(ReferenceData!$BM$286),"",ReferenceData!$BM$286),"")</f>
        <v/>
      </c>
    </row>
    <row r="287" spans="1:65">
      <c r="A287" t="str">
        <f>IFERROR(IF(0=LEN(ReferenceData!$A$287),"",ReferenceData!$A$287),"")</f>
        <v xml:space="preserve">    Simon Property Group Inc</v>
      </c>
      <c r="B287" t="str">
        <f>IFERROR(IF(0=LEN(ReferenceData!$B$287),"",ReferenceData!$B$287),"")</f>
        <v>SPG US Equity</v>
      </c>
      <c r="C287" t="str">
        <f>IFERROR(IF(0=LEN(ReferenceData!$C$287),"",ReferenceData!$C$287),"")</f>
        <v>F1178</v>
      </c>
      <c r="D287" t="str">
        <f>IFERROR(IF(0=LEN(ReferenceData!$D$287),"",ReferenceData!$D$287),"")</f>
        <v>NET_DEBT_EBITDA_ADJUSTED</v>
      </c>
      <c r="E287" t="str">
        <f>IFERROR(IF(0=LEN(ReferenceData!$E$287),"",ReferenceData!$E$287),"")</f>
        <v>动态</v>
      </c>
      <c r="F287" t="str">
        <f ca="1">IFERROR(IF(0=LEN(ReferenceData!$F$287),"",ReferenceData!$F$287),"")</f>
        <v/>
      </c>
      <c r="G287">
        <f ca="1">IFERROR(IF(0=LEN(ReferenceData!$G$287),"",ReferenceData!$G$287),"")</f>
        <v>5.563559337</v>
      </c>
      <c r="H287">
        <f ca="1">IFERROR(IF(0=LEN(ReferenceData!$H$287),"",ReferenceData!$H$287),"")</f>
        <v>5.5565359670000003</v>
      </c>
      <c r="I287">
        <f ca="1">IFERROR(IF(0=LEN(ReferenceData!$I$287),"",ReferenceData!$I$287),"")</f>
        <v>5.593102902</v>
      </c>
      <c r="J287">
        <f ca="1">IFERROR(IF(0=LEN(ReferenceData!$J$287),"",ReferenceData!$J$287),"")</f>
        <v>5.5773514569999998</v>
      </c>
      <c r="K287">
        <f ca="1">IFERROR(IF(0=LEN(ReferenceData!$K$287),"",ReferenceData!$K$287),"")</f>
        <v>5.5367475349999999</v>
      </c>
      <c r="L287">
        <f ca="1">IFERROR(IF(0=LEN(ReferenceData!$L$287),"",ReferenceData!$L$287),"")</f>
        <v>5.5373843249999997</v>
      </c>
      <c r="M287">
        <f ca="1">IFERROR(IF(0=LEN(ReferenceData!$M$287),"",ReferenceData!$M$287),"")</f>
        <v>5.5402966009999997</v>
      </c>
      <c r="N287">
        <f ca="1">IFERROR(IF(0=LEN(ReferenceData!$N$287),"",ReferenceData!$N$287),"")</f>
        <v>5.5303135560000003</v>
      </c>
      <c r="O287">
        <f ca="1">IFERROR(IF(0=LEN(ReferenceData!$O$287),"",ReferenceData!$O$287),"")</f>
        <v>5.55656719</v>
      </c>
      <c r="P287">
        <f ca="1">IFERROR(IF(0=LEN(ReferenceData!$P$287),"",ReferenceData!$P$287),"")</f>
        <v>5.6591279009999997</v>
      </c>
      <c r="Q287">
        <f ca="1">IFERROR(IF(0=LEN(ReferenceData!$Q$287),"",ReferenceData!$Q$287),"")</f>
        <v>5.6671164139999997</v>
      </c>
      <c r="R287">
        <f ca="1">IFERROR(IF(0=LEN(ReferenceData!$R$287),"",ReferenceData!$R$287),"")</f>
        <v>5.666354922</v>
      </c>
      <c r="S287">
        <f ca="1">IFERROR(IF(0=LEN(ReferenceData!$S$287),"",ReferenceData!$S$287),"")</f>
        <v>5.5134900059999996</v>
      </c>
      <c r="T287">
        <f ca="1">IFERROR(IF(0=LEN(ReferenceData!$T$287),"",ReferenceData!$T$287),"")</f>
        <v>5.5502523899999998</v>
      </c>
      <c r="U287">
        <f ca="1">IFERROR(IF(0=LEN(ReferenceData!$U$287),"",ReferenceData!$U$287),"")</f>
        <v>5.5453409420000002</v>
      </c>
      <c r="V287">
        <f ca="1">IFERROR(IF(0=LEN(ReferenceData!$V$287),"",ReferenceData!$V$287),"")</f>
        <v>6.1786468540000001</v>
      </c>
      <c r="W287">
        <f ca="1">IFERROR(IF(0=LEN(ReferenceData!$W$287),"",ReferenceData!$W$287),"")</f>
        <v>6.114827536</v>
      </c>
      <c r="X287">
        <f ca="1">IFERROR(IF(0=LEN(ReferenceData!$X$287),"",ReferenceData!$X$287),"")</f>
        <v>6.0362377990000002</v>
      </c>
      <c r="Y287">
        <f ca="1">IFERROR(IF(0=LEN(ReferenceData!$Y$287),"",ReferenceData!$Y$287),"")</f>
        <v>6.0284519860000003</v>
      </c>
      <c r="Z287">
        <f ca="1">IFERROR(IF(0=LEN(ReferenceData!$Z$287),"",ReferenceData!$Z$287),"")</f>
        <v>6.0626239599999998</v>
      </c>
      <c r="AA287">
        <f ca="1">IFERROR(IF(0=LEN(ReferenceData!$AA$287),"",ReferenceData!$AA$287),"")</f>
        <v>6.2263182720000003</v>
      </c>
      <c r="AB287">
        <f ca="1">IFERROR(IF(0=LEN(ReferenceData!$AB$287),"",ReferenceData!$AB$287),"")</f>
        <v>6.5510560309999999</v>
      </c>
      <c r="AC287">
        <f ca="1">IFERROR(IF(0=LEN(ReferenceData!$AC$287),"",ReferenceData!$AC$287),"")</f>
        <v>6.717882328</v>
      </c>
      <c r="AD287">
        <f ca="1">IFERROR(IF(0=LEN(ReferenceData!$AD$287),"",ReferenceData!$AD$287),"")</f>
        <v>6.9788044410000003</v>
      </c>
      <c r="AE287">
        <f ca="1">IFERROR(IF(0=LEN(ReferenceData!$AE$287),"",ReferenceData!$AE$287),"")</f>
        <v>5.7844784159999998</v>
      </c>
      <c r="AF287">
        <f ca="1">IFERROR(IF(0=LEN(ReferenceData!$AF$287),"",ReferenceData!$AF$287),"")</f>
        <v>5.7568915499999997</v>
      </c>
      <c r="AG287">
        <f ca="1">IFERROR(IF(0=LEN(ReferenceData!$AG$287),"",ReferenceData!$AG$287),"")</f>
        <v>5.4798755960000003</v>
      </c>
      <c r="AH287">
        <f ca="1">IFERROR(IF(0=LEN(ReferenceData!$AH$287),"",ReferenceData!$AH$287),"")</f>
        <v>5.7442127709999999</v>
      </c>
      <c r="AI287">
        <f ca="1">IFERROR(IF(0=LEN(ReferenceData!$AI$287),"",ReferenceData!$AI$287),"")</f>
        <v>5.9181069769999999</v>
      </c>
      <c r="AJ287">
        <f ca="1">IFERROR(IF(0=LEN(ReferenceData!$AJ$287),"",ReferenceData!$AJ$287),"")</f>
        <v>5.9792043980000003</v>
      </c>
      <c r="AK287">
        <f ca="1">IFERROR(IF(0=LEN(ReferenceData!$AK$287),"",ReferenceData!$AK$287),"")</f>
        <v>5.4961054730000001</v>
      </c>
      <c r="AL287">
        <f ca="1">IFERROR(IF(0=LEN(ReferenceData!$AL$287),"",ReferenceData!$AL$287),"")</f>
        <v>5.4878883429999998</v>
      </c>
      <c r="AM287">
        <f ca="1">IFERROR(IF(0=LEN(ReferenceData!$AM$287),"",ReferenceData!$AM$287),"")</f>
        <v>5.6140759549999997</v>
      </c>
      <c r="AN287" t="str">
        <f ca="1">IFERROR(IF(0=LEN(ReferenceData!$AN$287),"",ReferenceData!$AN$287),"")</f>
        <v/>
      </c>
      <c r="AO287" t="str">
        <f ca="1">IFERROR(IF(0=LEN(ReferenceData!$AO$287),"",ReferenceData!$AO$287),"")</f>
        <v/>
      </c>
      <c r="AP287" t="str">
        <f ca="1">IFERROR(IF(0=LEN(ReferenceData!$AP$287),"",ReferenceData!$AP$287),"")</f>
        <v/>
      </c>
      <c r="AQ287" t="str">
        <f ca="1">IFERROR(IF(0=LEN(ReferenceData!$AQ$287),"",ReferenceData!$AQ$287),"")</f>
        <v/>
      </c>
      <c r="AR287" t="str">
        <f ca="1">IFERROR(IF(0=LEN(ReferenceData!$AR$287),"",ReferenceData!$AR$287),"")</f>
        <v/>
      </c>
      <c r="AS287" t="str">
        <f ca="1">IFERROR(IF(0=LEN(ReferenceData!$AS$287),"",ReferenceData!$AS$287),"")</f>
        <v/>
      </c>
      <c r="AT287" t="str">
        <f ca="1">IFERROR(IF(0=LEN(ReferenceData!$AT$287),"",ReferenceData!$AT$287),"")</f>
        <v/>
      </c>
      <c r="AU287" t="str">
        <f ca="1">IFERROR(IF(0=LEN(ReferenceData!$AU$287),"",ReferenceData!$AU$287),"")</f>
        <v/>
      </c>
      <c r="AV287" t="str">
        <f ca="1">IFERROR(IF(0=LEN(ReferenceData!$AV$287),"",ReferenceData!$AV$287),"")</f>
        <v/>
      </c>
      <c r="AW287" t="str">
        <f ca="1">IFERROR(IF(0=LEN(ReferenceData!$AW$287),"",ReferenceData!$AW$287),"")</f>
        <v/>
      </c>
      <c r="AX287" t="str">
        <f ca="1">IFERROR(IF(0=LEN(ReferenceData!$AX$287),"",ReferenceData!$AX$287),"")</f>
        <v/>
      </c>
      <c r="AY287" t="str">
        <f ca="1">IFERROR(IF(0=LEN(ReferenceData!$AY$287),"",ReferenceData!$AY$287),"")</f>
        <v/>
      </c>
      <c r="AZ287" t="str">
        <f ca="1">IFERROR(IF(0=LEN(ReferenceData!$AZ$287),"",ReferenceData!$AZ$287),"")</f>
        <v/>
      </c>
      <c r="BA287" t="str">
        <f ca="1">IFERROR(IF(0=LEN(ReferenceData!$BA$287),"",ReferenceData!$BA$287),"")</f>
        <v/>
      </c>
      <c r="BB287" t="str">
        <f ca="1">IFERROR(IF(0=LEN(ReferenceData!$BB$287),"",ReferenceData!$BB$287),"")</f>
        <v/>
      </c>
      <c r="BC287" t="str">
        <f ca="1">IFERROR(IF(0=LEN(ReferenceData!$BC$287),"",ReferenceData!$BC$287),"")</f>
        <v/>
      </c>
      <c r="BD287" t="str">
        <f ca="1">IFERROR(IF(0=LEN(ReferenceData!$BD$287),"",ReferenceData!$BD$287),"")</f>
        <v/>
      </c>
      <c r="BE287" t="str">
        <f ca="1">IFERROR(IF(0=LEN(ReferenceData!$BE$287),"",ReferenceData!$BE$287),"")</f>
        <v/>
      </c>
      <c r="BF287" t="str">
        <f ca="1">IFERROR(IF(0=LEN(ReferenceData!$BF$287),"",ReferenceData!$BF$287),"")</f>
        <v/>
      </c>
      <c r="BG287" t="str">
        <f ca="1">IFERROR(IF(0=LEN(ReferenceData!$BG$287),"",ReferenceData!$BG$287),"")</f>
        <v/>
      </c>
      <c r="BH287" t="str">
        <f ca="1">IFERROR(IF(0=LEN(ReferenceData!$BH$287),"",ReferenceData!$BH$287),"")</f>
        <v/>
      </c>
      <c r="BI287" t="str">
        <f ca="1">IFERROR(IF(0=LEN(ReferenceData!$BI$287),"",ReferenceData!$BI$287),"")</f>
        <v/>
      </c>
      <c r="BJ287" t="str">
        <f ca="1">IFERROR(IF(0=LEN(ReferenceData!$BJ$287),"",ReferenceData!$BJ$287),"")</f>
        <v/>
      </c>
      <c r="BK287" t="str">
        <f ca="1">IFERROR(IF(0=LEN(ReferenceData!$BK$287),"",ReferenceData!$BK$287),"")</f>
        <v/>
      </c>
      <c r="BL287" t="str">
        <f ca="1">IFERROR(IF(0=LEN(ReferenceData!$BL$287),"",ReferenceData!$BL$287),"")</f>
        <v/>
      </c>
      <c r="BM287" t="str">
        <f ca="1">IFERROR(IF(0=LEN(ReferenceData!$BM$287),"",ReferenceData!$BM$287),"")</f>
        <v/>
      </c>
    </row>
    <row r="288" spans="1:65">
      <c r="A288" t="str">
        <f>IFERROR(IF(0=LEN(ReferenceData!$A$288),"",ReferenceData!$A$288),"")</f>
        <v xml:space="preserve">    Tanger Factory Outlet Centers</v>
      </c>
      <c r="B288" t="str">
        <f>IFERROR(IF(0=LEN(ReferenceData!$B$288),"",ReferenceData!$B$288),"")</f>
        <v>SKT US Equity</v>
      </c>
      <c r="C288" t="str">
        <f>IFERROR(IF(0=LEN(ReferenceData!$C$288),"",ReferenceData!$C$288),"")</f>
        <v>F1178</v>
      </c>
      <c r="D288" t="str">
        <f>IFERROR(IF(0=LEN(ReferenceData!$D$288),"",ReferenceData!$D$288),"")</f>
        <v>NET_DEBT_EBITDA_ADJUSTED</v>
      </c>
      <c r="E288" t="str">
        <f>IFERROR(IF(0=LEN(ReferenceData!$E$288),"",ReferenceData!$E$288),"")</f>
        <v>动态</v>
      </c>
      <c r="F288" t="str">
        <f ca="1">IFERROR(IF(0=LEN(ReferenceData!$F$288),"",ReferenceData!$F$288),"")</f>
        <v/>
      </c>
      <c r="G288">
        <f ca="1">IFERROR(IF(0=LEN(ReferenceData!$G$288),"",ReferenceData!$G$288),"")</f>
        <v>6.2429846119999999</v>
      </c>
      <c r="H288">
        <f ca="1">IFERROR(IF(0=LEN(ReferenceData!$H$288),"",ReferenceData!$H$288),"")</f>
        <v>6.3749395079999998</v>
      </c>
      <c r="I288">
        <f ca="1">IFERROR(IF(0=LEN(ReferenceData!$I$288),"",ReferenceData!$I$288),"")</f>
        <v>6.2884521910000002</v>
      </c>
      <c r="J288">
        <f ca="1">IFERROR(IF(0=LEN(ReferenceData!$J$288),"",ReferenceData!$J$288),"")</f>
        <v>6.1713139559999997</v>
      </c>
      <c r="K288">
        <f ca="1">IFERROR(IF(0=LEN(ReferenceData!$K$288),"",ReferenceData!$K$288),"")</f>
        <v>6.2844348429999997</v>
      </c>
      <c r="L288">
        <f ca="1">IFERROR(IF(0=LEN(ReferenceData!$L$288),"",ReferenceData!$L$288),"")</f>
        <v>6.5267776529999999</v>
      </c>
      <c r="M288">
        <f ca="1">IFERROR(IF(0=LEN(ReferenceData!$M$288),"",ReferenceData!$M$288),"")</f>
        <v>6.1467345939999998</v>
      </c>
      <c r="N288">
        <f ca="1">IFERROR(IF(0=LEN(ReferenceData!$N$288),"",ReferenceData!$N$288),"")</f>
        <v>5.7609362769999999</v>
      </c>
      <c r="O288">
        <f ca="1">IFERROR(IF(0=LEN(ReferenceData!$O$288),"",ReferenceData!$O$288),"")</f>
        <v>6.1609681280000004</v>
      </c>
      <c r="P288">
        <f ca="1">IFERROR(IF(0=LEN(ReferenceData!$P$288),"",ReferenceData!$P$288),"")</f>
        <v>6.2184962390000003</v>
      </c>
      <c r="Q288">
        <f ca="1">IFERROR(IF(0=LEN(ReferenceData!$Q$288),"",ReferenceData!$Q$288),"")</f>
        <v>6.2372332850000003</v>
      </c>
      <c r="R288">
        <f ca="1">IFERROR(IF(0=LEN(ReferenceData!$R$288),"",ReferenceData!$R$288),"")</f>
        <v>6.1124716479999996</v>
      </c>
      <c r="S288">
        <f ca="1">IFERROR(IF(0=LEN(ReferenceData!$S$288),"",ReferenceData!$S$288),"")</f>
        <v>6.0877316529999996</v>
      </c>
      <c r="T288">
        <f ca="1">IFERROR(IF(0=LEN(ReferenceData!$T$288),"",ReferenceData!$T$288),"")</f>
        <v>6.1847406549999997</v>
      </c>
      <c r="U288">
        <f ca="1">IFERROR(IF(0=LEN(ReferenceData!$U$288),"",ReferenceData!$U$288),"")</f>
        <v>6.0235422879999998</v>
      </c>
      <c r="V288">
        <f ca="1">IFERROR(IF(0=LEN(ReferenceData!$V$288),"",ReferenceData!$V$288),"")</f>
        <v>5.9616402060000002</v>
      </c>
      <c r="W288">
        <f ca="1">IFERROR(IF(0=LEN(ReferenceData!$W$288),"",ReferenceData!$W$288),"")</f>
        <v>5.9159077489999996</v>
      </c>
      <c r="X288">
        <f ca="1">IFERROR(IF(0=LEN(ReferenceData!$X$288),"",ReferenceData!$X$288),"")</f>
        <v>6.1048653650000002</v>
      </c>
      <c r="Y288">
        <f ca="1">IFERROR(IF(0=LEN(ReferenceData!$Y$288),"",ReferenceData!$Y$288),"")</f>
        <v>5.296927814</v>
      </c>
      <c r="Z288">
        <f ca="1">IFERROR(IF(0=LEN(ReferenceData!$Z$288),"",ReferenceData!$Z$288),"")</f>
        <v>5.178367519</v>
      </c>
      <c r="AA288">
        <f ca="1">IFERROR(IF(0=LEN(ReferenceData!$AA$288),"",ReferenceData!$AA$288),"")</f>
        <v>5.2320752449999999</v>
      </c>
      <c r="AB288">
        <f ca="1">IFERROR(IF(0=LEN(ReferenceData!$AB$288),"",ReferenceData!$AB$288),"")</f>
        <v>5.1068784039999997</v>
      </c>
      <c r="AC288">
        <f ca="1">IFERROR(IF(0=LEN(ReferenceData!$AC$288),"",ReferenceData!$AC$288),"")</f>
        <v>5.2361714309999998</v>
      </c>
      <c r="AD288">
        <f ca="1">IFERROR(IF(0=LEN(ReferenceData!$AD$288),"",ReferenceData!$AD$288),"")</f>
        <v>5.4042130119999996</v>
      </c>
      <c r="AE288">
        <f ca="1">IFERROR(IF(0=LEN(ReferenceData!$AE$288),"",ReferenceData!$AE$288),"")</f>
        <v>5.5840638489999996</v>
      </c>
      <c r="AF288">
        <f ca="1">IFERROR(IF(0=LEN(ReferenceData!$AF$288),"",ReferenceData!$AF$288),"")</f>
        <v>5.7506166289999996</v>
      </c>
      <c r="AG288">
        <f ca="1">IFERROR(IF(0=LEN(ReferenceData!$AG$288),"",ReferenceData!$AG$288),"")</f>
        <v>5.4636686430000001</v>
      </c>
      <c r="AH288">
        <f ca="1">IFERROR(IF(0=LEN(ReferenceData!$AH$288),"",ReferenceData!$AH$288),"")</f>
        <v>4.6951437499999997</v>
      </c>
      <c r="AI288">
        <f ca="1">IFERROR(IF(0=LEN(ReferenceData!$AI$288),"",ReferenceData!$AI$288),"")</f>
        <v>4.6709359670000001</v>
      </c>
      <c r="AJ288">
        <f ca="1">IFERROR(IF(0=LEN(ReferenceData!$AJ$288),"",ReferenceData!$AJ$288),"")</f>
        <v>4.0436823310000003</v>
      </c>
      <c r="AK288">
        <f ca="1">IFERROR(IF(0=LEN(ReferenceData!$AK$288),"",ReferenceData!$AK$288),"")</f>
        <v>4.2095838270000003</v>
      </c>
      <c r="AL288">
        <f ca="1">IFERROR(IF(0=LEN(ReferenceData!$AL$288),"",ReferenceData!$AL$288),"")</f>
        <v>3.9959510960000002</v>
      </c>
      <c r="AM288">
        <f ca="1">IFERROR(IF(0=LEN(ReferenceData!$AM$288),"",ReferenceData!$AM$288),"")</f>
        <v>3.8658589299999999</v>
      </c>
      <c r="AN288" t="str">
        <f ca="1">IFERROR(IF(0=LEN(ReferenceData!$AN$288),"",ReferenceData!$AN$288),"")</f>
        <v/>
      </c>
      <c r="AO288" t="str">
        <f ca="1">IFERROR(IF(0=LEN(ReferenceData!$AO$288),"",ReferenceData!$AO$288),"")</f>
        <v/>
      </c>
      <c r="AP288" t="str">
        <f ca="1">IFERROR(IF(0=LEN(ReferenceData!$AP$288),"",ReferenceData!$AP$288),"")</f>
        <v/>
      </c>
      <c r="AQ288" t="str">
        <f ca="1">IFERROR(IF(0=LEN(ReferenceData!$AQ$288),"",ReferenceData!$AQ$288),"")</f>
        <v/>
      </c>
      <c r="AR288" t="str">
        <f ca="1">IFERROR(IF(0=LEN(ReferenceData!$AR$288),"",ReferenceData!$AR$288),"")</f>
        <v/>
      </c>
      <c r="AS288" t="str">
        <f ca="1">IFERROR(IF(0=LEN(ReferenceData!$AS$288),"",ReferenceData!$AS$288),"")</f>
        <v/>
      </c>
      <c r="AT288" t="str">
        <f ca="1">IFERROR(IF(0=LEN(ReferenceData!$AT$288),"",ReferenceData!$AT$288),"")</f>
        <v/>
      </c>
      <c r="AU288" t="str">
        <f ca="1">IFERROR(IF(0=LEN(ReferenceData!$AU$288),"",ReferenceData!$AU$288),"")</f>
        <v/>
      </c>
      <c r="AV288" t="str">
        <f ca="1">IFERROR(IF(0=LEN(ReferenceData!$AV$288),"",ReferenceData!$AV$288),"")</f>
        <v/>
      </c>
      <c r="AW288" t="str">
        <f ca="1">IFERROR(IF(0=LEN(ReferenceData!$AW$288),"",ReferenceData!$AW$288),"")</f>
        <v/>
      </c>
      <c r="AX288" t="str">
        <f ca="1">IFERROR(IF(0=LEN(ReferenceData!$AX$288),"",ReferenceData!$AX$288),"")</f>
        <v/>
      </c>
      <c r="AY288" t="str">
        <f ca="1">IFERROR(IF(0=LEN(ReferenceData!$AY$288),"",ReferenceData!$AY$288),"")</f>
        <v/>
      </c>
      <c r="AZ288" t="str">
        <f ca="1">IFERROR(IF(0=LEN(ReferenceData!$AZ$288),"",ReferenceData!$AZ$288),"")</f>
        <v/>
      </c>
      <c r="BA288" t="str">
        <f ca="1">IFERROR(IF(0=LEN(ReferenceData!$BA$288),"",ReferenceData!$BA$288),"")</f>
        <v/>
      </c>
      <c r="BB288" t="str">
        <f ca="1">IFERROR(IF(0=LEN(ReferenceData!$BB$288),"",ReferenceData!$BB$288),"")</f>
        <v/>
      </c>
      <c r="BC288" t="str">
        <f ca="1">IFERROR(IF(0=LEN(ReferenceData!$BC$288),"",ReferenceData!$BC$288),"")</f>
        <v/>
      </c>
      <c r="BD288" t="str">
        <f ca="1">IFERROR(IF(0=LEN(ReferenceData!$BD$288),"",ReferenceData!$BD$288),"")</f>
        <v/>
      </c>
      <c r="BE288" t="str">
        <f ca="1">IFERROR(IF(0=LEN(ReferenceData!$BE$288),"",ReferenceData!$BE$288),"")</f>
        <v/>
      </c>
      <c r="BF288" t="str">
        <f ca="1">IFERROR(IF(0=LEN(ReferenceData!$BF$288),"",ReferenceData!$BF$288),"")</f>
        <v/>
      </c>
      <c r="BG288" t="str">
        <f ca="1">IFERROR(IF(0=LEN(ReferenceData!$BG$288),"",ReferenceData!$BG$288),"")</f>
        <v/>
      </c>
      <c r="BH288" t="str">
        <f ca="1">IFERROR(IF(0=LEN(ReferenceData!$BH$288),"",ReferenceData!$BH$288),"")</f>
        <v/>
      </c>
      <c r="BI288" t="str">
        <f ca="1">IFERROR(IF(0=LEN(ReferenceData!$BI$288),"",ReferenceData!$BI$288),"")</f>
        <v/>
      </c>
      <c r="BJ288" t="str">
        <f ca="1">IFERROR(IF(0=LEN(ReferenceData!$BJ$288),"",ReferenceData!$BJ$288),"")</f>
        <v/>
      </c>
      <c r="BK288" t="str">
        <f ca="1">IFERROR(IF(0=LEN(ReferenceData!$BK$288),"",ReferenceData!$BK$288),"")</f>
        <v/>
      </c>
      <c r="BL288" t="str">
        <f ca="1">IFERROR(IF(0=LEN(ReferenceData!$BL$288),"",ReferenceData!$BL$288),"")</f>
        <v/>
      </c>
      <c r="BM288" t="str">
        <f ca="1">IFERROR(IF(0=LEN(ReferenceData!$BM$288),"",ReferenceData!$BM$288),"")</f>
        <v/>
      </c>
    </row>
    <row r="289" spans="1:65">
      <c r="A289" t="str">
        <f>IFERROR(IF(0=LEN(ReferenceData!$A$289),"",ReferenceData!$A$289),"")</f>
        <v xml:space="preserve">    VEREIT Inc</v>
      </c>
      <c r="B289" t="str">
        <f>IFERROR(IF(0=LEN(ReferenceData!$B$289),"",ReferenceData!$B$289),"")</f>
        <v>VER US Equity</v>
      </c>
      <c r="C289" t="str">
        <f>IFERROR(IF(0=LEN(ReferenceData!$C$289),"",ReferenceData!$C$289),"")</f>
        <v>F1178</v>
      </c>
      <c r="D289" t="str">
        <f>IFERROR(IF(0=LEN(ReferenceData!$D$289),"",ReferenceData!$D$289),"")</f>
        <v>NET_DEBT_EBITDA_ADJUSTED</v>
      </c>
      <c r="E289" t="str">
        <f>IFERROR(IF(0=LEN(ReferenceData!$E$289),"",ReferenceData!$E$289),"")</f>
        <v>动态</v>
      </c>
      <c r="F289" t="str">
        <f ca="1">IFERROR(IF(0=LEN(ReferenceData!$F$289),"",ReferenceData!$F$289),"")</f>
        <v/>
      </c>
      <c r="G289">
        <f ca="1">IFERROR(IF(0=LEN(ReferenceData!$G$289),"",ReferenceData!$G$289),"")</f>
        <v>5.48223459</v>
      </c>
      <c r="H289">
        <f ca="1">IFERROR(IF(0=LEN(ReferenceData!$H$289),"",ReferenceData!$H$289),"")</f>
        <v>5.2844557649999997</v>
      </c>
      <c r="I289">
        <f ca="1">IFERROR(IF(0=LEN(ReferenceData!$I$289),"",ReferenceData!$I$289),"")</f>
        <v>5.0968813839999996</v>
      </c>
      <c r="J289">
        <f ca="1">IFERROR(IF(0=LEN(ReferenceData!$J$289),"",ReferenceData!$J$289),"")</f>
        <v>5.1944939449999996</v>
      </c>
      <c r="K289">
        <f ca="1">IFERROR(IF(0=LEN(ReferenceData!$K$289),"",ReferenceData!$K$289),"")</f>
        <v>5.233396194</v>
      </c>
      <c r="L289">
        <f ca="1">IFERROR(IF(0=LEN(ReferenceData!$L$289),"",ReferenceData!$L$289),"")</f>
        <v>5.4085434919999997</v>
      </c>
      <c r="M289">
        <f ca="1">IFERROR(IF(0=LEN(ReferenceData!$M$289),"",ReferenceData!$M$289),"")</f>
        <v>9.7616712379999999</v>
      </c>
      <c r="N289">
        <f ca="1">IFERROR(IF(0=LEN(ReferenceData!$N$289),"",ReferenceData!$N$289),"")</f>
        <v>9.7400848230000001</v>
      </c>
      <c r="O289">
        <f ca="1">IFERROR(IF(0=LEN(ReferenceData!$O$289),"",ReferenceData!$O$289),"")</f>
        <v>9.7397306019999998</v>
      </c>
      <c r="P289">
        <f ca="1">IFERROR(IF(0=LEN(ReferenceData!$P$289),"",ReferenceData!$P$289),"")</f>
        <v>9.6996855400000008</v>
      </c>
      <c r="Q289">
        <f ca="1">IFERROR(IF(0=LEN(ReferenceData!$Q$289),"",ReferenceData!$Q$289),"")</f>
        <v>6.7197706960000003</v>
      </c>
      <c r="R289">
        <f ca="1">IFERROR(IF(0=LEN(ReferenceData!$R$289),"",ReferenceData!$R$289),"")</f>
        <v>6.8939295620000003</v>
      </c>
      <c r="S289">
        <f ca="1">IFERROR(IF(0=LEN(ReferenceData!$S$289),"",ReferenceData!$S$289),"")</f>
        <v>7.847700433</v>
      </c>
      <c r="T289">
        <f ca="1">IFERROR(IF(0=LEN(ReferenceData!$T$289),"",ReferenceData!$T$289),"")</f>
        <v>11.48330563</v>
      </c>
      <c r="U289">
        <f ca="1">IFERROR(IF(0=LEN(ReferenceData!$U$289),"",ReferenceData!$U$289),"")</f>
        <v>13.826735279999999</v>
      </c>
      <c r="V289">
        <f ca="1">IFERROR(IF(0=LEN(ReferenceData!$V$289),"",ReferenceData!$V$289),"")</f>
        <v>27.19864961</v>
      </c>
      <c r="W289">
        <f ca="1">IFERROR(IF(0=LEN(ReferenceData!$W$289),"",ReferenceData!$W$289),"")</f>
        <v>22.518088460000001</v>
      </c>
      <c r="X289">
        <f ca="1">IFERROR(IF(0=LEN(ReferenceData!$X$289),"",ReferenceData!$X$289),"")</f>
        <v>9.561418304</v>
      </c>
      <c r="Y289">
        <f ca="1">IFERROR(IF(0=LEN(ReferenceData!$Y$289),"",ReferenceData!$Y$289),"")</f>
        <v>16.74255419</v>
      </c>
      <c r="Z289">
        <f ca="1">IFERROR(IF(0=LEN(ReferenceData!$Z$289),"",ReferenceData!$Z$289),"")</f>
        <v>19.766475809999999</v>
      </c>
      <c r="AA289">
        <f ca="1">IFERROR(IF(0=LEN(ReferenceData!$AA$289),"",ReferenceData!$AA$289),"")</f>
        <v>15.80458834</v>
      </c>
      <c r="AB289">
        <f ca="1">IFERROR(IF(0=LEN(ReferenceData!$AB$289),"",ReferenceData!$AB$289),"")</f>
        <v>22.406329580000001</v>
      </c>
      <c r="AC289">
        <f ca="1">IFERROR(IF(0=LEN(ReferenceData!$AC$289),"",ReferenceData!$AC$289),"")</f>
        <v>40.272967909999998</v>
      </c>
      <c r="AD289" t="str">
        <f ca="1">IFERROR(IF(0=LEN(ReferenceData!$AD$289),"",ReferenceData!$AD$289),"")</f>
        <v/>
      </c>
      <c r="AE289" t="str">
        <f ca="1">IFERROR(IF(0=LEN(ReferenceData!$AE$289),"",ReferenceData!$AE$289),"")</f>
        <v/>
      </c>
      <c r="AF289" t="str">
        <f ca="1">IFERROR(IF(0=LEN(ReferenceData!$AF$289),"",ReferenceData!$AF$289),"")</f>
        <v/>
      </c>
      <c r="AG289" t="str">
        <f ca="1">IFERROR(IF(0=LEN(ReferenceData!$AG$289),"",ReferenceData!$AG$289),"")</f>
        <v/>
      </c>
      <c r="AH289" t="str">
        <f ca="1">IFERROR(IF(0=LEN(ReferenceData!$AH$289),"",ReferenceData!$AH$289),"")</f>
        <v/>
      </c>
      <c r="AI289" t="str">
        <f ca="1">IFERROR(IF(0=LEN(ReferenceData!$AI$289),"",ReferenceData!$AI$289),"")</f>
        <v/>
      </c>
      <c r="AJ289" t="str">
        <f ca="1">IFERROR(IF(0=LEN(ReferenceData!$AJ$289),"",ReferenceData!$AJ$289),"")</f>
        <v/>
      </c>
      <c r="AK289" t="str">
        <f ca="1">IFERROR(IF(0=LEN(ReferenceData!$AK$289),"",ReferenceData!$AK$289),"")</f>
        <v/>
      </c>
      <c r="AL289" t="str">
        <f ca="1">IFERROR(IF(0=LEN(ReferenceData!$AL$289),"",ReferenceData!$AL$289),"")</f>
        <v/>
      </c>
      <c r="AM289" t="str">
        <f ca="1">IFERROR(IF(0=LEN(ReferenceData!$AM$289),"",ReferenceData!$AM$289),"")</f>
        <v/>
      </c>
      <c r="AN289" t="str">
        <f ca="1">IFERROR(IF(0=LEN(ReferenceData!$AN$289),"",ReferenceData!$AN$289),"")</f>
        <v/>
      </c>
      <c r="AO289" t="str">
        <f ca="1">IFERROR(IF(0=LEN(ReferenceData!$AO$289),"",ReferenceData!$AO$289),"")</f>
        <v/>
      </c>
      <c r="AP289" t="str">
        <f ca="1">IFERROR(IF(0=LEN(ReferenceData!$AP$289),"",ReferenceData!$AP$289),"")</f>
        <v/>
      </c>
      <c r="AQ289" t="str">
        <f ca="1">IFERROR(IF(0=LEN(ReferenceData!$AQ$289),"",ReferenceData!$AQ$289),"")</f>
        <v/>
      </c>
      <c r="AR289" t="str">
        <f ca="1">IFERROR(IF(0=LEN(ReferenceData!$AR$289),"",ReferenceData!$AR$289),"")</f>
        <v/>
      </c>
      <c r="AS289" t="str">
        <f ca="1">IFERROR(IF(0=LEN(ReferenceData!$AS$289),"",ReferenceData!$AS$289),"")</f>
        <v/>
      </c>
      <c r="AT289" t="str">
        <f ca="1">IFERROR(IF(0=LEN(ReferenceData!$AT$289),"",ReferenceData!$AT$289),"")</f>
        <v/>
      </c>
      <c r="AU289" t="str">
        <f ca="1">IFERROR(IF(0=LEN(ReferenceData!$AU$289),"",ReferenceData!$AU$289),"")</f>
        <v/>
      </c>
      <c r="AV289" t="str">
        <f ca="1">IFERROR(IF(0=LEN(ReferenceData!$AV$289),"",ReferenceData!$AV$289),"")</f>
        <v/>
      </c>
      <c r="AW289" t="str">
        <f ca="1">IFERROR(IF(0=LEN(ReferenceData!$AW$289),"",ReferenceData!$AW$289),"")</f>
        <v/>
      </c>
      <c r="AX289" t="str">
        <f ca="1">IFERROR(IF(0=LEN(ReferenceData!$AX$289),"",ReferenceData!$AX$289),"")</f>
        <v/>
      </c>
      <c r="AY289" t="str">
        <f ca="1">IFERROR(IF(0=LEN(ReferenceData!$AY$289),"",ReferenceData!$AY$289),"")</f>
        <v/>
      </c>
      <c r="AZ289" t="str">
        <f ca="1">IFERROR(IF(0=LEN(ReferenceData!$AZ$289),"",ReferenceData!$AZ$289),"")</f>
        <v/>
      </c>
      <c r="BA289" t="str">
        <f ca="1">IFERROR(IF(0=LEN(ReferenceData!$BA$289),"",ReferenceData!$BA$289),"")</f>
        <v/>
      </c>
      <c r="BB289" t="str">
        <f ca="1">IFERROR(IF(0=LEN(ReferenceData!$BB$289),"",ReferenceData!$BB$289),"")</f>
        <v/>
      </c>
      <c r="BC289" t="str">
        <f ca="1">IFERROR(IF(0=LEN(ReferenceData!$BC$289),"",ReferenceData!$BC$289),"")</f>
        <v/>
      </c>
      <c r="BD289" t="str">
        <f ca="1">IFERROR(IF(0=LEN(ReferenceData!$BD$289),"",ReferenceData!$BD$289),"")</f>
        <v/>
      </c>
      <c r="BE289" t="str">
        <f ca="1">IFERROR(IF(0=LEN(ReferenceData!$BE$289),"",ReferenceData!$BE$289),"")</f>
        <v/>
      </c>
      <c r="BF289" t="str">
        <f ca="1">IFERROR(IF(0=LEN(ReferenceData!$BF$289),"",ReferenceData!$BF$289),"")</f>
        <v/>
      </c>
      <c r="BG289" t="str">
        <f ca="1">IFERROR(IF(0=LEN(ReferenceData!$BG$289),"",ReferenceData!$BG$289),"")</f>
        <v/>
      </c>
      <c r="BH289" t="str">
        <f ca="1">IFERROR(IF(0=LEN(ReferenceData!$BH$289),"",ReferenceData!$BH$289),"")</f>
        <v/>
      </c>
      <c r="BI289" t="str">
        <f ca="1">IFERROR(IF(0=LEN(ReferenceData!$BI$289),"",ReferenceData!$BI$289),"")</f>
        <v/>
      </c>
      <c r="BJ289" t="str">
        <f ca="1">IFERROR(IF(0=LEN(ReferenceData!$BJ$289),"",ReferenceData!$BJ$289),"")</f>
        <v/>
      </c>
      <c r="BK289" t="str">
        <f ca="1">IFERROR(IF(0=LEN(ReferenceData!$BK$289),"",ReferenceData!$BK$289),"")</f>
        <v/>
      </c>
      <c r="BL289" t="str">
        <f ca="1">IFERROR(IF(0=LEN(ReferenceData!$BL$289),"",ReferenceData!$BL$289),"")</f>
        <v/>
      </c>
      <c r="BM289" t="str">
        <f ca="1">IFERROR(IF(0=LEN(ReferenceData!$BM$289),"",ReferenceData!$BM$289),"")</f>
        <v/>
      </c>
    </row>
    <row r="290" spans="1:65">
      <c r="A290" t="str">
        <f>IFERROR(IF(0=LEN(ReferenceData!$A$290),"",ReferenceData!$A$290),"")</f>
        <v xml:space="preserve">    Washington Prime Group Inc</v>
      </c>
      <c r="B290" t="str">
        <f>IFERROR(IF(0=LEN(ReferenceData!$B$290),"",ReferenceData!$B$290),"")</f>
        <v>WPG US Equity</v>
      </c>
      <c r="C290" t="str">
        <f>IFERROR(IF(0=LEN(ReferenceData!$C$290),"",ReferenceData!$C$290),"")</f>
        <v>F1178</v>
      </c>
      <c r="D290" t="str">
        <f>IFERROR(IF(0=LEN(ReferenceData!$D$290),"",ReferenceData!$D$290),"")</f>
        <v>NET_DEBT_EBITDA_ADJUSTED</v>
      </c>
      <c r="E290" t="str">
        <f>IFERROR(IF(0=LEN(ReferenceData!$E$290),"",ReferenceData!$E$290),"")</f>
        <v>动态</v>
      </c>
      <c r="F290" t="str">
        <f ca="1">IFERROR(IF(0=LEN(ReferenceData!$F$290),"",ReferenceData!$F$290),"")</f>
        <v/>
      </c>
      <c r="G290">
        <f ca="1">IFERROR(IF(0=LEN(ReferenceData!$G$290),"",ReferenceData!$G$290),"")</f>
        <v>6.0206415470000003</v>
      </c>
      <c r="H290">
        <f ca="1">IFERROR(IF(0=LEN(ReferenceData!$H$290),"",ReferenceData!$H$290),"")</f>
        <v>6.0424785539999997</v>
      </c>
      <c r="I290">
        <f ca="1">IFERROR(IF(0=LEN(ReferenceData!$I$290),"",ReferenceData!$I$290),"")</f>
        <v>5.809164279</v>
      </c>
      <c r="J290">
        <f ca="1">IFERROR(IF(0=LEN(ReferenceData!$J$290),"",ReferenceData!$J$290),"")</f>
        <v>6.5020464530000002</v>
      </c>
      <c r="K290">
        <f ca="1">IFERROR(IF(0=LEN(ReferenceData!$K$290),"",ReferenceData!$K$290),"")</f>
        <v>6.1278425470000002</v>
      </c>
      <c r="L290">
        <f ca="1">IFERROR(IF(0=LEN(ReferenceData!$L$290),"",ReferenceData!$L$290),"")</f>
        <v>6.1679904309999998</v>
      </c>
      <c r="M290">
        <f ca="1">IFERROR(IF(0=LEN(ReferenceData!$M$290),"",ReferenceData!$M$290),"")</f>
        <v>6.0896898110000004</v>
      </c>
      <c r="N290">
        <f ca="1">IFERROR(IF(0=LEN(ReferenceData!$N$290),"",ReferenceData!$N$290),"")</f>
        <v>6.2122360470000002</v>
      </c>
      <c r="O290">
        <f ca="1">IFERROR(IF(0=LEN(ReferenceData!$O$290),"",ReferenceData!$O$290),"")</f>
        <v>6.047958532</v>
      </c>
      <c r="P290">
        <f ca="1">IFERROR(IF(0=LEN(ReferenceData!$P$290),"",ReferenceData!$P$290),"")</f>
        <v>6.3037478719999998</v>
      </c>
      <c r="Q290">
        <f ca="1">IFERROR(IF(0=LEN(ReferenceData!$Q$290),"",ReferenceData!$Q$290),"")</f>
        <v>6.5675562640000003</v>
      </c>
      <c r="R290">
        <f ca="1">IFERROR(IF(0=LEN(ReferenceData!$R$290),"",ReferenceData!$R$290),"")</f>
        <v>9.4373689590000005</v>
      </c>
      <c r="S290">
        <f ca="1">IFERROR(IF(0=LEN(ReferenceData!$S$290),"",ReferenceData!$S$290),"")</f>
        <v>5.2852272429999996</v>
      </c>
      <c r="T290" t="str">
        <f ca="1">IFERROR(IF(0=LEN(ReferenceData!$T$290),"",ReferenceData!$T$290),"")</f>
        <v/>
      </c>
      <c r="U290" t="str">
        <f ca="1">IFERROR(IF(0=LEN(ReferenceData!$U$290),"",ReferenceData!$U$290),"")</f>
        <v/>
      </c>
      <c r="V290" t="str">
        <f ca="1">IFERROR(IF(0=LEN(ReferenceData!$V$290),"",ReferenceData!$V$290),"")</f>
        <v/>
      </c>
      <c r="W290" t="str">
        <f ca="1">IFERROR(IF(0=LEN(ReferenceData!$W$290),"",ReferenceData!$W$290),"")</f>
        <v/>
      </c>
      <c r="X290" t="str">
        <f ca="1">IFERROR(IF(0=LEN(ReferenceData!$X$290),"",ReferenceData!$X$290),"")</f>
        <v/>
      </c>
      <c r="Y290" t="str">
        <f ca="1">IFERROR(IF(0=LEN(ReferenceData!$Y$290),"",ReferenceData!$Y$290),"")</f>
        <v/>
      </c>
      <c r="Z290" t="str">
        <f ca="1">IFERROR(IF(0=LEN(ReferenceData!$Z$290),"",ReferenceData!$Z$290),"")</f>
        <v/>
      </c>
      <c r="AA290" t="str">
        <f ca="1">IFERROR(IF(0=LEN(ReferenceData!$AA$290),"",ReferenceData!$AA$290),"")</f>
        <v/>
      </c>
      <c r="AB290" t="str">
        <f ca="1">IFERROR(IF(0=LEN(ReferenceData!$AB$290),"",ReferenceData!$AB$290),"")</f>
        <v/>
      </c>
      <c r="AC290" t="str">
        <f ca="1">IFERROR(IF(0=LEN(ReferenceData!$AC$290),"",ReferenceData!$AC$290),"")</f>
        <v/>
      </c>
      <c r="AD290" t="str">
        <f ca="1">IFERROR(IF(0=LEN(ReferenceData!$AD$290),"",ReferenceData!$AD$290),"")</f>
        <v/>
      </c>
      <c r="AE290" t="str">
        <f ca="1">IFERROR(IF(0=LEN(ReferenceData!$AE$290),"",ReferenceData!$AE$290),"")</f>
        <v/>
      </c>
      <c r="AF290" t="str">
        <f ca="1">IFERROR(IF(0=LEN(ReferenceData!$AF$290),"",ReferenceData!$AF$290),"")</f>
        <v/>
      </c>
      <c r="AG290" t="str">
        <f ca="1">IFERROR(IF(0=LEN(ReferenceData!$AG$290),"",ReferenceData!$AG$290),"")</f>
        <v/>
      </c>
      <c r="AH290" t="str">
        <f ca="1">IFERROR(IF(0=LEN(ReferenceData!$AH$290),"",ReferenceData!$AH$290),"")</f>
        <v/>
      </c>
      <c r="AI290" t="str">
        <f ca="1">IFERROR(IF(0=LEN(ReferenceData!$AI$290),"",ReferenceData!$AI$290),"")</f>
        <v/>
      </c>
      <c r="AJ290" t="str">
        <f ca="1">IFERROR(IF(0=LEN(ReferenceData!$AJ$290),"",ReferenceData!$AJ$290),"")</f>
        <v/>
      </c>
      <c r="AK290" t="str">
        <f ca="1">IFERROR(IF(0=LEN(ReferenceData!$AK$290),"",ReferenceData!$AK$290),"")</f>
        <v/>
      </c>
      <c r="AL290" t="str">
        <f ca="1">IFERROR(IF(0=LEN(ReferenceData!$AL$290),"",ReferenceData!$AL$290),"")</f>
        <v/>
      </c>
      <c r="AM290" t="str">
        <f ca="1">IFERROR(IF(0=LEN(ReferenceData!$AM$290),"",ReferenceData!$AM$290),"")</f>
        <v/>
      </c>
      <c r="AN290" t="str">
        <f ca="1">IFERROR(IF(0=LEN(ReferenceData!$AN$290),"",ReferenceData!$AN$290),"")</f>
        <v/>
      </c>
      <c r="AO290" t="str">
        <f ca="1">IFERROR(IF(0=LEN(ReferenceData!$AO$290),"",ReferenceData!$AO$290),"")</f>
        <v/>
      </c>
      <c r="AP290" t="str">
        <f ca="1">IFERROR(IF(0=LEN(ReferenceData!$AP$290),"",ReferenceData!$AP$290),"")</f>
        <v/>
      </c>
      <c r="AQ290" t="str">
        <f ca="1">IFERROR(IF(0=LEN(ReferenceData!$AQ$290),"",ReferenceData!$AQ$290),"")</f>
        <v/>
      </c>
      <c r="AR290" t="str">
        <f ca="1">IFERROR(IF(0=LEN(ReferenceData!$AR$290),"",ReferenceData!$AR$290),"")</f>
        <v/>
      </c>
      <c r="AS290" t="str">
        <f ca="1">IFERROR(IF(0=LEN(ReferenceData!$AS$290),"",ReferenceData!$AS$290),"")</f>
        <v/>
      </c>
      <c r="AT290" t="str">
        <f ca="1">IFERROR(IF(0=LEN(ReferenceData!$AT$290),"",ReferenceData!$AT$290),"")</f>
        <v/>
      </c>
      <c r="AU290" t="str">
        <f ca="1">IFERROR(IF(0=LEN(ReferenceData!$AU$290),"",ReferenceData!$AU$290),"")</f>
        <v/>
      </c>
      <c r="AV290" t="str">
        <f ca="1">IFERROR(IF(0=LEN(ReferenceData!$AV$290),"",ReferenceData!$AV$290),"")</f>
        <v/>
      </c>
      <c r="AW290" t="str">
        <f ca="1">IFERROR(IF(0=LEN(ReferenceData!$AW$290),"",ReferenceData!$AW$290),"")</f>
        <v/>
      </c>
      <c r="AX290" t="str">
        <f ca="1">IFERROR(IF(0=LEN(ReferenceData!$AX$290),"",ReferenceData!$AX$290),"")</f>
        <v/>
      </c>
      <c r="AY290" t="str">
        <f ca="1">IFERROR(IF(0=LEN(ReferenceData!$AY$290),"",ReferenceData!$AY$290),"")</f>
        <v/>
      </c>
      <c r="AZ290" t="str">
        <f ca="1">IFERROR(IF(0=LEN(ReferenceData!$AZ$290),"",ReferenceData!$AZ$290),"")</f>
        <v/>
      </c>
      <c r="BA290" t="str">
        <f ca="1">IFERROR(IF(0=LEN(ReferenceData!$BA$290),"",ReferenceData!$BA$290),"")</f>
        <v/>
      </c>
      <c r="BB290" t="str">
        <f ca="1">IFERROR(IF(0=LEN(ReferenceData!$BB$290),"",ReferenceData!$BB$290),"")</f>
        <v/>
      </c>
      <c r="BC290" t="str">
        <f ca="1">IFERROR(IF(0=LEN(ReferenceData!$BC$290),"",ReferenceData!$BC$290),"")</f>
        <v/>
      </c>
      <c r="BD290" t="str">
        <f ca="1">IFERROR(IF(0=LEN(ReferenceData!$BD$290),"",ReferenceData!$BD$290),"")</f>
        <v/>
      </c>
      <c r="BE290" t="str">
        <f ca="1">IFERROR(IF(0=LEN(ReferenceData!$BE$290),"",ReferenceData!$BE$290),"")</f>
        <v/>
      </c>
      <c r="BF290" t="str">
        <f ca="1">IFERROR(IF(0=LEN(ReferenceData!$BF$290),"",ReferenceData!$BF$290),"")</f>
        <v/>
      </c>
      <c r="BG290" t="str">
        <f ca="1">IFERROR(IF(0=LEN(ReferenceData!$BG$290),"",ReferenceData!$BG$290),"")</f>
        <v/>
      </c>
      <c r="BH290" t="str">
        <f ca="1">IFERROR(IF(0=LEN(ReferenceData!$BH$290),"",ReferenceData!$BH$290),"")</f>
        <v/>
      </c>
      <c r="BI290" t="str">
        <f ca="1">IFERROR(IF(0=LEN(ReferenceData!$BI$290),"",ReferenceData!$BI$290),"")</f>
        <v/>
      </c>
      <c r="BJ290" t="str">
        <f ca="1">IFERROR(IF(0=LEN(ReferenceData!$BJ$290),"",ReferenceData!$BJ$290),"")</f>
        <v/>
      </c>
      <c r="BK290" t="str">
        <f ca="1">IFERROR(IF(0=LEN(ReferenceData!$BK$290),"",ReferenceData!$BK$290),"")</f>
        <v/>
      </c>
      <c r="BL290" t="str">
        <f ca="1">IFERROR(IF(0=LEN(ReferenceData!$BL$290),"",ReferenceData!$BL$290),"")</f>
        <v/>
      </c>
      <c r="BM290" t="str">
        <f ca="1">IFERROR(IF(0=LEN(ReferenceData!$BM$290),"",ReferenceData!$BM$290),"")</f>
        <v/>
      </c>
    </row>
    <row r="291" spans="1:65">
      <c r="A291" t="str">
        <f>IFERROR(IF(0=LEN(ReferenceData!$A$291),"",ReferenceData!$A$291),"")</f>
        <v xml:space="preserve">    Weingarten Realty Investors</v>
      </c>
      <c r="B291" t="str">
        <f>IFERROR(IF(0=LEN(ReferenceData!$B$291),"",ReferenceData!$B$291),"")</f>
        <v>WRI US Equity</v>
      </c>
      <c r="C291" t="str">
        <f>IFERROR(IF(0=LEN(ReferenceData!$C$291),"",ReferenceData!$C$291),"")</f>
        <v>F1178</v>
      </c>
      <c r="D291" t="str">
        <f>IFERROR(IF(0=LEN(ReferenceData!$D$291),"",ReferenceData!$D$291),"")</f>
        <v>NET_DEBT_EBITDA_ADJUSTED</v>
      </c>
      <c r="E291" t="str">
        <f>IFERROR(IF(0=LEN(ReferenceData!$E$291),"",ReferenceData!$E$291),"")</f>
        <v>动态</v>
      </c>
      <c r="F291" t="str">
        <f ca="1">IFERROR(IF(0=LEN(ReferenceData!$F$291),"",ReferenceData!$F$291),"")</f>
        <v/>
      </c>
      <c r="G291">
        <f ca="1">IFERROR(IF(0=LEN(ReferenceData!$G$291),"",ReferenceData!$G$291),"")</f>
        <v>5.7477389089999997</v>
      </c>
      <c r="H291">
        <f ca="1">IFERROR(IF(0=LEN(ReferenceData!$H$291),"",ReferenceData!$H$291),"")</f>
        <v>5.9580757289999999</v>
      </c>
      <c r="I291">
        <f ca="1">IFERROR(IF(0=LEN(ReferenceData!$I$291),"",ReferenceData!$I$291),"")</f>
        <v>6.2852234530000004</v>
      </c>
      <c r="J291">
        <f ca="1">IFERROR(IF(0=LEN(ReferenceData!$J$291),"",ReferenceData!$J$291),"")</f>
        <v>6.4570712830000003</v>
      </c>
      <c r="K291">
        <f ca="1">IFERROR(IF(0=LEN(ReferenceData!$K$291),"",ReferenceData!$K$291),"")</f>
        <v>7.5028164359999998</v>
      </c>
      <c r="L291">
        <f ca="1">IFERROR(IF(0=LEN(ReferenceData!$L$291),"",ReferenceData!$L$291),"")</f>
        <v>7.679362147</v>
      </c>
      <c r="M291">
        <f ca="1">IFERROR(IF(0=LEN(ReferenceData!$M$291),"",ReferenceData!$M$291),"")</f>
        <v>6.886471781</v>
      </c>
      <c r="N291">
        <f ca="1">IFERROR(IF(0=LEN(ReferenceData!$N$291),"",ReferenceData!$N$291),"")</f>
        <v>7.4263810320000001</v>
      </c>
      <c r="O291">
        <f ca="1">IFERROR(IF(0=LEN(ReferenceData!$O$291),"",ReferenceData!$O$291),"")</f>
        <v>6.321617839</v>
      </c>
      <c r="P291">
        <f ca="1">IFERROR(IF(0=LEN(ReferenceData!$P$291),"",ReferenceData!$P$291),"")</f>
        <v>6.3770763869999998</v>
      </c>
      <c r="Q291">
        <f ca="1">IFERROR(IF(0=LEN(ReferenceData!$Q$291),"",ReferenceData!$Q$291),"")</f>
        <v>6.2760020570000004</v>
      </c>
      <c r="R291">
        <f ca="1">IFERROR(IF(0=LEN(ReferenceData!$R$291),"",ReferenceData!$R$291),"")</f>
        <v>5.7247769699999997</v>
      </c>
      <c r="S291">
        <f ca="1">IFERROR(IF(0=LEN(ReferenceData!$S$291),"",ReferenceData!$S$291),"")</f>
        <v>5.7145511539999996</v>
      </c>
      <c r="T291">
        <f ca="1">IFERROR(IF(0=LEN(ReferenceData!$T$291),"",ReferenceData!$T$291),"")</f>
        <v>5.9982920269999997</v>
      </c>
      <c r="U291">
        <f ca="1">IFERROR(IF(0=LEN(ReferenceData!$U$291),"",ReferenceData!$U$291),"")</f>
        <v>6.2822098249999998</v>
      </c>
      <c r="V291">
        <f ca="1">IFERROR(IF(0=LEN(ReferenceData!$V$291),"",ReferenceData!$V$291),"")</f>
        <v>6.426906636</v>
      </c>
      <c r="W291">
        <f ca="1">IFERROR(IF(0=LEN(ReferenceData!$W$291),"",ReferenceData!$W$291),"")</f>
        <v>6.8984230520000001</v>
      </c>
      <c r="X291">
        <f ca="1">IFERROR(IF(0=LEN(ReferenceData!$X$291),"",ReferenceData!$X$291),"")</f>
        <v>7.0319140930000001</v>
      </c>
      <c r="Y291">
        <f ca="1">IFERROR(IF(0=LEN(ReferenceData!$Y$291),"",ReferenceData!$Y$291),"")</f>
        <v>7.3427055269999997</v>
      </c>
      <c r="Z291">
        <f ca="1">IFERROR(IF(0=LEN(ReferenceData!$Z$291),"",ReferenceData!$Z$291),"")</f>
        <v>7.2475379100000001</v>
      </c>
      <c r="AA291">
        <f ca="1">IFERROR(IF(0=LEN(ReferenceData!$AA$291),"",ReferenceData!$AA$291),"")</f>
        <v>6.937923412</v>
      </c>
      <c r="AB291">
        <f ca="1">IFERROR(IF(0=LEN(ReferenceData!$AB$291),"",ReferenceData!$AB$291),"")</f>
        <v>6.9487605490000002</v>
      </c>
      <c r="AC291">
        <f ca="1">IFERROR(IF(0=LEN(ReferenceData!$AC$291),"",ReferenceData!$AC$291),"")</f>
        <v>6.6862834720000004</v>
      </c>
      <c r="AD291">
        <f ca="1">IFERROR(IF(0=LEN(ReferenceData!$AD$291),"",ReferenceData!$AD$291),"")</f>
        <v>7.4171679670000001</v>
      </c>
      <c r="AE291">
        <f ca="1">IFERROR(IF(0=LEN(ReferenceData!$AE$291),"",ReferenceData!$AE$291),"")</f>
        <v>7.4952971990000004</v>
      </c>
      <c r="AF291">
        <f ca="1">IFERROR(IF(0=LEN(ReferenceData!$AF$291),"",ReferenceData!$AF$291),"")</f>
        <v>7.5724159750000002</v>
      </c>
      <c r="AG291">
        <f ca="1">IFERROR(IF(0=LEN(ReferenceData!$AG$291),"",ReferenceData!$AG$291),"")</f>
        <v>7.5271186339999998</v>
      </c>
      <c r="AH291">
        <f ca="1">IFERROR(IF(0=LEN(ReferenceData!$AH$291),"",ReferenceData!$AH$291),"")</f>
        <v>7.4994940330000004</v>
      </c>
      <c r="AI291">
        <f ca="1">IFERROR(IF(0=LEN(ReferenceData!$AI$291),"",ReferenceData!$AI$291),"")</f>
        <v>7.2289457739999996</v>
      </c>
      <c r="AJ291">
        <f ca="1">IFERROR(IF(0=LEN(ReferenceData!$AJ$291),"",ReferenceData!$AJ$291),"")</f>
        <v>7.0782494700000003</v>
      </c>
      <c r="AK291">
        <f ca="1">IFERROR(IF(0=LEN(ReferenceData!$AK$291),"",ReferenceData!$AK$291),"")</f>
        <v>6.775503982</v>
      </c>
      <c r="AL291">
        <f ca="1">IFERROR(IF(0=LEN(ReferenceData!$AL$291),"",ReferenceData!$AL$291),"")</f>
        <v>6.4526309160000004</v>
      </c>
      <c r="AM291">
        <f ca="1">IFERROR(IF(0=LEN(ReferenceData!$AM$291),"",ReferenceData!$AM$291),"")</f>
        <v>6.3168514849999999</v>
      </c>
      <c r="AN291" t="str">
        <f ca="1">IFERROR(IF(0=LEN(ReferenceData!$AN$291),"",ReferenceData!$AN$291),"")</f>
        <v/>
      </c>
      <c r="AO291" t="str">
        <f ca="1">IFERROR(IF(0=LEN(ReferenceData!$AO$291),"",ReferenceData!$AO$291),"")</f>
        <v/>
      </c>
      <c r="AP291" t="str">
        <f ca="1">IFERROR(IF(0=LEN(ReferenceData!$AP$291),"",ReferenceData!$AP$291),"")</f>
        <v/>
      </c>
      <c r="AQ291" t="str">
        <f ca="1">IFERROR(IF(0=LEN(ReferenceData!$AQ$291),"",ReferenceData!$AQ$291),"")</f>
        <v/>
      </c>
      <c r="AR291" t="str">
        <f ca="1">IFERROR(IF(0=LEN(ReferenceData!$AR$291),"",ReferenceData!$AR$291),"")</f>
        <v/>
      </c>
      <c r="AS291" t="str">
        <f ca="1">IFERROR(IF(0=LEN(ReferenceData!$AS$291),"",ReferenceData!$AS$291),"")</f>
        <v/>
      </c>
      <c r="AT291" t="str">
        <f ca="1">IFERROR(IF(0=LEN(ReferenceData!$AT$291),"",ReferenceData!$AT$291),"")</f>
        <v/>
      </c>
      <c r="AU291" t="str">
        <f ca="1">IFERROR(IF(0=LEN(ReferenceData!$AU$291),"",ReferenceData!$AU$291),"")</f>
        <v/>
      </c>
      <c r="AV291" t="str">
        <f ca="1">IFERROR(IF(0=LEN(ReferenceData!$AV$291),"",ReferenceData!$AV$291),"")</f>
        <v/>
      </c>
      <c r="AW291" t="str">
        <f ca="1">IFERROR(IF(0=LEN(ReferenceData!$AW$291),"",ReferenceData!$AW$291),"")</f>
        <v/>
      </c>
      <c r="AX291" t="str">
        <f ca="1">IFERROR(IF(0=LEN(ReferenceData!$AX$291),"",ReferenceData!$AX$291),"")</f>
        <v/>
      </c>
      <c r="AY291" t="str">
        <f ca="1">IFERROR(IF(0=LEN(ReferenceData!$AY$291),"",ReferenceData!$AY$291),"")</f>
        <v/>
      </c>
      <c r="AZ291" t="str">
        <f ca="1">IFERROR(IF(0=LEN(ReferenceData!$AZ$291),"",ReferenceData!$AZ$291),"")</f>
        <v/>
      </c>
      <c r="BA291" t="str">
        <f ca="1">IFERROR(IF(0=LEN(ReferenceData!$BA$291),"",ReferenceData!$BA$291),"")</f>
        <v/>
      </c>
      <c r="BB291" t="str">
        <f ca="1">IFERROR(IF(0=LEN(ReferenceData!$BB$291),"",ReferenceData!$BB$291),"")</f>
        <v/>
      </c>
      <c r="BC291" t="str">
        <f ca="1">IFERROR(IF(0=LEN(ReferenceData!$BC$291),"",ReferenceData!$BC$291),"")</f>
        <v/>
      </c>
      <c r="BD291" t="str">
        <f ca="1">IFERROR(IF(0=LEN(ReferenceData!$BD$291),"",ReferenceData!$BD$291),"")</f>
        <v/>
      </c>
      <c r="BE291" t="str">
        <f ca="1">IFERROR(IF(0=LEN(ReferenceData!$BE$291),"",ReferenceData!$BE$291),"")</f>
        <v/>
      </c>
      <c r="BF291" t="str">
        <f ca="1">IFERROR(IF(0=LEN(ReferenceData!$BF$291),"",ReferenceData!$BF$291),"")</f>
        <v/>
      </c>
      <c r="BG291" t="str">
        <f ca="1">IFERROR(IF(0=LEN(ReferenceData!$BG$291),"",ReferenceData!$BG$291),"")</f>
        <v/>
      </c>
      <c r="BH291" t="str">
        <f ca="1">IFERROR(IF(0=LEN(ReferenceData!$BH$291),"",ReferenceData!$BH$291),"")</f>
        <v/>
      </c>
      <c r="BI291" t="str">
        <f ca="1">IFERROR(IF(0=LEN(ReferenceData!$BI$291),"",ReferenceData!$BI$291),"")</f>
        <v/>
      </c>
      <c r="BJ291" t="str">
        <f ca="1">IFERROR(IF(0=LEN(ReferenceData!$BJ$291),"",ReferenceData!$BJ$291),"")</f>
        <v/>
      </c>
      <c r="BK291" t="str">
        <f ca="1">IFERROR(IF(0=LEN(ReferenceData!$BK$291),"",ReferenceData!$BK$291),"")</f>
        <v/>
      </c>
      <c r="BL291" t="str">
        <f ca="1">IFERROR(IF(0=LEN(ReferenceData!$BL$291),"",ReferenceData!$BL$291),"")</f>
        <v/>
      </c>
      <c r="BM291" t="str">
        <f ca="1">IFERROR(IF(0=LEN(ReferenceData!$BM$291),"",ReferenceData!$BM$291),"")</f>
        <v/>
      </c>
    </row>
    <row r="292" spans="1:65">
      <c r="A292" t="str">
        <f>IFERROR(IF(0=LEN(ReferenceData!$A$292),"",ReferenceData!$A$292),"")</f>
        <v>长期债务/总资产(%)</v>
      </c>
      <c r="B292" t="str">
        <f>IFERROR(IF(0=LEN(ReferenceData!$B$292),"",ReferenceData!$B$292),"")</f>
        <v/>
      </c>
      <c r="C292" t="str">
        <f>IFERROR(IF(0=LEN(ReferenceData!$C$292),"",ReferenceData!$C$292),"")</f>
        <v/>
      </c>
      <c r="D292" t="str">
        <f>IFERROR(IF(0=LEN(ReferenceData!$D$292),"",ReferenceData!$D$292),"")</f>
        <v/>
      </c>
      <c r="E292" t="str">
        <f>IFERROR(IF(0=LEN(ReferenceData!$E$292),"",ReferenceData!$E$292),"")</f>
        <v>Median</v>
      </c>
      <c r="F292" t="str">
        <f ca="1">IFERROR(IF(0=LEN(ReferenceData!$F$292),"",ReferenceData!$F$292),"")</f>
        <v/>
      </c>
      <c r="G292">
        <f ca="1">IFERROR(IF(0=LEN(ReferenceData!$G$292),"",ReferenceData!$G$292),"")</f>
        <v>9.8576503720000002</v>
      </c>
      <c r="H292">
        <f ca="1">IFERROR(IF(0=LEN(ReferenceData!$H$292),"",ReferenceData!$H$292),"")</f>
        <v>9.8193790439999997</v>
      </c>
      <c r="I292">
        <f ca="1">IFERROR(IF(0=LEN(ReferenceData!$I$292),"",ReferenceData!$I$292),"")</f>
        <v>9.6966543099999996</v>
      </c>
      <c r="J292">
        <f ca="1">IFERROR(IF(0=LEN(ReferenceData!$J$292),"",ReferenceData!$J$292),"")</f>
        <v>13.81723339</v>
      </c>
      <c r="K292">
        <f ca="1">IFERROR(IF(0=LEN(ReferenceData!$K$292),"",ReferenceData!$K$292),"")</f>
        <v>14.42329251</v>
      </c>
      <c r="L292">
        <f ca="1">IFERROR(IF(0=LEN(ReferenceData!$L$292),"",ReferenceData!$L$292),"")</f>
        <v>14.90199039</v>
      </c>
      <c r="M292">
        <f ca="1">IFERROR(IF(0=LEN(ReferenceData!$M$292),"",ReferenceData!$M$292),"")</f>
        <v>15.46618715</v>
      </c>
      <c r="N292">
        <f ca="1">IFERROR(IF(0=LEN(ReferenceData!$N$292),"",ReferenceData!$N$292),"")</f>
        <v>15.36899425</v>
      </c>
      <c r="O292">
        <f ca="1">IFERROR(IF(0=LEN(ReferenceData!$O$292),"",ReferenceData!$O$292),"")</f>
        <v>15.19623642</v>
      </c>
      <c r="P292">
        <f ca="1">IFERROR(IF(0=LEN(ReferenceData!$P$292),"",ReferenceData!$P$292),"")</f>
        <v>18.377711219999998</v>
      </c>
      <c r="Q292">
        <f ca="1">IFERROR(IF(0=LEN(ReferenceData!$Q$292),"",ReferenceData!$Q$292),"")</f>
        <v>18.507214900000001</v>
      </c>
      <c r="R292">
        <f ca="1">IFERROR(IF(0=LEN(ReferenceData!$R$292),"",ReferenceData!$R$292),"")</f>
        <v>17.402705739999998</v>
      </c>
      <c r="S292">
        <f ca="1">IFERROR(IF(0=LEN(ReferenceData!$S$292),"",ReferenceData!$S$292),"")</f>
        <v>20.979137099999999</v>
      </c>
      <c r="T292">
        <f ca="1">IFERROR(IF(0=LEN(ReferenceData!$T$292),"",ReferenceData!$T$292),"")</f>
        <v>21.81343656</v>
      </c>
      <c r="U292">
        <f ca="1">IFERROR(IF(0=LEN(ReferenceData!$U$292),"",ReferenceData!$U$292),"")</f>
        <v>22.623677919999999</v>
      </c>
      <c r="V292">
        <f ca="1">IFERROR(IF(0=LEN(ReferenceData!$V$292),"",ReferenceData!$V$292),"")</f>
        <v>22.04673769</v>
      </c>
      <c r="W292">
        <f ca="1">IFERROR(IF(0=LEN(ReferenceData!$W$292),"",ReferenceData!$W$292),"")</f>
        <v>19.764355090000002</v>
      </c>
      <c r="X292">
        <f ca="1">IFERROR(IF(0=LEN(ReferenceData!$X$292),"",ReferenceData!$X$292),"")</f>
        <v>20.130872225000001</v>
      </c>
      <c r="Y292">
        <f ca="1">IFERROR(IF(0=LEN(ReferenceData!$Y$292),"",ReferenceData!$Y$292),"")</f>
        <v>22.3783268</v>
      </c>
      <c r="Z292">
        <f ca="1">IFERROR(IF(0=LEN(ReferenceData!$Z$292),"",ReferenceData!$Z$292),"")</f>
        <v>21.048385265</v>
      </c>
      <c r="AA292">
        <f ca="1">IFERROR(IF(0=LEN(ReferenceData!$AA$292),"",ReferenceData!$AA$292),"")</f>
        <v>21.067631624999997</v>
      </c>
      <c r="AB292">
        <f ca="1">IFERROR(IF(0=LEN(ReferenceData!$AB$292),"",ReferenceData!$AB$292),"")</f>
        <v>22.81709609</v>
      </c>
      <c r="AC292">
        <f ca="1">IFERROR(IF(0=LEN(ReferenceData!$AC$292),"",ReferenceData!$AC$292),"")</f>
        <v>22.226789780000001</v>
      </c>
      <c r="AD292">
        <f ca="1">IFERROR(IF(0=LEN(ReferenceData!$AD$292),"",ReferenceData!$AD$292),"")</f>
        <v>22.241450180000001</v>
      </c>
      <c r="AE292">
        <f ca="1">IFERROR(IF(0=LEN(ReferenceData!$AE$292),"",ReferenceData!$AE$292),"")</f>
        <v>22.25053866</v>
      </c>
      <c r="AF292">
        <f ca="1">IFERROR(IF(0=LEN(ReferenceData!$AF$292),"",ReferenceData!$AF$292),"")</f>
        <v>22.790141420000001</v>
      </c>
      <c r="AG292">
        <f ca="1">IFERROR(IF(0=LEN(ReferenceData!$AG$292),"",ReferenceData!$AG$292),"")</f>
        <v>13.30364091</v>
      </c>
      <c r="AH292">
        <f ca="1">IFERROR(IF(0=LEN(ReferenceData!$AH$292),"",ReferenceData!$AH$292),"")</f>
        <v>18.227105160000001</v>
      </c>
      <c r="AI292">
        <f ca="1">IFERROR(IF(0=LEN(ReferenceData!$AI$292),"",ReferenceData!$AI$292),"")</f>
        <v>14.801680475000001</v>
      </c>
      <c r="AJ292">
        <f ca="1">IFERROR(IF(0=LEN(ReferenceData!$AJ$292),"",ReferenceData!$AJ$292),"")</f>
        <v>18.975530190000001</v>
      </c>
      <c r="AK292">
        <f ca="1">IFERROR(IF(0=LEN(ReferenceData!$AK$292),"",ReferenceData!$AK$292),"")</f>
        <v>12.99201751</v>
      </c>
      <c r="AL292">
        <f ca="1">IFERROR(IF(0=LEN(ReferenceData!$AL$292),"",ReferenceData!$AL$292),"")</f>
        <v>14.334999310000001</v>
      </c>
      <c r="AM292">
        <f ca="1">IFERROR(IF(0=LEN(ReferenceData!$AM$292),"",ReferenceData!$AM$292),"")</f>
        <v>16.380812990000003</v>
      </c>
      <c r="AN292">
        <f ca="1">IFERROR(IF(0=LEN(ReferenceData!$AN$292),"",ReferenceData!$AN$292),"")</f>
        <v>14.700377755000002</v>
      </c>
      <c r="AO292">
        <f ca="1">IFERROR(IF(0=LEN(ReferenceData!$AO$292),"",ReferenceData!$AO$292),"")</f>
        <v>16.379755634999999</v>
      </c>
      <c r="AP292">
        <f ca="1">IFERROR(IF(0=LEN(ReferenceData!$AP$292),"",ReferenceData!$AP$292),"")</f>
        <v>13.313926820000001</v>
      </c>
      <c r="AQ292">
        <f ca="1">IFERROR(IF(0=LEN(ReferenceData!$AQ$292),"",ReferenceData!$AQ$292),"")</f>
        <v>13.257503379999999</v>
      </c>
      <c r="AR292">
        <f ca="1">IFERROR(IF(0=LEN(ReferenceData!$AR$292),"",ReferenceData!$AR$292),"")</f>
        <v>17.41975154</v>
      </c>
      <c r="AS292">
        <f ca="1">IFERROR(IF(0=LEN(ReferenceData!$AS$292),"",ReferenceData!$AS$292),"")</f>
        <v>17.658514275000002</v>
      </c>
      <c r="AT292">
        <f ca="1">IFERROR(IF(0=LEN(ReferenceData!$AT$292),"",ReferenceData!$AT$292),"")</f>
        <v>16.164477314999999</v>
      </c>
      <c r="AU292">
        <f ca="1">IFERROR(IF(0=LEN(ReferenceData!$AU$292),"",ReferenceData!$AU$292),"")</f>
        <v>16.843580684999999</v>
      </c>
      <c r="AV292">
        <f ca="1">IFERROR(IF(0=LEN(ReferenceData!$AV$292),"",ReferenceData!$AV$292),"")</f>
        <v>18.665713275000002</v>
      </c>
      <c r="AW292">
        <f ca="1">IFERROR(IF(0=LEN(ReferenceData!$AW$292),"",ReferenceData!$AW$292),"")</f>
        <v>17.585511345</v>
      </c>
      <c r="AX292">
        <f ca="1">IFERROR(IF(0=LEN(ReferenceData!$AX$292),"",ReferenceData!$AX$292),"")</f>
        <v>17.761638725000001</v>
      </c>
      <c r="AY292">
        <f ca="1">IFERROR(IF(0=LEN(ReferenceData!$AY$292),"",ReferenceData!$AY$292),"")</f>
        <v>18.333348064999999</v>
      </c>
      <c r="AZ292">
        <f ca="1">IFERROR(IF(0=LEN(ReferenceData!$AZ$292),"",ReferenceData!$AZ$292),"")</f>
        <v>16.930462335000001</v>
      </c>
      <c r="BA292">
        <f ca="1">IFERROR(IF(0=LEN(ReferenceData!$BA$292),"",ReferenceData!$BA$292),"")</f>
        <v>19.95308803</v>
      </c>
      <c r="BB292">
        <f ca="1">IFERROR(IF(0=LEN(ReferenceData!$BB$292),"",ReferenceData!$BB$292),"")</f>
        <v>18.744972595</v>
      </c>
      <c r="BC292">
        <f ca="1">IFERROR(IF(0=LEN(ReferenceData!$BC$292),"",ReferenceData!$BC$292),"")</f>
        <v>19.655186725</v>
      </c>
      <c r="BD292">
        <f ca="1">IFERROR(IF(0=LEN(ReferenceData!$BD$292),"",ReferenceData!$BD$292),"")</f>
        <v>22.904767674999999</v>
      </c>
      <c r="BE292">
        <f ca="1">IFERROR(IF(0=LEN(ReferenceData!$BE$292),"",ReferenceData!$BE$292),"")</f>
        <v>25.134728590000002</v>
      </c>
      <c r="BF292">
        <f ca="1">IFERROR(IF(0=LEN(ReferenceData!$BF$292),"",ReferenceData!$BF$292),"")</f>
        <v>19.73920004</v>
      </c>
      <c r="BG292">
        <f ca="1">IFERROR(IF(0=LEN(ReferenceData!$BG$292),"",ReferenceData!$BG$292),"")</f>
        <v>18.81053206</v>
      </c>
      <c r="BH292">
        <f ca="1">IFERROR(IF(0=LEN(ReferenceData!$BH$292),"",ReferenceData!$BH$292),"")</f>
        <v>18.500105025</v>
      </c>
      <c r="BI292">
        <f ca="1">IFERROR(IF(0=LEN(ReferenceData!$BI$292),"",ReferenceData!$BI$292),"")</f>
        <v>19.795514000000001</v>
      </c>
      <c r="BJ292">
        <f ca="1">IFERROR(IF(0=LEN(ReferenceData!$BJ$292),"",ReferenceData!$BJ$292),"")</f>
        <v>29.394835205</v>
      </c>
      <c r="BK292">
        <f ca="1">IFERROR(IF(0=LEN(ReferenceData!$BK$292),"",ReferenceData!$BK$292),"")</f>
        <v>25.42238979</v>
      </c>
      <c r="BL292">
        <f ca="1">IFERROR(IF(0=LEN(ReferenceData!$BL$292),"",ReferenceData!$BL$292),"")</f>
        <v>24.497219874999999</v>
      </c>
      <c r="BM292">
        <f ca="1">IFERROR(IF(0=LEN(ReferenceData!$BM$292),"",ReferenceData!$BM$292),"")</f>
        <v>34.621093420000001</v>
      </c>
    </row>
    <row r="293" spans="1:65">
      <c r="A293" t="str">
        <f>IFERROR(IF(0=LEN(ReferenceData!$A$293),"",ReferenceData!$A$293),"")</f>
        <v xml:space="preserve">    Brixmor Property Group Inc</v>
      </c>
      <c r="B293" t="str">
        <f>IFERROR(IF(0=LEN(ReferenceData!$B$293),"",ReferenceData!$B$293),"")</f>
        <v>BRX US Equity</v>
      </c>
      <c r="C293" t="str">
        <f>IFERROR(IF(0=LEN(ReferenceData!$C$293),"",ReferenceData!$C$293),"")</f>
        <v>RR147</v>
      </c>
      <c r="D293" t="str">
        <f>IFERROR(IF(0=LEN(ReferenceData!$D$293),"",ReferenceData!$D$293),"")</f>
        <v>LT_DEBT_TO_TOT_ASSET</v>
      </c>
      <c r="E293" t="str">
        <f>IFERROR(IF(0=LEN(ReferenceData!$E$293),"",ReferenceData!$E$293),"")</f>
        <v>动态</v>
      </c>
      <c r="F293" t="str">
        <f ca="1">IFERROR(IF(0=LEN(ReferenceData!$F$293),"",ReferenceData!$F$293),"")</f>
        <v/>
      </c>
      <c r="G293">
        <f ca="1">IFERROR(IF(0=LEN(ReferenceData!$G$293),"",ReferenceData!$G$293),"")</f>
        <v>10.02788312</v>
      </c>
      <c r="H293">
        <f ca="1">IFERROR(IF(0=LEN(ReferenceData!$H$293),"",ReferenceData!$H$293),"")</f>
        <v>10.14100359</v>
      </c>
      <c r="I293">
        <f ca="1">IFERROR(IF(0=LEN(ReferenceData!$I$293),"",ReferenceData!$I$293),"")</f>
        <v>11.169567969999999</v>
      </c>
      <c r="J293">
        <f ca="1">IFERROR(IF(0=LEN(ReferenceData!$J$293),"",ReferenceData!$J$293),"")</f>
        <v>14.202137860000001</v>
      </c>
      <c r="K293">
        <f ca="1">IFERROR(IF(0=LEN(ReferenceData!$K$293),"",ReferenceData!$K$293),"")</f>
        <v>14.346987049999999</v>
      </c>
      <c r="L293">
        <f ca="1">IFERROR(IF(0=LEN(ReferenceData!$L$293),"",ReferenceData!$L$293),"")</f>
        <v>14.90199039</v>
      </c>
      <c r="M293">
        <f ca="1">IFERROR(IF(0=LEN(ReferenceData!$M$293),"",ReferenceData!$M$293),"")</f>
        <v>22.056868260000002</v>
      </c>
      <c r="N293">
        <f ca="1">IFERROR(IF(0=LEN(ReferenceData!$N$293),"",ReferenceData!$N$293),"")</f>
        <v>23.84432627</v>
      </c>
      <c r="O293">
        <f ca="1">IFERROR(IF(0=LEN(ReferenceData!$O$293),"",ReferenceData!$O$293),"")</f>
        <v>23.852572439999999</v>
      </c>
      <c r="P293">
        <f ca="1">IFERROR(IF(0=LEN(ReferenceData!$P$293),"",ReferenceData!$P$293),"")</f>
        <v>27.901786210000001</v>
      </c>
      <c r="Q293">
        <f ca="1">IFERROR(IF(0=LEN(ReferenceData!$Q$293),"",ReferenceData!$Q$293),"")</f>
        <v>29.024065140000001</v>
      </c>
      <c r="R293">
        <f ca="1">IFERROR(IF(0=LEN(ReferenceData!$R$293),"",ReferenceData!$R$293),"")</f>
        <v>32.350649369999999</v>
      </c>
      <c r="S293">
        <f ca="1">IFERROR(IF(0=LEN(ReferenceData!$S$293),"",ReferenceData!$S$293),"")</f>
        <v>32.832777989999997</v>
      </c>
      <c r="T293">
        <f ca="1">IFERROR(IF(0=LEN(ReferenceData!$T$293),"",ReferenceData!$T$293),"")</f>
        <v>33.526164119999997</v>
      </c>
      <c r="U293">
        <f ca="1">IFERROR(IF(0=LEN(ReferenceData!$U$293),"",ReferenceData!$U$293),"")</f>
        <v>33.636599160000003</v>
      </c>
      <c r="V293">
        <f ca="1">IFERROR(IF(0=LEN(ReferenceData!$V$293),"",ReferenceData!$V$293),"")</f>
        <v>34.727929449999998</v>
      </c>
      <c r="W293">
        <f ca="1">IFERROR(IF(0=LEN(ReferenceData!$W$293),"",ReferenceData!$W$293),"")</f>
        <v>39.532955250000001</v>
      </c>
      <c r="X293">
        <f ca="1">IFERROR(IF(0=LEN(ReferenceData!$X$293),"",ReferenceData!$X$293),"")</f>
        <v>39.438503969999999</v>
      </c>
      <c r="Y293">
        <f ca="1">IFERROR(IF(0=LEN(ReferenceData!$Y$293),"",ReferenceData!$Y$293),"")</f>
        <v>64.476477729999999</v>
      </c>
      <c r="Z293">
        <f ca="1">IFERROR(IF(0=LEN(ReferenceData!$Z$293),"",ReferenceData!$Z$293),"")</f>
        <v>64.142409670000006</v>
      </c>
      <c r="AA293">
        <f ca="1">IFERROR(IF(0=LEN(ReferenceData!$AA$293),"",ReferenceData!$AA$293),"")</f>
        <v>63.67598461</v>
      </c>
      <c r="AB293" t="str">
        <f ca="1">IFERROR(IF(0=LEN(ReferenceData!$AB$293),"",ReferenceData!$AB$293),"")</f>
        <v/>
      </c>
      <c r="AC293" t="str">
        <f ca="1">IFERROR(IF(0=LEN(ReferenceData!$AC$293),"",ReferenceData!$AC$293),"")</f>
        <v/>
      </c>
      <c r="AD293" t="str">
        <f ca="1">IFERROR(IF(0=LEN(ReferenceData!$AD$293),"",ReferenceData!$AD$293),"")</f>
        <v/>
      </c>
      <c r="AE293" t="str">
        <f ca="1">IFERROR(IF(0=LEN(ReferenceData!$AE$293),"",ReferenceData!$AE$293),"")</f>
        <v/>
      </c>
      <c r="AF293" t="str">
        <f ca="1">IFERROR(IF(0=LEN(ReferenceData!$AF$293),"",ReferenceData!$AF$293),"")</f>
        <v/>
      </c>
      <c r="AG293" t="str">
        <f ca="1">IFERROR(IF(0=LEN(ReferenceData!$AG$293),"",ReferenceData!$AG$293),"")</f>
        <v/>
      </c>
      <c r="AH293" t="str">
        <f ca="1">IFERROR(IF(0=LEN(ReferenceData!$AH$293),"",ReferenceData!$AH$293),"")</f>
        <v/>
      </c>
      <c r="AI293" t="str">
        <f ca="1">IFERROR(IF(0=LEN(ReferenceData!$AI$293),"",ReferenceData!$AI$293),"")</f>
        <v/>
      </c>
      <c r="AJ293" t="str">
        <f ca="1">IFERROR(IF(0=LEN(ReferenceData!$AJ$293),"",ReferenceData!$AJ$293),"")</f>
        <v/>
      </c>
      <c r="AK293" t="str">
        <f ca="1">IFERROR(IF(0=LEN(ReferenceData!$AK$293),"",ReferenceData!$AK$293),"")</f>
        <v/>
      </c>
      <c r="AL293" t="str">
        <f ca="1">IFERROR(IF(0=LEN(ReferenceData!$AL$293),"",ReferenceData!$AL$293),"")</f>
        <v/>
      </c>
      <c r="AM293" t="str">
        <f ca="1">IFERROR(IF(0=LEN(ReferenceData!$AM$293),"",ReferenceData!$AM$293),"")</f>
        <v/>
      </c>
      <c r="AN293" t="str">
        <f ca="1">IFERROR(IF(0=LEN(ReferenceData!$AN$293),"",ReferenceData!$AN$293),"")</f>
        <v/>
      </c>
      <c r="AO293" t="str">
        <f ca="1">IFERROR(IF(0=LEN(ReferenceData!$AO$293),"",ReferenceData!$AO$293),"")</f>
        <v/>
      </c>
      <c r="AP293" t="str">
        <f ca="1">IFERROR(IF(0=LEN(ReferenceData!$AP$293),"",ReferenceData!$AP$293),"")</f>
        <v/>
      </c>
      <c r="AQ293" t="str">
        <f ca="1">IFERROR(IF(0=LEN(ReferenceData!$AQ$293),"",ReferenceData!$AQ$293),"")</f>
        <v/>
      </c>
      <c r="AR293" t="str">
        <f ca="1">IFERROR(IF(0=LEN(ReferenceData!$AR$293),"",ReferenceData!$AR$293),"")</f>
        <v/>
      </c>
      <c r="AS293" t="str">
        <f ca="1">IFERROR(IF(0=LEN(ReferenceData!$AS$293),"",ReferenceData!$AS$293),"")</f>
        <v/>
      </c>
      <c r="AT293" t="str">
        <f ca="1">IFERROR(IF(0=LEN(ReferenceData!$AT$293),"",ReferenceData!$AT$293),"")</f>
        <v/>
      </c>
      <c r="AU293" t="str">
        <f ca="1">IFERROR(IF(0=LEN(ReferenceData!$AU$293),"",ReferenceData!$AU$293),"")</f>
        <v/>
      </c>
      <c r="AV293" t="str">
        <f ca="1">IFERROR(IF(0=LEN(ReferenceData!$AV$293),"",ReferenceData!$AV$293),"")</f>
        <v/>
      </c>
      <c r="AW293" t="str">
        <f ca="1">IFERROR(IF(0=LEN(ReferenceData!$AW$293),"",ReferenceData!$AW$293),"")</f>
        <v/>
      </c>
      <c r="AX293" t="str">
        <f ca="1">IFERROR(IF(0=LEN(ReferenceData!$AX$293),"",ReferenceData!$AX$293),"")</f>
        <v/>
      </c>
      <c r="AY293" t="str">
        <f ca="1">IFERROR(IF(0=LEN(ReferenceData!$AY$293),"",ReferenceData!$AY$293),"")</f>
        <v/>
      </c>
      <c r="AZ293" t="str">
        <f ca="1">IFERROR(IF(0=LEN(ReferenceData!$AZ$293),"",ReferenceData!$AZ$293),"")</f>
        <v/>
      </c>
      <c r="BA293" t="str">
        <f ca="1">IFERROR(IF(0=LEN(ReferenceData!$BA$293),"",ReferenceData!$BA$293),"")</f>
        <v/>
      </c>
      <c r="BB293" t="str">
        <f ca="1">IFERROR(IF(0=LEN(ReferenceData!$BB$293),"",ReferenceData!$BB$293),"")</f>
        <v/>
      </c>
      <c r="BC293" t="str">
        <f ca="1">IFERROR(IF(0=LEN(ReferenceData!$BC$293),"",ReferenceData!$BC$293),"")</f>
        <v/>
      </c>
      <c r="BD293" t="str">
        <f ca="1">IFERROR(IF(0=LEN(ReferenceData!$BD$293),"",ReferenceData!$BD$293),"")</f>
        <v/>
      </c>
      <c r="BE293" t="str">
        <f ca="1">IFERROR(IF(0=LEN(ReferenceData!$BE$293),"",ReferenceData!$BE$293),"")</f>
        <v/>
      </c>
      <c r="BF293" t="str">
        <f ca="1">IFERROR(IF(0=LEN(ReferenceData!$BF$293),"",ReferenceData!$BF$293),"")</f>
        <v/>
      </c>
      <c r="BG293" t="str">
        <f ca="1">IFERROR(IF(0=LEN(ReferenceData!$BG$293),"",ReferenceData!$BG$293),"")</f>
        <v/>
      </c>
      <c r="BH293" t="str">
        <f ca="1">IFERROR(IF(0=LEN(ReferenceData!$BH$293),"",ReferenceData!$BH$293),"")</f>
        <v/>
      </c>
      <c r="BI293" t="str">
        <f ca="1">IFERROR(IF(0=LEN(ReferenceData!$BI$293),"",ReferenceData!$BI$293),"")</f>
        <v/>
      </c>
      <c r="BJ293" t="str">
        <f ca="1">IFERROR(IF(0=LEN(ReferenceData!$BJ$293),"",ReferenceData!$BJ$293),"")</f>
        <v/>
      </c>
      <c r="BK293" t="str">
        <f ca="1">IFERROR(IF(0=LEN(ReferenceData!$BK$293),"",ReferenceData!$BK$293),"")</f>
        <v/>
      </c>
      <c r="BL293" t="str">
        <f ca="1">IFERROR(IF(0=LEN(ReferenceData!$BL$293),"",ReferenceData!$BL$293),"")</f>
        <v/>
      </c>
      <c r="BM293" t="str">
        <f ca="1">IFERROR(IF(0=LEN(ReferenceData!$BM$293),"",ReferenceData!$BM$293),"")</f>
        <v/>
      </c>
    </row>
    <row r="294" spans="1:65">
      <c r="A294" t="str">
        <f>IFERROR(IF(0=LEN(ReferenceData!$A$294),"",ReferenceData!$A$294),"")</f>
        <v xml:space="preserve">    CBL &amp; Associates Properties In</v>
      </c>
      <c r="B294" t="str">
        <f>IFERROR(IF(0=LEN(ReferenceData!$B$294),"",ReferenceData!$B$294),"")</f>
        <v>CBL US Equity</v>
      </c>
      <c r="C294" t="str">
        <f>IFERROR(IF(0=LEN(ReferenceData!$C$294),"",ReferenceData!$C$294),"")</f>
        <v>RR147</v>
      </c>
      <c r="D294" t="str">
        <f>IFERROR(IF(0=LEN(ReferenceData!$D$294),"",ReferenceData!$D$294),"")</f>
        <v>LT_DEBT_TO_TOT_ASSET</v>
      </c>
      <c r="E294" t="str">
        <f>IFERROR(IF(0=LEN(ReferenceData!$E$294),"",ReferenceData!$E$294),"")</f>
        <v>动态</v>
      </c>
      <c r="F294" t="str">
        <f ca="1">IFERROR(IF(0=LEN(ReferenceData!$F$294),"",ReferenceData!$F$294),"")</f>
        <v/>
      </c>
      <c r="G294">
        <f ca="1">IFERROR(IF(0=LEN(ReferenceData!$G$294),"",ReferenceData!$G$294),"")</f>
        <v>41.284509489999998</v>
      </c>
      <c r="H294">
        <f ca="1">IFERROR(IF(0=LEN(ReferenceData!$H$294),"",ReferenceData!$H$294),"")</f>
        <v>33.218663880000001</v>
      </c>
      <c r="I294">
        <f ca="1">IFERROR(IF(0=LEN(ReferenceData!$I$294),"",ReferenceData!$I$294),"")</f>
        <v>36.905580309999998</v>
      </c>
      <c r="J294">
        <f ca="1">IFERROR(IF(0=LEN(ReferenceData!$J$294),"",ReferenceData!$J$294),"")</f>
        <v>38.301288460000002</v>
      </c>
      <c r="K294">
        <f ca="1">IFERROR(IF(0=LEN(ReferenceData!$K$294),"",ReferenceData!$K$294),"")</f>
        <v>41.255815249999998</v>
      </c>
      <c r="L294">
        <f ca="1">IFERROR(IF(0=LEN(ReferenceData!$L$294),"",ReferenceData!$L$294),"")</f>
        <v>41.472252580000003</v>
      </c>
      <c r="M294">
        <f ca="1">IFERROR(IF(0=LEN(ReferenceData!$M$294),"",ReferenceData!$M$294),"")</f>
        <v>42.335914379999998</v>
      </c>
      <c r="N294">
        <f ca="1">IFERROR(IF(0=LEN(ReferenceData!$N$294),"",ReferenceData!$N$294),"")</f>
        <v>43.317280519999997</v>
      </c>
      <c r="O294">
        <f ca="1">IFERROR(IF(0=LEN(ReferenceData!$O$294),"",ReferenceData!$O$294),"")</f>
        <v>54.193346869999999</v>
      </c>
      <c r="P294">
        <f ca="1">IFERROR(IF(0=LEN(ReferenceData!$P$294),"",ReferenceData!$P$294),"")</f>
        <v>52.860171440000002</v>
      </c>
      <c r="Q294">
        <f ca="1">IFERROR(IF(0=LEN(ReferenceData!$Q$294),"",ReferenceData!$Q$294),"")</f>
        <v>58.647761039999999</v>
      </c>
      <c r="R294">
        <f ca="1">IFERROR(IF(0=LEN(ReferenceData!$R$294),"",ReferenceData!$R$294),"")</f>
        <v>49.924429979999999</v>
      </c>
      <c r="S294">
        <f ca="1">IFERROR(IF(0=LEN(ReferenceData!$S$294),"",ReferenceData!$S$294),"")</f>
        <v>60.797778870000002</v>
      </c>
      <c r="T294">
        <f ca="1">IFERROR(IF(0=LEN(ReferenceData!$T$294),"",ReferenceData!$T$294),"")</f>
        <v>58.847686869999997</v>
      </c>
      <c r="U294">
        <f ca="1">IFERROR(IF(0=LEN(ReferenceData!$U$294),"",ReferenceData!$U$294),"")</f>
        <v>59.383581079999999</v>
      </c>
      <c r="V294">
        <f ca="1">IFERROR(IF(0=LEN(ReferenceData!$V$294),"",ReferenceData!$V$294),"")</f>
        <v>59.198901999999997</v>
      </c>
      <c r="W294">
        <f ca="1">IFERROR(IF(0=LEN(ReferenceData!$W$294),"",ReferenceData!$W$294),"")</f>
        <v>61.579529299999997</v>
      </c>
      <c r="X294">
        <f ca="1">IFERROR(IF(0=LEN(ReferenceData!$X$294),"",ReferenceData!$X$294),"")</f>
        <v>54.652571520000002</v>
      </c>
      <c r="Y294">
        <f ca="1">IFERROR(IF(0=LEN(ReferenceData!$Y$294),"",ReferenceData!$Y$294),"")</f>
        <v>53.86202256</v>
      </c>
      <c r="Z294">
        <f ca="1">IFERROR(IF(0=LEN(ReferenceData!$Z$294),"",ReferenceData!$Z$294),"")</f>
        <v>60.403326030000002</v>
      </c>
      <c r="AA294">
        <f ca="1">IFERROR(IF(0=LEN(ReferenceData!$AA$294),"",ReferenceData!$AA$294),"")</f>
        <v>60.078852019999999</v>
      </c>
      <c r="AB294">
        <f ca="1">IFERROR(IF(0=LEN(ReferenceData!$AB$294),"",ReferenceData!$AB$294),"")</f>
        <v>62.496132250000002</v>
      </c>
      <c r="AC294">
        <f ca="1">IFERROR(IF(0=LEN(ReferenceData!$AC$294),"",ReferenceData!$AC$294),"")</f>
        <v>60.576144650000003</v>
      </c>
      <c r="AD294">
        <f ca="1">IFERROR(IF(0=LEN(ReferenceData!$AD$294),"",ReferenceData!$AD$294),"")</f>
        <v>55.858876240000001</v>
      </c>
      <c r="AE294">
        <f ca="1">IFERROR(IF(0=LEN(ReferenceData!$AE$294),"",ReferenceData!$AE$294),"")</f>
        <v>60.309672190000001</v>
      </c>
      <c r="AF294">
        <f ca="1">IFERROR(IF(0=LEN(ReferenceData!$AF$294),"",ReferenceData!$AF$294),"")</f>
        <v>61.716552180000001</v>
      </c>
      <c r="AG294">
        <f ca="1">IFERROR(IF(0=LEN(ReferenceData!$AG$294),"",ReferenceData!$AG$294),"")</f>
        <v>61.434791599999997</v>
      </c>
      <c r="AH294">
        <f ca="1">IFERROR(IF(0=LEN(ReferenceData!$AH$294),"",ReferenceData!$AH$294),"")</f>
        <v>59.377987410000003</v>
      </c>
      <c r="AI294">
        <f ca="1">IFERROR(IF(0=LEN(ReferenceData!$AI$294),"",ReferenceData!$AI$294),"")</f>
        <v>55.604862099999998</v>
      </c>
      <c r="AJ294">
        <f ca="1">IFERROR(IF(0=LEN(ReferenceData!$AJ$294),"",ReferenceData!$AJ$294),"")</f>
        <v>55.719823310000002</v>
      </c>
      <c r="AK294">
        <f ca="1">IFERROR(IF(0=LEN(ReferenceData!$AK$294),"",ReferenceData!$AK$294),"")</f>
        <v>57.286602790000003</v>
      </c>
      <c r="AL294">
        <f ca="1">IFERROR(IF(0=LEN(ReferenceData!$AL$294),"",ReferenceData!$AL$294),"")</f>
        <v>57.12356904</v>
      </c>
      <c r="AM294">
        <f ca="1">IFERROR(IF(0=LEN(ReferenceData!$AM$294),"",ReferenceData!$AM$294),"")</f>
        <v>57.179144819999998</v>
      </c>
      <c r="AN294">
        <f ca="1">IFERROR(IF(0=LEN(ReferenceData!$AN$294),"",ReferenceData!$AN$294),"")</f>
        <v>56.909463500000001</v>
      </c>
      <c r="AO294">
        <f ca="1">IFERROR(IF(0=LEN(ReferenceData!$AO$294),"",ReferenceData!$AO$294),"")</f>
        <v>57.072319970000002</v>
      </c>
      <c r="AP294">
        <f ca="1">IFERROR(IF(0=LEN(ReferenceData!$AP$294),"",ReferenceData!$AP$294),"")</f>
        <v>57.304998070000003</v>
      </c>
      <c r="AQ294">
        <f ca="1">IFERROR(IF(0=LEN(ReferenceData!$AQ$294),"",ReferenceData!$AQ$294),"")</f>
        <v>57.087885929999999</v>
      </c>
      <c r="AR294">
        <f ca="1">IFERROR(IF(0=LEN(ReferenceData!$AR$294),"",ReferenceData!$AR$294),"")</f>
        <v>55.220503649999998</v>
      </c>
      <c r="AS294">
        <f ca="1">IFERROR(IF(0=LEN(ReferenceData!$AS$294),"",ReferenceData!$AS$294),"")</f>
        <v>55.524119220000003</v>
      </c>
      <c r="AT294">
        <f ca="1">IFERROR(IF(0=LEN(ReferenceData!$AT$294),"",ReferenceData!$AT$294),"")</f>
        <v>55.736044120000003</v>
      </c>
      <c r="AU294">
        <f ca="1">IFERROR(IF(0=LEN(ReferenceData!$AU$294),"",ReferenceData!$AU$294),"")</f>
        <v>58.041440110000003</v>
      </c>
      <c r="AV294">
        <f ca="1">IFERROR(IF(0=LEN(ReferenceData!$AV$294),"",ReferenceData!$AV$294),"")</f>
        <v>61.032082780000003</v>
      </c>
      <c r="AW294">
        <f ca="1">IFERROR(IF(0=LEN(ReferenceData!$AW$294),"",ReferenceData!$AW$294),"")</f>
        <v>61.399105169999999</v>
      </c>
      <c r="AX294">
        <f ca="1">IFERROR(IF(0=LEN(ReferenceData!$AX$294),"",ReferenceData!$AX$294),"")</f>
        <v>61.433694070000001</v>
      </c>
      <c r="AY294">
        <f ca="1">IFERROR(IF(0=LEN(ReferenceData!$AY$294),"",ReferenceData!$AY$294),"")</f>
        <v>70.020985429999996</v>
      </c>
      <c r="AZ294">
        <f ca="1">IFERROR(IF(0=LEN(ReferenceData!$AZ$294),"",ReferenceData!$AZ$294),"")</f>
        <v>57.603841269999997</v>
      </c>
      <c r="BA294">
        <f ca="1">IFERROR(IF(0=LEN(ReferenceData!$BA$294),"",ReferenceData!$BA$294),"")</f>
        <v>63.451641770000002</v>
      </c>
      <c r="BB294">
        <f ca="1">IFERROR(IF(0=LEN(ReferenceData!$BB$294),"",ReferenceData!$BB$294),"")</f>
        <v>63.602625459999999</v>
      </c>
      <c r="BC294">
        <f ca="1">IFERROR(IF(0=LEN(ReferenceData!$BC$294),"",ReferenceData!$BC$294),"")</f>
        <v>68.338081729999999</v>
      </c>
      <c r="BD294">
        <f ca="1">IFERROR(IF(0=LEN(ReferenceData!$BD$294),"",ReferenceData!$BD$294),"")</f>
        <v>57.255159069999998</v>
      </c>
      <c r="BE294">
        <f ca="1">IFERROR(IF(0=LEN(ReferenceData!$BE$294),"",ReferenceData!$BE$294),"")</f>
        <v>64.936908020000004</v>
      </c>
      <c r="BF294">
        <f ca="1">IFERROR(IF(0=LEN(ReferenceData!$BF$294),"",ReferenceData!$BF$294),"")</f>
        <v>64.480476100000004</v>
      </c>
      <c r="BG294">
        <f ca="1">IFERROR(IF(0=LEN(ReferenceData!$BG$294),"",ReferenceData!$BG$294),"")</f>
        <v>64.017273509999995</v>
      </c>
      <c r="BH294">
        <f ca="1">IFERROR(IF(0=LEN(ReferenceData!$BH$294),"",ReferenceData!$BH$294),"")</f>
        <v>66.990457550000002</v>
      </c>
      <c r="BI294">
        <f ca="1">IFERROR(IF(0=LEN(ReferenceData!$BI$294),"",ReferenceData!$BI$294),"")</f>
        <v>66.311139150000002</v>
      </c>
      <c r="BJ294">
        <f ca="1">IFERROR(IF(0=LEN(ReferenceData!$BJ$294),"",ReferenceData!$BJ$294),"")</f>
        <v>64.458728679999993</v>
      </c>
      <c r="BK294">
        <f ca="1">IFERROR(IF(0=LEN(ReferenceData!$BK$294),"",ReferenceData!$BK$294),"")</f>
        <v>62.521299200000001</v>
      </c>
      <c r="BL294">
        <f ca="1">IFERROR(IF(0=LEN(ReferenceData!$BL$294),"",ReferenceData!$BL$294),"")</f>
        <v>63.386945959999998</v>
      </c>
      <c r="BM294">
        <f ca="1">IFERROR(IF(0=LEN(ReferenceData!$BM$294),"",ReferenceData!$BM$294),"")</f>
        <v>64.331709720000006</v>
      </c>
    </row>
    <row r="295" spans="1:65">
      <c r="A295" t="str">
        <f>IFERROR(IF(0=LEN(ReferenceData!$A$295),"",ReferenceData!$A$295),"")</f>
        <v xml:space="preserve">    DDR Corp</v>
      </c>
      <c r="B295" t="str">
        <f>IFERROR(IF(0=LEN(ReferenceData!$B$295),"",ReferenceData!$B$295),"")</f>
        <v>DDR US Equity</v>
      </c>
      <c r="C295" t="str">
        <f>IFERROR(IF(0=LEN(ReferenceData!$C$295),"",ReferenceData!$C$295),"")</f>
        <v>RR147</v>
      </c>
      <c r="D295" t="str">
        <f>IFERROR(IF(0=LEN(ReferenceData!$D$295),"",ReferenceData!$D$295),"")</f>
        <v>LT_DEBT_TO_TOT_ASSET</v>
      </c>
      <c r="E295" t="str">
        <f>IFERROR(IF(0=LEN(ReferenceData!$E$295),"",ReferenceData!$E$295),"")</f>
        <v>动态</v>
      </c>
      <c r="F295" t="str">
        <f ca="1">IFERROR(IF(0=LEN(ReferenceData!$F$295),"",ReferenceData!$F$295),"")</f>
        <v/>
      </c>
      <c r="G295">
        <f ca="1">IFERROR(IF(0=LEN(ReferenceData!$G$295),"",ReferenceData!$G$295),"")</f>
        <v>8.9149998890000006</v>
      </c>
      <c r="H295">
        <f ca="1">IFERROR(IF(0=LEN(ReferenceData!$H$295),"",ReferenceData!$H$295),"")</f>
        <v>9.8193790439999997</v>
      </c>
      <c r="I295">
        <f ca="1">IFERROR(IF(0=LEN(ReferenceData!$I$295),"",ReferenceData!$I$295),"")</f>
        <v>13.398426949999999</v>
      </c>
      <c r="J295">
        <f ca="1">IFERROR(IF(0=LEN(ReferenceData!$J$295),"",ReferenceData!$J$295),"")</f>
        <v>13.81723339</v>
      </c>
      <c r="K295">
        <f ca="1">IFERROR(IF(0=LEN(ReferenceData!$K$295),"",ReferenceData!$K$295),"")</f>
        <v>14.42329251</v>
      </c>
      <c r="L295">
        <f ca="1">IFERROR(IF(0=LEN(ReferenceData!$L$295),"",ReferenceData!$L$295),"")</f>
        <v>15.432238630000001</v>
      </c>
      <c r="M295">
        <f ca="1">IFERROR(IF(0=LEN(ReferenceData!$M$295),"",ReferenceData!$M$295),"")</f>
        <v>15.46618715</v>
      </c>
      <c r="N295">
        <f ca="1">IFERROR(IF(0=LEN(ReferenceData!$N$295),"",ReferenceData!$N$295),"")</f>
        <v>15.36899425</v>
      </c>
      <c r="O295">
        <f ca="1">IFERROR(IF(0=LEN(ReferenceData!$O$295),"",ReferenceData!$O$295),"")</f>
        <v>15.19623642</v>
      </c>
      <c r="P295">
        <f ca="1">IFERROR(IF(0=LEN(ReferenceData!$P$295),"",ReferenceData!$P$295),"")</f>
        <v>15.39975134</v>
      </c>
      <c r="Q295">
        <f ca="1">IFERROR(IF(0=LEN(ReferenceData!$Q$295),"",ReferenceData!$Q$295),"")</f>
        <v>17.378092039999999</v>
      </c>
      <c r="R295">
        <f ca="1">IFERROR(IF(0=LEN(ReferenceData!$R$295),"",ReferenceData!$R$295),"")</f>
        <v>21.44653576</v>
      </c>
      <c r="S295">
        <f ca="1">IFERROR(IF(0=LEN(ReferenceData!$S$295),"",ReferenceData!$S$295),"")</f>
        <v>21.880952310000001</v>
      </c>
      <c r="T295">
        <f ca="1">IFERROR(IF(0=LEN(ReferenceData!$T$295),"",ReferenceData!$T$295),"")</f>
        <v>21.81343656</v>
      </c>
      <c r="U295">
        <f ca="1">IFERROR(IF(0=LEN(ReferenceData!$U$295),"",ReferenceData!$U$295),"")</f>
        <v>22.623677919999999</v>
      </c>
      <c r="V295">
        <f ca="1">IFERROR(IF(0=LEN(ReferenceData!$V$295),"",ReferenceData!$V$295),"")</f>
        <v>22.04673769</v>
      </c>
      <c r="W295">
        <f ca="1">IFERROR(IF(0=LEN(ReferenceData!$W$295),"",ReferenceData!$W$295),"")</f>
        <v>22.298614690000001</v>
      </c>
      <c r="X295">
        <f ca="1">IFERROR(IF(0=LEN(ReferenceData!$X$295),"",ReferenceData!$X$295),"")</f>
        <v>20.968508270000001</v>
      </c>
      <c r="Y295">
        <f ca="1">IFERROR(IF(0=LEN(ReferenceData!$Y$295),"",ReferenceData!$Y$295),"")</f>
        <v>19.78637157</v>
      </c>
      <c r="Z295">
        <f ca="1">IFERROR(IF(0=LEN(ReferenceData!$Z$295),"",ReferenceData!$Z$295),"")</f>
        <v>20.639254999999999</v>
      </c>
      <c r="AA295">
        <f ca="1">IFERROR(IF(0=LEN(ReferenceData!$AA$295),"",ReferenceData!$AA$295),"")</f>
        <v>20.781713929999999</v>
      </c>
      <c r="AB295">
        <f ca="1">IFERROR(IF(0=LEN(ReferenceData!$AB$295),"",ReferenceData!$AB$295),"")</f>
        <v>23.491636320000001</v>
      </c>
      <c r="AC295">
        <f ca="1">IFERROR(IF(0=LEN(ReferenceData!$AC$295),"",ReferenceData!$AC$295),"")</f>
        <v>24.556840319999999</v>
      </c>
      <c r="AD295">
        <f ca="1">IFERROR(IF(0=LEN(ReferenceData!$AD$295),"",ReferenceData!$AD$295),"")</f>
        <v>25.266484890000001</v>
      </c>
      <c r="AE295">
        <f ca="1">IFERROR(IF(0=LEN(ReferenceData!$AE$295),"",ReferenceData!$AE$295),"")</f>
        <v>24.398732160000002</v>
      </c>
      <c r="AF295">
        <f ca="1">IFERROR(IF(0=LEN(ReferenceData!$AF$295),"",ReferenceData!$AF$295),"")</f>
        <v>24.205092579999999</v>
      </c>
      <c r="AG295">
        <f ca="1">IFERROR(IF(0=LEN(ReferenceData!$AG$295),"",ReferenceData!$AG$295),"")</f>
        <v>23.308069639999999</v>
      </c>
      <c r="AH295">
        <f ca="1">IFERROR(IF(0=LEN(ReferenceData!$AH$295),"",ReferenceData!$AH$295),"")</f>
        <v>24.182840649999999</v>
      </c>
      <c r="AI295">
        <f ca="1">IFERROR(IF(0=LEN(ReferenceData!$AI$295),"",ReferenceData!$AI$295),"")</f>
        <v>25.470263599999999</v>
      </c>
      <c r="AJ295">
        <f ca="1">IFERROR(IF(0=LEN(ReferenceData!$AJ$295),"",ReferenceData!$AJ$295),"")</f>
        <v>27.494671570000001</v>
      </c>
      <c r="AK295">
        <f ca="1">IFERROR(IF(0=LEN(ReferenceData!$AK$295),"",ReferenceData!$AK$295),"")</f>
        <v>29.70341444</v>
      </c>
      <c r="AL295">
        <f ca="1">IFERROR(IF(0=LEN(ReferenceData!$AL$295),"",ReferenceData!$AL$295),"")</f>
        <v>30.702341690000001</v>
      </c>
      <c r="AM295">
        <f ca="1">IFERROR(IF(0=LEN(ReferenceData!$AM$295),"",ReferenceData!$AM$295),"")</f>
        <v>32.20506572</v>
      </c>
      <c r="AN295">
        <f ca="1">IFERROR(IF(0=LEN(ReferenceData!$AN$295),"",ReferenceData!$AN$295),"")</f>
        <v>29.637931219999999</v>
      </c>
      <c r="AO295">
        <f ca="1">IFERROR(IF(0=LEN(ReferenceData!$AO$295),"",ReferenceData!$AO$295),"")</f>
        <v>29.750265550000002</v>
      </c>
      <c r="AP295">
        <f ca="1">IFERROR(IF(0=LEN(ReferenceData!$AP$295),"",ReferenceData!$AP$295),"")</f>
        <v>27.653019459999999</v>
      </c>
      <c r="AQ295">
        <f ca="1">IFERROR(IF(0=LEN(ReferenceData!$AQ$295),"",ReferenceData!$AQ$295),"")</f>
        <v>27.021951340000001</v>
      </c>
      <c r="AR295">
        <f ca="1">IFERROR(IF(0=LEN(ReferenceData!$AR$295),"",ReferenceData!$AR$295),"")</f>
        <v>26.19389868</v>
      </c>
      <c r="AS295">
        <f ca="1">IFERROR(IF(0=LEN(ReferenceData!$AS$295),"",ReferenceData!$AS$295),"")</f>
        <v>26.03100384</v>
      </c>
      <c r="AT295">
        <f ca="1">IFERROR(IF(0=LEN(ReferenceData!$AT$295),"",ReferenceData!$AT$295),"")</f>
        <v>26.716415349999998</v>
      </c>
      <c r="AU295">
        <f ca="1">IFERROR(IF(0=LEN(ReferenceData!$AU$295),"",ReferenceData!$AU$295),"")</f>
        <v>24.855684650000001</v>
      </c>
      <c r="AV295">
        <f ca="1">IFERROR(IF(0=LEN(ReferenceData!$AV$295),"",ReferenceData!$AV$295),"")</f>
        <v>21.935200640000001</v>
      </c>
      <c r="AW295">
        <f ca="1">IFERROR(IF(0=LEN(ReferenceData!$AW$295),"",ReferenceData!$AW$295),"")</f>
        <v>22.576276100000001</v>
      </c>
      <c r="AX295">
        <f ca="1">IFERROR(IF(0=LEN(ReferenceData!$AX$295),"",ReferenceData!$AX$295),"")</f>
        <v>20.98428723</v>
      </c>
      <c r="AY295">
        <f ca="1">IFERROR(IF(0=LEN(ReferenceData!$AY$295),"",ReferenceData!$AY$295),"")</f>
        <v>24.141387590000001</v>
      </c>
      <c r="AZ295">
        <f ca="1">IFERROR(IF(0=LEN(ReferenceData!$AZ$295),"",ReferenceData!$AZ$295),"")</f>
        <v>24.735034150000001</v>
      </c>
      <c r="BA295">
        <f ca="1">IFERROR(IF(0=LEN(ReferenceData!$BA$295),"",ReferenceData!$BA$295),"")</f>
        <v>24.781135590000002</v>
      </c>
      <c r="BB295">
        <f ca="1">IFERROR(IF(0=LEN(ReferenceData!$BB$295),"",ReferenceData!$BB$295),"")</f>
        <v>24.913431670000001</v>
      </c>
      <c r="BC295">
        <f ca="1">IFERROR(IF(0=LEN(ReferenceData!$BC$295),"",ReferenceData!$BC$295),"")</f>
        <v>22.945334070000001</v>
      </c>
      <c r="BD295">
        <f ca="1">IFERROR(IF(0=LEN(ReferenceData!$BD$295),"",ReferenceData!$BD$295),"")</f>
        <v>23.076400159999999</v>
      </c>
      <c r="BE295">
        <f ca="1">IFERROR(IF(0=LEN(ReferenceData!$BE$295),"",ReferenceData!$BE$295),"")</f>
        <v>26.896198859999998</v>
      </c>
      <c r="BF295">
        <f ca="1">IFERROR(IF(0=LEN(ReferenceData!$BF$295),"",ReferenceData!$BF$295),"")</f>
        <v>26.664422080000001</v>
      </c>
      <c r="BG295">
        <f ca="1">IFERROR(IF(0=LEN(ReferenceData!$BG$295),"",ReferenceData!$BG$295),"")</f>
        <v>19.495618109999999</v>
      </c>
      <c r="BH295">
        <f ca="1">IFERROR(IF(0=LEN(ReferenceData!$BH$295),"",ReferenceData!$BH$295),"")</f>
        <v>18.567228310000001</v>
      </c>
      <c r="BI295">
        <f ca="1">IFERROR(IF(0=LEN(ReferenceData!$BI$295),"",ReferenceData!$BI$295),"")</f>
        <v>18.84936781</v>
      </c>
      <c r="BJ295">
        <f ca="1">IFERROR(IF(0=LEN(ReferenceData!$BJ$295),"",ReferenceData!$BJ$295),"")</f>
        <v>46.739633529999999</v>
      </c>
      <c r="BK295">
        <f ca="1">IFERROR(IF(0=LEN(ReferenceData!$BK$295),"",ReferenceData!$BK$295),"")</f>
        <v>19.616985840000002</v>
      </c>
      <c r="BL295">
        <f ca="1">IFERROR(IF(0=LEN(ReferenceData!$BL$295),"",ReferenceData!$BL$295),"")</f>
        <v>43.100888599999998</v>
      </c>
      <c r="BM295">
        <f ca="1">IFERROR(IF(0=LEN(ReferenceData!$BM$295),"",ReferenceData!$BM$295),"")</f>
        <v>36.809570639999997</v>
      </c>
    </row>
    <row r="296" spans="1:65">
      <c r="A296" t="str">
        <f>IFERROR(IF(0=LEN(ReferenceData!$A$296),"",ReferenceData!$A$296),"")</f>
        <v xml:space="preserve">    Federal Realty Investment Trus</v>
      </c>
      <c r="B296" t="str">
        <f>IFERROR(IF(0=LEN(ReferenceData!$B$296),"",ReferenceData!$B$296),"")</f>
        <v>FRT US Equity</v>
      </c>
      <c r="C296" t="str">
        <f>IFERROR(IF(0=LEN(ReferenceData!$C$296),"",ReferenceData!$C$296),"")</f>
        <v>RR147</v>
      </c>
      <c r="D296" t="str">
        <f>IFERROR(IF(0=LEN(ReferenceData!$D$296),"",ReferenceData!$D$296),"")</f>
        <v>LT_DEBT_TO_TOT_ASSET</v>
      </c>
      <c r="E296" t="str">
        <f>IFERROR(IF(0=LEN(ReferenceData!$E$296),"",ReferenceData!$E$296),"")</f>
        <v>动态</v>
      </c>
      <c r="F296" t="str">
        <f ca="1">IFERROR(IF(0=LEN(ReferenceData!$F$296),"",ReferenceData!$F$296),"")</f>
        <v/>
      </c>
      <c r="G296">
        <f ca="1">IFERROR(IF(0=LEN(ReferenceData!$G$296),"",ReferenceData!$G$296),"")</f>
        <v>8.9720041649999995</v>
      </c>
      <c r="H296">
        <f ca="1">IFERROR(IF(0=LEN(ReferenceData!$H$296),"",ReferenceData!$H$296),"")</f>
        <v>9.0788066549999993</v>
      </c>
      <c r="I296">
        <f ca="1">IFERROR(IF(0=LEN(ReferenceData!$I$296),"",ReferenceData!$I$296),"")</f>
        <v>8.3822477559999999</v>
      </c>
      <c r="J296">
        <f ca="1">IFERROR(IF(0=LEN(ReferenceData!$J$296),"",ReferenceData!$J$296),"")</f>
        <v>9.5446766380000003</v>
      </c>
      <c r="K296">
        <f ca="1">IFERROR(IF(0=LEN(ReferenceData!$K$296),"",ReferenceData!$K$296),"")</f>
        <v>10.00699024</v>
      </c>
      <c r="L296">
        <f ca="1">IFERROR(IF(0=LEN(ReferenceData!$L$296),"",ReferenceData!$L$296),"")</f>
        <v>10.0991841</v>
      </c>
      <c r="M296">
        <f ca="1">IFERROR(IF(0=LEN(ReferenceData!$M$296),"",ReferenceData!$M$296),"")</f>
        <v>10.55725891</v>
      </c>
      <c r="N296">
        <f ca="1">IFERROR(IF(0=LEN(ReferenceData!$N$296),"",ReferenceData!$N$296),"")</f>
        <v>11.40622192</v>
      </c>
      <c r="O296">
        <f ca="1">IFERROR(IF(0=LEN(ReferenceData!$O$296),"",ReferenceData!$O$296),"")</f>
        <v>11.28760013</v>
      </c>
      <c r="P296">
        <f ca="1">IFERROR(IF(0=LEN(ReferenceData!$P$296),"",ReferenceData!$P$296),"")</f>
        <v>10.4205378</v>
      </c>
      <c r="Q296">
        <f ca="1">IFERROR(IF(0=LEN(ReferenceData!$Q$296),"",ReferenceData!$Q$296),"")</f>
        <v>13.690350199999999</v>
      </c>
      <c r="R296">
        <f ca="1">IFERROR(IF(0=LEN(ReferenceData!$R$296),"",ReferenceData!$R$296),"")</f>
        <v>13.62530984</v>
      </c>
      <c r="S296">
        <f ca="1">IFERROR(IF(0=LEN(ReferenceData!$S$296),"",ReferenceData!$S$296),"")</f>
        <v>13.97323873</v>
      </c>
      <c r="T296">
        <f ca="1">IFERROR(IF(0=LEN(ReferenceData!$T$296),"",ReferenceData!$T$296),"")</f>
        <v>14.07021658</v>
      </c>
      <c r="U296">
        <f ca="1">IFERROR(IF(0=LEN(ReferenceData!$U$296),"",ReferenceData!$U$296),"")</f>
        <v>15.92477465</v>
      </c>
      <c r="V296">
        <f ca="1">IFERROR(IF(0=LEN(ReferenceData!$V$296),"",ReferenceData!$V$296),"")</f>
        <v>16.56803189</v>
      </c>
      <c r="W296">
        <f ca="1">IFERROR(IF(0=LEN(ReferenceData!$W$296),"",ReferenceData!$W$296),"")</f>
        <v>15.645437360000001</v>
      </c>
      <c r="X296">
        <f ca="1">IFERROR(IF(0=LEN(ReferenceData!$X$296),"",ReferenceData!$X$296),"")</f>
        <v>19.061583720000002</v>
      </c>
      <c r="Y296">
        <f ca="1">IFERROR(IF(0=LEN(ReferenceData!$Y$296),"",ReferenceData!$Y$296),"")</f>
        <v>19.501258570000001</v>
      </c>
      <c r="Z296">
        <f ca="1">IFERROR(IF(0=LEN(ReferenceData!$Z$296),"",ReferenceData!$Z$296),"")</f>
        <v>20.985132360000001</v>
      </c>
      <c r="AA296">
        <f ca="1">IFERROR(IF(0=LEN(ReferenceData!$AA$296),"",ReferenceData!$AA$296),"")</f>
        <v>21.353549319999999</v>
      </c>
      <c r="AB296">
        <f ca="1">IFERROR(IF(0=LEN(ReferenceData!$AB$296),"",ReferenceData!$AB$296),"")</f>
        <v>21.090155209999999</v>
      </c>
      <c r="AC296">
        <f ca="1">IFERROR(IF(0=LEN(ReferenceData!$AC$296),"",ReferenceData!$AC$296),"")</f>
        <v>21.888496079999999</v>
      </c>
      <c r="AD296">
        <f ca="1">IFERROR(IF(0=LEN(ReferenceData!$AD$296),"",ReferenceData!$AD$296),"")</f>
        <v>22.241450180000001</v>
      </c>
      <c r="AE296">
        <f ca="1">IFERROR(IF(0=LEN(ReferenceData!$AE$296),"",ReferenceData!$AE$296),"")</f>
        <v>22.110462850000001</v>
      </c>
      <c r="AF296">
        <f ca="1">IFERROR(IF(0=LEN(ReferenceData!$AF$296),"",ReferenceData!$AF$296),"")</f>
        <v>16.835102590000002</v>
      </c>
      <c r="AG296">
        <f ca="1">IFERROR(IF(0=LEN(ReferenceData!$AG$296),"",ReferenceData!$AG$296),"")</f>
        <v>16.960860289999999</v>
      </c>
      <c r="AH296">
        <f ca="1">IFERROR(IF(0=LEN(ReferenceData!$AH$296),"",ReferenceData!$AH$296),"")</f>
        <v>18.227105160000001</v>
      </c>
      <c r="AI296">
        <f ca="1">IFERROR(IF(0=LEN(ReferenceData!$AI$296),"",ReferenceData!$AI$296),"")</f>
        <v>18.65583518</v>
      </c>
      <c r="AJ296">
        <f ca="1">IFERROR(IF(0=LEN(ReferenceData!$AJ$296),"",ReferenceData!$AJ$296),"")</f>
        <v>18.975530190000001</v>
      </c>
      <c r="AK296">
        <f ca="1">IFERROR(IF(0=LEN(ReferenceData!$AK$296),"",ReferenceData!$AK$296),"")</f>
        <v>19.211636639999998</v>
      </c>
      <c r="AL296">
        <f ca="1">IFERROR(IF(0=LEN(ReferenceData!$AL$296),"",ReferenceData!$AL$296),"")</f>
        <v>19.348205499999999</v>
      </c>
      <c r="AM296">
        <f ca="1">IFERROR(IF(0=LEN(ReferenceData!$AM$296),"",ReferenceData!$AM$296),"")</f>
        <v>18.678655590000002</v>
      </c>
      <c r="AN296">
        <f ca="1">IFERROR(IF(0=LEN(ReferenceData!$AN$296),"",ReferenceData!$AN$296),"")</f>
        <v>17.372514030000001</v>
      </c>
      <c r="AO296">
        <f ca="1">IFERROR(IF(0=LEN(ReferenceData!$AO$296),"",ReferenceData!$AO$296),"")</f>
        <v>18.772774649999999</v>
      </c>
      <c r="AP296">
        <f ca="1">IFERROR(IF(0=LEN(ReferenceData!$AP$296),"",ReferenceData!$AP$296),"")</f>
        <v>14.440876340000001</v>
      </c>
      <c r="AQ296">
        <f ca="1">IFERROR(IF(0=LEN(ReferenceData!$AQ$296),"",ReferenceData!$AQ$296),"")</f>
        <v>14.6408922</v>
      </c>
      <c r="AR296">
        <f ca="1">IFERROR(IF(0=LEN(ReferenceData!$AR$296),"",ReferenceData!$AR$296),"")</f>
        <v>14.654534630000001</v>
      </c>
      <c r="AS296">
        <f ca="1">IFERROR(IF(0=LEN(ReferenceData!$AS$296),"",ReferenceData!$AS$296),"")</f>
        <v>14.7538102</v>
      </c>
      <c r="AT296">
        <f ca="1">IFERROR(IF(0=LEN(ReferenceData!$AT$296),"",ReferenceData!$AT$296),"")</f>
        <v>15.043922220000001</v>
      </c>
      <c r="AU296">
        <f ca="1">IFERROR(IF(0=LEN(ReferenceData!$AU$296),"",ReferenceData!$AU$296),"")</f>
        <v>15.056516630000001</v>
      </c>
      <c r="AV296">
        <f ca="1">IFERROR(IF(0=LEN(ReferenceData!$AV$296),"",ReferenceData!$AV$296),"")</f>
        <v>18.037147860000001</v>
      </c>
      <c r="AW296">
        <f ca="1">IFERROR(IF(0=LEN(ReferenceData!$AW$296),"",ReferenceData!$AW$296),"")</f>
        <v>18.199717010000001</v>
      </c>
      <c r="AX296">
        <f ca="1">IFERROR(IF(0=LEN(ReferenceData!$AX$296),"",ReferenceData!$AX$296),"")</f>
        <v>18.186923230000001</v>
      </c>
      <c r="AY296">
        <f ca="1">IFERROR(IF(0=LEN(ReferenceData!$AY$296),"",ReferenceData!$AY$296),"")</f>
        <v>17.12404123</v>
      </c>
      <c r="AZ296">
        <f ca="1">IFERROR(IF(0=LEN(ReferenceData!$AZ$296),"",ReferenceData!$AZ$296),"")</f>
        <v>16.474087180000001</v>
      </c>
      <c r="BA296">
        <f ca="1">IFERROR(IF(0=LEN(ReferenceData!$BA$296),"",ReferenceData!$BA$296),"")</f>
        <v>17.764296649999999</v>
      </c>
      <c r="BB296">
        <f ca="1">IFERROR(IF(0=LEN(ReferenceData!$BB$296),"",ReferenceData!$BB$296),"")</f>
        <v>17.823268670000001</v>
      </c>
      <c r="BC296">
        <f ca="1">IFERROR(IF(0=LEN(ReferenceData!$BC$296),"",ReferenceData!$BC$296),"")</f>
        <v>17.853654760000001</v>
      </c>
      <c r="BD296">
        <f ca="1">IFERROR(IF(0=LEN(ReferenceData!$BD$296),"",ReferenceData!$BD$296),"")</f>
        <v>17.699967699999998</v>
      </c>
      <c r="BE296">
        <f ca="1">IFERROR(IF(0=LEN(ReferenceData!$BE$296),"",ReferenceData!$BE$296),"")</f>
        <v>17.794692430000001</v>
      </c>
      <c r="BF296">
        <f ca="1">IFERROR(IF(0=LEN(ReferenceData!$BF$296),"",ReferenceData!$BF$296),"")</f>
        <v>17.60991696</v>
      </c>
      <c r="BG296">
        <f ca="1">IFERROR(IF(0=LEN(ReferenceData!$BG$296),"",ReferenceData!$BG$296),"")</f>
        <v>18.125446010000001</v>
      </c>
      <c r="BH296">
        <f ca="1">IFERROR(IF(0=LEN(ReferenceData!$BH$296),"",ReferenceData!$BH$296),"")</f>
        <v>18.432981739999999</v>
      </c>
      <c r="BI296">
        <f ca="1">IFERROR(IF(0=LEN(ReferenceData!$BI$296),"",ReferenceData!$BI$296),"")</f>
        <v>18.138281630000002</v>
      </c>
      <c r="BJ296">
        <f ca="1">IFERROR(IF(0=LEN(ReferenceData!$BJ$296),"",ReferenceData!$BJ$296),"")</f>
        <v>18.386744650000001</v>
      </c>
      <c r="BK296">
        <f ca="1">IFERROR(IF(0=LEN(ReferenceData!$BK$296),"",ReferenceData!$BK$296),"")</f>
        <v>19.33144695</v>
      </c>
      <c r="BL296">
        <f ca="1">IFERROR(IF(0=LEN(ReferenceData!$BL$296),"",ReferenceData!$BL$296),"")</f>
        <v>17.363324859999999</v>
      </c>
      <c r="BM296">
        <f ca="1">IFERROR(IF(0=LEN(ReferenceData!$BM$296),"",ReferenceData!$BM$296),"")</f>
        <v>16.758369309999999</v>
      </c>
    </row>
    <row r="297" spans="1:65">
      <c r="A297" t="str">
        <f>IFERROR(IF(0=LEN(ReferenceData!$A$297),"",ReferenceData!$A$297),"")</f>
        <v xml:space="preserve">    Kimco Realty Corp</v>
      </c>
      <c r="B297" t="str">
        <f>IFERROR(IF(0=LEN(ReferenceData!$B$297),"",ReferenceData!$B$297),"")</f>
        <v>KIM US Equity</v>
      </c>
      <c r="C297" t="str">
        <f>IFERROR(IF(0=LEN(ReferenceData!$C$297),"",ReferenceData!$C$297),"")</f>
        <v>RR147</v>
      </c>
      <c r="D297" t="str">
        <f>IFERROR(IF(0=LEN(ReferenceData!$D$297),"",ReferenceData!$D$297),"")</f>
        <v>LT_DEBT_TO_TOT_ASSET</v>
      </c>
      <c r="E297" t="str">
        <f>IFERROR(IF(0=LEN(ReferenceData!$E$297),"",ReferenceData!$E$297),"")</f>
        <v>动态</v>
      </c>
      <c r="F297" t="str">
        <f ca="1">IFERROR(IF(0=LEN(ReferenceData!$F$297),"",ReferenceData!$F$297),"")</f>
        <v/>
      </c>
      <c r="G297">
        <f ca="1">IFERROR(IF(0=LEN(ReferenceData!$G$297),"",ReferenceData!$G$297),"")</f>
        <v>7.5043145339999997</v>
      </c>
      <c r="H297">
        <f ca="1">IFERROR(IF(0=LEN(ReferenceData!$H$297),"",ReferenceData!$H$297),"")</f>
        <v>7.2708124879999998</v>
      </c>
      <c r="I297">
        <f ca="1">IFERROR(IF(0=LEN(ReferenceData!$I$297),"",ReferenceData!$I$297),"")</f>
        <v>7.5281269249999996</v>
      </c>
      <c r="J297">
        <f ca="1">IFERROR(IF(0=LEN(ReferenceData!$J$297),"",ReferenceData!$J$297),"")</f>
        <v>9.5277834160000001</v>
      </c>
      <c r="K297">
        <f ca="1">IFERROR(IF(0=LEN(ReferenceData!$K$297),"",ReferenceData!$K$297),"")</f>
        <v>10.142975440000001</v>
      </c>
      <c r="L297">
        <f ca="1">IFERROR(IF(0=LEN(ReferenceData!$L$297),"",ReferenceData!$L$297),"")</f>
        <v>10.82553059</v>
      </c>
      <c r="M297">
        <f ca="1">IFERROR(IF(0=LEN(ReferenceData!$M$297),"",ReferenceData!$M$297),"")</f>
        <v>12.81717547</v>
      </c>
      <c r="N297">
        <f ca="1">IFERROR(IF(0=LEN(ReferenceData!$N$297),"",ReferenceData!$N$297),"")</f>
        <v>13.35005606</v>
      </c>
      <c r="O297">
        <f ca="1">IFERROR(IF(0=LEN(ReferenceData!$O$297),"",ReferenceData!$O$297),"")</f>
        <v>14.23620994</v>
      </c>
      <c r="P297">
        <f ca="1">IFERROR(IF(0=LEN(ReferenceData!$P$297),"",ReferenceData!$P$297),"")</f>
        <v>14.42043374</v>
      </c>
      <c r="Q297">
        <f ca="1">IFERROR(IF(0=LEN(ReferenceData!$Q$297),"",ReferenceData!$Q$297),"")</f>
        <v>15.42495952</v>
      </c>
      <c r="R297">
        <f ca="1">IFERROR(IF(0=LEN(ReferenceData!$R$297),"",ReferenceData!$R$297),"")</f>
        <v>17.402705739999998</v>
      </c>
      <c r="S297">
        <f ca="1">IFERROR(IF(0=LEN(ReferenceData!$S$297),"",ReferenceData!$S$297),"")</f>
        <v>13.879470639999999</v>
      </c>
      <c r="T297">
        <f ca="1">IFERROR(IF(0=LEN(ReferenceData!$T$297),"",ReferenceData!$T$297),"")</f>
        <v>13.055780159999999</v>
      </c>
      <c r="U297">
        <f ca="1">IFERROR(IF(0=LEN(ReferenceData!$U$297),"",ReferenceData!$U$297),"")</f>
        <v>11.74701964</v>
      </c>
      <c r="V297">
        <f ca="1">IFERROR(IF(0=LEN(ReferenceData!$V$297),"",ReferenceData!$V$297),"")</f>
        <v>10.93465662</v>
      </c>
      <c r="W297">
        <f ca="1">IFERROR(IF(0=LEN(ReferenceData!$W$297),"",ReferenceData!$W$297),"")</f>
        <v>10.71392427</v>
      </c>
      <c r="X297">
        <f ca="1">IFERROR(IF(0=LEN(ReferenceData!$X$297),"",ReferenceData!$X$297),"")</f>
        <v>11.31078132</v>
      </c>
      <c r="Y297">
        <f ca="1">IFERROR(IF(0=LEN(ReferenceData!$Y$297),"",ReferenceData!$Y$297),"")</f>
        <v>11.82122869</v>
      </c>
      <c r="Z297">
        <f ca="1">IFERROR(IF(0=LEN(ReferenceData!$Z$297),"",ReferenceData!$Z$297),"")</f>
        <v>11.068090460000001</v>
      </c>
      <c r="AA297">
        <f ca="1">IFERROR(IF(0=LEN(ReferenceData!$AA$297),"",ReferenceData!$AA$297),"")</f>
        <v>10.28782614</v>
      </c>
      <c r="AB297">
        <f ca="1">IFERROR(IF(0=LEN(ReferenceData!$AB$297),"",ReferenceData!$AB$297),"")</f>
        <v>10.461155700000001</v>
      </c>
      <c r="AC297">
        <f ca="1">IFERROR(IF(0=LEN(ReferenceData!$AC$297),"",ReferenceData!$AC$297),"")</f>
        <v>10.274982100000001</v>
      </c>
      <c r="AD297">
        <f ca="1">IFERROR(IF(0=LEN(ReferenceData!$AD$297),"",ReferenceData!$AD$297),"")</f>
        <v>11.19515314</v>
      </c>
      <c r="AE297">
        <f ca="1">IFERROR(IF(0=LEN(ReferenceData!$AE$297),"",ReferenceData!$AE$297),"")</f>
        <v>11.740855160000001</v>
      </c>
      <c r="AF297">
        <f ca="1">IFERROR(IF(0=LEN(ReferenceData!$AF$297),"",ReferenceData!$AF$297),"")</f>
        <v>11.49561231</v>
      </c>
      <c r="AG297">
        <f ca="1">IFERROR(IF(0=LEN(ReferenceData!$AG$297),"",ReferenceData!$AG$297),"")</f>
        <v>11.142046929999999</v>
      </c>
      <c r="AH297">
        <f ca="1">IFERROR(IF(0=LEN(ReferenceData!$AH$297),"",ReferenceData!$AH$297),"")</f>
        <v>11.00350293</v>
      </c>
      <c r="AI297">
        <f ca="1">IFERROR(IF(0=LEN(ReferenceData!$AI$297),"",ReferenceData!$AI$297),"")</f>
        <v>10.94752577</v>
      </c>
      <c r="AJ297">
        <f ca="1">IFERROR(IF(0=LEN(ReferenceData!$AJ$297),"",ReferenceData!$AJ$297),"")</f>
        <v>10.651843169999999</v>
      </c>
      <c r="AK297">
        <f ca="1">IFERROR(IF(0=LEN(ReferenceData!$AK$297),"",ReferenceData!$AK$297),"")</f>
        <v>12.99201751</v>
      </c>
      <c r="AL297">
        <f ca="1">IFERROR(IF(0=LEN(ReferenceData!$AL$297),"",ReferenceData!$AL$297),"")</f>
        <v>14.334999310000001</v>
      </c>
      <c r="AM297">
        <f ca="1">IFERROR(IF(0=LEN(ReferenceData!$AM$297),"",ReferenceData!$AM$297),"")</f>
        <v>14.08297039</v>
      </c>
      <c r="AN297">
        <f ca="1">IFERROR(IF(0=LEN(ReferenceData!$AN$297),"",ReferenceData!$AN$297),"")</f>
        <v>12.02824148</v>
      </c>
      <c r="AO297">
        <f ca="1">IFERROR(IF(0=LEN(ReferenceData!$AO$297),"",ReferenceData!$AO$297),"")</f>
        <v>13.98673662</v>
      </c>
      <c r="AP297">
        <f ca="1">IFERROR(IF(0=LEN(ReferenceData!$AP$297),"",ReferenceData!$AP$297),"")</f>
        <v>12.186977300000001</v>
      </c>
      <c r="AQ297">
        <f ca="1">IFERROR(IF(0=LEN(ReferenceData!$AQ$297),"",ReferenceData!$AQ$297),"")</f>
        <v>11.874114560000001</v>
      </c>
      <c r="AR297">
        <f ca="1">IFERROR(IF(0=LEN(ReferenceData!$AR$297),"",ReferenceData!$AR$297),"")</f>
        <v>11.769855310000001</v>
      </c>
      <c r="AS297">
        <f ca="1">IFERROR(IF(0=LEN(ReferenceData!$AS$297),"",ReferenceData!$AS$297),"")</f>
        <v>11.61826578</v>
      </c>
      <c r="AT297">
        <f ca="1">IFERROR(IF(0=LEN(ReferenceData!$AT$297),"",ReferenceData!$AT$297),"")</f>
        <v>11.7650433</v>
      </c>
      <c r="AU297">
        <f ca="1">IFERROR(IF(0=LEN(ReferenceData!$AU$297),"",ReferenceData!$AU$297),"")</f>
        <v>11.92209207</v>
      </c>
      <c r="AV297">
        <f ca="1">IFERROR(IF(0=LEN(ReferenceData!$AV$297),"",ReferenceData!$AV$297),"")</f>
        <v>8.9710956310000007</v>
      </c>
      <c r="AW297">
        <f ca="1">IFERROR(IF(0=LEN(ReferenceData!$AW$297),"",ReferenceData!$AW$297),"")</f>
        <v>9.0103823080000005</v>
      </c>
      <c r="AX297">
        <f ca="1">IFERROR(IF(0=LEN(ReferenceData!$AX$297),"",ReferenceData!$AX$297),"")</f>
        <v>10.663886870000001</v>
      </c>
      <c r="AY297">
        <f ca="1">IFERROR(IF(0=LEN(ReferenceData!$AY$297),"",ReferenceData!$AY$297),"")</f>
        <v>10.6604162</v>
      </c>
      <c r="AZ297">
        <f ca="1">IFERROR(IF(0=LEN(ReferenceData!$AZ$297),"",ReferenceData!$AZ$297),"")</f>
        <v>10.79073462</v>
      </c>
      <c r="BA297">
        <f ca="1">IFERROR(IF(0=LEN(ReferenceData!$BA$297),"",ReferenceData!$BA$297),"")</f>
        <v>11.08893276</v>
      </c>
      <c r="BB297">
        <f ca="1">IFERROR(IF(0=LEN(ReferenceData!$BB$297),"",ReferenceData!$BB$297),"")</f>
        <v>10.391153559999999</v>
      </c>
      <c r="BC297">
        <f ca="1">IFERROR(IF(0=LEN(ReferenceData!$BC$297),"",ReferenceData!$BC$297),"")</f>
        <v>9.8252351190000002</v>
      </c>
      <c r="BD297">
        <f ca="1">IFERROR(IF(0=LEN(ReferenceData!$BD$297),"",ReferenceData!$BD$297),"")</f>
        <v>10.07364647</v>
      </c>
      <c r="BE297">
        <f ca="1">IFERROR(IF(0=LEN(ReferenceData!$BE$297),"",ReferenceData!$BE$297),"")</f>
        <v>10.18553367</v>
      </c>
      <c r="BF297">
        <f ca="1">IFERROR(IF(0=LEN(ReferenceData!$BF$297),"",ReferenceData!$BF$297),"")</f>
        <v>10.80491512</v>
      </c>
      <c r="BG297">
        <f ca="1">IFERROR(IF(0=LEN(ReferenceData!$BG$297),"",ReferenceData!$BG$297),"")</f>
        <v>10.73137363</v>
      </c>
      <c r="BH297">
        <f ca="1">IFERROR(IF(0=LEN(ReferenceData!$BH$297),"",ReferenceData!$BH$297),"")</f>
        <v>10.097671569999999</v>
      </c>
      <c r="BI297">
        <f ca="1">IFERROR(IF(0=LEN(ReferenceData!$BI$297),"",ReferenceData!$BI$297),"")</f>
        <v>11.03092125</v>
      </c>
      <c r="BJ297">
        <f ca="1">IFERROR(IF(0=LEN(ReferenceData!$BJ$297),"",ReferenceData!$BJ$297),"")</f>
        <v>11.45783185</v>
      </c>
      <c r="BK297">
        <f ca="1">IFERROR(IF(0=LEN(ReferenceData!$BK$297),"",ReferenceData!$BK$297),"")</f>
        <v>46.806757279999999</v>
      </c>
      <c r="BL297">
        <f ca="1">IFERROR(IF(0=LEN(ReferenceData!$BL$297),"",ReferenceData!$BL$297),"")</f>
        <v>5.1699680399999997</v>
      </c>
      <c r="BM297">
        <f ca="1">IFERROR(IF(0=LEN(ReferenceData!$BM$297),"",ReferenceData!$BM$297),"")</f>
        <v>6.7014145389999999</v>
      </c>
    </row>
    <row r="298" spans="1:65">
      <c r="A298" t="str">
        <f>IFERROR(IF(0=LEN(ReferenceData!$A$298),"",ReferenceData!$A$298),"")</f>
        <v xml:space="preserve">    National Retail Properties Inc</v>
      </c>
      <c r="B298" t="str">
        <f>IFERROR(IF(0=LEN(ReferenceData!$B$298),"",ReferenceData!$B$298),"")</f>
        <v>NNN US Equity</v>
      </c>
      <c r="C298" t="str">
        <f>IFERROR(IF(0=LEN(ReferenceData!$C$298),"",ReferenceData!$C$298),"")</f>
        <v>RR147</v>
      </c>
      <c r="D298" t="str">
        <f>IFERROR(IF(0=LEN(ReferenceData!$D$298),"",ReferenceData!$D$298),"")</f>
        <v>LT_DEBT_TO_TOT_ASSET</v>
      </c>
      <c r="E298" t="str">
        <f>IFERROR(IF(0=LEN(ReferenceData!$E$298),"",ReferenceData!$E$298),"")</f>
        <v>动态</v>
      </c>
      <c r="F298" t="str">
        <f ca="1">IFERROR(IF(0=LEN(ReferenceData!$F$298),"",ReferenceData!$F$298),"")</f>
        <v/>
      </c>
      <c r="G298">
        <f ca="1">IFERROR(IF(0=LEN(ReferenceData!$G$298),"",ReferenceData!$G$298),"")</f>
        <v>0.2027274</v>
      </c>
      <c r="H298">
        <f ca="1">IFERROR(IF(0=LEN(ReferenceData!$H$298),"",ReferenceData!$H$298),"")</f>
        <v>0.202936214</v>
      </c>
      <c r="I298">
        <f ca="1">IFERROR(IF(0=LEN(ReferenceData!$I$298),"",ReferenceData!$I$298),"")</f>
        <v>0.214466238</v>
      </c>
      <c r="J298">
        <f ca="1">IFERROR(IF(0=LEN(ReferenceData!$J$298),"",ReferenceData!$J$298),"")</f>
        <v>0.224603632</v>
      </c>
      <c r="K298">
        <f ca="1">IFERROR(IF(0=LEN(ReferenceData!$K$298),"",ReferenceData!$K$298),"")</f>
        <v>0.219098029</v>
      </c>
      <c r="L298">
        <f ca="1">IFERROR(IF(0=LEN(ReferenceData!$L$298),"",ReferenceData!$L$298),"")</f>
        <v>0.28570633299999998</v>
      </c>
      <c r="M298">
        <f ca="1">IFERROR(IF(0=LEN(ReferenceData!$M$298),"",ReferenceData!$M$298),"")</f>
        <v>0.292120188</v>
      </c>
      <c r="N298">
        <f ca="1">IFERROR(IF(0=LEN(ReferenceData!$N$298),"",ReferenceData!$N$298),"")</f>
        <v>0.30733474</v>
      </c>
      <c r="O298">
        <f ca="1">IFERROR(IF(0=LEN(ReferenceData!$O$298),"",ReferenceData!$O$298),"")</f>
        <v>0.43889756200000002</v>
      </c>
      <c r="P298">
        <f ca="1">IFERROR(IF(0=LEN(ReferenceData!$P$298),"",ReferenceData!$P$298),"")</f>
        <v>0.45851416099999998</v>
      </c>
      <c r="Q298">
        <f ca="1">IFERROR(IF(0=LEN(ReferenceData!$Q$298),"",ReferenceData!$Q$298),"")</f>
        <v>0.48926678200000001</v>
      </c>
      <c r="R298">
        <f ca="1">IFERROR(IF(0=LEN(ReferenceData!$R$298),"",ReferenceData!$R$298),"")</f>
        <v>0.51541217399999995</v>
      </c>
      <c r="S298">
        <f ca="1">IFERROR(IF(0=LEN(ReferenceData!$S$298),"",ReferenceData!$S$298),"")</f>
        <v>0.53461597299999997</v>
      </c>
      <c r="T298">
        <f ca="1">IFERROR(IF(0=LEN(ReferenceData!$T$298),"",ReferenceData!$T$298),"")</f>
        <v>0.23749752700000001</v>
      </c>
      <c r="U298">
        <f ca="1">IFERROR(IF(0=LEN(ReferenceData!$U$298),"",ReferenceData!$U$298),"")</f>
        <v>0.19119069299999999</v>
      </c>
      <c r="V298">
        <f ca="1">IFERROR(IF(0=LEN(ReferenceData!$V$298),"",ReferenceData!$V$298),"")</f>
        <v>0.20318860699999999</v>
      </c>
      <c r="W298">
        <f ca="1">IFERROR(IF(0=LEN(ReferenceData!$W$298),"",ReferenceData!$W$298),"")</f>
        <v>0.21270515400000001</v>
      </c>
      <c r="X298">
        <f ca="1">IFERROR(IF(0=LEN(ReferenceData!$X$298),"",ReferenceData!$X$298),"")</f>
        <v>0.220065542</v>
      </c>
      <c r="Y298">
        <f ca="1">IFERROR(IF(0=LEN(ReferenceData!$Y$298),"",ReferenceData!$Y$298),"")</f>
        <v>0.21611613800000001</v>
      </c>
      <c r="Z298">
        <f ca="1">IFERROR(IF(0=LEN(ReferenceData!$Z$298),"",ReferenceData!$Z$298),"")</f>
        <v>0.25808450700000002</v>
      </c>
      <c r="AA298">
        <f ca="1">IFERROR(IF(0=LEN(ReferenceData!$AA$298),"",ReferenceData!$AA$298),"")</f>
        <v>0.26584580899999999</v>
      </c>
      <c r="AB298">
        <f ca="1">IFERROR(IF(0=LEN(ReferenceData!$AB$298),"",ReferenceData!$AB$298),"")</f>
        <v>0.27637144899999999</v>
      </c>
      <c r="AC298">
        <f ca="1">IFERROR(IF(0=LEN(ReferenceData!$AC$298),"",ReferenceData!$AC$298),"")</f>
        <v>0.79214576699999995</v>
      </c>
      <c r="AD298">
        <f ca="1">IFERROR(IF(0=LEN(ReferenceData!$AD$298),"",ReferenceData!$AD$298),"")</f>
        <v>0.63343278300000005</v>
      </c>
      <c r="AE298">
        <f ca="1">IFERROR(IF(0=LEN(ReferenceData!$AE$298),"",ReferenceData!$AE$298),"")</f>
        <v>0.674547597</v>
      </c>
      <c r="AF298">
        <f ca="1">IFERROR(IF(0=LEN(ReferenceData!$AF$298),"",ReferenceData!$AF$298),"")</f>
        <v>0.74540079800000003</v>
      </c>
      <c r="AG298">
        <f ca="1">IFERROR(IF(0=LEN(ReferenceData!$AG$298),"",ReferenceData!$AG$298),"")</f>
        <v>0.84778978999999999</v>
      </c>
      <c r="AH298">
        <f ca="1">IFERROR(IF(0=LEN(ReferenceData!$AH$298),"",ReferenceData!$AH$298),"")</f>
        <v>0.87144664100000002</v>
      </c>
      <c r="AI298">
        <f ca="1">IFERROR(IF(0=LEN(ReferenceData!$AI$298),"",ReferenceData!$AI$298),"")</f>
        <v>0.89435523299999997</v>
      </c>
      <c r="AJ298">
        <f ca="1">IFERROR(IF(0=LEN(ReferenceData!$AJ$298),"",ReferenceData!$AJ$298),"")</f>
        <v>0.94001161</v>
      </c>
      <c r="AK298">
        <f ca="1">IFERROR(IF(0=LEN(ReferenceData!$AK$298),"",ReferenceData!$AK$298),"")</f>
        <v>1.166770632</v>
      </c>
      <c r="AL298">
        <f ca="1">IFERROR(IF(0=LEN(ReferenceData!$AL$298),"",ReferenceData!$AL$298),"")</f>
        <v>1.1710734220000001</v>
      </c>
      <c r="AM298">
        <f ca="1">IFERROR(IF(0=LEN(ReferenceData!$AM$298),"",ReferenceData!$AM$298),"")</f>
        <v>0.97608533099999994</v>
      </c>
      <c r="AN298">
        <f ca="1">IFERROR(IF(0=LEN(ReferenceData!$AN$298),"",ReferenceData!$AN$298),"")</f>
        <v>0.96349228600000003</v>
      </c>
      <c r="AO298">
        <f ca="1">IFERROR(IF(0=LEN(ReferenceData!$AO$298),"",ReferenceData!$AO$298),"")</f>
        <v>0.977878892</v>
      </c>
      <c r="AP298">
        <f ca="1">IFERROR(IF(0=LEN(ReferenceData!$AP$298),"",ReferenceData!$AP$298),"")</f>
        <v>0.98693896599999997</v>
      </c>
      <c r="AQ298">
        <f ca="1">IFERROR(IF(0=LEN(ReferenceData!$AQ$298),"",ReferenceData!$AQ$298),"")</f>
        <v>0.992273552</v>
      </c>
      <c r="AR298">
        <f ca="1">IFERROR(IF(0=LEN(ReferenceData!$AR$298),"",ReferenceData!$AR$298),"")</f>
        <v>1.008275303</v>
      </c>
      <c r="AS298">
        <f ca="1">IFERROR(IF(0=LEN(ReferenceData!$AS$298),"",ReferenceData!$AS$298),"")</f>
        <v>1.006424488</v>
      </c>
      <c r="AT298">
        <f ca="1">IFERROR(IF(0=LEN(ReferenceData!$AT$298),"",ReferenceData!$AT$298),"")</f>
        <v>16.288512669999999</v>
      </c>
      <c r="AU298">
        <f ca="1">IFERROR(IF(0=LEN(ReferenceData!$AU$298),"",ReferenceData!$AU$298),"")</f>
        <v>1.554572463</v>
      </c>
      <c r="AV298">
        <f ca="1">IFERROR(IF(0=LEN(ReferenceData!$AV$298),"",ReferenceData!$AV$298),"")</f>
        <v>3.2600216180000001</v>
      </c>
      <c r="AW298">
        <f ca="1">IFERROR(IF(0=LEN(ReferenceData!$AW$298),"",ReferenceData!$AW$298),"")</f>
        <v>3.7643253809999999</v>
      </c>
      <c r="AX298">
        <f ca="1">IFERROR(IF(0=LEN(ReferenceData!$AX$298),"",ReferenceData!$AX$298),"")</f>
        <v>11.69479484</v>
      </c>
      <c r="AY298">
        <f ca="1">IFERROR(IF(0=LEN(ReferenceData!$AY$298),"",ReferenceData!$AY$298),"")</f>
        <v>4.5075951090000004</v>
      </c>
      <c r="AZ298">
        <f ca="1">IFERROR(IF(0=LEN(ReferenceData!$AZ$298),"",ReferenceData!$AZ$298),"")</f>
        <v>4.870903631</v>
      </c>
      <c r="BA298">
        <f ca="1">IFERROR(IF(0=LEN(ReferenceData!$BA$298),"",ReferenceData!$BA$298),"")</f>
        <v>34.035548599999998</v>
      </c>
      <c r="BB298">
        <f ca="1">IFERROR(IF(0=LEN(ReferenceData!$BB$298),"",ReferenceData!$BB$298),"")</f>
        <v>9.0312411160000003</v>
      </c>
      <c r="BC298">
        <f ca="1">IFERROR(IF(0=LEN(ReferenceData!$BC$298),"",ReferenceData!$BC$298),"")</f>
        <v>11.850819080000001</v>
      </c>
      <c r="BD298">
        <f ca="1">IFERROR(IF(0=LEN(ReferenceData!$BD$298),"",ReferenceData!$BD$298),"")</f>
        <v>33.936737110000003</v>
      </c>
      <c r="BE298">
        <f ca="1">IFERROR(IF(0=LEN(ReferenceData!$BE$298),"",ReferenceData!$BE$298),"")</f>
        <v>35.145791819999999</v>
      </c>
      <c r="BF298">
        <f ca="1">IFERROR(IF(0=LEN(ReferenceData!$BF$298),"",ReferenceData!$BF$298),"")</f>
        <v>11.7160812</v>
      </c>
      <c r="BG298">
        <f ca="1">IFERROR(IF(0=LEN(ReferenceData!$BG$298),"",ReferenceData!$BG$298),"")</f>
        <v>14.09247966</v>
      </c>
      <c r="BH298">
        <f ca="1">IFERROR(IF(0=LEN(ReferenceData!$BH$298),"",ReferenceData!$BH$298),"")</f>
        <v>14.0669904</v>
      </c>
      <c r="BI298">
        <f ca="1">IFERROR(IF(0=LEN(ReferenceData!$BI$298),"",ReferenceData!$BI$298),"")</f>
        <v>38.556688489999999</v>
      </c>
      <c r="BJ298">
        <f ca="1">IFERROR(IF(0=LEN(ReferenceData!$BJ$298),"",ReferenceData!$BJ$298),"")</f>
        <v>35.88636417</v>
      </c>
      <c r="BK298">
        <f ca="1">IFERROR(IF(0=LEN(ReferenceData!$BK$298),"",ReferenceData!$BK$298),"")</f>
        <v>36.194188580000002</v>
      </c>
      <c r="BL298">
        <f ca="1">IFERROR(IF(0=LEN(ReferenceData!$BL$298),"",ReferenceData!$BL$298),"")</f>
        <v>29.837278000000001</v>
      </c>
      <c r="BM298">
        <f ca="1">IFERROR(IF(0=LEN(ReferenceData!$BM$298),"",ReferenceData!$BM$298),"")</f>
        <v>34.621093420000001</v>
      </c>
    </row>
    <row r="299" spans="1:65">
      <c r="A299" t="str">
        <f>IFERROR(IF(0=LEN(ReferenceData!$A$299),"",ReferenceData!$A$299),"")</f>
        <v xml:space="preserve">    Realty Income Corp</v>
      </c>
      <c r="B299" t="str">
        <f>IFERROR(IF(0=LEN(ReferenceData!$B$299),"",ReferenceData!$B$299),"")</f>
        <v>O US Equity</v>
      </c>
      <c r="C299" t="str">
        <f>IFERROR(IF(0=LEN(ReferenceData!$C$299),"",ReferenceData!$C$299),"")</f>
        <v>RR147</v>
      </c>
      <c r="D299" t="str">
        <f>IFERROR(IF(0=LEN(ReferenceData!$D$299),"",ReferenceData!$D$299),"")</f>
        <v>LT_DEBT_TO_TOT_ASSET</v>
      </c>
      <c r="E299" t="str">
        <f>IFERROR(IF(0=LEN(ReferenceData!$E$299),"",ReferenceData!$E$299),"")</f>
        <v>动态</v>
      </c>
      <c r="F299" t="str">
        <f ca="1">IFERROR(IF(0=LEN(ReferenceData!$F$299),"",ReferenceData!$F$299),"")</f>
        <v/>
      </c>
      <c r="G299">
        <f ca="1">IFERROR(IF(0=LEN(ReferenceData!$G$299),"",ReferenceData!$G$299),"")</f>
        <v>2.3185172230000002</v>
      </c>
      <c r="H299">
        <f ca="1">IFERROR(IF(0=LEN(ReferenceData!$H$299),"",ReferenceData!$H$299),"")</f>
        <v>2.4889027920000002</v>
      </c>
      <c r="I299">
        <f ca="1">IFERROR(IF(0=LEN(ReferenceData!$I$299),"",ReferenceData!$I$299),"")</f>
        <v>2.7873048969999998</v>
      </c>
      <c r="J299">
        <f ca="1">IFERROR(IF(0=LEN(ReferenceData!$J$299),"",ReferenceData!$J$299),"")</f>
        <v>3.451986137</v>
      </c>
      <c r="K299">
        <f ca="1">IFERROR(IF(0=LEN(ReferenceData!$K$299),"",ReferenceData!$K$299),"")</f>
        <v>3.5432948440000001</v>
      </c>
      <c r="L299">
        <f ca="1">IFERROR(IF(0=LEN(ReferenceData!$L$299),"",ReferenceData!$L$299),"")</f>
        <v>4.0139024970000001</v>
      </c>
      <c r="M299">
        <f ca="1">IFERROR(IF(0=LEN(ReferenceData!$M$299),"",ReferenceData!$M$299),"")</f>
        <v>4.0520086199999996</v>
      </c>
      <c r="N299">
        <f ca="1">IFERROR(IF(0=LEN(ReferenceData!$N$299),"",ReferenceData!$N$299),"")</f>
        <v>4.2704710590000001</v>
      </c>
      <c r="O299">
        <f ca="1">IFERROR(IF(0=LEN(ReferenceData!$O$299),"",ReferenceData!$O$299),"")</f>
        <v>5.455182143</v>
      </c>
      <c r="P299">
        <f ca="1">IFERROR(IF(0=LEN(ReferenceData!$P$299),"",ReferenceData!$P$299),"")</f>
        <v>6.0155628849999996</v>
      </c>
      <c r="Q299">
        <f ca="1">IFERROR(IF(0=LEN(ReferenceData!$Q$299),"",ReferenceData!$Q$299),"")</f>
        <v>9.2891527289999996</v>
      </c>
      <c r="R299">
        <f ca="1">IFERROR(IF(0=LEN(ReferenceData!$R$299),"",ReferenceData!$R$299),"")</f>
        <v>7.8372341240000001</v>
      </c>
      <c r="S299">
        <f ca="1">IFERROR(IF(0=LEN(ReferenceData!$S$299),"",ReferenceData!$S$299),"")</f>
        <v>8.3774327310000007</v>
      </c>
      <c r="T299">
        <f ca="1">IFERROR(IF(0=LEN(ReferenceData!$T$299),"",ReferenceData!$T$299),"")</f>
        <v>8.5212580809999992</v>
      </c>
      <c r="U299">
        <f ca="1">IFERROR(IF(0=LEN(ReferenceData!$U$299),"",ReferenceData!$U$299),"")</f>
        <v>9.1233566790000005</v>
      </c>
      <c r="V299">
        <f ca="1">IFERROR(IF(0=LEN(ReferenceData!$V$299),"",ReferenceData!$V$299),"")</f>
        <v>8.5133922749999993</v>
      </c>
      <c r="W299">
        <f ca="1">IFERROR(IF(0=LEN(ReferenceData!$W$299),"",ReferenceData!$W$299),"")</f>
        <v>8.5985699350000004</v>
      </c>
      <c r="X299">
        <f ca="1">IFERROR(IF(0=LEN(ReferenceData!$X$299),"",ReferenceData!$X$299),"")</f>
        <v>8.9167544710000008</v>
      </c>
      <c r="Y299">
        <f ca="1">IFERROR(IF(0=LEN(ReferenceData!$Y$299),"",ReferenceData!$Y$299),"")</f>
        <v>9.5279683049999999</v>
      </c>
      <c r="Z299">
        <f ca="1">IFERROR(IF(0=LEN(ReferenceData!$Z$299),"",ReferenceData!$Z$299),"")</f>
        <v>9.5182312570000001</v>
      </c>
      <c r="AA299">
        <f ca="1">IFERROR(IF(0=LEN(ReferenceData!$AA$299),"",ReferenceData!$AA$299),"")</f>
        <v>3.239210307</v>
      </c>
      <c r="AB299">
        <f ca="1">IFERROR(IF(0=LEN(ReferenceData!$AB$299),"",ReferenceData!$AB$299),"")</f>
        <v>2.6486371219999998</v>
      </c>
      <c r="AC299">
        <f ca="1">IFERROR(IF(0=LEN(ReferenceData!$AC$299),"",ReferenceData!$AC$299),"")</f>
        <v>1.2380699120000001</v>
      </c>
      <c r="AD299">
        <f ca="1">IFERROR(IF(0=LEN(ReferenceData!$AD$299),"",ReferenceData!$AD$299),"")</f>
        <v>1.2931423529999999</v>
      </c>
      <c r="AE299">
        <f ca="1">IFERROR(IF(0=LEN(ReferenceData!$AE$299),"",ReferenceData!$AE$299),"")</f>
        <v>1.533718801</v>
      </c>
      <c r="AF299">
        <f ca="1">IFERROR(IF(0=LEN(ReferenceData!$AF$299),"",ReferenceData!$AF$299),"")</f>
        <v>1.594236327</v>
      </c>
      <c r="AG299">
        <f ca="1">IFERROR(IF(0=LEN(ReferenceData!$AG$299),"",ReferenceData!$AG$299),"")</f>
        <v>1.4934905650000001</v>
      </c>
      <c r="AH299">
        <f ca="1">IFERROR(IF(0=LEN(ReferenceData!$AH$299),"",ReferenceData!$AH$299),"")</f>
        <v>0</v>
      </c>
      <c r="AI299">
        <f ca="1">IFERROR(IF(0=LEN(ReferenceData!$AI$299),"",ReferenceData!$AI$299),"")</f>
        <v>0</v>
      </c>
      <c r="AJ299">
        <f ca="1">IFERROR(IF(0=LEN(ReferenceData!$AJ$299),"",ReferenceData!$AJ$299),"")</f>
        <v>0</v>
      </c>
      <c r="AK299">
        <f ca="1">IFERROR(IF(0=LEN(ReferenceData!$AK$299),"",ReferenceData!$AK$299),"")</f>
        <v>0</v>
      </c>
      <c r="AL299">
        <f ca="1">IFERROR(IF(0=LEN(ReferenceData!$AL$299),"",ReferenceData!$AL$299),"")</f>
        <v>0</v>
      </c>
      <c r="AM299">
        <f ca="1">IFERROR(IF(0=LEN(ReferenceData!$AM$299),"",ReferenceData!$AM$299),"")</f>
        <v>0</v>
      </c>
      <c r="AN299">
        <f ca="1">IFERROR(IF(0=LEN(ReferenceData!$AN$299),"",ReferenceData!$AN$299),"")</f>
        <v>0</v>
      </c>
      <c r="AO299">
        <f ca="1">IFERROR(IF(0=LEN(ReferenceData!$AO$299),"",ReferenceData!$AO$299),"")</f>
        <v>0</v>
      </c>
      <c r="AP299">
        <f ca="1">IFERROR(IF(0=LEN(ReferenceData!$AP$299),"",ReferenceData!$AP$299),"")</f>
        <v>0</v>
      </c>
      <c r="AQ299">
        <f ca="1">IFERROR(IF(0=LEN(ReferenceData!$AQ$299),"",ReferenceData!$AQ$299),"")</f>
        <v>0</v>
      </c>
      <c r="AR299">
        <f ca="1">IFERROR(IF(0=LEN(ReferenceData!$AR$299),"",ReferenceData!$AR$299),"")</f>
        <v>0</v>
      </c>
      <c r="AS299">
        <f ca="1">IFERROR(IF(0=LEN(ReferenceData!$AS$299),"",ReferenceData!$AS$299),"")</f>
        <v>0</v>
      </c>
      <c r="AT299">
        <f ca="1">IFERROR(IF(0=LEN(ReferenceData!$AT$299),"",ReferenceData!$AT$299),"")</f>
        <v>0</v>
      </c>
      <c r="AU299">
        <f ca="1">IFERROR(IF(0=LEN(ReferenceData!$AU$299),"",ReferenceData!$AU$299),"")</f>
        <v>0</v>
      </c>
      <c r="AV299">
        <f ca="1">IFERROR(IF(0=LEN(ReferenceData!$AV$299),"",ReferenceData!$AV$299),"")</f>
        <v>0</v>
      </c>
      <c r="AW299">
        <f ca="1">IFERROR(IF(0=LEN(ReferenceData!$AW$299),"",ReferenceData!$AW$299),"")</f>
        <v>0</v>
      </c>
      <c r="AX299">
        <f ca="1">IFERROR(IF(0=LEN(ReferenceData!$AX$299),"",ReferenceData!$AX$299),"")</f>
        <v>0</v>
      </c>
      <c r="AY299">
        <f ca="1">IFERROR(IF(0=LEN(ReferenceData!$AY$299),"",ReferenceData!$AY$299),"")</f>
        <v>0</v>
      </c>
      <c r="AZ299">
        <f ca="1">IFERROR(IF(0=LEN(ReferenceData!$AZ$299),"",ReferenceData!$AZ$299),"")</f>
        <v>0</v>
      </c>
      <c r="BA299">
        <f ca="1">IFERROR(IF(0=LEN(ReferenceData!$BA$299),"",ReferenceData!$BA$299),"")</f>
        <v>0</v>
      </c>
      <c r="BB299">
        <f ca="1">IFERROR(IF(0=LEN(ReferenceData!$BB$299),"",ReferenceData!$BB$299),"")</f>
        <v>0</v>
      </c>
      <c r="BC299">
        <f ca="1">IFERROR(IF(0=LEN(ReferenceData!$BC$299),"",ReferenceData!$BC$299),"")</f>
        <v>0</v>
      </c>
      <c r="BD299">
        <f ca="1">IFERROR(IF(0=LEN(ReferenceData!$BD$299),"",ReferenceData!$BD$299),"")</f>
        <v>0</v>
      </c>
      <c r="BE299">
        <f ca="1">IFERROR(IF(0=LEN(ReferenceData!$BE$299),"",ReferenceData!$BE$299),"")</f>
        <v>0</v>
      </c>
      <c r="BF299">
        <f ca="1">IFERROR(IF(0=LEN(ReferenceData!$BF$299),"",ReferenceData!$BF$299),"")</f>
        <v>0</v>
      </c>
      <c r="BG299">
        <f ca="1">IFERROR(IF(0=LEN(ReferenceData!$BG$299),"",ReferenceData!$BG$299),"")</f>
        <v>0</v>
      </c>
      <c r="BH299">
        <f ca="1">IFERROR(IF(0=LEN(ReferenceData!$BH$299),"",ReferenceData!$BH$299),"")</f>
        <v>0</v>
      </c>
      <c r="BI299">
        <f ca="1">IFERROR(IF(0=LEN(ReferenceData!$BI$299),"",ReferenceData!$BI$299),"")</f>
        <v>0</v>
      </c>
      <c r="BJ299">
        <f ca="1">IFERROR(IF(0=LEN(ReferenceData!$BJ$299),"",ReferenceData!$BJ$299),"")</f>
        <v>0</v>
      </c>
      <c r="BK299">
        <f ca="1">IFERROR(IF(0=LEN(ReferenceData!$BK$299),"",ReferenceData!$BK$299),"")</f>
        <v>0</v>
      </c>
      <c r="BL299">
        <f ca="1">IFERROR(IF(0=LEN(ReferenceData!$BL$299),"",ReferenceData!$BL$299),"")</f>
        <v>0</v>
      </c>
      <c r="BM299">
        <f ca="1">IFERROR(IF(0=LEN(ReferenceData!$BM$299),"",ReferenceData!$BM$299),"")</f>
        <v>0</v>
      </c>
    </row>
    <row r="300" spans="1:65">
      <c r="A300" t="str">
        <f>IFERROR(IF(0=LEN(ReferenceData!$A$300),"",ReferenceData!$A$300),"")</f>
        <v xml:space="preserve">    Regency Centers Corp</v>
      </c>
      <c r="B300" t="str">
        <f>IFERROR(IF(0=LEN(ReferenceData!$B$300),"",ReferenceData!$B$300),"")</f>
        <v>REG US Equity</v>
      </c>
      <c r="C300" t="str">
        <f>IFERROR(IF(0=LEN(ReferenceData!$C$300),"",ReferenceData!$C$300),"")</f>
        <v>RR147</v>
      </c>
      <c r="D300" t="str">
        <f>IFERROR(IF(0=LEN(ReferenceData!$D$300),"",ReferenceData!$D$300),"")</f>
        <v>LT_DEBT_TO_TOT_ASSET</v>
      </c>
      <c r="E300" t="str">
        <f>IFERROR(IF(0=LEN(ReferenceData!$E$300),"",ReferenceData!$E$300),"")</f>
        <v>动态</v>
      </c>
      <c r="F300" t="str">
        <f ca="1">IFERROR(IF(0=LEN(ReferenceData!$F$300),"",ReferenceData!$F$300),"")</f>
        <v/>
      </c>
      <c r="G300">
        <f ca="1">IFERROR(IF(0=LEN(ReferenceData!$G$300),"",ReferenceData!$G$300),"")</f>
        <v>26.662394169999999</v>
      </c>
      <c r="H300">
        <f ca="1">IFERROR(IF(0=LEN(ReferenceData!$H$300),"",ReferenceData!$H$300),"")</f>
        <v>26.477682510000001</v>
      </c>
      <c r="I300">
        <f ca="1">IFERROR(IF(0=LEN(ReferenceData!$I$300),"",ReferenceData!$I$300),"")</f>
        <v>5.535319501</v>
      </c>
      <c r="J300">
        <f ca="1">IFERROR(IF(0=LEN(ReferenceData!$J$300),"",ReferenceData!$J$300),"")</f>
        <v>24.687580029999999</v>
      </c>
      <c r="K300">
        <f ca="1">IFERROR(IF(0=LEN(ReferenceData!$K$300),"",ReferenceData!$K$300),"")</f>
        <v>30.384352</v>
      </c>
      <c r="L300">
        <f ca="1">IFERROR(IF(0=LEN(ReferenceData!$L$300),"",ReferenceData!$L$300),"")</f>
        <v>30.599189639999999</v>
      </c>
      <c r="M300">
        <f ca="1">IFERROR(IF(0=LEN(ReferenceData!$M$300),"",ReferenceData!$M$300),"")</f>
        <v>10.89633463</v>
      </c>
      <c r="N300">
        <f ca="1">IFERROR(IF(0=LEN(ReferenceData!$N$300),"",ReferenceData!$N$300),"")</f>
        <v>11.57231337</v>
      </c>
      <c r="O300">
        <f ca="1">IFERROR(IF(0=LEN(ReferenceData!$O$300),"",ReferenceData!$O$300),"")</f>
        <v>12.177444210000001</v>
      </c>
      <c r="P300">
        <f ca="1">IFERROR(IF(0=LEN(ReferenceData!$P$300),"",ReferenceData!$P$300),"")</f>
        <v>43.36372575</v>
      </c>
      <c r="Q300">
        <f ca="1">IFERROR(IF(0=LEN(ReferenceData!$Q$300),"",ReferenceData!$Q$300),"")</f>
        <v>45.59731086</v>
      </c>
      <c r="R300">
        <f ca="1">IFERROR(IF(0=LEN(ReferenceData!$R$300),"",ReferenceData!$R$300),"")</f>
        <v>11.94821675</v>
      </c>
      <c r="S300">
        <f ca="1">IFERROR(IF(0=LEN(ReferenceData!$S$300),"",ReferenceData!$S$300),"")</f>
        <v>46.373079959999998</v>
      </c>
      <c r="T300">
        <f ca="1">IFERROR(IF(0=LEN(ReferenceData!$T$300),"",ReferenceData!$T$300),"")</f>
        <v>47.194803020000002</v>
      </c>
      <c r="U300">
        <f ca="1">IFERROR(IF(0=LEN(ReferenceData!$U$300),"",ReferenceData!$U$300),"")</f>
        <v>48.124955640000003</v>
      </c>
      <c r="V300">
        <f ca="1">IFERROR(IF(0=LEN(ReferenceData!$V$300),"",ReferenceData!$V$300),"")</f>
        <v>13.80812682</v>
      </c>
      <c r="W300">
        <f ca="1">IFERROR(IF(0=LEN(ReferenceData!$W$300),"",ReferenceData!$W$300),"")</f>
        <v>12.29955365</v>
      </c>
      <c r="X300">
        <f ca="1">IFERROR(IF(0=LEN(ReferenceData!$X$300),"",ReferenceData!$X$300),"")</f>
        <v>11.96413856</v>
      </c>
      <c r="Y300">
        <f ca="1">IFERROR(IF(0=LEN(ReferenceData!$Y$300),"",ReferenceData!$Y$300),"")</f>
        <v>33.591938059999997</v>
      </c>
      <c r="Z300">
        <f ca="1">IFERROR(IF(0=LEN(ReferenceData!$Z$300),"",ReferenceData!$Z$300),"")</f>
        <v>12.622485129999999</v>
      </c>
      <c r="AA300">
        <f ca="1">IFERROR(IF(0=LEN(ReferenceData!$AA$300),"",ReferenceData!$AA$300),"")</f>
        <v>12.29947232</v>
      </c>
      <c r="AB300">
        <f ca="1">IFERROR(IF(0=LEN(ReferenceData!$AB$300),"",ReferenceData!$AB$300),"")</f>
        <v>12.07433226</v>
      </c>
      <c r="AC300">
        <f ca="1">IFERROR(IF(0=LEN(ReferenceData!$AC$300),"",ReferenceData!$AC$300),"")</f>
        <v>11.44029632</v>
      </c>
      <c r="AD300">
        <f ca="1">IFERROR(IF(0=LEN(ReferenceData!$AD$300),"",ReferenceData!$AD$300),"")</f>
        <v>11.25463061</v>
      </c>
      <c r="AE300">
        <f ca="1">IFERROR(IF(0=LEN(ReferenceData!$AE$300),"",ReferenceData!$AE$300),"")</f>
        <v>12.35355478</v>
      </c>
      <c r="AF300">
        <f ca="1">IFERROR(IF(0=LEN(ReferenceData!$AF$300),"",ReferenceData!$AF$300),"")</f>
        <v>11.12307511</v>
      </c>
      <c r="AG300">
        <f ca="1">IFERROR(IF(0=LEN(ReferenceData!$AG$300),"",ReferenceData!$AG$300),"")</f>
        <v>11.45387522</v>
      </c>
      <c r="AH300">
        <f ca="1">IFERROR(IF(0=LEN(ReferenceData!$AH$300),"",ReferenceData!$AH$300),"")</f>
        <v>10.3458082</v>
      </c>
      <c r="AI300">
        <f ca="1">IFERROR(IF(0=LEN(ReferenceData!$AI$300),"",ReferenceData!$AI$300),"")</f>
        <v>10.59796888</v>
      </c>
      <c r="AJ300">
        <f ca="1">IFERROR(IF(0=LEN(ReferenceData!$AJ$300),"",ReferenceData!$AJ$300),"")</f>
        <v>9.8193543089999995</v>
      </c>
      <c r="AK300">
        <f ca="1">IFERROR(IF(0=LEN(ReferenceData!$AK$300),"",ReferenceData!$AK$300),"")</f>
        <v>9.5482468110000003</v>
      </c>
      <c r="AL300">
        <f ca="1">IFERROR(IF(0=LEN(ReferenceData!$AL$300),"",ReferenceData!$AL$300),"")</f>
        <v>10.282971760000001</v>
      </c>
      <c r="AM300">
        <f ca="1">IFERROR(IF(0=LEN(ReferenceData!$AM$300),"",ReferenceData!$AM$300),"")</f>
        <v>10.17704438</v>
      </c>
      <c r="AN300">
        <f ca="1">IFERROR(IF(0=LEN(ReferenceData!$AN$300),"",ReferenceData!$AN$300),"")</f>
        <v>9.5614870639999996</v>
      </c>
      <c r="AO300">
        <f ca="1">IFERROR(IF(0=LEN(ReferenceData!$AO$300),"",ReferenceData!$AO$300),"")</f>
        <v>6.8991297319999996</v>
      </c>
      <c r="AP300">
        <f ca="1">IFERROR(IF(0=LEN(ReferenceData!$AP$300),"",ReferenceData!$AP$300),"")</f>
        <v>7.008692462</v>
      </c>
      <c r="AQ300">
        <f ca="1">IFERROR(IF(0=LEN(ReferenceData!$AQ$300),"",ReferenceData!$AQ$300),"")</f>
        <v>5.8005371309999996</v>
      </c>
      <c r="AR300">
        <f ca="1">IFERROR(IF(0=LEN(ReferenceData!$AR$300),"",ReferenceData!$AR$300),"")</f>
        <v>5.7286468350000002</v>
      </c>
      <c r="AS300">
        <f ca="1">IFERROR(IF(0=LEN(ReferenceData!$AS$300),"",ReferenceData!$AS$300),"")</f>
        <v>6.1400253349999998</v>
      </c>
      <c r="AT300">
        <f ca="1">IFERROR(IF(0=LEN(ReferenceData!$AT$300),"",ReferenceData!$AT$300),"")</f>
        <v>4.8024745260000001</v>
      </c>
      <c r="AU300">
        <f ca="1">IFERROR(IF(0=LEN(ReferenceData!$AU$300),"",ReferenceData!$AU$300),"")</f>
        <v>4.9270275659999996</v>
      </c>
      <c r="AV300">
        <f ca="1">IFERROR(IF(0=LEN(ReferenceData!$AV$300),"",ReferenceData!$AV$300),"")</f>
        <v>5.9829444049999996</v>
      </c>
      <c r="AW300">
        <f ca="1">IFERROR(IF(0=LEN(ReferenceData!$AW$300),"",ReferenceData!$AW$300),"")</f>
        <v>5.3505779220000003</v>
      </c>
      <c r="AX300">
        <f ca="1">IFERROR(IF(0=LEN(ReferenceData!$AX$300),"",ReferenceData!$AX$300),"")</f>
        <v>6.3558696020000003</v>
      </c>
      <c r="AY300">
        <f ca="1">IFERROR(IF(0=LEN(ReferenceData!$AY$300),"",ReferenceData!$AY$300),"")</f>
        <v>6.9600752769999996</v>
      </c>
      <c r="AZ300">
        <f ca="1">IFERROR(IF(0=LEN(ReferenceData!$AZ$300),"",ReferenceData!$AZ$300),"")</f>
        <v>7.3488365309999999</v>
      </c>
      <c r="BA300">
        <f ca="1">IFERROR(IF(0=LEN(ReferenceData!$BA$300),"",ReferenceData!$BA$300),"")</f>
        <v>7.5940605689999998</v>
      </c>
      <c r="BB300">
        <f ca="1">IFERROR(IF(0=LEN(ReferenceData!$BB$300),"",ReferenceData!$BB$300),"")</f>
        <v>6.7263215089999999</v>
      </c>
      <c r="BC300">
        <f ca="1">IFERROR(IF(0=LEN(ReferenceData!$BC$300),"",ReferenceData!$BC$300),"")</f>
        <v>7.0048102779999999</v>
      </c>
      <c r="BD300">
        <f ca="1">IFERROR(IF(0=LEN(ReferenceData!$BD$300),"",ReferenceData!$BD$300),"")</f>
        <v>7.3364254420000004</v>
      </c>
      <c r="BE300">
        <f ca="1">IFERROR(IF(0=LEN(ReferenceData!$BE$300),"",ReferenceData!$BE$300),"")</f>
        <v>7.7801797239999999</v>
      </c>
      <c r="BF300">
        <f ca="1">IFERROR(IF(0=LEN(ReferenceData!$BF$300),"",ReferenceData!$BF$300),"")</f>
        <v>10.7038315</v>
      </c>
      <c r="BG300">
        <f ca="1">IFERROR(IF(0=LEN(ReferenceData!$BG$300),"",ReferenceData!$BG$300),"")</f>
        <v>10.609206909999999</v>
      </c>
      <c r="BH300">
        <f ca="1">IFERROR(IF(0=LEN(ReferenceData!$BH$300),"",ReferenceData!$BH$300),"")</f>
        <v>9.4113361070000003</v>
      </c>
      <c r="BI300">
        <f ca="1">IFERROR(IF(0=LEN(ReferenceData!$BI$300),"",ReferenceData!$BI$300),"")</f>
        <v>8.0194985439999993</v>
      </c>
      <c r="BJ300">
        <f ca="1">IFERROR(IF(0=LEN(ReferenceData!$BJ$300),"",ReferenceData!$BJ$300),"")</f>
        <v>8.1772976079999999</v>
      </c>
      <c r="BK300">
        <f ca="1">IFERROR(IF(0=LEN(ReferenceData!$BK$300),"",ReferenceData!$BK$300),"")</f>
        <v>8.3476723170000007</v>
      </c>
      <c r="BL300">
        <f ca="1">IFERROR(IF(0=LEN(ReferenceData!$BL$300),"",ReferenceData!$BL$300),"")</f>
        <v>9.1326950999999994</v>
      </c>
      <c r="BM300" t="str">
        <f ca="1">IFERROR(IF(0=LEN(ReferenceData!$BM$300),"",ReferenceData!$BM$300),"")</f>
        <v/>
      </c>
    </row>
    <row r="301" spans="1:65">
      <c r="A301" t="str">
        <f>IFERROR(IF(0=LEN(ReferenceData!$A$301),"",ReferenceData!$A$301),"")</f>
        <v xml:space="preserve">    Retail Opportunity Investments</v>
      </c>
      <c r="B301" t="str">
        <f>IFERROR(IF(0=LEN(ReferenceData!$B$301),"",ReferenceData!$B$301),"")</f>
        <v>ROIC US Equity</v>
      </c>
      <c r="C301" t="str">
        <f>IFERROR(IF(0=LEN(ReferenceData!$C$301),"",ReferenceData!$C$301),"")</f>
        <v>RR147</v>
      </c>
      <c r="D301" t="str">
        <f>IFERROR(IF(0=LEN(ReferenceData!$D$301),"",ReferenceData!$D$301),"")</f>
        <v>LT_DEBT_TO_TOT_ASSET</v>
      </c>
      <c r="E301" t="str">
        <f>IFERROR(IF(0=LEN(ReferenceData!$E$301),"",ReferenceData!$E$301),"")</f>
        <v>动态</v>
      </c>
      <c r="F301" t="str">
        <f ca="1">IFERROR(IF(0=LEN(ReferenceData!$F$301),"",ReferenceData!$F$301),"")</f>
        <v/>
      </c>
      <c r="G301">
        <f ca="1">IFERROR(IF(0=LEN(ReferenceData!$G$301),"",ReferenceData!$G$301),"")</f>
        <v>13.38283981</v>
      </c>
      <c r="H301">
        <f ca="1">IFERROR(IF(0=LEN(ReferenceData!$H$301),"",ReferenceData!$H$301),"")</f>
        <v>12.61904038</v>
      </c>
      <c r="I301">
        <f ca="1">IFERROR(IF(0=LEN(ReferenceData!$I$301),"",ReferenceData!$I$301),"")</f>
        <v>12.807409679999999</v>
      </c>
      <c r="J301">
        <f ca="1">IFERROR(IF(0=LEN(ReferenceData!$J$301),"",ReferenceData!$J$301),"")</f>
        <v>20.199546160000001</v>
      </c>
      <c r="K301">
        <f ca="1">IFERROR(IF(0=LEN(ReferenceData!$K$301),"",ReferenceData!$K$301),"")</f>
        <v>17.504822619999999</v>
      </c>
      <c r="L301">
        <f ca="1">IFERROR(IF(0=LEN(ReferenceData!$L$301),"",ReferenceData!$L$301),"")</f>
        <v>14.54091841</v>
      </c>
      <c r="M301">
        <f ca="1">IFERROR(IF(0=LEN(ReferenceData!$M$301),"",ReferenceData!$M$301),"")</f>
        <v>27.33010719</v>
      </c>
      <c r="N301">
        <f ca="1">IFERROR(IF(0=LEN(ReferenceData!$N$301),"",ReferenceData!$N$301),"")</f>
        <v>22.872332830000001</v>
      </c>
      <c r="O301">
        <f ca="1">IFERROR(IF(0=LEN(ReferenceData!$O$301),"",ReferenceData!$O$301),"")</f>
        <v>21.42068819</v>
      </c>
      <c r="P301">
        <f ca="1">IFERROR(IF(0=LEN(ReferenceData!$P$301),"",ReferenceData!$P$301),"")</f>
        <v>18.377711219999998</v>
      </c>
      <c r="Q301">
        <f ca="1">IFERROR(IF(0=LEN(ReferenceData!$Q$301),"",ReferenceData!$Q$301),"")</f>
        <v>18.507214900000001</v>
      </c>
      <c r="R301">
        <f ca="1">IFERROR(IF(0=LEN(ReferenceData!$R$301),"",ReferenceData!$R$301),"")</f>
        <v>17.017145620000001</v>
      </c>
      <c r="S301">
        <f ca="1">IFERROR(IF(0=LEN(ReferenceData!$S$301),"",ReferenceData!$S$301),"")</f>
        <v>13.53803248</v>
      </c>
      <c r="T301">
        <f ca="1">IFERROR(IF(0=LEN(ReferenceData!$T$301),"",ReferenceData!$T$301),"")</f>
        <v>24.320007050000001</v>
      </c>
      <c r="U301">
        <f ca="1">IFERROR(IF(0=LEN(ReferenceData!$U$301),"",ReferenceData!$U$301),"")</f>
        <v>24.804894770000001</v>
      </c>
      <c r="V301">
        <f ca="1">IFERROR(IF(0=LEN(ReferenceData!$V$301),"",ReferenceData!$V$301),"")</f>
        <v>29.28232629</v>
      </c>
      <c r="W301">
        <f ca="1">IFERROR(IF(0=LEN(ReferenceData!$W$301),"",ReferenceData!$W$301),"")</f>
        <v>26.117428310000001</v>
      </c>
      <c r="X301">
        <f ca="1">IFERROR(IF(0=LEN(ReferenceData!$X$301),"",ReferenceData!$X$301),"")</f>
        <v>38.218545450000001</v>
      </c>
      <c r="Y301">
        <f ca="1">IFERROR(IF(0=LEN(ReferenceData!$Y$301),"",ReferenceData!$Y$301),"")</f>
        <v>34.279850690000004</v>
      </c>
      <c r="Z301">
        <f ca="1">IFERROR(IF(0=LEN(ReferenceData!$Z$301),"",ReferenceData!$Z$301),"")</f>
        <v>30.205695510000002</v>
      </c>
      <c r="AA301">
        <f ca="1">IFERROR(IF(0=LEN(ReferenceData!$AA$301),"",ReferenceData!$AA$301),"")</f>
        <v>41.190986850000002</v>
      </c>
      <c r="AB301">
        <f ca="1">IFERROR(IF(0=LEN(ReferenceData!$AB$301),"",ReferenceData!$AB$301),"")</f>
        <v>31.74086015</v>
      </c>
      <c r="AC301">
        <f ca="1">IFERROR(IF(0=LEN(ReferenceData!$AC$301),"",ReferenceData!$AC$301),"")</f>
        <v>30.475262799999999</v>
      </c>
      <c r="AD301">
        <f ca="1">IFERROR(IF(0=LEN(ReferenceData!$AD$301),"",ReferenceData!$AD$301),"")</f>
        <v>27.003111199999999</v>
      </c>
      <c r="AE301">
        <f ca="1">IFERROR(IF(0=LEN(ReferenceData!$AE$301),"",ReferenceData!$AE$301),"")</f>
        <v>24.466875170000002</v>
      </c>
      <c r="AF301">
        <f ca="1">IFERROR(IF(0=LEN(ReferenceData!$AF$301),"",ReferenceData!$AF$301),"")</f>
        <v>30.820634680000001</v>
      </c>
      <c r="AG301">
        <f ca="1">IFERROR(IF(0=LEN(ReferenceData!$AG$301),"",ReferenceData!$AG$301),"")</f>
        <v>13.30364091</v>
      </c>
      <c r="AH301">
        <f ca="1">IFERROR(IF(0=LEN(ReferenceData!$AH$301),"",ReferenceData!$AH$301),"")</f>
        <v>11.14988299</v>
      </c>
      <c r="AI301">
        <f ca="1">IFERROR(IF(0=LEN(ReferenceData!$AI$301),"",ReferenceData!$AI$301),"")</f>
        <v>0</v>
      </c>
      <c r="AJ301">
        <f ca="1">IFERROR(IF(0=LEN(ReferenceData!$AJ$301),"",ReferenceData!$AJ$301),"")</f>
        <v>0</v>
      </c>
      <c r="AK301">
        <f ca="1">IFERROR(IF(0=LEN(ReferenceData!$AK$301),"",ReferenceData!$AK$301),"")</f>
        <v>0</v>
      </c>
      <c r="AL301">
        <f ca="1">IFERROR(IF(0=LEN(ReferenceData!$AL$301),"",ReferenceData!$AL$301),"")</f>
        <v>0</v>
      </c>
      <c r="AM301" t="str">
        <f ca="1">IFERROR(IF(0=LEN(ReferenceData!$AM$301),"",ReferenceData!$AM$301),"")</f>
        <v/>
      </c>
      <c r="AN301" t="str">
        <f ca="1">IFERROR(IF(0=LEN(ReferenceData!$AN$301),"",ReferenceData!$AN$301),"")</f>
        <v/>
      </c>
      <c r="AO301" t="str">
        <f ca="1">IFERROR(IF(0=LEN(ReferenceData!$AO$301),"",ReferenceData!$AO$301),"")</f>
        <v/>
      </c>
      <c r="AP301" t="str">
        <f ca="1">IFERROR(IF(0=LEN(ReferenceData!$AP$301),"",ReferenceData!$AP$301),"")</f>
        <v/>
      </c>
      <c r="AQ301" t="str">
        <f ca="1">IFERROR(IF(0=LEN(ReferenceData!$AQ$301),"",ReferenceData!$AQ$301),"")</f>
        <v/>
      </c>
      <c r="AR301" t="str">
        <f ca="1">IFERROR(IF(0=LEN(ReferenceData!$AR$301),"",ReferenceData!$AR$301),"")</f>
        <v/>
      </c>
      <c r="AS301" t="str">
        <f ca="1">IFERROR(IF(0=LEN(ReferenceData!$AS$301),"",ReferenceData!$AS$301),"")</f>
        <v/>
      </c>
      <c r="AT301" t="str">
        <f ca="1">IFERROR(IF(0=LEN(ReferenceData!$AT$301),"",ReferenceData!$AT$301),"")</f>
        <v/>
      </c>
      <c r="AU301" t="str">
        <f ca="1">IFERROR(IF(0=LEN(ReferenceData!$AU$301),"",ReferenceData!$AU$301),"")</f>
        <v/>
      </c>
      <c r="AV301" t="str">
        <f ca="1">IFERROR(IF(0=LEN(ReferenceData!$AV$301),"",ReferenceData!$AV$301),"")</f>
        <v/>
      </c>
      <c r="AW301" t="str">
        <f ca="1">IFERROR(IF(0=LEN(ReferenceData!$AW$301),"",ReferenceData!$AW$301),"")</f>
        <v/>
      </c>
      <c r="AX301" t="str">
        <f ca="1">IFERROR(IF(0=LEN(ReferenceData!$AX$301),"",ReferenceData!$AX$301),"")</f>
        <v/>
      </c>
      <c r="AY301" t="str">
        <f ca="1">IFERROR(IF(0=LEN(ReferenceData!$AY$301),"",ReferenceData!$AY$301),"")</f>
        <v/>
      </c>
      <c r="AZ301" t="str">
        <f ca="1">IFERROR(IF(0=LEN(ReferenceData!$AZ$301),"",ReferenceData!$AZ$301),"")</f>
        <v/>
      </c>
      <c r="BA301" t="str">
        <f ca="1">IFERROR(IF(0=LEN(ReferenceData!$BA$301),"",ReferenceData!$BA$301),"")</f>
        <v/>
      </c>
      <c r="BB301" t="str">
        <f ca="1">IFERROR(IF(0=LEN(ReferenceData!$BB$301),"",ReferenceData!$BB$301),"")</f>
        <v/>
      </c>
      <c r="BC301" t="str">
        <f ca="1">IFERROR(IF(0=LEN(ReferenceData!$BC$301),"",ReferenceData!$BC$301),"")</f>
        <v/>
      </c>
      <c r="BD301" t="str">
        <f ca="1">IFERROR(IF(0=LEN(ReferenceData!$BD$301),"",ReferenceData!$BD$301),"")</f>
        <v/>
      </c>
      <c r="BE301" t="str">
        <f ca="1">IFERROR(IF(0=LEN(ReferenceData!$BE$301),"",ReferenceData!$BE$301),"")</f>
        <v/>
      </c>
      <c r="BF301" t="str">
        <f ca="1">IFERROR(IF(0=LEN(ReferenceData!$BF$301),"",ReferenceData!$BF$301),"")</f>
        <v/>
      </c>
      <c r="BG301" t="str">
        <f ca="1">IFERROR(IF(0=LEN(ReferenceData!$BG$301),"",ReferenceData!$BG$301),"")</f>
        <v/>
      </c>
      <c r="BH301" t="str">
        <f ca="1">IFERROR(IF(0=LEN(ReferenceData!$BH$301),"",ReferenceData!$BH$301),"")</f>
        <v/>
      </c>
      <c r="BI301" t="str">
        <f ca="1">IFERROR(IF(0=LEN(ReferenceData!$BI$301),"",ReferenceData!$BI$301),"")</f>
        <v/>
      </c>
      <c r="BJ301" t="str">
        <f ca="1">IFERROR(IF(0=LEN(ReferenceData!$BJ$301),"",ReferenceData!$BJ$301),"")</f>
        <v/>
      </c>
      <c r="BK301" t="str">
        <f ca="1">IFERROR(IF(0=LEN(ReferenceData!$BK$301),"",ReferenceData!$BK$301),"")</f>
        <v/>
      </c>
      <c r="BL301" t="str">
        <f ca="1">IFERROR(IF(0=LEN(ReferenceData!$BL$301),"",ReferenceData!$BL$301),"")</f>
        <v/>
      </c>
      <c r="BM301" t="str">
        <f ca="1">IFERROR(IF(0=LEN(ReferenceData!$BM$301),"",ReferenceData!$BM$301),"")</f>
        <v/>
      </c>
    </row>
    <row r="302" spans="1:65">
      <c r="A302" t="str">
        <f>IFERROR(IF(0=LEN(ReferenceData!$A$302),"",ReferenceData!$A$302),"")</f>
        <v xml:space="preserve">    Retail Properties of America I</v>
      </c>
      <c r="B302" t="str">
        <f>IFERROR(IF(0=LEN(ReferenceData!$B$302),"",ReferenceData!$B$302),"")</f>
        <v>RPAI US Equity</v>
      </c>
      <c r="C302" t="str">
        <f>IFERROR(IF(0=LEN(ReferenceData!$C$302),"",ReferenceData!$C$302),"")</f>
        <v>RR147</v>
      </c>
      <c r="D302" t="str">
        <f>IFERROR(IF(0=LEN(ReferenceData!$D$302),"",ReferenceData!$D$302),"")</f>
        <v>LT_DEBT_TO_TOT_ASSET</v>
      </c>
      <c r="E302" t="str">
        <f>IFERROR(IF(0=LEN(ReferenceData!$E$302),"",ReferenceData!$E$302),"")</f>
        <v>动态</v>
      </c>
      <c r="F302" t="str">
        <f ca="1">IFERROR(IF(0=LEN(ReferenceData!$F$302),"",ReferenceData!$F$302),"")</f>
        <v/>
      </c>
      <c r="G302">
        <f ca="1">IFERROR(IF(0=LEN(ReferenceData!$G$302),"",ReferenceData!$G$302),"")</f>
        <v>7.3264078169999998</v>
      </c>
      <c r="H302">
        <f ca="1">IFERROR(IF(0=LEN(ReferenceData!$H$302),"",ReferenceData!$H$302),"")</f>
        <v>7.0802019019999998</v>
      </c>
      <c r="I302">
        <f ca="1">IFERROR(IF(0=LEN(ReferenceData!$I$302),"",ReferenceData!$I$302),"")</f>
        <v>8.3304899750000008</v>
      </c>
      <c r="J302">
        <f ca="1">IFERROR(IF(0=LEN(ReferenceData!$J$302),"",ReferenceData!$J$302),"")</f>
        <v>8.3557869409999999</v>
      </c>
      <c r="K302">
        <f ca="1">IFERROR(IF(0=LEN(ReferenceData!$K$302),"",ReferenceData!$K$302),"")</f>
        <v>17.273493460000001</v>
      </c>
      <c r="L302">
        <f ca="1">IFERROR(IF(0=LEN(ReferenceData!$L$302),"",ReferenceData!$L$302),"")</f>
        <v>22.160176790000001</v>
      </c>
      <c r="M302">
        <f ca="1">IFERROR(IF(0=LEN(ReferenceData!$M$302),"",ReferenceData!$M$302),"")</f>
        <v>21.924667230000001</v>
      </c>
      <c r="N302">
        <f ca="1">IFERROR(IF(0=LEN(ReferenceData!$N$302),"",ReferenceData!$N$302),"")</f>
        <v>21.89600261</v>
      </c>
      <c r="O302">
        <f ca="1">IFERROR(IF(0=LEN(ReferenceData!$O$302),"",ReferenceData!$O$302),"")</f>
        <v>24.303722090000001</v>
      </c>
      <c r="P302">
        <f ca="1">IFERROR(IF(0=LEN(ReferenceData!$P$302),"",ReferenceData!$P$302),"")</f>
        <v>25.616750239999998</v>
      </c>
      <c r="Q302">
        <f ca="1">IFERROR(IF(0=LEN(ReferenceData!$Q$302),"",ReferenceData!$Q$302),"")</f>
        <v>29.100874109999999</v>
      </c>
      <c r="R302">
        <f ca="1">IFERROR(IF(0=LEN(ReferenceData!$R$302),"",ReferenceData!$R$302),"")</f>
        <v>31.261573219999999</v>
      </c>
      <c r="S302">
        <f ca="1">IFERROR(IF(0=LEN(ReferenceData!$S$302),"",ReferenceData!$S$302),"")</f>
        <v>34.02399321</v>
      </c>
      <c r="T302">
        <f ca="1">IFERROR(IF(0=LEN(ReferenceData!$T$302),"",ReferenceData!$T$302),"")</f>
        <v>33.79200951</v>
      </c>
      <c r="U302">
        <f ca="1">IFERROR(IF(0=LEN(ReferenceData!$U$302),"",ReferenceData!$U$302),"")</f>
        <v>34.427895059999997</v>
      </c>
      <c r="V302">
        <f ca="1">IFERROR(IF(0=LEN(ReferenceData!$V$302),"",ReferenceData!$V$302),"")</f>
        <v>38.004472399999997</v>
      </c>
      <c r="W302">
        <f ca="1">IFERROR(IF(0=LEN(ReferenceData!$W$302),"",ReferenceData!$W$302),"")</f>
        <v>34.538323949999999</v>
      </c>
      <c r="X302">
        <f ca="1">IFERROR(IF(0=LEN(ReferenceData!$X$302),"",ReferenceData!$X$302),"")</f>
        <v>34.798508300000002</v>
      </c>
      <c r="Y302">
        <f ca="1">IFERROR(IF(0=LEN(ReferenceData!$Y$302),"",ReferenceData!$Y$302),"")</f>
        <v>47.508489349999998</v>
      </c>
      <c r="Z302">
        <f ca="1">IFERROR(IF(0=LEN(ReferenceData!$Z$302),"",ReferenceData!$Z$302),"")</f>
        <v>49.267305200000003</v>
      </c>
      <c r="AA302">
        <f ca="1">IFERROR(IF(0=LEN(ReferenceData!$AA$302),"",ReferenceData!$AA$302),"")</f>
        <v>47.104981129999999</v>
      </c>
      <c r="AB302">
        <f ca="1">IFERROR(IF(0=LEN(ReferenceData!$AB$302),"",ReferenceData!$AB$302),"")</f>
        <v>53.476551579999999</v>
      </c>
      <c r="AC302">
        <f ca="1">IFERROR(IF(0=LEN(ReferenceData!$AC$302),"",ReferenceData!$AC$302),"")</f>
        <v>54.396581869999999</v>
      </c>
      <c r="AD302">
        <f ca="1">IFERROR(IF(0=LEN(ReferenceData!$AD$302),"",ReferenceData!$AD$302),"")</f>
        <v>59.825025009999997</v>
      </c>
      <c r="AE302">
        <f ca="1">IFERROR(IF(0=LEN(ReferenceData!$AE$302),"",ReferenceData!$AE$302),"")</f>
        <v>57.005527190000002</v>
      </c>
      <c r="AF302">
        <f ca="1">IFERROR(IF(0=LEN(ReferenceData!$AF$302),"",ReferenceData!$AF$302),"")</f>
        <v>59.178564160000001</v>
      </c>
      <c r="AG302">
        <f ca="1">IFERROR(IF(0=LEN(ReferenceData!$AG$302),"",ReferenceData!$AG$302),"")</f>
        <v>59.983552699999997</v>
      </c>
      <c r="AH302">
        <f ca="1">IFERROR(IF(0=LEN(ReferenceData!$AH$302),"",ReferenceData!$AH$302),"")</f>
        <v>59.955250790000001</v>
      </c>
      <c r="AI302">
        <f ca="1">IFERROR(IF(0=LEN(ReferenceData!$AI$302),"",ReferenceData!$AI$302),"")</f>
        <v>57.29885659</v>
      </c>
      <c r="AJ302">
        <f ca="1">IFERROR(IF(0=LEN(ReferenceData!$AJ$302),"",ReferenceData!$AJ$302),"")</f>
        <v>57.37727443</v>
      </c>
      <c r="AK302" t="str">
        <f ca="1">IFERROR(IF(0=LEN(ReferenceData!$AK$302),"",ReferenceData!$AK$302),"")</f>
        <v/>
      </c>
      <c r="AL302" t="str">
        <f ca="1">IFERROR(IF(0=LEN(ReferenceData!$AL$302),"",ReferenceData!$AL$302),"")</f>
        <v/>
      </c>
      <c r="AM302" t="str">
        <f ca="1">IFERROR(IF(0=LEN(ReferenceData!$AM$302),"",ReferenceData!$AM$302),"")</f>
        <v/>
      </c>
      <c r="AN302" t="str">
        <f ca="1">IFERROR(IF(0=LEN(ReferenceData!$AN$302),"",ReferenceData!$AN$302),"")</f>
        <v/>
      </c>
      <c r="AO302" t="str">
        <f ca="1">IFERROR(IF(0=LEN(ReferenceData!$AO$302),"",ReferenceData!$AO$302),"")</f>
        <v/>
      </c>
      <c r="AP302" t="str">
        <f ca="1">IFERROR(IF(0=LEN(ReferenceData!$AP$302),"",ReferenceData!$AP$302),"")</f>
        <v/>
      </c>
      <c r="AQ302" t="str">
        <f ca="1">IFERROR(IF(0=LEN(ReferenceData!$AQ$302),"",ReferenceData!$AQ$302),"")</f>
        <v/>
      </c>
      <c r="AR302" t="str">
        <f ca="1">IFERROR(IF(0=LEN(ReferenceData!$AR$302),"",ReferenceData!$AR$302),"")</f>
        <v/>
      </c>
      <c r="AS302" t="str">
        <f ca="1">IFERROR(IF(0=LEN(ReferenceData!$AS$302),"",ReferenceData!$AS$302),"")</f>
        <v/>
      </c>
      <c r="AT302" t="str">
        <f ca="1">IFERROR(IF(0=LEN(ReferenceData!$AT$302),"",ReferenceData!$AT$302),"")</f>
        <v/>
      </c>
      <c r="AU302" t="str">
        <f ca="1">IFERROR(IF(0=LEN(ReferenceData!$AU$302),"",ReferenceData!$AU$302),"")</f>
        <v/>
      </c>
      <c r="AV302" t="str">
        <f ca="1">IFERROR(IF(0=LEN(ReferenceData!$AV$302),"",ReferenceData!$AV$302),"")</f>
        <v/>
      </c>
      <c r="AW302" t="str">
        <f ca="1">IFERROR(IF(0=LEN(ReferenceData!$AW$302),"",ReferenceData!$AW$302),"")</f>
        <v/>
      </c>
      <c r="AX302" t="str">
        <f ca="1">IFERROR(IF(0=LEN(ReferenceData!$AX$302),"",ReferenceData!$AX$302),"")</f>
        <v/>
      </c>
      <c r="AY302" t="str">
        <f ca="1">IFERROR(IF(0=LEN(ReferenceData!$AY$302),"",ReferenceData!$AY$302),"")</f>
        <v/>
      </c>
      <c r="AZ302" t="str">
        <f ca="1">IFERROR(IF(0=LEN(ReferenceData!$AZ$302),"",ReferenceData!$AZ$302),"")</f>
        <v/>
      </c>
      <c r="BA302" t="str">
        <f ca="1">IFERROR(IF(0=LEN(ReferenceData!$BA$302),"",ReferenceData!$BA$302),"")</f>
        <v/>
      </c>
      <c r="BB302" t="str">
        <f ca="1">IFERROR(IF(0=LEN(ReferenceData!$BB$302),"",ReferenceData!$BB$302),"")</f>
        <v/>
      </c>
      <c r="BC302" t="str">
        <f ca="1">IFERROR(IF(0=LEN(ReferenceData!$BC$302),"",ReferenceData!$BC$302),"")</f>
        <v/>
      </c>
      <c r="BD302" t="str">
        <f ca="1">IFERROR(IF(0=LEN(ReferenceData!$BD$302),"",ReferenceData!$BD$302),"")</f>
        <v/>
      </c>
      <c r="BE302" t="str">
        <f ca="1">IFERROR(IF(0=LEN(ReferenceData!$BE$302),"",ReferenceData!$BE$302),"")</f>
        <v/>
      </c>
      <c r="BF302" t="str">
        <f ca="1">IFERROR(IF(0=LEN(ReferenceData!$BF$302),"",ReferenceData!$BF$302),"")</f>
        <v/>
      </c>
      <c r="BG302" t="str">
        <f ca="1">IFERROR(IF(0=LEN(ReferenceData!$BG$302),"",ReferenceData!$BG$302),"")</f>
        <v/>
      </c>
      <c r="BH302" t="str">
        <f ca="1">IFERROR(IF(0=LEN(ReferenceData!$BH$302),"",ReferenceData!$BH$302),"")</f>
        <v/>
      </c>
      <c r="BI302" t="str">
        <f ca="1">IFERROR(IF(0=LEN(ReferenceData!$BI$302),"",ReferenceData!$BI$302),"")</f>
        <v/>
      </c>
      <c r="BJ302" t="str">
        <f ca="1">IFERROR(IF(0=LEN(ReferenceData!$BJ$302),"",ReferenceData!$BJ$302),"")</f>
        <v/>
      </c>
      <c r="BK302" t="str">
        <f ca="1">IFERROR(IF(0=LEN(ReferenceData!$BK$302),"",ReferenceData!$BK$302),"")</f>
        <v/>
      </c>
      <c r="BL302" t="str">
        <f ca="1">IFERROR(IF(0=LEN(ReferenceData!$BL$302),"",ReferenceData!$BL$302),"")</f>
        <v/>
      </c>
      <c r="BM302" t="str">
        <f ca="1">IFERROR(IF(0=LEN(ReferenceData!$BM$302),"",ReferenceData!$BM$302),"")</f>
        <v/>
      </c>
    </row>
    <row r="303" spans="1:65">
      <c r="A303" t="str">
        <f>IFERROR(IF(0=LEN(ReferenceData!$A$303),"",ReferenceData!$A$303),"")</f>
        <v xml:space="preserve">    Simon Property Group Inc</v>
      </c>
      <c r="B303" t="str">
        <f>IFERROR(IF(0=LEN(ReferenceData!$B$303),"",ReferenceData!$B$303),"")</f>
        <v>SPG US Equity</v>
      </c>
      <c r="C303" t="str">
        <f>IFERROR(IF(0=LEN(ReferenceData!$C$303),"",ReferenceData!$C$303),"")</f>
        <v>RR147</v>
      </c>
      <c r="D303" t="str">
        <f>IFERROR(IF(0=LEN(ReferenceData!$D$303),"",ReferenceData!$D$303),"")</f>
        <v>LT_DEBT_TO_TOT_ASSET</v>
      </c>
      <c r="E303" t="str">
        <f>IFERROR(IF(0=LEN(ReferenceData!$E$303),"",ReferenceData!$E$303),"")</f>
        <v>动态</v>
      </c>
      <c r="F303" t="str">
        <f ca="1">IFERROR(IF(0=LEN(ReferenceData!$F$303),"",ReferenceData!$F$303),"")</f>
        <v/>
      </c>
      <c r="G303">
        <f ca="1">IFERROR(IF(0=LEN(ReferenceData!$G$303),"",ReferenceData!$G$303),"")</f>
        <v>21.429213140000002</v>
      </c>
      <c r="H303">
        <f ca="1">IFERROR(IF(0=LEN(ReferenceData!$H$303),"",ReferenceData!$H$303),"")</f>
        <v>22.171001220000001</v>
      </c>
      <c r="I303">
        <f ca="1">IFERROR(IF(0=LEN(ReferenceData!$I$303),"",ReferenceData!$I$303),"")</f>
        <v>21.549729790000001</v>
      </c>
      <c r="J303">
        <f ca="1">IFERROR(IF(0=LEN(ReferenceData!$J$303),"",ReferenceData!$J$303),"")</f>
        <v>21.201732960000001</v>
      </c>
      <c r="K303">
        <f ca="1">IFERROR(IF(0=LEN(ReferenceData!$K$303),"",ReferenceData!$K$303),"")</f>
        <v>20.78289835</v>
      </c>
      <c r="L303">
        <f ca="1">IFERROR(IF(0=LEN(ReferenceData!$L$303),"",ReferenceData!$L$303),"")</f>
        <v>20.740520780000001</v>
      </c>
      <c r="M303">
        <f ca="1">IFERROR(IF(0=LEN(ReferenceData!$M$303),"",ReferenceData!$M$303),"")</f>
        <v>20.497331039999999</v>
      </c>
      <c r="N303">
        <f ca="1">IFERROR(IF(0=LEN(ReferenceData!$N$303),"",ReferenceData!$N$303),"")</f>
        <v>20.999386659999999</v>
      </c>
      <c r="O303">
        <f ca="1">IFERROR(IF(0=LEN(ReferenceData!$O$303),"",ReferenceData!$O$303),"")</f>
        <v>21.603957730000001</v>
      </c>
      <c r="P303">
        <f ca="1">IFERROR(IF(0=LEN(ReferenceData!$P$303),"",ReferenceData!$P$303),"")</f>
        <v>21.32700427</v>
      </c>
      <c r="Q303">
        <f ca="1">IFERROR(IF(0=LEN(ReferenceData!$Q$303),"",ReferenceData!$Q$303),"")</f>
        <v>21.801539850000001</v>
      </c>
      <c r="R303">
        <f ca="1">IFERROR(IF(0=LEN(ReferenceData!$R$303),"",ReferenceData!$R$303),"")</f>
        <v>21.733923900000001</v>
      </c>
      <c r="S303">
        <f ca="1">IFERROR(IF(0=LEN(ReferenceData!$S$303),"",ReferenceData!$S$303),"")</f>
        <v>20.979137099999999</v>
      </c>
      <c r="T303">
        <f ca="1">IFERROR(IF(0=LEN(ReferenceData!$T$303),"",ReferenceData!$T$303),"")</f>
        <v>21.094770130000001</v>
      </c>
      <c r="U303">
        <f ca="1">IFERROR(IF(0=LEN(ReferenceData!$U$303),"",ReferenceData!$U$303),"")</f>
        <v>20.690882559999999</v>
      </c>
      <c r="V303">
        <f ca="1">IFERROR(IF(0=LEN(ReferenceData!$V$303),"",ReferenceData!$V$303),"")</f>
        <v>23.200690059999999</v>
      </c>
      <c r="W303">
        <f ca="1">IFERROR(IF(0=LEN(ReferenceData!$W$303),"",ReferenceData!$W$303),"")</f>
        <v>24.54812776</v>
      </c>
      <c r="X303">
        <f ca="1">IFERROR(IF(0=LEN(ReferenceData!$X$303),"",ReferenceData!$X$303),"")</f>
        <v>25.151082590000001</v>
      </c>
      <c r="Y303">
        <f ca="1">IFERROR(IF(0=LEN(ReferenceData!$Y$303),"",ReferenceData!$Y$303),"")</f>
        <v>24.97028203</v>
      </c>
      <c r="Z303">
        <f ca="1">IFERROR(IF(0=LEN(ReferenceData!$Z$303),"",ReferenceData!$Z$303),"")</f>
        <v>24.72363605</v>
      </c>
      <c r="AA303">
        <f ca="1">IFERROR(IF(0=LEN(ReferenceData!$AA$303),"",ReferenceData!$AA$303),"")</f>
        <v>24.605974610000001</v>
      </c>
      <c r="AB303">
        <f ca="1">IFERROR(IF(0=LEN(ReferenceData!$AB$303),"",ReferenceData!$AB$303),"")</f>
        <v>25.099455169999999</v>
      </c>
      <c r="AC303">
        <f ca="1">IFERROR(IF(0=LEN(ReferenceData!$AC$303),"",ReferenceData!$AC$303),"")</f>
        <v>25.01559795</v>
      </c>
      <c r="AD303">
        <f ca="1">IFERROR(IF(0=LEN(ReferenceData!$AD$303),"",ReferenceData!$AD$303),"")</f>
        <v>25.48749879</v>
      </c>
      <c r="AE303">
        <f ca="1">IFERROR(IF(0=LEN(ReferenceData!$AE$303),"",ReferenceData!$AE$303),"")</f>
        <v>25.932678989999999</v>
      </c>
      <c r="AF303">
        <f ca="1">IFERROR(IF(0=LEN(ReferenceData!$AF$303),"",ReferenceData!$AF$303),"")</f>
        <v>25.256381099999999</v>
      </c>
      <c r="AG303">
        <f ca="1">IFERROR(IF(0=LEN(ReferenceData!$AG$303),"",ReferenceData!$AG$303),"")</f>
        <v>26.587157210000001</v>
      </c>
      <c r="AH303">
        <f ca="1">IFERROR(IF(0=LEN(ReferenceData!$AH$303),"",ReferenceData!$AH$303),"")</f>
        <v>26.796364709999999</v>
      </c>
      <c r="AI303">
        <f ca="1">IFERROR(IF(0=LEN(ReferenceData!$AI$303),"",ReferenceData!$AI$303),"")</f>
        <v>26.541855959999999</v>
      </c>
      <c r="AJ303">
        <f ca="1">IFERROR(IF(0=LEN(ReferenceData!$AJ$303),"",ReferenceData!$AJ$303),"")</f>
        <v>26.67936272</v>
      </c>
      <c r="AK303">
        <f ca="1">IFERROR(IF(0=LEN(ReferenceData!$AK$303),"",ReferenceData!$AK$303),"")</f>
        <v>23.98655845</v>
      </c>
      <c r="AL303">
        <f ca="1">IFERROR(IF(0=LEN(ReferenceData!$AL$303),"",ReferenceData!$AL$303),"")</f>
        <v>24.878389460000001</v>
      </c>
      <c r="AM303">
        <f ca="1">IFERROR(IF(0=LEN(ReferenceData!$AM$303),"",ReferenceData!$AM$303),"")</f>
        <v>25.433321830000001</v>
      </c>
      <c r="AN303">
        <f ca="1">IFERROR(IF(0=LEN(ReferenceData!$AN$303),"",ReferenceData!$AN$303),"")</f>
        <v>25.504861989999998</v>
      </c>
      <c r="AO303">
        <f ca="1">IFERROR(IF(0=LEN(ReferenceData!$AO$303),"",ReferenceData!$AO$303),"")</f>
        <v>24.941086309999999</v>
      </c>
      <c r="AP303">
        <f ca="1">IFERROR(IF(0=LEN(ReferenceData!$AP$303),"",ReferenceData!$AP$303),"")</f>
        <v>27.02906814</v>
      </c>
      <c r="AQ303">
        <f ca="1">IFERROR(IF(0=LEN(ReferenceData!$AQ$303),"",ReferenceData!$AQ$303),"")</f>
        <v>26.70073013</v>
      </c>
      <c r="AR303">
        <f ca="1">IFERROR(IF(0=LEN(ReferenceData!$AR$303),"",ReferenceData!$AR$303),"")</f>
        <v>25.955822340000001</v>
      </c>
      <c r="AS303">
        <f ca="1">IFERROR(IF(0=LEN(ReferenceData!$AS$303),"",ReferenceData!$AS$303),"")</f>
        <v>25.253089800000001</v>
      </c>
      <c r="AT303">
        <f ca="1">IFERROR(IF(0=LEN(ReferenceData!$AT$303),"",ReferenceData!$AT$303),"")</f>
        <v>25.284616410000002</v>
      </c>
      <c r="AU303">
        <f ca="1">IFERROR(IF(0=LEN(ReferenceData!$AU$303),"",ReferenceData!$AU$303),"")</f>
        <v>22.418612960000001</v>
      </c>
      <c r="AV303">
        <f ca="1">IFERROR(IF(0=LEN(ReferenceData!$AV$303),"",ReferenceData!$AV$303),"")</f>
        <v>22.457561099999999</v>
      </c>
      <c r="AW303">
        <f ca="1">IFERROR(IF(0=LEN(ReferenceData!$AW$303),"",ReferenceData!$AW$303),"")</f>
        <v>21.037889660000001</v>
      </c>
      <c r="AX303">
        <f ca="1">IFERROR(IF(0=LEN(ReferenceData!$AX$303),"",ReferenceData!$AX$303),"")</f>
        <v>19.547768470000001</v>
      </c>
      <c r="AY303">
        <f ca="1">IFERROR(IF(0=LEN(ReferenceData!$AY$303),"",ReferenceData!$AY$303),"")</f>
        <v>19.946265369999999</v>
      </c>
      <c r="AZ303">
        <f ca="1">IFERROR(IF(0=LEN(ReferenceData!$AZ$303),"",ReferenceData!$AZ$303),"")</f>
        <v>20.27765883</v>
      </c>
      <c r="BA303">
        <f ca="1">IFERROR(IF(0=LEN(ReferenceData!$BA$303),"",ReferenceData!$BA$303),"")</f>
        <v>20.51912072</v>
      </c>
      <c r="BB303">
        <f ca="1">IFERROR(IF(0=LEN(ReferenceData!$BB$303),"",ReferenceData!$BB$303),"")</f>
        <v>20.774505659999999</v>
      </c>
      <c r="BC303">
        <f ca="1">IFERROR(IF(0=LEN(ReferenceData!$BC$303),"",ReferenceData!$BC$303),"")</f>
        <v>21.60088768</v>
      </c>
      <c r="BD303">
        <f ca="1">IFERROR(IF(0=LEN(ReferenceData!$BD$303),"",ReferenceData!$BD$303),"")</f>
        <v>56.697590300000002</v>
      </c>
      <c r="BE303">
        <f ca="1">IFERROR(IF(0=LEN(ReferenceData!$BE$303),"",ReferenceData!$BE$303),"")</f>
        <v>57.4227512</v>
      </c>
      <c r="BF303">
        <f ca="1">IFERROR(IF(0=LEN(ReferenceData!$BF$303),"",ReferenceData!$BF$303),"")</f>
        <v>55.266414490000003</v>
      </c>
      <c r="BG303">
        <f ca="1">IFERROR(IF(0=LEN(ReferenceData!$BG$303),"",ReferenceData!$BG$303),"")</f>
        <v>22.890687140000001</v>
      </c>
      <c r="BH303">
        <f ca="1">IFERROR(IF(0=LEN(ReferenceData!$BH$303),"",ReferenceData!$BH$303),"")</f>
        <v>28.547486339999999</v>
      </c>
      <c r="BI303">
        <f ca="1">IFERROR(IF(0=LEN(ReferenceData!$BI$303),"",ReferenceData!$BI$303),"")</f>
        <v>64.352614439999996</v>
      </c>
      <c r="BJ303">
        <f ca="1">IFERROR(IF(0=LEN(ReferenceData!$BJ$303),"",ReferenceData!$BJ$303),"")</f>
        <v>63.838264799999997</v>
      </c>
      <c r="BK303">
        <f ca="1">IFERROR(IF(0=LEN(ReferenceData!$BK$303),"",ReferenceData!$BK$303),"")</f>
        <v>26.792456170000001</v>
      </c>
      <c r="BL303">
        <f ca="1">IFERROR(IF(0=LEN(ReferenceData!$BL$303),"",ReferenceData!$BL$303),"")</f>
        <v>61.985887169999998</v>
      </c>
      <c r="BM303">
        <f ca="1">IFERROR(IF(0=LEN(ReferenceData!$BM$303),"",ReferenceData!$BM$303),"")</f>
        <v>61.796571399999998</v>
      </c>
    </row>
    <row r="304" spans="1:65">
      <c r="A304" t="str">
        <f>IFERROR(IF(0=LEN(ReferenceData!$A$304),"",ReferenceData!$A$304),"")</f>
        <v xml:space="preserve">    Tanger Factory Outlet Centers</v>
      </c>
      <c r="B304" t="str">
        <f>IFERROR(IF(0=LEN(ReferenceData!$B$304),"",ReferenceData!$B$304),"")</f>
        <v>SKT US Equity</v>
      </c>
      <c r="C304" t="str">
        <f>IFERROR(IF(0=LEN(ReferenceData!$C$304),"",ReferenceData!$C$304),"")</f>
        <v>RR147</v>
      </c>
      <c r="D304" t="str">
        <f>IFERROR(IF(0=LEN(ReferenceData!$D$304),"",ReferenceData!$D$304),"")</f>
        <v>LT_DEBT_TO_TOT_ASSET</v>
      </c>
      <c r="E304" t="str">
        <f>IFERROR(IF(0=LEN(ReferenceData!$E$304),"",ReferenceData!$E$304),"")</f>
        <v>动态</v>
      </c>
      <c r="F304" t="str">
        <f ca="1">IFERROR(IF(0=LEN(ReferenceData!$F$304),"",ReferenceData!$F$304),"")</f>
        <v/>
      </c>
      <c r="G304">
        <f ca="1">IFERROR(IF(0=LEN(ReferenceData!$G$304),"",ReferenceData!$G$304),"")</f>
        <v>3.9274360709999998</v>
      </c>
      <c r="H304">
        <f ca="1">IFERROR(IF(0=LEN(ReferenceData!$H$304),"",ReferenceData!$H$304),"")</f>
        <v>6.7196391350000004</v>
      </c>
      <c r="I304">
        <f ca="1">IFERROR(IF(0=LEN(ReferenceData!$I$304),"",ReferenceData!$I$304),"")</f>
        <v>6.7687477290000002</v>
      </c>
      <c r="J304">
        <f ca="1">IFERROR(IF(0=LEN(ReferenceData!$J$304),"",ReferenceData!$J$304),"")</f>
        <v>6.7509262650000004</v>
      </c>
      <c r="K304">
        <f ca="1">IFERROR(IF(0=LEN(ReferenceData!$K$304),"",ReferenceData!$K$304),"")</f>
        <v>6.8143474780000002</v>
      </c>
      <c r="L304">
        <f ca="1">IFERROR(IF(0=LEN(ReferenceData!$L$304),"",ReferenceData!$L$304),"")</f>
        <v>6.7416033070000001</v>
      </c>
      <c r="M304">
        <f ca="1">IFERROR(IF(0=LEN(ReferenceData!$M$304),"",ReferenceData!$M$304),"")</f>
        <v>9.8856747550000001</v>
      </c>
      <c r="N304">
        <f ca="1">IFERROR(IF(0=LEN(ReferenceData!$N$304),"",ReferenceData!$N$304),"")</f>
        <v>7.6509878999999996</v>
      </c>
      <c r="O304">
        <f ca="1">IFERROR(IF(0=LEN(ReferenceData!$O$304),"",ReferenceData!$O$304),"")</f>
        <v>13.417299359999999</v>
      </c>
      <c r="P304">
        <f ca="1">IFERROR(IF(0=LEN(ReferenceData!$P$304),"",ReferenceData!$P$304),"")</f>
        <v>12.6396865</v>
      </c>
      <c r="Q304">
        <f ca="1">IFERROR(IF(0=LEN(ReferenceData!$Q$304),"",ReferenceData!$Q$304),"")</f>
        <v>12.65303325</v>
      </c>
      <c r="R304">
        <f ca="1">IFERROR(IF(0=LEN(ReferenceData!$R$304),"",ReferenceData!$R$304),"")</f>
        <v>13.39003089</v>
      </c>
      <c r="S304">
        <f ca="1">IFERROR(IF(0=LEN(ReferenceData!$S$304),"",ReferenceData!$S$304),"")</f>
        <v>12.93636719</v>
      </c>
      <c r="T304">
        <f ca="1">IFERROR(IF(0=LEN(ReferenceData!$T$304),"",ReferenceData!$T$304),"")</f>
        <v>12.63743992</v>
      </c>
      <c r="U304">
        <f ca="1">IFERROR(IF(0=LEN(ReferenceData!$U$304),"",ReferenceData!$U$304),"")</f>
        <v>12.74707341</v>
      </c>
      <c r="V304">
        <f ca="1">IFERROR(IF(0=LEN(ReferenceData!$V$304),"",ReferenceData!$V$304),"")</f>
        <v>12.95087968</v>
      </c>
      <c r="W304">
        <f ca="1">IFERROR(IF(0=LEN(ReferenceData!$W$304),"",ReferenceData!$W$304),"")</f>
        <v>12.971777100000001</v>
      </c>
      <c r="X304">
        <f ca="1">IFERROR(IF(0=LEN(ReferenceData!$X$304),"",ReferenceData!$X$304),"")</f>
        <v>12.827659649999999</v>
      </c>
      <c r="Y304">
        <f ca="1">IFERROR(IF(0=LEN(ReferenceData!$Y$304),"",ReferenceData!$Y$304),"")</f>
        <v>6.4906545260000001</v>
      </c>
      <c r="Z304">
        <f ca="1">IFERROR(IF(0=LEN(ReferenceData!$Z$304),"",ReferenceData!$Z$304),"")</f>
        <v>6.805791513</v>
      </c>
      <c r="AA304">
        <f ca="1">IFERROR(IF(0=LEN(ReferenceData!$AA$304),"",ReferenceData!$AA$304),"")</f>
        <v>6.8399451989999998</v>
      </c>
      <c r="AB304">
        <f ca="1">IFERROR(IF(0=LEN(ReferenceData!$AB$304),"",ReferenceData!$AB$304),"")</f>
        <v>7.2727350380000004</v>
      </c>
      <c r="AC304">
        <f ca="1">IFERROR(IF(0=LEN(ReferenceData!$AC$304),"",ReferenceData!$AC$304),"")</f>
        <v>7.5700738259999998</v>
      </c>
      <c r="AD304">
        <f ca="1">IFERROR(IF(0=LEN(ReferenceData!$AD$304),"",ReferenceData!$AD$304),"")</f>
        <v>7.7176906069999998</v>
      </c>
      <c r="AE304">
        <f ca="1">IFERROR(IF(0=LEN(ReferenceData!$AE$304),"",ReferenceData!$AE$304),"")</f>
        <v>7.7095722999999996</v>
      </c>
      <c r="AF304">
        <f ca="1">IFERROR(IF(0=LEN(ReferenceData!$AF$304),"",ReferenceData!$AF$304),"")</f>
        <v>8.2554323610000004</v>
      </c>
      <c r="AG304">
        <f ca="1">IFERROR(IF(0=LEN(ReferenceData!$AG$304),"",ReferenceData!$AG$304),"")</f>
        <v>1.9986267799999999</v>
      </c>
      <c r="AH304">
        <f ca="1">IFERROR(IF(0=LEN(ReferenceData!$AH$304),"",ReferenceData!$AH$304),"")</f>
        <v>2.5433328629999998</v>
      </c>
      <c r="AI304">
        <f ca="1">IFERROR(IF(0=LEN(ReferenceData!$AI$304),"",ReferenceData!$AI$304),"")</f>
        <v>2.615671844</v>
      </c>
      <c r="AJ304">
        <f ca="1">IFERROR(IF(0=LEN(ReferenceData!$AJ$304),"",ReferenceData!$AJ$304),"")</f>
        <v>2.5928576379999999</v>
      </c>
      <c r="AK304">
        <f ca="1">IFERROR(IF(0=LEN(ReferenceData!$AK$304),"",ReferenceData!$AK$304),"")</f>
        <v>2.6145326249999998</v>
      </c>
      <c r="AL304">
        <f ca="1">IFERROR(IF(0=LEN(ReferenceData!$AL$304),"",ReferenceData!$AL$304),"")</f>
        <v>1.914697944</v>
      </c>
      <c r="AM304">
        <f ca="1">IFERROR(IF(0=LEN(ReferenceData!$AM$304),"",ReferenceData!$AM$304),"")</f>
        <v>3.0163861559999998</v>
      </c>
      <c r="AN304">
        <f ca="1">IFERROR(IF(0=LEN(ReferenceData!$AN$304),"",ReferenceData!$AN$304),"")</f>
        <v>3.6718666999999998</v>
      </c>
      <c r="AO304">
        <f ca="1">IFERROR(IF(0=LEN(ReferenceData!$AO$304),"",ReferenceData!$AO$304),"")</f>
        <v>3.4658267719999998</v>
      </c>
      <c r="AP304">
        <f ca="1">IFERROR(IF(0=LEN(ReferenceData!$AP$304),"",ReferenceData!$AP$304),"")</f>
        <v>3.6138032999999998</v>
      </c>
      <c r="AQ304">
        <f ca="1">IFERROR(IF(0=LEN(ReferenceData!$AQ$304),"",ReferenceData!$AQ$304),"")</f>
        <v>1.066737973</v>
      </c>
      <c r="AR304">
        <f ca="1">IFERROR(IF(0=LEN(ReferenceData!$AR$304),"",ReferenceData!$AR$304),"")</f>
        <v>20.893884849999999</v>
      </c>
      <c r="AS304">
        <f ca="1">IFERROR(IF(0=LEN(ReferenceData!$AS$304),"",ReferenceData!$AS$304),"")</f>
        <v>21.369056329999999</v>
      </c>
      <c r="AT304">
        <f ca="1">IFERROR(IF(0=LEN(ReferenceData!$AT$304),"",ReferenceData!$AT$304),"")</f>
        <v>16.040441959999999</v>
      </c>
      <c r="AU304">
        <f ca="1">IFERROR(IF(0=LEN(ReferenceData!$AU$304),"",ReferenceData!$AU$304),"")</f>
        <v>18.630644740000001</v>
      </c>
      <c r="AV304">
        <f ca="1">IFERROR(IF(0=LEN(ReferenceData!$AV$304),"",ReferenceData!$AV$304),"")</f>
        <v>19.294278689999999</v>
      </c>
      <c r="AW304">
        <f ca="1">IFERROR(IF(0=LEN(ReferenceData!$AW$304),"",ReferenceData!$AW$304),"")</f>
        <v>16.97130568</v>
      </c>
      <c r="AX304">
        <f ca="1">IFERROR(IF(0=LEN(ReferenceData!$AX$304),"",ReferenceData!$AX$304),"")</f>
        <v>17.33635422</v>
      </c>
      <c r="AY304">
        <f ca="1">IFERROR(IF(0=LEN(ReferenceData!$AY$304),"",ReferenceData!$AY$304),"")</f>
        <v>19.542654899999999</v>
      </c>
      <c r="AZ304">
        <f ca="1">IFERROR(IF(0=LEN(ReferenceData!$AZ$304),"",ReferenceData!$AZ$304),"")</f>
        <v>17.386837490000001</v>
      </c>
      <c r="BA304">
        <f ca="1">IFERROR(IF(0=LEN(ReferenceData!$BA$304),"",ReferenceData!$BA$304),"")</f>
        <v>19.38705534</v>
      </c>
      <c r="BB304">
        <f ca="1">IFERROR(IF(0=LEN(ReferenceData!$BB$304),"",ReferenceData!$BB$304),"")</f>
        <v>19.666676519999999</v>
      </c>
      <c r="BC304">
        <f ca="1">IFERROR(IF(0=LEN(ReferenceData!$BC$304),"",ReferenceData!$BC$304),"")</f>
        <v>21.456718689999999</v>
      </c>
      <c r="BD304">
        <f ca="1">IFERROR(IF(0=LEN(ReferenceData!$BD$304),"",ReferenceData!$BD$304),"")</f>
        <v>29.869372169999998</v>
      </c>
      <c r="BE304">
        <f ca="1">IFERROR(IF(0=LEN(ReferenceData!$BE$304),"",ReferenceData!$BE$304),"")</f>
        <v>31.604093110000001</v>
      </c>
      <c r="BF304">
        <f ca="1">IFERROR(IF(0=LEN(ReferenceData!$BF$304),"",ReferenceData!$BF$304),"")</f>
        <v>33.089545719999997</v>
      </c>
      <c r="BG304">
        <f ca="1">IFERROR(IF(0=LEN(ReferenceData!$BG$304),"",ReferenceData!$BG$304),"")</f>
        <v>34.201999620000002</v>
      </c>
      <c r="BH304">
        <f ca="1">IFERROR(IF(0=LEN(ReferenceData!$BH$304),"",ReferenceData!$BH$304),"")</f>
        <v>32.258175119999997</v>
      </c>
      <c r="BI304">
        <f ca="1">IFERROR(IF(0=LEN(ReferenceData!$BI$304),"",ReferenceData!$BI$304),"")</f>
        <v>37.661783159999999</v>
      </c>
      <c r="BJ304">
        <f ca="1">IFERROR(IF(0=LEN(ReferenceData!$BJ$304),"",ReferenceData!$BJ$304),"")</f>
        <v>37.564229339999997</v>
      </c>
      <c r="BK304">
        <f ca="1">IFERROR(IF(0=LEN(ReferenceData!$BK$304),"",ReferenceData!$BK$304),"")</f>
        <v>37.486948460000001</v>
      </c>
      <c r="BL304">
        <f ca="1">IFERROR(IF(0=LEN(ReferenceData!$BL$304),"",ReferenceData!$BL$304),"")</f>
        <v>37.077019610000001</v>
      </c>
      <c r="BM304">
        <f ca="1">IFERROR(IF(0=LEN(ReferenceData!$BM$304),"",ReferenceData!$BM$304),"")</f>
        <v>36.92928362</v>
      </c>
    </row>
    <row r="305" spans="1:65">
      <c r="A305" t="str">
        <f>IFERROR(IF(0=LEN(ReferenceData!$A$305),"",ReferenceData!$A$305),"")</f>
        <v xml:space="preserve">    VEREIT Inc</v>
      </c>
      <c r="B305" t="str">
        <f>IFERROR(IF(0=LEN(ReferenceData!$B$305),"",ReferenceData!$B$305),"")</f>
        <v>VER US Equity</v>
      </c>
      <c r="C305" t="str">
        <f>IFERROR(IF(0=LEN(ReferenceData!$C$305),"",ReferenceData!$C$305),"")</f>
        <v>RR147</v>
      </c>
      <c r="D305" t="str">
        <f>IFERROR(IF(0=LEN(ReferenceData!$D$305),"",ReferenceData!$D$305),"")</f>
        <v>LT_DEBT_TO_TOT_ASSET</v>
      </c>
      <c r="E305" t="str">
        <f>IFERROR(IF(0=LEN(ReferenceData!$E$305),"",ReferenceData!$E$305),"")</f>
        <v>动态</v>
      </c>
      <c r="F305" t="str">
        <f ca="1">IFERROR(IF(0=LEN(ReferenceData!$F$305),"",ReferenceData!$F$305),"")</f>
        <v/>
      </c>
      <c r="G305">
        <f ca="1">IFERROR(IF(0=LEN(ReferenceData!$G$305),"",ReferenceData!$G$305),"")</f>
        <v>40.04224791</v>
      </c>
      <c r="H305">
        <f ca="1">IFERROR(IF(0=LEN(ReferenceData!$H$305),"",ReferenceData!$H$305),"")</f>
        <v>40.15331621</v>
      </c>
      <c r="I305">
        <f ca="1">IFERROR(IF(0=LEN(ReferenceData!$I$305),"",ReferenceData!$I$305),"")</f>
        <v>37.135673480000001</v>
      </c>
      <c r="J305">
        <f ca="1">IFERROR(IF(0=LEN(ReferenceData!$J$305),"",ReferenceData!$J$305),"")</f>
        <v>40.942849410000001</v>
      </c>
      <c r="K305">
        <f ca="1">IFERROR(IF(0=LEN(ReferenceData!$K$305),"",ReferenceData!$K$305),"")</f>
        <v>40.848229490000001</v>
      </c>
      <c r="L305">
        <f ca="1">IFERROR(IF(0=LEN(ReferenceData!$L$305),"",ReferenceData!$L$305),"")</f>
        <v>40.809188300000002</v>
      </c>
      <c r="M305">
        <f ca="1">IFERROR(IF(0=LEN(ReferenceData!$M$305),"",ReferenceData!$M$305),"")</f>
        <v>48.679062790000003</v>
      </c>
      <c r="N305">
        <f ca="1">IFERROR(IF(0=LEN(ReferenceData!$N$305),"",ReferenceData!$N$305),"")</f>
        <v>46.323585459999997</v>
      </c>
      <c r="O305">
        <f ca="1">IFERROR(IF(0=LEN(ReferenceData!$O$305),"",ReferenceData!$O$305),"")</f>
        <v>46.305090479999997</v>
      </c>
      <c r="P305">
        <f ca="1">IFERROR(IF(0=LEN(ReferenceData!$P$305),"",ReferenceData!$P$305),"")</f>
        <v>47.30583257</v>
      </c>
      <c r="Q305">
        <f ca="1">IFERROR(IF(0=LEN(ReferenceData!$Q$305),"",ReferenceData!$Q$305),"")</f>
        <v>49.068361959999997</v>
      </c>
      <c r="R305">
        <f ca="1">IFERROR(IF(0=LEN(ReferenceData!$R$305),"",ReferenceData!$R$305),"")</f>
        <v>51.087253689999997</v>
      </c>
      <c r="S305">
        <f ca="1">IFERROR(IF(0=LEN(ReferenceData!$S$305),"",ReferenceData!$S$305),"")</f>
        <v>51.038863210000002</v>
      </c>
      <c r="T305">
        <f ca="1">IFERROR(IF(0=LEN(ReferenceData!$T$305),"",ReferenceData!$T$305),"")</f>
        <v>50.569192209999997</v>
      </c>
      <c r="U305">
        <f ca="1">IFERROR(IF(0=LEN(ReferenceData!$U$305),"",ReferenceData!$U$305),"")</f>
        <v>45.246847979999998</v>
      </c>
      <c r="V305">
        <f ca="1">IFERROR(IF(0=LEN(ReferenceData!$V$305),"",ReferenceData!$V$305),"")</f>
        <v>49.657910280000003</v>
      </c>
      <c r="W305">
        <f ca="1">IFERROR(IF(0=LEN(ReferenceData!$W$305),"",ReferenceData!$W$305),"")</f>
        <v>54.339337919999998</v>
      </c>
      <c r="X305">
        <f ca="1">IFERROR(IF(0=LEN(ReferenceData!$X$305),"",ReferenceData!$X$305),"")</f>
        <v>37.158399539999998</v>
      </c>
      <c r="Y305">
        <f ca="1">IFERROR(IF(0=LEN(ReferenceData!$Y$305),"",ReferenceData!$Y$305),"")</f>
        <v>29.82454998</v>
      </c>
      <c r="Z305">
        <f ca="1">IFERROR(IF(0=LEN(ReferenceData!$Z$305),"",ReferenceData!$Z$305),"")</f>
        <v>43.346445719999998</v>
      </c>
      <c r="AA305">
        <f ca="1">IFERROR(IF(0=LEN(ReferenceData!$AA$305),"",ReferenceData!$AA$305),"")</f>
        <v>19.828619570000001</v>
      </c>
      <c r="AB305">
        <f ca="1">IFERROR(IF(0=LEN(ReferenceData!$AB$305),"",ReferenceData!$AB$305),"")</f>
        <v>55.984888269999999</v>
      </c>
      <c r="AC305">
        <f ca="1">IFERROR(IF(0=LEN(ReferenceData!$AC$305),"",ReferenceData!$AC$305),"")</f>
        <v>52.271755659999997</v>
      </c>
      <c r="AD305">
        <f ca="1">IFERROR(IF(0=LEN(ReferenceData!$AD$305),"",ReferenceData!$AD$305),"")</f>
        <v>58.551088040000003</v>
      </c>
      <c r="AE305">
        <f ca="1">IFERROR(IF(0=LEN(ReferenceData!$AE$305),"",ReferenceData!$AE$305),"")</f>
        <v>55.226058469999998</v>
      </c>
      <c r="AF305">
        <f ca="1">IFERROR(IF(0=LEN(ReferenceData!$AF$305),"",ReferenceData!$AF$305),"")</f>
        <v>58.01257013</v>
      </c>
      <c r="AG305">
        <f ca="1">IFERROR(IF(0=LEN(ReferenceData!$AG$305),"",ReferenceData!$AG$305),"")</f>
        <v>0</v>
      </c>
      <c r="AH305">
        <f ca="1">IFERROR(IF(0=LEN(ReferenceData!$AH$305),"",ReferenceData!$AH$305),"")</f>
        <v>112.8791153</v>
      </c>
      <c r="AI305" t="str">
        <f ca="1">IFERROR(IF(0=LEN(ReferenceData!$AI$305),"",ReferenceData!$AI$305),"")</f>
        <v/>
      </c>
      <c r="AJ305">
        <f ca="1">IFERROR(IF(0=LEN(ReferenceData!$AJ$305),"",ReferenceData!$AJ$305),"")</f>
        <v>109.7083698</v>
      </c>
      <c r="AK305" t="str">
        <f ca="1">IFERROR(IF(0=LEN(ReferenceData!$AK$305),"",ReferenceData!$AK$305),"")</f>
        <v/>
      </c>
      <c r="AL305" t="str">
        <f ca="1">IFERROR(IF(0=LEN(ReferenceData!$AL$305),"",ReferenceData!$AL$305),"")</f>
        <v/>
      </c>
      <c r="AM305" t="str">
        <f ca="1">IFERROR(IF(0=LEN(ReferenceData!$AM$305),"",ReferenceData!$AM$305),"")</f>
        <v/>
      </c>
      <c r="AN305" t="str">
        <f ca="1">IFERROR(IF(0=LEN(ReferenceData!$AN$305),"",ReferenceData!$AN$305),"")</f>
        <v/>
      </c>
      <c r="AO305" t="str">
        <f ca="1">IFERROR(IF(0=LEN(ReferenceData!$AO$305),"",ReferenceData!$AO$305),"")</f>
        <v/>
      </c>
      <c r="AP305" t="str">
        <f ca="1">IFERROR(IF(0=LEN(ReferenceData!$AP$305),"",ReferenceData!$AP$305),"")</f>
        <v/>
      </c>
      <c r="AQ305" t="str">
        <f ca="1">IFERROR(IF(0=LEN(ReferenceData!$AQ$305),"",ReferenceData!$AQ$305),"")</f>
        <v/>
      </c>
      <c r="AR305" t="str">
        <f ca="1">IFERROR(IF(0=LEN(ReferenceData!$AR$305),"",ReferenceData!$AR$305),"")</f>
        <v/>
      </c>
      <c r="AS305" t="str">
        <f ca="1">IFERROR(IF(0=LEN(ReferenceData!$AS$305),"",ReferenceData!$AS$305),"")</f>
        <v/>
      </c>
      <c r="AT305" t="str">
        <f ca="1">IFERROR(IF(0=LEN(ReferenceData!$AT$305),"",ReferenceData!$AT$305),"")</f>
        <v/>
      </c>
      <c r="AU305" t="str">
        <f ca="1">IFERROR(IF(0=LEN(ReferenceData!$AU$305),"",ReferenceData!$AU$305),"")</f>
        <v/>
      </c>
      <c r="AV305" t="str">
        <f ca="1">IFERROR(IF(0=LEN(ReferenceData!$AV$305),"",ReferenceData!$AV$305),"")</f>
        <v/>
      </c>
      <c r="AW305" t="str">
        <f ca="1">IFERROR(IF(0=LEN(ReferenceData!$AW$305),"",ReferenceData!$AW$305),"")</f>
        <v/>
      </c>
      <c r="AX305" t="str">
        <f ca="1">IFERROR(IF(0=LEN(ReferenceData!$AX$305),"",ReferenceData!$AX$305),"")</f>
        <v/>
      </c>
      <c r="AY305" t="str">
        <f ca="1">IFERROR(IF(0=LEN(ReferenceData!$AY$305),"",ReferenceData!$AY$305),"")</f>
        <v/>
      </c>
      <c r="AZ305" t="str">
        <f ca="1">IFERROR(IF(0=LEN(ReferenceData!$AZ$305),"",ReferenceData!$AZ$305),"")</f>
        <v/>
      </c>
      <c r="BA305" t="str">
        <f ca="1">IFERROR(IF(0=LEN(ReferenceData!$BA$305),"",ReferenceData!$BA$305),"")</f>
        <v/>
      </c>
      <c r="BB305" t="str">
        <f ca="1">IFERROR(IF(0=LEN(ReferenceData!$BB$305),"",ReferenceData!$BB$305),"")</f>
        <v/>
      </c>
      <c r="BC305" t="str">
        <f ca="1">IFERROR(IF(0=LEN(ReferenceData!$BC$305),"",ReferenceData!$BC$305),"")</f>
        <v/>
      </c>
      <c r="BD305" t="str">
        <f ca="1">IFERROR(IF(0=LEN(ReferenceData!$BD$305),"",ReferenceData!$BD$305),"")</f>
        <v/>
      </c>
      <c r="BE305" t="str">
        <f ca="1">IFERROR(IF(0=LEN(ReferenceData!$BE$305),"",ReferenceData!$BE$305),"")</f>
        <v/>
      </c>
      <c r="BF305" t="str">
        <f ca="1">IFERROR(IF(0=LEN(ReferenceData!$BF$305),"",ReferenceData!$BF$305),"")</f>
        <v/>
      </c>
      <c r="BG305" t="str">
        <f ca="1">IFERROR(IF(0=LEN(ReferenceData!$BG$305),"",ReferenceData!$BG$305),"")</f>
        <v/>
      </c>
      <c r="BH305" t="str">
        <f ca="1">IFERROR(IF(0=LEN(ReferenceData!$BH$305),"",ReferenceData!$BH$305),"")</f>
        <v/>
      </c>
      <c r="BI305" t="str">
        <f ca="1">IFERROR(IF(0=LEN(ReferenceData!$BI$305),"",ReferenceData!$BI$305),"")</f>
        <v/>
      </c>
      <c r="BJ305" t="str">
        <f ca="1">IFERROR(IF(0=LEN(ReferenceData!$BJ$305),"",ReferenceData!$BJ$305),"")</f>
        <v/>
      </c>
      <c r="BK305" t="str">
        <f ca="1">IFERROR(IF(0=LEN(ReferenceData!$BK$305),"",ReferenceData!$BK$305),"")</f>
        <v/>
      </c>
      <c r="BL305" t="str">
        <f ca="1">IFERROR(IF(0=LEN(ReferenceData!$BL$305),"",ReferenceData!$BL$305),"")</f>
        <v/>
      </c>
      <c r="BM305" t="str">
        <f ca="1">IFERROR(IF(0=LEN(ReferenceData!$BM$305),"",ReferenceData!$BM$305),"")</f>
        <v/>
      </c>
    </row>
    <row r="306" spans="1:65">
      <c r="A306" t="str">
        <f>IFERROR(IF(0=LEN(ReferenceData!$A$306),"",ReferenceData!$A$306),"")</f>
        <v xml:space="preserve">    Washington Prime Group Inc</v>
      </c>
      <c r="B306" t="str">
        <f>IFERROR(IF(0=LEN(ReferenceData!$B$306),"",ReferenceData!$B$306),"")</f>
        <v>WPG US Equity</v>
      </c>
      <c r="C306" t="str">
        <f>IFERROR(IF(0=LEN(ReferenceData!$C$306),"",ReferenceData!$C$306),"")</f>
        <v>RR147</v>
      </c>
      <c r="D306" t="str">
        <f>IFERROR(IF(0=LEN(ReferenceData!$D$306),"",ReferenceData!$D$306),"")</f>
        <v>LT_DEBT_TO_TOT_ASSET</v>
      </c>
      <c r="E306" t="str">
        <f>IFERROR(IF(0=LEN(ReferenceData!$E$306),"",ReferenceData!$E$306),"")</f>
        <v>动态</v>
      </c>
      <c r="F306" t="str">
        <f ca="1">IFERROR(IF(0=LEN(ReferenceData!$F$306),"",ReferenceData!$F$306),"")</f>
        <v/>
      </c>
      <c r="G306">
        <f ca="1">IFERROR(IF(0=LEN(ReferenceData!$G$306),"",ReferenceData!$G$306),"")</f>
        <v>25.99362404</v>
      </c>
      <c r="H306">
        <f ca="1">IFERROR(IF(0=LEN(ReferenceData!$H$306),"",ReferenceData!$H$306),"")</f>
        <v>31.030934850000001</v>
      </c>
      <c r="I306">
        <f ca="1">IFERROR(IF(0=LEN(ReferenceData!$I$306),"",ReferenceData!$I$306),"")</f>
        <v>30.690352470000001</v>
      </c>
      <c r="J306">
        <f ca="1">IFERROR(IF(0=LEN(ReferenceData!$J$306),"",ReferenceData!$J$306),"")</f>
        <v>32.106627039999999</v>
      </c>
      <c r="K306">
        <f ca="1">IFERROR(IF(0=LEN(ReferenceData!$K$306),"",ReferenceData!$K$306),"")</f>
        <v>31.68068079</v>
      </c>
      <c r="L306">
        <f ca="1">IFERROR(IF(0=LEN(ReferenceData!$L$306),"",ReferenceData!$L$306),"")</f>
        <v>32.198257220000002</v>
      </c>
      <c r="M306">
        <f ca="1">IFERROR(IF(0=LEN(ReferenceData!$M$306),"",ReferenceData!$M$306),"")</f>
        <v>32.067432820000001</v>
      </c>
      <c r="N306">
        <f ca="1">IFERROR(IF(0=LEN(ReferenceData!$N$306),"",ReferenceData!$N$306),"")</f>
        <v>33.33995676</v>
      </c>
      <c r="O306">
        <f ca="1">IFERROR(IF(0=LEN(ReferenceData!$O$306),"",ReferenceData!$O$306),"")</f>
        <v>32.849220520000003</v>
      </c>
      <c r="P306">
        <f ca="1">IFERROR(IF(0=LEN(ReferenceData!$P$306),"",ReferenceData!$P$306),"")</f>
        <v>32.250917190000003</v>
      </c>
      <c r="Q306">
        <f ca="1">IFERROR(IF(0=LEN(ReferenceData!$Q$306),"",ReferenceData!$Q$306),"")</f>
        <v>34.718916749999998</v>
      </c>
      <c r="R306">
        <f ca="1">IFERROR(IF(0=LEN(ReferenceData!$R$306),"",ReferenceData!$R$306),"")</f>
        <v>39.224315009999998</v>
      </c>
      <c r="S306">
        <f ca="1">IFERROR(IF(0=LEN(ReferenceData!$S$306),"",ReferenceData!$S$306),"")</f>
        <v>40.677799880000002</v>
      </c>
      <c r="T306">
        <f ca="1">IFERROR(IF(0=LEN(ReferenceData!$T$306),"",ReferenceData!$T$306),"")</f>
        <v>42.915005440000002</v>
      </c>
      <c r="U306">
        <f ca="1">IFERROR(IF(0=LEN(ReferenceData!$U$306),"",ReferenceData!$U$306),"")</f>
        <v>43.197343279999998</v>
      </c>
      <c r="V306">
        <f ca="1">IFERROR(IF(0=LEN(ReferenceData!$V$306),"",ReferenceData!$V$306),"")</f>
        <v>42.793986519999997</v>
      </c>
      <c r="W306" t="str">
        <f ca="1">IFERROR(IF(0=LEN(ReferenceData!$W$306),"",ReferenceData!$W$306),"")</f>
        <v/>
      </c>
      <c r="X306" t="str">
        <f ca="1">IFERROR(IF(0=LEN(ReferenceData!$X$306),"",ReferenceData!$X$306),"")</f>
        <v/>
      </c>
      <c r="Y306" t="str">
        <f ca="1">IFERROR(IF(0=LEN(ReferenceData!$Y$306),"",ReferenceData!$Y$306),"")</f>
        <v/>
      </c>
      <c r="Z306" t="str">
        <f ca="1">IFERROR(IF(0=LEN(ReferenceData!$Z$306),"",ReferenceData!$Z$306),"")</f>
        <v/>
      </c>
      <c r="AA306" t="str">
        <f ca="1">IFERROR(IF(0=LEN(ReferenceData!$AA$306),"",ReferenceData!$AA$306),"")</f>
        <v/>
      </c>
      <c r="AB306" t="str">
        <f ca="1">IFERROR(IF(0=LEN(ReferenceData!$AB$306),"",ReferenceData!$AB$306),"")</f>
        <v/>
      </c>
      <c r="AC306" t="str">
        <f ca="1">IFERROR(IF(0=LEN(ReferenceData!$AC$306),"",ReferenceData!$AC$306),"")</f>
        <v/>
      </c>
      <c r="AD306" t="str">
        <f ca="1">IFERROR(IF(0=LEN(ReferenceData!$AD$306),"",ReferenceData!$AD$306),"")</f>
        <v/>
      </c>
      <c r="AE306" t="str">
        <f ca="1">IFERROR(IF(0=LEN(ReferenceData!$AE$306),"",ReferenceData!$AE$306),"")</f>
        <v/>
      </c>
      <c r="AF306" t="str">
        <f ca="1">IFERROR(IF(0=LEN(ReferenceData!$AF$306),"",ReferenceData!$AF$306),"")</f>
        <v/>
      </c>
      <c r="AG306" t="str">
        <f ca="1">IFERROR(IF(0=LEN(ReferenceData!$AG$306),"",ReferenceData!$AG$306),"")</f>
        <v/>
      </c>
      <c r="AH306" t="str">
        <f ca="1">IFERROR(IF(0=LEN(ReferenceData!$AH$306),"",ReferenceData!$AH$306),"")</f>
        <v/>
      </c>
      <c r="AI306" t="str">
        <f ca="1">IFERROR(IF(0=LEN(ReferenceData!$AI$306),"",ReferenceData!$AI$306),"")</f>
        <v/>
      </c>
      <c r="AJ306" t="str">
        <f ca="1">IFERROR(IF(0=LEN(ReferenceData!$AJ$306),"",ReferenceData!$AJ$306),"")</f>
        <v/>
      </c>
      <c r="AK306" t="str">
        <f ca="1">IFERROR(IF(0=LEN(ReferenceData!$AK$306),"",ReferenceData!$AK$306),"")</f>
        <v/>
      </c>
      <c r="AL306" t="str">
        <f ca="1">IFERROR(IF(0=LEN(ReferenceData!$AL$306),"",ReferenceData!$AL$306),"")</f>
        <v/>
      </c>
      <c r="AM306" t="str">
        <f ca="1">IFERROR(IF(0=LEN(ReferenceData!$AM$306),"",ReferenceData!$AM$306),"")</f>
        <v/>
      </c>
      <c r="AN306" t="str">
        <f ca="1">IFERROR(IF(0=LEN(ReferenceData!$AN$306),"",ReferenceData!$AN$306),"")</f>
        <v/>
      </c>
      <c r="AO306" t="str">
        <f ca="1">IFERROR(IF(0=LEN(ReferenceData!$AO$306),"",ReferenceData!$AO$306),"")</f>
        <v/>
      </c>
      <c r="AP306" t="str">
        <f ca="1">IFERROR(IF(0=LEN(ReferenceData!$AP$306),"",ReferenceData!$AP$306),"")</f>
        <v/>
      </c>
      <c r="AQ306" t="str">
        <f ca="1">IFERROR(IF(0=LEN(ReferenceData!$AQ$306),"",ReferenceData!$AQ$306),"")</f>
        <v/>
      </c>
      <c r="AR306" t="str">
        <f ca="1">IFERROR(IF(0=LEN(ReferenceData!$AR$306),"",ReferenceData!$AR$306),"")</f>
        <v/>
      </c>
      <c r="AS306" t="str">
        <f ca="1">IFERROR(IF(0=LEN(ReferenceData!$AS$306),"",ReferenceData!$AS$306),"")</f>
        <v/>
      </c>
      <c r="AT306" t="str">
        <f ca="1">IFERROR(IF(0=LEN(ReferenceData!$AT$306),"",ReferenceData!$AT$306),"")</f>
        <v/>
      </c>
      <c r="AU306" t="str">
        <f ca="1">IFERROR(IF(0=LEN(ReferenceData!$AU$306),"",ReferenceData!$AU$306),"")</f>
        <v/>
      </c>
      <c r="AV306" t="str">
        <f ca="1">IFERROR(IF(0=LEN(ReferenceData!$AV$306),"",ReferenceData!$AV$306),"")</f>
        <v/>
      </c>
      <c r="AW306" t="str">
        <f ca="1">IFERROR(IF(0=LEN(ReferenceData!$AW$306),"",ReferenceData!$AW$306),"")</f>
        <v/>
      </c>
      <c r="AX306" t="str">
        <f ca="1">IFERROR(IF(0=LEN(ReferenceData!$AX$306),"",ReferenceData!$AX$306),"")</f>
        <v/>
      </c>
      <c r="AY306" t="str">
        <f ca="1">IFERROR(IF(0=LEN(ReferenceData!$AY$306),"",ReferenceData!$AY$306),"")</f>
        <v/>
      </c>
      <c r="AZ306" t="str">
        <f ca="1">IFERROR(IF(0=LEN(ReferenceData!$AZ$306),"",ReferenceData!$AZ$306),"")</f>
        <v/>
      </c>
      <c r="BA306" t="str">
        <f ca="1">IFERROR(IF(0=LEN(ReferenceData!$BA$306),"",ReferenceData!$BA$306),"")</f>
        <v/>
      </c>
      <c r="BB306" t="str">
        <f ca="1">IFERROR(IF(0=LEN(ReferenceData!$BB$306),"",ReferenceData!$BB$306),"")</f>
        <v/>
      </c>
      <c r="BC306" t="str">
        <f ca="1">IFERROR(IF(0=LEN(ReferenceData!$BC$306),"",ReferenceData!$BC$306),"")</f>
        <v/>
      </c>
      <c r="BD306" t="str">
        <f ca="1">IFERROR(IF(0=LEN(ReferenceData!$BD$306),"",ReferenceData!$BD$306),"")</f>
        <v/>
      </c>
      <c r="BE306" t="str">
        <f ca="1">IFERROR(IF(0=LEN(ReferenceData!$BE$306),"",ReferenceData!$BE$306),"")</f>
        <v/>
      </c>
      <c r="BF306" t="str">
        <f ca="1">IFERROR(IF(0=LEN(ReferenceData!$BF$306),"",ReferenceData!$BF$306),"")</f>
        <v/>
      </c>
      <c r="BG306" t="str">
        <f ca="1">IFERROR(IF(0=LEN(ReferenceData!$BG$306),"",ReferenceData!$BG$306),"")</f>
        <v/>
      </c>
      <c r="BH306" t="str">
        <f ca="1">IFERROR(IF(0=LEN(ReferenceData!$BH$306),"",ReferenceData!$BH$306),"")</f>
        <v/>
      </c>
      <c r="BI306" t="str">
        <f ca="1">IFERROR(IF(0=LEN(ReferenceData!$BI$306),"",ReferenceData!$BI$306),"")</f>
        <v/>
      </c>
      <c r="BJ306" t="str">
        <f ca="1">IFERROR(IF(0=LEN(ReferenceData!$BJ$306),"",ReferenceData!$BJ$306),"")</f>
        <v/>
      </c>
      <c r="BK306" t="str">
        <f ca="1">IFERROR(IF(0=LEN(ReferenceData!$BK$306),"",ReferenceData!$BK$306),"")</f>
        <v/>
      </c>
      <c r="BL306" t="str">
        <f ca="1">IFERROR(IF(0=LEN(ReferenceData!$BL$306),"",ReferenceData!$BL$306),"")</f>
        <v/>
      </c>
      <c r="BM306" t="str">
        <f ca="1">IFERROR(IF(0=LEN(ReferenceData!$BM$306),"",ReferenceData!$BM$306),"")</f>
        <v/>
      </c>
    </row>
    <row r="307" spans="1:65">
      <c r="A307" t="str">
        <f>IFERROR(IF(0=LEN(ReferenceData!$A$307),"",ReferenceData!$A$307),"")</f>
        <v xml:space="preserve">    Weingarten Realty Investors</v>
      </c>
      <c r="B307" t="str">
        <f>IFERROR(IF(0=LEN(ReferenceData!$B$307),"",ReferenceData!$B$307),"")</f>
        <v>WRI US Equity</v>
      </c>
      <c r="C307" t="str">
        <f>IFERROR(IF(0=LEN(ReferenceData!$C$307),"",ReferenceData!$C$307),"")</f>
        <v>RR147</v>
      </c>
      <c r="D307" t="str">
        <f>IFERROR(IF(0=LEN(ReferenceData!$D$307),"",ReferenceData!$D$307),"")</f>
        <v>LT_DEBT_TO_TOT_ASSET</v>
      </c>
      <c r="E307" t="str">
        <f>IFERROR(IF(0=LEN(ReferenceData!$E$307),"",ReferenceData!$E$307),"")</f>
        <v>动态</v>
      </c>
      <c r="F307" t="str">
        <f ca="1">IFERROR(IF(0=LEN(ReferenceData!$F$307),"",ReferenceData!$F$307),"")</f>
        <v/>
      </c>
      <c r="G307">
        <f ca="1">IFERROR(IF(0=LEN(ReferenceData!$G$307),"",ReferenceData!$G$307),"")</f>
        <v>9.8576503720000002</v>
      </c>
      <c r="H307">
        <f ca="1">IFERROR(IF(0=LEN(ReferenceData!$H$307),"",ReferenceData!$H$307),"")</f>
        <v>9.7233833890000003</v>
      </c>
      <c r="I307">
        <f ca="1">IFERROR(IF(0=LEN(ReferenceData!$I$307),"",ReferenceData!$I$307),"")</f>
        <v>9.6966543099999996</v>
      </c>
      <c r="J307">
        <f ca="1">IFERROR(IF(0=LEN(ReferenceData!$J$307),"",ReferenceData!$J$307),"")</f>
        <v>9.7334821349999991</v>
      </c>
      <c r="K307">
        <f ca="1">IFERROR(IF(0=LEN(ReferenceData!$K$307),"",ReferenceData!$K$307),"")</f>
        <v>10.00985333</v>
      </c>
      <c r="L307">
        <f ca="1">IFERROR(IF(0=LEN(ReferenceData!$L$307),"",ReferenceData!$L$307),"")</f>
        <v>10.1579862</v>
      </c>
      <c r="M307">
        <f ca="1">IFERROR(IF(0=LEN(ReferenceData!$M$307),"",ReferenceData!$M$307),"")</f>
        <v>11.280169470000001</v>
      </c>
      <c r="N307">
        <f ca="1">IFERROR(IF(0=LEN(ReferenceData!$N$307),"",ReferenceData!$N$307),"")</f>
        <v>12.58892271</v>
      </c>
      <c r="O307">
        <f ca="1">IFERROR(IF(0=LEN(ReferenceData!$O$307),"",ReferenceData!$O$307),"")</f>
        <v>11.85962385</v>
      </c>
      <c r="P307">
        <f ca="1">IFERROR(IF(0=LEN(ReferenceData!$P$307),"",ReferenceData!$P$307),"")</f>
        <v>12.33654495</v>
      </c>
      <c r="Q307">
        <f ca="1">IFERROR(IF(0=LEN(ReferenceData!$Q$307),"",ReferenceData!$Q$307),"")</f>
        <v>13.05881565</v>
      </c>
      <c r="R307">
        <f ca="1">IFERROR(IF(0=LEN(ReferenceData!$R$307),"",ReferenceData!$R$307),"")</f>
        <v>14.92170073</v>
      </c>
      <c r="S307">
        <f ca="1">IFERROR(IF(0=LEN(ReferenceData!$S$307),"",ReferenceData!$S$307),"")</f>
        <v>15.57622806</v>
      </c>
      <c r="T307">
        <f ca="1">IFERROR(IF(0=LEN(ReferenceData!$T$307),"",ReferenceData!$T$307),"")</f>
        <v>16.46690272</v>
      </c>
      <c r="U307">
        <f ca="1">IFERROR(IF(0=LEN(ReferenceData!$U$307),"",ReferenceData!$U$307),"")</f>
        <v>17.468882990000001</v>
      </c>
      <c r="V307">
        <f ca="1">IFERROR(IF(0=LEN(ReferenceData!$V$307),"",ReferenceData!$V$307),"")</f>
        <v>17.563628600000001</v>
      </c>
      <c r="W307">
        <f ca="1">IFERROR(IF(0=LEN(ReferenceData!$W$307),"",ReferenceData!$W$307),"")</f>
        <v>17.23009549</v>
      </c>
      <c r="X307">
        <f ca="1">IFERROR(IF(0=LEN(ReferenceData!$X$307),"",ReferenceData!$X$307),"")</f>
        <v>19.293236180000001</v>
      </c>
      <c r="Y307">
        <f ca="1">IFERROR(IF(0=LEN(ReferenceData!$Y$307),"",ReferenceData!$Y$307),"")</f>
        <v>19.663613890000001</v>
      </c>
      <c r="Z307">
        <f ca="1">IFERROR(IF(0=LEN(ReferenceData!$Z$307),"",ReferenceData!$Z$307),"")</f>
        <v>21.111638169999999</v>
      </c>
      <c r="AA307">
        <f ca="1">IFERROR(IF(0=LEN(ReferenceData!$AA$307),"",ReferenceData!$AA$307),"")</f>
        <v>22.301939600000001</v>
      </c>
      <c r="AB307">
        <f ca="1">IFERROR(IF(0=LEN(ReferenceData!$AB$307),"",ReferenceData!$AB$307),"")</f>
        <v>22.81709609</v>
      </c>
      <c r="AC307">
        <f ca="1">IFERROR(IF(0=LEN(ReferenceData!$AC$307),"",ReferenceData!$AC$307),"")</f>
        <v>22.226789780000001</v>
      </c>
      <c r="AD307">
        <f ca="1">IFERROR(IF(0=LEN(ReferenceData!$AD$307),"",ReferenceData!$AD$307),"")</f>
        <v>21.814250550000001</v>
      </c>
      <c r="AE307">
        <f ca="1">IFERROR(IF(0=LEN(ReferenceData!$AE$307),"",ReferenceData!$AE$307),"")</f>
        <v>22.25053866</v>
      </c>
      <c r="AF307">
        <f ca="1">IFERROR(IF(0=LEN(ReferenceData!$AF$307),"",ReferenceData!$AF$307),"")</f>
        <v>22.790141420000001</v>
      </c>
      <c r="AG307">
        <f ca="1">IFERROR(IF(0=LEN(ReferenceData!$AG$307),"",ReferenceData!$AG$307),"")</f>
        <v>22.934985609999998</v>
      </c>
      <c r="AH307">
        <f ca="1">IFERROR(IF(0=LEN(ReferenceData!$AH$307),"",ReferenceData!$AH$307),"")</f>
        <v>23.6590308</v>
      </c>
      <c r="AI307">
        <f ca="1">IFERROR(IF(0=LEN(ReferenceData!$AI$307),"",ReferenceData!$AI$307),"")</f>
        <v>23.696638109999999</v>
      </c>
      <c r="AJ307">
        <f ca="1">IFERROR(IF(0=LEN(ReferenceData!$AJ$307),"",ReferenceData!$AJ$307),"")</f>
        <v>23.7104739</v>
      </c>
      <c r="AK307">
        <f ca="1">IFERROR(IF(0=LEN(ReferenceData!$AK$307),"",ReferenceData!$AK$307),"")</f>
        <v>24.336065049999998</v>
      </c>
      <c r="AL307">
        <f ca="1">IFERROR(IF(0=LEN(ReferenceData!$AL$307),"",ReferenceData!$AL$307),"")</f>
        <v>25.001506160000002</v>
      </c>
      <c r="AM307">
        <f ca="1">IFERROR(IF(0=LEN(ReferenceData!$AM$307),"",ReferenceData!$AM$307),"")</f>
        <v>25.050072740000001</v>
      </c>
      <c r="AN307">
        <f ca="1">IFERROR(IF(0=LEN(ReferenceData!$AN$307),"",ReferenceData!$AN$307),"")</f>
        <v>24.239006710000002</v>
      </c>
      <c r="AO307">
        <f ca="1">IFERROR(IF(0=LEN(ReferenceData!$AO$307),"",ReferenceData!$AO$307),"")</f>
        <v>21.988692010000001</v>
      </c>
      <c r="AP307">
        <f ca="1">IFERROR(IF(0=LEN(ReferenceData!$AP$307),"",ReferenceData!$AP$307),"")</f>
        <v>20.07624805</v>
      </c>
      <c r="AQ307">
        <f ca="1">IFERROR(IF(0=LEN(ReferenceData!$AQ$307),"",ReferenceData!$AQ$307),"")</f>
        <v>20.181897039999999</v>
      </c>
      <c r="AR307">
        <f ca="1">IFERROR(IF(0=LEN(ReferenceData!$AR$307),"",ReferenceData!$AR$307),"")</f>
        <v>20.18496845</v>
      </c>
      <c r="AS307">
        <f ca="1">IFERROR(IF(0=LEN(ReferenceData!$AS$307),"",ReferenceData!$AS$307),"")</f>
        <v>20.56321835</v>
      </c>
      <c r="AT307">
        <f ca="1">IFERROR(IF(0=LEN(ReferenceData!$AT$307),"",ReferenceData!$AT$307),"")</f>
        <v>21.731591089999998</v>
      </c>
      <c r="AU307">
        <f ca="1">IFERROR(IF(0=LEN(ReferenceData!$AU$307),"",ReferenceData!$AU$307),"")</f>
        <v>21.41957803</v>
      </c>
      <c r="AV307">
        <f ca="1">IFERROR(IF(0=LEN(ReferenceData!$AV$307),"",ReferenceData!$AV$307),"")</f>
        <v>21.759094529999999</v>
      </c>
      <c r="AW307">
        <f ca="1">IFERROR(IF(0=LEN(ReferenceData!$AW$307),"",ReferenceData!$AW$307),"")</f>
        <v>20.88592676</v>
      </c>
      <c r="AX307">
        <f ca="1">IFERROR(IF(0=LEN(ReferenceData!$AX$307),"",ReferenceData!$AX$307),"")</f>
        <v>21.689943570000001</v>
      </c>
      <c r="AY307">
        <f ca="1">IFERROR(IF(0=LEN(ReferenceData!$AY$307),"",ReferenceData!$AY$307),"")</f>
        <v>23.567664189999999</v>
      </c>
      <c r="AZ307">
        <f ca="1">IFERROR(IF(0=LEN(ReferenceData!$AZ$307),"",ReferenceData!$AZ$307),"")</f>
        <v>21.324893530000001</v>
      </c>
      <c r="BA307">
        <f ca="1">IFERROR(IF(0=LEN(ReferenceData!$BA$307),"",ReferenceData!$BA$307),"")</f>
        <v>21.840164720000001</v>
      </c>
      <c r="BB307">
        <f ca="1">IFERROR(IF(0=LEN(ReferenceData!$BB$307),"",ReferenceData!$BB$307),"")</f>
        <v>22.160116630000001</v>
      </c>
      <c r="BC307">
        <f ca="1">IFERROR(IF(0=LEN(ReferenceData!$BC$307),"",ReferenceData!$BC$307),"")</f>
        <v>22.528313220000001</v>
      </c>
      <c r="BD307">
        <f ca="1">IFERROR(IF(0=LEN(ReferenceData!$BD$307),"",ReferenceData!$BD$307),"")</f>
        <v>22.733135189999999</v>
      </c>
      <c r="BE307">
        <f ca="1">IFERROR(IF(0=LEN(ReferenceData!$BE$307),"",ReferenceData!$BE$307),"")</f>
        <v>23.373258320000001</v>
      </c>
      <c r="BF307">
        <f ca="1">IFERROR(IF(0=LEN(ReferenceData!$BF$307),"",ReferenceData!$BF$307),"")</f>
        <v>21.86848312</v>
      </c>
      <c r="BG307">
        <f ca="1">IFERROR(IF(0=LEN(ReferenceData!$BG$307),"",ReferenceData!$BG$307),"")</f>
        <v>21.365304269999999</v>
      </c>
      <c r="BH307">
        <f ca="1">IFERROR(IF(0=LEN(ReferenceData!$BH$307),"",ReferenceData!$BH$307),"")</f>
        <v>21.22367092</v>
      </c>
      <c r="BI307">
        <f ca="1">IFERROR(IF(0=LEN(ReferenceData!$BI$307),"",ReferenceData!$BI$307),"")</f>
        <v>20.741660190000001</v>
      </c>
      <c r="BJ307">
        <f ca="1">IFERROR(IF(0=LEN(ReferenceData!$BJ$307),"",ReferenceData!$BJ$307),"")</f>
        <v>22.903306239999999</v>
      </c>
      <c r="BK307">
        <f ca="1">IFERROR(IF(0=LEN(ReferenceData!$BK$307),"",ReferenceData!$BK$307),"")</f>
        <v>24.05232341</v>
      </c>
      <c r="BL307">
        <f ca="1">IFERROR(IF(0=LEN(ReferenceData!$BL$307),"",ReferenceData!$BL$307),"")</f>
        <v>19.15716175</v>
      </c>
      <c r="BM307">
        <f ca="1">IFERROR(IF(0=LEN(ReferenceData!$BM$307),"",ReferenceData!$BM$307),"")</f>
        <v>18.086231770000001</v>
      </c>
    </row>
    <row r="308" spans="1:65">
      <c r="A308" t="str">
        <f>IFERROR(IF(0=LEN(ReferenceData!$A$308),"",ReferenceData!$A$308),"")</f>
        <v>债务/市值</v>
      </c>
      <c r="B308" t="str">
        <f>IFERROR(IF(0=LEN(ReferenceData!$B$308),"",ReferenceData!$B$308),"")</f>
        <v/>
      </c>
      <c r="C308" t="str">
        <f>IFERROR(IF(0=LEN(ReferenceData!$C$308),"",ReferenceData!$C$308),"")</f>
        <v/>
      </c>
      <c r="D308" t="str">
        <f>IFERROR(IF(0=LEN(ReferenceData!$D$308),"",ReferenceData!$D$308),"")</f>
        <v/>
      </c>
      <c r="E308" t="str">
        <f>IFERROR(IF(0=LEN(ReferenceData!$E$308),"",ReferenceData!$E$308),"")</f>
        <v>Median</v>
      </c>
      <c r="F308">
        <f ca="1">IFERROR(IF(0=LEN(ReferenceData!$F$308),"",ReferenceData!$F$308),"")</f>
        <v>0.74652553399999999</v>
      </c>
      <c r="G308">
        <f ca="1">IFERROR(IF(0=LEN(ReferenceData!$G$308),"",ReferenceData!$G$308),"")</f>
        <v>0.67933587900000003</v>
      </c>
      <c r="H308">
        <f ca="1">IFERROR(IF(0=LEN(ReferenceData!$H$308),"",ReferenceData!$H$308),"")</f>
        <v>0.65474830799999995</v>
      </c>
      <c r="I308">
        <f ca="1">IFERROR(IF(0=LEN(ReferenceData!$I$308),"",ReferenceData!$I$308),"")</f>
        <v>0.64971325800000002</v>
      </c>
      <c r="J308">
        <f ca="1">IFERROR(IF(0=LEN(ReferenceData!$J$308),"",ReferenceData!$J$308),"")</f>
        <v>0.54227386</v>
      </c>
      <c r="K308">
        <f ca="1">IFERROR(IF(0=LEN(ReferenceData!$K$308),"",ReferenceData!$K$308),"")</f>
        <v>0.500669637</v>
      </c>
      <c r="L308">
        <f ca="1">IFERROR(IF(0=LEN(ReferenceData!$L$308),"",ReferenceData!$L$308),"")</f>
        <v>0.46085775899999998</v>
      </c>
      <c r="M308">
        <f ca="1">IFERROR(IF(0=LEN(ReferenceData!$M$308),"",ReferenceData!$M$308),"")</f>
        <v>0.41498869900000002</v>
      </c>
      <c r="N308">
        <f ca="1">IFERROR(IF(0=LEN(ReferenceData!$N$308),"",ReferenceData!$N$308),"")</f>
        <v>0.469870012</v>
      </c>
      <c r="O308">
        <f ca="1">IFERROR(IF(0=LEN(ReferenceData!$O$308),"",ReferenceData!$O$308),"")</f>
        <v>0.49515641399999999</v>
      </c>
      <c r="P308">
        <f ca="1">IFERROR(IF(0=LEN(ReferenceData!$P$308),"",ReferenceData!$P$308),"")</f>
        <v>0.53396014400000003</v>
      </c>
      <c r="Q308">
        <f ca="1">IFERROR(IF(0=LEN(ReferenceData!$Q$308),"",ReferenceData!$Q$308),"")</f>
        <v>0.58257838200000001</v>
      </c>
      <c r="R308">
        <f ca="1">IFERROR(IF(0=LEN(ReferenceData!$R$308),"",ReferenceData!$R$308),"")</f>
        <v>0.48175944900000001</v>
      </c>
      <c r="S308">
        <f ca="1">IFERROR(IF(0=LEN(ReferenceData!$S$308),"",ReferenceData!$S$308),"")</f>
        <v>0.46411714100000001</v>
      </c>
      <c r="T308">
        <f ca="1">IFERROR(IF(0=LEN(ReferenceData!$T$308),"",ReferenceData!$T$308),"")</f>
        <v>0.52156255500000004</v>
      </c>
      <c r="U308">
        <f ca="1">IFERROR(IF(0=LEN(ReferenceData!$U$308),"",ReferenceData!$U$308),"")</f>
        <v>0.50134052600000001</v>
      </c>
      <c r="V308">
        <f ca="1">IFERROR(IF(0=LEN(ReferenceData!$V$308),"",ReferenceData!$V$308),"")</f>
        <v>0.552236693</v>
      </c>
      <c r="W308">
        <f ca="1">IFERROR(IF(0=LEN(ReferenceData!$W$308),"",ReferenceData!$W$308),"")</f>
        <v>0.56380963100000003</v>
      </c>
      <c r="X308">
        <f ca="1">IFERROR(IF(0=LEN(ReferenceData!$X$308),"",ReferenceData!$X$308),"")</f>
        <v>0.51906865499999999</v>
      </c>
      <c r="Y308">
        <f ca="1">IFERROR(IF(0=LEN(ReferenceData!$Y$308),"",ReferenceData!$Y$308),"")</f>
        <v>0.46336487599999998</v>
      </c>
      <c r="Z308">
        <f ca="1">IFERROR(IF(0=LEN(ReferenceData!$Z$308),"",ReferenceData!$Z$308),"")</f>
        <v>0.40283010000000002</v>
      </c>
      <c r="AA308">
        <f ca="1">IFERROR(IF(0=LEN(ReferenceData!$AA$308),"",ReferenceData!$AA$308),"")</f>
        <v>0.53481121499999995</v>
      </c>
      <c r="AB308">
        <f ca="1">IFERROR(IF(0=LEN(ReferenceData!$AB$308),"",ReferenceData!$AB$308),"")</f>
        <v>0.48081207799999998</v>
      </c>
      <c r="AC308">
        <f ca="1">IFERROR(IF(0=LEN(ReferenceData!$AC$308),"",ReferenceData!$AC$308),"")</f>
        <v>0.48136000800000001</v>
      </c>
      <c r="AD308">
        <f ca="1">IFERROR(IF(0=LEN(ReferenceData!$AD$308),"",ReferenceData!$AD$308),"")</f>
        <v>0.50168426350000006</v>
      </c>
      <c r="AE308">
        <f ca="1">IFERROR(IF(0=LEN(ReferenceData!$AE$308),"",ReferenceData!$AE$308),"")</f>
        <v>0.54032088099999998</v>
      </c>
      <c r="AF308">
        <f ca="1">IFERROR(IF(0=LEN(ReferenceData!$AF$308),"",ReferenceData!$AF$308),"")</f>
        <v>0.59933920600000001</v>
      </c>
      <c r="AG308">
        <f ca="1">IFERROR(IF(0=LEN(ReferenceData!$AG$308),"",ReferenceData!$AG$308),"")</f>
        <v>0.49907811699999999</v>
      </c>
      <c r="AH308">
        <f ca="1">IFERROR(IF(0=LEN(ReferenceData!$AH$308),"",ReferenceData!$AH$308),"")</f>
        <v>0.53877733500000002</v>
      </c>
      <c r="AI308">
        <f ca="1">IFERROR(IF(0=LEN(ReferenceData!$AI$308),"",ReferenceData!$AI$308),"")</f>
        <v>0.55425257500000003</v>
      </c>
      <c r="AJ308">
        <f ca="1">IFERROR(IF(0=LEN(ReferenceData!$AJ$308),"",ReferenceData!$AJ$308),"")</f>
        <v>0.61638834799999997</v>
      </c>
      <c r="AK308">
        <f ca="1">IFERROR(IF(0=LEN(ReferenceData!$AK$308),"",ReferenceData!$AK$308),"")</f>
        <v>0.71214148799999999</v>
      </c>
      <c r="AL308">
        <f ca="1">IFERROR(IF(0=LEN(ReferenceData!$AL$308),"",ReferenceData!$AL$308),"")</f>
        <v>0.61377013499999999</v>
      </c>
      <c r="AM308">
        <f ca="1">IFERROR(IF(0=LEN(ReferenceData!$AM$308),"",ReferenceData!$AM$308),"")</f>
        <v>0.70685871050000004</v>
      </c>
      <c r="AN308">
        <f ca="1">IFERROR(IF(0=LEN(ReferenceData!$AN$308),"",ReferenceData!$AN$308),"")</f>
        <v>0.756989052</v>
      </c>
      <c r="AO308">
        <f ca="1">IFERROR(IF(0=LEN(ReferenceData!$AO$308),"",ReferenceData!$AO$308),"")</f>
        <v>0.9152899699999999</v>
      </c>
      <c r="AP308">
        <f ca="1">IFERROR(IF(0=LEN(ReferenceData!$AP$308),"",ReferenceData!$AP$308),"")</f>
        <v>1.6130054375</v>
      </c>
      <c r="AQ308">
        <f ca="1">IFERROR(IF(0=LEN(ReferenceData!$AQ$308),"",ReferenceData!$AQ$308),"")</f>
        <v>0.84935391250000003</v>
      </c>
      <c r="AR308">
        <f ca="1">IFERROR(IF(0=LEN(ReferenceData!$AR$308),"",ReferenceData!$AR$308),"")</f>
        <v>0.57901206150000006</v>
      </c>
      <c r="AS308">
        <f ca="1">IFERROR(IF(0=LEN(ReferenceData!$AS$308),"",ReferenceData!$AS$308),"")</f>
        <v>0.72030191500000007</v>
      </c>
      <c r="AT308">
        <f ca="1">IFERROR(IF(0=LEN(ReferenceData!$AT$308),"",ReferenceData!$AT$308),"")</f>
        <v>0.66933160550000004</v>
      </c>
      <c r="AU308">
        <f ca="1">IFERROR(IF(0=LEN(ReferenceData!$AU$308),"",ReferenceData!$AU$308),"")</f>
        <v>0.624477159</v>
      </c>
      <c r="AV308">
        <f ca="1">IFERROR(IF(0=LEN(ReferenceData!$AV$308),"",ReferenceData!$AV$308),"")</f>
        <v>0.59329617000000001</v>
      </c>
      <c r="AW308">
        <f ca="1">IFERROR(IF(0=LEN(ReferenceData!$AW$308),"",ReferenceData!$AW$308),"")</f>
        <v>0.60652489749999994</v>
      </c>
      <c r="AX308">
        <f ca="1">IFERROR(IF(0=LEN(ReferenceData!$AX$308),"",ReferenceData!$AX$308),"")</f>
        <v>0.49872945800000001</v>
      </c>
      <c r="AY308">
        <f ca="1">IFERROR(IF(0=LEN(ReferenceData!$AY$308),"",ReferenceData!$AY$308),"")</f>
        <v>0.56652920600000001</v>
      </c>
      <c r="AZ308">
        <f ca="1">IFERROR(IF(0=LEN(ReferenceData!$AZ$308),"",ReferenceData!$AZ$308),"")</f>
        <v>0.63832841299999998</v>
      </c>
      <c r="BA308">
        <f ca="1">IFERROR(IF(0=LEN(ReferenceData!$BA$308),"",ReferenceData!$BA$308),"")</f>
        <v>0.64002534150000001</v>
      </c>
      <c r="BB308">
        <f ca="1">IFERROR(IF(0=LEN(ReferenceData!$BB$308),"",ReferenceData!$BB$308),"")</f>
        <v>0.6288990955</v>
      </c>
      <c r="BC308">
        <f ca="1">IFERROR(IF(0=LEN(ReferenceData!$BC$308),"",ReferenceData!$BC$308),"")</f>
        <v>0.72094533999999999</v>
      </c>
      <c r="BD308">
        <f ca="1">IFERROR(IF(0=LEN(ReferenceData!$BD$308),"",ReferenceData!$BD$308),"")</f>
        <v>0.55457691050000002</v>
      </c>
      <c r="BE308">
        <f ca="1">IFERROR(IF(0=LEN(ReferenceData!$BE$308),"",ReferenceData!$BE$308),"")</f>
        <v>0.60025336149999997</v>
      </c>
      <c r="BF308">
        <f ca="1">IFERROR(IF(0=LEN(ReferenceData!$BF$308),"",ReferenceData!$BF$308),"")</f>
        <v>0.61873649949999998</v>
      </c>
      <c r="BG308">
        <f ca="1">IFERROR(IF(0=LEN(ReferenceData!$BG$308),"",ReferenceData!$BG$308),"")</f>
        <v>0.54010738800000002</v>
      </c>
      <c r="BH308">
        <f ca="1">IFERROR(IF(0=LEN(ReferenceData!$BH$308),"",ReferenceData!$BH$308),"")</f>
        <v>0.64567517299999999</v>
      </c>
      <c r="BI308">
        <f ca="1">IFERROR(IF(0=LEN(ReferenceData!$BI$308),"",ReferenceData!$BI$308),"")</f>
        <v>0.71932664749999997</v>
      </c>
      <c r="BJ308">
        <f ca="1">IFERROR(IF(0=LEN(ReferenceData!$BJ$308),"",ReferenceData!$BJ$308),"")</f>
        <v>0.60769689599999999</v>
      </c>
      <c r="BK308">
        <f ca="1">IFERROR(IF(0=LEN(ReferenceData!$BK$308),"",ReferenceData!$BK$308),"")</f>
        <v>0.70624663850000002</v>
      </c>
      <c r="BL308">
        <f ca="1">IFERROR(IF(0=LEN(ReferenceData!$BL$308),"",ReferenceData!$BL$308),"")</f>
        <v>0.70158135099999996</v>
      </c>
      <c r="BM308">
        <f ca="1">IFERROR(IF(0=LEN(ReferenceData!$BM$308),"",ReferenceData!$BM$308),"")</f>
        <v>0.74425453899999994</v>
      </c>
    </row>
    <row r="309" spans="1:65">
      <c r="A309" t="str">
        <f>IFERROR(IF(0=LEN(ReferenceData!$A$309),"",ReferenceData!$A$309),"")</f>
        <v xml:space="preserve">    Brixmor Property Group Inc</v>
      </c>
      <c r="B309" t="str">
        <f>IFERROR(IF(0=LEN(ReferenceData!$B$309),"",ReferenceData!$B$309),"")</f>
        <v>BRX US Equity</v>
      </c>
      <c r="C309" t="str">
        <f>IFERROR(IF(0=LEN(ReferenceData!$C$309),"",ReferenceData!$C$309),"")</f>
        <v>RR263</v>
      </c>
      <c r="D309" t="str">
        <f>IFERROR(IF(0=LEN(ReferenceData!$D$309),"",ReferenceData!$D$309),"")</f>
        <v>DEBT_TO_MKT_CAP</v>
      </c>
      <c r="E309" t="str">
        <f>IFERROR(IF(0=LEN(ReferenceData!$E$309),"",ReferenceData!$E$309),"")</f>
        <v>动态</v>
      </c>
      <c r="F309">
        <f ca="1">IFERROR(IF(0=LEN(ReferenceData!$F$309),"",ReferenceData!$F$309),"")</f>
        <v>1.1987575690000001</v>
      </c>
      <c r="G309">
        <f ca="1">IFERROR(IF(0=LEN(ReferenceData!$G$309),"",ReferenceData!$G$309),"")</f>
        <v>0.99755908699999996</v>
      </c>
      <c r="H309">
        <f ca="1">IFERROR(IF(0=LEN(ReferenceData!$H$309),"",ReferenceData!$H$309),"")</f>
        <v>0.99666762399999997</v>
      </c>
      <c r="I309">
        <f ca="1">IFERROR(IF(0=LEN(ReferenceData!$I$309),"",ReferenceData!$I$309),"")</f>
        <v>1.0675884579999999</v>
      </c>
      <c r="J309">
        <f ca="1">IFERROR(IF(0=LEN(ReferenceData!$J$309),"",ReferenceData!$J$309),"")</f>
        <v>0.90552146</v>
      </c>
      <c r="K309">
        <f ca="1">IFERROR(IF(0=LEN(ReferenceData!$K$309),"",ReferenceData!$K$309),"")</f>
        <v>0.78569220100000003</v>
      </c>
      <c r="L309">
        <f ca="1">IFERROR(IF(0=LEN(ReferenceData!$L$309),"",ReferenceData!$L$309),"")</f>
        <v>0.69262066600000005</v>
      </c>
      <c r="M309">
        <f ca="1">IFERROR(IF(0=LEN(ReferenceData!$M$309),"",ReferenceData!$M$309),"")</f>
        <v>0.74889853900000003</v>
      </c>
      <c r="N309">
        <f ca="1">IFERROR(IF(0=LEN(ReferenceData!$N$309),"",ReferenceData!$N$309),"")</f>
        <v>0.78381513700000005</v>
      </c>
      <c r="O309">
        <f ca="1">IFERROR(IF(0=LEN(ReferenceData!$O$309),"",ReferenceData!$O$309),"")</f>
        <v>0.77517640300000001</v>
      </c>
      <c r="P309">
        <f ca="1">IFERROR(IF(0=LEN(ReferenceData!$P$309),"",ReferenceData!$P$309),"")</f>
        <v>0.851726498</v>
      </c>
      <c r="Q309">
        <f ca="1">IFERROR(IF(0=LEN(ReferenceData!$Q$309),"",ReferenceData!$Q$309),"")</f>
        <v>0.87220938000000003</v>
      </c>
      <c r="R309">
        <f ca="1">IFERROR(IF(0=LEN(ReferenceData!$R$309),"",ReferenceData!$R$309),"")</f>
        <v>0.76759347600000005</v>
      </c>
      <c r="S309">
        <f ca="1">IFERROR(IF(0=LEN(ReferenceData!$S$309),"",ReferenceData!$S$309),"")</f>
        <v>0.81761364299999995</v>
      </c>
      <c r="T309">
        <f ca="1">IFERROR(IF(0=LEN(ReferenceData!$T$309),"",ReferenceData!$T$309),"")</f>
        <v>1.0875278100000001</v>
      </c>
      <c r="U309">
        <f ca="1">IFERROR(IF(0=LEN(ReferenceData!$U$309),"",ReferenceData!$U$309),"")</f>
        <v>1.0572860340000001</v>
      </c>
      <c r="V309">
        <f ca="1">IFERROR(IF(0=LEN(ReferenceData!$V$309),"",ReferenceData!$V$309),"")</f>
        <v>1.219747133</v>
      </c>
      <c r="W309">
        <f ca="1">IFERROR(IF(0=LEN(ReferenceData!$W$309),"",ReferenceData!$W$309),"")</f>
        <v>1.280900521</v>
      </c>
      <c r="X309" t="str">
        <f ca="1">IFERROR(IF(0=LEN(ReferenceData!$X$309),"",ReferenceData!$X$309),"")</f>
        <v/>
      </c>
      <c r="Y309" t="str">
        <f ca="1">IFERROR(IF(0=LEN(ReferenceData!$Y$309),"",ReferenceData!$Y$309),"")</f>
        <v/>
      </c>
      <c r="Z309" t="str">
        <f ca="1">IFERROR(IF(0=LEN(ReferenceData!$Z$309),"",ReferenceData!$Z$309),"")</f>
        <v/>
      </c>
      <c r="AA309" t="str">
        <f ca="1">IFERROR(IF(0=LEN(ReferenceData!$AA$309),"",ReferenceData!$AA$309),"")</f>
        <v/>
      </c>
      <c r="AB309" t="str">
        <f ca="1">IFERROR(IF(0=LEN(ReferenceData!$AB$309),"",ReferenceData!$AB$309),"")</f>
        <v/>
      </c>
      <c r="AC309" t="str">
        <f ca="1">IFERROR(IF(0=LEN(ReferenceData!$AC$309),"",ReferenceData!$AC$309),"")</f>
        <v/>
      </c>
      <c r="AD309" t="str">
        <f ca="1">IFERROR(IF(0=LEN(ReferenceData!$AD$309),"",ReferenceData!$AD$309),"")</f>
        <v/>
      </c>
      <c r="AE309" t="str">
        <f ca="1">IFERROR(IF(0=LEN(ReferenceData!$AE$309),"",ReferenceData!$AE$309),"")</f>
        <v/>
      </c>
      <c r="AF309" t="str">
        <f ca="1">IFERROR(IF(0=LEN(ReferenceData!$AF$309),"",ReferenceData!$AF$309),"")</f>
        <v/>
      </c>
      <c r="AG309" t="str">
        <f ca="1">IFERROR(IF(0=LEN(ReferenceData!$AG$309),"",ReferenceData!$AG$309),"")</f>
        <v/>
      </c>
      <c r="AH309" t="str">
        <f ca="1">IFERROR(IF(0=LEN(ReferenceData!$AH$309),"",ReferenceData!$AH$309),"")</f>
        <v/>
      </c>
      <c r="AI309" t="str">
        <f ca="1">IFERROR(IF(0=LEN(ReferenceData!$AI$309),"",ReferenceData!$AI$309),"")</f>
        <v/>
      </c>
      <c r="AJ309" t="str">
        <f ca="1">IFERROR(IF(0=LEN(ReferenceData!$AJ$309),"",ReferenceData!$AJ$309),"")</f>
        <v/>
      </c>
      <c r="AK309" t="str">
        <f ca="1">IFERROR(IF(0=LEN(ReferenceData!$AK$309),"",ReferenceData!$AK$309),"")</f>
        <v/>
      </c>
      <c r="AL309" t="str">
        <f ca="1">IFERROR(IF(0=LEN(ReferenceData!$AL$309),"",ReferenceData!$AL$309),"")</f>
        <v/>
      </c>
      <c r="AM309" t="str">
        <f ca="1">IFERROR(IF(0=LEN(ReferenceData!$AM$309),"",ReferenceData!$AM$309),"")</f>
        <v/>
      </c>
      <c r="AN309" t="str">
        <f ca="1">IFERROR(IF(0=LEN(ReferenceData!$AN$309),"",ReferenceData!$AN$309),"")</f>
        <v/>
      </c>
      <c r="AO309" t="str">
        <f ca="1">IFERROR(IF(0=LEN(ReferenceData!$AO$309),"",ReferenceData!$AO$309),"")</f>
        <v/>
      </c>
      <c r="AP309" t="str">
        <f ca="1">IFERROR(IF(0=LEN(ReferenceData!$AP$309),"",ReferenceData!$AP$309),"")</f>
        <v/>
      </c>
      <c r="AQ309" t="str">
        <f ca="1">IFERROR(IF(0=LEN(ReferenceData!$AQ$309),"",ReferenceData!$AQ$309),"")</f>
        <v/>
      </c>
      <c r="AR309" t="str">
        <f ca="1">IFERROR(IF(0=LEN(ReferenceData!$AR$309),"",ReferenceData!$AR$309),"")</f>
        <v/>
      </c>
      <c r="AS309" t="str">
        <f ca="1">IFERROR(IF(0=LEN(ReferenceData!$AS$309),"",ReferenceData!$AS$309),"")</f>
        <v/>
      </c>
      <c r="AT309" t="str">
        <f ca="1">IFERROR(IF(0=LEN(ReferenceData!$AT$309),"",ReferenceData!$AT$309),"")</f>
        <v/>
      </c>
      <c r="AU309" t="str">
        <f ca="1">IFERROR(IF(0=LEN(ReferenceData!$AU$309),"",ReferenceData!$AU$309),"")</f>
        <v/>
      </c>
      <c r="AV309" t="str">
        <f ca="1">IFERROR(IF(0=LEN(ReferenceData!$AV$309),"",ReferenceData!$AV$309),"")</f>
        <v/>
      </c>
      <c r="AW309" t="str">
        <f ca="1">IFERROR(IF(0=LEN(ReferenceData!$AW$309),"",ReferenceData!$AW$309),"")</f>
        <v/>
      </c>
      <c r="AX309" t="str">
        <f ca="1">IFERROR(IF(0=LEN(ReferenceData!$AX$309),"",ReferenceData!$AX$309),"")</f>
        <v/>
      </c>
      <c r="AY309" t="str">
        <f ca="1">IFERROR(IF(0=LEN(ReferenceData!$AY$309),"",ReferenceData!$AY$309),"")</f>
        <v/>
      </c>
      <c r="AZ309" t="str">
        <f ca="1">IFERROR(IF(0=LEN(ReferenceData!$AZ$309),"",ReferenceData!$AZ$309),"")</f>
        <v/>
      </c>
      <c r="BA309" t="str">
        <f ca="1">IFERROR(IF(0=LEN(ReferenceData!$BA$309),"",ReferenceData!$BA$309),"")</f>
        <v/>
      </c>
      <c r="BB309" t="str">
        <f ca="1">IFERROR(IF(0=LEN(ReferenceData!$BB$309),"",ReferenceData!$BB$309),"")</f>
        <v/>
      </c>
      <c r="BC309" t="str">
        <f ca="1">IFERROR(IF(0=LEN(ReferenceData!$BC$309),"",ReferenceData!$BC$309),"")</f>
        <v/>
      </c>
      <c r="BD309" t="str">
        <f ca="1">IFERROR(IF(0=LEN(ReferenceData!$BD$309),"",ReferenceData!$BD$309),"")</f>
        <v/>
      </c>
      <c r="BE309" t="str">
        <f ca="1">IFERROR(IF(0=LEN(ReferenceData!$BE$309),"",ReferenceData!$BE$309),"")</f>
        <v/>
      </c>
      <c r="BF309" t="str">
        <f ca="1">IFERROR(IF(0=LEN(ReferenceData!$BF$309),"",ReferenceData!$BF$309),"")</f>
        <v/>
      </c>
      <c r="BG309" t="str">
        <f ca="1">IFERROR(IF(0=LEN(ReferenceData!$BG$309),"",ReferenceData!$BG$309),"")</f>
        <v/>
      </c>
      <c r="BH309" t="str">
        <f ca="1">IFERROR(IF(0=LEN(ReferenceData!$BH$309),"",ReferenceData!$BH$309),"")</f>
        <v/>
      </c>
      <c r="BI309" t="str">
        <f ca="1">IFERROR(IF(0=LEN(ReferenceData!$BI$309),"",ReferenceData!$BI$309),"")</f>
        <v/>
      </c>
      <c r="BJ309" t="str">
        <f ca="1">IFERROR(IF(0=LEN(ReferenceData!$BJ$309),"",ReferenceData!$BJ$309),"")</f>
        <v/>
      </c>
      <c r="BK309" t="str">
        <f ca="1">IFERROR(IF(0=LEN(ReferenceData!$BK$309),"",ReferenceData!$BK$309),"")</f>
        <v/>
      </c>
      <c r="BL309" t="str">
        <f ca="1">IFERROR(IF(0=LEN(ReferenceData!$BL$309),"",ReferenceData!$BL$309),"")</f>
        <v/>
      </c>
      <c r="BM309" t="str">
        <f ca="1">IFERROR(IF(0=LEN(ReferenceData!$BM$309),"",ReferenceData!$BM$309),"")</f>
        <v/>
      </c>
    </row>
    <row r="310" spans="1:65">
      <c r="A310" t="str">
        <f>IFERROR(IF(0=LEN(ReferenceData!$A$310),"",ReferenceData!$A$310),"")</f>
        <v xml:space="preserve">    CBL &amp; Associates Properties In</v>
      </c>
      <c r="B310" t="str">
        <f>IFERROR(IF(0=LEN(ReferenceData!$B$310),"",ReferenceData!$B$310),"")</f>
        <v>CBL US Equity</v>
      </c>
      <c r="C310" t="str">
        <f>IFERROR(IF(0=LEN(ReferenceData!$C$310),"",ReferenceData!$C$310),"")</f>
        <v>RR263</v>
      </c>
      <c r="D310" t="str">
        <f>IFERROR(IF(0=LEN(ReferenceData!$D$310),"",ReferenceData!$D$310),"")</f>
        <v>DEBT_TO_MKT_CAP</v>
      </c>
      <c r="E310" t="str">
        <f>IFERROR(IF(0=LEN(ReferenceData!$E$310),"",ReferenceData!$E$310),"")</f>
        <v>动态</v>
      </c>
      <c r="F310">
        <f ca="1">IFERROR(IF(0=LEN(ReferenceData!$F$310),"",ReferenceData!$F$310),"")</f>
        <v>5.1919957730000004</v>
      </c>
      <c r="G310">
        <f ca="1">IFERROR(IF(0=LEN(ReferenceData!$G$310),"",ReferenceData!$G$310),"")</f>
        <v>4.3687438839999997</v>
      </c>
      <c r="H310">
        <f ca="1">IFERROR(IF(0=LEN(ReferenceData!$H$310),"",ReferenceData!$H$310),"")</f>
        <v>2.9370702450000001</v>
      </c>
      <c r="I310">
        <f ca="1">IFERROR(IF(0=LEN(ReferenceData!$I$310),"",ReferenceData!$I$310),"")</f>
        <v>2.946212085</v>
      </c>
      <c r="J310">
        <f ca="1">IFERROR(IF(0=LEN(ReferenceData!$J$310),"",ReferenceData!$J$310),"")</f>
        <v>2.770695194</v>
      </c>
      <c r="K310">
        <f ca="1">IFERROR(IF(0=LEN(ReferenceData!$K$310),"",ReferenceData!$K$310),"")</f>
        <v>2.2734219969999998</v>
      </c>
      <c r="L310">
        <f ca="1">IFERROR(IF(0=LEN(ReferenceData!$L$310),"",ReferenceData!$L$310),"")</f>
        <v>2.1854033149999998</v>
      </c>
      <c r="M310">
        <f ca="1">IFERROR(IF(0=LEN(ReferenceData!$M$310),"",ReferenceData!$M$310),"")</f>
        <v>2.8795255360000001</v>
      </c>
      <c r="N310">
        <f ca="1">IFERROR(IF(0=LEN(ReferenceData!$N$310),"",ReferenceData!$N$310),"")</f>
        <v>2.3043661009999998</v>
      </c>
      <c r="O310">
        <f ca="1">IFERROR(IF(0=LEN(ReferenceData!$O$310),"",ReferenceData!$O$310),"")</f>
        <v>2.233540246</v>
      </c>
      <c r="P310">
        <f ca="1">IFERROR(IF(0=LEN(ReferenceData!$P$310),"",ReferenceData!$P$310),"")</f>
        <v>2.0566819710000002</v>
      </c>
      <c r="Q310">
        <f ca="1">IFERROR(IF(0=LEN(ReferenceData!$Q$310),"",ReferenceData!$Q$310),"")</f>
        <v>1.7502452959999999</v>
      </c>
      <c r="R310">
        <f ca="1">IFERROR(IF(0=LEN(ReferenceData!$R$310),"",ReferenceData!$R$310),"")</f>
        <v>1.3832990979999999</v>
      </c>
      <c r="S310">
        <f ca="1">IFERROR(IF(0=LEN(ReferenceData!$S$310),"",ReferenceData!$S$310),"")</f>
        <v>1.4163997509999999</v>
      </c>
      <c r="T310">
        <f ca="1">IFERROR(IF(0=LEN(ReferenceData!$T$310),"",ReferenceData!$T$310),"")</f>
        <v>1.5458905970000001</v>
      </c>
      <c r="U310">
        <f ca="1">IFERROR(IF(0=LEN(ReferenceData!$U$310),"",ReferenceData!$U$310),"")</f>
        <v>1.487069601</v>
      </c>
      <c r="V310">
        <f ca="1">IFERROR(IF(0=LEN(ReferenceData!$V$310),"",ReferenceData!$V$310),"")</f>
        <v>1.5881732120000001</v>
      </c>
      <c r="W310">
        <f ca="1">IFERROR(IF(0=LEN(ReferenceData!$W$310),"",ReferenceData!$W$310),"")</f>
        <v>1.591826988</v>
      </c>
      <c r="X310">
        <f ca="1">IFERROR(IF(0=LEN(ReferenceData!$X$310),"",ReferenceData!$X$310),"")</f>
        <v>1.4999734579999999</v>
      </c>
      <c r="Y310">
        <f ca="1">IFERROR(IF(0=LEN(ReferenceData!$Y$310),"",ReferenceData!$Y$310),"")</f>
        <v>1.3113644209999999</v>
      </c>
      <c r="Z310">
        <f ca="1">IFERROR(IF(0=LEN(ReferenceData!$Z$310),"",ReferenceData!$Z$310),"")</f>
        <v>1.2280533060000001</v>
      </c>
      <c r="AA310">
        <f ca="1">IFERROR(IF(0=LEN(ReferenceData!$AA$310),"",ReferenceData!$AA$310),"")</f>
        <v>1.3894930210000001</v>
      </c>
      <c r="AB310">
        <f ca="1">IFERROR(IF(0=LEN(ReferenceData!$AB$310),"",ReferenceData!$AB$310),"")</f>
        <v>1.389415743</v>
      </c>
      <c r="AC310">
        <f ca="1">IFERROR(IF(0=LEN(ReferenceData!$AC$310),"",ReferenceData!$AC$310),"")</f>
        <v>1.6150450489999999</v>
      </c>
      <c r="AD310">
        <f ca="1">IFERROR(IF(0=LEN(ReferenceData!$AD$310),"",ReferenceData!$AD$310),"")</f>
        <v>1.5885905149999999</v>
      </c>
      <c r="AE310">
        <f ca="1">IFERROR(IF(0=LEN(ReferenceData!$AE$310),"",ReferenceData!$AE$310),"")</f>
        <v>1.9273234530000001</v>
      </c>
      <c r="AF310">
        <f ca="1">IFERROR(IF(0=LEN(ReferenceData!$AF$310),"",ReferenceData!$AF$310),"")</f>
        <v>3.1049715899999999</v>
      </c>
      <c r="AG310">
        <f ca="1">IFERROR(IF(0=LEN(ReferenceData!$AG$310),"",ReferenceData!$AG$310),"")</f>
        <v>1.9310221320000001</v>
      </c>
      <c r="AH310">
        <f ca="1">IFERROR(IF(0=LEN(ReferenceData!$AH$310),"",ReferenceData!$AH$310),"")</f>
        <v>2.0088660030000001</v>
      </c>
      <c r="AI310">
        <f ca="1">IFERROR(IF(0=LEN(ReferenceData!$AI$310),"",ReferenceData!$AI$310),"")</f>
        <v>2.1560233680000001</v>
      </c>
      <c r="AJ310">
        <f ca="1">IFERROR(IF(0=LEN(ReferenceData!$AJ$310),"",ReferenceData!$AJ$310),"")</f>
        <v>3.0083408199999999</v>
      </c>
      <c r="AK310">
        <f ca="1">IFERROR(IF(0=LEN(ReferenceData!$AK$310),"",ReferenceData!$AK$310),"")</f>
        <v>3.1766420850000001</v>
      </c>
      <c r="AL310">
        <f ca="1">IFERROR(IF(0=LEN(ReferenceData!$AL$310),"",ReferenceData!$AL$310),"")</f>
        <v>2.8894430409999998</v>
      </c>
      <c r="AM310">
        <f ca="1">IFERROR(IF(0=LEN(ReferenceData!$AM$310),"",ReferenceData!$AM$310),"")</f>
        <v>4.2122777969999996</v>
      </c>
      <c r="AN310">
        <f ca="1">IFERROR(IF(0=LEN(ReferenceData!$AN$310),"",ReferenceData!$AN$310),"")</f>
        <v>4.2464754879999997</v>
      </c>
      <c r="AO310">
        <f ca="1">IFERROR(IF(0=LEN(ReferenceData!$AO$310),"",ReferenceData!$AO$310),"")</f>
        <v>7.6572254820000003</v>
      </c>
      <c r="AP310">
        <f ca="1">IFERROR(IF(0=LEN(ReferenceData!$AP$310),"",ReferenceData!$AP$310),"")</f>
        <v>38.88870738</v>
      </c>
      <c r="AQ310">
        <f ca="1">IFERROR(IF(0=LEN(ReferenceData!$AQ$310),"",ReferenceData!$AQ$310),"")</f>
        <v>14.13346426</v>
      </c>
      <c r="AR310">
        <f ca="1">IFERROR(IF(0=LEN(ReferenceData!$AR$310),"",ReferenceData!$AR$310),"")</f>
        <v>4.5225430470000001</v>
      </c>
      <c r="AS310">
        <f ca="1">IFERROR(IF(0=LEN(ReferenceData!$AS$310),"",ReferenceData!$AS$310),"")</f>
        <v>3.9597948820000002</v>
      </c>
      <c r="AT310">
        <f ca="1">IFERROR(IF(0=LEN(ReferenceData!$AT$310),"",ReferenceData!$AT$310),"")</f>
        <v>3.7729982880000001</v>
      </c>
      <c r="AU310">
        <f ca="1">IFERROR(IF(0=LEN(ReferenceData!$AU$310),"",ReferenceData!$AU$310),"")</f>
        <v>3.7357227430000002</v>
      </c>
      <c r="AV310">
        <f ca="1">IFERROR(IF(0=LEN(ReferenceData!$AV$310),"",ReferenceData!$AV$310),"")</f>
        <v>2.195394254</v>
      </c>
      <c r="AW310">
        <f ca="1">IFERROR(IF(0=LEN(ReferenceData!$AW$310),"",ReferenceData!$AW$310),"")</f>
        <v>2.092791643</v>
      </c>
      <c r="AX310">
        <f ca="1">IFERROR(IF(0=LEN(ReferenceData!$AX$310),"",ReferenceData!$AX$310),"")</f>
        <v>1.6042724260000001</v>
      </c>
      <c r="AY310">
        <f ca="1">IFERROR(IF(0=LEN(ReferenceData!$AY$310),"",ReferenceData!$AY$310),"")</f>
        <v>1.6110562429999999</v>
      </c>
      <c r="AZ310">
        <f ca="1">IFERROR(IF(0=LEN(ReferenceData!$AZ$310),"",ReferenceData!$AZ$310),"")</f>
        <v>1.647884769</v>
      </c>
      <c r="BA310">
        <f ca="1">IFERROR(IF(0=LEN(ReferenceData!$BA$310),"",ReferenceData!$BA$310),"")</f>
        <v>1.74375638</v>
      </c>
      <c r="BB310">
        <f ca="1">IFERROR(IF(0=LEN(ReferenceData!$BB$310),"",ReferenceData!$BB$310),"")</f>
        <v>1.614356549</v>
      </c>
      <c r="BC310">
        <f ca="1">IFERROR(IF(0=LEN(ReferenceData!$BC$310),"",ReferenceData!$BC$310),"")</f>
        <v>1.7236629809999999</v>
      </c>
      <c r="BD310">
        <f ca="1">IFERROR(IF(0=LEN(ReferenceData!$BD$310),"",ReferenceData!$BD$310),"")</f>
        <v>1.410357879</v>
      </c>
      <c r="BE310">
        <f ca="1">IFERROR(IF(0=LEN(ReferenceData!$BE$310),"",ReferenceData!$BE$310),"")</f>
        <v>1.278467236</v>
      </c>
      <c r="BF310">
        <f ca="1">IFERROR(IF(0=LEN(ReferenceData!$BF$310),"",ReferenceData!$BF$310),"")</f>
        <v>1.500573742</v>
      </c>
      <c r="BG310">
        <f ca="1">IFERROR(IF(0=LEN(ReferenceData!$BG$310),"",ReferenceData!$BG$310),"")</f>
        <v>1.414250684</v>
      </c>
      <c r="BH310">
        <f ca="1">IFERROR(IF(0=LEN(ReferenceData!$BH$310),"",ReferenceData!$BH$310),"")</f>
        <v>1.752030207</v>
      </c>
      <c r="BI310">
        <f ca="1">IFERROR(IF(0=LEN(ReferenceData!$BI$310),"",ReferenceData!$BI$310),"")</f>
        <v>1.8318015999999999</v>
      </c>
      <c r="BJ310">
        <f ca="1">IFERROR(IF(0=LEN(ReferenceData!$BJ$310),"",ReferenceData!$BJ$310),"")</f>
        <v>1.5138797159999999</v>
      </c>
      <c r="BK310">
        <f ca="1">IFERROR(IF(0=LEN(ReferenceData!$BK$310),"",ReferenceData!$BK$310),"")</f>
        <v>1.601974891</v>
      </c>
      <c r="BL310">
        <f ca="1">IFERROR(IF(0=LEN(ReferenceData!$BL$310),"",ReferenceData!$BL$310),"")</f>
        <v>1.7378875730000001</v>
      </c>
      <c r="BM310">
        <f ca="1">IFERROR(IF(0=LEN(ReferenceData!$BM$310),"",ReferenceData!$BM$310),"")</f>
        <v>1.9700291059999999</v>
      </c>
    </row>
    <row r="311" spans="1:65">
      <c r="A311" t="str">
        <f>IFERROR(IF(0=LEN(ReferenceData!$A$311),"",ReferenceData!$A$311),"")</f>
        <v xml:space="preserve">    DDR Corp</v>
      </c>
      <c r="B311" t="str">
        <f>IFERROR(IF(0=LEN(ReferenceData!$B$311),"",ReferenceData!$B$311),"")</f>
        <v>DDR US Equity</v>
      </c>
      <c r="C311" t="str">
        <f>IFERROR(IF(0=LEN(ReferenceData!$C$311),"",ReferenceData!$C$311),"")</f>
        <v>RR263</v>
      </c>
      <c r="D311" t="str">
        <f>IFERROR(IF(0=LEN(ReferenceData!$D$311),"",ReferenceData!$D$311),"")</f>
        <v>DEBT_TO_MKT_CAP</v>
      </c>
      <c r="E311" t="str">
        <f>IFERROR(IF(0=LEN(ReferenceData!$E$311),"",ReferenceData!$E$311),"")</f>
        <v>动态</v>
      </c>
      <c r="F311">
        <f ca="1">IFERROR(IF(0=LEN(ReferenceData!$F$311),"",ReferenceData!$F$311),"")</f>
        <v>1.4245246570000001</v>
      </c>
      <c r="G311">
        <f ca="1">IFERROR(IF(0=LEN(ReferenceData!$G$311),"",ReferenceData!$G$311),"")</f>
        <v>1.165948083</v>
      </c>
      <c r="H311">
        <f ca="1">IFERROR(IF(0=LEN(ReferenceData!$H$311),"",ReferenceData!$H$311),"")</f>
        <v>1.192475604</v>
      </c>
      <c r="I311">
        <f ca="1">IFERROR(IF(0=LEN(ReferenceData!$I$311),"",ReferenceData!$I$311),"")</f>
        <v>1.371624307</v>
      </c>
      <c r="J311">
        <f ca="1">IFERROR(IF(0=LEN(ReferenceData!$J$311),"",ReferenceData!$J$311),"")</f>
        <v>0.98435780500000003</v>
      </c>
      <c r="K311">
        <f ca="1">IFERROR(IF(0=LEN(ReferenceData!$K$311),"",ReferenceData!$K$311),"")</f>
        <v>0.80351418399999996</v>
      </c>
      <c r="L311">
        <f ca="1">IFERROR(IF(0=LEN(ReferenceData!$L$311),"",ReferenceData!$L$311),"")</f>
        <v>0.77882992399999995</v>
      </c>
      <c r="M311">
        <f ca="1">IFERROR(IF(0=LEN(ReferenceData!$M$311),"",ReferenceData!$M$311),"")</f>
        <v>0.74507150799999999</v>
      </c>
      <c r="N311">
        <f ca="1">IFERROR(IF(0=LEN(ReferenceData!$N$311),"",ReferenceData!$N$311),"")</f>
        <v>0.77424812799999998</v>
      </c>
      <c r="O311">
        <f ca="1">IFERROR(IF(0=LEN(ReferenceData!$O$311),"",ReferenceData!$O$311),"")</f>
        <v>0.84278673599999998</v>
      </c>
      <c r="P311">
        <f ca="1">IFERROR(IF(0=LEN(ReferenceData!$P$311),"",ReferenceData!$P$311),"")</f>
        <v>0.93789957999999995</v>
      </c>
      <c r="Q311">
        <f ca="1">IFERROR(IF(0=LEN(ReferenceData!$Q$311),"",ReferenceData!$Q$311),"")</f>
        <v>0.94238517200000005</v>
      </c>
      <c r="R311">
        <f ca="1">IFERROR(IF(0=LEN(ReferenceData!$R$311),"",ReferenceData!$R$311),"")</f>
        <v>0.78063938600000005</v>
      </c>
      <c r="S311">
        <f ca="1">IFERROR(IF(0=LEN(ReferenceData!$S$311),"",ReferenceData!$S$311),"")</f>
        <v>0.78758061499999998</v>
      </c>
      <c r="T311">
        <f ca="1">IFERROR(IF(0=LEN(ReferenceData!$T$311),"",ReferenceData!$T$311),"")</f>
        <v>0.87050437800000002</v>
      </c>
      <c r="U311">
        <f ca="1">IFERROR(IF(0=LEN(ReferenceData!$U$311),"",ReferenceData!$U$311),"")</f>
        <v>0.84119167800000005</v>
      </c>
      <c r="V311">
        <f ca="1">IFERROR(IF(0=LEN(ReferenceData!$V$311),"",ReferenceData!$V$311),"")</f>
        <v>0.88599571799999999</v>
      </c>
      <c r="W311">
        <f ca="1">IFERROR(IF(0=LEN(ReferenceData!$W$311),"",ReferenceData!$W$311),"")</f>
        <v>0.95890591199999997</v>
      </c>
      <c r="X311">
        <f ca="1">IFERROR(IF(0=LEN(ReferenceData!$X$311),"",ReferenceData!$X$311),"")</f>
        <v>0.91389028299999997</v>
      </c>
      <c r="Y311">
        <f ca="1">IFERROR(IF(0=LEN(ReferenceData!$Y$311),"",ReferenceData!$Y$311),"")</f>
        <v>0.75405261999999995</v>
      </c>
      <c r="Z311">
        <f ca="1">IFERROR(IF(0=LEN(ReferenceData!$Z$311),"",ReferenceData!$Z$311),"")</f>
        <v>0.79347524999999997</v>
      </c>
      <c r="AA311">
        <f ca="1">IFERROR(IF(0=LEN(ReferenceData!$AA$311),"",ReferenceData!$AA$311),"")</f>
        <v>0.89037462499999998</v>
      </c>
      <c r="AB311">
        <f ca="1">IFERROR(IF(0=LEN(ReferenceData!$AB$311),"",ReferenceData!$AB$311),"")</f>
        <v>0.92212008300000003</v>
      </c>
      <c r="AC311">
        <f ca="1">IFERROR(IF(0=LEN(ReferenceData!$AC$311),"",ReferenceData!$AC$311),"")</f>
        <v>0.99115763599999995</v>
      </c>
      <c r="AD311">
        <f ca="1">IFERROR(IF(0=LEN(ReferenceData!$AD$311),"",ReferenceData!$AD$311),"")</f>
        <v>1.022000945</v>
      </c>
      <c r="AE311">
        <f ca="1">IFERROR(IF(0=LEN(ReferenceData!$AE$311),"",ReferenceData!$AE$311),"")</f>
        <v>1.2177216790000001</v>
      </c>
      <c r="AF311">
        <f ca="1">IFERROR(IF(0=LEN(ReferenceData!$AF$311),"",ReferenceData!$AF$311),"")</f>
        <v>1.4025926070000001</v>
      </c>
      <c r="AG311">
        <f ca="1">IFERROR(IF(0=LEN(ReferenceData!$AG$311),"",ReferenceData!$AG$311),"")</f>
        <v>1.080443936</v>
      </c>
      <c r="AH311">
        <f ca="1">IFERROR(IF(0=LEN(ReferenceData!$AH$311),"",ReferenceData!$AH$311),"")</f>
        <v>1.142884775</v>
      </c>
      <c r="AI311">
        <f ca="1">IFERROR(IF(0=LEN(ReferenceData!$AI$311),"",ReferenceData!$AI$311),"")</f>
        <v>1.1919180170000001</v>
      </c>
      <c r="AJ311">
        <f ca="1">IFERROR(IF(0=LEN(ReferenceData!$AJ$311),"",ReferenceData!$AJ$311),"")</f>
        <v>1.5661845000000001</v>
      </c>
      <c r="AK311">
        <f ca="1">IFERROR(IF(0=LEN(ReferenceData!$AK$311),"",ReferenceData!$AK$311),"")</f>
        <v>1.873623448</v>
      </c>
      <c r="AL311">
        <f ca="1">IFERROR(IF(0=LEN(ReferenceData!$AL$311),"",ReferenceData!$AL$311),"")</f>
        <v>1.5570974829999999</v>
      </c>
      <c r="AM311">
        <f ca="1">IFERROR(IF(0=LEN(ReferenceData!$AM$311),"",ReferenceData!$AM$311),"")</f>
        <v>2.845045442</v>
      </c>
      <c r="AN311">
        <f ca="1">IFERROR(IF(0=LEN(ReferenceData!$AN$311),"",ReferenceData!$AN$311),"")</f>
        <v>3.137989975</v>
      </c>
      <c r="AO311">
        <f ca="1">IFERROR(IF(0=LEN(ReferenceData!$AO$311),"",ReferenceData!$AO$311),"")</f>
        <v>8.2879638849999999</v>
      </c>
      <c r="AP311">
        <f ca="1">IFERROR(IF(0=LEN(ReferenceData!$AP$311),"",ReferenceData!$AP$311),"")</f>
        <v>20.88269798</v>
      </c>
      <c r="AQ311">
        <f ca="1">IFERROR(IF(0=LEN(ReferenceData!$AQ$311),"",ReferenceData!$AQ$311),"")</f>
        <v>9.9949567950000002</v>
      </c>
      <c r="AR311">
        <f ca="1">IFERROR(IF(0=LEN(ReferenceData!$AR$311),"",ReferenceData!$AR$311),"")</f>
        <v>1.550571857</v>
      </c>
      <c r="AS311">
        <f ca="1">IFERROR(IF(0=LEN(ReferenceData!$AS$311),"",ReferenceData!$AS$311),"")</f>
        <v>1.3977403559999999</v>
      </c>
      <c r="AT311">
        <f ca="1">IFERROR(IF(0=LEN(ReferenceData!$AT$311),"",ReferenceData!$AT$311),"")</f>
        <v>1.141393576</v>
      </c>
      <c r="AU311">
        <f ca="1">IFERROR(IF(0=LEN(ReferenceData!$AU$311),"",ReferenceData!$AU$311),"")</f>
        <v>1.188488684</v>
      </c>
      <c r="AV311">
        <f ca="1">IFERROR(IF(0=LEN(ReferenceData!$AV$311),"",ReferenceData!$AV$311),"")</f>
        <v>0.74998582800000002</v>
      </c>
      <c r="AW311">
        <f ca="1">IFERROR(IF(0=LEN(ReferenceData!$AW$311),"",ReferenceData!$AW$311),"")</f>
        <v>0.77725169100000002</v>
      </c>
      <c r="AX311">
        <f ca="1">IFERROR(IF(0=LEN(ReferenceData!$AX$311),"",ReferenceData!$AX$311),"")</f>
        <v>0.76905465399999995</v>
      </c>
      <c r="AY311">
        <f ca="1">IFERROR(IF(0=LEN(ReferenceData!$AY$311),"",ReferenceData!$AY$311),"")</f>
        <v>0.55976934</v>
      </c>
      <c r="AZ311">
        <f ca="1">IFERROR(IF(0=LEN(ReferenceData!$AZ$311),"",ReferenceData!$AZ$311),"")</f>
        <v>0.66654720000000001</v>
      </c>
      <c r="BA311">
        <f ca="1">IFERROR(IF(0=LEN(ReferenceData!$BA$311),"",ReferenceData!$BA$311),"")</f>
        <v>0.71216586299999995</v>
      </c>
      <c r="BB311">
        <f ca="1">IFERROR(IF(0=LEN(ReferenceData!$BB$311),"",ReferenceData!$BB$311),"")</f>
        <v>0.68349591200000004</v>
      </c>
      <c r="BC311">
        <f ca="1">IFERROR(IF(0=LEN(ReferenceData!$BC$311),"",ReferenceData!$BC$311),"")</f>
        <v>0.76015965399999996</v>
      </c>
      <c r="BD311">
        <f ca="1">IFERROR(IF(0=LEN(ReferenceData!$BD$311),"",ReferenceData!$BD$311),"")</f>
        <v>0.755678772</v>
      </c>
      <c r="BE311">
        <f ca="1">IFERROR(IF(0=LEN(ReferenceData!$BE$311),"",ReferenceData!$BE$311),"")</f>
        <v>0.75240489399999999</v>
      </c>
      <c r="BF311">
        <f ca="1">IFERROR(IF(0=LEN(ReferenceData!$BF$311),"",ReferenceData!$BF$311),"")</f>
        <v>0.83581467300000001</v>
      </c>
      <c r="BG311">
        <f ca="1">IFERROR(IF(0=LEN(ReferenceData!$BG$311),"",ReferenceData!$BG$311),"")</f>
        <v>0.598567654</v>
      </c>
      <c r="BH311">
        <f ca="1">IFERROR(IF(0=LEN(ReferenceData!$BH$311),"",ReferenceData!$BH$311),"")</f>
        <v>0.81924331800000005</v>
      </c>
      <c r="BI311">
        <f ca="1">IFERROR(IF(0=LEN(ReferenceData!$BI$311),"",ReferenceData!$BI$311),"")</f>
        <v>0.89880323200000001</v>
      </c>
      <c r="BJ311">
        <f ca="1">IFERROR(IF(0=LEN(ReferenceData!$BJ$311),"",ReferenceData!$BJ$311),"")</f>
        <v>0.59510669699999996</v>
      </c>
      <c r="BK311">
        <f ca="1">IFERROR(IF(0=LEN(ReferenceData!$BK$311),"",ReferenceData!$BK$311),"")</f>
        <v>0.71831567500000004</v>
      </c>
      <c r="BL311">
        <f ca="1">IFERROR(IF(0=LEN(ReferenceData!$BL$311),"",ReferenceData!$BL$311),"")</f>
        <v>0.82132406800000002</v>
      </c>
      <c r="BM311">
        <f ca="1">IFERROR(IF(0=LEN(ReferenceData!$BM$311),"",ReferenceData!$BM$311),"")</f>
        <v>0.875937093</v>
      </c>
    </row>
    <row r="312" spans="1:65">
      <c r="A312" t="str">
        <f>IFERROR(IF(0=LEN(ReferenceData!$A$312),"",ReferenceData!$A$312),"")</f>
        <v xml:space="preserve">    Federal Realty Investment Trus</v>
      </c>
      <c r="B312" t="str">
        <f>IFERROR(IF(0=LEN(ReferenceData!$B$312),"",ReferenceData!$B$312),"")</f>
        <v>FRT US Equity</v>
      </c>
      <c r="C312" t="str">
        <f>IFERROR(IF(0=LEN(ReferenceData!$C$312),"",ReferenceData!$C$312),"")</f>
        <v>RR263</v>
      </c>
      <c r="D312" t="str">
        <f>IFERROR(IF(0=LEN(ReferenceData!$D$312),"",ReferenceData!$D$312),"")</f>
        <v>DEBT_TO_MKT_CAP</v>
      </c>
      <c r="E312" t="str">
        <f>IFERROR(IF(0=LEN(ReferenceData!$E$312),"",ReferenceData!$E$312),"")</f>
        <v>动态</v>
      </c>
      <c r="F312">
        <f ca="1">IFERROR(IF(0=LEN(ReferenceData!$F$312),"",ReferenceData!$F$312),"")</f>
        <v>0.38252908400000002</v>
      </c>
      <c r="G312">
        <f ca="1">IFERROR(IF(0=LEN(ReferenceData!$G$312),"",ReferenceData!$G$312),"")</f>
        <v>0.34092196299999999</v>
      </c>
      <c r="H312">
        <f ca="1">IFERROR(IF(0=LEN(ReferenceData!$H$312),"",ReferenceData!$H$312),"")</f>
        <v>0.36218212599999999</v>
      </c>
      <c r="I312">
        <f ca="1">IFERROR(IF(0=LEN(ReferenceData!$I$312),"",ReferenceData!$I$312),"")</f>
        <v>0.34423875500000001</v>
      </c>
      <c r="J312">
        <f ca="1">IFERROR(IF(0=LEN(ReferenceData!$J$312),"",ReferenceData!$J$312),"")</f>
        <v>0.31275069799999999</v>
      </c>
      <c r="K312">
        <f ca="1">IFERROR(IF(0=LEN(ReferenceData!$K$312),"",ReferenceData!$K$312),"")</f>
        <v>0.27431556400000001</v>
      </c>
      <c r="L312">
        <f ca="1">IFERROR(IF(0=LEN(ReferenceData!$L$312),"",ReferenceData!$L$312),"")</f>
        <v>0.25553913099999997</v>
      </c>
      <c r="M312">
        <f ca="1">IFERROR(IF(0=LEN(ReferenceData!$M$312),"",ReferenceData!$M$312),"")</f>
        <v>0.227033071</v>
      </c>
      <c r="N312">
        <f ca="1">IFERROR(IF(0=LEN(ReferenceData!$N$312),"",ReferenceData!$N$312),"")</f>
        <v>0.24049067399999999</v>
      </c>
      <c r="O312">
        <f ca="1">IFERROR(IF(0=LEN(ReferenceData!$O$312),"",ReferenceData!$O$312),"")</f>
        <v>0.25902315100000001</v>
      </c>
      <c r="P312">
        <f ca="1">IFERROR(IF(0=LEN(ReferenceData!$P$312),"",ReferenceData!$P$312),"")</f>
        <v>0.268529079</v>
      </c>
      <c r="Q312">
        <f ca="1">IFERROR(IF(0=LEN(ReferenceData!$Q$312),"",ReferenceData!$Q$312),"")</f>
        <v>0.288661006</v>
      </c>
      <c r="R312">
        <f ca="1">IFERROR(IF(0=LEN(ReferenceData!$R$312),"",ReferenceData!$R$312),"")</f>
        <v>0.260802861</v>
      </c>
      <c r="S312">
        <f ca="1">IFERROR(IF(0=LEN(ReferenceData!$S$312),"",ReferenceData!$S$312),"")</f>
        <v>0.26500411099999999</v>
      </c>
      <c r="T312">
        <f ca="1">IFERROR(IF(0=LEN(ReferenceData!$T$312),"",ReferenceData!$T$312),"")</f>
        <v>0.28587769299999999</v>
      </c>
      <c r="U312">
        <f ca="1">IFERROR(IF(0=LEN(ReferenceData!$U$312),"",ReferenceData!$U$312),"")</f>
        <v>0.28984652599999999</v>
      </c>
      <c r="V312">
        <f ca="1">IFERROR(IF(0=LEN(ReferenceData!$V$312),"",ReferenceData!$V$312),"")</f>
        <v>0.31001635799999999</v>
      </c>
      <c r="W312">
        <f ca="1">IFERROR(IF(0=LEN(ReferenceData!$W$312),"",ReferenceData!$W$312),"")</f>
        <v>0.352021115</v>
      </c>
      <c r="X312">
        <f ca="1">IFERROR(IF(0=LEN(ReferenceData!$X$312),"",ReferenceData!$X$312),"")</f>
        <v>0.34602773799999997</v>
      </c>
      <c r="Y312">
        <f ca="1">IFERROR(IF(0=LEN(ReferenceData!$Y$312),"",ReferenceData!$Y$312),"")</f>
        <v>0.34148636799999998</v>
      </c>
      <c r="Z312">
        <f ca="1">IFERROR(IF(0=LEN(ReferenceData!$Z$312),"",ReferenceData!$Z$312),"")</f>
        <v>0.31305193599999998</v>
      </c>
      <c r="AA312">
        <f ca="1">IFERROR(IF(0=LEN(ReferenceData!$AA$312),"",ReferenceData!$AA$312),"")</f>
        <v>0.328546369</v>
      </c>
      <c r="AB312">
        <f ca="1">IFERROR(IF(0=LEN(ReferenceData!$AB$312),"",ReferenceData!$AB$312),"")</f>
        <v>0.32268065200000001</v>
      </c>
      <c r="AC312">
        <f ca="1">IFERROR(IF(0=LEN(ReferenceData!$AC$312),"",ReferenceData!$AC$312),"")</f>
        <v>0.31720506100000001</v>
      </c>
      <c r="AD312">
        <f ca="1">IFERROR(IF(0=LEN(ReferenceData!$AD$312),"",ReferenceData!$AD$312),"")</f>
        <v>0.34323029599999999</v>
      </c>
      <c r="AE312">
        <f ca="1">IFERROR(IF(0=LEN(ReferenceData!$AE$312),"",ReferenceData!$AE$312),"")</f>
        <v>0.36622141600000002</v>
      </c>
      <c r="AF312">
        <f ca="1">IFERROR(IF(0=LEN(ReferenceData!$AF$312),"",ReferenceData!$AF$312),"")</f>
        <v>0.33441468800000002</v>
      </c>
      <c r="AG312">
        <f ca="1">IFERROR(IF(0=LEN(ReferenceData!$AG$312),"",ReferenceData!$AG$312),"")</f>
        <v>0.332031729</v>
      </c>
      <c r="AH312">
        <f ca="1">IFERROR(IF(0=LEN(ReferenceData!$AH$312),"",ReferenceData!$AH$312),"")</f>
        <v>0.35944346500000002</v>
      </c>
      <c r="AI312">
        <f ca="1">IFERROR(IF(0=LEN(ReferenceData!$AI$312),"",ReferenceData!$AI$312),"")</f>
        <v>0.36858352999999999</v>
      </c>
      <c r="AJ312">
        <f ca="1">IFERROR(IF(0=LEN(ReferenceData!$AJ$312),"",ReferenceData!$AJ$312),"")</f>
        <v>0.34317787999999999</v>
      </c>
      <c r="AK312">
        <f ca="1">IFERROR(IF(0=LEN(ReferenceData!$AK$312),"",ReferenceData!$AK$312),"")</f>
        <v>0.39365233100000002</v>
      </c>
      <c r="AL312">
        <f ca="1">IFERROR(IF(0=LEN(ReferenceData!$AL$312),"",ReferenceData!$AL$312),"")</f>
        <v>0.37674936999999997</v>
      </c>
      <c r="AM312">
        <f ca="1">IFERROR(IF(0=LEN(ReferenceData!$AM$312),"",ReferenceData!$AM$312),"")</f>
        <v>0.43292470700000002</v>
      </c>
      <c r="AN312">
        <f ca="1">IFERROR(IF(0=LEN(ReferenceData!$AN$312),"",ReferenceData!$AN$312),"")</f>
        <v>0.54624925700000004</v>
      </c>
      <c r="AO312">
        <f ca="1">IFERROR(IF(0=LEN(ReferenceData!$AO$312),"",ReferenceData!$AO$312),"")</f>
        <v>0.62271198900000002</v>
      </c>
      <c r="AP312">
        <f ca="1">IFERROR(IF(0=LEN(ReferenceData!$AP$312),"",ReferenceData!$AP$312),"")</f>
        <v>0.64420733799999996</v>
      </c>
      <c r="AQ312">
        <f ca="1">IFERROR(IF(0=LEN(ReferenceData!$AQ$312),"",ReferenceData!$AQ$312),"")</f>
        <v>0.47684312099999998</v>
      </c>
      <c r="AR312">
        <f ca="1">IFERROR(IF(0=LEN(ReferenceData!$AR$312),"",ReferenceData!$AR$312),"")</f>
        <v>0.34791305700000003</v>
      </c>
      <c r="AS312">
        <f ca="1">IFERROR(IF(0=LEN(ReferenceData!$AS$312),"",ReferenceData!$AS$312),"")</f>
        <v>0.41069278199999998</v>
      </c>
      <c r="AT312">
        <f ca="1">IFERROR(IF(0=LEN(ReferenceData!$AT$312),"",ReferenceData!$AT$312),"")</f>
        <v>0.35731421600000002</v>
      </c>
      <c r="AU312">
        <f ca="1">IFERROR(IF(0=LEN(ReferenceData!$AU$312),"",ReferenceData!$AU$312),"")</f>
        <v>0.34019768</v>
      </c>
      <c r="AV312">
        <f ca="1">IFERROR(IF(0=LEN(ReferenceData!$AV$312),"",ReferenceData!$AV$312),"")</f>
        <v>0.36723704200000001</v>
      </c>
      <c r="AW312">
        <f ca="1">IFERROR(IF(0=LEN(ReferenceData!$AW$312),"",ReferenceData!$AW$312),"")</f>
        <v>0.41651418699999998</v>
      </c>
      <c r="AX312">
        <f ca="1">IFERROR(IF(0=LEN(ReferenceData!$AX$312),"",ReferenceData!$AX$312),"")</f>
        <v>0.36408042800000001</v>
      </c>
      <c r="AY312">
        <f ca="1">IFERROR(IF(0=LEN(ReferenceData!$AY$312),"",ReferenceData!$AY$312),"")</f>
        <v>0.36108561</v>
      </c>
      <c r="AZ312">
        <f ca="1">IFERROR(IF(0=LEN(ReferenceData!$AZ$312),"",ReferenceData!$AZ$312),"")</f>
        <v>0.38379344599999998</v>
      </c>
      <c r="BA312">
        <f ca="1">IFERROR(IF(0=LEN(ReferenceData!$BA$312),"",ReferenceData!$BA$312),"")</f>
        <v>0.37534320199999999</v>
      </c>
      <c r="BB312">
        <f ca="1">IFERROR(IF(0=LEN(ReferenceData!$BB$312),"",ReferenceData!$BB$312),"")</f>
        <v>0.349174545</v>
      </c>
      <c r="BC312">
        <f ca="1">IFERROR(IF(0=LEN(ReferenceData!$BC$312),"",ReferenceData!$BC$312),"")</f>
        <v>0.434573286</v>
      </c>
      <c r="BD312">
        <f ca="1">IFERROR(IF(0=LEN(ReferenceData!$BD$312),"",ReferenceData!$BD$312),"")</f>
        <v>0.41538818100000002</v>
      </c>
      <c r="BE312">
        <f ca="1">IFERROR(IF(0=LEN(ReferenceData!$BE$312),"",ReferenceData!$BE$312),"")</f>
        <v>0.43336523500000002</v>
      </c>
      <c r="BF312">
        <f ca="1">IFERROR(IF(0=LEN(ReferenceData!$BF$312),"",ReferenceData!$BF$312),"")</f>
        <v>0.53612132599999995</v>
      </c>
      <c r="BG312">
        <f ca="1">IFERROR(IF(0=LEN(ReferenceData!$BG$312),"",ReferenceData!$BG$312),"")</f>
        <v>0.48449320200000001</v>
      </c>
      <c r="BH312">
        <f ca="1">IFERROR(IF(0=LEN(ReferenceData!$BH$312),"",ReferenceData!$BH$312),"")</f>
        <v>0.57053037100000004</v>
      </c>
      <c r="BI312">
        <f ca="1">IFERROR(IF(0=LEN(ReferenceData!$BI$312),"",ReferenceData!$BI$312),"")</f>
        <v>0.61626883399999999</v>
      </c>
      <c r="BJ312">
        <f ca="1">IFERROR(IF(0=LEN(ReferenceData!$BJ$312),"",ReferenceData!$BJ$312),"")</f>
        <v>0.62028709500000001</v>
      </c>
      <c r="BK312">
        <f ca="1">IFERROR(IF(0=LEN(ReferenceData!$BK$312),"",ReferenceData!$BK$312),"")</f>
        <v>0.694177602</v>
      </c>
      <c r="BL312">
        <f ca="1">IFERROR(IF(0=LEN(ReferenceData!$BL$312),"",ReferenceData!$BL$312),"")</f>
        <v>0.67726330800000001</v>
      </c>
      <c r="BM312">
        <f ca="1">IFERROR(IF(0=LEN(ReferenceData!$BM$312),"",ReferenceData!$BM$312),"")</f>
        <v>0.78910720599999995</v>
      </c>
    </row>
    <row r="313" spans="1:65">
      <c r="A313" t="str">
        <f>IFERROR(IF(0=LEN(ReferenceData!$A$313),"",ReferenceData!$A$313),"")</f>
        <v xml:space="preserve">    Kimco Realty Corp</v>
      </c>
      <c r="B313" t="str">
        <f>IFERROR(IF(0=LEN(ReferenceData!$B$313),"",ReferenceData!$B$313),"")</f>
        <v>KIM US Equity</v>
      </c>
      <c r="C313" t="str">
        <f>IFERROR(IF(0=LEN(ReferenceData!$C$313),"",ReferenceData!$C$313),"")</f>
        <v>RR263</v>
      </c>
      <c r="D313" t="str">
        <f>IFERROR(IF(0=LEN(ReferenceData!$D$313),"",ReferenceData!$D$313),"")</f>
        <v>DEBT_TO_MKT_CAP</v>
      </c>
      <c r="E313" t="str">
        <f>IFERROR(IF(0=LEN(ReferenceData!$E$313),"",ReferenceData!$E$313),"")</f>
        <v>动态</v>
      </c>
      <c r="F313">
        <f ca="1">IFERROR(IF(0=LEN(ReferenceData!$F$313),"",ReferenceData!$F$313),"")</f>
        <v>0.87723365200000003</v>
      </c>
      <c r="G313">
        <f ca="1">IFERROR(IF(0=LEN(ReferenceData!$G$313),"",ReferenceData!$G$313),"")</f>
        <v>0.70919027000000001</v>
      </c>
      <c r="H313">
        <f ca="1">IFERROR(IF(0=LEN(ReferenceData!$H$313),"",ReferenceData!$H$313),"")</f>
        <v>0.66712463700000002</v>
      </c>
      <c r="I313">
        <f ca="1">IFERROR(IF(0=LEN(ReferenceData!$I$313),"",ReferenceData!$I$313),"")</f>
        <v>0.69009578999999999</v>
      </c>
      <c r="J313">
        <f ca="1">IFERROR(IF(0=LEN(ReferenceData!$J$313),"",ReferenceData!$J$313),"")</f>
        <v>0.54506877200000003</v>
      </c>
      <c r="K313">
        <f ca="1">IFERROR(IF(0=LEN(ReferenceData!$K$313),"",ReferenceData!$K$313),"")</f>
        <v>0.47377345199999998</v>
      </c>
      <c r="L313">
        <f ca="1">IFERROR(IF(0=LEN(ReferenceData!$L$313),"",ReferenceData!$L$313),"")</f>
        <v>0.41117090899999997</v>
      </c>
      <c r="M313">
        <f ca="1">IFERROR(IF(0=LEN(ReferenceData!$M$313),"",ReferenceData!$M$313),"")</f>
        <v>0.39402998099999997</v>
      </c>
      <c r="N313">
        <f ca="1">IFERROR(IF(0=LEN(ReferenceData!$N$313),"",ReferenceData!$N$313),"")</f>
        <v>0.432927018</v>
      </c>
      <c r="O313">
        <f ca="1">IFERROR(IF(0=LEN(ReferenceData!$O$313),"",ReferenceData!$O$313),"")</f>
        <v>0.49160719600000002</v>
      </c>
      <c r="P313">
        <f ca="1">IFERROR(IF(0=LEN(ReferenceData!$P$313),"",ReferenceData!$P$313),"")</f>
        <v>0.544797541</v>
      </c>
      <c r="Q313">
        <f ca="1">IFERROR(IF(0=LEN(ReferenceData!$Q$313),"",ReferenceData!$Q$313),"")</f>
        <v>0.59523891399999995</v>
      </c>
      <c r="R313">
        <f ca="1">IFERROR(IF(0=LEN(ReferenceData!$R$313),"",ReferenceData!$R$313),"")</f>
        <v>0.51640946499999996</v>
      </c>
      <c r="S313">
        <f ca="1">IFERROR(IF(0=LEN(ReferenceData!$S$313),"",ReferenceData!$S$313),"")</f>
        <v>0.444345938</v>
      </c>
      <c r="T313">
        <f ca="1">IFERROR(IF(0=LEN(ReferenceData!$T$313),"",ReferenceData!$T$313),"")</f>
        <v>0.52156255500000004</v>
      </c>
      <c r="U313">
        <f ca="1">IFERROR(IF(0=LEN(ReferenceData!$U$313),"",ReferenceData!$U$313),"")</f>
        <v>0.50134052600000001</v>
      </c>
      <c r="V313">
        <f ca="1">IFERROR(IF(0=LEN(ReferenceData!$V$313),"",ReferenceData!$V$313),"")</f>
        <v>0.48770155100000001</v>
      </c>
      <c r="W313">
        <f ca="1">IFERROR(IF(0=LEN(ReferenceData!$W$313),"",ReferenceData!$W$313),"")</f>
        <v>0.52171567299999999</v>
      </c>
      <c r="X313">
        <f ca="1">IFERROR(IF(0=LEN(ReferenceData!$X$313),"",ReferenceData!$X$313),"")</f>
        <v>0.52992669999999997</v>
      </c>
      <c r="Y313">
        <f ca="1">IFERROR(IF(0=LEN(ReferenceData!$Y$313),"",ReferenceData!$Y$313),"")</f>
        <v>0.50970020699999996</v>
      </c>
      <c r="Z313">
        <f ca="1">IFERROR(IF(0=LEN(ReferenceData!$Z$313),"",ReferenceData!$Z$313),"")</f>
        <v>0.48716990100000002</v>
      </c>
      <c r="AA313">
        <f ca="1">IFERROR(IF(0=LEN(ReferenceData!$AA$313),"",ReferenceData!$AA$313),"")</f>
        <v>0.53271983099999998</v>
      </c>
      <c r="AB313">
        <f ca="1">IFERROR(IF(0=LEN(ReferenceData!$AB$313),"",ReferenceData!$AB$313),"")</f>
        <v>0.511359597</v>
      </c>
      <c r="AC313">
        <f ca="1">IFERROR(IF(0=LEN(ReferenceData!$AC$313),"",ReferenceData!$AC$313),"")</f>
        <v>0.541283666</v>
      </c>
      <c r="AD313">
        <f ca="1">IFERROR(IF(0=LEN(ReferenceData!$AD$313),"",ReferenceData!$AD$313),"")</f>
        <v>0.49849714899999997</v>
      </c>
      <c r="AE313">
        <f ca="1">IFERROR(IF(0=LEN(ReferenceData!$AE$313),"",ReferenceData!$AE$313),"")</f>
        <v>0.62256757900000004</v>
      </c>
      <c r="AF313">
        <f ca="1">IFERROR(IF(0=LEN(ReferenceData!$AF$313),"",ReferenceData!$AF$313),"")</f>
        <v>0.65151097499999999</v>
      </c>
      <c r="AG313">
        <f ca="1">IFERROR(IF(0=LEN(ReferenceData!$AG$313),"",ReferenceData!$AG$313),"")</f>
        <v>0.52475661500000004</v>
      </c>
      <c r="AH313">
        <f ca="1">IFERROR(IF(0=LEN(ReferenceData!$AH$313),"",ReferenceData!$AH$313),"")</f>
        <v>0.55676672299999996</v>
      </c>
      <c r="AI313">
        <f ca="1">IFERROR(IF(0=LEN(ReferenceData!$AI$313),"",ReferenceData!$AI$313),"")</f>
        <v>0.55425257500000003</v>
      </c>
      <c r="AJ313">
        <f ca="1">IFERROR(IF(0=LEN(ReferenceData!$AJ$313),"",ReferenceData!$AJ$313),"")</f>
        <v>0.63205921899999995</v>
      </c>
      <c r="AK313">
        <f ca="1">IFERROR(IF(0=LEN(ReferenceData!$AK$313),"",ReferenceData!$AK$313),"")</f>
        <v>0.781480434</v>
      </c>
      <c r="AL313">
        <f ca="1">IFERROR(IF(0=LEN(ReferenceData!$AL$313),"",ReferenceData!$AL$313),"")</f>
        <v>0.71333120100000003</v>
      </c>
      <c r="AM313">
        <f ca="1">IFERROR(IF(0=LEN(ReferenceData!$AM$313),"",ReferenceData!$AM$313),"")</f>
        <v>0.81578991300000003</v>
      </c>
      <c r="AN313">
        <f ca="1">IFERROR(IF(0=LEN(ReferenceData!$AN$313),"",ReferenceData!$AN$313),"")</f>
        <v>0.80935199700000005</v>
      </c>
      <c r="AO313">
        <f ca="1">IFERROR(IF(0=LEN(ReferenceData!$AO$313),"",ReferenceData!$AO$313),"")</f>
        <v>1.0942079179999999</v>
      </c>
      <c r="AP313">
        <f ca="1">IFERROR(IF(0=LEN(ReferenceData!$AP$313),"",ReferenceData!$AP$313),"")</f>
        <v>2.2519983419999998</v>
      </c>
      <c r="AQ313">
        <f ca="1">IFERROR(IF(0=LEN(ReferenceData!$AQ$313),"",ReferenceData!$AQ$313),"")</f>
        <v>0.93610310100000005</v>
      </c>
      <c r="AR313">
        <f ca="1">IFERROR(IF(0=LEN(ReferenceData!$AR$313),"",ReferenceData!$AR$313),"")</f>
        <v>0.44965895299999997</v>
      </c>
      <c r="AS313">
        <f ca="1">IFERROR(IF(0=LEN(ReferenceData!$AS$313),"",ReferenceData!$AS$313),"")</f>
        <v>0.54119650500000005</v>
      </c>
      <c r="AT313">
        <f ca="1">IFERROR(IF(0=LEN(ReferenceData!$AT$313),"",ReferenceData!$AT$313),"")</f>
        <v>0.45782414100000002</v>
      </c>
      <c r="AU313">
        <f ca="1">IFERROR(IF(0=LEN(ReferenceData!$AU$313),"",ReferenceData!$AU$313),"")</f>
        <v>0.45837626599999998</v>
      </c>
      <c r="AV313">
        <f ca="1">IFERROR(IF(0=LEN(ReferenceData!$AV$313),"",ReferenceData!$AV$313),"")</f>
        <v>0.38730371600000002</v>
      </c>
      <c r="AW313">
        <f ca="1">IFERROR(IF(0=LEN(ReferenceData!$AW$313),"",ReferenceData!$AW$313),"")</f>
        <v>0.43685144399999998</v>
      </c>
      <c r="AX313">
        <f ca="1">IFERROR(IF(0=LEN(ReferenceData!$AX$313),"",ReferenceData!$AX$313),"")</f>
        <v>0.29648875400000002</v>
      </c>
      <c r="AY313">
        <f ca="1">IFERROR(IF(0=LEN(ReferenceData!$AY$313),"",ReferenceData!$AY$313),"")</f>
        <v>0.31851032600000001</v>
      </c>
      <c r="AZ313">
        <f ca="1">IFERROR(IF(0=LEN(ReferenceData!$AZ$313),"",ReferenceData!$AZ$313),"")</f>
        <v>0.32497710200000002</v>
      </c>
      <c r="BA313">
        <f ca="1">IFERROR(IF(0=LEN(ReferenceData!$BA$313),"",ReferenceData!$BA$313),"")</f>
        <v>0.35774618600000002</v>
      </c>
      <c r="BB313">
        <f ca="1">IFERROR(IF(0=LEN(ReferenceData!$BB$313),"",ReferenceData!$BB$313),"")</f>
        <v>0.311253999</v>
      </c>
      <c r="BC313">
        <f ca="1">IFERROR(IF(0=LEN(ReferenceData!$BC$313),"",ReferenceData!$BC$313),"")</f>
        <v>0.36909882700000002</v>
      </c>
      <c r="BD313">
        <f ca="1">IFERROR(IF(0=LEN(ReferenceData!$BD$313),"",ReferenceData!$BD$313),"")</f>
        <v>0.33053387899999997</v>
      </c>
      <c r="BE313">
        <f ca="1">IFERROR(IF(0=LEN(ReferenceData!$BE$313),"",ReferenceData!$BE$313),"")</f>
        <v>0.34021934700000001</v>
      </c>
      <c r="BF313">
        <f ca="1">IFERROR(IF(0=LEN(ReferenceData!$BF$313),"",ReferenceData!$BF$313),"")</f>
        <v>0.353207412</v>
      </c>
      <c r="BG313">
        <f ca="1">IFERROR(IF(0=LEN(ReferenceData!$BG$313),"",ReferenceData!$BG$313),"")</f>
        <v>0.32607504700000001</v>
      </c>
      <c r="BH313">
        <f ca="1">IFERROR(IF(0=LEN(ReferenceData!$BH$313),"",ReferenceData!$BH$313),"")</f>
        <v>0.31886767799999999</v>
      </c>
      <c r="BI313">
        <f ca="1">IFERROR(IF(0=LEN(ReferenceData!$BI$313),"",ReferenceData!$BI$313),"")</f>
        <v>0.36394534099999998</v>
      </c>
      <c r="BJ313">
        <f ca="1">IFERROR(IF(0=LEN(ReferenceData!$BJ$313),"",ReferenceData!$BJ$313),"")</f>
        <v>0.39717676299999999</v>
      </c>
      <c r="BK313">
        <f ca="1">IFERROR(IF(0=LEN(ReferenceData!$BK$313),"",ReferenceData!$BK$313),"")</f>
        <v>0.43613760800000001</v>
      </c>
      <c r="BL313">
        <f ca="1">IFERROR(IF(0=LEN(ReferenceData!$BL$313),"",ReferenceData!$BL$313),"")</f>
        <v>0.33768139200000002</v>
      </c>
      <c r="BM313">
        <f ca="1">IFERROR(IF(0=LEN(ReferenceData!$BM$313),"",ReferenceData!$BM$313),"")</f>
        <v>0.44485235699999998</v>
      </c>
    </row>
    <row r="314" spans="1:65">
      <c r="A314" t="str">
        <f>IFERROR(IF(0=LEN(ReferenceData!$A$314),"",ReferenceData!$A$314),"")</f>
        <v xml:space="preserve">    National Retail Properties Inc</v>
      </c>
      <c r="B314" t="str">
        <f>IFERROR(IF(0=LEN(ReferenceData!$B$314),"",ReferenceData!$B$314),"")</f>
        <v>NNN US Equity</v>
      </c>
      <c r="C314" t="str">
        <f>IFERROR(IF(0=LEN(ReferenceData!$C$314),"",ReferenceData!$C$314),"")</f>
        <v>RR263</v>
      </c>
      <c r="D314" t="str">
        <f>IFERROR(IF(0=LEN(ReferenceData!$D$314),"",ReferenceData!$D$314),"")</f>
        <v>DEBT_TO_MKT_CAP</v>
      </c>
      <c r="E314" t="str">
        <f>IFERROR(IF(0=LEN(ReferenceData!$E$314),"",ReferenceData!$E$314),"")</f>
        <v>动态</v>
      </c>
      <c r="F314">
        <f ca="1">IFERROR(IF(0=LEN(ReferenceData!$F$314),"",ReferenceData!$F$314),"")</f>
        <v>0.42978123099999999</v>
      </c>
      <c r="G314">
        <f ca="1">IFERROR(IF(0=LEN(ReferenceData!$G$314),"",ReferenceData!$G$314),"")</f>
        <v>0.39344062699999999</v>
      </c>
      <c r="H314">
        <f ca="1">IFERROR(IF(0=LEN(ReferenceData!$H$314),"",ReferenceData!$H$314),"")</f>
        <v>0.435714663</v>
      </c>
      <c r="I314">
        <f ca="1">IFERROR(IF(0=LEN(ReferenceData!$I$314),"",ReferenceData!$I$314),"")</f>
        <v>0.43365594200000002</v>
      </c>
      <c r="J314">
        <f ca="1">IFERROR(IF(0=LEN(ReferenceData!$J$314),"",ReferenceData!$J$314),"")</f>
        <v>0.35722421100000001</v>
      </c>
      <c r="K314">
        <f ca="1">IFERROR(IF(0=LEN(ReferenceData!$K$314),"",ReferenceData!$K$314),"")</f>
        <v>0.35548666899999998</v>
      </c>
      <c r="L314">
        <f ca="1">IFERROR(IF(0=LEN(ReferenceData!$L$314),"",ReferenceData!$L$314),"")</f>
        <v>0.288313863</v>
      </c>
      <c r="M314">
        <f ca="1">IFERROR(IF(0=LEN(ReferenceData!$M$314),"",ReferenceData!$M$314),"")</f>
        <v>0.28429003200000003</v>
      </c>
      <c r="N314">
        <f ca="1">IFERROR(IF(0=LEN(ReferenceData!$N$314),"",ReferenceData!$N$314),"")</f>
        <v>0.29888925</v>
      </c>
      <c r="O314">
        <f ca="1">IFERROR(IF(0=LEN(ReferenceData!$O$314),"",ReferenceData!$O$314),"")</f>
        <v>0.36234081099999998</v>
      </c>
      <c r="P314">
        <f ca="1">IFERROR(IF(0=LEN(ReferenceData!$P$314),"",ReferenceData!$P$314),"")</f>
        <v>0.414811135</v>
      </c>
      <c r="Q314">
        <f ca="1">IFERROR(IF(0=LEN(ReferenceData!$Q$314),"",ReferenceData!$Q$314),"")</f>
        <v>0.39814928700000002</v>
      </c>
      <c r="R314">
        <f ca="1">IFERROR(IF(0=LEN(ReferenceData!$R$314),"",ReferenceData!$R$314),"")</f>
        <v>0.32658418900000002</v>
      </c>
      <c r="S314">
        <f ca="1">IFERROR(IF(0=LEN(ReferenceData!$S$314),"",ReferenceData!$S$314),"")</f>
        <v>0.33751146599999998</v>
      </c>
      <c r="T314">
        <f ca="1">IFERROR(IF(0=LEN(ReferenceData!$T$314),"",ReferenceData!$T$314),"")</f>
        <v>0.43036627900000002</v>
      </c>
      <c r="U314">
        <f ca="1">IFERROR(IF(0=LEN(ReferenceData!$U$314),"",ReferenceData!$U$314),"")</f>
        <v>0.37608016300000002</v>
      </c>
      <c r="V314">
        <f ca="1">IFERROR(IF(0=LEN(ReferenceData!$V$314),"",ReferenceData!$V$314),"")</f>
        <v>0.38270492499999997</v>
      </c>
      <c r="W314">
        <f ca="1">IFERROR(IF(0=LEN(ReferenceData!$W$314),"",ReferenceData!$W$314),"")</f>
        <v>0.42480837700000001</v>
      </c>
      <c r="X314">
        <f ca="1">IFERROR(IF(0=LEN(ReferenceData!$X$314),"",ReferenceData!$X$314),"")</f>
        <v>0.39510714899999999</v>
      </c>
      <c r="Y314">
        <f ca="1">IFERROR(IF(0=LEN(ReferenceData!$Y$314),"",ReferenceData!$Y$314),"")</f>
        <v>0.43491601400000002</v>
      </c>
      <c r="Z314">
        <f ca="1">IFERROR(IF(0=LEN(ReferenceData!$Z$314),"",ReferenceData!$Z$314),"")</f>
        <v>0.34798379699999998</v>
      </c>
      <c r="AA314">
        <f ca="1">IFERROR(IF(0=LEN(ReferenceData!$AA$314),"",ReferenceData!$AA$314),"")</f>
        <v>0.46224746999999999</v>
      </c>
      <c r="AB314">
        <f ca="1">IFERROR(IF(0=LEN(ReferenceData!$AB$314),"",ReferenceData!$AB$314),"")</f>
        <v>0.46513760500000001</v>
      </c>
      <c r="AC314">
        <f ca="1">IFERROR(IF(0=LEN(ReferenceData!$AC$314),"",ReferenceData!$AC$314),"")</f>
        <v>0.45405644299999998</v>
      </c>
      <c r="AD314">
        <f ca="1">IFERROR(IF(0=LEN(ReferenceData!$AD$314),"",ReferenceData!$AD$314),"")</f>
        <v>0.452219078</v>
      </c>
      <c r="AE314">
        <f ca="1">IFERROR(IF(0=LEN(ReferenceData!$AE$314),"",ReferenceData!$AE$314),"")</f>
        <v>0.49572348300000002</v>
      </c>
      <c r="AF314">
        <f ca="1">IFERROR(IF(0=LEN(ReferenceData!$AF$314),"",ReferenceData!$AF$314),"")</f>
        <v>0.50290043200000001</v>
      </c>
      <c r="AG314">
        <f ca="1">IFERROR(IF(0=LEN(ReferenceData!$AG$314),"",ReferenceData!$AG$314),"")</f>
        <v>0.57336171800000002</v>
      </c>
      <c r="AH314">
        <f ca="1">IFERROR(IF(0=LEN(ReferenceData!$AH$314),"",ReferenceData!$AH$314),"")</f>
        <v>0.52921998100000001</v>
      </c>
      <c r="AI314">
        <f ca="1">IFERROR(IF(0=LEN(ReferenceData!$AI$314),"",ReferenceData!$AI$314),"")</f>
        <v>0.51245382799999994</v>
      </c>
      <c r="AJ314">
        <f ca="1">IFERROR(IF(0=LEN(ReferenceData!$AJ$314),"",ReferenceData!$AJ$314),"")</f>
        <v>0.48166737799999998</v>
      </c>
      <c r="AK314">
        <f ca="1">IFERROR(IF(0=LEN(ReferenceData!$AK$314),"",ReferenceData!$AK$314),"")</f>
        <v>0.55725953500000003</v>
      </c>
      <c r="AL314">
        <f ca="1">IFERROR(IF(0=LEN(ReferenceData!$AL$314),"",ReferenceData!$AL$314),"")</f>
        <v>0.52513510799999996</v>
      </c>
      <c r="AM314">
        <f ca="1">IFERROR(IF(0=LEN(ReferenceData!$AM$314),"",ReferenceData!$AM$314),"")</f>
        <v>0.56468846399999995</v>
      </c>
      <c r="AN314">
        <f ca="1">IFERROR(IF(0=LEN(ReferenceData!$AN$314),"",ReferenceData!$AN$314),"")</f>
        <v>0.56901592199999995</v>
      </c>
      <c r="AO314">
        <f ca="1">IFERROR(IF(0=LEN(ReferenceData!$AO$314),"",ReferenceData!$AO$314),"")</f>
        <v>0.72605691299999997</v>
      </c>
      <c r="AP314">
        <f ca="1">IFERROR(IF(0=LEN(ReferenceData!$AP$314),"",ReferenceData!$AP$314),"")</f>
        <v>0.80397888399999995</v>
      </c>
      <c r="AQ314">
        <f ca="1">IFERROR(IF(0=LEN(ReferenceData!$AQ$314),"",ReferenceData!$AQ$314),"")</f>
        <v>0.76260472400000001</v>
      </c>
      <c r="AR314">
        <f ca="1">IFERROR(IF(0=LEN(ReferenceData!$AR$314),"",ReferenceData!$AR$314),"")</f>
        <v>0.59234498899999999</v>
      </c>
      <c r="AS314">
        <f ca="1">IFERROR(IF(0=LEN(ReferenceData!$AS$314),"",ReferenceData!$AS$314),"")</f>
        <v>0.76809984200000003</v>
      </c>
      <c r="AT314">
        <f ca="1">IFERROR(IF(0=LEN(ReferenceData!$AT$314),"",ReferenceData!$AT$314),"")</f>
        <v>0.73500566499999997</v>
      </c>
      <c r="AU314">
        <f ca="1">IFERROR(IF(0=LEN(ReferenceData!$AU$314),"",ReferenceData!$AU$314),"")</f>
        <v>0.63068938200000002</v>
      </c>
      <c r="AV314">
        <f ca="1">IFERROR(IF(0=LEN(ReferenceData!$AV$314),"",ReferenceData!$AV$314),"")</f>
        <v>0.61580373300000002</v>
      </c>
      <c r="AW314">
        <f ca="1">IFERROR(IF(0=LEN(ReferenceData!$AW$314),"",ReferenceData!$AW$314),"")</f>
        <v>0.629701077</v>
      </c>
      <c r="AX314">
        <f ca="1">IFERROR(IF(0=LEN(ReferenceData!$AX$314),"",ReferenceData!$AX$314),"")</f>
        <v>0.45744405999999999</v>
      </c>
      <c r="AY314">
        <f ca="1">IFERROR(IF(0=LEN(ReferenceData!$AY$314),"",ReferenceData!$AY$314),"")</f>
        <v>0.57328907200000001</v>
      </c>
      <c r="AZ314">
        <f ca="1">IFERROR(IF(0=LEN(ReferenceData!$AZ$314),"",ReferenceData!$AZ$314),"")</f>
        <v>0.66078404899999998</v>
      </c>
      <c r="BA314">
        <f ca="1">IFERROR(IF(0=LEN(ReferenceData!$BA$314),"",ReferenceData!$BA$314),"")</f>
        <v>0.63088527100000003</v>
      </c>
      <c r="BB314">
        <f ca="1">IFERROR(IF(0=LEN(ReferenceData!$BB$314),"",ReferenceData!$BB$314),"")</f>
        <v>0.64700211399999996</v>
      </c>
      <c r="BC314">
        <f ca="1">IFERROR(IF(0=LEN(ReferenceData!$BC$314),"",ReferenceData!$BC$314),"")</f>
        <v>0.77977160099999998</v>
      </c>
      <c r="BD314">
        <f ca="1">IFERROR(IF(0=LEN(ReferenceData!$BD$314),"",ReferenceData!$BD$314),"")</f>
        <v>0.60006903300000003</v>
      </c>
      <c r="BE314">
        <f ca="1">IFERROR(IF(0=LEN(ReferenceData!$BE$314),"",ReferenceData!$BE$314),"")</f>
        <v>0.56517483899999998</v>
      </c>
      <c r="BF314">
        <f ca="1">IFERROR(IF(0=LEN(ReferenceData!$BF$314),"",ReferenceData!$BF$314),"")</f>
        <v>0.53152666299999995</v>
      </c>
      <c r="BG314">
        <f ca="1">IFERROR(IF(0=LEN(ReferenceData!$BG$314),"",ReferenceData!$BG$314),"")</f>
        <v>0.48967569599999999</v>
      </c>
      <c r="BH314">
        <f ca="1">IFERROR(IF(0=LEN(ReferenceData!$BH$314),"",ReferenceData!$BH$314),"")</f>
        <v>0.59059894099999999</v>
      </c>
      <c r="BI314">
        <f ca="1">IFERROR(IF(0=LEN(ReferenceData!$BI$314),"",ReferenceData!$BI$314),"")</f>
        <v>0.61302284799999995</v>
      </c>
      <c r="BJ314">
        <f ca="1">IFERROR(IF(0=LEN(ReferenceData!$BJ$314),"",ReferenceData!$BJ$314),"")</f>
        <v>0.49458946500000001</v>
      </c>
      <c r="BK314">
        <f ca="1">IFERROR(IF(0=LEN(ReferenceData!$BK$314),"",ReferenceData!$BK$314),"")</f>
        <v>0.56493004300000005</v>
      </c>
      <c r="BL314">
        <f ca="1">IFERROR(IF(0=LEN(ReferenceData!$BL$314),"",ReferenceData!$BL$314),"")</f>
        <v>0.59837103400000002</v>
      </c>
      <c r="BM314">
        <f ca="1">IFERROR(IF(0=LEN(ReferenceData!$BM$314),"",ReferenceData!$BM$314),"")</f>
        <v>0.63011692399999997</v>
      </c>
    </row>
    <row r="315" spans="1:65">
      <c r="A315" t="str">
        <f>IFERROR(IF(0=LEN(ReferenceData!$A$315),"",ReferenceData!$A$315),"")</f>
        <v xml:space="preserve">    Realty Income Corp</v>
      </c>
      <c r="B315" t="str">
        <f>IFERROR(IF(0=LEN(ReferenceData!$B$315),"",ReferenceData!$B$315),"")</f>
        <v>O US Equity</v>
      </c>
      <c r="C315" t="str">
        <f>IFERROR(IF(0=LEN(ReferenceData!$C$315),"",ReferenceData!$C$315),"")</f>
        <v>RR263</v>
      </c>
      <c r="D315" t="str">
        <f>IFERROR(IF(0=LEN(ReferenceData!$D$315),"",ReferenceData!$D$315),"")</f>
        <v>DEBT_TO_MKT_CAP</v>
      </c>
      <c r="E315" t="str">
        <f>IFERROR(IF(0=LEN(ReferenceData!$E$315),"",ReferenceData!$E$315),"")</f>
        <v>动态</v>
      </c>
      <c r="F315">
        <f ca="1">IFERROR(IF(0=LEN(ReferenceData!$F$315),"",ReferenceData!$F$315),"")</f>
        <v>0.417894606</v>
      </c>
      <c r="G315">
        <f ca="1">IFERROR(IF(0=LEN(ReferenceData!$G$315),"",ReferenceData!$G$315),"")</f>
        <v>0.38036455000000002</v>
      </c>
      <c r="H315">
        <f ca="1">IFERROR(IF(0=LEN(ReferenceData!$H$315),"",ReferenceData!$H$315),"")</f>
        <v>0.382028117</v>
      </c>
      <c r="I315">
        <f ca="1">IFERROR(IF(0=LEN(ReferenceData!$I$315),"",ReferenceData!$I$315),"")</f>
        <v>0.39741718500000001</v>
      </c>
      <c r="J315">
        <f ca="1">IFERROR(IF(0=LEN(ReferenceData!$J$315),"",ReferenceData!$J$315),"")</f>
        <v>0.33605873000000003</v>
      </c>
      <c r="K315">
        <f ca="1">IFERROR(IF(0=LEN(ReferenceData!$K$315),"",ReferenceData!$K$315),"")</f>
        <v>0.39286153899999998</v>
      </c>
      <c r="L315">
        <f ca="1">IFERROR(IF(0=LEN(ReferenceData!$L$315),"",ReferenceData!$L$315),"")</f>
        <v>0.303402434</v>
      </c>
      <c r="M315">
        <f ca="1">IFERROR(IF(0=LEN(ReferenceData!$M$315),"",ReferenceData!$M$315),"")</f>
        <v>0.27687749499999997</v>
      </c>
      <c r="N315">
        <f ca="1">IFERROR(IF(0=LEN(ReferenceData!$N$315),"",ReferenceData!$N$315),"")</f>
        <v>0.32597218100000003</v>
      </c>
      <c r="O315">
        <f ca="1">IFERROR(IF(0=LEN(ReferenceData!$O$315),"",ReferenceData!$O$315),"")</f>
        <v>0.37393179999999998</v>
      </c>
      <c r="P315">
        <f ca="1">IFERROR(IF(0=LEN(ReferenceData!$P$315),"",ReferenceData!$P$315),"")</f>
        <v>0.47181860799999997</v>
      </c>
      <c r="Q315">
        <f ca="1">IFERROR(IF(0=LEN(ReferenceData!$Q$315),"",ReferenceData!$Q$315),"")</f>
        <v>0.51398158999999999</v>
      </c>
      <c r="R315">
        <f ca="1">IFERROR(IF(0=LEN(ReferenceData!$R$315),"",ReferenceData!$R$315),"")</f>
        <v>0.428960114</v>
      </c>
      <c r="S315">
        <f ca="1">IFERROR(IF(0=LEN(ReferenceData!$S$315),"",ReferenceData!$S$315),"")</f>
        <v>0.46411714100000001</v>
      </c>
      <c r="T315">
        <f ca="1">IFERROR(IF(0=LEN(ReferenceData!$T$315),"",ReferenceData!$T$315),"")</f>
        <v>0.52440305600000003</v>
      </c>
      <c r="U315">
        <f ca="1">IFERROR(IF(0=LEN(ReferenceData!$U$315),"",ReferenceData!$U$315),"")</f>
        <v>0.46695831500000001</v>
      </c>
      <c r="V315">
        <f ca="1">IFERROR(IF(0=LEN(ReferenceData!$V$315),"",ReferenceData!$V$315),"")</f>
        <v>0.53253895299999998</v>
      </c>
      <c r="W315">
        <f ca="1">IFERROR(IF(0=LEN(ReferenceData!$W$315),"",ReferenceData!$W$315),"")</f>
        <v>0.54153206600000003</v>
      </c>
      <c r="X315">
        <f ca="1">IFERROR(IF(0=LEN(ReferenceData!$X$315),"",ReferenceData!$X$315),"")</f>
        <v>0.58343726100000004</v>
      </c>
      <c r="Y315">
        <f ca="1">IFERROR(IF(0=LEN(ReferenceData!$Y$315),"",ReferenceData!$Y$315),"")</f>
        <v>0.49224760000000001</v>
      </c>
      <c r="Z315">
        <f ca="1">IFERROR(IF(0=LEN(ReferenceData!$Z$315),"",ReferenceData!$Z$315),"")</f>
        <v>0.38225108000000002</v>
      </c>
      <c r="AA315">
        <f ca="1">IFERROR(IF(0=LEN(ReferenceData!$AA$315),"",ReferenceData!$AA$315),"")</f>
        <v>0.53481121499999995</v>
      </c>
      <c r="AB315">
        <f ca="1">IFERROR(IF(0=LEN(ReferenceData!$AB$315),"",ReferenceData!$AB$315),"")</f>
        <v>0.45677447300000001</v>
      </c>
      <c r="AC315">
        <f ca="1">IFERROR(IF(0=LEN(ReferenceData!$AC$315),"",ReferenceData!$AC$315),"")</f>
        <v>0.35716045800000001</v>
      </c>
      <c r="AD315">
        <f ca="1">IFERROR(IF(0=LEN(ReferenceData!$AD$315),"",ReferenceData!$AD$315),"")</f>
        <v>0.35808705000000002</v>
      </c>
      <c r="AE315">
        <f ca="1">IFERROR(IF(0=LEN(ReferenceData!$AE$315),"",ReferenceData!$AE$315),"")</f>
        <v>0.44132195400000002</v>
      </c>
      <c r="AF315">
        <f ca="1">IFERROR(IF(0=LEN(ReferenceData!$AF$315),"",ReferenceData!$AF$315),"")</f>
        <v>0.446605639</v>
      </c>
      <c r="AG315">
        <f ca="1">IFERROR(IF(0=LEN(ReferenceData!$AG$315),"",ReferenceData!$AG$315),"")</f>
        <v>0.42604128699999999</v>
      </c>
      <c r="AH315">
        <f ca="1">IFERROR(IF(0=LEN(ReferenceData!$AH$315),"",ReferenceData!$AH$315),"")</f>
        <v>0.36419594900000002</v>
      </c>
      <c r="AI315">
        <f ca="1">IFERROR(IF(0=LEN(ReferenceData!$AI$315),"",ReferenceData!$AI$315),"")</f>
        <v>0.399529154</v>
      </c>
      <c r="AJ315">
        <f ca="1">IFERROR(IF(0=LEN(ReferenceData!$AJ$315),"",ReferenceData!$AJ$315),"")</f>
        <v>0.42864072199999997</v>
      </c>
      <c r="AK315">
        <f ca="1">IFERROR(IF(0=LEN(ReferenceData!$AK$315),"",ReferenceData!$AK$315),"")</f>
        <v>0.51341504500000001</v>
      </c>
      <c r="AL315">
        <f ca="1">IFERROR(IF(0=LEN(ReferenceData!$AL$315),"",ReferenceData!$AL$315),"")</f>
        <v>0.43379328900000003</v>
      </c>
      <c r="AM315">
        <f ca="1">IFERROR(IF(0=LEN(ReferenceData!$AM$315),"",ReferenceData!$AM$315),"")</f>
        <v>0.50132109899999999</v>
      </c>
      <c r="AN315">
        <f ca="1">IFERROR(IF(0=LEN(ReferenceData!$AN$315),"",ReferenceData!$AN$315),"")</f>
        <v>0.50470628100000003</v>
      </c>
      <c r="AO315">
        <f ca="1">IFERROR(IF(0=LEN(ReferenceData!$AO$315),"",ReferenceData!$AO$315),"")</f>
        <v>0.59037694500000004</v>
      </c>
      <c r="AP315">
        <f ca="1">IFERROR(IF(0=LEN(ReferenceData!$AP$315),"",ReferenceData!$AP$315),"")</f>
        <v>0.68762288199999999</v>
      </c>
      <c r="AQ315">
        <f ca="1">IFERROR(IF(0=LEN(ReferenceData!$AQ$315),"",ReferenceData!$AQ$315),"")</f>
        <v>0.56756829200000003</v>
      </c>
      <c r="AR315">
        <f ca="1">IFERROR(IF(0=LEN(ReferenceData!$AR$315),"",ReferenceData!$AR$315),"")</f>
        <v>0.55191372500000002</v>
      </c>
      <c r="AS315">
        <f ca="1">IFERROR(IF(0=LEN(ReferenceData!$AS$315),"",ReferenceData!$AS$315),"")</f>
        <v>0.63759899399999997</v>
      </c>
      <c r="AT315">
        <f ca="1">IFERROR(IF(0=LEN(ReferenceData!$AT$315),"",ReferenceData!$AT$315),"")</f>
        <v>0.56648436199999996</v>
      </c>
      <c r="AU315">
        <f ca="1">IFERROR(IF(0=LEN(ReferenceData!$AU$315),"",ReferenceData!$AU$315),"")</f>
        <v>0.53826586899999995</v>
      </c>
      <c r="AV315">
        <f ca="1">IFERROR(IF(0=LEN(ReferenceData!$AV$315),"",ReferenceData!$AV$315),"")</f>
        <v>0.52036091500000003</v>
      </c>
      <c r="AW315">
        <f ca="1">IFERROR(IF(0=LEN(ReferenceData!$AW$315),"",ReferenceData!$AW$315),"")</f>
        <v>0.36544899199999997</v>
      </c>
      <c r="AX315">
        <f ca="1">IFERROR(IF(0=LEN(ReferenceData!$AX$315),"",ReferenceData!$AX$315),"")</f>
        <v>0.33907155700000002</v>
      </c>
      <c r="AY315">
        <f ca="1">IFERROR(IF(0=LEN(ReferenceData!$AY$315),"",ReferenceData!$AY$315),"")</f>
        <v>0.332647568</v>
      </c>
      <c r="AZ315">
        <f ca="1">IFERROR(IF(0=LEN(ReferenceData!$AZ$315),"",ReferenceData!$AZ$315),"")</f>
        <v>0.39935523499999998</v>
      </c>
      <c r="BA315">
        <f ca="1">IFERROR(IF(0=LEN(ReferenceData!$BA$315),"",ReferenceData!$BA$315),"")</f>
        <v>0.43304234400000002</v>
      </c>
      <c r="BB315">
        <f ca="1">IFERROR(IF(0=LEN(ReferenceData!$BB$315),"",ReferenceData!$BB$315),"")</f>
        <v>0.36810542400000001</v>
      </c>
      <c r="BC315">
        <f ca="1">IFERROR(IF(0=LEN(ReferenceData!$BC$315),"",ReferenceData!$BC$315),"")</f>
        <v>0.492800126</v>
      </c>
      <c r="BD315">
        <f ca="1">IFERROR(IF(0=LEN(ReferenceData!$BD$315),"",ReferenceData!$BD$315),"")</f>
        <v>0.38494677799999999</v>
      </c>
      <c r="BE315">
        <f ca="1">IFERROR(IF(0=LEN(ReferenceData!$BE$315),"",ReferenceData!$BE$315),"")</f>
        <v>0.31855501200000003</v>
      </c>
      <c r="BF315">
        <f ca="1">IFERROR(IF(0=LEN(ReferenceData!$BF$315),"",ReferenceData!$BF$315),"")</f>
        <v>0.32137060699999997</v>
      </c>
      <c r="BG315">
        <f ca="1">IFERROR(IF(0=LEN(ReferenceData!$BG$315),"",ReferenceData!$BG$315),"")</f>
        <v>0.25110539399999998</v>
      </c>
      <c r="BH315">
        <f ca="1">IFERROR(IF(0=LEN(ReferenceData!$BH$315),"",ReferenceData!$BH$315),"")</f>
        <v>0.29328002199999997</v>
      </c>
      <c r="BI315">
        <f ca="1">IFERROR(IF(0=LEN(ReferenceData!$BI$315),"",ReferenceData!$BI$315),"")</f>
        <v>0.290368601</v>
      </c>
      <c r="BJ315">
        <f ca="1">IFERROR(IF(0=LEN(ReferenceData!$BJ$315),"",ReferenceData!$BJ$315),"")</f>
        <v>0.29017744299999998</v>
      </c>
      <c r="BK315">
        <f ca="1">IFERROR(IF(0=LEN(ReferenceData!$BK$315),"",ReferenceData!$BK$315),"")</f>
        <v>0.333954099</v>
      </c>
      <c r="BL315">
        <f ca="1">IFERROR(IF(0=LEN(ReferenceData!$BL$315),"",ReferenceData!$BL$315),"")</f>
        <v>0.30626254200000003</v>
      </c>
      <c r="BM315">
        <f ca="1">IFERROR(IF(0=LEN(ReferenceData!$BM$315),"",ReferenceData!$BM$315),"")</f>
        <v>0.286585698</v>
      </c>
    </row>
    <row r="316" spans="1:65">
      <c r="A316" t="str">
        <f>IFERROR(IF(0=LEN(ReferenceData!$A$316),"",ReferenceData!$A$316),"")</f>
        <v xml:space="preserve">    Regency Centers Corp</v>
      </c>
      <c r="B316" t="str">
        <f>IFERROR(IF(0=LEN(ReferenceData!$B$316),"",ReferenceData!$B$316),"")</f>
        <v>REG US Equity</v>
      </c>
      <c r="C316" t="str">
        <f>IFERROR(IF(0=LEN(ReferenceData!$C$316),"",ReferenceData!$C$316),"")</f>
        <v>RR263</v>
      </c>
      <c r="D316" t="str">
        <f>IFERROR(IF(0=LEN(ReferenceData!$D$316),"",ReferenceData!$D$316),"")</f>
        <v>DEBT_TO_MKT_CAP</v>
      </c>
      <c r="E316" t="str">
        <f>IFERROR(IF(0=LEN(ReferenceData!$E$316),"",ReferenceData!$E$316),"")</f>
        <v>动态</v>
      </c>
      <c r="F316">
        <f ca="1">IFERROR(IF(0=LEN(ReferenceData!$F$316),"",ReferenceData!$F$316),"")</f>
        <v>0.357449289</v>
      </c>
      <c r="G316">
        <f ca="1">IFERROR(IF(0=LEN(ReferenceData!$G$316),"",ReferenceData!$G$316),"")</f>
        <v>0.30518378600000001</v>
      </c>
      <c r="H316">
        <f ca="1">IFERROR(IF(0=LEN(ReferenceData!$H$316),"",ReferenceData!$H$316),"")</f>
        <v>0.33342270299999999</v>
      </c>
      <c r="I316">
        <f ca="1">IFERROR(IF(0=LEN(ReferenceData!$I$316),"",ReferenceData!$I$316),"")</f>
        <v>0.32895828500000002</v>
      </c>
      <c r="J316">
        <f ca="1">IFERROR(IF(0=LEN(ReferenceData!$J$316),"",ReferenceData!$J$316),"")</f>
        <v>0.30188437499999998</v>
      </c>
      <c r="K316">
        <f ca="1">IFERROR(IF(0=LEN(ReferenceData!$K$316),"",ReferenceData!$K$316),"")</f>
        <v>0.227600356</v>
      </c>
      <c r="L316">
        <f ca="1">IFERROR(IF(0=LEN(ReferenceData!$L$316),"",ReferenceData!$L$316),"")</f>
        <v>0.20069948000000001</v>
      </c>
      <c r="M316">
        <f ca="1">IFERROR(IF(0=LEN(ReferenceData!$M$316),"",ReferenceData!$M$316),"")</f>
        <v>0.23786528700000001</v>
      </c>
      <c r="N316">
        <f ca="1">IFERROR(IF(0=LEN(ReferenceData!$N$316),"",ReferenceData!$N$316),"")</f>
        <v>0.25077357</v>
      </c>
      <c r="O316">
        <f ca="1">IFERROR(IF(0=LEN(ReferenceData!$O$316),"",ReferenceData!$O$316),"")</f>
        <v>0.29013285599999999</v>
      </c>
      <c r="P316">
        <f ca="1">IFERROR(IF(0=LEN(ReferenceData!$P$316),"",ReferenceData!$P$316),"")</f>
        <v>0.34520585100000001</v>
      </c>
      <c r="Q316">
        <f ca="1">IFERROR(IF(0=LEN(ReferenceData!$Q$316),"",ReferenceData!$Q$316),"")</f>
        <v>0.3568443</v>
      </c>
      <c r="R316">
        <f ca="1">IFERROR(IF(0=LEN(ReferenceData!$R$316),"",ReferenceData!$R$316),"")</f>
        <v>0.31089530100000001</v>
      </c>
      <c r="S316">
        <f ca="1">IFERROR(IF(0=LEN(ReferenceData!$S$316),"",ReferenceData!$S$316),"")</f>
        <v>0.33928673799999998</v>
      </c>
      <c r="T316">
        <f ca="1">IFERROR(IF(0=LEN(ReferenceData!$T$316),"",ReferenceData!$T$316),"")</f>
        <v>0.40622884100000001</v>
      </c>
      <c r="U316">
        <f ca="1">IFERROR(IF(0=LEN(ReferenceData!$U$316),"",ReferenceData!$U$316),"")</f>
        <v>0.39432255900000002</v>
      </c>
      <c r="V316">
        <f ca="1">IFERROR(IF(0=LEN(ReferenceData!$V$316),"",ReferenceData!$V$316),"")</f>
        <v>0.423601057</v>
      </c>
      <c r="W316">
        <f ca="1">IFERROR(IF(0=LEN(ReferenceData!$W$316),"",ReferenceData!$W$316),"")</f>
        <v>0.43309377399999999</v>
      </c>
      <c r="X316">
        <f ca="1">IFERROR(IF(0=LEN(ReferenceData!$X$316),"",ReferenceData!$X$316),"")</f>
        <v>0.417022632</v>
      </c>
      <c r="Y316">
        <f ca="1">IFERROR(IF(0=LEN(ReferenceData!$Y$316),"",ReferenceData!$Y$316),"")</f>
        <v>0.40573735799999999</v>
      </c>
      <c r="Z316">
        <f ca="1">IFERROR(IF(0=LEN(ReferenceData!$Z$316),"",ReferenceData!$Z$316),"")</f>
        <v>0.40283010000000002</v>
      </c>
      <c r="AA316">
        <f ca="1">IFERROR(IF(0=LEN(ReferenceData!$AA$316),"",ReferenceData!$AA$316),"")</f>
        <v>0.45504906099999998</v>
      </c>
      <c r="AB316">
        <f ca="1">IFERROR(IF(0=LEN(ReferenceData!$AB$316),"",ReferenceData!$AB$316),"")</f>
        <v>0.41476781099999999</v>
      </c>
      <c r="AC316">
        <f ca="1">IFERROR(IF(0=LEN(ReferenceData!$AC$316),"",ReferenceData!$AC$316),"")</f>
        <v>0.48136000800000001</v>
      </c>
      <c r="AD316">
        <f ca="1">IFERROR(IF(0=LEN(ReferenceData!$AD$316),"",ReferenceData!$AD$316),"")</f>
        <v>0.50487137800000004</v>
      </c>
      <c r="AE316">
        <f ca="1">IFERROR(IF(0=LEN(ReferenceData!$AE$316),"",ReferenceData!$AE$316),"")</f>
        <v>0.58491827900000004</v>
      </c>
      <c r="AF316">
        <f ca="1">IFERROR(IF(0=LEN(ReferenceData!$AF$316),"",ReferenceData!$AF$316),"")</f>
        <v>0.64422655699999998</v>
      </c>
      <c r="AG316">
        <f ca="1">IFERROR(IF(0=LEN(ReferenceData!$AG$316),"",ReferenceData!$AG$316),"")</f>
        <v>0.49743868600000002</v>
      </c>
      <c r="AH316">
        <f ca="1">IFERROR(IF(0=LEN(ReferenceData!$AH$316),"",ReferenceData!$AH$316),"")</f>
        <v>0.53877733500000002</v>
      </c>
      <c r="AI316">
        <f ca="1">IFERROR(IF(0=LEN(ReferenceData!$AI$316),"",ReferenceData!$AI$316),"")</f>
        <v>0.60222916699999995</v>
      </c>
      <c r="AJ316">
        <f ca="1">IFERROR(IF(0=LEN(ReferenceData!$AJ$316),"",ReferenceData!$AJ$316),"")</f>
        <v>0.61638834799999997</v>
      </c>
      <c r="AK316">
        <f ca="1">IFERROR(IF(0=LEN(ReferenceData!$AK$316),"",ReferenceData!$AK$316),"")</f>
        <v>0.71214148799999999</v>
      </c>
      <c r="AL316">
        <f ca="1">IFERROR(IF(0=LEN(ReferenceData!$AL$316),"",ReferenceData!$AL$316),"")</f>
        <v>0.61377013499999999</v>
      </c>
      <c r="AM316">
        <f ca="1">IFERROR(IF(0=LEN(ReferenceData!$AM$316),"",ReferenceData!$AM$316),"")</f>
        <v>0.59792750800000005</v>
      </c>
      <c r="AN316">
        <f ca="1">IFERROR(IF(0=LEN(ReferenceData!$AN$316),"",ReferenceData!$AN$316),"")</f>
        <v>0.70462610699999995</v>
      </c>
      <c r="AO316">
        <f ca="1">IFERROR(IF(0=LEN(ReferenceData!$AO$316),"",ReferenceData!$AO$316),"")</f>
        <v>0.73637202199999996</v>
      </c>
      <c r="AP316">
        <f ca="1">IFERROR(IF(0=LEN(ReferenceData!$AP$316),"",ReferenceData!$AP$316),"")</f>
        <v>1.2068774920000001</v>
      </c>
      <c r="AQ316">
        <f ca="1">IFERROR(IF(0=LEN(ReferenceData!$AQ$316),"",ReferenceData!$AQ$316),"")</f>
        <v>0.648869064</v>
      </c>
      <c r="AR316">
        <f ca="1">IFERROR(IF(0=LEN(ReferenceData!$AR$316),"",ReferenceData!$AR$316),"")</f>
        <v>0.454886448</v>
      </c>
      <c r="AS316">
        <f ca="1">IFERROR(IF(0=LEN(ReferenceData!$AS$316),"",ReferenceData!$AS$316),"")</f>
        <v>0.52729805100000005</v>
      </c>
      <c r="AT316">
        <f ca="1">IFERROR(IF(0=LEN(ReferenceData!$AT$316),"",ReferenceData!$AT$316),"")</f>
        <v>0.46470631600000001</v>
      </c>
      <c r="AU316">
        <f ca="1">IFERROR(IF(0=LEN(ReferenceData!$AU$316),"",ReferenceData!$AU$316),"")</f>
        <v>0.44255671299999999</v>
      </c>
      <c r="AV316">
        <f ca="1">IFERROR(IF(0=LEN(ReferenceData!$AV$316),"",ReferenceData!$AV$316),"")</f>
        <v>0.36205349100000001</v>
      </c>
      <c r="AW316">
        <f ca="1">IFERROR(IF(0=LEN(ReferenceData!$AW$316),"",ReferenceData!$AW$316),"")</f>
        <v>0.37179305899999998</v>
      </c>
      <c r="AX316">
        <f ca="1">IFERROR(IF(0=LEN(ReferenceData!$AX$316),"",ReferenceData!$AX$316),"")</f>
        <v>0.28658626599999998</v>
      </c>
      <c r="AY316">
        <f ca="1">IFERROR(IF(0=LEN(ReferenceData!$AY$316),"",ReferenceData!$AY$316),"")</f>
        <v>0.28724515299999998</v>
      </c>
      <c r="AZ316">
        <f ca="1">IFERROR(IF(0=LEN(ReferenceData!$AZ$316),"",ReferenceData!$AZ$316),"")</f>
        <v>0.33844013299999998</v>
      </c>
      <c r="BA316">
        <f ca="1">IFERROR(IF(0=LEN(ReferenceData!$BA$316),"",ReferenceData!$BA$316),"")</f>
        <v>0.36395540199999998</v>
      </c>
      <c r="BB316">
        <f ca="1">IFERROR(IF(0=LEN(ReferenceData!$BB$316),"",ReferenceData!$BB$316),"")</f>
        <v>0.33147763899999999</v>
      </c>
      <c r="BC316">
        <f ca="1">IFERROR(IF(0=LEN(ReferenceData!$BC$316),"",ReferenceData!$BC$316),"")</f>
        <v>0.39501354599999999</v>
      </c>
      <c r="BD316">
        <f ca="1">IFERROR(IF(0=LEN(ReferenceData!$BD$316),"",ReferenceData!$BD$316),"")</f>
        <v>0.42482292500000002</v>
      </c>
      <c r="BE316">
        <f ca="1">IFERROR(IF(0=LEN(ReferenceData!$BE$316),"",ReferenceData!$BE$316),"")</f>
        <v>0.47751334899999998</v>
      </c>
      <c r="BF316">
        <f ca="1">IFERROR(IF(0=LEN(ReferenceData!$BF$316),"",ReferenceData!$BF$316),"")</f>
        <v>0.47713647399999998</v>
      </c>
      <c r="BG316">
        <f ca="1">IFERROR(IF(0=LEN(ReferenceData!$BG$316),"",ReferenceData!$BG$316),"")</f>
        <v>0.42043994200000001</v>
      </c>
      <c r="BH316">
        <f ca="1">IFERROR(IF(0=LEN(ReferenceData!$BH$316),"",ReferenceData!$BH$316),"")</f>
        <v>0.49860506100000002</v>
      </c>
      <c r="BI316">
        <f ca="1">IFERROR(IF(0=LEN(ReferenceData!$BI$316),"",ReferenceData!$BI$316),"")</f>
        <v>0.56471231</v>
      </c>
      <c r="BJ316">
        <f ca="1">IFERROR(IF(0=LEN(ReferenceData!$BJ$316),"",ReferenceData!$BJ$316),"")</f>
        <v>0.51116815599999998</v>
      </c>
      <c r="BK316">
        <f ca="1">IFERROR(IF(0=LEN(ReferenceData!$BK$316),"",ReferenceData!$BK$316),"")</f>
        <v>0.59512643099999996</v>
      </c>
      <c r="BL316">
        <f ca="1">IFERROR(IF(0=LEN(ReferenceData!$BL$316),"",ReferenceData!$BL$316),"")</f>
        <v>0.69856935899999995</v>
      </c>
      <c r="BM316">
        <f ca="1">IFERROR(IF(0=LEN(ReferenceData!$BM$316),"",ReferenceData!$BM$316),"")</f>
        <v>0.69940187200000004</v>
      </c>
    </row>
    <row r="317" spans="1:65">
      <c r="A317" t="str">
        <f>IFERROR(IF(0=LEN(ReferenceData!$A$317),"",ReferenceData!$A$317),"")</f>
        <v xml:space="preserve">    Retail Opportunity Investments</v>
      </c>
      <c r="B317" t="str">
        <f>IFERROR(IF(0=LEN(ReferenceData!$B$317),"",ReferenceData!$B$317),"")</f>
        <v>ROIC US Equity</v>
      </c>
      <c r="C317" t="str">
        <f>IFERROR(IF(0=LEN(ReferenceData!$C$317),"",ReferenceData!$C$317),"")</f>
        <v>RR263</v>
      </c>
      <c r="D317" t="str">
        <f>IFERROR(IF(0=LEN(ReferenceData!$D$317),"",ReferenceData!$D$317),"")</f>
        <v>DEBT_TO_MKT_CAP</v>
      </c>
      <c r="E317" t="str">
        <f>IFERROR(IF(0=LEN(ReferenceData!$E$317),"",ReferenceData!$E$317),"")</f>
        <v>动态</v>
      </c>
      <c r="F317">
        <f ca="1">IFERROR(IF(0=LEN(ReferenceData!$F$317),"",ReferenceData!$F$317),"")</f>
        <v>0.74652553399999999</v>
      </c>
      <c r="G317">
        <f ca="1">IFERROR(IF(0=LEN(ReferenceData!$G$317),"",ReferenceData!$G$317),"")</f>
        <v>0.67933587900000003</v>
      </c>
      <c r="H317">
        <f ca="1">IFERROR(IF(0=LEN(ReferenceData!$H$317),"",ReferenceData!$H$317),"")</f>
        <v>0.65474830799999995</v>
      </c>
      <c r="I317">
        <f ca="1">IFERROR(IF(0=LEN(ReferenceData!$I$317),"",ReferenceData!$I$317),"")</f>
        <v>0.63248838600000001</v>
      </c>
      <c r="J317">
        <f ca="1">IFERROR(IF(0=LEN(ReferenceData!$J$317),"",ReferenceData!$J$317),"")</f>
        <v>0.53980384699999995</v>
      </c>
      <c r="K317">
        <f ca="1">IFERROR(IF(0=LEN(ReferenceData!$K$317),"",ReferenceData!$K$317),"")</f>
        <v>0.500669637</v>
      </c>
      <c r="L317">
        <f ca="1">IFERROR(IF(0=LEN(ReferenceData!$L$317),"",ReferenceData!$L$317),"")</f>
        <v>0.44586232399999998</v>
      </c>
      <c r="M317">
        <f ca="1">IFERROR(IF(0=LEN(ReferenceData!$M$317),"",ReferenceData!$M$317),"")</f>
        <v>0.54639924399999995</v>
      </c>
      <c r="N317">
        <f ca="1">IFERROR(IF(0=LEN(ReferenceData!$N$317),"",ReferenceData!$N$317),"")</f>
        <v>0.51508420600000004</v>
      </c>
      <c r="O317">
        <f ca="1">IFERROR(IF(0=LEN(ReferenceData!$O$317),"",ReferenceData!$O$317),"")</f>
        <v>0.55158018499999995</v>
      </c>
      <c r="P317">
        <f ca="1">IFERROR(IF(0=LEN(ReferenceData!$P$317),"",ReferenceData!$P$317),"")</f>
        <v>0.53396014400000003</v>
      </c>
      <c r="Q317">
        <f ca="1">IFERROR(IF(0=LEN(ReferenceData!$Q$317),"",ReferenceData!$Q$317),"")</f>
        <v>0.58257838200000001</v>
      </c>
      <c r="R317">
        <f ca="1">IFERROR(IF(0=LEN(ReferenceData!$R$317),"",ReferenceData!$R$317),"")</f>
        <v>0.48175944900000001</v>
      </c>
      <c r="S317">
        <f ca="1">IFERROR(IF(0=LEN(ReferenceData!$S$317),"",ReferenceData!$S$317),"")</f>
        <v>0.47621943500000002</v>
      </c>
      <c r="T317">
        <f ca="1">IFERROR(IF(0=LEN(ReferenceData!$T$317),"",ReferenceData!$T$317),"")</f>
        <v>0.50536441700000001</v>
      </c>
      <c r="U317">
        <f ca="1">IFERROR(IF(0=LEN(ReferenceData!$U$317),"",ReferenceData!$U$317),"")</f>
        <v>0.48202457799999998</v>
      </c>
      <c r="V317">
        <f ca="1">IFERROR(IF(0=LEN(ReferenceData!$V$317),"",ReferenceData!$V$317),"")</f>
        <v>0.63168809999999997</v>
      </c>
      <c r="W317">
        <f ca="1">IFERROR(IF(0=LEN(ReferenceData!$W$317),"",ReferenceData!$W$317),"")</f>
        <v>0.58608719600000003</v>
      </c>
      <c r="X317">
        <f ca="1">IFERROR(IF(0=LEN(ReferenceData!$X$317),"",ReferenceData!$X$317),"")</f>
        <v>0.50595246199999999</v>
      </c>
      <c r="Y317">
        <f ca="1">IFERROR(IF(0=LEN(ReferenceData!$Y$317),"",ReferenceData!$Y$317),"")</f>
        <v>0.41834511800000002</v>
      </c>
      <c r="Z317">
        <f ca="1">IFERROR(IF(0=LEN(ReferenceData!$Z$317),"",ReferenceData!$Z$317),"")</f>
        <v>0.36918295000000001</v>
      </c>
      <c r="AA317">
        <f ca="1">IFERROR(IF(0=LEN(ReferenceData!$AA$317),"",ReferenceData!$AA$317),"")</f>
        <v>0.57587651799999995</v>
      </c>
      <c r="AB317">
        <f ca="1">IFERROR(IF(0=LEN(ReferenceData!$AB$317),"",ReferenceData!$AB$317),"")</f>
        <v>0.39507388300000001</v>
      </c>
      <c r="AC317">
        <f ca="1">IFERROR(IF(0=LEN(ReferenceData!$AC$317),"",ReferenceData!$AC$317),"")</f>
        <v>0.38684709499999997</v>
      </c>
      <c r="AD317">
        <f ca="1">IFERROR(IF(0=LEN(ReferenceData!$AD$317),"",ReferenceData!$AD$317),"")</f>
        <v>0.322553486</v>
      </c>
      <c r="AE317">
        <f ca="1">IFERROR(IF(0=LEN(ReferenceData!$AE$317),"",ReferenceData!$AE$317),"")</f>
        <v>0.29495288200000003</v>
      </c>
      <c r="AF317">
        <f ca="1">IFERROR(IF(0=LEN(ReferenceData!$AF$317),"",ReferenceData!$AF$317),"")</f>
        <v>0.43018524000000002</v>
      </c>
      <c r="AG317">
        <f ca="1">IFERROR(IF(0=LEN(ReferenceData!$AG$317),"",ReferenceData!$AG$317),"")</f>
        <v>0.14705131099999999</v>
      </c>
      <c r="AH317">
        <f ca="1">IFERROR(IF(0=LEN(ReferenceData!$AH$317),"",ReferenceData!$AH$317),"")</f>
        <v>0.120271299</v>
      </c>
      <c r="AI317">
        <f ca="1">IFERROR(IF(0=LEN(ReferenceData!$AI$317),"",ReferenceData!$AI$317),"")</f>
        <v>0</v>
      </c>
      <c r="AJ317">
        <f ca="1">IFERROR(IF(0=LEN(ReferenceData!$AJ$317),"",ReferenceData!$AJ$317),"")</f>
        <v>0</v>
      </c>
      <c r="AK317">
        <f ca="1">IFERROR(IF(0=LEN(ReferenceData!$AK$317),"",ReferenceData!$AK$317),"")</f>
        <v>0</v>
      </c>
      <c r="AL317">
        <f ca="1">IFERROR(IF(0=LEN(ReferenceData!$AL$317),"",ReferenceData!$AL$317),"")</f>
        <v>0</v>
      </c>
      <c r="AM317" t="str">
        <f ca="1">IFERROR(IF(0=LEN(ReferenceData!$AM$317),"",ReferenceData!$AM$317),"")</f>
        <v/>
      </c>
      <c r="AN317" t="str">
        <f ca="1">IFERROR(IF(0=LEN(ReferenceData!$AN$317),"",ReferenceData!$AN$317),"")</f>
        <v/>
      </c>
      <c r="AO317" t="str">
        <f ca="1">IFERROR(IF(0=LEN(ReferenceData!$AO$317),"",ReferenceData!$AO$317),"")</f>
        <v/>
      </c>
      <c r="AP317" t="str">
        <f ca="1">IFERROR(IF(0=LEN(ReferenceData!$AP$317),"",ReferenceData!$AP$317),"")</f>
        <v/>
      </c>
      <c r="AQ317" t="str">
        <f ca="1">IFERROR(IF(0=LEN(ReferenceData!$AQ$317),"",ReferenceData!$AQ$317),"")</f>
        <v/>
      </c>
      <c r="AR317" t="str">
        <f ca="1">IFERROR(IF(0=LEN(ReferenceData!$AR$317),"",ReferenceData!$AR$317),"")</f>
        <v/>
      </c>
      <c r="AS317" t="str">
        <f ca="1">IFERROR(IF(0=LEN(ReferenceData!$AS$317),"",ReferenceData!$AS$317),"")</f>
        <v/>
      </c>
      <c r="AT317" t="str">
        <f ca="1">IFERROR(IF(0=LEN(ReferenceData!$AT$317),"",ReferenceData!$AT$317),"")</f>
        <v/>
      </c>
      <c r="AU317" t="str">
        <f ca="1">IFERROR(IF(0=LEN(ReferenceData!$AU$317),"",ReferenceData!$AU$317),"")</f>
        <v/>
      </c>
      <c r="AV317" t="str">
        <f ca="1">IFERROR(IF(0=LEN(ReferenceData!$AV$317),"",ReferenceData!$AV$317),"")</f>
        <v/>
      </c>
      <c r="AW317" t="str">
        <f ca="1">IFERROR(IF(0=LEN(ReferenceData!$AW$317),"",ReferenceData!$AW$317),"")</f>
        <v/>
      </c>
      <c r="AX317" t="str">
        <f ca="1">IFERROR(IF(0=LEN(ReferenceData!$AX$317),"",ReferenceData!$AX$317),"")</f>
        <v/>
      </c>
      <c r="AY317" t="str">
        <f ca="1">IFERROR(IF(0=LEN(ReferenceData!$AY$317),"",ReferenceData!$AY$317),"")</f>
        <v/>
      </c>
      <c r="AZ317" t="str">
        <f ca="1">IFERROR(IF(0=LEN(ReferenceData!$AZ$317),"",ReferenceData!$AZ$317),"")</f>
        <v/>
      </c>
      <c r="BA317" t="str">
        <f ca="1">IFERROR(IF(0=LEN(ReferenceData!$BA$317),"",ReferenceData!$BA$317),"")</f>
        <v/>
      </c>
      <c r="BB317" t="str">
        <f ca="1">IFERROR(IF(0=LEN(ReferenceData!$BB$317),"",ReferenceData!$BB$317),"")</f>
        <v/>
      </c>
      <c r="BC317" t="str">
        <f ca="1">IFERROR(IF(0=LEN(ReferenceData!$BC$317),"",ReferenceData!$BC$317),"")</f>
        <v/>
      </c>
      <c r="BD317" t="str">
        <f ca="1">IFERROR(IF(0=LEN(ReferenceData!$BD$317),"",ReferenceData!$BD$317),"")</f>
        <v/>
      </c>
      <c r="BE317" t="str">
        <f ca="1">IFERROR(IF(0=LEN(ReferenceData!$BE$317),"",ReferenceData!$BE$317),"")</f>
        <v/>
      </c>
      <c r="BF317" t="str">
        <f ca="1">IFERROR(IF(0=LEN(ReferenceData!$BF$317),"",ReferenceData!$BF$317),"")</f>
        <v/>
      </c>
      <c r="BG317" t="str">
        <f ca="1">IFERROR(IF(0=LEN(ReferenceData!$BG$317),"",ReferenceData!$BG$317),"")</f>
        <v/>
      </c>
      <c r="BH317" t="str">
        <f ca="1">IFERROR(IF(0=LEN(ReferenceData!$BH$317),"",ReferenceData!$BH$317),"")</f>
        <v/>
      </c>
      <c r="BI317" t="str">
        <f ca="1">IFERROR(IF(0=LEN(ReferenceData!$BI$317),"",ReferenceData!$BI$317),"")</f>
        <v/>
      </c>
      <c r="BJ317" t="str">
        <f ca="1">IFERROR(IF(0=LEN(ReferenceData!$BJ$317),"",ReferenceData!$BJ$317),"")</f>
        <v/>
      </c>
      <c r="BK317" t="str">
        <f ca="1">IFERROR(IF(0=LEN(ReferenceData!$BK$317),"",ReferenceData!$BK$317),"")</f>
        <v/>
      </c>
      <c r="BL317" t="str">
        <f ca="1">IFERROR(IF(0=LEN(ReferenceData!$BL$317),"",ReferenceData!$BL$317),"")</f>
        <v/>
      </c>
      <c r="BM317" t="str">
        <f ca="1">IFERROR(IF(0=LEN(ReferenceData!$BM$317),"",ReferenceData!$BM$317),"")</f>
        <v/>
      </c>
    </row>
    <row r="318" spans="1:65">
      <c r="A318" t="str">
        <f>IFERROR(IF(0=LEN(ReferenceData!$A$318),"",ReferenceData!$A$318),"")</f>
        <v xml:space="preserve">    Retail Properties of America I</v>
      </c>
      <c r="B318" t="str">
        <f>IFERROR(IF(0=LEN(ReferenceData!$B$318),"",ReferenceData!$B$318),"")</f>
        <v>RPAI US Equity</v>
      </c>
      <c r="C318" t="str">
        <f>IFERROR(IF(0=LEN(ReferenceData!$C$318),"",ReferenceData!$C$318),"")</f>
        <v>RR263</v>
      </c>
      <c r="D318" t="str">
        <f>IFERROR(IF(0=LEN(ReferenceData!$D$318),"",ReferenceData!$D$318),"")</f>
        <v>DEBT_TO_MKT_CAP</v>
      </c>
      <c r="E318" t="str">
        <f>IFERROR(IF(0=LEN(ReferenceData!$E$318),"",ReferenceData!$E$318),"")</f>
        <v>动态</v>
      </c>
      <c r="F318">
        <f ca="1">IFERROR(IF(0=LEN(ReferenceData!$F$318),"",ReferenceData!$F$318),"")</f>
        <v>0.66757759999999999</v>
      </c>
      <c r="G318">
        <f ca="1">IFERROR(IF(0=LEN(ReferenceData!$G$318),"",ReferenceData!$G$318),"")</f>
        <v>0.57206994700000002</v>
      </c>
      <c r="H318">
        <f ca="1">IFERROR(IF(0=LEN(ReferenceData!$H$318),"",ReferenceData!$H$318),"")</f>
        <v>0.56644170999999999</v>
      </c>
      <c r="I318">
        <f ca="1">IFERROR(IF(0=LEN(ReferenceData!$I$318),"",ReferenceData!$I$318),"")</f>
        <v>0.64971325800000002</v>
      </c>
      <c r="J318">
        <f ca="1">IFERROR(IF(0=LEN(ReferenceData!$J$318),"",ReferenceData!$J$318),"")</f>
        <v>0.60822756099999997</v>
      </c>
      <c r="K318">
        <f ca="1">IFERROR(IF(0=LEN(ReferenceData!$K$318),"",ReferenceData!$K$318),"")</f>
        <v>0.54903860999999998</v>
      </c>
      <c r="L318">
        <f ca="1">IFERROR(IF(0=LEN(ReferenceData!$L$318),"",ReferenceData!$L$318),"")</f>
        <v>0.51224965600000005</v>
      </c>
      <c r="M318">
        <f ca="1">IFERROR(IF(0=LEN(ReferenceData!$M$318),"",ReferenceData!$M$318),"")</f>
        <v>0.56844813800000005</v>
      </c>
      <c r="N318">
        <f ca="1">IFERROR(IF(0=LEN(ReferenceData!$N$318),"",ReferenceData!$N$318),"")</f>
        <v>0.59800780099999995</v>
      </c>
      <c r="O318">
        <f ca="1">IFERROR(IF(0=LEN(ReferenceData!$O$318),"",ReferenceData!$O$318),"")</f>
        <v>0.61814148599999996</v>
      </c>
      <c r="P318">
        <f ca="1">IFERROR(IF(0=LEN(ReferenceData!$P$318),"",ReferenceData!$P$318),"")</f>
        <v>0.69094772000000004</v>
      </c>
      <c r="Q318">
        <f ca="1">IFERROR(IF(0=LEN(ReferenceData!$Q$318),"",ReferenceData!$Q$318),"")</f>
        <v>0.75594770899999997</v>
      </c>
      <c r="R318">
        <f ca="1">IFERROR(IF(0=LEN(ReferenceData!$R$318),"",ReferenceData!$R$318),"")</f>
        <v>0.67096239899999999</v>
      </c>
      <c r="S318">
        <f ca="1">IFERROR(IF(0=LEN(ReferenceData!$S$318),"",ReferenceData!$S$318),"")</f>
        <v>0.59117537399999998</v>
      </c>
      <c r="T318">
        <f ca="1">IFERROR(IF(0=LEN(ReferenceData!$T$318),"",ReferenceData!$T$318),"")</f>
        <v>0.69644782500000002</v>
      </c>
      <c r="U318">
        <f ca="1">IFERROR(IF(0=LEN(ReferenceData!$U$318),"",ReferenceData!$U$318),"")</f>
        <v>0.68484016999999997</v>
      </c>
      <c r="V318">
        <f ca="1">IFERROR(IF(0=LEN(ReferenceData!$V$318),"",ReferenceData!$V$318),"")</f>
        <v>0.71649244999999995</v>
      </c>
      <c r="W318">
        <f ca="1">IFERROR(IF(0=LEN(ReferenceData!$W$318),"",ReferenceData!$W$318),"")</f>
        <v>0.76507382999999995</v>
      </c>
      <c r="X318">
        <f ca="1">IFERROR(IF(0=LEN(ReferenceData!$X$318),"",ReferenceData!$X$318),"")</f>
        <v>0.71478754499999997</v>
      </c>
      <c r="Y318">
        <f ca="1">IFERROR(IF(0=LEN(ReferenceData!$Y$318),"",ReferenceData!$Y$318),"")</f>
        <v>0.72392476699999997</v>
      </c>
      <c r="Z318">
        <f ca="1">IFERROR(IF(0=LEN(ReferenceData!$Z$318),"",ReferenceData!$Z$318),"")</f>
        <v>0.73375576200000003</v>
      </c>
      <c r="AA318">
        <f ca="1">IFERROR(IF(0=LEN(ReferenceData!$AA$318),"",ReferenceData!$AA$318),"")</f>
        <v>0.93857101600000004</v>
      </c>
      <c r="AB318">
        <f ca="1">IFERROR(IF(0=LEN(ReferenceData!$AB$318),"",ReferenceData!$AB$318),"")</f>
        <v>1.122381131</v>
      </c>
      <c r="AC318">
        <f ca="1">IFERROR(IF(0=LEN(ReferenceData!$AC$318),"",ReferenceData!$AC$318),"")</f>
        <v>1.396756879</v>
      </c>
      <c r="AD318" t="str">
        <f ca="1">IFERROR(IF(0=LEN(ReferenceData!$AD$318),"",ReferenceData!$AD$318),"")</f>
        <v/>
      </c>
      <c r="AE318" t="str">
        <f ca="1">IFERROR(IF(0=LEN(ReferenceData!$AE$318),"",ReferenceData!$AE$318),"")</f>
        <v/>
      </c>
      <c r="AF318" t="str">
        <f ca="1">IFERROR(IF(0=LEN(ReferenceData!$AF$318),"",ReferenceData!$AF$318),"")</f>
        <v/>
      </c>
      <c r="AG318" t="str">
        <f ca="1">IFERROR(IF(0=LEN(ReferenceData!$AG$318),"",ReferenceData!$AG$318),"")</f>
        <v/>
      </c>
      <c r="AH318" t="str">
        <f ca="1">IFERROR(IF(0=LEN(ReferenceData!$AH$318),"",ReferenceData!$AH$318),"")</f>
        <v/>
      </c>
      <c r="AI318" t="str">
        <f ca="1">IFERROR(IF(0=LEN(ReferenceData!$AI$318),"",ReferenceData!$AI$318),"")</f>
        <v/>
      </c>
      <c r="AJ318" t="str">
        <f ca="1">IFERROR(IF(0=LEN(ReferenceData!$AJ$318),"",ReferenceData!$AJ$318),"")</f>
        <v/>
      </c>
      <c r="AK318" t="str">
        <f ca="1">IFERROR(IF(0=LEN(ReferenceData!$AK$318),"",ReferenceData!$AK$318),"")</f>
        <v/>
      </c>
      <c r="AL318" t="str">
        <f ca="1">IFERROR(IF(0=LEN(ReferenceData!$AL$318),"",ReferenceData!$AL$318),"")</f>
        <v/>
      </c>
      <c r="AM318" t="str">
        <f ca="1">IFERROR(IF(0=LEN(ReferenceData!$AM$318),"",ReferenceData!$AM$318),"")</f>
        <v/>
      </c>
      <c r="AN318" t="str">
        <f ca="1">IFERROR(IF(0=LEN(ReferenceData!$AN$318),"",ReferenceData!$AN$318),"")</f>
        <v/>
      </c>
      <c r="AO318" t="str">
        <f ca="1">IFERROR(IF(0=LEN(ReferenceData!$AO$318),"",ReferenceData!$AO$318),"")</f>
        <v/>
      </c>
      <c r="AP318" t="str">
        <f ca="1">IFERROR(IF(0=LEN(ReferenceData!$AP$318),"",ReferenceData!$AP$318),"")</f>
        <v/>
      </c>
      <c r="AQ318" t="str">
        <f ca="1">IFERROR(IF(0=LEN(ReferenceData!$AQ$318),"",ReferenceData!$AQ$318),"")</f>
        <v/>
      </c>
      <c r="AR318" t="str">
        <f ca="1">IFERROR(IF(0=LEN(ReferenceData!$AR$318),"",ReferenceData!$AR$318),"")</f>
        <v/>
      </c>
      <c r="AS318" t="str">
        <f ca="1">IFERROR(IF(0=LEN(ReferenceData!$AS$318),"",ReferenceData!$AS$318),"")</f>
        <v/>
      </c>
      <c r="AT318" t="str">
        <f ca="1">IFERROR(IF(0=LEN(ReferenceData!$AT$318),"",ReferenceData!$AT$318),"")</f>
        <v/>
      </c>
      <c r="AU318" t="str">
        <f ca="1">IFERROR(IF(0=LEN(ReferenceData!$AU$318),"",ReferenceData!$AU$318),"")</f>
        <v/>
      </c>
      <c r="AV318" t="str">
        <f ca="1">IFERROR(IF(0=LEN(ReferenceData!$AV$318),"",ReferenceData!$AV$318),"")</f>
        <v/>
      </c>
      <c r="AW318" t="str">
        <f ca="1">IFERROR(IF(0=LEN(ReferenceData!$AW$318),"",ReferenceData!$AW$318),"")</f>
        <v/>
      </c>
      <c r="AX318" t="str">
        <f ca="1">IFERROR(IF(0=LEN(ReferenceData!$AX$318),"",ReferenceData!$AX$318),"")</f>
        <v/>
      </c>
      <c r="AY318" t="str">
        <f ca="1">IFERROR(IF(0=LEN(ReferenceData!$AY$318),"",ReferenceData!$AY$318),"")</f>
        <v/>
      </c>
      <c r="AZ318" t="str">
        <f ca="1">IFERROR(IF(0=LEN(ReferenceData!$AZ$318),"",ReferenceData!$AZ$318),"")</f>
        <v/>
      </c>
      <c r="BA318" t="str">
        <f ca="1">IFERROR(IF(0=LEN(ReferenceData!$BA$318),"",ReferenceData!$BA$318),"")</f>
        <v/>
      </c>
      <c r="BB318" t="str">
        <f ca="1">IFERROR(IF(0=LEN(ReferenceData!$BB$318),"",ReferenceData!$BB$318),"")</f>
        <v/>
      </c>
      <c r="BC318" t="str">
        <f ca="1">IFERROR(IF(0=LEN(ReferenceData!$BC$318),"",ReferenceData!$BC$318),"")</f>
        <v/>
      </c>
      <c r="BD318" t="str">
        <f ca="1">IFERROR(IF(0=LEN(ReferenceData!$BD$318),"",ReferenceData!$BD$318),"")</f>
        <v/>
      </c>
      <c r="BE318" t="str">
        <f ca="1">IFERROR(IF(0=LEN(ReferenceData!$BE$318),"",ReferenceData!$BE$318),"")</f>
        <v/>
      </c>
      <c r="BF318" t="str">
        <f ca="1">IFERROR(IF(0=LEN(ReferenceData!$BF$318),"",ReferenceData!$BF$318),"")</f>
        <v/>
      </c>
      <c r="BG318" t="str">
        <f ca="1">IFERROR(IF(0=LEN(ReferenceData!$BG$318),"",ReferenceData!$BG$318),"")</f>
        <v/>
      </c>
      <c r="BH318" t="str">
        <f ca="1">IFERROR(IF(0=LEN(ReferenceData!$BH$318),"",ReferenceData!$BH$318),"")</f>
        <v/>
      </c>
      <c r="BI318" t="str">
        <f ca="1">IFERROR(IF(0=LEN(ReferenceData!$BI$318),"",ReferenceData!$BI$318),"")</f>
        <v/>
      </c>
      <c r="BJ318" t="str">
        <f ca="1">IFERROR(IF(0=LEN(ReferenceData!$BJ$318),"",ReferenceData!$BJ$318),"")</f>
        <v/>
      </c>
      <c r="BK318" t="str">
        <f ca="1">IFERROR(IF(0=LEN(ReferenceData!$BK$318),"",ReferenceData!$BK$318),"")</f>
        <v/>
      </c>
      <c r="BL318" t="str">
        <f ca="1">IFERROR(IF(0=LEN(ReferenceData!$BL$318),"",ReferenceData!$BL$318),"")</f>
        <v/>
      </c>
      <c r="BM318" t="str">
        <f ca="1">IFERROR(IF(0=LEN(ReferenceData!$BM$318),"",ReferenceData!$BM$318),"")</f>
        <v/>
      </c>
    </row>
    <row r="319" spans="1:65">
      <c r="A319" t="str">
        <f>IFERROR(IF(0=LEN(ReferenceData!$A$319),"",ReferenceData!$A$319),"")</f>
        <v xml:space="preserve">    Simon Property Group Inc</v>
      </c>
      <c r="B319" t="str">
        <f>IFERROR(IF(0=LEN(ReferenceData!$B$319),"",ReferenceData!$B$319),"")</f>
        <v>SPG US Equity</v>
      </c>
      <c r="C319" t="str">
        <f>IFERROR(IF(0=LEN(ReferenceData!$C$319),"",ReferenceData!$C$319),"")</f>
        <v>RR263</v>
      </c>
      <c r="D319" t="str">
        <f>IFERROR(IF(0=LEN(ReferenceData!$D$319),"",ReferenceData!$D$319),"")</f>
        <v>DEBT_TO_MKT_CAP</v>
      </c>
      <c r="E319" t="str">
        <f>IFERROR(IF(0=LEN(ReferenceData!$E$319),"",ReferenceData!$E$319),"")</f>
        <v>动态</v>
      </c>
      <c r="F319">
        <f ca="1">IFERROR(IF(0=LEN(ReferenceData!$F$319),"",ReferenceData!$F$319),"")</f>
        <v>0.488318537</v>
      </c>
      <c r="G319">
        <f ca="1">IFERROR(IF(0=LEN(ReferenceData!$G$319),"",ReferenceData!$G$319),"")</f>
        <v>0.461392996</v>
      </c>
      <c r="H319">
        <f ca="1">IFERROR(IF(0=LEN(ReferenceData!$H$319),"",ReferenceData!$H$319),"")</f>
        <v>0.46775065599999999</v>
      </c>
      <c r="I319">
        <f ca="1">IFERROR(IF(0=LEN(ReferenceData!$I$319),"",ReferenceData!$I$319),"")</f>
        <v>0.46379874199999999</v>
      </c>
      <c r="J319">
        <f ca="1">IFERROR(IF(0=LEN(ReferenceData!$J$319),"",ReferenceData!$J$319),"")</f>
        <v>0.42073324400000001</v>
      </c>
      <c r="K319">
        <f ca="1">IFERROR(IF(0=LEN(ReferenceData!$K$319),"",ReferenceData!$K$319),"")</f>
        <v>0.41155051100000001</v>
      </c>
      <c r="L319">
        <f ca="1">IFERROR(IF(0=LEN(ReferenceData!$L$319),"",ReferenceData!$L$319),"")</f>
        <v>0.35478612999999998</v>
      </c>
      <c r="M319">
        <f ca="1">IFERROR(IF(0=LEN(ReferenceData!$M$319),"",ReferenceData!$M$319),"")</f>
        <v>0.341574765</v>
      </c>
      <c r="N319">
        <f ca="1">IFERROR(IF(0=LEN(ReferenceData!$N$319),"",ReferenceData!$N$319),"")</f>
        <v>0.35139900800000001</v>
      </c>
      <c r="O319">
        <f ca="1">IFERROR(IF(0=LEN(ReferenceData!$O$319),"",ReferenceData!$O$319),"")</f>
        <v>0.37259756300000002</v>
      </c>
      <c r="P319">
        <f ca="1">IFERROR(IF(0=LEN(ReferenceData!$P$319),"",ReferenceData!$P$319),"")</f>
        <v>0.39807499299999999</v>
      </c>
      <c r="Q319">
        <f ca="1">IFERROR(IF(0=LEN(ReferenceData!$Q$319),"",ReferenceData!$Q$319),"")</f>
        <v>0.409813029</v>
      </c>
      <c r="R319">
        <f ca="1">IFERROR(IF(0=LEN(ReferenceData!$R$319),"",ReferenceData!$R$319),"")</f>
        <v>0.35270761699999997</v>
      </c>
      <c r="S319">
        <f ca="1">IFERROR(IF(0=LEN(ReferenceData!$S$319),"",ReferenceData!$S$319),"")</f>
        <v>0.36845006400000002</v>
      </c>
      <c r="T319">
        <f ca="1">IFERROR(IF(0=LEN(ReferenceData!$T$319),"",ReferenceData!$T$319),"")</f>
        <v>0.414951183</v>
      </c>
      <c r="U319">
        <f ca="1">IFERROR(IF(0=LEN(ReferenceData!$U$319),"",ReferenceData!$U$319),"")</f>
        <v>0.42397653200000002</v>
      </c>
      <c r="V319">
        <f ca="1">IFERROR(IF(0=LEN(ReferenceData!$V$319),"",ReferenceData!$V$319),"")</f>
        <v>0.449888962</v>
      </c>
      <c r="W319">
        <f ca="1">IFERROR(IF(0=LEN(ReferenceData!$W$319),"",ReferenceData!$W$319),"")</f>
        <v>0.499542031</v>
      </c>
      <c r="X319">
        <f ca="1">IFERROR(IF(0=LEN(ReferenceData!$X$319),"",ReferenceData!$X$319),"")</f>
        <v>0.494114049</v>
      </c>
      <c r="Y319">
        <f ca="1">IFERROR(IF(0=LEN(ReferenceData!$Y$319),"",ReferenceData!$Y$319),"")</f>
        <v>0.46336487599999998</v>
      </c>
      <c r="Z319">
        <f ca="1">IFERROR(IF(0=LEN(ReferenceData!$Z$319),"",ReferenceData!$Z$319),"")</f>
        <v>0.45916328699999998</v>
      </c>
      <c r="AA319">
        <f ca="1">IFERROR(IF(0=LEN(ReferenceData!$AA$319),"",ReferenceData!$AA$319),"")</f>
        <v>0.47261018100000002</v>
      </c>
      <c r="AB319">
        <f ca="1">IFERROR(IF(0=LEN(ReferenceData!$AB$319),"",ReferenceData!$AB$319),"")</f>
        <v>0.48081207799999998</v>
      </c>
      <c r="AC319">
        <f ca="1">IFERROR(IF(0=LEN(ReferenceData!$AC$319),"",ReferenceData!$AC$319),"")</f>
        <v>0.47618739199999999</v>
      </c>
      <c r="AD319">
        <f ca="1">IFERROR(IF(0=LEN(ReferenceData!$AD$319),"",ReferenceData!$AD$319),"")</f>
        <v>0.50999759</v>
      </c>
      <c r="AE319">
        <f ca="1">IFERROR(IF(0=LEN(ReferenceData!$AE$319),"",ReferenceData!$AE$319),"")</f>
        <v>0.486944971</v>
      </c>
      <c r="AF319">
        <f ca="1">IFERROR(IF(0=LEN(ReferenceData!$AF$319),"",ReferenceData!$AF$319),"")</f>
        <v>0.55445185500000005</v>
      </c>
      <c r="AG319">
        <f ca="1">IFERROR(IF(0=LEN(ReferenceData!$AG$319),"",ReferenceData!$AG$319),"")</f>
        <v>0.49907811699999999</v>
      </c>
      <c r="AH319">
        <f ca="1">IFERROR(IF(0=LEN(ReferenceData!$AH$319),"",ReferenceData!$AH$319),"")</f>
        <v>0.53960210900000005</v>
      </c>
      <c r="AI319">
        <f ca="1">IFERROR(IF(0=LEN(ReferenceData!$AI$319),"",ReferenceData!$AI$319),"")</f>
        <v>0.59963194399999997</v>
      </c>
      <c r="AJ319">
        <f ca="1">IFERROR(IF(0=LEN(ReferenceData!$AJ$319),"",ReferenceData!$AJ$319),"")</f>
        <v>0.64388656899999996</v>
      </c>
      <c r="AK319">
        <f ca="1">IFERROR(IF(0=LEN(ReferenceData!$AK$319),"",ReferenceData!$AK$319),"")</f>
        <v>0.72219705300000003</v>
      </c>
      <c r="AL319">
        <f ca="1">IFERROR(IF(0=LEN(ReferenceData!$AL$319),"",ReferenceData!$AL$319),"")</f>
        <v>0.73503479599999999</v>
      </c>
      <c r="AM319">
        <f ca="1">IFERROR(IF(0=LEN(ReferenceData!$AM$319),"",ReferenceData!$AM$319),"")</f>
        <v>0.81882420099999997</v>
      </c>
      <c r="AN319">
        <f ca="1">IFERROR(IF(0=LEN(ReferenceData!$AN$319),"",ReferenceData!$AN$319),"")</f>
        <v>0.94945267499999997</v>
      </c>
      <c r="AO319">
        <f ca="1">IFERROR(IF(0=LEN(ReferenceData!$AO$319),"",ReferenceData!$AO$319),"")</f>
        <v>1.24139288</v>
      </c>
      <c r="AP319">
        <f ca="1">IFERROR(IF(0=LEN(ReferenceData!$AP$319),"",ReferenceData!$AP$319),"")</f>
        <v>2.0191333829999998</v>
      </c>
      <c r="AQ319">
        <f ca="1">IFERROR(IF(0=LEN(ReferenceData!$AQ$319),"",ReferenceData!$AQ$319),"")</f>
        <v>1.503884537</v>
      </c>
      <c r="AR319">
        <f ca="1">IFERROR(IF(0=LEN(ReferenceData!$AR$319),"",ReferenceData!$AR$319),"")</f>
        <v>0.81905419199999996</v>
      </c>
      <c r="AS319">
        <f ca="1">IFERROR(IF(0=LEN(ReferenceData!$AS$319),"",ReferenceData!$AS$319),"")</f>
        <v>0.87296890100000002</v>
      </c>
      <c r="AT319">
        <f ca="1">IFERROR(IF(0=LEN(ReferenceData!$AT$319),"",ReferenceData!$AT$319),"")</f>
        <v>0.84185354400000001</v>
      </c>
      <c r="AU319">
        <f ca="1">IFERROR(IF(0=LEN(ReferenceData!$AU$319),"",ReferenceData!$AU$319),"")</f>
        <v>0.88887230299999997</v>
      </c>
      <c r="AV319">
        <f ca="1">IFERROR(IF(0=LEN(ReferenceData!$AV$319),"",ReferenceData!$AV$319),"")</f>
        <v>0.77290087100000004</v>
      </c>
      <c r="AW319">
        <f ca="1">IFERROR(IF(0=LEN(ReferenceData!$AW$319),"",ReferenceData!$AW$319),"")</f>
        <v>0.79093992000000002</v>
      </c>
      <c r="AX319">
        <f ca="1">IFERROR(IF(0=LEN(ReferenceData!$AX$319),"",ReferenceData!$AX$319),"")</f>
        <v>0.69579207099999996</v>
      </c>
      <c r="AY319">
        <f ca="1">IFERROR(IF(0=LEN(ReferenceData!$AY$319),"",ReferenceData!$AY$319),"")</f>
        <v>0.68681015599999995</v>
      </c>
      <c r="AZ319">
        <f ca="1">IFERROR(IF(0=LEN(ReferenceData!$AZ$319),"",ReferenceData!$AZ$319),"")</f>
        <v>0.71178366500000001</v>
      </c>
      <c r="BA319">
        <f ca="1">IFERROR(IF(0=LEN(ReferenceData!$BA$319),"",ReferenceData!$BA$319),"")</f>
        <v>0.77155156499999999</v>
      </c>
      <c r="BB319">
        <f ca="1">IFERROR(IF(0=LEN(ReferenceData!$BB$319),"",ReferenceData!$BB$319),"")</f>
        <v>0.76247604400000002</v>
      </c>
      <c r="BC319">
        <f ca="1">IFERROR(IF(0=LEN(ReferenceData!$BC$319),"",ReferenceData!$BC$319),"")</f>
        <v>0.81944500799999997</v>
      </c>
      <c r="BD319">
        <f ca="1">IFERROR(IF(0=LEN(ReferenceData!$BD$319),"",ReferenceData!$BD$319),"")</f>
        <v>0.86085976500000005</v>
      </c>
      <c r="BE319">
        <f ca="1">IFERROR(IF(0=LEN(ReferenceData!$BE$319),"",ReferenceData!$BE$319),"")</f>
        <v>0.89475967099999998</v>
      </c>
      <c r="BF319">
        <f ca="1">IFERROR(IF(0=LEN(ReferenceData!$BF$319),"",ReferenceData!$BF$319),"")</f>
        <v>1.074683839</v>
      </c>
      <c r="BG319">
        <f ca="1">IFERROR(IF(0=LEN(ReferenceData!$BG$319),"",ReferenceData!$BG$319),"")</f>
        <v>1.0198219040000001</v>
      </c>
      <c r="BH319">
        <f ca="1">IFERROR(IF(0=LEN(ReferenceData!$BH$319),"",ReferenceData!$BH$319),"")</f>
        <v>0.987911384</v>
      </c>
      <c r="BI319">
        <f ca="1">IFERROR(IF(0=LEN(ReferenceData!$BI$319),"",ReferenceData!$BI$319),"")</f>
        <v>1.0328156500000001</v>
      </c>
      <c r="BJ319">
        <f ca="1">IFERROR(IF(0=LEN(ReferenceData!$BJ$319),"",ReferenceData!$BJ$319),"")</f>
        <v>0.89442709399999998</v>
      </c>
      <c r="BK319">
        <f ca="1">IFERROR(IF(0=LEN(ReferenceData!$BK$319),"",ReferenceData!$BK$319),"")</f>
        <v>1.158064727</v>
      </c>
      <c r="BL319">
        <f ca="1">IFERROR(IF(0=LEN(ReferenceData!$BL$319),"",ReferenceData!$BL$319),"")</f>
        <v>1.193106005</v>
      </c>
      <c r="BM319">
        <f ca="1">IFERROR(IF(0=LEN(ReferenceData!$BM$319),"",ReferenceData!$BM$319),"")</f>
        <v>1.315170843</v>
      </c>
    </row>
    <row r="320" spans="1:65">
      <c r="A320" t="str">
        <f>IFERROR(IF(0=LEN(ReferenceData!$A$320),"",ReferenceData!$A$320),"")</f>
        <v xml:space="preserve">    Tanger Factory Outlet Centers</v>
      </c>
      <c r="B320" t="str">
        <f>IFERROR(IF(0=LEN(ReferenceData!$B$320),"",ReferenceData!$B$320),"")</f>
        <v>SKT US Equity</v>
      </c>
      <c r="C320" t="str">
        <f>IFERROR(IF(0=LEN(ReferenceData!$C$320),"",ReferenceData!$C$320),"")</f>
        <v>RR263</v>
      </c>
      <c r="D320" t="str">
        <f>IFERROR(IF(0=LEN(ReferenceData!$D$320),"",ReferenceData!$D$320),"")</f>
        <v>DEBT_TO_MKT_CAP</v>
      </c>
      <c r="E320" t="str">
        <f>IFERROR(IF(0=LEN(ReferenceData!$E$320),"",ReferenceData!$E$320),"")</f>
        <v>动态</v>
      </c>
      <c r="F320">
        <f ca="1">IFERROR(IF(0=LEN(ReferenceData!$F$320),"",ReferenceData!$F$320),"")</f>
        <v>0.85029714599999995</v>
      </c>
      <c r="G320">
        <f ca="1">IFERROR(IF(0=LEN(ReferenceData!$G$320),"",ReferenceData!$G$320),"")</f>
        <v>0.703787563</v>
      </c>
      <c r="H320">
        <f ca="1">IFERROR(IF(0=LEN(ReferenceData!$H$320),"",ReferenceData!$H$320),"")</f>
        <v>0.74562018299999999</v>
      </c>
      <c r="I320">
        <f ca="1">IFERROR(IF(0=LEN(ReferenceData!$I$320),"",ReferenceData!$I$320),"")</f>
        <v>0.68996422700000004</v>
      </c>
      <c r="J320">
        <f ca="1">IFERROR(IF(0=LEN(ReferenceData!$J$320),"",ReferenceData!$J$320),"")</f>
        <v>0.53875614100000002</v>
      </c>
      <c r="K320">
        <f ca="1">IFERROR(IF(0=LEN(ReferenceData!$K$320),"",ReferenceData!$K$320),"")</f>
        <v>0.49103583200000001</v>
      </c>
      <c r="L320">
        <f ca="1">IFERROR(IF(0=LEN(ReferenceData!$L$320),"",ReferenceData!$L$320),"")</f>
        <v>0.46085775899999998</v>
      </c>
      <c r="M320">
        <f ca="1">IFERROR(IF(0=LEN(ReferenceData!$M$320),"",ReferenceData!$M$320),"")</f>
        <v>0.41498869900000002</v>
      </c>
      <c r="N320">
        <f ca="1">IFERROR(IF(0=LEN(ReferenceData!$N$320),"",ReferenceData!$N$320),"")</f>
        <v>0.42293619999999998</v>
      </c>
      <c r="O320">
        <f ca="1">IFERROR(IF(0=LEN(ReferenceData!$O$320),"",ReferenceData!$O$320),"")</f>
        <v>0.49515641399999999</v>
      </c>
      <c r="P320">
        <f ca="1">IFERROR(IF(0=LEN(ReferenceData!$P$320),"",ReferenceData!$P$320),"")</f>
        <v>0.487109715</v>
      </c>
      <c r="Q320">
        <f ca="1">IFERROR(IF(0=LEN(ReferenceData!$Q$320),"",ReferenceData!$Q$320),"")</f>
        <v>0.49851345600000002</v>
      </c>
      <c r="R320">
        <f ca="1">IFERROR(IF(0=LEN(ReferenceData!$R$320),"",ReferenceData!$R$320),"")</f>
        <v>0.43517814799999999</v>
      </c>
      <c r="S320">
        <f ca="1">IFERROR(IF(0=LEN(ReferenceData!$S$320),"",ReferenceData!$S$320),"")</f>
        <v>0.40717507600000002</v>
      </c>
      <c r="T320">
        <f ca="1">IFERROR(IF(0=LEN(ReferenceData!$T$320),"",ReferenceData!$T$320),"")</f>
        <v>0.46926614300000002</v>
      </c>
      <c r="U320">
        <f ca="1">IFERROR(IF(0=LEN(ReferenceData!$U$320),"",ReferenceData!$U$320),"")</f>
        <v>0.42265854400000002</v>
      </c>
      <c r="V320">
        <f ca="1">IFERROR(IF(0=LEN(ReferenceData!$V$320),"",ReferenceData!$V$320),"")</f>
        <v>0.410533127</v>
      </c>
      <c r="W320">
        <f ca="1">IFERROR(IF(0=LEN(ReferenceData!$W$320),"",ReferenceData!$W$320),"")</f>
        <v>0.44222540799999999</v>
      </c>
      <c r="X320">
        <f ca="1">IFERROR(IF(0=LEN(ReferenceData!$X$320),"",ReferenceData!$X$320),"")</f>
        <v>0.431761169</v>
      </c>
      <c r="Y320">
        <f ca="1">IFERROR(IF(0=LEN(ReferenceData!$Y$320),"",ReferenceData!$Y$320),"")</f>
        <v>0.35789404400000002</v>
      </c>
      <c r="Z320">
        <f ca="1">IFERROR(IF(0=LEN(ReferenceData!$Z$320),"",ReferenceData!$Z$320),"")</f>
        <v>0.32193609000000001</v>
      </c>
      <c r="AA320">
        <f ca="1">IFERROR(IF(0=LEN(ReferenceData!$AA$320),"",ReferenceData!$AA$320),"")</f>
        <v>0.342698593</v>
      </c>
      <c r="AB320">
        <f ca="1">IFERROR(IF(0=LEN(ReferenceData!$AB$320),"",ReferenceData!$AB$320),"")</f>
        <v>0.350330745</v>
      </c>
      <c r="AC320">
        <f ca="1">IFERROR(IF(0=LEN(ReferenceData!$AC$320),"",ReferenceData!$AC$320),"")</f>
        <v>0.36137438500000002</v>
      </c>
      <c r="AD320">
        <f ca="1">IFERROR(IF(0=LEN(ReferenceData!$AD$320),"",ReferenceData!$AD$320),"")</f>
        <v>0.39068663300000001</v>
      </c>
      <c r="AE320">
        <f ca="1">IFERROR(IF(0=LEN(ReferenceData!$AE$320),"",ReferenceData!$AE$320),"")</f>
        <v>0.408833791</v>
      </c>
      <c r="AF320">
        <f ca="1">IFERROR(IF(0=LEN(ReferenceData!$AF$320),"",ReferenceData!$AF$320),"")</f>
        <v>0.448191691</v>
      </c>
      <c r="AG320">
        <f ca="1">IFERROR(IF(0=LEN(ReferenceData!$AG$320),"",ReferenceData!$AG$320),"")</f>
        <v>0.40018047499999998</v>
      </c>
      <c r="AH320">
        <f ca="1">IFERROR(IF(0=LEN(ReferenceData!$AH$320),"",ReferenceData!$AH$320),"")</f>
        <v>0.35241345800000001</v>
      </c>
      <c r="AI320">
        <f ca="1">IFERROR(IF(0=LEN(ReferenceData!$AI$320),"",ReferenceData!$AI$320),"")</f>
        <v>0.360164068</v>
      </c>
      <c r="AJ320">
        <f ca="1">IFERROR(IF(0=LEN(ReferenceData!$AJ$320),"",ReferenceData!$AJ$320),"")</f>
        <v>0.33561728099999999</v>
      </c>
      <c r="AK320">
        <f ca="1">IFERROR(IF(0=LEN(ReferenceData!$AK$320),"",ReferenceData!$AK$320),"")</f>
        <v>0.37980367100000001</v>
      </c>
      <c r="AL320">
        <f ca="1">IFERROR(IF(0=LEN(ReferenceData!$AL$320),"",ReferenceData!$AL$320),"")</f>
        <v>0.34790613500000001</v>
      </c>
      <c r="AM320">
        <f ca="1">IFERROR(IF(0=LEN(ReferenceData!$AM$320),"",ReferenceData!$AM$320),"")</f>
        <v>0.37225676800000002</v>
      </c>
      <c r="AN320">
        <f ca="1">IFERROR(IF(0=LEN(ReferenceData!$AN$320),"",ReferenceData!$AN$320),"")</f>
        <v>0.39144100300000001</v>
      </c>
      <c r="AO320">
        <f ca="1">IFERROR(IF(0=LEN(ReferenceData!$AO$320),"",ReferenceData!$AO$320),"")</f>
        <v>0.69659057499999999</v>
      </c>
      <c r="AP320">
        <f ca="1">IFERROR(IF(0=LEN(ReferenceData!$AP$320),"",ReferenceData!$AP$320),"")</f>
        <v>0.87249132699999998</v>
      </c>
      <c r="AQ320">
        <f ca="1">IFERROR(IF(0=LEN(ReferenceData!$AQ$320),"",ReferenceData!$AQ$320),"")</f>
        <v>0.67060201500000005</v>
      </c>
      <c r="AR320">
        <f ca="1">IFERROR(IF(0=LEN(ReferenceData!$AR$320),"",ReferenceData!$AR$320),"")</f>
        <v>0.56567913400000003</v>
      </c>
      <c r="AS320">
        <f ca="1">IFERROR(IF(0=LEN(ReferenceData!$AS$320),"",ReferenceData!$AS$320),"")</f>
        <v>0.672503988</v>
      </c>
      <c r="AT320">
        <f ca="1">IFERROR(IF(0=LEN(ReferenceData!$AT$320),"",ReferenceData!$AT$320),"")</f>
        <v>0.60365754599999999</v>
      </c>
      <c r="AU320">
        <f ca="1">IFERROR(IF(0=LEN(ReferenceData!$AU$320),"",ReferenceData!$AU$320),"")</f>
        <v>0.61826493599999999</v>
      </c>
      <c r="AV320">
        <f ca="1">IFERROR(IF(0=LEN(ReferenceData!$AV$320),"",ReferenceData!$AV$320),"")</f>
        <v>0.570788607</v>
      </c>
      <c r="AW320">
        <f ca="1">IFERROR(IF(0=LEN(ReferenceData!$AW$320),"",ReferenceData!$AW$320),"")</f>
        <v>0.58334871799999999</v>
      </c>
      <c r="AX320">
        <f ca="1">IFERROR(IF(0=LEN(ReferenceData!$AX$320),"",ReferenceData!$AX$320),"")</f>
        <v>0.54001485599999999</v>
      </c>
      <c r="AY320">
        <f ca="1">IFERROR(IF(0=LEN(ReferenceData!$AY$320),"",ReferenceData!$AY$320),"")</f>
        <v>0.57917567700000006</v>
      </c>
      <c r="AZ320">
        <f ca="1">IFERROR(IF(0=LEN(ReferenceData!$AZ$320),"",ReferenceData!$AZ$320),"")</f>
        <v>0.61587277699999998</v>
      </c>
      <c r="BA320">
        <f ca="1">IFERROR(IF(0=LEN(ReferenceData!$BA$320),"",ReferenceData!$BA$320),"")</f>
        <v>0.649165412</v>
      </c>
      <c r="BB320">
        <f ca="1">IFERROR(IF(0=LEN(ReferenceData!$BB$320),"",ReferenceData!$BB$320),"")</f>
        <v>0.61358182400000005</v>
      </c>
      <c r="BC320">
        <f ca="1">IFERROR(IF(0=LEN(ReferenceData!$BC$320),"",ReferenceData!$BC$320),"")</f>
        <v>0.76674812199999998</v>
      </c>
      <c r="BD320">
        <f ca="1">IFERROR(IF(0=LEN(ReferenceData!$BD$320),"",ReferenceData!$BD$320),"")</f>
        <v>0.50908478800000001</v>
      </c>
      <c r="BE320">
        <f ca="1">IFERROR(IF(0=LEN(ReferenceData!$BE$320),"",ReferenceData!$BE$320),"")</f>
        <v>0.65767002399999996</v>
      </c>
      <c r="BF320">
        <f ca="1">IFERROR(IF(0=LEN(ReferenceData!$BF$320),"",ReferenceData!$BF$320),"")</f>
        <v>0.81646584099999997</v>
      </c>
      <c r="BG320">
        <f ca="1">IFERROR(IF(0=LEN(ReferenceData!$BG$320),"",ReferenceData!$BG$320),"")</f>
        <v>0.68863310700000002</v>
      </c>
      <c r="BH320">
        <f ca="1">IFERROR(IF(0=LEN(ReferenceData!$BH$320),"",ReferenceData!$BH$320),"")</f>
        <v>0.83457527600000003</v>
      </c>
      <c r="BI320">
        <f ca="1">IFERROR(IF(0=LEN(ReferenceData!$BI$320),"",ReferenceData!$BI$320),"")</f>
        <v>0.966084524</v>
      </c>
      <c r="BJ320">
        <f ca="1">IFERROR(IF(0=LEN(ReferenceData!$BJ$320),"",ReferenceData!$BJ$320),"")</f>
        <v>0.86219667899999997</v>
      </c>
      <c r="BK320">
        <f ca="1">IFERROR(IF(0=LEN(ReferenceData!$BK$320),"",ReferenceData!$BK$320),"")</f>
        <v>1.027399916</v>
      </c>
      <c r="BL320">
        <f ca="1">IFERROR(IF(0=LEN(ReferenceData!$BL$320),"",ReferenceData!$BL$320),"")</f>
        <v>0.86138066499999999</v>
      </c>
      <c r="BM320">
        <f ca="1">IFERROR(IF(0=LEN(ReferenceData!$BM$320),"",ReferenceData!$BM$320),"")</f>
        <v>1.073608361</v>
      </c>
    </row>
    <row r="321" spans="1:65">
      <c r="A321" t="str">
        <f>IFERROR(IF(0=LEN(ReferenceData!$A$321),"",ReferenceData!$A$321),"")</f>
        <v xml:space="preserve">    VEREIT Inc</v>
      </c>
      <c r="B321" t="str">
        <f>IFERROR(IF(0=LEN(ReferenceData!$B$321),"",ReferenceData!$B$321),"")</f>
        <v>VER US Equity</v>
      </c>
      <c r="C321" t="str">
        <f>IFERROR(IF(0=LEN(ReferenceData!$C$321),"",ReferenceData!$C$321),"")</f>
        <v>RR263</v>
      </c>
      <c r="D321" t="str">
        <f>IFERROR(IF(0=LEN(ReferenceData!$D$321),"",ReferenceData!$D$321),"")</f>
        <v>DEBT_TO_MKT_CAP</v>
      </c>
      <c r="E321" t="str">
        <f>IFERROR(IF(0=LEN(ReferenceData!$E$321),"",ReferenceData!$E$321),"")</f>
        <v>动态</v>
      </c>
      <c r="F321">
        <f ca="1">IFERROR(IF(0=LEN(ReferenceData!$F$321),"",ReferenceData!$F$321),"")</f>
        <v>0.88806748199999996</v>
      </c>
      <c r="G321">
        <f ca="1">IFERROR(IF(0=LEN(ReferenceData!$G$321),"",ReferenceData!$G$321),"")</f>
        <v>0.800270759</v>
      </c>
      <c r="H321">
        <f ca="1">IFERROR(IF(0=LEN(ReferenceData!$H$321),"",ReferenceData!$H$321),"")</f>
        <v>0.73265253100000005</v>
      </c>
      <c r="I321">
        <f ca="1">IFERROR(IF(0=LEN(ReferenceData!$I$321),"",ReferenceData!$I$321),"")</f>
        <v>0.76736684099999997</v>
      </c>
      <c r="J321">
        <f ca="1">IFERROR(IF(0=LEN(ReferenceData!$J$321),"",ReferenceData!$J$321),"")</f>
        <v>0.76012531100000003</v>
      </c>
      <c r="K321">
        <f ca="1">IFERROR(IF(0=LEN(ReferenceData!$K$321),"",ReferenceData!$K$321),"")</f>
        <v>0.772582349</v>
      </c>
      <c r="L321">
        <f ca="1">IFERROR(IF(0=LEN(ReferenceData!$L$321),"",ReferenceData!$L$321),"")</f>
        <v>0.64866750799999995</v>
      </c>
      <c r="M321">
        <f ca="1">IFERROR(IF(0=LEN(ReferenceData!$M$321),"",ReferenceData!$M$321),"")</f>
        <v>0.92361890999999996</v>
      </c>
      <c r="N321">
        <f ca="1">IFERROR(IF(0=LEN(ReferenceData!$N$321),"",ReferenceData!$N$321),"")</f>
        <v>0.97222487000000002</v>
      </c>
      <c r="O321">
        <f ca="1">IFERROR(IF(0=LEN(ReferenceData!$O$321),"",ReferenceData!$O$321),"")</f>
        <v>1.1245256290000001</v>
      </c>
      <c r="P321">
        <f ca="1">IFERROR(IF(0=LEN(ReferenceData!$P$321),"",ReferenceData!$P$321),"")</f>
        <v>1.2664805770000001</v>
      </c>
      <c r="Q321">
        <f ca="1">IFERROR(IF(0=LEN(ReferenceData!$Q$321),"",ReferenceData!$Q$321),"")</f>
        <v>1.2835499130000001</v>
      </c>
      <c r="R321">
        <f ca="1">IFERROR(IF(0=LEN(ReferenceData!$R$321),"",ReferenceData!$R$321),"")</f>
        <v>1.164399113</v>
      </c>
      <c r="S321">
        <f ca="1">IFERROR(IF(0=LEN(ReferenceData!$S$321),"",ReferenceData!$S$321),"")</f>
        <v>1.245613734</v>
      </c>
      <c r="T321">
        <f ca="1">IFERROR(IF(0=LEN(ReferenceData!$T$321),"",ReferenceData!$T$321),"")</f>
        <v>1.041126191</v>
      </c>
      <c r="U321">
        <f ca="1">IFERROR(IF(0=LEN(ReferenceData!$U$321),"",ReferenceData!$U$321),"")</f>
        <v>0.86055568900000001</v>
      </c>
      <c r="V321">
        <f ca="1">IFERROR(IF(0=LEN(ReferenceData!$V$321),"",ReferenceData!$V$321),"")</f>
        <v>0.96069049100000004</v>
      </c>
      <c r="W321">
        <f ca="1">IFERROR(IF(0=LEN(ReferenceData!$W$321),"",ReferenceData!$W$321),"")</f>
        <v>1.6742384969999999</v>
      </c>
      <c r="X321">
        <f ca="1">IFERROR(IF(0=LEN(ReferenceData!$X$321),"",ReferenceData!$X$321),"")</f>
        <v>0.51906865499999999</v>
      </c>
      <c r="Y321">
        <f ca="1">IFERROR(IF(0=LEN(ReferenceData!$Y$321),"",ReferenceData!$Y$321),"")</f>
        <v>0.36871185499999998</v>
      </c>
      <c r="Z321">
        <f ca="1">IFERROR(IF(0=LEN(ReferenceData!$Z$321),"",ReferenceData!$Z$321),"")</f>
        <v>0.400594012</v>
      </c>
      <c r="AA321">
        <f ca="1">IFERROR(IF(0=LEN(ReferenceData!$AA$321),"",ReferenceData!$AA$321),"")</f>
        <v>2.6367118550000002</v>
      </c>
      <c r="AB321">
        <f ca="1">IFERROR(IF(0=LEN(ReferenceData!$AB$321),"",ReferenceData!$AB$321),"")</f>
        <v>0.90902576499999999</v>
      </c>
      <c r="AC321">
        <f ca="1">IFERROR(IF(0=LEN(ReferenceData!$AC$321),"",ReferenceData!$AC$321),"")</f>
        <v>0.95625492499999998</v>
      </c>
      <c r="AD321">
        <f ca="1">IFERROR(IF(0=LEN(ReferenceData!$AD$321),"",ReferenceData!$AD$321),"")</f>
        <v>0.96160797399999998</v>
      </c>
      <c r="AE321">
        <f ca="1">IFERROR(IF(0=LEN(ReferenceData!$AE$321),"",ReferenceData!$AE$321),"")</f>
        <v>0.95409393399999998</v>
      </c>
      <c r="AF321">
        <f ca="1">IFERROR(IF(0=LEN(ReferenceData!$AF$321),"",ReferenceData!$AF$321),"")</f>
        <v>1.0052763689999999</v>
      </c>
      <c r="AG321" t="str">
        <f ca="1">IFERROR(IF(0=LEN(ReferenceData!$AG$321),"",ReferenceData!$AG$321),"")</f>
        <v/>
      </c>
      <c r="AH321" t="str">
        <f ca="1">IFERROR(IF(0=LEN(ReferenceData!$AH$321),"",ReferenceData!$AH$321),"")</f>
        <v/>
      </c>
      <c r="AI321" t="str">
        <f ca="1">IFERROR(IF(0=LEN(ReferenceData!$AI$321),"",ReferenceData!$AI$321),"")</f>
        <v/>
      </c>
      <c r="AJ321" t="str">
        <f ca="1">IFERROR(IF(0=LEN(ReferenceData!$AJ$321),"",ReferenceData!$AJ$321),"")</f>
        <v/>
      </c>
      <c r="AK321" t="str">
        <f ca="1">IFERROR(IF(0=LEN(ReferenceData!$AK$321),"",ReferenceData!$AK$321),"")</f>
        <v/>
      </c>
      <c r="AL321" t="str">
        <f ca="1">IFERROR(IF(0=LEN(ReferenceData!$AL$321),"",ReferenceData!$AL$321),"")</f>
        <v/>
      </c>
      <c r="AM321" t="str">
        <f ca="1">IFERROR(IF(0=LEN(ReferenceData!$AM$321),"",ReferenceData!$AM$321),"")</f>
        <v/>
      </c>
      <c r="AN321" t="str">
        <f ca="1">IFERROR(IF(0=LEN(ReferenceData!$AN$321),"",ReferenceData!$AN$321),"")</f>
        <v/>
      </c>
      <c r="AO321" t="str">
        <f ca="1">IFERROR(IF(0=LEN(ReferenceData!$AO$321),"",ReferenceData!$AO$321),"")</f>
        <v/>
      </c>
      <c r="AP321" t="str">
        <f ca="1">IFERROR(IF(0=LEN(ReferenceData!$AP$321),"",ReferenceData!$AP$321),"")</f>
        <v/>
      </c>
      <c r="AQ321" t="str">
        <f ca="1">IFERROR(IF(0=LEN(ReferenceData!$AQ$321),"",ReferenceData!$AQ$321),"")</f>
        <v/>
      </c>
      <c r="AR321" t="str">
        <f ca="1">IFERROR(IF(0=LEN(ReferenceData!$AR$321),"",ReferenceData!$AR$321),"")</f>
        <v/>
      </c>
      <c r="AS321" t="str">
        <f ca="1">IFERROR(IF(0=LEN(ReferenceData!$AS$321),"",ReferenceData!$AS$321),"")</f>
        <v/>
      </c>
      <c r="AT321" t="str">
        <f ca="1">IFERROR(IF(0=LEN(ReferenceData!$AT$321),"",ReferenceData!$AT$321),"")</f>
        <v/>
      </c>
      <c r="AU321" t="str">
        <f ca="1">IFERROR(IF(0=LEN(ReferenceData!$AU$321),"",ReferenceData!$AU$321),"")</f>
        <v/>
      </c>
      <c r="AV321" t="str">
        <f ca="1">IFERROR(IF(0=LEN(ReferenceData!$AV$321),"",ReferenceData!$AV$321),"")</f>
        <v/>
      </c>
      <c r="AW321" t="str">
        <f ca="1">IFERROR(IF(0=LEN(ReferenceData!$AW$321),"",ReferenceData!$AW$321),"")</f>
        <v/>
      </c>
      <c r="AX321" t="str">
        <f ca="1">IFERROR(IF(0=LEN(ReferenceData!$AX$321),"",ReferenceData!$AX$321),"")</f>
        <v/>
      </c>
      <c r="AY321" t="str">
        <f ca="1">IFERROR(IF(0=LEN(ReferenceData!$AY$321),"",ReferenceData!$AY$321),"")</f>
        <v/>
      </c>
      <c r="AZ321" t="str">
        <f ca="1">IFERROR(IF(0=LEN(ReferenceData!$AZ$321),"",ReferenceData!$AZ$321),"")</f>
        <v/>
      </c>
      <c r="BA321" t="str">
        <f ca="1">IFERROR(IF(0=LEN(ReferenceData!$BA$321),"",ReferenceData!$BA$321),"")</f>
        <v/>
      </c>
      <c r="BB321" t="str">
        <f ca="1">IFERROR(IF(0=LEN(ReferenceData!$BB$321),"",ReferenceData!$BB$321),"")</f>
        <v/>
      </c>
      <c r="BC321" t="str">
        <f ca="1">IFERROR(IF(0=LEN(ReferenceData!$BC$321),"",ReferenceData!$BC$321),"")</f>
        <v/>
      </c>
      <c r="BD321" t="str">
        <f ca="1">IFERROR(IF(0=LEN(ReferenceData!$BD$321),"",ReferenceData!$BD$321),"")</f>
        <v/>
      </c>
      <c r="BE321" t="str">
        <f ca="1">IFERROR(IF(0=LEN(ReferenceData!$BE$321),"",ReferenceData!$BE$321),"")</f>
        <v/>
      </c>
      <c r="BF321" t="str">
        <f ca="1">IFERROR(IF(0=LEN(ReferenceData!$BF$321),"",ReferenceData!$BF$321),"")</f>
        <v/>
      </c>
      <c r="BG321" t="str">
        <f ca="1">IFERROR(IF(0=LEN(ReferenceData!$BG$321),"",ReferenceData!$BG$321),"")</f>
        <v/>
      </c>
      <c r="BH321" t="str">
        <f ca="1">IFERROR(IF(0=LEN(ReferenceData!$BH$321),"",ReferenceData!$BH$321),"")</f>
        <v/>
      </c>
      <c r="BI321" t="str">
        <f ca="1">IFERROR(IF(0=LEN(ReferenceData!$BI$321),"",ReferenceData!$BI$321),"")</f>
        <v/>
      </c>
      <c r="BJ321" t="str">
        <f ca="1">IFERROR(IF(0=LEN(ReferenceData!$BJ$321),"",ReferenceData!$BJ$321),"")</f>
        <v/>
      </c>
      <c r="BK321" t="str">
        <f ca="1">IFERROR(IF(0=LEN(ReferenceData!$BK$321),"",ReferenceData!$BK$321),"")</f>
        <v/>
      </c>
      <c r="BL321" t="str">
        <f ca="1">IFERROR(IF(0=LEN(ReferenceData!$BL$321),"",ReferenceData!$BL$321),"")</f>
        <v/>
      </c>
      <c r="BM321" t="str">
        <f ca="1">IFERROR(IF(0=LEN(ReferenceData!$BM$321),"",ReferenceData!$BM$321),"")</f>
        <v/>
      </c>
    </row>
    <row r="322" spans="1:65">
      <c r="A322" t="str">
        <f>IFERROR(IF(0=LEN(ReferenceData!$A$322),"",ReferenceData!$A$322),"")</f>
        <v xml:space="preserve">    Washington Prime Group Inc</v>
      </c>
      <c r="B322" t="str">
        <f>IFERROR(IF(0=LEN(ReferenceData!$B$322),"",ReferenceData!$B$322),"")</f>
        <v>WPG US Equity</v>
      </c>
      <c r="C322" t="str">
        <f>IFERROR(IF(0=LEN(ReferenceData!$C$322),"",ReferenceData!$C$322),"")</f>
        <v>RR263</v>
      </c>
      <c r="D322" t="str">
        <f>IFERROR(IF(0=LEN(ReferenceData!$D$322),"",ReferenceData!$D$322),"")</f>
        <v>DEBT_TO_MKT_CAP</v>
      </c>
      <c r="E322" t="str">
        <f>IFERROR(IF(0=LEN(ReferenceData!$E$322),"",ReferenceData!$E$322),"")</f>
        <v>动态</v>
      </c>
      <c r="F322">
        <f ca="1">IFERROR(IF(0=LEN(ReferenceData!$F$322),"",ReferenceData!$F$322),"")</f>
        <v>2.4067950979999999</v>
      </c>
      <c r="G322">
        <f ca="1">IFERROR(IF(0=LEN(ReferenceData!$G$322),"",ReferenceData!$G$322),"")</f>
        <v>2.1904539719999998</v>
      </c>
      <c r="H322">
        <f ca="1">IFERROR(IF(0=LEN(ReferenceData!$H$322),"",ReferenceData!$H$322),"")</f>
        <v>1.938007281</v>
      </c>
      <c r="I322">
        <f ca="1">IFERROR(IF(0=LEN(ReferenceData!$I$322),"",ReferenceData!$I$322),"")</f>
        <v>1.9332761789999999</v>
      </c>
      <c r="J322">
        <f ca="1">IFERROR(IF(0=LEN(ReferenceData!$J$322),"",ReferenceData!$J$322),"")</f>
        <v>2.1625177550000001</v>
      </c>
      <c r="K322">
        <f ca="1">IFERROR(IF(0=LEN(ReferenceData!$K$322),"",ReferenceData!$K$322),"")</f>
        <v>1.816510404</v>
      </c>
      <c r="L322">
        <f ca="1">IFERROR(IF(0=LEN(ReferenceData!$L$322),"",ReferenceData!$L$322),"")</f>
        <v>1.544306677</v>
      </c>
      <c r="M322">
        <f ca="1">IFERROR(IF(0=LEN(ReferenceData!$M$322),"",ReferenceData!$M$322),"")</f>
        <v>1.6928664470000001</v>
      </c>
      <c r="N322">
        <f ca="1">IFERROR(IF(0=LEN(ReferenceData!$N$322),"",ReferenceData!$N$322),"")</f>
        <v>2.0641958659999999</v>
      </c>
      <c r="O322">
        <f ca="1">IFERROR(IF(0=LEN(ReferenceData!$O$322),"",ReferenceData!$O$322),"")</f>
        <v>1.855773229</v>
      </c>
      <c r="P322">
        <f ca="1">IFERROR(IF(0=LEN(ReferenceData!$P$322),"",ReferenceData!$P$322),"")</f>
        <v>1.687166054</v>
      </c>
      <c r="Q322">
        <f ca="1">IFERROR(IF(0=LEN(ReferenceData!$Q$322),"",ReferenceData!$Q$322),"")</f>
        <v>1.450770753</v>
      </c>
      <c r="R322">
        <f ca="1">IFERROR(IF(0=LEN(ReferenceData!$R$322),"",ReferenceData!$R$322),"")</f>
        <v>1.5789178580000001</v>
      </c>
      <c r="S322">
        <f ca="1">IFERROR(IF(0=LEN(ReferenceData!$S$322),"",ReferenceData!$S$322),"")</f>
        <v>0.87909879099999999</v>
      </c>
      <c r="T322">
        <f ca="1">IFERROR(IF(0=LEN(ReferenceData!$T$322),"",ReferenceData!$T$322),"")</f>
        <v>0.863608712</v>
      </c>
      <c r="U322">
        <f ca="1">IFERROR(IF(0=LEN(ReferenceData!$U$322),"",ReferenceData!$U$322),"")</f>
        <v>0.80721466200000003</v>
      </c>
      <c r="V322" t="str">
        <f ca="1">IFERROR(IF(0=LEN(ReferenceData!$V$322),"",ReferenceData!$V$322),"")</f>
        <v/>
      </c>
      <c r="W322" t="str">
        <f ca="1">IFERROR(IF(0=LEN(ReferenceData!$W$322),"",ReferenceData!$W$322),"")</f>
        <v/>
      </c>
      <c r="X322" t="str">
        <f ca="1">IFERROR(IF(0=LEN(ReferenceData!$X$322),"",ReferenceData!$X$322),"")</f>
        <v/>
      </c>
      <c r="Y322" t="str">
        <f ca="1">IFERROR(IF(0=LEN(ReferenceData!$Y$322),"",ReferenceData!$Y$322),"")</f>
        <v/>
      </c>
      <c r="Z322" t="str">
        <f ca="1">IFERROR(IF(0=LEN(ReferenceData!$Z$322),"",ReferenceData!$Z$322),"")</f>
        <v/>
      </c>
      <c r="AA322" t="str">
        <f ca="1">IFERROR(IF(0=LEN(ReferenceData!$AA$322),"",ReferenceData!$AA$322),"")</f>
        <v/>
      </c>
      <c r="AB322" t="str">
        <f ca="1">IFERROR(IF(0=LEN(ReferenceData!$AB$322),"",ReferenceData!$AB$322),"")</f>
        <v/>
      </c>
      <c r="AC322" t="str">
        <f ca="1">IFERROR(IF(0=LEN(ReferenceData!$AC$322),"",ReferenceData!$AC$322),"")</f>
        <v/>
      </c>
      <c r="AD322" t="str">
        <f ca="1">IFERROR(IF(0=LEN(ReferenceData!$AD$322),"",ReferenceData!$AD$322),"")</f>
        <v/>
      </c>
      <c r="AE322" t="str">
        <f ca="1">IFERROR(IF(0=LEN(ReferenceData!$AE$322),"",ReferenceData!$AE$322),"")</f>
        <v/>
      </c>
      <c r="AF322" t="str">
        <f ca="1">IFERROR(IF(0=LEN(ReferenceData!$AF$322),"",ReferenceData!$AF$322),"")</f>
        <v/>
      </c>
      <c r="AG322" t="str">
        <f ca="1">IFERROR(IF(0=LEN(ReferenceData!$AG$322),"",ReferenceData!$AG$322),"")</f>
        <v/>
      </c>
      <c r="AH322" t="str">
        <f ca="1">IFERROR(IF(0=LEN(ReferenceData!$AH$322),"",ReferenceData!$AH$322),"")</f>
        <v/>
      </c>
      <c r="AI322" t="str">
        <f ca="1">IFERROR(IF(0=LEN(ReferenceData!$AI$322),"",ReferenceData!$AI$322),"")</f>
        <v/>
      </c>
      <c r="AJ322" t="str">
        <f ca="1">IFERROR(IF(0=LEN(ReferenceData!$AJ$322),"",ReferenceData!$AJ$322),"")</f>
        <v/>
      </c>
      <c r="AK322" t="str">
        <f ca="1">IFERROR(IF(0=LEN(ReferenceData!$AK$322),"",ReferenceData!$AK$322),"")</f>
        <v/>
      </c>
      <c r="AL322" t="str">
        <f ca="1">IFERROR(IF(0=LEN(ReferenceData!$AL$322),"",ReferenceData!$AL$322),"")</f>
        <v/>
      </c>
      <c r="AM322" t="str">
        <f ca="1">IFERROR(IF(0=LEN(ReferenceData!$AM$322),"",ReferenceData!$AM$322),"")</f>
        <v/>
      </c>
      <c r="AN322" t="str">
        <f ca="1">IFERROR(IF(0=LEN(ReferenceData!$AN$322),"",ReferenceData!$AN$322),"")</f>
        <v/>
      </c>
      <c r="AO322" t="str">
        <f ca="1">IFERROR(IF(0=LEN(ReferenceData!$AO$322),"",ReferenceData!$AO$322),"")</f>
        <v/>
      </c>
      <c r="AP322" t="str">
        <f ca="1">IFERROR(IF(0=LEN(ReferenceData!$AP$322),"",ReferenceData!$AP$322),"")</f>
        <v/>
      </c>
      <c r="AQ322" t="str">
        <f ca="1">IFERROR(IF(0=LEN(ReferenceData!$AQ$322),"",ReferenceData!$AQ$322),"")</f>
        <v/>
      </c>
      <c r="AR322" t="str">
        <f ca="1">IFERROR(IF(0=LEN(ReferenceData!$AR$322),"",ReferenceData!$AR$322),"")</f>
        <v/>
      </c>
      <c r="AS322" t="str">
        <f ca="1">IFERROR(IF(0=LEN(ReferenceData!$AS$322),"",ReferenceData!$AS$322),"")</f>
        <v/>
      </c>
      <c r="AT322" t="str">
        <f ca="1">IFERROR(IF(0=LEN(ReferenceData!$AT$322),"",ReferenceData!$AT$322),"")</f>
        <v/>
      </c>
      <c r="AU322" t="str">
        <f ca="1">IFERROR(IF(0=LEN(ReferenceData!$AU$322),"",ReferenceData!$AU$322),"")</f>
        <v/>
      </c>
      <c r="AV322" t="str">
        <f ca="1">IFERROR(IF(0=LEN(ReferenceData!$AV$322),"",ReferenceData!$AV$322),"")</f>
        <v/>
      </c>
      <c r="AW322" t="str">
        <f ca="1">IFERROR(IF(0=LEN(ReferenceData!$AW$322),"",ReferenceData!$AW$322),"")</f>
        <v/>
      </c>
      <c r="AX322" t="str">
        <f ca="1">IFERROR(IF(0=LEN(ReferenceData!$AX$322),"",ReferenceData!$AX$322),"")</f>
        <v/>
      </c>
      <c r="AY322" t="str">
        <f ca="1">IFERROR(IF(0=LEN(ReferenceData!$AY$322),"",ReferenceData!$AY$322),"")</f>
        <v/>
      </c>
      <c r="AZ322" t="str">
        <f ca="1">IFERROR(IF(0=LEN(ReferenceData!$AZ$322),"",ReferenceData!$AZ$322),"")</f>
        <v/>
      </c>
      <c r="BA322" t="str">
        <f ca="1">IFERROR(IF(0=LEN(ReferenceData!$BA$322),"",ReferenceData!$BA$322),"")</f>
        <v/>
      </c>
      <c r="BB322" t="str">
        <f ca="1">IFERROR(IF(0=LEN(ReferenceData!$BB$322),"",ReferenceData!$BB$322),"")</f>
        <v/>
      </c>
      <c r="BC322" t="str">
        <f ca="1">IFERROR(IF(0=LEN(ReferenceData!$BC$322),"",ReferenceData!$BC$322),"")</f>
        <v/>
      </c>
      <c r="BD322" t="str">
        <f ca="1">IFERROR(IF(0=LEN(ReferenceData!$BD$322),"",ReferenceData!$BD$322),"")</f>
        <v/>
      </c>
      <c r="BE322" t="str">
        <f ca="1">IFERROR(IF(0=LEN(ReferenceData!$BE$322),"",ReferenceData!$BE$322),"")</f>
        <v/>
      </c>
      <c r="BF322" t="str">
        <f ca="1">IFERROR(IF(0=LEN(ReferenceData!$BF$322),"",ReferenceData!$BF$322),"")</f>
        <v/>
      </c>
      <c r="BG322" t="str">
        <f ca="1">IFERROR(IF(0=LEN(ReferenceData!$BG$322),"",ReferenceData!$BG$322),"")</f>
        <v/>
      </c>
      <c r="BH322" t="str">
        <f ca="1">IFERROR(IF(0=LEN(ReferenceData!$BH$322),"",ReferenceData!$BH$322),"")</f>
        <v/>
      </c>
      <c r="BI322" t="str">
        <f ca="1">IFERROR(IF(0=LEN(ReferenceData!$BI$322),"",ReferenceData!$BI$322),"")</f>
        <v/>
      </c>
      <c r="BJ322" t="str">
        <f ca="1">IFERROR(IF(0=LEN(ReferenceData!$BJ$322),"",ReferenceData!$BJ$322),"")</f>
        <v/>
      </c>
      <c r="BK322" t="str">
        <f ca="1">IFERROR(IF(0=LEN(ReferenceData!$BK$322),"",ReferenceData!$BK$322),"")</f>
        <v/>
      </c>
      <c r="BL322" t="str">
        <f ca="1">IFERROR(IF(0=LEN(ReferenceData!$BL$322),"",ReferenceData!$BL$322),"")</f>
        <v/>
      </c>
      <c r="BM322" t="str">
        <f ca="1">IFERROR(IF(0=LEN(ReferenceData!$BM$322),"",ReferenceData!$BM$322),"")</f>
        <v/>
      </c>
    </row>
    <row r="323" spans="1:65">
      <c r="A323" t="str">
        <f>IFERROR(IF(0=LEN(ReferenceData!$A$323),"",ReferenceData!$A$323),"")</f>
        <v xml:space="preserve">    Weingarten Realty Investors</v>
      </c>
      <c r="B323" t="str">
        <f>IFERROR(IF(0=LEN(ReferenceData!$B$323),"",ReferenceData!$B$323),"")</f>
        <v>WRI US Equity</v>
      </c>
      <c r="C323" t="str">
        <f>IFERROR(IF(0=LEN(ReferenceData!$C$323),"",ReferenceData!$C$323),"")</f>
        <v>RR263</v>
      </c>
      <c r="D323" t="str">
        <f>IFERROR(IF(0=LEN(ReferenceData!$D$323),"",ReferenceData!$D$323),"")</f>
        <v>DEBT_TO_MKT_CAP</v>
      </c>
      <c r="E323" t="str">
        <f>IFERROR(IF(0=LEN(ReferenceData!$E$323),"",ReferenceData!$E$323),"")</f>
        <v>动态</v>
      </c>
      <c r="F323">
        <f ca="1">IFERROR(IF(0=LEN(ReferenceData!$F$323),"",ReferenceData!$F$323),"")</f>
        <v>0.58108063600000004</v>
      </c>
      <c r="G323">
        <f ca="1">IFERROR(IF(0=LEN(ReferenceData!$G$323),"",ReferenceData!$G$323),"")</f>
        <v>0.49299467699999999</v>
      </c>
      <c r="H323">
        <f ca="1">IFERROR(IF(0=LEN(ReferenceData!$H$323),"",ReferenceData!$H$323),"")</f>
        <v>0.54325883399999997</v>
      </c>
      <c r="I323">
        <f ca="1">IFERROR(IF(0=LEN(ReferenceData!$I$323),"",ReferenceData!$I$323),"")</f>
        <v>0.59295488399999996</v>
      </c>
      <c r="J323">
        <f ca="1">IFERROR(IF(0=LEN(ReferenceData!$J$323),"",ReferenceData!$J$323),"")</f>
        <v>0.54227386</v>
      </c>
      <c r="K323">
        <f ca="1">IFERROR(IF(0=LEN(ReferenceData!$K$323),"",ReferenceData!$K$323),"")</f>
        <v>0.51413789600000004</v>
      </c>
      <c r="L323">
        <f ca="1">IFERROR(IF(0=LEN(ReferenceData!$L$323),"",ReferenceData!$L$323),"")</f>
        <v>0.46576174999999997</v>
      </c>
      <c r="M323">
        <f ca="1">IFERROR(IF(0=LEN(ReferenceData!$M$323),"",ReferenceData!$M$323),"")</f>
        <v>0.40065774999999998</v>
      </c>
      <c r="N323">
        <f ca="1">IFERROR(IF(0=LEN(ReferenceData!$N$323),"",ReferenceData!$N$323),"")</f>
        <v>0.469870012</v>
      </c>
      <c r="O323">
        <f ca="1">IFERROR(IF(0=LEN(ReferenceData!$O$323),"",ReferenceData!$O$323),"")</f>
        <v>0.49306756699999998</v>
      </c>
      <c r="P323">
        <f ca="1">IFERROR(IF(0=LEN(ReferenceData!$P$323),"",ReferenceData!$P$323),"")</f>
        <v>0.51519428899999997</v>
      </c>
      <c r="Q323">
        <f ca="1">IFERROR(IF(0=LEN(ReferenceData!$Q$323),"",ReferenceData!$Q$323),"")</f>
        <v>0.51548735499999998</v>
      </c>
      <c r="R323">
        <f ca="1">IFERROR(IF(0=LEN(ReferenceData!$R$323),"",ReferenceData!$R$323),"")</f>
        <v>0.43855334299999998</v>
      </c>
      <c r="S323">
        <f ca="1">IFERROR(IF(0=LEN(ReferenceData!$S$323),"",ReferenceData!$S$323),"")</f>
        <v>0.45200890300000002</v>
      </c>
      <c r="T323">
        <f ca="1">IFERROR(IF(0=LEN(ReferenceData!$T$323),"",ReferenceData!$T$323),"")</f>
        <v>0.52138906600000001</v>
      </c>
      <c r="U323">
        <f ca="1">IFERROR(IF(0=LEN(ReferenceData!$U$323),"",ReferenceData!$U$323),"")</f>
        <v>0.51683128199999995</v>
      </c>
      <c r="V323">
        <f ca="1">IFERROR(IF(0=LEN(ReferenceData!$V$323),"",ReferenceData!$V$323),"")</f>
        <v>0.57193443300000002</v>
      </c>
      <c r="W323">
        <f ca="1">IFERROR(IF(0=LEN(ReferenceData!$W$323),"",ReferenceData!$W$323),"")</f>
        <v>0.68781201300000006</v>
      </c>
      <c r="X323">
        <f ca="1">IFERROR(IF(0=LEN(ReferenceData!$X$323),"",ReferenceData!$X$323),"")</f>
        <v>0.64142457500000005</v>
      </c>
      <c r="Y323">
        <f ca="1">IFERROR(IF(0=LEN(ReferenceData!$Y$323),"",ReferenceData!$Y$323),"")</f>
        <v>0.62769791600000002</v>
      </c>
      <c r="Z323">
        <f ca="1">IFERROR(IF(0=LEN(ReferenceData!$Z$323),"",ReferenceData!$Z$323),"")</f>
        <v>0.60511122500000003</v>
      </c>
      <c r="AA323">
        <f ca="1">IFERROR(IF(0=LEN(ReferenceData!$AA$323),"",ReferenceData!$AA$323),"")</f>
        <v>0.67844618199999995</v>
      </c>
      <c r="AB323">
        <f ca="1">IFERROR(IF(0=LEN(ReferenceData!$AB$323),"",ReferenceData!$AB$323),"")</f>
        <v>0.65347001000000005</v>
      </c>
      <c r="AC323">
        <f ca="1">IFERROR(IF(0=LEN(ReferenceData!$AC$323),"",ReferenceData!$AC$323),"")</f>
        <v>0.68750524400000002</v>
      </c>
      <c r="AD323">
        <f ca="1">IFERROR(IF(0=LEN(ReferenceData!$AD$323),"",ReferenceData!$AD$323),"")</f>
        <v>0.781961252</v>
      </c>
      <c r="AE323">
        <f ca="1">IFERROR(IF(0=LEN(ReferenceData!$AE$323),"",ReferenceData!$AE$323),"")</f>
        <v>0.96022135900000005</v>
      </c>
      <c r="AF323">
        <f ca="1">IFERROR(IF(0=LEN(ReferenceData!$AF$323),"",ReferenceData!$AF$323),"")</f>
        <v>1.018622785</v>
      </c>
      <c r="AG323">
        <f ca="1">IFERROR(IF(0=LEN(ReferenceData!$AG$323),"",ReferenceData!$AG$323),"")</f>
        <v>0.86108646600000005</v>
      </c>
      <c r="AH323">
        <f ca="1">IFERROR(IF(0=LEN(ReferenceData!$AH$323),"",ReferenceData!$AH$323),"")</f>
        <v>0.87591486399999996</v>
      </c>
      <c r="AI323">
        <f ca="1">IFERROR(IF(0=LEN(ReferenceData!$AI$323),"",ReferenceData!$AI$323),"")</f>
        <v>0.90505905499999995</v>
      </c>
      <c r="AJ323">
        <f ca="1">IFERROR(IF(0=LEN(ReferenceData!$AJ$323),"",ReferenceData!$AJ$323),"")</f>
        <v>0.98019487500000002</v>
      </c>
      <c r="AK323">
        <f ca="1">IFERROR(IF(0=LEN(ReferenceData!$AK$323),"",ReferenceData!$AK$323),"")</f>
        <v>1.1112557759999999</v>
      </c>
      <c r="AL323">
        <f ca="1">IFERROR(IF(0=LEN(ReferenceData!$AL$323),"",ReferenceData!$AL$323),"")</f>
        <v>0.95802016800000001</v>
      </c>
      <c r="AM323">
        <f ca="1">IFERROR(IF(0=LEN(ReferenceData!$AM$323),"",ReferenceData!$AM$323),"")</f>
        <v>1.067999613</v>
      </c>
      <c r="AN323">
        <f ca="1">IFERROR(IF(0=LEN(ReferenceData!$AN$323),"",ReferenceData!$AN$323),"")</f>
        <v>1.141944303</v>
      </c>
      <c r="AO323">
        <f ca="1">IFERROR(IF(0=LEN(ReferenceData!$AO$323),"",ReferenceData!$AO$323),"")</f>
        <v>1.5322331920000001</v>
      </c>
      <c r="AP323">
        <f ca="1">IFERROR(IF(0=LEN(ReferenceData!$AP$323),"",ReferenceData!$AP$323),"")</f>
        <v>3.821206815</v>
      </c>
      <c r="AQ323">
        <f ca="1">IFERROR(IF(0=LEN(ReferenceData!$AQ$323),"",ReferenceData!$AQ$323),"")</f>
        <v>1.747939278</v>
      </c>
      <c r="AR323">
        <f ca="1">IFERROR(IF(0=LEN(ReferenceData!$AR$323),"",ReferenceData!$AR$323),"")</f>
        <v>1.1077143840000001</v>
      </c>
      <c r="AS323">
        <f ca="1">IFERROR(IF(0=LEN(ReferenceData!$AS$323),"",ReferenceData!$AS$323),"")</f>
        <v>1.252323071</v>
      </c>
      <c r="AT323">
        <f ca="1">IFERROR(IF(0=LEN(ReferenceData!$AT$323),"",ReferenceData!$AT$323),"")</f>
        <v>1.114057689</v>
      </c>
      <c r="AU323">
        <f ca="1">IFERROR(IF(0=LEN(ReferenceData!$AU$323),"",ReferenceData!$AU$323),"")</f>
        <v>1.1831606139999999</v>
      </c>
      <c r="AV323">
        <f ca="1">IFERROR(IF(0=LEN(ReferenceData!$AV$323),"",ReferenceData!$AV$323),"")</f>
        <v>0.85249604499999998</v>
      </c>
      <c r="AW323">
        <f ca="1">IFERROR(IF(0=LEN(ReferenceData!$AW$323),"",ReferenceData!$AW$323),"")</f>
        <v>0.81461347699999997</v>
      </c>
      <c r="AX323">
        <f ca="1">IFERROR(IF(0=LEN(ReferenceData!$AX$323),"",ReferenceData!$AX$323),"")</f>
        <v>0.70330706600000004</v>
      </c>
      <c r="AY323">
        <f ca="1">IFERROR(IF(0=LEN(ReferenceData!$AY$323),"",ReferenceData!$AY$323),"")</f>
        <v>0.74517066399999998</v>
      </c>
      <c r="AZ323">
        <f ca="1">IFERROR(IF(0=LEN(ReferenceData!$AZ$323),"",ReferenceData!$AZ$323),"")</f>
        <v>0.77511853600000002</v>
      </c>
      <c r="BA323">
        <f ca="1">IFERROR(IF(0=LEN(ReferenceData!$BA$323),"",ReferenceData!$BA$323),"")</f>
        <v>0.69181426099999999</v>
      </c>
      <c r="BB323">
        <f ca="1">IFERROR(IF(0=LEN(ReferenceData!$BB$323),"",ReferenceData!$BB$323),"")</f>
        <v>0.64421636699999996</v>
      </c>
      <c r="BC323">
        <f ca="1">IFERROR(IF(0=LEN(ReferenceData!$BC$323),"",ReferenceData!$BC$323),"")</f>
        <v>0.68173102600000002</v>
      </c>
      <c r="BD323">
        <f ca="1">IFERROR(IF(0=LEN(ReferenceData!$BD$323),"",ReferenceData!$BD$323),"")</f>
        <v>0.66523618699999998</v>
      </c>
      <c r="BE323">
        <f ca="1">IFERROR(IF(0=LEN(ReferenceData!$BE$323),"",ReferenceData!$BE$323),"")</f>
        <v>0.63533188399999996</v>
      </c>
      <c r="BF323">
        <f ca="1">IFERROR(IF(0=LEN(ReferenceData!$BF$323),"",ReferenceData!$BF$323),"")</f>
        <v>0.70135167300000001</v>
      </c>
      <c r="BG323">
        <f ca="1">IFERROR(IF(0=LEN(ReferenceData!$BG$323),"",ReferenceData!$BG$323),"")</f>
        <v>0.59053907999999999</v>
      </c>
      <c r="BH323">
        <f ca="1">IFERROR(IF(0=LEN(ReferenceData!$BH$323),"",ReferenceData!$BH$323),"")</f>
        <v>0.70075140499999999</v>
      </c>
      <c r="BI323">
        <f ca="1">IFERROR(IF(0=LEN(ReferenceData!$BI$323),"",ReferenceData!$BI$323),"")</f>
        <v>0.82238446099999996</v>
      </c>
      <c r="BJ323">
        <f ca="1">IFERROR(IF(0=LEN(ReferenceData!$BJ$323),"",ReferenceData!$BJ$323),"")</f>
        <v>0.69450719599999999</v>
      </c>
      <c r="BK323">
        <f ca="1">IFERROR(IF(0=LEN(ReferenceData!$BK$323),"",ReferenceData!$BK$323),"")</f>
        <v>0.79447373300000002</v>
      </c>
      <c r="BL323">
        <f ca="1">IFERROR(IF(0=LEN(ReferenceData!$BL$323),"",ReferenceData!$BL$323),"")</f>
        <v>0.70459334299999998</v>
      </c>
      <c r="BM323">
        <f ca="1">IFERROR(IF(0=LEN(ReferenceData!$BM$323),"",ReferenceData!$BM$323),"")</f>
        <v>0.69140380000000001</v>
      </c>
    </row>
    <row r="324" spans="1:65">
      <c r="A324" t="str">
        <f>IFERROR(IF(0=LEN(ReferenceData!$A$324),"",ReferenceData!$A$324),"")</f>
        <v>现金与有价证券</v>
      </c>
      <c r="B324" t="str">
        <f>IFERROR(IF(0=LEN(ReferenceData!$B$324),"",ReferenceData!$B$324),"")</f>
        <v/>
      </c>
      <c r="C324" t="str">
        <f>IFERROR(IF(0=LEN(ReferenceData!$C$324),"",ReferenceData!$C$324),"")</f>
        <v/>
      </c>
      <c r="D324" t="str">
        <f>IFERROR(IF(0=LEN(ReferenceData!$D$324),"",ReferenceData!$D$324),"")</f>
        <v/>
      </c>
      <c r="E324" t="str">
        <f>IFERROR(IF(0=LEN(ReferenceData!$E$324),"",ReferenceData!$E$324),"")</f>
        <v>Median</v>
      </c>
      <c r="F324" t="str">
        <f ca="1">IFERROR(IF(0=LEN(ReferenceData!$F$324),"",ReferenceData!$F$324),"")</f>
        <v/>
      </c>
      <c r="G324">
        <f ca="1">IFERROR(IF(0=LEN(ReferenceData!$G$324),"",ReferenceData!$G$324),"")</f>
        <v>32.627000000000002</v>
      </c>
      <c r="H324">
        <f ca="1">IFERROR(IF(0=LEN(ReferenceData!$H$324),"",ReferenceData!$H$324),"")</f>
        <v>29.978000000000002</v>
      </c>
      <c r="I324">
        <f ca="1">IFERROR(IF(0=LEN(ReferenceData!$I$324),"",ReferenceData!$I$324),"")</f>
        <v>54.478999999999999</v>
      </c>
      <c r="J324">
        <f ca="1">IFERROR(IF(0=LEN(ReferenceData!$J$324),"",ReferenceData!$J$324),"")</f>
        <v>34.417999999999999</v>
      </c>
      <c r="K324">
        <f ca="1">IFERROR(IF(0=LEN(ReferenceData!$K$324),"",ReferenceData!$K$324),"")</f>
        <v>30.43</v>
      </c>
      <c r="L324">
        <f ca="1">IFERROR(IF(0=LEN(ReferenceData!$L$324),"",ReferenceData!$L$324),"")</f>
        <v>31.143000000000001</v>
      </c>
      <c r="M324">
        <f ca="1">IFERROR(IF(0=LEN(ReferenceData!$M$324),"",ReferenceData!$M$324),"")</f>
        <v>24.939</v>
      </c>
      <c r="N324">
        <f ca="1">IFERROR(IF(0=LEN(ReferenceData!$N$324),"",ReferenceData!$N$324),"")</f>
        <v>27.137</v>
      </c>
      <c r="O324">
        <f ca="1">IFERROR(IF(0=LEN(ReferenceData!$O$324),"",ReferenceData!$O$324),"")</f>
        <v>36.892000000000003</v>
      </c>
      <c r="P324">
        <f ca="1">IFERROR(IF(0=LEN(ReferenceData!$P$324),"",ReferenceData!$P$324),"")</f>
        <v>23.88</v>
      </c>
      <c r="Q324">
        <f ca="1">IFERROR(IF(0=LEN(ReferenceData!$Q$324),"",ReferenceData!$Q$324),"")</f>
        <v>27.114000000000001</v>
      </c>
      <c r="R324">
        <f ca="1">IFERROR(IF(0=LEN(ReferenceData!$R$324),"",ReferenceData!$R$324),"")</f>
        <v>55.993000000000002</v>
      </c>
      <c r="S324">
        <f ca="1">IFERROR(IF(0=LEN(ReferenceData!$S$324),"",ReferenceData!$S$324),"")</f>
        <v>47.951000000000001</v>
      </c>
      <c r="T324">
        <f ca="1">IFERROR(IF(0=LEN(ReferenceData!$T$324),"",ReferenceData!$T$324),"")</f>
        <v>67.83</v>
      </c>
      <c r="U324">
        <f ca="1">IFERROR(IF(0=LEN(ReferenceData!$U$324),"",ReferenceData!$U$324),"")</f>
        <v>61.83</v>
      </c>
      <c r="V324">
        <f ca="1">IFERROR(IF(0=LEN(ReferenceData!$V$324),"",ReferenceData!$V$324),"")</f>
        <v>55.695999999999998</v>
      </c>
      <c r="W324">
        <f ca="1">IFERROR(IF(0=LEN(ReferenceData!$W$324),"",ReferenceData!$W$324),"")</f>
        <v>73.091999999999999</v>
      </c>
      <c r="X324">
        <f ca="1">IFERROR(IF(0=LEN(ReferenceData!$X$324),"",ReferenceData!$X$324),"")</f>
        <v>66.511499999999998</v>
      </c>
      <c r="Y324">
        <f ca="1">IFERROR(IF(0=LEN(ReferenceData!$Y$324),"",ReferenceData!$Y$324),"")</f>
        <v>61.786500000000004</v>
      </c>
      <c r="Z324">
        <f ca="1">IFERROR(IF(0=LEN(ReferenceData!$Z$324),"",ReferenceData!$Z$324),"")</f>
        <v>41.843000000000004</v>
      </c>
      <c r="AA324">
        <f ca="1">IFERROR(IF(0=LEN(ReferenceData!$AA$324),"",ReferenceData!$AA$324),"")</f>
        <v>34.081000000000003</v>
      </c>
      <c r="AB324">
        <f ca="1">IFERROR(IF(0=LEN(ReferenceData!$AB$324),"",ReferenceData!$AB$324),"")</f>
        <v>23.488823</v>
      </c>
      <c r="AC324">
        <f ca="1">IFERROR(IF(0=LEN(ReferenceData!$AC$324),"",ReferenceData!$AC$324),"")</f>
        <v>18.504999999999999</v>
      </c>
      <c r="AD324">
        <f ca="1">IFERROR(IF(0=LEN(ReferenceData!$AD$324),"",ReferenceData!$AD$324),"")</f>
        <v>18.024000000000001</v>
      </c>
      <c r="AE324">
        <f ca="1">IFERROR(IF(0=LEN(ReferenceData!$AE$324),"",ReferenceData!$AE$324),"")</f>
        <v>34.317588000000001</v>
      </c>
      <c r="AF324">
        <f ca="1">IFERROR(IF(0=LEN(ReferenceData!$AF$324),"",ReferenceData!$AF$324),"")</f>
        <v>20.681000000000001</v>
      </c>
      <c r="AG324">
        <f ca="1">IFERROR(IF(0=LEN(ReferenceData!$AG$324),"",ReferenceData!$AG$324),"")</f>
        <v>19.847999999999999</v>
      </c>
      <c r="AH324">
        <f ca="1">IFERROR(IF(0=LEN(ReferenceData!$AH$324),"",ReferenceData!$AH$324),"")</f>
        <v>28.774000000000001</v>
      </c>
      <c r="AI324">
        <f ca="1">IFERROR(IF(0=LEN(ReferenceData!$AI$324),"",ReferenceData!$AI$324),"")</f>
        <v>21.637500000000003</v>
      </c>
      <c r="AJ324">
        <f ca="1">IFERROR(IF(0=LEN(ReferenceData!$AJ$324),"",ReferenceData!$AJ$324),"")</f>
        <v>38.838000000000001</v>
      </c>
      <c r="AK324">
        <f ca="1">IFERROR(IF(0=LEN(ReferenceData!$AK$324),"",ReferenceData!$AK$324),"")</f>
        <v>60.649000000000001</v>
      </c>
      <c r="AL324">
        <f ca="1">IFERROR(IF(0=LEN(ReferenceData!$AL$324),"",ReferenceData!$AL$324),"")</f>
        <v>50.215000000000003</v>
      </c>
      <c r="AM324">
        <f ca="1">IFERROR(IF(0=LEN(ReferenceData!$AM$324),"",ReferenceData!$AM$324),"")</f>
        <v>73.769499999999994</v>
      </c>
      <c r="AN324">
        <f ca="1">IFERROR(IF(0=LEN(ReferenceData!$AN$324),"",ReferenceData!$AN$324),"")</f>
        <v>84.097999999999999</v>
      </c>
      <c r="AO324">
        <f ca="1">IFERROR(IF(0=LEN(ReferenceData!$AO$324),"",ReferenceData!$AO$324),"")</f>
        <v>72.579499999999996</v>
      </c>
      <c r="AP324">
        <f ca="1">IFERROR(IF(0=LEN(ReferenceData!$AP$324),"",ReferenceData!$AP$324),"")</f>
        <v>30.496000000000002</v>
      </c>
      <c r="AQ324">
        <f ca="1">IFERROR(IF(0=LEN(ReferenceData!$AQ$324),"",ReferenceData!$AQ$324),"")</f>
        <v>38.154499999999999</v>
      </c>
      <c r="AR324">
        <f ca="1">IFERROR(IF(0=LEN(ReferenceData!$AR$324),"",ReferenceData!$AR$324),"")</f>
        <v>51.107500000000002</v>
      </c>
      <c r="AS324">
        <f ca="1">IFERROR(IF(0=LEN(ReferenceData!$AS$324),"",ReferenceData!$AS$324),"")</f>
        <v>41.015500000000003</v>
      </c>
      <c r="AT324">
        <f ca="1">IFERROR(IF(0=LEN(ReferenceData!$AT$324),"",ReferenceData!$AT$324),"")</f>
        <v>45.349999999999994</v>
      </c>
      <c r="AU324">
        <f ca="1">IFERROR(IF(0=LEN(ReferenceData!$AU$324),"",ReferenceData!$AU$324),"")</f>
        <v>58.234000000000002</v>
      </c>
      <c r="AV324">
        <f ca="1">IFERROR(IF(0=LEN(ReferenceData!$AV$324),"",ReferenceData!$AV$324),"")</f>
        <v>47.159500000000001</v>
      </c>
      <c r="AW324">
        <f ca="1">IFERROR(IF(0=LEN(ReferenceData!$AW$324),"",ReferenceData!$AW$324),"")</f>
        <v>46.16</v>
      </c>
      <c r="AX324">
        <f ca="1">IFERROR(IF(0=LEN(ReferenceData!$AX$324),"",ReferenceData!$AX$324),"")</f>
        <v>41.158500000000004</v>
      </c>
      <c r="AY324">
        <f ca="1">IFERROR(IF(0=LEN(ReferenceData!$AY$324),"",ReferenceData!$AY$324),"")</f>
        <v>28.539000000000001</v>
      </c>
      <c r="AZ324">
        <f ca="1">IFERROR(IF(0=LEN(ReferenceData!$AZ$324),"",ReferenceData!$AZ$324),"")</f>
        <v>57.427500000000002</v>
      </c>
      <c r="BA324">
        <f ca="1">IFERROR(IF(0=LEN(ReferenceData!$BA$324),"",ReferenceData!$BA$324),"")</f>
        <v>38.331000000000003</v>
      </c>
      <c r="BB324">
        <f ca="1">IFERROR(IF(0=LEN(ReferenceData!$BB$324),"",ReferenceData!$BB$324),"")</f>
        <v>38.706499999999998</v>
      </c>
      <c r="BC324">
        <f ca="1">IFERROR(IF(0=LEN(ReferenceData!$BC$324),"",ReferenceData!$BC$324),"")</f>
        <v>36.5565</v>
      </c>
      <c r="BD324">
        <f ca="1">IFERROR(IF(0=LEN(ReferenceData!$BD$324),"",ReferenceData!$BD$324),"")</f>
        <v>27.596499999999999</v>
      </c>
      <c r="BE324">
        <f ca="1">IFERROR(IF(0=LEN(ReferenceData!$BE$324),"",ReferenceData!$BE$324),"")</f>
        <v>31.280999999999999</v>
      </c>
      <c r="BF324">
        <f ca="1">IFERROR(IF(0=LEN(ReferenceData!$BF$324),"",ReferenceData!$BF$324),"")</f>
        <v>45.063000000000002</v>
      </c>
      <c r="BG324">
        <f ca="1">IFERROR(IF(0=LEN(ReferenceData!$BG$324),"",ReferenceData!$BG$324),"")</f>
        <v>34.347500189999998</v>
      </c>
      <c r="BH324">
        <f ca="1">IFERROR(IF(0=LEN(ReferenceData!$BH$324),"",ReferenceData!$BH$324),"")</f>
        <v>27.186500500000001</v>
      </c>
      <c r="BI324">
        <f ca="1">IFERROR(IF(0=LEN(ReferenceData!$BI$324),"",ReferenceData!$BI$324),"")</f>
        <v>25.780999999999999</v>
      </c>
      <c r="BJ324">
        <f ca="1">IFERROR(IF(0=LEN(ReferenceData!$BJ$324),"",ReferenceData!$BJ$324),"")</f>
        <v>31.197501000000003</v>
      </c>
      <c r="BK324">
        <f ca="1">IFERROR(IF(0=LEN(ReferenceData!$BK$324),"",ReferenceData!$BK$324),"")</f>
        <v>20.293500000000002</v>
      </c>
      <c r="BL324">
        <f ca="1">IFERROR(IF(0=LEN(ReferenceData!$BL$324),"",ReferenceData!$BL$324),"")</f>
        <v>21.831</v>
      </c>
      <c r="BM324">
        <f ca="1">IFERROR(IF(0=LEN(ReferenceData!$BM$324),"",ReferenceData!$BM$324),"")</f>
        <v>22.009</v>
      </c>
    </row>
    <row r="325" spans="1:65">
      <c r="A325" t="str">
        <f>IFERROR(IF(0=LEN(ReferenceData!$A$325),"",ReferenceData!$A$325),"")</f>
        <v xml:space="preserve">    Brixmor Property Group Inc</v>
      </c>
      <c r="B325" t="str">
        <f>IFERROR(IF(0=LEN(ReferenceData!$B$325),"",ReferenceData!$B$325),"")</f>
        <v>BRX US Equity</v>
      </c>
      <c r="C325" t="str">
        <f>IFERROR(IF(0=LEN(ReferenceData!$C$325),"",ReferenceData!$C$325),"")</f>
        <v>RR253</v>
      </c>
      <c r="D325" t="str">
        <f>IFERROR(IF(0=LEN(ReferenceData!$D$325),"",ReferenceData!$D$325),"")</f>
        <v>CASH_AND_MARKETABLE_SECURITIES</v>
      </c>
      <c r="E325" t="str">
        <f>IFERROR(IF(0=LEN(ReferenceData!$E$325),"",ReferenceData!$E$325),"")</f>
        <v>动态</v>
      </c>
      <c r="F325" t="str">
        <f ca="1">IFERROR(IF(0=LEN(ReferenceData!$F$325),"",ReferenceData!$F$325),"")</f>
        <v/>
      </c>
      <c r="G325">
        <f ca="1">IFERROR(IF(0=LEN(ReferenceData!$G$325),"",ReferenceData!$G$325),"")</f>
        <v>56.938000000000002</v>
      </c>
      <c r="H325">
        <f ca="1">IFERROR(IF(0=LEN(ReferenceData!$H$325),"",ReferenceData!$H$325),"")</f>
        <v>29.978000000000002</v>
      </c>
      <c r="I325">
        <f ca="1">IFERROR(IF(0=LEN(ReferenceData!$I$325),"",ReferenceData!$I$325),"")</f>
        <v>54.478999999999999</v>
      </c>
      <c r="J325">
        <f ca="1">IFERROR(IF(0=LEN(ReferenceData!$J$325),"",ReferenceData!$J$325),"")</f>
        <v>59.883000000000003</v>
      </c>
      <c r="K325">
        <f ca="1">IFERROR(IF(0=LEN(ReferenceData!$K$325),"",ReferenceData!$K$325),"")</f>
        <v>51.402000000000001</v>
      </c>
      <c r="L325">
        <f ca="1">IFERROR(IF(0=LEN(ReferenceData!$L$325),"",ReferenceData!$L$325),"")</f>
        <v>31.143000000000001</v>
      </c>
      <c r="M325">
        <f ca="1">IFERROR(IF(0=LEN(ReferenceData!$M$325),"",ReferenceData!$M$325),"")</f>
        <v>114.27200000000001</v>
      </c>
      <c r="N325">
        <f ca="1">IFERROR(IF(0=LEN(ReferenceData!$N$325),"",ReferenceData!$N$325),"")</f>
        <v>105.822</v>
      </c>
      <c r="O325">
        <f ca="1">IFERROR(IF(0=LEN(ReferenceData!$O$325),"",ReferenceData!$O$325),"")</f>
        <v>69.528000000000006</v>
      </c>
      <c r="P325">
        <f ca="1">IFERROR(IF(0=LEN(ReferenceData!$P$325),"",ReferenceData!$P$325),"")</f>
        <v>37.982999999999997</v>
      </c>
      <c r="Q325">
        <f ca="1">IFERROR(IF(0=LEN(ReferenceData!$Q$325),"",ReferenceData!$Q$325),"")</f>
        <v>42.734999999999999</v>
      </c>
      <c r="R325">
        <f ca="1">IFERROR(IF(0=LEN(ReferenceData!$R$325),"",ReferenceData!$R$325),"")</f>
        <v>68.183999999999997</v>
      </c>
      <c r="S325">
        <f ca="1">IFERROR(IF(0=LEN(ReferenceData!$S$325),"",ReferenceData!$S$325),"")</f>
        <v>60.594999999999999</v>
      </c>
      <c r="T325">
        <f ca="1">IFERROR(IF(0=LEN(ReferenceData!$T$325),"",ReferenceData!$T$325),"")</f>
        <v>92.757999999999996</v>
      </c>
      <c r="U325">
        <f ca="1">IFERROR(IF(0=LEN(ReferenceData!$U$325),"",ReferenceData!$U$325),"")</f>
        <v>61.83</v>
      </c>
      <c r="V325">
        <f ca="1">IFERROR(IF(0=LEN(ReferenceData!$V$325),"",ReferenceData!$V$325),"")</f>
        <v>55.695999999999998</v>
      </c>
      <c r="W325">
        <f ca="1">IFERROR(IF(0=LEN(ReferenceData!$W$325),"",ReferenceData!$W$325),"")</f>
        <v>113.91500000000001</v>
      </c>
      <c r="X325">
        <f ca="1">IFERROR(IF(0=LEN(ReferenceData!$X$325),"",ReferenceData!$X$325),"")</f>
        <v>137.376</v>
      </c>
      <c r="Y325">
        <f ca="1">IFERROR(IF(0=LEN(ReferenceData!$Y$325),"",ReferenceData!$Y$325),"")</f>
        <v>142.006</v>
      </c>
      <c r="Z325">
        <f ca="1">IFERROR(IF(0=LEN(ReferenceData!$Z$325),"",ReferenceData!$Z$325),"")</f>
        <v>106.392</v>
      </c>
      <c r="AA325">
        <f ca="1">IFERROR(IF(0=LEN(ReferenceData!$AA$325),"",ReferenceData!$AA$325),"")</f>
        <v>103.098</v>
      </c>
      <c r="AB325" t="str">
        <f ca="1">IFERROR(IF(0=LEN(ReferenceData!$AB$325),"",ReferenceData!$AB$325),"")</f>
        <v/>
      </c>
      <c r="AC325" t="str">
        <f ca="1">IFERROR(IF(0=LEN(ReferenceData!$AC$325),"",ReferenceData!$AC$325),"")</f>
        <v/>
      </c>
      <c r="AD325" t="str">
        <f ca="1">IFERROR(IF(0=LEN(ReferenceData!$AD$325),"",ReferenceData!$AD$325),"")</f>
        <v/>
      </c>
      <c r="AE325" t="str">
        <f ca="1">IFERROR(IF(0=LEN(ReferenceData!$AE$325),"",ReferenceData!$AE$325),"")</f>
        <v/>
      </c>
      <c r="AF325" t="str">
        <f ca="1">IFERROR(IF(0=LEN(ReferenceData!$AF$325),"",ReferenceData!$AF$325),"")</f>
        <v/>
      </c>
      <c r="AG325" t="str">
        <f ca="1">IFERROR(IF(0=LEN(ReferenceData!$AG$325),"",ReferenceData!$AG$325),"")</f>
        <v/>
      </c>
      <c r="AH325" t="str">
        <f ca="1">IFERROR(IF(0=LEN(ReferenceData!$AH$325),"",ReferenceData!$AH$325),"")</f>
        <v/>
      </c>
      <c r="AI325" t="str">
        <f ca="1">IFERROR(IF(0=LEN(ReferenceData!$AI$325),"",ReferenceData!$AI$325),"")</f>
        <v/>
      </c>
      <c r="AJ325" t="str">
        <f ca="1">IFERROR(IF(0=LEN(ReferenceData!$AJ$325),"",ReferenceData!$AJ$325),"")</f>
        <v/>
      </c>
      <c r="AK325" t="str">
        <f ca="1">IFERROR(IF(0=LEN(ReferenceData!$AK$325),"",ReferenceData!$AK$325),"")</f>
        <v/>
      </c>
      <c r="AL325" t="str">
        <f ca="1">IFERROR(IF(0=LEN(ReferenceData!$AL$325),"",ReferenceData!$AL$325),"")</f>
        <v/>
      </c>
      <c r="AM325" t="str">
        <f ca="1">IFERROR(IF(0=LEN(ReferenceData!$AM$325),"",ReferenceData!$AM$325),"")</f>
        <v/>
      </c>
      <c r="AN325" t="str">
        <f ca="1">IFERROR(IF(0=LEN(ReferenceData!$AN$325),"",ReferenceData!$AN$325),"")</f>
        <v/>
      </c>
      <c r="AO325" t="str">
        <f ca="1">IFERROR(IF(0=LEN(ReferenceData!$AO$325),"",ReferenceData!$AO$325),"")</f>
        <v/>
      </c>
      <c r="AP325" t="str">
        <f ca="1">IFERROR(IF(0=LEN(ReferenceData!$AP$325),"",ReferenceData!$AP$325),"")</f>
        <v/>
      </c>
      <c r="AQ325" t="str">
        <f ca="1">IFERROR(IF(0=LEN(ReferenceData!$AQ$325),"",ReferenceData!$AQ$325),"")</f>
        <v/>
      </c>
      <c r="AR325" t="str">
        <f ca="1">IFERROR(IF(0=LEN(ReferenceData!$AR$325),"",ReferenceData!$AR$325),"")</f>
        <v/>
      </c>
      <c r="AS325" t="str">
        <f ca="1">IFERROR(IF(0=LEN(ReferenceData!$AS$325),"",ReferenceData!$AS$325),"")</f>
        <v/>
      </c>
      <c r="AT325" t="str">
        <f ca="1">IFERROR(IF(0=LEN(ReferenceData!$AT$325),"",ReferenceData!$AT$325),"")</f>
        <v/>
      </c>
      <c r="AU325" t="str">
        <f ca="1">IFERROR(IF(0=LEN(ReferenceData!$AU$325),"",ReferenceData!$AU$325),"")</f>
        <v/>
      </c>
      <c r="AV325" t="str">
        <f ca="1">IFERROR(IF(0=LEN(ReferenceData!$AV$325),"",ReferenceData!$AV$325),"")</f>
        <v/>
      </c>
      <c r="AW325" t="str">
        <f ca="1">IFERROR(IF(0=LEN(ReferenceData!$AW$325),"",ReferenceData!$AW$325),"")</f>
        <v/>
      </c>
      <c r="AX325" t="str">
        <f ca="1">IFERROR(IF(0=LEN(ReferenceData!$AX$325),"",ReferenceData!$AX$325),"")</f>
        <v/>
      </c>
      <c r="AY325" t="str">
        <f ca="1">IFERROR(IF(0=LEN(ReferenceData!$AY$325),"",ReferenceData!$AY$325),"")</f>
        <v/>
      </c>
      <c r="AZ325" t="str">
        <f ca="1">IFERROR(IF(0=LEN(ReferenceData!$AZ$325),"",ReferenceData!$AZ$325),"")</f>
        <v/>
      </c>
      <c r="BA325" t="str">
        <f ca="1">IFERROR(IF(0=LEN(ReferenceData!$BA$325),"",ReferenceData!$BA$325),"")</f>
        <v/>
      </c>
      <c r="BB325" t="str">
        <f ca="1">IFERROR(IF(0=LEN(ReferenceData!$BB$325),"",ReferenceData!$BB$325),"")</f>
        <v/>
      </c>
      <c r="BC325" t="str">
        <f ca="1">IFERROR(IF(0=LEN(ReferenceData!$BC$325),"",ReferenceData!$BC$325),"")</f>
        <v/>
      </c>
      <c r="BD325" t="str">
        <f ca="1">IFERROR(IF(0=LEN(ReferenceData!$BD$325),"",ReferenceData!$BD$325),"")</f>
        <v/>
      </c>
      <c r="BE325" t="str">
        <f ca="1">IFERROR(IF(0=LEN(ReferenceData!$BE$325),"",ReferenceData!$BE$325),"")</f>
        <v/>
      </c>
      <c r="BF325" t="str">
        <f ca="1">IFERROR(IF(0=LEN(ReferenceData!$BF$325),"",ReferenceData!$BF$325),"")</f>
        <v/>
      </c>
      <c r="BG325" t="str">
        <f ca="1">IFERROR(IF(0=LEN(ReferenceData!$BG$325),"",ReferenceData!$BG$325),"")</f>
        <v/>
      </c>
      <c r="BH325" t="str">
        <f ca="1">IFERROR(IF(0=LEN(ReferenceData!$BH$325),"",ReferenceData!$BH$325),"")</f>
        <v/>
      </c>
      <c r="BI325" t="str">
        <f ca="1">IFERROR(IF(0=LEN(ReferenceData!$BI$325),"",ReferenceData!$BI$325),"")</f>
        <v/>
      </c>
      <c r="BJ325" t="str">
        <f ca="1">IFERROR(IF(0=LEN(ReferenceData!$BJ$325),"",ReferenceData!$BJ$325),"")</f>
        <v/>
      </c>
      <c r="BK325" t="str">
        <f ca="1">IFERROR(IF(0=LEN(ReferenceData!$BK$325),"",ReferenceData!$BK$325),"")</f>
        <v/>
      </c>
      <c r="BL325" t="str">
        <f ca="1">IFERROR(IF(0=LEN(ReferenceData!$BL$325),"",ReferenceData!$BL$325),"")</f>
        <v/>
      </c>
      <c r="BM325" t="str">
        <f ca="1">IFERROR(IF(0=LEN(ReferenceData!$BM$325),"",ReferenceData!$BM$325),"")</f>
        <v/>
      </c>
    </row>
    <row r="326" spans="1:65">
      <c r="A326" t="str">
        <f>IFERROR(IF(0=LEN(ReferenceData!$A$326),"",ReferenceData!$A$326),"")</f>
        <v xml:space="preserve">    CBL &amp; Associates Properties In</v>
      </c>
      <c r="B326" t="str">
        <f>IFERROR(IF(0=LEN(ReferenceData!$B$326),"",ReferenceData!$B$326),"")</f>
        <v>CBL US Equity</v>
      </c>
      <c r="C326" t="str">
        <f>IFERROR(IF(0=LEN(ReferenceData!$C$326),"",ReferenceData!$C$326),"")</f>
        <v>RR253</v>
      </c>
      <c r="D326" t="str">
        <f>IFERROR(IF(0=LEN(ReferenceData!$D$326),"",ReferenceData!$D$326),"")</f>
        <v>CASH_AND_MARKETABLE_SECURITIES</v>
      </c>
      <c r="E326" t="str">
        <f>IFERROR(IF(0=LEN(ReferenceData!$E$326),"",ReferenceData!$E$326),"")</f>
        <v>动态</v>
      </c>
      <c r="F326" t="str">
        <f ca="1">IFERROR(IF(0=LEN(ReferenceData!$F$326),"",ReferenceData!$F$326),"")</f>
        <v/>
      </c>
      <c r="G326">
        <f ca="1">IFERROR(IF(0=LEN(ReferenceData!$G$326),"",ReferenceData!$G$326),"")</f>
        <v>32.627000000000002</v>
      </c>
      <c r="H326">
        <f ca="1">IFERROR(IF(0=LEN(ReferenceData!$H$326),"",ReferenceData!$H$326),"")</f>
        <v>31.350999999999999</v>
      </c>
      <c r="I326">
        <f ca="1">IFERROR(IF(0=LEN(ReferenceData!$I$326),"",ReferenceData!$I$326),"")</f>
        <v>29.622</v>
      </c>
      <c r="J326">
        <f ca="1">IFERROR(IF(0=LEN(ReferenceData!$J$326),"",ReferenceData!$J$326),"")</f>
        <v>27.553000000000001</v>
      </c>
      <c r="K326">
        <f ca="1">IFERROR(IF(0=LEN(ReferenceData!$K$326),"",ReferenceData!$K$326),"")</f>
        <v>18.951000000000001</v>
      </c>
      <c r="L326">
        <f ca="1">IFERROR(IF(0=LEN(ReferenceData!$L$326),"",ReferenceData!$L$326),"")</f>
        <v>24.468</v>
      </c>
      <c r="M326">
        <f ca="1">IFERROR(IF(0=LEN(ReferenceData!$M$326),"",ReferenceData!$M$326),"")</f>
        <v>21.138999999999999</v>
      </c>
      <c r="N326">
        <f ca="1">IFERROR(IF(0=LEN(ReferenceData!$N$326),"",ReferenceData!$N$326),"")</f>
        <v>25.030999999999999</v>
      </c>
      <c r="O326">
        <f ca="1">IFERROR(IF(0=LEN(ReferenceData!$O$326),"",ReferenceData!$O$326),"")</f>
        <v>36.892000000000003</v>
      </c>
      <c r="P326">
        <f ca="1">IFERROR(IF(0=LEN(ReferenceData!$P$326),"",ReferenceData!$P$326),"")</f>
        <v>32.436999999999998</v>
      </c>
      <c r="Q326">
        <f ca="1">IFERROR(IF(0=LEN(ReferenceData!$Q$326),"",ReferenceData!$Q$326),"")</f>
        <v>30.600999999999999</v>
      </c>
      <c r="R326">
        <f ca="1">IFERROR(IF(0=LEN(ReferenceData!$R$326),"",ReferenceData!$R$326),"")</f>
        <v>37.978000000000002</v>
      </c>
      <c r="S326">
        <f ca="1">IFERROR(IF(0=LEN(ReferenceData!$S$326),"",ReferenceData!$S$326),"")</f>
        <v>37.938000000000002</v>
      </c>
      <c r="T326">
        <f ca="1">IFERROR(IF(0=LEN(ReferenceData!$T$326),"",ReferenceData!$T$326),"")</f>
        <v>45.070999999999998</v>
      </c>
      <c r="U326">
        <f ca="1">IFERROR(IF(0=LEN(ReferenceData!$U$326),"",ReferenceData!$U$326),"")</f>
        <v>63.481999999999999</v>
      </c>
      <c r="V326">
        <f ca="1">IFERROR(IF(0=LEN(ReferenceData!$V$326),"",ReferenceData!$V$326),"")</f>
        <v>56.19</v>
      </c>
      <c r="W326">
        <f ca="1">IFERROR(IF(0=LEN(ReferenceData!$W$326),"",ReferenceData!$W$326),"")</f>
        <v>65.5</v>
      </c>
      <c r="X326">
        <f ca="1">IFERROR(IF(0=LEN(ReferenceData!$X$326),"",ReferenceData!$X$326),"")</f>
        <v>74.587999999999994</v>
      </c>
      <c r="Y326">
        <f ca="1">IFERROR(IF(0=LEN(ReferenceData!$Y$326),"",ReferenceData!$Y$326),"")</f>
        <v>64.430000000000007</v>
      </c>
      <c r="Z326">
        <f ca="1">IFERROR(IF(0=LEN(ReferenceData!$Z$326),"",ReferenceData!$Z$326),"")</f>
        <v>66.58</v>
      </c>
      <c r="AA326">
        <f ca="1">IFERROR(IF(0=LEN(ReferenceData!$AA$326),"",ReferenceData!$AA$326),"")</f>
        <v>78.248000000000005</v>
      </c>
      <c r="AB326">
        <f ca="1">IFERROR(IF(0=LEN(ReferenceData!$AB$326),"",ReferenceData!$AB$326),"")</f>
        <v>66.349999999999994</v>
      </c>
      <c r="AC326">
        <f ca="1">IFERROR(IF(0=LEN(ReferenceData!$AC$326),"",ReferenceData!$AC$326),"")</f>
        <v>71.537000000000006</v>
      </c>
      <c r="AD326">
        <f ca="1">IFERROR(IF(0=LEN(ReferenceData!$AD$326),"",ReferenceData!$AD$326),"")</f>
        <v>61.668999999999997</v>
      </c>
      <c r="AE326">
        <f ca="1">IFERROR(IF(0=LEN(ReferenceData!$AE$326),"",ReferenceData!$AE$326),"")</f>
        <v>56.091999999999999</v>
      </c>
      <c r="AF326">
        <f ca="1">IFERROR(IF(0=LEN(ReferenceData!$AF$326),"",ReferenceData!$AF$326),"")</f>
        <v>61.911999999999999</v>
      </c>
      <c r="AG326">
        <f ca="1">IFERROR(IF(0=LEN(ReferenceData!$AG$326),"",ReferenceData!$AG$326),"")</f>
        <v>47.890999999999998</v>
      </c>
      <c r="AH326">
        <f ca="1">IFERROR(IF(0=LEN(ReferenceData!$AH$326),"",ReferenceData!$AH$326),"")</f>
        <v>49.34</v>
      </c>
      <c r="AI326">
        <f ca="1">IFERROR(IF(0=LEN(ReferenceData!$AI$326),"",ReferenceData!$AI$326),"")</f>
        <v>50.896000000000001</v>
      </c>
      <c r="AJ326">
        <f ca="1">IFERROR(IF(0=LEN(ReferenceData!$AJ$326),"",ReferenceData!$AJ$326),"")</f>
        <v>56.667999999999999</v>
      </c>
      <c r="AK326">
        <f ca="1">IFERROR(IF(0=LEN(ReferenceData!$AK$326),"",ReferenceData!$AK$326),"")</f>
        <v>60.649000000000001</v>
      </c>
      <c r="AL326">
        <f ca="1">IFERROR(IF(0=LEN(ReferenceData!$AL$326),"",ReferenceData!$AL$326),"")</f>
        <v>50.215000000000003</v>
      </c>
      <c r="AM326">
        <f ca="1">IFERROR(IF(0=LEN(ReferenceData!$AM$326),"",ReferenceData!$AM$326),"")</f>
        <v>48.061999999999998</v>
      </c>
      <c r="AN326">
        <f ca="1">IFERROR(IF(0=LEN(ReferenceData!$AN$326),"",ReferenceData!$AN$326),"")</f>
        <v>63.502000000000002</v>
      </c>
      <c r="AO326">
        <f ca="1">IFERROR(IF(0=LEN(ReferenceData!$AO$326),"",ReferenceData!$AO$326),"")</f>
        <v>50.789000000000001</v>
      </c>
      <c r="AP326">
        <f ca="1">IFERROR(IF(0=LEN(ReferenceData!$AP$326),"",ReferenceData!$AP$326),"")</f>
        <v>44.073</v>
      </c>
      <c r="AQ326">
        <f ca="1">IFERROR(IF(0=LEN(ReferenceData!$AQ$326),"",ReferenceData!$AQ$326),"")</f>
        <v>51.226999999999997</v>
      </c>
      <c r="AR326">
        <f ca="1">IFERROR(IF(0=LEN(ReferenceData!$AR$326),"",ReferenceData!$AR$326),"")</f>
        <v>67.484999999999999</v>
      </c>
      <c r="AS326">
        <f ca="1">IFERROR(IF(0=LEN(ReferenceData!$AS$326),"",ReferenceData!$AS$326),"")</f>
        <v>66.45</v>
      </c>
      <c r="AT326">
        <f ca="1">IFERROR(IF(0=LEN(ReferenceData!$AT$326),"",ReferenceData!$AT$326),"")</f>
        <v>65.742000000000004</v>
      </c>
      <c r="AU326">
        <f ca="1">IFERROR(IF(0=LEN(ReferenceData!$AU$326),"",ReferenceData!$AU$326),"")</f>
        <v>65.825999999999993</v>
      </c>
      <c r="AV326">
        <f ca="1">IFERROR(IF(0=LEN(ReferenceData!$AV$326),"",ReferenceData!$AV$326),"")</f>
        <v>48.88</v>
      </c>
      <c r="AW326">
        <f ca="1">IFERROR(IF(0=LEN(ReferenceData!$AW$326),"",ReferenceData!$AW$326),"")</f>
        <v>58.244999999999997</v>
      </c>
      <c r="AX326">
        <f ca="1">IFERROR(IF(0=LEN(ReferenceData!$AX$326),"",ReferenceData!$AX$326),"")</f>
        <v>46.811</v>
      </c>
      <c r="AY326">
        <f ca="1">IFERROR(IF(0=LEN(ReferenceData!$AY$326),"",ReferenceData!$AY$326),"")</f>
        <v>28.7</v>
      </c>
      <c r="AZ326">
        <f ca="1">IFERROR(IF(0=LEN(ReferenceData!$AZ$326),"",ReferenceData!$AZ$326),"")</f>
        <v>33.56</v>
      </c>
      <c r="BA326">
        <f ca="1">IFERROR(IF(0=LEN(ReferenceData!$BA$326),"",ReferenceData!$BA$326),"")</f>
        <v>40.067999999999998</v>
      </c>
      <c r="BB326">
        <f ca="1">IFERROR(IF(0=LEN(ReferenceData!$BB$326),"",ReferenceData!$BB$326),"")</f>
        <v>41.49</v>
      </c>
      <c r="BC326">
        <f ca="1">IFERROR(IF(0=LEN(ReferenceData!$BC$326),"",ReferenceData!$BC$326),"")</f>
        <v>28.838000000000001</v>
      </c>
      <c r="BD326">
        <f ca="1">IFERROR(IF(0=LEN(ReferenceData!$BD$326),"",ReferenceData!$BD$326),"")</f>
        <v>36.802</v>
      </c>
      <c r="BE326">
        <f ca="1">IFERROR(IF(0=LEN(ReferenceData!$BE$326),"",ReferenceData!$BE$326),"")</f>
        <v>37.887999999999998</v>
      </c>
      <c r="BF326">
        <f ca="1">IFERROR(IF(0=LEN(ReferenceData!$BF$326),"",ReferenceData!$BF$326),"")</f>
        <v>58.935000000000002</v>
      </c>
      <c r="BG326">
        <f ca="1">IFERROR(IF(0=LEN(ReferenceData!$BG$326),"",ReferenceData!$BG$326),"")</f>
        <v>25.765999999999998</v>
      </c>
      <c r="BH326">
        <f ca="1">IFERROR(IF(0=LEN(ReferenceData!$BH$326),"",ReferenceData!$BH$326),"")</f>
        <v>27.238001000000001</v>
      </c>
      <c r="BI326">
        <f ca="1">IFERROR(IF(0=LEN(ReferenceData!$BI$326),"",ReferenceData!$BI$326),"")</f>
        <v>30.042000000000002</v>
      </c>
      <c r="BJ326">
        <f ca="1">IFERROR(IF(0=LEN(ReferenceData!$BJ$326),"",ReferenceData!$BJ$326),"")</f>
        <v>35.789000999999999</v>
      </c>
      <c r="BK326">
        <f ca="1">IFERROR(IF(0=LEN(ReferenceData!$BK$326),"",ReferenceData!$BK$326),"")</f>
        <v>20.332001000000002</v>
      </c>
      <c r="BL326">
        <f ca="1">IFERROR(IF(0=LEN(ReferenceData!$BL$326),"",ReferenceData!$BL$326),"")</f>
        <v>25.187999999999999</v>
      </c>
      <c r="BM326">
        <f ca="1">IFERROR(IF(0=LEN(ReferenceData!$BM$326),"",ReferenceData!$BM$326),"")</f>
        <v>25.75</v>
      </c>
    </row>
    <row r="327" spans="1:65">
      <c r="A327" t="str">
        <f>IFERROR(IF(0=LEN(ReferenceData!$A$327),"",ReferenceData!$A$327),"")</f>
        <v xml:space="preserve">    DDR Corp</v>
      </c>
      <c r="B327" t="str">
        <f>IFERROR(IF(0=LEN(ReferenceData!$B$327),"",ReferenceData!$B$327),"")</f>
        <v>DDR US Equity</v>
      </c>
      <c r="C327" t="str">
        <f>IFERROR(IF(0=LEN(ReferenceData!$C$327),"",ReferenceData!$C$327),"")</f>
        <v>RR253</v>
      </c>
      <c r="D327" t="str">
        <f>IFERROR(IF(0=LEN(ReferenceData!$D$327),"",ReferenceData!$D$327),"")</f>
        <v>CASH_AND_MARKETABLE_SECURITIES</v>
      </c>
      <c r="E327" t="str">
        <f>IFERROR(IF(0=LEN(ReferenceData!$E$327),"",ReferenceData!$E$327),"")</f>
        <v>动态</v>
      </c>
      <c r="F327" t="str">
        <f ca="1">IFERROR(IF(0=LEN(ReferenceData!$F$327),"",ReferenceData!$F$327),"")</f>
        <v/>
      </c>
      <c r="G327">
        <f ca="1">IFERROR(IF(0=LEN(ReferenceData!$G$327),"",ReferenceData!$G$327),"")</f>
        <v>92.611000000000004</v>
      </c>
      <c r="H327">
        <f ca="1">IFERROR(IF(0=LEN(ReferenceData!$H$327),"",ReferenceData!$H$327),"")</f>
        <v>18.268000000000001</v>
      </c>
      <c r="I327">
        <f ca="1">IFERROR(IF(0=LEN(ReferenceData!$I$327),"",ReferenceData!$I$327),"")</f>
        <v>414.07400000000001</v>
      </c>
      <c r="J327">
        <f ca="1">IFERROR(IF(0=LEN(ReferenceData!$J$327),"",ReferenceData!$J$327),"")</f>
        <v>19.715</v>
      </c>
      <c r="K327">
        <f ca="1">IFERROR(IF(0=LEN(ReferenceData!$K$327),"",ReferenceData!$K$327),"")</f>
        <v>30.43</v>
      </c>
      <c r="L327">
        <f ca="1">IFERROR(IF(0=LEN(ReferenceData!$L$327),"",ReferenceData!$L$327),"")</f>
        <v>20.658000000000001</v>
      </c>
      <c r="M327">
        <f ca="1">IFERROR(IF(0=LEN(ReferenceData!$M$327),"",ReferenceData!$M$327),"")</f>
        <v>17.981000000000002</v>
      </c>
      <c r="N327">
        <f ca="1">IFERROR(IF(0=LEN(ReferenceData!$N$327),"",ReferenceData!$N$327),"")</f>
        <v>23.72</v>
      </c>
      <c r="O327">
        <f ca="1">IFERROR(IF(0=LEN(ReferenceData!$O$327),"",ReferenceData!$O$327),"")</f>
        <v>22.416</v>
      </c>
      <c r="P327">
        <f ca="1">IFERROR(IF(0=LEN(ReferenceData!$P$327),"",ReferenceData!$P$327),"")</f>
        <v>21.04</v>
      </c>
      <c r="Q327">
        <f ca="1">IFERROR(IF(0=LEN(ReferenceData!$Q$327),"",ReferenceData!$Q$327),"")</f>
        <v>25.268000000000001</v>
      </c>
      <c r="R327">
        <f ca="1">IFERROR(IF(0=LEN(ReferenceData!$R$327),"",ReferenceData!$R$327),"")</f>
        <v>55.993000000000002</v>
      </c>
      <c r="S327">
        <f ca="1">IFERROR(IF(0=LEN(ReferenceData!$S$327),"",ReferenceData!$S$327),"")</f>
        <v>20.937000000000001</v>
      </c>
      <c r="T327">
        <f ca="1">IFERROR(IF(0=LEN(ReferenceData!$T$327),"",ReferenceData!$T$327),"")</f>
        <v>134.32</v>
      </c>
      <c r="U327">
        <f ca="1">IFERROR(IF(0=LEN(ReferenceData!$U$327),"",ReferenceData!$U$327),"")</f>
        <v>359.34</v>
      </c>
      <c r="V327">
        <f ca="1">IFERROR(IF(0=LEN(ReferenceData!$V$327),"",ReferenceData!$V$327),"")</f>
        <v>163.83500000000001</v>
      </c>
      <c r="W327">
        <f ca="1">IFERROR(IF(0=LEN(ReferenceData!$W$327),"",ReferenceData!$W$327),"")</f>
        <v>86.664000000000001</v>
      </c>
      <c r="X327">
        <f ca="1">IFERROR(IF(0=LEN(ReferenceData!$X$327),"",ReferenceData!$X$327),"")</f>
        <v>35.350999999999999</v>
      </c>
      <c r="Y327">
        <f ca="1">IFERROR(IF(0=LEN(ReferenceData!$Y$327),"",ReferenceData!$Y$327),"")</f>
        <v>41.718000000000004</v>
      </c>
      <c r="Z327">
        <f ca="1">IFERROR(IF(0=LEN(ReferenceData!$Z$327),"",ReferenceData!$Z$327),"")</f>
        <v>18.872</v>
      </c>
      <c r="AA327">
        <f ca="1">IFERROR(IF(0=LEN(ReferenceData!$AA$327),"",ReferenceData!$AA$327),"")</f>
        <v>31.173999999999999</v>
      </c>
      <c r="AB327">
        <f ca="1">IFERROR(IF(0=LEN(ReferenceData!$AB$327),"",ReferenceData!$AB$327),"")</f>
        <v>20.227</v>
      </c>
      <c r="AC327">
        <f ca="1">IFERROR(IF(0=LEN(ReferenceData!$AC$327),"",ReferenceData!$AC$327),"")</f>
        <v>18.504999999999999</v>
      </c>
      <c r="AD327">
        <f ca="1">IFERROR(IF(0=LEN(ReferenceData!$AD$327),"",ReferenceData!$AD$327),"")</f>
        <v>16.088000000000001</v>
      </c>
      <c r="AE327">
        <f ca="1">IFERROR(IF(0=LEN(ReferenceData!$AE$327),"",ReferenceData!$AE$327),"")</f>
        <v>41.206000000000003</v>
      </c>
      <c r="AF327">
        <f ca="1">IFERROR(IF(0=LEN(ReferenceData!$AF$327),"",ReferenceData!$AF$327),"")</f>
        <v>20.681000000000001</v>
      </c>
      <c r="AG327">
        <f ca="1">IFERROR(IF(0=LEN(ReferenceData!$AG$327),"",ReferenceData!$AG$327),"")</f>
        <v>15.425000000000001</v>
      </c>
      <c r="AH327">
        <f ca="1">IFERROR(IF(0=LEN(ReferenceData!$AH$327),"",ReferenceData!$AH$327),"")</f>
        <v>21.024999999999999</v>
      </c>
      <c r="AI327">
        <f ca="1">IFERROR(IF(0=LEN(ReferenceData!$AI$327),"",ReferenceData!$AI$327),"")</f>
        <v>19.416</v>
      </c>
      <c r="AJ327">
        <f ca="1">IFERROR(IF(0=LEN(ReferenceData!$AJ$327),"",ReferenceData!$AJ$327),"")</f>
        <v>21.335000000000001</v>
      </c>
      <c r="AK327">
        <f ca="1">IFERROR(IF(0=LEN(ReferenceData!$AK$327),"",ReferenceData!$AK$327),"")</f>
        <v>20.92</v>
      </c>
      <c r="AL327">
        <f ca="1">IFERROR(IF(0=LEN(ReferenceData!$AL$327),"",ReferenceData!$AL$327),"")</f>
        <v>25.748000000000001</v>
      </c>
      <c r="AM327">
        <f ca="1">IFERROR(IF(0=LEN(ReferenceData!$AM$327),"",ReferenceData!$AM$327),"")</f>
        <v>26.172000000000001</v>
      </c>
      <c r="AN327">
        <f ca="1">IFERROR(IF(0=LEN(ReferenceData!$AN$327),"",ReferenceData!$AN$327),"")</f>
        <v>26.414999999999999</v>
      </c>
      <c r="AO327">
        <f ca="1">IFERROR(IF(0=LEN(ReferenceData!$AO$327),"",ReferenceData!$AO$327),"")</f>
        <v>28.745000000000001</v>
      </c>
      <c r="AP327">
        <f ca="1">IFERROR(IF(0=LEN(ReferenceData!$AP$327),"",ReferenceData!$AP$327),"")</f>
        <v>36.323</v>
      </c>
      <c r="AQ327">
        <f ca="1">IFERROR(IF(0=LEN(ReferenceData!$AQ$327),"",ReferenceData!$AQ$327),"")</f>
        <v>29.494</v>
      </c>
      <c r="AR327">
        <f ca="1">IFERROR(IF(0=LEN(ReferenceData!$AR$327),"",ReferenceData!$AR$327),"")</f>
        <v>30.170999999999999</v>
      </c>
      <c r="AS327">
        <f ca="1">IFERROR(IF(0=LEN(ReferenceData!$AS$327),"",ReferenceData!$AS$327),"")</f>
        <v>47.847000000000001</v>
      </c>
      <c r="AT327">
        <f ca="1">IFERROR(IF(0=LEN(ReferenceData!$AT$327),"",ReferenceData!$AT$327),"")</f>
        <v>70.963999999999999</v>
      </c>
      <c r="AU327">
        <f ca="1">IFERROR(IF(0=LEN(ReferenceData!$AU$327),"",ReferenceData!$AU$327),"")</f>
        <v>49.546999999999997</v>
      </c>
      <c r="AV327">
        <f ca="1">IFERROR(IF(0=LEN(ReferenceData!$AV$327),"",ReferenceData!$AV$327),"")</f>
        <v>49.7</v>
      </c>
      <c r="AW327">
        <f ca="1">IFERROR(IF(0=LEN(ReferenceData!$AW$327),"",ReferenceData!$AW$327),"")</f>
        <v>46.018999999999998</v>
      </c>
      <c r="AX327">
        <f ca="1">IFERROR(IF(0=LEN(ReferenceData!$AX$327),"",ReferenceData!$AX$327),"")</f>
        <v>79.721000000000004</v>
      </c>
      <c r="AY327">
        <f ca="1">IFERROR(IF(0=LEN(ReferenceData!$AY$327),"",ReferenceData!$AY$327),"")</f>
        <v>28.378</v>
      </c>
      <c r="AZ327">
        <f ca="1">IFERROR(IF(0=LEN(ReferenceData!$AZ$327),"",ReferenceData!$AZ$327),"")</f>
        <v>48.430999999999997</v>
      </c>
      <c r="BA327">
        <f ca="1">IFERROR(IF(0=LEN(ReferenceData!$BA$327),"",ReferenceData!$BA$327),"")</f>
        <v>43.119</v>
      </c>
      <c r="BB327">
        <f ca="1">IFERROR(IF(0=LEN(ReferenceData!$BB$327),"",ReferenceData!$BB$327),"")</f>
        <v>39.966999999999999</v>
      </c>
      <c r="BC327">
        <f ca="1">IFERROR(IF(0=LEN(ReferenceData!$BC$327),"",ReferenceData!$BC$327),"")</f>
        <v>30.655000000000001</v>
      </c>
      <c r="BD327">
        <f ca="1">IFERROR(IF(0=LEN(ReferenceData!$BD$327),"",ReferenceData!$BD$327),"")</f>
        <v>38.880000000000003</v>
      </c>
      <c r="BE327">
        <f ca="1">IFERROR(IF(0=LEN(ReferenceData!$BE$327),"",ReferenceData!$BE$327),"")</f>
        <v>36.31</v>
      </c>
      <c r="BF327">
        <f ca="1">IFERROR(IF(0=LEN(ReferenceData!$BF$327),"",ReferenceData!$BF$327),"")</f>
        <v>51.427999999999997</v>
      </c>
      <c r="BG327">
        <f ca="1">IFERROR(IF(0=LEN(ReferenceData!$BG$327),"",ReferenceData!$BG$327),"")</f>
        <v>49.871000000000002</v>
      </c>
      <c r="BH327">
        <f ca="1">IFERROR(IF(0=LEN(ReferenceData!$BH$327),"",ReferenceData!$BH$327),"")</f>
        <v>23.696999999999999</v>
      </c>
      <c r="BI327">
        <f ca="1">IFERROR(IF(0=LEN(ReferenceData!$BI$327),"",ReferenceData!$BI$327),"")</f>
        <v>21.52</v>
      </c>
      <c r="BJ327">
        <f ca="1">IFERROR(IF(0=LEN(ReferenceData!$BJ$327),"",ReferenceData!$BJ$327),"")</f>
        <v>22.683</v>
      </c>
      <c r="BK327">
        <f ca="1">IFERROR(IF(0=LEN(ReferenceData!$BK$327),"",ReferenceData!$BK$327),"")</f>
        <v>11.692999840000001</v>
      </c>
      <c r="BL327">
        <f ca="1">IFERROR(IF(0=LEN(ReferenceData!$BL$327),"",ReferenceData!$BL$327),"")</f>
        <v>18.474</v>
      </c>
      <c r="BM327">
        <f ca="1">IFERROR(IF(0=LEN(ReferenceData!$BM$327),"",ReferenceData!$BM$327),"")</f>
        <v>22.009</v>
      </c>
    </row>
    <row r="328" spans="1:65">
      <c r="A328" t="str">
        <f>IFERROR(IF(0=LEN(ReferenceData!$A$328),"",ReferenceData!$A$328),"")</f>
        <v xml:space="preserve">    Federal Realty Investment Trus</v>
      </c>
      <c r="B328" t="str">
        <f>IFERROR(IF(0=LEN(ReferenceData!$B$328),"",ReferenceData!$B$328),"")</f>
        <v>FRT US Equity</v>
      </c>
      <c r="C328" t="str">
        <f>IFERROR(IF(0=LEN(ReferenceData!$C$328),"",ReferenceData!$C$328),"")</f>
        <v>RR253</v>
      </c>
      <c r="D328" t="str">
        <f>IFERROR(IF(0=LEN(ReferenceData!$D$328),"",ReferenceData!$D$328),"")</f>
        <v>CASH_AND_MARKETABLE_SECURITIES</v>
      </c>
      <c r="E328" t="str">
        <f>IFERROR(IF(0=LEN(ReferenceData!$E$328),"",ReferenceData!$E$328),"")</f>
        <v>动态</v>
      </c>
      <c r="F328" t="str">
        <f ca="1">IFERROR(IF(0=LEN(ReferenceData!$F$328),"",ReferenceData!$F$328),"")</f>
        <v/>
      </c>
      <c r="G328">
        <f ca="1">IFERROR(IF(0=LEN(ReferenceData!$G$328),"",ReferenceData!$G$328),"")</f>
        <v>15.188000000000001</v>
      </c>
      <c r="H328">
        <f ca="1">IFERROR(IF(0=LEN(ReferenceData!$H$328),"",ReferenceData!$H$328),"")</f>
        <v>22.85</v>
      </c>
      <c r="I328">
        <f ca="1">IFERROR(IF(0=LEN(ReferenceData!$I$328),"",ReferenceData!$I$328),"")</f>
        <v>96.325999999999993</v>
      </c>
      <c r="J328">
        <f ca="1">IFERROR(IF(0=LEN(ReferenceData!$J$328),"",ReferenceData!$J$328),"")</f>
        <v>20.111999999999998</v>
      </c>
      <c r="K328">
        <f ca="1">IFERROR(IF(0=LEN(ReferenceData!$K$328),"",ReferenceData!$K$328),"")</f>
        <v>23.367999999999999</v>
      </c>
      <c r="L328">
        <f ca="1">IFERROR(IF(0=LEN(ReferenceData!$L$328),"",ReferenceData!$L$328),"")</f>
        <v>101.28100000000001</v>
      </c>
      <c r="M328">
        <f ca="1">IFERROR(IF(0=LEN(ReferenceData!$M$328),"",ReferenceData!$M$328),"")</f>
        <v>18.622</v>
      </c>
      <c r="N328">
        <f ca="1">IFERROR(IF(0=LEN(ReferenceData!$N$328),"",ReferenceData!$N$328),"")</f>
        <v>19.716000000000001</v>
      </c>
      <c r="O328">
        <f ca="1">IFERROR(IF(0=LEN(ReferenceData!$O$328),"",ReferenceData!$O$328),"")</f>
        <v>21.045999999999999</v>
      </c>
      <c r="P328">
        <f ca="1">IFERROR(IF(0=LEN(ReferenceData!$P$328),"",ReferenceData!$P$328),"")</f>
        <v>12.864000000000001</v>
      </c>
      <c r="Q328">
        <f ca="1">IFERROR(IF(0=LEN(ReferenceData!$Q$328),"",ReferenceData!$Q$328),"")</f>
        <v>22.175000000000001</v>
      </c>
      <c r="R328">
        <f ca="1">IFERROR(IF(0=LEN(ReferenceData!$R$328),"",ReferenceData!$R$328),"")</f>
        <v>171.43700000000001</v>
      </c>
      <c r="S328">
        <f ca="1">IFERROR(IF(0=LEN(ReferenceData!$S$328),"",ReferenceData!$S$328),"")</f>
        <v>47.951000000000001</v>
      </c>
      <c r="T328">
        <f ca="1">IFERROR(IF(0=LEN(ReferenceData!$T$328),"",ReferenceData!$T$328),"")</f>
        <v>23.917000000000002</v>
      </c>
      <c r="U328">
        <f ca="1">IFERROR(IF(0=LEN(ReferenceData!$U$328),"",ReferenceData!$U$328),"")</f>
        <v>41.311999999999998</v>
      </c>
      <c r="V328">
        <f ca="1">IFERROR(IF(0=LEN(ReferenceData!$V$328),"",ReferenceData!$V$328),"")</f>
        <v>75.698999999999998</v>
      </c>
      <c r="W328">
        <f ca="1">IFERROR(IF(0=LEN(ReferenceData!$W$328),"",ReferenceData!$W$328),"")</f>
        <v>88.927000000000007</v>
      </c>
      <c r="X328">
        <f ca="1">IFERROR(IF(0=LEN(ReferenceData!$X$328),"",ReferenceData!$X$328),"")</f>
        <v>127.831</v>
      </c>
      <c r="Y328">
        <f ca="1">IFERROR(IF(0=LEN(ReferenceData!$Y$328),"",ReferenceData!$Y$328),"")</f>
        <v>108.366</v>
      </c>
      <c r="Z328">
        <f ca="1">IFERROR(IF(0=LEN(ReferenceData!$Z$328),"",ReferenceData!$Z$328),"")</f>
        <v>31.274000000000001</v>
      </c>
      <c r="AA328">
        <f ca="1">IFERROR(IF(0=LEN(ReferenceData!$AA$328),"",ReferenceData!$AA$328),"")</f>
        <v>36.988</v>
      </c>
      <c r="AB328">
        <f ca="1">IFERROR(IF(0=LEN(ReferenceData!$AB$328),"",ReferenceData!$AB$328),"")</f>
        <v>147.68</v>
      </c>
      <c r="AC328">
        <f ca="1">IFERROR(IF(0=LEN(ReferenceData!$AC$328),"",ReferenceData!$AC$328),"")</f>
        <v>82.774000000000001</v>
      </c>
      <c r="AD328">
        <f ca="1">IFERROR(IF(0=LEN(ReferenceData!$AD$328),"",ReferenceData!$AD$328),"")</f>
        <v>69.182000000000002</v>
      </c>
      <c r="AE328">
        <f ca="1">IFERROR(IF(0=LEN(ReferenceData!$AE$328),"",ReferenceData!$AE$328),"")</f>
        <v>67.805999999999997</v>
      </c>
      <c r="AF328">
        <f ca="1">IFERROR(IF(0=LEN(ReferenceData!$AF$328),"",ReferenceData!$AF$328),"")</f>
        <v>22.07</v>
      </c>
      <c r="AG328">
        <f ca="1">IFERROR(IF(0=LEN(ReferenceData!$AG$328),"",ReferenceData!$AG$328),"")</f>
        <v>19.847999999999999</v>
      </c>
      <c r="AH328">
        <f ca="1">IFERROR(IF(0=LEN(ReferenceData!$AH$328),"",ReferenceData!$AH$328),"")</f>
        <v>10.000999999999999</v>
      </c>
      <c r="AI328">
        <f ca="1">IFERROR(IF(0=LEN(ReferenceData!$AI$328),"",ReferenceData!$AI$328),"")</f>
        <v>15.797000000000001</v>
      </c>
      <c r="AJ328">
        <f ca="1">IFERROR(IF(0=LEN(ReferenceData!$AJ$328),"",ReferenceData!$AJ$328),"")</f>
        <v>9.1739999999999995</v>
      </c>
      <c r="AK328">
        <f ca="1">IFERROR(IF(0=LEN(ReferenceData!$AK$328),"",ReferenceData!$AK$328),"")</f>
        <v>23.556999999999999</v>
      </c>
      <c r="AL328">
        <f ca="1">IFERROR(IF(0=LEN(ReferenceData!$AL$328),"",ReferenceData!$AL$328),"")</f>
        <v>22.594000000000001</v>
      </c>
      <c r="AM328">
        <f ca="1">IFERROR(IF(0=LEN(ReferenceData!$AM$328),"",ReferenceData!$AM$328),"")</f>
        <v>135.38900000000001</v>
      </c>
      <c r="AN328">
        <f ca="1">IFERROR(IF(0=LEN(ReferenceData!$AN$328),"",ReferenceData!$AN$328),"")</f>
        <v>408.428</v>
      </c>
      <c r="AO328">
        <f ca="1">IFERROR(IF(0=LEN(ReferenceData!$AO$328),"",ReferenceData!$AO$328),"")</f>
        <v>170.059</v>
      </c>
      <c r="AP328">
        <f ca="1">IFERROR(IF(0=LEN(ReferenceData!$AP$328),"",ReferenceData!$AP$328),"")</f>
        <v>22.46</v>
      </c>
      <c r="AQ328">
        <f ca="1">IFERROR(IF(0=LEN(ReferenceData!$AQ$328),"",ReferenceData!$AQ$328),"")</f>
        <v>15.223000000000001</v>
      </c>
      <c r="AR328">
        <f ca="1">IFERROR(IF(0=LEN(ReferenceData!$AR$328),"",ReferenceData!$AR$328),"")</f>
        <v>48.991</v>
      </c>
      <c r="AS328">
        <f ca="1">IFERROR(IF(0=LEN(ReferenceData!$AS$328),"",ReferenceData!$AS$328),"")</f>
        <v>20.280999999999999</v>
      </c>
      <c r="AT328">
        <f ca="1">IFERROR(IF(0=LEN(ReferenceData!$AT$328),"",ReferenceData!$AT$328),"")</f>
        <v>27.654</v>
      </c>
      <c r="AU328">
        <f ca="1">IFERROR(IF(0=LEN(ReferenceData!$AU$328),"",ReferenceData!$AU$328),"")</f>
        <v>50.691000000000003</v>
      </c>
      <c r="AV328">
        <f ca="1">IFERROR(IF(0=LEN(ReferenceData!$AV$328),"",ReferenceData!$AV$328),"")</f>
        <v>10.281000000000001</v>
      </c>
      <c r="AW328">
        <f ca="1">IFERROR(IF(0=LEN(ReferenceData!$AW$328),"",ReferenceData!$AW$328),"")</f>
        <v>11.718</v>
      </c>
      <c r="AX328">
        <f ca="1">IFERROR(IF(0=LEN(ReferenceData!$AX$328),"",ReferenceData!$AX$328),"")</f>
        <v>15.987</v>
      </c>
      <c r="AY328">
        <f ca="1">IFERROR(IF(0=LEN(ReferenceData!$AY$328),"",ReferenceData!$AY$328),"")</f>
        <v>11.494999999999999</v>
      </c>
      <c r="AZ328">
        <f ca="1">IFERROR(IF(0=LEN(ReferenceData!$AZ$328),"",ReferenceData!$AZ$328),"")</f>
        <v>66.424000000000007</v>
      </c>
      <c r="BA328">
        <f ca="1">IFERROR(IF(0=LEN(ReferenceData!$BA$328),"",ReferenceData!$BA$328),"")</f>
        <v>14.042</v>
      </c>
      <c r="BB328">
        <f ca="1">IFERROR(IF(0=LEN(ReferenceData!$BB$328),"",ReferenceData!$BB$328),"")</f>
        <v>4.7919999999999998</v>
      </c>
      <c r="BC328">
        <f ca="1">IFERROR(IF(0=LEN(ReferenceData!$BC$328),"",ReferenceData!$BC$328),"")</f>
        <v>8.6389999999999993</v>
      </c>
      <c r="BD328">
        <f ca="1">IFERROR(IF(0=LEN(ReferenceData!$BD$328),"",ReferenceData!$BD$328),"")</f>
        <v>16.573</v>
      </c>
      <c r="BE328">
        <f ca="1">IFERROR(IF(0=LEN(ReferenceData!$BE$328),"",ReferenceData!$BE$328),"")</f>
        <v>13.625</v>
      </c>
      <c r="BF328">
        <f ca="1">IFERROR(IF(0=LEN(ReferenceData!$BF$328),"",ReferenceData!$BF$328),"")</f>
        <v>27.645</v>
      </c>
      <c r="BG328">
        <f ca="1">IFERROR(IF(0=LEN(ReferenceData!$BG$328),"",ReferenceData!$BG$328),"")</f>
        <v>30.475000380000001</v>
      </c>
      <c r="BH328">
        <f ca="1">IFERROR(IF(0=LEN(ReferenceData!$BH$328),"",ReferenceData!$BH$328),"")</f>
        <v>23.437000000000001</v>
      </c>
      <c r="BI328">
        <f ca="1">IFERROR(IF(0=LEN(ReferenceData!$BI$328),"",ReferenceData!$BI$328),"")</f>
        <v>45.103000639999998</v>
      </c>
      <c r="BJ328">
        <f ca="1">IFERROR(IF(0=LEN(ReferenceData!$BJ$328),"",ReferenceData!$BJ$328),"")</f>
        <v>27.94</v>
      </c>
      <c r="BK328">
        <f ca="1">IFERROR(IF(0=LEN(ReferenceData!$BK$328),"",ReferenceData!$BK$328),"")</f>
        <v>34.968000000000004</v>
      </c>
      <c r="BL328">
        <f ca="1">IFERROR(IF(0=LEN(ReferenceData!$BL$328),"",ReferenceData!$BL$328),"")</f>
        <v>33.655999999999999</v>
      </c>
      <c r="BM328">
        <f ca="1">IFERROR(IF(0=LEN(ReferenceData!$BM$328),"",ReferenceData!$BM$328),"")</f>
        <v>18.609000000000002</v>
      </c>
    </row>
    <row r="329" spans="1:65">
      <c r="A329" t="str">
        <f>IFERROR(IF(0=LEN(ReferenceData!$A$329),"",ReferenceData!$A$329),"")</f>
        <v xml:space="preserve">    Kimco Realty Corp</v>
      </c>
      <c r="B329" t="str">
        <f>IFERROR(IF(0=LEN(ReferenceData!$B$329),"",ReferenceData!$B$329),"")</f>
        <v>KIM US Equity</v>
      </c>
      <c r="C329" t="str">
        <f>IFERROR(IF(0=LEN(ReferenceData!$C$329),"",ReferenceData!$C$329),"")</f>
        <v>RR253</v>
      </c>
      <c r="D329" t="str">
        <f>IFERROR(IF(0=LEN(ReferenceData!$D$329),"",ReferenceData!$D$329),"")</f>
        <v>CASH_AND_MARKETABLE_SECURITIES</v>
      </c>
      <c r="E329" t="str">
        <f>IFERROR(IF(0=LEN(ReferenceData!$E$329),"",ReferenceData!$E$329),"")</f>
        <v>动态</v>
      </c>
      <c r="F329" t="str">
        <f ca="1">IFERROR(IF(0=LEN(ReferenceData!$F$329),"",ReferenceData!$F$329),"")</f>
        <v/>
      </c>
      <c r="G329">
        <f ca="1">IFERROR(IF(0=LEN(ReferenceData!$G$329),"",ReferenceData!$G$329),"")</f>
        <v>238.51300000000001</v>
      </c>
      <c r="H329">
        <f ca="1">IFERROR(IF(0=LEN(ReferenceData!$H$329),"",ReferenceData!$H$329),"")</f>
        <v>156.58799999999999</v>
      </c>
      <c r="I329">
        <f ca="1">IFERROR(IF(0=LEN(ReferenceData!$I$329),"",ReferenceData!$I$329),"")</f>
        <v>143.09899999999999</v>
      </c>
      <c r="J329">
        <f ca="1">IFERROR(IF(0=LEN(ReferenceData!$J$329),"",ReferenceData!$J$329),"")</f>
        <v>167.45400000000001</v>
      </c>
      <c r="K329">
        <f ca="1">IFERROR(IF(0=LEN(ReferenceData!$K$329),"",ReferenceData!$K$329),"")</f>
        <v>142.48599999999999</v>
      </c>
      <c r="L329">
        <f ca="1">IFERROR(IF(0=LEN(ReferenceData!$L$329),"",ReferenceData!$L$329),"")</f>
        <v>170.54499999999999</v>
      </c>
      <c r="M329">
        <f ca="1">IFERROR(IF(0=LEN(ReferenceData!$M$329),"",ReferenceData!$M$329),"")</f>
        <v>337.815</v>
      </c>
      <c r="N329">
        <f ca="1">IFERROR(IF(0=LEN(ReferenceData!$N$329),"",ReferenceData!$N$329),"")</f>
        <v>222</v>
      </c>
      <c r="O329">
        <f ca="1">IFERROR(IF(0=LEN(ReferenceData!$O$329),"",ReferenceData!$O$329),"")</f>
        <v>189.53399999999999</v>
      </c>
      <c r="P329">
        <f ca="1">IFERROR(IF(0=LEN(ReferenceData!$P$329),"",ReferenceData!$P$329),"")</f>
        <v>180.91300000000001</v>
      </c>
      <c r="Q329">
        <f ca="1">IFERROR(IF(0=LEN(ReferenceData!$Q$329),"",ReferenceData!$Q$329),"")</f>
        <v>145.83199999999999</v>
      </c>
      <c r="R329">
        <f ca="1">IFERROR(IF(0=LEN(ReferenceData!$R$329),"",ReferenceData!$R$329),"")</f>
        <v>220.977</v>
      </c>
      <c r="S329">
        <f ca="1">IFERROR(IF(0=LEN(ReferenceData!$S$329),"",ReferenceData!$S$329),"")</f>
        <v>187.322</v>
      </c>
      <c r="T329">
        <f ca="1">IFERROR(IF(0=LEN(ReferenceData!$T$329),"",ReferenceData!$T$329),"")</f>
        <v>154.19</v>
      </c>
      <c r="U329">
        <f ca="1">IFERROR(IF(0=LEN(ReferenceData!$U$329),"",ReferenceData!$U$329),"")</f>
        <v>192.18299999999999</v>
      </c>
      <c r="V329">
        <f ca="1">IFERROR(IF(0=LEN(ReferenceData!$V$329),"",ReferenceData!$V$329),"")</f>
        <v>268.911</v>
      </c>
      <c r="W329">
        <f ca="1">IFERROR(IF(0=LEN(ReferenceData!$W$329),"",ReferenceData!$W$329),"")</f>
        <v>148.768</v>
      </c>
      <c r="X329">
        <f ca="1">IFERROR(IF(0=LEN(ReferenceData!$X$329),"",ReferenceData!$X$329),"")</f>
        <v>401.73</v>
      </c>
      <c r="Y329">
        <f ca="1">IFERROR(IF(0=LEN(ReferenceData!$Y$329),"",ReferenceData!$Y$329),"")</f>
        <v>156.44999999999999</v>
      </c>
      <c r="Z329">
        <f ca="1">IFERROR(IF(0=LEN(ReferenceData!$Z$329),"",ReferenceData!$Z$329),"")</f>
        <v>166.89400000000001</v>
      </c>
      <c r="AA329">
        <f ca="1">IFERROR(IF(0=LEN(ReferenceData!$AA$329),"",ReferenceData!$AA$329),"")</f>
        <v>141.875</v>
      </c>
      <c r="AB329">
        <f ca="1">IFERROR(IF(0=LEN(ReferenceData!$AB$329),"",ReferenceData!$AB$329),"")</f>
        <v>429.529</v>
      </c>
      <c r="AC329">
        <f ca="1">IFERROR(IF(0=LEN(ReferenceData!$AC$329),"",ReferenceData!$AC$329),"")</f>
        <v>383.72899999999998</v>
      </c>
      <c r="AD329">
        <f ca="1">IFERROR(IF(0=LEN(ReferenceData!$AD$329),"",ReferenceData!$AD$329),"")</f>
        <v>242.3</v>
      </c>
      <c r="AE329">
        <f ca="1">IFERROR(IF(0=LEN(ReferenceData!$AE$329),"",ReferenceData!$AE$329),"")</f>
        <v>112.88200000000001</v>
      </c>
      <c r="AF329">
        <f ca="1">IFERROR(IF(0=LEN(ReferenceData!$AF$329),"",ReferenceData!$AF$329),"")</f>
        <v>180.19800000000001</v>
      </c>
      <c r="AG329">
        <f ca="1">IFERROR(IF(0=LEN(ReferenceData!$AG$329),"",ReferenceData!$AG$329),"")</f>
        <v>144.06700000000001</v>
      </c>
      <c r="AH329">
        <f ca="1">IFERROR(IF(0=LEN(ReferenceData!$AH$329),"",ReferenceData!$AH$329),"")</f>
        <v>148.03800000000001</v>
      </c>
      <c r="AI329">
        <f ca="1">IFERROR(IF(0=LEN(ReferenceData!$AI$329),"",ReferenceData!$AI$329),"")</f>
        <v>125.154</v>
      </c>
      <c r="AJ329">
        <f ca="1">IFERROR(IF(0=LEN(ReferenceData!$AJ$329),"",ReferenceData!$AJ$329),"")</f>
        <v>158.11600000000001</v>
      </c>
      <c r="AK329">
        <f ca="1">IFERROR(IF(0=LEN(ReferenceData!$AK$329),"",ReferenceData!$AK$329),"")</f>
        <v>135.28299999999999</v>
      </c>
      <c r="AL329">
        <f ca="1">IFERROR(IF(0=LEN(ReferenceData!$AL$329),"",ReferenceData!$AL$329),"")</f>
        <v>137.43700000000001</v>
      </c>
      <c r="AM329">
        <f ca="1">IFERROR(IF(0=LEN(ReferenceData!$AM$329),"",ReferenceData!$AM$329),"")</f>
        <v>122.05800000000001</v>
      </c>
      <c r="AN329">
        <f ca="1">IFERROR(IF(0=LEN(ReferenceData!$AN$329),"",ReferenceData!$AN$329),"")</f>
        <v>140.75700000000001</v>
      </c>
      <c r="AO329">
        <f ca="1">IFERROR(IF(0=LEN(ReferenceData!$AO$329),"",ReferenceData!$AO$329),"")</f>
        <v>188.92500000000001</v>
      </c>
      <c r="AP329">
        <f ca="1">IFERROR(IF(0=LEN(ReferenceData!$AP$329),"",ReferenceData!$AP$329),"")</f>
        <v>149.982</v>
      </c>
      <c r="AQ329">
        <f ca="1">IFERROR(IF(0=LEN(ReferenceData!$AQ$329),"",ReferenceData!$AQ$329),"")</f>
        <v>136.17699999999999</v>
      </c>
      <c r="AR329">
        <f ca="1">IFERROR(IF(0=LEN(ReferenceData!$AR$329),"",ReferenceData!$AR$329),"")</f>
        <v>124.09099999999999</v>
      </c>
      <c r="AS329">
        <f ca="1">IFERROR(IF(0=LEN(ReferenceData!$AS$329),"",ReferenceData!$AS$329),"")</f>
        <v>123.18300000000001</v>
      </c>
      <c r="AT329">
        <f ca="1">IFERROR(IF(0=LEN(ReferenceData!$AT$329),"",ReferenceData!$AT$329),"")</f>
        <v>150.96100000000001</v>
      </c>
      <c r="AU329">
        <f ca="1">IFERROR(IF(0=LEN(ReferenceData!$AU$329),"",ReferenceData!$AU$329),"")</f>
        <v>87.498999999999995</v>
      </c>
      <c r="AV329">
        <f ca="1">IFERROR(IF(0=LEN(ReferenceData!$AV$329),"",ReferenceData!$AV$329),"")</f>
        <v>45.439</v>
      </c>
      <c r="AW329">
        <f ca="1">IFERROR(IF(0=LEN(ReferenceData!$AW$329),"",ReferenceData!$AW$329),"")</f>
        <v>109.53100000000001</v>
      </c>
      <c r="AX329">
        <f ca="1">IFERROR(IF(0=LEN(ReferenceData!$AX$329),"",ReferenceData!$AX$329),"")</f>
        <v>120.044</v>
      </c>
      <c r="AY329">
        <f ca="1">IFERROR(IF(0=LEN(ReferenceData!$AY$329),"",ReferenceData!$AY$329),"")</f>
        <v>345.065</v>
      </c>
      <c r="AZ329">
        <f ca="1">IFERROR(IF(0=LEN(ReferenceData!$AZ$329),"",ReferenceData!$AZ$329),"")</f>
        <v>102.795</v>
      </c>
      <c r="BA329">
        <f ca="1">IFERROR(IF(0=LEN(ReferenceData!$BA$329),"",ReferenceData!$BA$329),"")</f>
        <v>122.346</v>
      </c>
      <c r="BB329">
        <f ca="1">IFERROR(IF(0=LEN(ReferenceData!$BB$329),"",ReferenceData!$BB$329),"")</f>
        <v>158.87799999999999</v>
      </c>
      <c r="BC329">
        <f ca="1">IFERROR(IF(0=LEN(ReferenceData!$BC$329),"",ReferenceData!$BC$329),"")</f>
        <v>76.272999999999996</v>
      </c>
      <c r="BD329">
        <f ca="1">IFERROR(IF(0=LEN(ReferenceData!$BD$329),"",ReferenceData!$BD$329),"")</f>
        <v>69.94</v>
      </c>
      <c r="BE329">
        <f ca="1">IFERROR(IF(0=LEN(ReferenceData!$BE$329),"",ReferenceData!$BE$329),"")</f>
        <v>47.377000000000002</v>
      </c>
      <c r="BF329">
        <f ca="1">IFERROR(IF(0=LEN(ReferenceData!$BF$329),"",ReferenceData!$BF$329),"")</f>
        <v>96.141000000000005</v>
      </c>
      <c r="BG329">
        <f ca="1">IFERROR(IF(0=LEN(ReferenceData!$BG$329),"",ReferenceData!$BG$329),"")</f>
        <v>38.22</v>
      </c>
      <c r="BH329">
        <f ca="1">IFERROR(IF(0=LEN(ReferenceData!$BH$329),"",ReferenceData!$BH$329),"")</f>
        <v>134.03100000000001</v>
      </c>
      <c r="BI329">
        <f ca="1">IFERROR(IF(0=LEN(ReferenceData!$BI$329),"",ReferenceData!$BI$329),"")</f>
        <v>55.345999999999997</v>
      </c>
      <c r="BJ329">
        <f ca="1">IFERROR(IF(0=LEN(ReferenceData!$BJ$329),"",ReferenceData!$BJ$329),"")</f>
        <v>55.686999999999998</v>
      </c>
      <c r="BK329">
        <f ca="1">IFERROR(IF(0=LEN(ReferenceData!$BK$329),"",ReferenceData!$BK$329),"")</f>
        <v>48.287999999999997</v>
      </c>
      <c r="BL329">
        <f ca="1">IFERROR(IF(0=LEN(ReferenceData!$BL$329),"",ReferenceData!$BL$329),"")</f>
        <v>106.9599991</v>
      </c>
      <c r="BM329">
        <f ca="1">IFERROR(IF(0=LEN(ReferenceData!$BM$329),"",ReferenceData!$BM$329),"")</f>
        <v>57.948999999999998</v>
      </c>
    </row>
    <row r="330" spans="1:65">
      <c r="A330" t="str">
        <f>IFERROR(IF(0=LEN(ReferenceData!$A$330),"",ReferenceData!$A$330),"")</f>
        <v xml:space="preserve">    National Retail Properties Inc</v>
      </c>
      <c r="B330" t="str">
        <f>IFERROR(IF(0=LEN(ReferenceData!$B$330),"",ReferenceData!$B$330),"")</f>
        <v>NNN US Equity</v>
      </c>
      <c r="C330" t="str">
        <f>IFERROR(IF(0=LEN(ReferenceData!$C$330),"",ReferenceData!$C$330),"")</f>
        <v>RR253</v>
      </c>
      <c r="D330" t="str">
        <f>IFERROR(IF(0=LEN(ReferenceData!$D$330),"",ReferenceData!$D$330),"")</f>
        <v>CASH_AND_MARKETABLE_SECURITIES</v>
      </c>
      <c r="E330" t="str">
        <f>IFERROR(IF(0=LEN(ReferenceData!$E$330),"",ReferenceData!$E$330),"")</f>
        <v>动态</v>
      </c>
      <c r="F330" t="str">
        <f ca="1">IFERROR(IF(0=LEN(ReferenceData!$F$330),"",ReferenceData!$F$330),"")</f>
        <v/>
      </c>
      <c r="G330">
        <f ca="1">IFERROR(IF(0=LEN(ReferenceData!$G$330),"",ReferenceData!$G$330),"")</f>
        <v>1.3640000000000001</v>
      </c>
      <c r="H330">
        <f ca="1">IFERROR(IF(0=LEN(ReferenceData!$H$330),"",ReferenceData!$H$330),"")</f>
        <v>254.26300000000001</v>
      </c>
      <c r="I330">
        <f ca="1">IFERROR(IF(0=LEN(ReferenceData!$I$330),"",ReferenceData!$I$330),"")</f>
        <v>4.45</v>
      </c>
      <c r="J330">
        <f ca="1">IFERROR(IF(0=LEN(ReferenceData!$J$330),"",ReferenceData!$J$330),"")</f>
        <v>34.417999999999999</v>
      </c>
      <c r="K330">
        <f ca="1">IFERROR(IF(0=LEN(ReferenceData!$K$330),"",ReferenceData!$K$330),"")</f>
        <v>294.54000000000002</v>
      </c>
      <c r="L330">
        <f ca="1">IFERROR(IF(0=LEN(ReferenceData!$L$330),"",ReferenceData!$L$330),"")</f>
        <v>5.9160000000000004</v>
      </c>
      <c r="M330">
        <f ca="1">IFERROR(IF(0=LEN(ReferenceData!$M$330),"",ReferenceData!$M$330),"")</f>
        <v>2.371</v>
      </c>
      <c r="N330">
        <f ca="1">IFERROR(IF(0=LEN(ReferenceData!$N$330),"",ReferenceData!$N$330),"")</f>
        <v>8.2029999999999994</v>
      </c>
      <c r="O330">
        <f ca="1">IFERROR(IF(0=LEN(ReferenceData!$O$330),"",ReferenceData!$O$330),"")</f>
        <v>14.26</v>
      </c>
      <c r="P330">
        <f ca="1">IFERROR(IF(0=LEN(ReferenceData!$P$330),"",ReferenceData!$P$330),"")</f>
        <v>2.6150000000000002</v>
      </c>
      <c r="Q330">
        <f ca="1">IFERROR(IF(0=LEN(ReferenceData!$Q$330),"",ReferenceData!$Q$330),"")</f>
        <v>2.448</v>
      </c>
      <c r="R330">
        <f ca="1">IFERROR(IF(0=LEN(ReferenceData!$R$330),"",ReferenceData!$R$330),"")</f>
        <v>4.4560000000000004</v>
      </c>
      <c r="S330">
        <f ca="1">IFERROR(IF(0=LEN(ReferenceData!$S$330),"",ReferenceData!$S$330),"")</f>
        <v>10.603999999999999</v>
      </c>
      <c r="T330">
        <f ca="1">IFERROR(IF(0=LEN(ReferenceData!$T$330),"",ReferenceData!$T$330),"")</f>
        <v>4.9039999999999999</v>
      </c>
      <c r="U330">
        <f ca="1">IFERROR(IF(0=LEN(ReferenceData!$U$330),"",ReferenceData!$U$330),"")</f>
        <v>85.358000000000004</v>
      </c>
      <c r="V330">
        <f ca="1">IFERROR(IF(0=LEN(ReferenceData!$V$330),"",ReferenceData!$V$330),"")</f>
        <v>5.9260000000000002</v>
      </c>
      <c r="W330">
        <f ca="1">IFERROR(IF(0=LEN(ReferenceData!$W$330),"",ReferenceData!$W$330),"")</f>
        <v>1.4850000000000001</v>
      </c>
      <c r="X330">
        <f ca="1">IFERROR(IF(0=LEN(ReferenceData!$X$330),"",ReferenceData!$X$330),"")</f>
        <v>6.53</v>
      </c>
      <c r="Y330">
        <f ca="1">IFERROR(IF(0=LEN(ReferenceData!$Y$330),"",ReferenceData!$Y$330),"")</f>
        <v>236.916</v>
      </c>
      <c r="Z330">
        <f ca="1">IFERROR(IF(0=LEN(ReferenceData!$Z$330),"",ReferenceData!$Z$330),"")</f>
        <v>3.4420000000000002</v>
      </c>
      <c r="AA330">
        <f ca="1">IFERROR(IF(0=LEN(ReferenceData!$AA$330),"",ReferenceData!$AA$330),"")</f>
        <v>2.0760000000000001</v>
      </c>
      <c r="AB330">
        <f ca="1">IFERROR(IF(0=LEN(ReferenceData!$AB$330),"",ReferenceData!$AB$330),"")</f>
        <v>141.446</v>
      </c>
      <c r="AC330">
        <f ca="1">IFERROR(IF(0=LEN(ReferenceData!$AC$330),"",ReferenceData!$AC$330),"")</f>
        <v>2.907</v>
      </c>
      <c r="AD330">
        <f ca="1">IFERROR(IF(0=LEN(ReferenceData!$AD$330),"",ReferenceData!$AD$330),"")</f>
        <v>3.0329999999999999</v>
      </c>
      <c r="AE330">
        <f ca="1">IFERROR(IF(0=LEN(ReferenceData!$AE$330),"",ReferenceData!$AE$330),"")</f>
        <v>2.0819999999999999</v>
      </c>
      <c r="AF330">
        <f ca="1">IFERROR(IF(0=LEN(ReferenceData!$AF$330),"",ReferenceData!$AF$330),"")</f>
        <v>19.678000000000001</v>
      </c>
      <c r="AG330">
        <f ca="1">IFERROR(IF(0=LEN(ReferenceData!$AG$330),"",ReferenceData!$AG$330),"")</f>
        <v>3.5880000000000001</v>
      </c>
      <c r="AH330">
        <f ca="1">IFERROR(IF(0=LEN(ReferenceData!$AH$330),"",ReferenceData!$AH$330),"")</f>
        <v>2.5569999999999999</v>
      </c>
      <c r="AI330">
        <f ca="1">IFERROR(IF(0=LEN(ReferenceData!$AI$330),"",ReferenceData!$AI$330),"")</f>
        <v>2.048</v>
      </c>
      <c r="AJ330">
        <f ca="1">IFERROR(IF(0=LEN(ReferenceData!$AJ$330),"",ReferenceData!$AJ$330),"")</f>
        <v>4.0090000000000003</v>
      </c>
      <c r="AK330">
        <f ca="1">IFERROR(IF(0=LEN(ReferenceData!$AK$330),"",ReferenceData!$AK$330),"")</f>
        <v>51.832000000000001</v>
      </c>
      <c r="AL330">
        <f ca="1">IFERROR(IF(0=LEN(ReferenceData!$AL$330),"",ReferenceData!$AL$330),"")</f>
        <v>31.242999999999999</v>
      </c>
      <c r="AM330">
        <f ca="1">IFERROR(IF(0=LEN(ReferenceData!$AM$330),"",ReferenceData!$AM$330),"")</f>
        <v>15.225</v>
      </c>
      <c r="AN330">
        <f ca="1">IFERROR(IF(0=LEN(ReferenceData!$AN$330),"",ReferenceData!$AN$330),"")</f>
        <v>23.251000000000001</v>
      </c>
      <c r="AO330">
        <f ca="1">IFERROR(IF(0=LEN(ReferenceData!$AO$330),"",ReferenceData!$AO$330),"")</f>
        <v>1.573</v>
      </c>
      <c r="AP330">
        <f ca="1">IFERROR(IF(0=LEN(ReferenceData!$AP$330),"",ReferenceData!$AP$330),"")</f>
        <v>1.8580000000000001</v>
      </c>
      <c r="AQ330">
        <f ca="1">IFERROR(IF(0=LEN(ReferenceData!$AQ$330),"",ReferenceData!$AQ$330),"")</f>
        <v>2.6259999999999999</v>
      </c>
      <c r="AR330">
        <f ca="1">IFERROR(IF(0=LEN(ReferenceData!$AR$330),"",ReferenceData!$AR$330),"")</f>
        <v>2.5139999999999998</v>
      </c>
      <c r="AS330">
        <f ca="1">IFERROR(IF(0=LEN(ReferenceData!$AS$330),"",ReferenceData!$AS$330),"")</f>
        <v>4.8730000000000002</v>
      </c>
      <c r="AT330">
        <f ca="1">IFERROR(IF(0=LEN(ReferenceData!$AT$330),"",ReferenceData!$AT$330),"")</f>
        <v>11.837999999999999</v>
      </c>
      <c r="AU330">
        <f ca="1">IFERROR(IF(0=LEN(ReferenceData!$AU$330),"",ReferenceData!$AU$330),"")</f>
        <v>27.498999999999999</v>
      </c>
      <c r="AV330">
        <f ca="1">IFERROR(IF(0=LEN(ReferenceData!$AV$330),"",ReferenceData!$AV$330),"")</f>
        <v>26.443000000000001</v>
      </c>
      <c r="AW330">
        <f ca="1">IFERROR(IF(0=LEN(ReferenceData!$AW$330),"",ReferenceData!$AW$330),"")</f>
        <v>2.516000032</v>
      </c>
      <c r="AX330">
        <f ca="1">IFERROR(IF(0=LEN(ReferenceData!$AX$330),"",ReferenceData!$AX$330),"")</f>
        <v>56.561</v>
      </c>
      <c r="AY330">
        <f ca="1">IFERROR(IF(0=LEN(ReferenceData!$AY$330),"",ReferenceData!$AY$330),"")</f>
        <v>1.6749999520000001</v>
      </c>
      <c r="AZ330">
        <f ca="1">IFERROR(IF(0=LEN(ReferenceData!$AZ$330),"",ReferenceData!$AZ$330),"")</f>
        <v>9.2110000000000003</v>
      </c>
      <c r="BA330">
        <f ca="1">IFERROR(IF(0=LEN(ReferenceData!$BA$330),"",ReferenceData!$BA$330),"")</f>
        <v>4.6820001600000003</v>
      </c>
      <c r="BB330">
        <f ca="1">IFERROR(IF(0=LEN(ReferenceData!$BB$330),"",ReferenceData!$BB$330),"")</f>
        <v>20.321999999999999</v>
      </c>
      <c r="BC330">
        <f ca="1">IFERROR(IF(0=LEN(ReferenceData!$BC$330),"",ReferenceData!$BC$330),"")</f>
        <v>8.2340002059999993</v>
      </c>
      <c r="BD330">
        <f ca="1">IFERROR(IF(0=LEN(ReferenceData!$BD$330),"",ReferenceData!$BD$330),"")</f>
        <v>11.855999949999999</v>
      </c>
      <c r="BE330">
        <f ca="1">IFERROR(IF(0=LEN(ReferenceData!$BE$330),"",ReferenceData!$BE$330),"")</f>
        <v>9.3459997179999998</v>
      </c>
      <c r="BF330">
        <f ca="1">IFERROR(IF(0=LEN(ReferenceData!$BF$330),"",ReferenceData!$BF$330),"")</f>
        <v>3.149</v>
      </c>
      <c r="BG330">
        <f ca="1">IFERROR(IF(0=LEN(ReferenceData!$BG$330),"",ReferenceData!$BG$330),"")</f>
        <v>1.9470000000000001</v>
      </c>
      <c r="BH330">
        <f ca="1">IFERROR(IF(0=LEN(ReferenceData!$BH$330),"",ReferenceData!$BH$330),"")</f>
        <v>16.920999999999999</v>
      </c>
      <c r="BI330">
        <f ca="1">IFERROR(IF(0=LEN(ReferenceData!$BI$330),"",ReferenceData!$BI$330),"")</f>
        <v>10.105</v>
      </c>
      <c r="BJ330">
        <f ca="1">IFERROR(IF(0=LEN(ReferenceData!$BJ$330),"",ReferenceData!$BJ$330),"")</f>
        <v>2.613</v>
      </c>
      <c r="BK330">
        <f ca="1">IFERROR(IF(0=LEN(ReferenceData!$BK$330),"",ReferenceData!$BK$330),"")</f>
        <v>4.3639999999999999</v>
      </c>
      <c r="BL330">
        <f ca="1">IFERROR(IF(0=LEN(ReferenceData!$BL$330),"",ReferenceData!$BL$330),"")</f>
        <v>4.1199998860000004</v>
      </c>
      <c r="BM330">
        <f ca="1">IFERROR(IF(0=LEN(ReferenceData!$BM$330),"",ReferenceData!$BM$330),"")</f>
        <v>3.4009999999999998</v>
      </c>
    </row>
    <row r="331" spans="1:65">
      <c r="A331" t="str">
        <f>IFERROR(IF(0=LEN(ReferenceData!$A$331),"",ReferenceData!$A$331),"")</f>
        <v xml:space="preserve">    Realty Income Corp</v>
      </c>
      <c r="B331" t="str">
        <f>IFERROR(IF(0=LEN(ReferenceData!$B$331),"",ReferenceData!$B$331),"")</f>
        <v>O US Equity</v>
      </c>
      <c r="C331" t="str">
        <f>IFERROR(IF(0=LEN(ReferenceData!$C$331),"",ReferenceData!$C$331),"")</f>
        <v>RR253</v>
      </c>
      <c r="D331" t="str">
        <f>IFERROR(IF(0=LEN(ReferenceData!$D$331),"",ReferenceData!$D$331),"")</f>
        <v>CASH_AND_MARKETABLE_SECURITIES</v>
      </c>
      <c r="E331" t="str">
        <f>IFERROR(IF(0=LEN(ReferenceData!$E$331),"",ReferenceData!$E$331),"")</f>
        <v>动态</v>
      </c>
      <c r="F331" t="str">
        <f ca="1">IFERROR(IF(0=LEN(ReferenceData!$F$331),"",ReferenceData!$F$331),"")</f>
        <v/>
      </c>
      <c r="G331">
        <f ca="1">IFERROR(IF(0=LEN(ReferenceData!$G$331),"",ReferenceData!$G$331),"")</f>
        <v>6.8979999999999997</v>
      </c>
      <c r="H331">
        <f ca="1">IFERROR(IF(0=LEN(ReferenceData!$H$331),"",ReferenceData!$H$331),"")</f>
        <v>3.1989999999999998</v>
      </c>
      <c r="I331">
        <f ca="1">IFERROR(IF(0=LEN(ReferenceData!$I$331),"",ReferenceData!$I$331),"")</f>
        <v>10.945</v>
      </c>
      <c r="J331">
        <f ca="1">IFERROR(IF(0=LEN(ReferenceData!$J$331),"",ReferenceData!$J$331),"")</f>
        <v>27.597999999999999</v>
      </c>
      <c r="K331">
        <f ca="1">IFERROR(IF(0=LEN(ReferenceData!$K$331),"",ReferenceData!$K$331),"")</f>
        <v>9.42</v>
      </c>
      <c r="L331">
        <f ca="1">IFERROR(IF(0=LEN(ReferenceData!$L$331),"",ReferenceData!$L$331),"")</f>
        <v>29.800999999999998</v>
      </c>
      <c r="M331">
        <f ca="1">IFERROR(IF(0=LEN(ReferenceData!$M$331),"",ReferenceData!$M$331),"")</f>
        <v>20.443000000000001</v>
      </c>
      <c r="N331">
        <f ca="1">IFERROR(IF(0=LEN(ReferenceData!$N$331),"",ReferenceData!$N$331),"")</f>
        <v>8.6950000000000003</v>
      </c>
      <c r="O331">
        <f ca="1">IFERROR(IF(0=LEN(ReferenceData!$O$331),"",ReferenceData!$O$331),"")</f>
        <v>40.293999999999997</v>
      </c>
      <c r="P331">
        <f ca="1">IFERROR(IF(0=LEN(ReferenceData!$P$331),"",ReferenceData!$P$331),"")</f>
        <v>7.0739999999999998</v>
      </c>
      <c r="Q331">
        <f ca="1">IFERROR(IF(0=LEN(ReferenceData!$Q$331),"",ReferenceData!$Q$331),"")</f>
        <v>18.741</v>
      </c>
      <c r="R331">
        <f ca="1">IFERROR(IF(0=LEN(ReferenceData!$R$331),"",ReferenceData!$R$331),"")</f>
        <v>12.19</v>
      </c>
      <c r="S331">
        <f ca="1">IFERROR(IF(0=LEN(ReferenceData!$S$331),"",ReferenceData!$S$331),"")</f>
        <v>3.8519999999999999</v>
      </c>
      <c r="T331">
        <f ca="1">IFERROR(IF(0=LEN(ReferenceData!$T$331),"",ReferenceData!$T$331),"")</f>
        <v>16.936</v>
      </c>
      <c r="U331">
        <f ca="1">IFERROR(IF(0=LEN(ReferenceData!$U$331),"",ReferenceData!$U$331),"")</f>
        <v>8.9079999999999995</v>
      </c>
      <c r="V331">
        <f ca="1">IFERROR(IF(0=LEN(ReferenceData!$V$331),"",ReferenceData!$V$331),"")</f>
        <v>14.141999999999999</v>
      </c>
      <c r="W331">
        <f ca="1">IFERROR(IF(0=LEN(ReferenceData!$W$331),"",ReferenceData!$W$331),"")</f>
        <v>10.257</v>
      </c>
      <c r="X331">
        <f ca="1">IFERROR(IF(0=LEN(ReferenceData!$X$331),"",ReferenceData!$X$331),"")</f>
        <v>9.9600000000000009</v>
      </c>
      <c r="Y331">
        <f ca="1">IFERROR(IF(0=LEN(ReferenceData!$Y$331),"",ReferenceData!$Y$331),"")</f>
        <v>22.574999999999999</v>
      </c>
      <c r="Z331">
        <f ca="1">IFERROR(IF(0=LEN(ReferenceData!$Z$331),"",ReferenceData!$Z$331),"")</f>
        <v>4.1589999999999998</v>
      </c>
      <c r="AA331">
        <f ca="1">IFERROR(IF(0=LEN(ReferenceData!$AA$331),"",ReferenceData!$AA$331),"")</f>
        <v>5.2480000000000002</v>
      </c>
      <c r="AB331">
        <f ca="1">IFERROR(IF(0=LEN(ReferenceData!$AB$331),"",ReferenceData!$AB$331),"")</f>
        <v>2.794</v>
      </c>
      <c r="AC331">
        <f ca="1">IFERROR(IF(0=LEN(ReferenceData!$AC$331),"",ReferenceData!$AC$331),"")</f>
        <v>6.0640000000000001</v>
      </c>
      <c r="AD331">
        <f ca="1">IFERROR(IF(0=LEN(ReferenceData!$AD$331),"",ReferenceData!$AD$331),"")</f>
        <v>5.194</v>
      </c>
      <c r="AE331">
        <f ca="1">IFERROR(IF(0=LEN(ReferenceData!$AE$331),"",ReferenceData!$AE$331),"")</f>
        <v>4.165</v>
      </c>
      <c r="AF331">
        <f ca="1">IFERROR(IF(0=LEN(ReferenceData!$AF$331),"",ReferenceData!$AF$331),"")</f>
        <v>5.5430000000000001</v>
      </c>
      <c r="AG331">
        <f ca="1">IFERROR(IF(0=LEN(ReferenceData!$AG$331),"",ReferenceData!$AG$331),"")</f>
        <v>155.67099999999999</v>
      </c>
      <c r="AH331">
        <f ca="1">IFERROR(IF(0=LEN(ReferenceData!$AH$331),"",ReferenceData!$AH$331),"")</f>
        <v>129.70699999999999</v>
      </c>
      <c r="AI331">
        <f ca="1">IFERROR(IF(0=LEN(ReferenceData!$AI$331),"",ReferenceData!$AI$331),"")</f>
        <v>17.606999999999999</v>
      </c>
      <c r="AJ331">
        <f ca="1">IFERROR(IF(0=LEN(ReferenceData!$AJ$331),"",ReferenceData!$AJ$331),"")</f>
        <v>155.58199999999999</v>
      </c>
      <c r="AK331">
        <f ca="1">IFERROR(IF(0=LEN(ReferenceData!$AK$331),"",ReferenceData!$AK$331),"")</f>
        <v>0.872</v>
      </c>
      <c r="AL331">
        <f ca="1">IFERROR(IF(0=LEN(ReferenceData!$AL$331),"",ReferenceData!$AL$331),"")</f>
        <v>0.84899999999999998</v>
      </c>
      <c r="AM331">
        <f ca="1">IFERROR(IF(0=LEN(ReferenceData!$AM$331),"",ReferenceData!$AM$331),"")</f>
        <v>10.026</v>
      </c>
      <c r="AN331">
        <f ca="1">IFERROR(IF(0=LEN(ReferenceData!$AN$331),"",ReferenceData!$AN$331),"")</f>
        <v>20.042000000000002</v>
      </c>
      <c r="AO331">
        <f ca="1">IFERROR(IF(0=LEN(ReferenceData!$AO$331),"",ReferenceData!$AO$331),"")</f>
        <v>35.823</v>
      </c>
      <c r="AP331">
        <f ca="1">IFERROR(IF(0=LEN(ReferenceData!$AP$331),"",ReferenceData!$AP$331),"")</f>
        <v>10.438000000000001</v>
      </c>
      <c r="AQ331">
        <f ca="1">IFERROR(IF(0=LEN(ReferenceData!$AQ$331),"",ReferenceData!$AQ$331),"")</f>
        <v>46.814999999999998</v>
      </c>
      <c r="AR331">
        <f ca="1">IFERROR(IF(0=LEN(ReferenceData!$AR$331),"",ReferenceData!$AR$331),"")</f>
        <v>112.562</v>
      </c>
      <c r="AS331">
        <f ca="1">IFERROR(IF(0=LEN(ReferenceData!$AS$331),"",ReferenceData!$AS$331),"")</f>
        <v>39.372999999999998</v>
      </c>
      <c r="AT331">
        <f ca="1">IFERROR(IF(0=LEN(ReferenceData!$AT$331),"",ReferenceData!$AT$331),"")</f>
        <v>13.343</v>
      </c>
      <c r="AU331">
        <f ca="1">IFERROR(IF(0=LEN(ReferenceData!$AU$331),"",ReferenceData!$AU$331),"")</f>
        <v>193.101</v>
      </c>
      <c r="AV331">
        <f ca="1">IFERROR(IF(0=LEN(ReferenceData!$AV$331),"",ReferenceData!$AV$331),"")</f>
        <v>266.64401249999997</v>
      </c>
      <c r="AW331">
        <f ca="1">IFERROR(IF(0=LEN(ReferenceData!$AW$331),"",ReferenceData!$AW$331),"")</f>
        <v>8.9139995570000004</v>
      </c>
      <c r="AX331">
        <f ca="1">IFERROR(IF(0=LEN(ReferenceData!$AX$331),"",ReferenceData!$AX$331),"")</f>
        <v>5.399</v>
      </c>
      <c r="AY331">
        <f ca="1">IFERROR(IF(0=LEN(ReferenceData!$AY$331),"",ReferenceData!$AY$331),"")</f>
        <v>10.573</v>
      </c>
      <c r="AZ331">
        <f ca="1">IFERROR(IF(0=LEN(ReferenceData!$AZ$331),"",ReferenceData!$AZ$331),"")</f>
        <v>113.374</v>
      </c>
      <c r="BA331">
        <f ca="1">IFERROR(IF(0=LEN(ReferenceData!$BA$331),"",ReferenceData!$BA$331),"")</f>
        <v>10.74600029</v>
      </c>
      <c r="BB331">
        <f ca="1">IFERROR(IF(0=LEN(ReferenceData!$BB$331),"",ReferenceData!$BB$331),"")</f>
        <v>4.1070000000000002</v>
      </c>
      <c r="BC331">
        <f ca="1">IFERROR(IF(0=LEN(ReferenceData!$BC$331),"",ReferenceData!$BC$331),"")</f>
        <v>65.703999999999994</v>
      </c>
      <c r="BD331">
        <f ca="1">IFERROR(IF(0=LEN(ReferenceData!$BD$331),"",ReferenceData!$BD$331),"")</f>
        <v>2.2439999579999999</v>
      </c>
      <c r="BE331">
        <f ca="1">IFERROR(IF(0=LEN(ReferenceData!$BE$331),"",ReferenceData!$BE$331),"")</f>
        <v>1.9479999539999999</v>
      </c>
      <c r="BF331">
        <f ca="1">IFERROR(IF(0=LEN(ReferenceData!$BF$331),"",ReferenceData!$BF$331),"")</f>
        <v>11.07600021</v>
      </c>
      <c r="BG331">
        <f ca="1">IFERROR(IF(0=LEN(ReferenceData!$BG$331),"",ReferenceData!$BG$331),"")</f>
        <v>2.141</v>
      </c>
      <c r="BH331">
        <f ca="1">IFERROR(IF(0=LEN(ReferenceData!$BH$331),"",ReferenceData!$BH$331),"")</f>
        <v>8.4830000000000005</v>
      </c>
      <c r="BI331">
        <f ca="1">IFERROR(IF(0=LEN(ReferenceData!$BI$331),"",ReferenceData!$BI$331),"")</f>
        <v>15.04</v>
      </c>
      <c r="BJ331">
        <f ca="1">IFERROR(IF(0=LEN(ReferenceData!$BJ$331),"",ReferenceData!$BJ$331),"")</f>
        <v>5.5500001909999996</v>
      </c>
      <c r="BK331">
        <f ca="1">IFERROR(IF(0=LEN(ReferenceData!$BK$331),"",ReferenceData!$BK$331),"")</f>
        <v>4.8369998929999998</v>
      </c>
      <c r="BL331">
        <f ca="1">IFERROR(IF(0=LEN(ReferenceData!$BL$331),"",ReferenceData!$BL$331),"")</f>
        <v>5.7090001109999999</v>
      </c>
      <c r="BM331">
        <f ca="1">IFERROR(IF(0=LEN(ReferenceData!$BM$331),"",ReferenceData!$BM$331),"")</f>
        <v>4.7189998629999996</v>
      </c>
    </row>
    <row r="332" spans="1:65">
      <c r="A332" t="str">
        <f>IFERROR(IF(0=LEN(ReferenceData!$A$332),"",ReferenceData!$A$332),"")</f>
        <v xml:space="preserve">    Regency Centers Corp</v>
      </c>
      <c r="B332" t="str">
        <f>IFERROR(IF(0=LEN(ReferenceData!$B$332),"",ReferenceData!$B$332),"")</f>
        <v>REG US Equity</v>
      </c>
      <c r="C332" t="str">
        <f>IFERROR(IF(0=LEN(ReferenceData!$C$332),"",ReferenceData!$C$332),"")</f>
        <v>RR253</v>
      </c>
      <c r="D332" t="str">
        <f>IFERROR(IF(0=LEN(ReferenceData!$D$332),"",ReferenceData!$D$332),"")</f>
        <v>CASH_AND_MARKETABLE_SECURITIES</v>
      </c>
      <c r="E332" t="str">
        <f>IFERROR(IF(0=LEN(ReferenceData!$E$332),"",ReferenceData!$E$332),"")</f>
        <v>动态</v>
      </c>
      <c r="F332" t="str">
        <f ca="1">IFERROR(IF(0=LEN(ReferenceData!$F$332),"",ReferenceData!$F$332),"")</f>
        <v/>
      </c>
      <c r="G332">
        <f ca="1">IFERROR(IF(0=LEN(ReferenceData!$G$332),"",ReferenceData!$G$332),"")</f>
        <v>45.37</v>
      </c>
      <c r="H332">
        <f ca="1">IFERROR(IF(0=LEN(ReferenceData!$H$332),"",ReferenceData!$H$332),"")</f>
        <v>23.542999999999999</v>
      </c>
      <c r="I332">
        <f ca="1">IFERROR(IF(0=LEN(ReferenceData!$I$332),"",ReferenceData!$I$332),"")</f>
        <v>97.266000000000005</v>
      </c>
      <c r="J332">
        <f ca="1">IFERROR(IF(0=LEN(ReferenceData!$J$332),"",ReferenceData!$J$332),"")</f>
        <v>36.854999999999997</v>
      </c>
      <c r="K332">
        <f ca="1">IFERROR(IF(0=LEN(ReferenceData!$K$332),"",ReferenceData!$K$332),"")</f>
        <v>13.256</v>
      </c>
      <c r="L332">
        <f ca="1">IFERROR(IF(0=LEN(ReferenceData!$L$332),"",ReferenceData!$L$332),"")</f>
        <v>40.902000000000001</v>
      </c>
      <c r="M332">
        <f ca="1">IFERROR(IF(0=LEN(ReferenceData!$M$332),"",ReferenceData!$M$332),"")</f>
        <v>24.939</v>
      </c>
      <c r="N332">
        <f ca="1">IFERROR(IF(0=LEN(ReferenceData!$N$332),"",ReferenceData!$N$332),"")</f>
        <v>27.137</v>
      </c>
      <c r="O332">
        <f ca="1">IFERROR(IF(0=LEN(ReferenceData!$O$332),"",ReferenceData!$O$332),"")</f>
        <v>36.856000000000002</v>
      </c>
      <c r="P332">
        <f ca="1">IFERROR(IF(0=LEN(ReferenceData!$P$332),"",ReferenceData!$P$332),"")</f>
        <v>23.88</v>
      </c>
      <c r="Q332">
        <f ca="1">IFERROR(IF(0=LEN(ReferenceData!$Q$332),"",ReferenceData!$Q$332),"")</f>
        <v>27.114000000000001</v>
      </c>
      <c r="R332">
        <f ca="1">IFERROR(IF(0=LEN(ReferenceData!$R$332),"",ReferenceData!$R$332),"")</f>
        <v>36.488999999999997</v>
      </c>
      <c r="S332">
        <f ca="1">IFERROR(IF(0=LEN(ReferenceData!$S$332),"",ReferenceData!$S$332),"")</f>
        <v>113.776</v>
      </c>
      <c r="T332">
        <f ca="1">IFERROR(IF(0=LEN(ReferenceData!$T$332),"",ReferenceData!$T$332),"")</f>
        <v>100.708</v>
      </c>
      <c r="U332">
        <f ca="1">IFERROR(IF(0=LEN(ReferenceData!$U$332),"",ReferenceData!$U$332),"")</f>
        <v>36.735999999999997</v>
      </c>
      <c r="V332">
        <f ca="1">IFERROR(IF(0=LEN(ReferenceData!$V$332),"",ReferenceData!$V$332),"")</f>
        <v>35.158999999999999</v>
      </c>
      <c r="W332">
        <f ca="1">IFERROR(IF(0=LEN(ReferenceData!$W$332),"",ReferenceData!$W$332),"")</f>
        <v>80.683999999999997</v>
      </c>
      <c r="X332">
        <f ca="1">IFERROR(IF(0=LEN(ReferenceData!$X$332),"",ReferenceData!$X$332),"")</f>
        <v>62.701999999999998</v>
      </c>
      <c r="Y332">
        <f ca="1">IFERROR(IF(0=LEN(ReferenceData!$Y$332),"",ReferenceData!$Y$332),"")</f>
        <v>59.143000000000001</v>
      </c>
      <c r="Z332">
        <f ca="1">IFERROR(IF(0=LEN(ReferenceData!$Z$332),"",ReferenceData!$Z$332),"")</f>
        <v>22.402000000000001</v>
      </c>
      <c r="AA332">
        <f ca="1">IFERROR(IF(0=LEN(ReferenceData!$AA$332),"",ReferenceData!$AA$332),"")</f>
        <v>22.349</v>
      </c>
      <c r="AB332">
        <f ca="1">IFERROR(IF(0=LEN(ReferenceData!$AB$332),"",ReferenceData!$AB$332),"")</f>
        <v>21.35</v>
      </c>
      <c r="AC332">
        <f ca="1">IFERROR(IF(0=LEN(ReferenceData!$AC$332),"",ReferenceData!$AC$332),"")</f>
        <v>23.03</v>
      </c>
      <c r="AD332">
        <f ca="1">IFERROR(IF(0=LEN(ReferenceData!$AD$332),"",ReferenceData!$AD$332),"")</f>
        <v>27.114999999999998</v>
      </c>
      <c r="AE332">
        <f ca="1">IFERROR(IF(0=LEN(ReferenceData!$AE$332),"",ReferenceData!$AE$332),"")</f>
        <v>11.401999999999999</v>
      </c>
      <c r="AF332">
        <f ca="1">IFERROR(IF(0=LEN(ReferenceData!$AF$332),"",ReferenceData!$AF$332),"")</f>
        <v>21.195</v>
      </c>
      <c r="AG332">
        <f ca="1">IFERROR(IF(0=LEN(ReferenceData!$AG$332),"",ReferenceData!$AG$332),"")</f>
        <v>18.408000000000001</v>
      </c>
      <c r="AH332">
        <f ca="1">IFERROR(IF(0=LEN(ReferenceData!$AH$332),"",ReferenceData!$AH$332),"")</f>
        <v>65.763999999999996</v>
      </c>
      <c r="AI332">
        <f ca="1">IFERROR(IF(0=LEN(ReferenceData!$AI$332),"",ReferenceData!$AI$332),"")</f>
        <v>17.061</v>
      </c>
      <c r="AJ332">
        <f ca="1">IFERROR(IF(0=LEN(ReferenceData!$AJ$332),"",ReferenceData!$AJ$332),"")</f>
        <v>38.838000000000001</v>
      </c>
      <c r="AK332">
        <f ca="1">IFERROR(IF(0=LEN(ReferenceData!$AK$332),"",ReferenceData!$AK$332),"")</f>
        <v>106.43300000000001</v>
      </c>
      <c r="AL332">
        <f ca="1">IFERROR(IF(0=LEN(ReferenceData!$AL$332),"",ReferenceData!$AL$332),"")</f>
        <v>119.538</v>
      </c>
      <c r="AM332">
        <f ca="1">IFERROR(IF(0=LEN(ReferenceData!$AM$332),"",ReferenceData!$AM$332),"")</f>
        <v>99.477000000000004</v>
      </c>
      <c r="AN332">
        <f ca="1">IFERROR(IF(0=LEN(ReferenceData!$AN$332),"",ReferenceData!$AN$332),"")</f>
        <v>173.798</v>
      </c>
      <c r="AO332">
        <f ca="1">IFERROR(IF(0=LEN(ReferenceData!$AO$332),"",ReferenceData!$AO$332),"")</f>
        <v>126.792</v>
      </c>
      <c r="AP332">
        <f ca="1">IFERROR(IF(0=LEN(ReferenceData!$AP$332),"",ReferenceData!$AP$332),"")</f>
        <v>24.669</v>
      </c>
      <c r="AQ332">
        <f ca="1">IFERROR(IF(0=LEN(ReferenceData!$AQ$332),"",ReferenceData!$AQ$332),"")</f>
        <v>21.533000000000001</v>
      </c>
      <c r="AR332">
        <f ca="1">IFERROR(IF(0=LEN(ReferenceData!$AR$332),"",ReferenceData!$AR$332),"")</f>
        <v>25.777000000000001</v>
      </c>
      <c r="AS332">
        <f ca="1">IFERROR(IF(0=LEN(ReferenceData!$AS$332),"",ReferenceData!$AS$332),"")</f>
        <v>41.603999999999999</v>
      </c>
      <c r="AT332">
        <f ca="1">IFERROR(IF(0=LEN(ReferenceData!$AT$332),"",ReferenceData!$AT$332),"")</f>
        <v>29.212</v>
      </c>
      <c r="AU332">
        <f ca="1">IFERROR(IF(0=LEN(ReferenceData!$AU$332),"",ReferenceData!$AU$332),"")</f>
        <v>18.667999999999999</v>
      </c>
      <c r="AV332">
        <f ca="1">IFERROR(IF(0=LEN(ReferenceData!$AV$332),"",ReferenceData!$AV$332),"")</f>
        <v>33.570999999999998</v>
      </c>
      <c r="AW332">
        <f ca="1">IFERROR(IF(0=LEN(ReferenceData!$AW$332),"",ReferenceData!$AW$332),"")</f>
        <v>55.094999999999999</v>
      </c>
      <c r="AX332">
        <f ca="1">IFERROR(IF(0=LEN(ReferenceData!$AX$332),"",ReferenceData!$AX$332),"")</f>
        <v>29.164000000000001</v>
      </c>
      <c r="AY332">
        <f ca="1">IFERROR(IF(0=LEN(ReferenceData!$AY$332),"",ReferenceData!$AY$332),"")</f>
        <v>34.045999999999999</v>
      </c>
      <c r="AZ332">
        <f ca="1">IFERROR(IF(0=LEN(ReferenceData!$AZ$332),"",ReferenceData!$AZ$332),"")</f>
        <v>38.36</v>
      </c>
      <c r="BA332">
        <f ca="1">IFERROR(IF(0=LEN(ReferenceData!$BA$332),"",ReferenceData!$BA$332),"")</f>
        <v>36.594000000000001</v>
      </c>
      <c r="BB332">
        <f ca="1">IFERROR(IF(0=LEN(ReferenceData!$BB$332),"",ReferenceData!$BB$332),"")</f>
        <v>88.055999999999997</v>
      </c>
      <c r="BC332">
        <f ca="1">IFERROR(IF(0=LEN(ReferenceData!$BC$332),"",ReferenceData!$BC$332),"")</f>
        <v>42.457999999999998</v>
      </c>
      <c r="BD332">
        <f ca="1">IFERROR(IF(0=LEN(ReferenceData!$BD$332),"",ReferenceData!$BD$332),"")</f>
        <v>31.231999999999999</v>
      </c>
      <c r="BE332">
        <f ca="1">IFERROR(IF(0=LEN(ReferenceData!$BE$332),"",ReferenceData!$BE$332),"")</f>
        <v>26.251999999999999</v>
      </c>
      <c r="BF332">
        <f ca="1">IFERROR(IF(0=LEN(ReferenceData!$BF$332),"",ReferenceData!$BF$332),"")</f>
        <v>53.591000000000001</v>
      </c>
      <c r="BG332">
        <f ca="1">IFERROR(IF(0=LEN(ReferenceData!$BG$332),"",ReferenceData!$BG$332),"")</f>
        <v>95.32</v>
      </c>
      <c r="BH332">
        <f ca="1">IFERROR(IF(0=LEN(ReferenceData!$BH$332),"",ReferenceData!$BH$332),"")</f>
        <v>50.180999999999997</v>
      </c>
      <c r="BI332">
        <f ca="1">IFERROR(IF(0=LEN(ReferenceData!$BI$332),"",ReferenceData!$BI$332),"")</f>
        <v>5.38</v>
      </c>
      <c r="BJ332">
        <f ca="1">IFERROR(IF(0=LEN(ReferenceData!$BJ$332),"",ReferenceData!$BJ$332),"")</f>
        <v>43.537998000000002</v>
      </c>
      <c r="BK332">
        <f ca="1">IFERROR(IF(0=LEN(ReferenceData!$BK$332),"",ReferenceData!$BK$332),"")</f>
        <v>29.868999479999999</v>
      </c>
      <c r="BL332">
        <f ca="1">IFERROR(IF(0=LEN(ReferenceData!$BL$332),"",ReferenceData!$BL$332),"")</f>
        <v>45.887999999999998</v>
      </c>
      <c r="BM332" t="str">
        <f ca="1">IFERROR(IF(0=LEN(ReferenceData!$BM$332),"",ReferenceData!$BM$332),"")</f>
        <v/>
      </c>
    </row>
    <row r="333" spans="1:65">
      <c r="A333" t="str">
        <f>IFERROR(IF(0=LEN(ReferenceData!$A$333),"",ReferenceData!$A$333),"")</f>
        <v xml:space="preserve">    Retail Opportunity Investments</v>
      </c>
      <c r="B333" t="str">
        <f>IFERROR(IF(0=LEN(ReferenceData!$B$333),"",ReferenceData!$B$333),"")</f>
        <v>ROIC US Equity</v>
      </c>
      <c r="C333" t="str">
        <f>IFERROR(IF(0=LEN(ReferenceData!$C$333),"",ReferenceData!$C$333),"")</f>
        <v>RR253</v>
      </c>
      <c r="D333" t="str">
        <f>IFERROR(IF(0=LEN(ReferenceData!$D$333),"",ReferenceData!$D$333),"")</f>
        <v>CASH_AND_MARKETABLE_SECURITIES</v>
      </c>
      <c r="E333" t="str">
        <f>IFERROR(IF(0=LEN(ReferenceData!$E$333),"",ReferenceData!$E$333),"")</f>
        <v>动态</v>
      </c>
      <c r="F333" t="str">
        <f ca="1">IFERROR(IF(0=LEN(ReferenceData!$F$333),"",ReferenceData!$F$333),"")</f>
        <v/>
      </c>
      <c r="G333">
        <f ca="1">IFERROR(IF(0=LEN(ReferenceData!$G$333),"",ReferenceData!$G$333),"")</f>
        <v>11.553000000000001</v>
      </c>
      <c r="H333">
        <f ca="1">IFERROR(IF(0=LEN(ReferenceData!$H$333),"",ReferenceData!$H$333),"")</f>
        <v>10.073</v>
      </c>
      <c r="I333">
        <f ca="1">IFERROR(IF(0=LEN(ReferenceData!$I$333),"",ReferenceData!$I$333),"")</f>
        <v>11.407999999999999</v>
      </c>
      <c r="J333">
        <f ca="1">IFERROR(IF(0=LEN(ReferenceData!$J$333),"",ReferenceData!$J$333),"")</f>
        <v>19.43</v>
      </c>
      <c r="K333">
        <f ca="1">IFERROR(IF(0=LEN(ReferenceData!$K$333),"",ReferenceData!$K$333),"")</f>
        <v>13.125</v>
      </c>
      <c r="L333">
        <f ca="1">IFERROR(IF(0=LEN(ReferenceData!$L$333),"",ReferenceData!$L$333),"")</f>
        <v>10.446999999999999</v>
      </c>
      <c r="M333">
        <f ca="1">IFERROR(IF(0=LEN(ReferenceData!$M$333),"",ReferenceData!$M$333),"")</f>
        <v>17.535</v>
      </c>
      <c r="N333">
        <f ca="1">IFERROR(IF(0=LEN(ReferenceData!$N$333),"",ReferenceData!$N$333),"")</f>
        <v>14.987</v>
      </c>
      <c r="O333">
        <f ca="1">IFERROR(IF(0=LEN(ReferenceData!$O$333),"",ReferenceData!$O$333),"")</f>
        <v>8.8439999999999994</v>
      </c>
      <c r="P333">
        <f ca="1">IFERROR(IF(0=LEN(ReferenceData!$P$333),"",ReferenceData!$P$333),"")</f>
        <v>6.9530000000000003</v>
      </c>
      <c r="Q333">
        <f ca="1">IFERROR(IF(0=LEN(ReferenceData!$Q$333),"",ReferenceData!$Q$333),"")</f>
        <v>7.5410000000000004</v>
      </c>
      <c r="R333">
        <f ca="1">IFERROR(IF(0=LEN(ReferenceData!$R$333),"",ReferenceData!$R$333),"")</f>
        <v>11.683</v>
      </c>
      <c r="S333">
        <f ca="1">IFERROR(IF(0=LEN(ReferenceData!$S$333),"",ReferenceData!$S$333),"")</f>
        <v>10.773406</v>
      </c>
      <c r="T333">
        <f ca="1">IFERROR(IF(0=LEN(ReferenceData!$T$333),"",ReferenceData!$T$333),"")</f>
        <v>10.996029999999999</v>
      </c>
      <c r="U333">
        <f ca="1">IFERROR(IF(0=LEN(ReferenceData!$U$333),"",ReferenceData!$U$333),"")</f>
        <v>9.5379450000000006</v>
      </c>
      <c r="V333">
        <f ca="1">IFERROR(IF(0=LEN(ReferenceData!$V$333),"",ReferenceData!$V$333),"")</f>
        <v>12.764578999999999</v>
      </c>
      <c r="W333">
        <f ca="1">IFERROR(IF(0=LEN(ReferenceData!$W$333),"",ReferenceData!$W$333),"")</f>
        <v>7.9196970000000002</v>
      </c>
      <c r="X333">
        <f ca="1">IFERROR(IF(0=LEN(ReferenceData!$X$333),"",ReferenceData!$X$333),"")</f>
        <v>9.8343360000000004</v>
      </c>
      <c r="Y333">
        <f ca="1">IFERROR(IF(0=LEN(ReferenceData!$Y$333),"",ReferenceData!$Y$333),"")</f>
        <v>6.3938680000000003</v>
      </c>
      <c r="Z333">
        <f ca="1">IFERROR(IF(0=LEN(ReferenceData!$Z$333),"",ReferenceData!$Z$333),"")</f>
        <v>6.8936089999999997</v>
      </c>
      <c r="AA333">
        <f ca="1">IFERROR(IF(0=LEN(ReferenceData!$AA$333),"",ReferenceData!$AA$333),"")</f>
        <v>4.6922300000000003</v>
      </c>
      <c r="AB333">
        <f ca="1">IFERROR(IF(0=LEN(ReferenceData!$AB$333),"",ReferenceData!$AB$333),"")</f>
        <v>23.488823</v>
      </c>
      <c r="AC333">
        <f ca="1">IFERROR(IF(0=LEN(ReferenceData!$AC$333),"",ReferenceData!$AC$333),"")</f>
        <v>10.154</v>
      </c>
      <c r="AD333">
        <f ca="1">IFERROR(IF(0=LEN(ReferenceData!$AD$333),"",ReferenceData!$AD$333),"")</f>
        <v>10.738987</v>
      </c>
      <c r="AE333">
        <f ca="1">IFERROR(IF(0=LEN(ReferenceData!$AE$333),"",ReferenceData!$AE$333),"")</f>
        <v>34.317588000000001</v>
      </c>
      <c r="AF333">
        <f ca="1">IFERROR(IF(0=LEN(ReferenceData!$AF$333),"",ReferenceData!$AF$333),"")</f>
        <v>8.2604340000000001</v>
      </c>
      <c r="AG333">
        <f ca="1">IFERROR(IF(0=LEN(ReferenceData!$AG$333),"",ReferenceData!$AG$333),"")</f>
        <v>15.328507999999999</v>
      </c>
      <c r="AH333">
        <f ca="1">IFERROR(IF(0=LEN(ReferenceData!$AH$333),"",ReferenceData!$AH$333),"")</f>
        <v>11.764093000000001</v>
      </c>
      <c r="AI333">
        <f ca="1">IFERROR(IF(0=LEN(ReferenceData!$AI$333),"",ReferenceData!$AI$333),"")</f>
        <v>84.736410000000006</v>
      </c>
      <c r="AJ333">
        <f ca="1">IFERROR(IF(0=LEN(ReferenceData!$AJ$333),"",ReferenceData!$AJ$333),"")</f>
        <v>180.72337300000001</v>
      </c>
      <c r="AK333">
        <f ca="1">IFERROR(IF(0=LEN(ReferenceData!$AK$333),"",ReferenceData!$AK$333),"")</f>
        <v>272.268822</v>
      </c>
      <c r="AL333">
        <f ca="1">IFERROR(IF(0=LEN(ReferenceData!$AL$333),"",ReferenceData!$AL$333),"")</f>
        <v>330.01723199999998</v>
      </c>
      <c r="AM333" t="str">
        <f ca="1">IFERROR(IF(0=LEN(ReferenceData!$AM$333),"",ReferenceData!$AM$333),"")</f>
        <v/>
      </c>
      <c r="AN333" t="str">
        <f ca="1">IFERROR(IF(0=LEN(ReferenceData!$AN$333),"",ReferenceData!$AN$333),"")</f>
        <v/>
      </c>
      <c r="AO333" t="str">
        <f ca="1">IFERROR(IF(0=LEN(ReferenceData!$AO$333),"",ReferenceData!$AO$333),"")</f>
        <v/>
      </c>
      <c r="AP333" t="str">
        <f ca="1">IFERROR(IF(0=LEN(ReferenceData!$AP$333),"",ReferenceData!$AP$333),"")</f>
        <v/>
      </c>
      <c r="AQ333" t="str">
        <f ca="1">IFERROR(IF(0=LEN(ReferenceData!$AQ$333),"",ReferenceData!$AQ$333),"")</f>
        <v/>
      </c>
      <c r="AR333" t="str">
        <f ca="1">IFERROR(IF(0=LEN(ReferenceData!$AR$333),"",ReferenceData!$AR$333),"")</f>
        <v/>
      </c>
      <c r="AS333" t="str">
        <f ca="1">IFERROR(IF(0=LEN(ReferenceData!$AS$333),"",ReferenceData!$AS$333),"")</f>
        <v/>
      </c>
      <c r="AT333" t="str">
        <f ca="1">IFERROR(IF(0=LEN(ReferenceData!$AT$333),"",ReferenceData!$AT$333),"")</f>
        <v/>
      </c>
      <c r="AU333" t="str">
        <f ca="1">IFERROR(IF(0=LEN(ReferenceData!$AU$333),"",ReferenceData!$AU$333),"")</f>
        <v/>
      </c>
      <c r="AV333" t="str">
        <f ca="1">IFERROR(IF(0=LEN(ReferenceData!$AV$333),"",ReferenceData!$AV$333),"")</f>
        <v/>
      </c>
      <c r="AW333" t="str">
        <f ca="1">IFERROR(IF(0=LEN(ReferenceData!$AW$333),"",ReferenceData!$AW$333),"")</f>
        <v/>
      </c>
      <c r="AX333" t="str">
        <f ca="1">IFERROR(IF(0=LEN(ReferenceData!$AX$333),"",ReferenceData!$AX$333),"")</f>
        <v/>
      </c>
      <c r="AY333" t="str">
        <f ca="1">IFERROR(IF(0=LEN(ReferenceData!$AY$333),"",ReferenceData!$AY$333),"")</f>
        <v/>
      </c>
      <c r="AZ333" t="str">
        <f ca="1">IFERROR(IF(0=LEN(ReferenceData!$AZ$333),"",ReferenceData!$AZ$333),"")</f>
        <v/>
      </c>
      <c r="BA333" t="str">
        <f ca="1">IFERROR(IF(0=LEN(ReferenceData!$BA$333),"",ReferenceData!$BA$333),"")</f>
        <v/>
      </c>
      <c r="BB333" t="str">
        <f ca="1">IFERROR(IF(0=LEN(ReferenceData!$BB$333),"",ReferenceData!$BB$333),"")</f>
        <v/>
      </c>
      <c r="BC333" t="str">
        <f ca="1">IFERROR(IF(0=LEN(ReferenceData!$BC$333),"",ReferenceData!$BC$333),"")</f>
        <v/>
      </c>
      <c r="BD333" t="str">
        <f ca="1">IFERROR(IF(0=LEN(ReferenceData!$BD$333),"",ReferenceData!$BD$333),"")</f>
        <v/>
      </c>
      <c r="BE333" t="str">
        <f ca="1">IFERROR(IF(0=LEN(ReferenceData!$BE$333),"",ReferenceData!$BE$333),"")</f>
        <v/>
      </c>
      <c r="BF333" t="str">
        <f ca="1">IFERROR(IF(0=LEN(ReferenceData!$BF$333),"",ReferenceData!$BF$333),"")</f>
        <v/>
      </c>
      <c r="BG333" t="str">
        <f ca="1">IFERROR(IF(0=LEN(ReferenceData!$BG$333),"",ReferenceData!$BG$333),"")</f>
        <v/>
      </c>
      <c r="BH333" t="str">
        <f ca="1">IFERROR(IF(0=LEN(ReferenceData!$BH$333),"",ReferenceData!$BH$333),"")</f>
        <v/>
      </c>
      <c r="BI333" t="str">
        <f ca="1">IFERROR(IF(0=LEN(ReferenceData!$BI$333),"",ReferenceData!$BI$333),"")</f>
        <v/>
      </c>
      <c r="BJ333" t="str">
        <f ca="1">IFERROR(IF(0=LEN(ReferenceData!$BJ$333),"",ReferenceData!$BJ$333),"")</f>
        <v/>
      </c>
      <c r="BK333" t="str">
        <f ca="1">IFERROR(IF(0=LEN(ReferenceData!$BK$333),"",ReferenceData!$BK$333),"")</f>
        <v/>
      </c>
      <c r="BL333" t="str">
        <f ca="1">IFERROR(IF(0=LEN(ReferenceData!$BL$333),"",ReferenceData!$BL$333),"")</f>
        <v/>
      </c>
      <c r="BM333" t="str">
        <f ca="1">IFERROR(IF(0=LEN(ReferenceData!$BM$333),"",ReferenceData!$BM$333),"")</f>
        <v/>
      </c>
    </row>
    <row r="334" spans="1:65">
      <c r="A334" t="str">
        <f>IFERROR(IF(0=LEN(ReferenceData!$A$334),"",ReferenceData!$A$334),"")</f>
        <v xml:space="preserve">    Retail Properties of America I</v>
      </c>
      <c r="B334" t="str">
        <f>IFERROR(IF(0=LEN(ReferenceData!$B$334),"",ReferenceData!$B$334),"")</f>
        <v>RPAI US Equity</v>
      </c>
      <c r="C334" t="str">
        <f>IFERROR(IF(0=LEN(ReferenceData!$C$334),"",ReferenceData!$C$334),"")</f>
        <v>RR253</v>
      </c>
      <c r="D334" t="str">
        <f>IFERROR(IF(0=LEN(ReferenceData!$D$334),"",ReferenceData!$D$334),"")</f>
        <v>CASH_AND_MARKETABLE_SECURITIES</v>
      </c>
      <c r="E334" t="str">
        <f>IFERROR(IF(0=LEN(ReferenceData!$E$334),"",ReferenceData!$E$334),"")</f>
        <v>动态</v>
      </c>
      <c r="F334" t="str">
        <f ca="1">IFERROR(IF(0=LEN(ReferenceData!$F$334),"",ReferenceData!$F$334),"")</f>
        <v/>
      </c>
      <c r="G334">
        <f ca="1">IFERROR(IF(0=LEN(ReferenceData!$G$334),"",ReferenceData!$G$334),"")</f>
        <v>25.184999999999999</v>
      </c>
      <c r="H334">
        <f ca="1">IFERROR(IF(0=LEN(ReferenceData!$H$334),"",ReferenceData!$H$334),"")</f>
        <v>29.652000000000001</v>
      </c>
      <c r="I334">
        <f ca="1">IFERROR(IF(0=LEN(ReferenceData!$I$334),"",ReferenceData!$I$334),"")</f>
        <v>28.003</v>
      </c>
      <c r="J334">
        <f ca="1">IFERROR(IF(0=LEN(ReferenceData!$J$334),"",ReferenceData!$J$334),"")</f>
        <v>40.274000000000001</v>
      </c>
      <c r="K334">
        <f ca="1">IFERROR(IF(0=LEN(ReferenceData!$K$334),"",ReferenceData!$K$334),"")</f>
        <v>53.119</v>
      </c>
      <c r="L334">
        <f ca="1">IFERROR(IF(0=LEN(ReferenceData!$L$334),"",ReferenceData!$L$334),"")</f>
        <v>69.070999999999998</v>
      </c>
      <c r="M334">
        <f ca="1">IFERROR(IF(0=LEN(ReferenceData!$M$334),"",ReferenceData!$M$334),"")</f>
        <v>29.788</v>
      </c>
      <c r="N334">
        <f ca="1">IFERROR(IF(0=LEN(ReferenceData!$N$334),"",ReferenceData!$N$334),"")</f>
        <v>100.58799999999999</v>
      </c>
      <c r="O334">
        <f ca="1">IFERROR(IF(0=LEN(ReferenceData!$O$334),"",ReferenceData!$O$334),"")</f>
        <v>51.423999999999999</v>
      </c>
      <c r="P334">
        <f ca="1">IFERROR(IF(0=LEN(ReferenceData!$P$334),"",ReferenceData!$P$334),"")</f>
        <v>116.538</v>
      </c>
      <c r="Q334">
        <f ca="1">IFERROR(IF(0=LEN(ReferenceData!$Q$334),"",ReferenceData!$Q$334),"")</f>
        <v>84.700999999999993</v>
      </c>
      <c r="R334">
        <f ca="1">IFERROR(IF(0=LEN(ReferenceData!$R$334),"",ReferenceData!$R$334),"")</f>
        <v>64.894999999999996</v>
      </c>
      <c r="S334">
        <f ca="1">IFERROR(IF(0=LEN(ReferenceData!$S$334),"",ReferenceData!$S$334),"")</f>
        <v>112.292</v>
      </c>
      <c r="T334">
        <f ca="1">IFERROR(IF(0=LEN(ReferenceData!$T$334),"",ReferenceData!$T$334),"")</f>
        <v>67.83</v>
      </c>
      <c r="U334">
        <f ca="1">IFERROR(IF(0=LEN(ReferenceData!$U$334),"",ReferenceData!$U$334),"")</f>
        <v>58.567999999999998</v>
      </c>
      <c r="V334">
        <f ca="1">IFERROR(IF(0=LEN(ReferenceData!$V$334),"",ReferenceData!$V$334),"")</f>
        <v>62.667000000000002</v>
      </c>
      <c r="W334">
        <f ca="1">IFERROR(IF(0=LEN(ReferenceData!$W$334),"",ReferenceData!$W$334),"")</f>
        <v>58.19</v>
      </c>
      <c r="X334">
        <f ca="1">IFERROR(IF(0=LEN(ReferenceData!$X$334),"",ReferenceData!$X$334),"")</f>
        <v>70.320999999999998</v>
      </c>
      <c r="Y334">
        <f ca="1">IFERROR(IF(0=LEN(ReferenceData!$Y$334),"",ReferenceData!$Y$334),"")</f>
        <v>73.575000000000003</v>
      </c>
      <c r="Z334">
        <f ca="1">IFERROR(IF(0=LEN(ReferenceData!$Z$334),"",ReferenceData!$Z$334),"")</f>
        <v>67.445999999999998</v>
      </c>
      <c r="AA334">
        <f ca="1">IFERROR(IF(0=LEN(ReferenceData!$AA$334),"",ReferenceData!$AA$334),"")</f>
        <v>138.06899999999999</v>
      </c>
      <c r="AB334">
        <f ca="1">IFERROR(IF(0=LEN(ReferenceData!$AB$334),"",ReferenceData!$AB$334),"")</f>
        <v>107.423</v>
      </c>
      <c r="AC334">
        <f ca="1">IFERROR(IF(0=LEN(ReferenceData!$AC$334),"",ReferenceData!$AC$334),"")</f>
        <v>102.346</v>
      </c>
      <c r="AD334">
        <f ca="1">IFERROR(IF(0=LEN(ReferenceData!$AD$334),"",ReferenceData!$AD$334),"")</f>
        <v>126.11499999999999</v>
      </c>
      <c r="AE334">
        <f ca="1">IFERROR(IF(0=LEN(ReferenceData!$AE$334),"",ReferenceData!$AE$334),"")</f>
        <v>136.00899999999999</v>
      </c>
      <c r="AF334">
        <f ca="1">IFERROR(IF(0=LEN(ReferenceData!$AF$334),"",ReferenceData!$AF$334),"")</f>
        <v>116.61799999999999</v>
      </c>
      <c r="AG334">
        <f ca="1">IFERROR(IF(0=LEN(ReferenceData!$AG$334),"",ReferenceData!$AG$334),"")</f>
        <v>119.934</v>
      </c>
      <c r="AH334">
        <f ca="1">IFERROR(IF(0=LEN(ReferenceData!$AH$334),"",ReferenceData!$AH$334),"")</f>
        <v>97.024000000000001</v>
      </c>
      <c r="AI334">
        <f ca="1">IFERROR(IF(0=LEN(ReferenceData!$AI$334),"",ReferenceData!$AI$334),"")</f>
        <v>130.21299999999999</v>
      </c>
      <c r="AJ334">
        <f ca="1">IFERROR(IF(0=LEN(ReferenceData!$AJ$334),"",ReferenceData!$AJ$334),"")</f>
        <v>116.01600000000001</v>
      </c>
      <c r="AK334" t="str">
        <f ca="1">IFERROR(IF(0=LEN(ReferenceData!$AK$334),"",ReferenceData!$AK$334),"")</f>
        <v/>
      </c>
      <c r="AL334" t="str">
        <f ca="1">IFERROR(IF(0=LEN(ReferenceData!$AL$334),"",ReferenceData!$AL$334),"")</f>
        <v/>
      </c>
      <c r="AM334" t="str">
        <f ca="1">IFERROR(IF(0=LEN(ReferenceData!$AM$334),"",ReferenceData!$AM$334),"")</f>
        <v/>
      </c>
      <c r="AN334" t="str">
        <f ca="1">IFERROR(IF(0=LEN(ReferenceData!$AN$334),"",ReferenceData!$AN$334),"")</f>
        <v/>
      </c>
      <c r="AO334" t="str">
        <f ca="1">IFERROR(IF(0=LEN(ReferenceData!$AO$334),"",ReferenceData!$AO$334),"")</f>
        <v/>
      </c>
      <c r="AP334" t="str">
        <f ca="1">IFERROR(IF(0=LEN(ReferenceData!$AP$334),"",ReferenceData!$AP$334),"")</f>
        <v/>
      </c>
      <c r="AQ334" t="str">
        <f ca="1">IFERROR(IF(0=LEN(ReferenceData!$AQ$334),"",ReferenceData!$AQ$334),"")</f>
        <v/>
      </c>
      <c r="AR334" t="str">
        <f ca="1">IFERROR(IF(0=LEN(ReferenceData!$AR$334),"",ReferenceData!$AR$334),"")</f>
        <v/>
      </c>
      <c r="AS334" t="str">
        <f ca="1">IFERROR(IF(0=LEN(ReferenceData!$AS$334),"",ReferenceData!$AS$334),"")</f>
        <v/>
      </c>
      <c r="AT334" t="str">
        <f ca="1">IFERROR(IF(0=LEN(ReferenceData!$AT$334),"",ReferenceData!$AT$334),"")</f>
        <v/>
      </c>
      <c r="AU334" t="str">
        <f ca="1">IFERROR(IF(0=LEN(ReferenceData!$AU$334),"",ReferenceData!$AU$334),"")</f>
        <v/>
      </c>
      <c r="AV334" t="str">
        <f ca="1">IFERROR(IF(0=LEN(ReferenceData!$AV$334),"",ReferenceData!$AV$334),"")</f>
        <v/>
      </c>
      <c r="AW334" t="str">
        <f ca="1">IFERROR(IF(0=LEN(ReferenceData!$AW$334),"",ReferenceData!$AW$334),"")</f>
        <v/>
      </c>
      <c r="AX334" t="str">
        <f ca="1">IFERROR(IF(0=LEN(ReferenceData!$AX$334),"",ReferenceData!$AX$334),"")</f>
        <v/>
      </c>
      <c r="AY334" t="str">
        <f ca="1">IFERROR(IF(0=LEN(ReferenceData!$AY$334),"",ReferenceData!$AY$334),"")</f>
        <v/>
      </c>
      <c r="AZ334" t="str">
        <f ca="1">IFERROR(IF(0=LEN(ReferenceData!$AZ$334),"",ReferenceData!$AZ$334),"")</f>
        <v/>
      </c>
      <c r="BA334" t="str">
        <f ca="1">IFERROR(IF(0=LEN(ReferenceData!$BA$334),"",ReferenceData!$BA$334),"")</f>
        <v/>
      </c>
      <c r="BB334" t="str">
        <f ca="1">IFERROR(IF(0=LEN(ReferenceData!$BB$334),"",ReferenceData!$BB$334),"")</f>
        <v/>
      </c>
      <c r="BC334" t="str">
        <f ca="1">IFERROR(IF(0=LEN(ReferenceData!$BC$334),"",ReferenceData!$BC$334),"")</f>
        <v/>
      </c>
      <c r="BD334" t="str">
        <f ca="1">IFERROR(IF(0=LEN(ReferenceData!$BD$334),"",ReferenceData!$BD$334),"")</f>
        <v/>
      </c>
      <c r="BE334" t="str">
        <f ca="1">IFERROR(IF(0=LEN(ReferenceData!$BE$334),"",ReferenceData!$BE$334),"")</f>
        <v/>
      </c>
      <c r="BF334" t="str">
        <f ca="1">IFERROR(IF(0=LEN(ReferenceData!$BF$334),"",ReferenceData!$BF$334),"")</f>
        <v/>
      </c>
      <c r="BG334" t="str">
        <f ca="1">IFERROR(IF(0=LEN(ReferenceData!$BG$334),"",ReferenceData!$BG$334),"")</f>
        <v/>
      </c>
      <c r="BH334" t="str">
        <f ca="1">IFERROR(IF(0=LEN(ReferenceData!$BH$334),"",ReferenceData!$BH$334),"")</f>
        <v/>
      </c>
      <c r="BI334" t="str">
        <f ca="1">IFERROR(IF(0=LEN(ReferenceData!$BI$334),"",ReferenceData!$BI$334),"")</f>
        <v/>
      </c>
      <c r="BJ334" t="str">
        <f ca="1">IFERROR(IF(0=LEN(ReferenceData!$BJ$334),"",ReferenceData!$BJ$334),"")</f>
        <v/>
      </c>
      <c r="BK334" t="str">
        <f ca="1">IFERROR(IF(0=LEN(ReferenceData!$BK$334),"",ReferenceData!$BK$334),"")</f>
        <v/>
      </c>
      <c r="BL334" t="str">
        <f ca="1">IFERROR(IF(0=LEN(ReferenceData!$BL$334),"",ReferenceData!$BL$334),"")</f>
        <v/>
      </c>
      <c r="BM334" t="str">
        <f ca="1">IFERROR(IF(0=LEN(ReferenceData!$BM$334),"",ReferenceData!$BM$334),"")</f>
        <v/>
      </c>
    </row>
    <row r="335" spans="1:65">
      <c r="A335" t="str">
        <f>IFERROR(IF(0=LEN(ReferenceData!$A$335),"",ReferenceData!$A$335),"")</f>
        <v xml:space="preserve">    Simon Property Group Inc</v>
      </c>
      <c r="B335" t="str">
        <f>IFERROR(IF(0=LEN(ReferenceData!$B$335),"",ReferenceData!$B$335),"")</f>
        <v>SPG US Equity</v>
      </c>
      <c r="C335" t="str">
        <f>IFERROR(IF(0=LEN(ReferenceData!$C$335),"",ReferenceData!$C$335),"")</f>
        <v>RR253</v>
      </c>
      <c r="D335" t="str">
        <f>IFERROR(IF(0=LEN(ReferenceData!$D$335),"",ReferenceData!$D$335),"")</f>
        <v>CASH_AND_MARKETABLE_SECURITIES</v>
      </c>
      <c r="E335" t="str">
        <f>IFERROR(IF(0=LEN(ReferenceData!$E$335),"",ReferenceData!$E$335),"")</f>
        <v>动态</v>
      </c>
      <c r="F335" t="str">
        <f ca="1">IFERROR(IF(0=LEN(ReferenceData!$F$335),"",ReferenceData!$F$335),"")</f>
        <v/>
      </c>
      <c r="G335">
        <f ca="1">IFERROR(IF(0=LEN(ReferenceData!$G$335),"",ReferenceData!$G$335),"")</f>
        <v>1482.309</v>
      </c>
      <c r="H335">
        <f ca="1">IFERROR(IF(0=LEN(ReferenceData!$H$335),"",ReferenceData!$H$335),"")</f>
        <v>508.40499999999997</v>
      </c>
      <c r="I335">
        <f ca="1">IFERROR(IF(0=LEN(ReferenceData!$I$335),"",ReferenceData!$I$335),"")</f>
        <v>488.61399999999998</v>
      </c>
      <c r="J335">
        <f ca="1">IFERROR(IF(0=LEN(ReferenceData!$J$335),"",ReferenceData!$J$335),"")</f>
        <v>513.4</v>
      </c>
      <c r="K335">
        <f ca="1">IFERROR(IF(0=LEN(ReferenceData!$K$335),"",ReferenceData!$K$335),"")</f>
        <v>560.05899999999997</v>
      </c>
      <c r="L335">
        <f ca="1">IFERROR(IF(0=LEN(ReferenceData!$L$335),"",ReferenceData!$L$335),"")</f>
        <v>814.74699999999996</v>
      </c>
      <c r="M335">
        <f ca="1">IFERROR(IF(0=LEN(ReferenceData!$M$335),"",ReferenceData!$M$335),"")</f>
        <v>884.28099999999995</v>
      </c>
      <c r="N335">
        <f ca="1">IFERROR(IF(0=LEN(ReferenceData!$N$335),"",ReferenceData!$N$335),"")</f>
        <v>805.07600000000002</v>
      </c>
      <c r="O335">
        <f ca="1">IFERROR(IF(0=LEN(ReferenceData!$O$335),"",ReferenceData!$O$335),"")</f>
        <v>701.13400000000001</v>
      </c>
      <c r="P335">
        <f ca="1">IFERROR(IF(0=LEN(ReferenceData!$P$335),"",ReferenceData!$P$335),"")</f>
        <v>856.86099999999999</v>
      </c>
      <c r="Q335">
        <f ca="1">IFERROR(IF(0=LEN(ReferenceData!$Q$335),"",ReferenceData!$Q$335),"")</f>
        <v>565.65700000000004</v>
      </c>
      <c r="R335">
        <f ca="1">IFERROR(IF(0=LEN(ReferenceData!$R$335),"",ReferenceData!$R$335),"")</f>
        <v>833.73199999999997</v>
      </c>
      <c r="S335">
        <f ca="1">IFERROR(IF(0=LEN(ReferenceData!$S$335),"",ReferenceData!$S$335),"")</f>
        <v>612.28200000000004</v>
      </c>
      <c r="T335">
        <f ca="1">IFERROR(IF(0=LEN(ReferenceData!$T$335),"",ReferenceData!$T$335),"")</f>
        <v>817.99800000000005</v>
      </c>
      <c r="U335">
        <f ca="1">IFERROR(IF(0=LEN(ReferenceData!$U$335),"",ReferenceData!$U$335),"")</f>
        <v>1665.817</v>
      </c>
      <c r="V335">
        <f ca="1">IFERROR(IF(0=LEN(ReferenceData!$V$335),"",ReferenceData!$V$335),"")</f>
        <v>1013.3680000000001</v>
      </c>
      <c r="W335">
        <f ca="1">IFERROR(IF(0=LEN(ReferenceData!$W$335),"",ReferenceData!$W$335),"")</f>
        <v>1716.8630000000001</v>
      </c>
      <c r="X335">
        <f ca="1">IFERROR(IF(0=LEN(ReferenceData!$X$335),"",ReferenceData!$X$335),"")</f>
        <v>1099.3209999999999</v>
      </c>
      <c r="Y335">
        <f ca="1">IFERROR(IF(0=LEN(ReferenceData!$Y$335),"",ReferenceData!$Y$335),"")</f>
        <v>1095.829</v>
      </c>
      <c r="Z335">
        <f ca="1">IFERROR(IF(0=LEN(ReferenceData!$Z$335),"",ReferenceData!$Z$335),"")</f>
        <v>829.96600000000001</v>
      </c>
      <c r="AA335">
        <f ca="1">IFERROR(IF(0=LEN(ReferenceData!$AA$335),"",ReferenceData!$AA$335),"")</f>
        <v>1184.518</v>
      </c>
      <c r="AB335">
        <f ca="1">IFERROR(IF(0=LEN(ReferenceData!$AB$335),"",ReferenceData!$AB$335),"")</f>
        <v>452.71199999999999</v>
      </c>
      <c r="AC335">
        <f ca="1">IFERROR(IF(0=LEN(ReferenceData!$AC$335),"",ReferenceData!$AC$335),"")</f>
        <v>638.49900000000002</v>
      </c>
      <c r="AD335">
        <f ca="1">IFERROR(IF(0=LEN(ReferenceData!$AD$335),"",ReferenceData!$AD$335),"")</f>
        <v>880.54899999999998</v>
      </c>
      <c r="AE335">
        <f ca="1">IFERROR(IF(0=LEN(ReferenceData!$AE$335),"",ReferenceData!$AE$335),"")</f>
        <v>798.65</v>
      </c>
      <c r="AF335">
        <f ca="1">IFERROR(IF(0=LEN(ReferenceData!$AF$335),"",ReferenceData!$AF$335),"")</f>
        <v>575.81700000000001</v>
      </c>
      <c r="AG335">
        <f ca="1">IFERROR(IF(0=LEN(ReferenceData!$AG$335),"",ReferenceData!$AG$335),"")</f>
        <v>789.71299999999997</v>
      </c>
      <c r="AH335">
        <f ca="1">IFERROR(IF(0=LEN(ReferenceData!$AH$335),"",ReferenceData!$AH$335),"")</f>
        <v>636.04999999999995</v>
      </c>
      <c r="AI335">
        <f ca="1">IFERROR(IF(0=LEN(ReferenceData!$AI$335),"",ReferenceData!$AI$335),"")</f>
        <v>796.71799999999996</v>
      </c>
      <c r="AJ335">
        <f ca="1">IFERROR(IF(0=LEN(ReferenceData!$AJ$335),"",ReferenceData!$AJ$335),"")</f>
        <v>1011.574</v>
      </c>
      <c r="AK335">
        <f ca="1">IFERROR(IF(0=LEN(ReferenceData!$AK$335),"",ReferenceData!$AK$335),"")</f>
        <v>2293.2420000000002</v>
      </c>
      <c r="AL335">
        <f ca="1">IFERROR(IF(0=LEN(ReferenceData!$AL$335),"",ReferenceData!$AL$335),"")</f>
        <v>3326.6419999999998</v>
      </c>
      <c r="AM335">
        <f ca="1">IFERROR(IF(0=LEN(ReferenceData!$AM$335),"",ReferenceData!$AM$335),"")</f>
        <v>3957.7179999999998</v>
      </c>
      <c r="AN335">
        <f ca="1">IFERROR(IF(0=LEN(ReferenceData!$AN$335),"",ReferenceData!$AN$335),"")</f>
        <v>3745.6930000000002</v>
      </c>
      <c r="AO335">
        <f ca="1">IFERROR(IF(0=LEN(ReferenceData!$AO$335),"",ReferenceData!$AO$335),"")</f>
        <v>2628.431</v>
      </c>
      <c r="AP335">
        <f ca="1">IFERROR(IF(0=LEN(ReferenceData!$AP$335),"",ReferenceData!$AP$335),"")</f>
        <v>898.32799999999997</v>
      </c>
      <c r="AQ335">
        <f ca="1">IFERROR(IF(0=LEN(ReferenceData!$AQ$335),"",ReferenceData!$AQ$335),"")</f>
        <v>773.54399999999998</v>
      </c>
      <c r="AR335">
        <f ca="1">IFERROR(IF(0=LEN(ReferenceData!$AR$335),"",ReferenceData!$AR$335),"")</f>
        <v>646.11599999999999</v>
      </c>
      <c r="AS335">
        <f ca="1">IFERROR(IF(0=LEN(ReferenceData!$AS$335),"",ReferenceData!$AS$335),"")</f>
        <v>503.87900000000002</v>
      </c>
      <c r="AT335">
        <f ca="1">IFERROR(IF(0=LEN(ReferenceData!$AT$335),"",ReferenceData!$AT$335),"")</f>
        <v>428.65899999999999</v>
      </c>
      <c r="AU335">
        <f ca="1">IFERROR(IF(0=LEN(ReferenceData!$AU$335),"",ReferenceData!$AU$335),"")</f>
        <v>501.98200000000003</v>
      </c>
      <c r="AV335">
        <f ca="1">IFERROR(IF(0=LEN(ReferenceData!$AV$335),"",ReferenceData!$AV$335),"")</f>
        <v>389.96800000000002</v>
      </c>
      <c r="AW335">
        <f ca="1">IFERROR(IF(0=LEN(ReferenceData!$AW$335),"",ReferenceData!$AW$335),"")</f>
        <v>381.17500000000001</v>
      </c>
      <c r="AX335">
        <f ca="1">IFERROR(IF(0=LEN(ReferenceData!$AX$335),"",ReferenceData!$AX$335),"")</f>
        <v>339.95299999999997</v>
      </c>
      <c r="AY335">
        <f ca="1">IFERROR(IF(0=LEN(ReferenceData!$AY$335),"",ReferenceData!$AY$335),"")</f>
        <v>929.36</v>
      </c>
      <c r="AZ335">
        <f ca="1">IFERROR(IF(0=LEN(ReferenceData!$AZ$335),"",ReferenceData!$AZ$335),"")</f>
        <v>322.952</v>
      </c>
      <c r="BA335">
        <f ca="1">IFERROR(IF(0=LEN(ReferenceData!$BA$335),"",ReferenceData!$BA$335),"")</f>
        <v>330.28500000000003</v>
      </c>
      <c r="BB335">
        <f ca="1">IFERROR(IF(0=LEN(ReferenceData!$BB$335),"",ReferenceData!$BB$335),"")</f>
        <v>299.03699999999998</v>
      </c>
      <c r="BC335">
        <f ca="1">IFERROR(IF(0=LEN(ReferenceData!$BC$335),"",ReferenceData!$BC$335),"")</f>
        <v>337.048</v>
      </c>
      <c r="BD335">
        <f ca="1">IFERROR(IF(0=LEN(ReferenceData!$BD$335),"",ReferenceData!$BD$335),"")</f>
        <v>422.791</v>
      </c>
      <c r="BE335">
        <f ca="1">IFERROR(IF(0=LEN(ReferenceData!$BE$335),"",ReferenceData!$BE$335),"")</f>
        <v>375.57499999999999</v>
      </c>
      <c r="BF335">
        <f ca="1">IFERROR(IF(0=LEN(ReferenceData!$BF$335),"",ReferenceData!$BF$335),"")</f>
        <v>283.529</v>
      </c>
      <c r="BG335">
        <f ca="1">IFERROR(IF(0=LEN(ReferenceData!$BG$335),"",ReferenceData!$BG$335),"")</f>
        <v>520.08399999999995</v>
      </c>
      <c r="BH335">
        <f ca="1">IFERROR(IF(0=LEN(ReferenceData!$BH$335),"",ReferenceData!$BH$335),"")</f>
        <v>488.97300000000001</v>
      </c>
      <c r="BI335">
        <f ca="1">IFERROR(IF(0=LEN(ReferenceData!$BI$335),"",ReferenceData!$BI$335),"")</f>
        <v>519.07000000000005</v>
      </c>
      <c r="BJ335">
        <f ca="1">IFERROR(IF(0=LEN(ReferenceData!$BJ$335),"",ReferenceData!$BJ$335),"")</f>
        <v>489.75700000000001</v>
      </c>
      <c r="BK335">
        <f ca="1">IFERROR(IF(0=LEN(ReferenceData!$BK$335),"",ReferenceData!$BK$335),"")</f>
        <v>535.62300000000005</v>
      </c>
      <c r="BL335">
        <f ca="1">IFERROR(IF(0=LEN(ReferenceData!$BL$335),"",ReferenceData!$BL$335),"")</f>
        <v>361.06700000000001</v>
      </c>
      <c r="BM335">
        <f ca="1">IFERROR(IF(0=LEN(ReferenceData!$BM$335),"",ReferenceData!$BM$335),"")</f>
        <v>351.40800000000002</v>
      </c>
    </row>
    <row r="336" spans="1:65">
      <c r="A336" t="str">
        <f>IFERROR(IF(0=LEN(ReferenceData!$A$336),"",ReferenceData!$A$336),"")</f>
        <v xml:space="preserve">    Tanger Factory Outlet Centers</v>
      </c>
      <c r="B336" t="str">
        <f>IFERROR(IF(0=LEN(ReferenceData!$B$336),"",ReferenceData!$B$336),"")</f>
        <v>SKT US Equity</v>
      </c>
      <c r="C336" t="str">
        <f>IFERROR(IF(0=LEN(ReferenceData!$C$336),"",ReferenceData!$C$336),"")</f>
        <v>RR253</v>
      </c>
      <c r="D336" t="str">
        <f>IFERROR(IF(0=LEN(ReferenceData!$D$336),"",ReferenceData!$D$336),"")</f>
        <v>CASH_AND_MARKETABLE_SECURITIES</v>
      </c>
      <c r="E336" t="str">
        <f>IFERROR(IF(0=LEN(ReferenceData!$E$336),"",ReferenceData!$E$336),"")</f>
        <v>动态</v>
      </c>
      <c r="F336" t="str">
        <f ca="1">IFERROR(IF(0=LEN(ReferenceData!$F$336),"",ReferenceData!$F$336),"")</f>
        <v/>
      </c>
      <c r="G336">
        <f ca="1">IFERROR(IF(0=LEN(ReferenceData!$G$336),"",ReferenceData!$G$336),"")</f>
        <v>6.101</v>
      </c>
      <c r="H336">
        <f ca="1">IFERROR(IF(0=LEN(ReferenceData!$H$336),"",ReferenceData!$H$336),"")</f>
        <v>8.7729999999999997</v>
      </c>
      <c r="I336">
        <f ca="1">IFERROR(IF(0=LEN(ReferenceData!$I$336),"",ReferenceData!$I$336),"")</f>
        <v>8.3620000000000001</v>
      </c>
      <c r="J336">
        <f ca="1">IFERROR(IF(0=LEN(ReferenceData!$J$336),"",ReferenceData!$J$336),"")</f>
        <v>7.2249999999999996</v>
      </c>
      <c r="K336">
        <f ca="1">IFERROR(IF(0=LEN(ReferenceData!$K$336),"",ReferenceData!$K$336),"")</f>
        <v>12.222</v>
      </c>
      <c r="L336">
        <f ca="1">IFERROR(IF(0=LEN(ReferenceData!$L$336),"",ReferenceData!$L$336),"")</f>
        <v>25.902000000000001</v>
      </c>
      <c r="M336">
        <f ca="1">IFERROR(IF(0=LEN(ReferenceData!$M$336),"",ReferenceData!$M$336),"")</f>
        <v>27.106999999999999</v>
      </c>
      <c r="N336">
        <f ca="1">IFERROR(IF(0=LEN(ReferenceData!$N$336),"",ReferenceData!$N$336),"")</f>
        <v>18.876999999999999</v>
      </c>
      <c r="O336">
        <f ca="1">IFERROR(IF(0=LEN(ReferenceData!$O$336),"",ReferenceData!$O$336),"")</f>
        <v>21.558</v>
      </c>
      <c r="P336">
        <f ca="1">IFERROR(IF(0=LEN(ReferenceData!$P$336),"",ReferenceData!$P$336),"")</f>
        <v>20.661000000000001</v>
      </c>
      <c r="Q336">
        <f ca="1">IFERROR(IF(0=LEN(ReferenceData!$Q$336),"",ReferenceData!$Q$336),"")</f>
        <v>16.949000000000002</v>
      </c>
      <c r="R336">
        <f ca="1">IFERROR(IF(0=LEN(ReferenceData!$R$336),"",ReferenceData!$R$336),"")</f>
        <v>14.661</v>
      </c>
      <c r="S336">
        <f ca="1">IFERROR(IF(0=LEN(ReferenceData!$S$336),"",ReferenceData!$S$336),"")</f>
        <v>16.875</v>
      </c>
      <c r="T336">
        <f ca="1">IFERROR(IF(0=LEN(ReferenceData!$T$336),"",ReferenceData!$T$336),"")</f>
        <v>10.824</v>
      </c>
      <c r="U336">
        <f ca="1">IFERROR(IF(0=LEN(ReferenceData!$U$336),"",ReferenceData!$U$336),"")</f>
        <v>13.24</v>
      </c>
      <c r="V336">
        <f ca="1">IFERROR(IF(0=LEN(ReferenceData!$V$336),"",ReferenceData!$V$336),"")</f>
        <v>16.905999999999999</v>
      </c>
      <c r="W336">
        <f ca="1">IFERROR(IF(0=LEN(ReferenceData!$W$336),"",ReferenceData!$W$336),"")</f>
        <v>15.241</v>
      </c>
      <c r="X336">
        <f ca="1">IFERROR(IF(0=LEN(ReferenceData!$X$336),"",ReferenceData!$X$336),"")</f>
        <v>10.481999999999999</v>
      </c>
      <c r="Y336">
        <f ca="1">IFERROR(IF(0=LEN(ReferenceData!$Y$336),"",ReferenceData!$Y$336),"")</f>
        <v>5.45</v>
      </c>
      <c r="Z336">
        <f ca="1">IFERROR(IF(0=LEN(ReferenceData!$Z$336),"",ReferenceData!$Z$336),"")</f>
        <v>2.6909999999999998</v>
      </c>
      <c r="AA336">
        <f ca="1">IFERROR(IF(0=LEN(ReferenceData!$AA$336),"",ReferenceData!$AA$336),"")</f>
        <v>10.335000000000001</v>
      </c>
      <c r="AB336">
        <f ca="1">IFERROR(IF(0=LEN(ReferenceData!$AB$336),"",ReferenceData!$AB$336),"")</f>
        <v>9.5109999999999992</v>
      </c>
      <c r="AC336">
        <f ca="1">IFERROR(IF(0=LEN(ReferenceData!$AC$336),"",ReferenceData!$AC$336),"")</f>
        <v>11.855</v>
      </c>
      <c r="AD336">
        <f ca="1">IFERROR(IF(0=LEN(ReferenceData!$AD$336),"",ReferenceData!$AD$336),"")</f>
        <v>10.787000000000001</v>
      </c>
      <c r="AE336">
        <f ca="1">IFERROR(IF(0=LEN(ReferenceData!$AE$336),"",ReferenceData!$AE$336),"")</f>
        <v>7.8940000000000001</v>
      </c>
      <c r="AF336">
        <f ca="1">IFERROR(IF(0=LEN(ReferenceData!$AF$336),"",ReferenceData!$AF$336),"")</f>
        <v>3.694</v>
      </c>
      <c r="AG336">
        <f ca="1">IFERROR(IF(0=LEN(ReferenceData!$AG$336),"",ReferenceData!$AG$336),"")</f>
        <v>18.437999999999999</v>
      </c>
      <c r="AH336">
        <f ca="1">IFERROR(IF(0=LEN(ReferenceData!$AH$336),"",ReferenceData!$AH$336),"")</f>
        <v>0.73099999999999998</v>
      </c>
      <c r="AI336">
        <f ca="1">IFERROR(IF(0=LEN(ReferenceData!$AI$336),"",ReferenceData!$AI$336),"")</f>
        <v>5.758</v>
      </c>
      <c r="AJ336">
        <f ca="1">IFERROR(IF(0=LEN(ReferenceData!$AJ$336),"",ReferenceData!$AJ$336),"")</f>
        <v>2.835</v>
      </c>
      <c r="AK336">
        <f ca="1">IFERROR(IF(0=LEN(ReferenceData!$AK$336),"",ReferenceData!$AK$336),"")</f>
        <v>3.4529999999999998</v>
      </c>
      <c r="AL336">
        <f ca="1">IFERROR(IF(0=LEN(ReferenceData!$AL$336),"",ReferenceData!$AL$336),"")</f>
        <v>3.1970000000000001</v>
      </c>
      <c r="AM336">
        <f ca="1">IFERROR(IF(0=LEN(ReferenceData!$AM$336),"",ReferenceData!$AM$336),"")</f>
        <v>3.2669999999999999</v>
      </c>
      <c r="AN336">
        <f ca="1">IFERROR(IF(0=LEN(ReferenceData!$AN$336),"",ReferenceData!$AN$336),"")</f>
        <v>4.4009999999999998</v>
      </c>
      <c r="AO336">
        <f ca="1">IFERROR(IF(0=LEN(ReferenceData!$AO$336),"",ReferenceData!$AO$336),"")</f>
        <v>5.15</v>
      </c>
      <c r="AP336">
        <f ca="1">IFERROR(IF(0=LEN(ReferenceData!$AP$336),"",ReferenceData!$AP$336),"")</f>
        <v>3.101</v>
      </c>
      <c r="AQ336">
        <f ca="1">IFERROR(IF(0=LEN(ReferenceData!$AQ$336),"",ReferenceData!$AQ$336),"")</f>
        <v>4.9770000000000003</v>
      </c>
      <c r="AR336">
        <f ca="1">IFERROR(IF(0=LEN(ReferenceData!$AR$336),"",ReferenceData!$AR$336),"")</f>
        <v>3.7530000000000001</v>
      </c>
      <c r="AS336">
        <f ca="1">IFERROR(IF(0=LEN(ReferenceData!$AS$336),"",ReferenceData!$AS$336),"")</f>
        <v>1.0880000000000001</v>
      </c>
      <c r="AT336">
        <f ca="1">IFERROR(IF(0=LEN(ReferenceData!$AT$336),"",ReferenceData!$AT$336),"")</f>
        <v>2.302</v>
      </c>
      <c r="AU336">
        <f ca="1">IFERROR(IF(0=LEN(ReferenceData!$AU$336),"",ReferenceData!$AU$336),"")</f>
        <v>2.4119999999999999</v>
      </c>
      <c r="AV336">
        <f ca="1">IFERROR(IF(0=LEN(ReferenceData!$AV$336),"",ReferenceData!$AV$336),"")</f>
        <v>2.4340000000000002</v>
      </c>
      <c r="AW336">
        <f ca="1">IFERROR(IF(0=LEN(ReferenceData!$AW$336),"",ReferenceData!$AW$336),"")</f>
        <v>1.2230000000000001</v>
      </c>
      <c r="AX336">
        <f ca="1">IFERROR(IF(0=LEN(ReferenceData!$AX$336),"",ReferenceData!$AX$336),"")</f>
        <v>3.2730000000000001</v>
      </c>
      <c r="AY336">
        <f ca="1">IFERROR(IF(0=LEN(ReferenceData!$AY$336),"",ReferenceData!$AY$336),"")</f>
        <v>8.4529999999999994</v>
      </c>
      <c r="AZ336">
        <f ca="1">IFERROR(IF(0=LEN(ReferenceData!$AZ$336),"",ReferenceData!$AZ$336),"")</f>
        <v>20.196999999999999</v>
      </c>
      <c r="BA336">
        <f ca="1">IFERROR(IF(0=LEN(ReferenceData!$BA$336),"",ReferenceData!$BA$336),"")</f>
        <v>1.7849999999999999</v>
      </c>
      <c r="BB336">
        <f ca="1">IFERROR(IF(0=LEN(ReferenceData!$BB$336),"",ReferenceData!$BB$336),"")</f>
        <v>2.153</v>
      </c>
      <c r="BC336">
        <f ca="1">IFERROR(IF(0=LEN(ReferenceData!$BC$336),"",ReferenceData!$BC$336),"")</f>
        <v>2.93</v>
      </c>
      <c r="BD336">
        <f ca="1">IFERROR(IF(0=LEN(ReferenceData!$BD$336),"",ReferenceData!$BD$336),"")</f>
        <v>6.2190000000000003</v>
      </c>
      <c r="BE336">
        <f ca="1">IFERROR(IF(0=LEN(ReferenceData!$BE$336),"",ReferenceData!$BE$336),"")</f>
        <v>3.5430000000000001</v>
      </c>
      <c r="BF336">
        <f ca="1">IFERROR(IF(0=LEN(ReferenceData!$BF$336),"",ReferenceData!$BF$336),"")</f>
        <v>6.5309999999999997</v>
      </c>
      <c r="BG336">
        <f ca="1">IFERROR(IF(0=LEN(ReferenceData!$BG$336),"",ReferenceData!$BG$336),"")</f>
        <v>4.1029999999999998</v>
      </c>
      <c r="BH336">
        <f ca="1">IFERROR(IF(0=LEN(ReferenceData!$BH$336),"",ReferenceData!$BH$336),"")</f>
        <v>27.135000000000002</v>
      </c>
      <c r="BI336">
        <f ca="1">IFERROR(IF(0=LEN(ReferenceData!$BI$336),"",ReferenceData!$BI$336),"")</f>
        <v>8.6940000000000008</v>
      </c>
      <c r="BJ336">
        <f ca="1">IFERROR(IF(0=LEN(ReferenceData!$BJ$336),"",ReferenceData!$BJ$336),"")</f>
        <v>10.781000000000001</v>
      </c>
      <c r="BK336">
        <f ca="1">IFERROR(IF(0=LEN(ReferenceData!$BK$336),"",ReferenceData!$BK$336),"")</f>
        <v>9.8360004429999996</v>
      </c>
      <c r="BL336">
        <f ca="1">IFERROR(IF(0=LEN(ReferenceData!$BL$336),"",ReferenceData!$BL$336),"")</f>
        <v>0.20899999999999999</v>
      </c>
      <c r="BM336">
        <f ca="1">IFERROR(IF(0=LEN(ReferenceData!$BM$336),"",ReferenceData!$BM$336),"")</f>
        <v>0.20300000000000001</v>
      </c>
    </row>
    <row r="337" spans="1:65">
      <c r="A337" t="str">
        <f>IFERROR(IF(0=LEN(ReferenceData!$A$337),"",ReferenceData!$A$337),"")</f>
        <v xml:space="preserve">    VEREIT Inc</v>
      </c>
      <c r="B337" t="str">
        <f>IFERROR(IF(0=LEN(ReferenceData!$B$337),"",ReferenceData!$B$337),"")</f>
        <v>VER US Equity</v>
      </c>
      <c r="C337" t="str">
        <f>IFERROR(IF(0=LEN(ReferenceData!$C$337),"",ReferenceData!$C$337),"")</f>
        <v>RR253</v>
      </c>
      <c r="D337" t="str">
        <f>IFERROR(IF(0=LEN(ReferenceData!$D$337),"",ReferenceData!$D$337),"")</f>
        <v>CASH_AND_MARKETABLE_SECURITIES</v>
      </c>
      <c r="E337" t="str">
        <f>IFERROR(IF(0=LEN(ReferenceData!$E$337),"",ReferenceData!$E$337),"")</f>
        <v>动态</v>
      </c>
      <c r="F337" t="str">
        <f ca="1">IFERROR(IF(0=LEN(ReferenceData!$F$337),"",ReferenceData!$F$337),"")</f>
        <v/>
      </c>
      <c r="G337">
        <f ca="1">IFERROR(IF(0=LEN(ReferenceData!$G$337),"",ReferenceData!$G$337),"")</f>
        <v>34.176000000000002</v>
      </c>
      <c r="H337">
        <f ca="1">IFERROR(IF(0=LEN(ReferenceData!$H$337),"",ReferenceData!$H$337),"")</f>
        <v>54.363</v>
      </c>
      <c r="I337">
        <f ca="1">IFERROR(IF(0=LEN(ReferenceData!$I$337),"",ReferenceData!$I$337),"")</f>
        <v>292.49799999999999</v>
      </c>
      <c r="J337">
        <f ca="1">IFERROR(IF(0=LEN(ReferenceData!$J$337),"",ReferenceData!$J$337),"")</f>
        <v>285.58600000000001</v>
      </c>
      <c r="K337">
        <f ca="1">IFERROR(IF(0=LEN(ReferenceData!$K$337),"",ReferenceData!$K$337),"")</f>
        <v>256.452</v>
      </c>
      <c r="L337">
        <f ca="1">IFERROR(IF(0=LEN(ReferenceData!$L$337),"",ReferenceData!$L$337),"")</f>
        <v>116.61799999999999</v>
      </c>
      <c r="M337">
        <f ca="1">IFERROR(IF(0=LEN(ReferenceData!$M$337),"",ReferenceData!$M$337),"")</f>
        <v>1029.6199999999999</v>
      </c>
      <c r="N337">
        <f ca="1">IFERROR(IF(0=LEN(ReferenceData!$N$337),"",ReferenceData!$N$337),"")</f>
        <v>104.45</v>
      </c>
      <c r="O337">
        <f ca="1">IFERROR(IF(0=LEN(ReferenceData!$O$337),"",ReferenceData!$O$337),"")</f>
        <v>69.102999999999994</v>
      </c>
      <c r="P337">
        <f ca="1">IFERROR(IF(0=LEN(ReferenceData!$P$337),"",ReferenceData!$P$337),"")</f>
        <v>171.65899999999999</v>
      </c>
      <c r="Q337">
        <f ca="1">IFERROR(IF(0=LEN(ReferenceData!$Q$337),"",ReferenceData!$Q$337),"")</f>
        <v>121.651</v>
      </c>
      <c r="R337">
        <f ca="1">IFERROR(IF(0=LEN(ReferenceData!$R$337),"",ReferenceData!$R$337),"")</f>
        <v>788.73900000000003</v>
      </c>
      <c r="S337">
        <f ca="1">IFERROR(IF(0=LEN(ReferenceData!$S$337),"",ReferenceData!$S$337),"")</f>
        <v>416.71100000000001</v>
      </c>
      <c r="T337">
        <f ca="1">IFERROR(IF(0=LEN(ReferenceData!$T$337),"",ReferenceData!$T$337),"")</f>
        <v>145.31</v>
      </c>
      <c r="U337">
        <f ca="1">IFERROR(IF(0=LEN(ReferenceData!$U$337),"",ReferenceData!$U$337),"")</f>
        <v>193.69</v>
      </c>
      <c r="V337">
        <f ca="1">IFERROR(IF(0=LEN(ReferenceData!$V$337),"",ReferenceData!$V$337),"")</f>
        <v>83.066999999999993</v>
      </c>
      <c r="W337">
        <f ca="1">IFERROR(IF(0=LEN(ReferenceData!$W$337),"",ReferenceData!$W$337),"")</f>
        <v>52.725000000000001</v>
      </c>
      <c r="X337">
        <f ca="1">IFERROR(IF(0=LEN(ReferenceData!$X$337),"",ReferenceData!$X$337),"")</f>
        <v>150.48099999999999</v>
      </c>
      <c r="Y337">
        <f ca="1">IFERROR(IF(0=LEN(ReferenceData!$Y$337),"",ReferenceData!$Y$337),"")</f>
        <v>10.958</v>
      </c>
      <c r="Z337">
        <f ca="1">IFERROR(IF(0=LEN(ReferenceData!$Z$337),"",ReferenceData!$Z$337),"")</f>
        <v>52.411999999999999</v>
      </c>
      <c r="AA337">
        <f ca="1">IFERROR(IF(0=LEN(ReferenceData!$AA$337),"",ReferenceData!$AA$337),"")</f>
        <v>156.87299999999999</v>
      </c>
      <c r="AB337">
        <f ca="1">IFERROR(IF(0=LEN(ReferenceData!$AB$337),"",ReferenceData!$AB$337),"")</f>
        <v>3.7789999999999999</v>
      </c>
      <c r="AC337">
        <f ca="1">IFERROR(IF(0=LEN(ReferenceData!$AC$337),"",ReferenceData!$AC$337),"")</f>
        <v>2.1070000000000002</v>
      </c>
      <c r="AD337">
        <f ca="1">IFERROR(IF(0=LEN(ReferenceData!$AD$337),"",ReferenceData!$AD$337),"")</f>
        <v>0.76800000000000002</v>
      </c>
      <c r="AE337">
        <f ca="1">IFERROR(IF(0=LEN(ReferenceData!$AE$337),"",ReferenceData!$AE$337),"")</f>
        <v>3.1480000000000001</v>
      </c>
      <c r="AF337">
        <f ca="1">IFERROR(IF(0=LEN(ReferenceData!$AF$337),"",ReferenceData!$AF$337),"")</f>
        <v>0.83</v>
      </c>
      <c r="AG337">
        <f ca="1">IFERROR(IF(0=LEN(ReferenceData!$AG$337),"",ReferenceData!$AG$337),"")</f>
        <v>1.0000000000000001E-5</v>
      </c>
      <c r="AH337">
        <f ca="1">IFERROR(IF(0=LEN(ReferenceData!$AH$337),"",ReferenceData!$AH$337),"")</f>
        <v>0.51393999999999995</v>
      </c>
      <c r="AI337" t="str">
        <f ca="1">IFERROR(IF(0=LEN(ReferenceData!$AI$337),"",ReferenceData!$AI$337),"")</f>
        <v/>
      </c>
      <c r="AJ337">
        <f ca="1">IFERROR(IF(0=LEN(ReferenceData!$AJ$337),"",ReferenceData!$AJ$337),"")</f>
        <v>0.51541199999999998</v>
      </c>
      <c r="AK337" t="str">
        <f ca="1">IFERROR(IF(0=LEN(ReferenceData!$AK$337),"",ReferenceData!$AK$337),"")</f>
        <v/>
      </c>
      <c r="AL337" t="str">
        <f ca="1">IFERROR(IF(0=LEN(ReferenceData!$AL$337),"",ReferenceData!$AL$337),"")</f>
        <v/>
      </c>
      <c r="AM337" t="str">
        <f ca="1">IFERROR(IF(0=LEN(ReferenceData!$AM$337),"",ReferenceData!$AM$337),"")</f>
        <v/>
      </c>
      <c r="AN337" t="str">
        <f ca="1">IFERROR(IF(0=LEN(ReferenceData!$AN$337),"",ReferenceData!$AN$337),"")</f>
        <v/>
      </c>
      <c r="AO337" t="str">
        <f ca="1">IFERROR(IF(0=LEN(ReferenceData!$AO$337),"",ReferenceData!$AO$337),"")</f>
        <v/>
      </c>
      <c r="AP337" t="str">
        <f ca="1">IFERROR(IF(0=LEN(ReferenceData!$AP$337),"",ReferenceData!$AP$337),"")</f>
        <v/>
      </c>
      <c r="AQ337" t="str">
        <f ca="1">IFERROR(IF(0=LEN(ReferenceData!$AQ$337),"",ReferenceData!$AQ$337),"")</f>
        <v/>
      </c>
      <c r="AR337" t="str">
        <f ca="1">IFERROR(IF(0=LEN(ReferenceData!$AR$337),"",ReferenceData!$AR$337),"")</f>
        <v/>
      </c>
      <c r="AS337" t="str">
        <f ca="1">IFERROR(IF(0=LEN(ReferenceData!$AS$337),"",ReferenceData!$AS$337),"")</f>
        <v/>
      </c>
      <c r="AT337" t="str">
        <f ca="1">IFERROR(IF(0=LEN(ReferenceData!$AT$337),"",ReferenceData!$AT$337),"")</f>
        <v/>
      </c>
      <c r="AU337" t="str">
        <f ca="1">IFERROR(IF(0=LEN(ReferenceData!$AU$337),"",ReferenceData!$AU$337),"")</f>
        <v/>
      </c>
      <c r="AV337" t="str">
        <f ca="1">IFERROR(IF(0=LEN(ReferenceData!$AV$337),"",ReferenceData!$AV$337),"")</f>
        <v/>
      </c>
      <c r="AW337" t="str">
        <f ca="1">IFERROR(IF(0=LEN(ReferenceData!$AW$337),"",ReferenceData!$AW$337),"")</f>
        <v/>
      </c>
      <c r="AX337" t="str">
        <f ca="1">IFERROR(IF(0=LEN(ReferenceData!$AX$337),"",ReferenceData!$AX$337),"")</f>
        <v/>
      </c>
      <c r="AY337" t="str">
        <f ca="1">IFERROR(IF(0=LEN(ReferenceData!$AY$337),"",ReferenceData!$AY$337),"")</f>
        <v/>
      </c>
      <c r="AZ337" t="str">
        <f ca="1">IFERROR(IF(0=LEN(ReferenceData!$AZ$337),"",ReferenceData!$AZ$337),"")</f>
        <v/>
      </c>
      <c r="BA337" t="str">
        <f ca="1">IFERROR(IF(0=LEN(ReferenceData!$BA$337),"",ReferenceData!$BA$337),"")</f>
        <v/>
      </c>
      <c r="BB337" t="str">
        <f ca="1">IFERROR(IF(0=LEN(ReferenceData!$BB$337),"",ReferenceData!$BB$337),"")</f>
        <v/>
      </c>
      <c r="BC337" t="str">
        <f ca="1">IFERROR(IF(0=LEN(ReferenceData!$BC$337),"",ReferenceData!$BC$337),"")</f>
        <v/>
      </c>
      <c r="BD337" t="str">
        <f ca="1">IFERROR(IF(0=LEN(ReferenceData!$BD$337),"",ReferenceData!$BD$337),"")</f>
        <v/>
      </c>
      <c r="BE337" t="str">
        <f ca="1">IFERROR(IF(0=LEN(ReferenceData!$BE$337),"",ReferenceData!$BE$337),"")</f>
        <v/>
      </c>
      <c r="BF337" t="str">
        <f ca="1">IFERROR(IF(0=LEN(ReferenceData!$BF$337),"",ReferenceData!$BF$337),"")</f>
        <v/>
      </c>
      <c r="BG337" t="str">
        <f ca="1">IFERROR(IF(0=LEN(ReferenceData!$BG$337),"",ReferenceData!$BG$337),"")</f>
        <v/>
      </c>
      <c r="BH337" t="str">
        <f ca="1">IFERROR(IF(0=LEN(ReferenceData!$BH$337),"",ReferenceData!$BH$337),"")</f>
        <v/>
      </c>
      <c r="BI337" t="str">
        <f ca="1">IFERROR(IF(0=LEN(ReferenceData!$BI$337),"",ReferenceData!$BI$337),"")</f>
        <v/>
      </c>
      <c r="BJ337" t="str">
        <f ca="1">IFERROR(IF(0=LEN(ReferenceData!$BJ$337),"",ReferenceData!$BJ$337),"")</f>
        <v/>
      </c>
      <c r="BK337" t="str">
        <f ca="1">IFERROR(IF(0=LEN(ReferenceData!$BK$337),"",ReferenceData!$BK$337),"")</f>
        <v/>
      </c>
      <c r="BL337" t="str">
        <f ca="1">IFERROR(IF(0=LEN(ReferenceData!$BL$337),"",ReferenceData!$BL$337),"")</f>
        <v/>
      </c>
      <c r="BM337" t="str">
        <f ca="1">IFERROR(IF(0=LEN(ReferenceData!$BM$337),"",ReferenceData!$BM$337),"")</f>
        <v/>
      </c>
    </row>
    <row r="338" spans="1:65">
      <c r="A338" t="str">
        <f>IFERROR(IF(0=LEN(ReferenceData!$A$338),"",ReferenceData!$A$338),"")</f>
        <v xml:space="preserve">    Washington Prime Group Inc</v>
      </c>
      <c r="B338" t="str">
        <f>IFERROR(IF(0=LEN(ReferenceData!$B$338),"",ReferenceData!$B$338),"")</f>
        <v>WPG US Equity</v>
      </c>
      <c r="C338" t="str">
        <f>IFERROR(IF(0=LEN(ReferenceData!$C$338),"",ReferenceData!$C$338),"")</f>
        <v>RR253</v>
      </c>
      <c r="D338" t="str">
        <f>IFERROR(IF(0=LEN(ReferenceData!$D$338),"",ReferenceData!$D$338),"")</f>
        <v>CASH_AND_MARKETABLE_SECURITIES</v>
      </c>
      <c r="E338" t="str">
        <f>IFERROR(IF(0=LEN(ReferenceData!$E$338),"",ReferenceData!$E$338),"")</f>
        <v>动态</v>
      </c>
      <c r="F338" t="str">
        <f ca="1">IFERROR(IF(0=LEN(ReferenceData!$F$338),"",ReferenceData!$F$338),"")</f>
        <v/>
      </c>
      <c r="G338">
        <f ca="1">IFERROR(IF(0=LEN(ReferenceData!$G$338),"",ReferenceData!$G$338),"")</f>
        <v>52.018999999999998</v>
      </c>
      <c r="H338">
        <f ca="1">IFERROR(IF(0=LEN(ReferenceData!$H$338),"",ReferenceData!$H$338),"")</f>
        <v>48.262999999999998</v>
      </c>
      <c r="I338">
        <f ca="1">IFERROR(IF(0=LEN(ReferenceData!$I$338),"",ReferenceData!$I$338),"")</f>
        <v>76.759</v>
      </c>
      <c r="J338">
        <f ca="1">IFERROR(IF(0=LEN(ReferenceData!$J$338),"",ReferenceData!$J$338),"")</f>
        <v>94.531000000000006</v>
      </c>
      <c r="K338">
        <f ca="1">IFERROR(IF(0=LEN(ReferenceData!$K$338),"",ReferenceData!$K$338),"")</f>
        <v>59.353000000000002</v>
      </c>
      <c r="L338">
        <f ca="1">IFERROR(IF(0=LEN(ReferenceData!$L$338),"",ReferenceData!$L$338),"")</f>
        <v>57.790999999999997</v>
      </c>
      <c r="M338">
        <f ca="1">IFERROR(IF(0=LEN(ReferenceData!$M$338),"",ReferenceData!$M$338),"")</f>
        <v>63.445</v>
      </c>
      <c r="N338">
        <f ca="1">IFERROR(IF(0=LEN(ReferenceData!$N$338),"",ReferenceData!$N$338),"")</f>
        <v>91.259</v>
      </c>
      <c r="O338">
        <f ca="1">IFERROR(IF(0=LEN(ReferenceData!$O$338),"",ReferenceData!$O$338),"")</f>
        <v>116.253</v>
      </c>
      <c r="P338">
        <f ca="1">IFERROR(IF(0=LEN(ReferenceData!$P$338),"",ReferenceData!$P$338),"")</f>
        <v>121.327</v>
      </c>
      <c r="Q338">
        <f ca="1">IFERROR(IF(0=LEN(ReferenceData!$Q$338),"",ReferenceData!$Q$338),"")</f>
        <v>120.79</v>
      </c>
      <c r="R338">
        <f ca="1">IFERROR(IF(0=LEN(ReferenceData!$R$338),"",ReferenceData!$R$338),"")</f>
        <v>255.61600000000001</v>
      </c>
      <c r="S338">
        <f ca="1">IFERROR(IF(0=LEN(ReferenceData!$S$338),"",ReferenceData!$S$338),"")</f>
        <v>108.768</v>
      </c>
      <c r="T338">
        <f ca="1">IFERROR(IF(0=LEN(ReferenceData!$T$338),"",ReferenceData!$T$338),"")</f>
        <v>120.80800000000001</v>
      </c>
      <c r="U338">
        <f ca="1">IFERROR(IF(0=LEN(ReferenceData!$U$338),"",ReferenceData!$U$338),"")</f>
        <v>93.646000000000001</v>
      </c>
      <c r="V338">
        <f ca="1">IFERROR(IF(0=LEN(ReferenceData!$V$338),"",ReferenceData!$V$338),"")</f>
        <v>29.3</v>
      </c>
      <c r="W338" t="str">
        <f ca="1">IFERROR(IF(0=LEN(ReferenceData!$W$338),"",ReferenceData!$W$338),"")</f>
        <v/>
      </c>
      <c r="X338" t="str">
        <f ca="1">IFERROR(IF(0=LEN(ReferenceData!$X$338),"",ReferenceData!$X$338),"")</f>
        <v/>
      </c>
      <c r="Y338" t="str">
        <f ca="1">IFERROR(IF(0=LEN(ReferenceData!$Y$338),"",ReferenceData!$Y$338),"")</f>
        <v/>
      </c>
      <c r="Z338" t="str">
        <f ca="1">IFERROR(IF(0=LEN(ReferenceData!$Z$338),"",ReferenceData!$Z$338),"")</f>
        <v/>
      </c>
      <c r="AA338" t="str">
        <f ca="1">IFERROR(IF(0=LEN(ReferenceData!$AA$338),"",ReferenceData!$AA$338),"")</f>
        <v/>
      </c>
      <c r="AB338" t="str">
        <f ca="1">IFERROR(IF(0=LEN(ReferenceData!$AB$338),"",ReferenceData!$AB$338),"")</f>
        <v/>
      </c>
      <c r="AC338" t="str">
        <f ca="1">IFERROR(IF(0=LEN(ReferenceData!$AC$338),"",ReferenceData!$AC$338),"")</f>
        <v/>
      </c>
      <c r="AD338" t="str">
        <f ca="1">IFERROR(IF(0=LEN(ReferenceData!$AD$338),"",ReferenceData!$AD$338),"")</f>
        <v/>
      </c>
      <c r="AE338" t="str">
        <f ca="1">IFERROR(IF(0=LEN(ReferenceData!$AE$338),"",ReferenceData!$AE$338),"")</f>
        <v/>
      </c>
      <c r="AF338" t="str">
        <f ca="1">IFERROR(IF(0=LEN(ReferenceData!$AF$338),"",ReferenceData!$AF$338),"")</f>
        <v/>
      </c>
      <c r="AG338" t="str">
        <f ca="1">IFERROR(IF(0=LEN(ReferenceData!$AG$338),"",ReferenceData!$AG$338),"")</f>
        <v/>
      </c>
      <c r="AH338" t="str">
        <f ca="1">IFERROR(IF(0=LEN(ReferenceData!$AH$338),"",ReferenceData!$AH$338),"")</f>
        <v/>
      </c>
      <c r="AI338" t="str">
        <f ca="1">IFERROR(IF(0=LEN(ReferenceData!$AI$338),"",ReferenceData!$AI$338),"")</f>
        <v/>
      </c>
      <c r="AJ338" t="str">
        <f ca="1">IFERROR(IF(0=LEN(ReferenceData!$AJ$338),"",ReferenceData!$AJ$338),"")</f>
        <v/>
      </c>
      <c r="AK338" t="str">
        <f ca="1">IFERROR(IF(0=LEN(ReferenceData!$AK$338),"",ReferenceData!$AK$338),"")</f>
        <v/>
      </c>
      <c r="AL338" t="str">
        <f ca="1">IFERROR(IF(0=LEN(ReferenceData!$AL$338),"",ReferenceData!$AL$338),"")</f>
        <v/>
      </c>
      <c r="AM338" t="str">
        <f ca="1">IFERROR(IF(0=LEN(ReferenceData!$AM$338),"",ReferenceData!$AM$338),"")</f>
        <v/>
      </c>
      <c r="AN338" t="str">
        <f ca="1">IFERROR(IF(0=LEN(ReferenceData!$AN$338),"",ReferenceData!$AN$338),"")</f>
        <v/>
      </c>
      <c r="AO338" t="str">
        <f ca="1">IFERROR(IF(0=LEN(ReferenceData!$AO$338),"",ReferenceData!$AO$338),"")</f>
        <v/>
      </c>
      <c r="AP338" t="str">
        <f ca="1">IFERROR(IF(0=LEN(ReferenceData!$AP$338),"",ReferenceData!$AP$338),"")</f>
        <v/>
      </c>
      <c r="AQ338" t="str">
        <f ca="1">IFERROR(IF(0=LEN(ReferenceData!$AQ$338),"",ReferenceData!$AQ$338),"")</f>
        <v/>
      </c>
      <c r="AR338" t="str">
        <f ca="1">IFERROR(IF(0=LEN(ReferenceData!$AR$338),"",ReferenceData!$AR$338),"")</f>
        <v/>
      </c>
      <c r="AS338" t="str">
        <f ca="1">IFERROR(IF(0=LEN(ReferenceData!$AS$338),"",ReferenceData!$AS$338),"")</f>
        <v/>
      </c>
      <c r="AT338" t="str">
        <f ca="1">IFERROR(IF(0=LEN(ReferenceData!$AT$338),"",ReferenceData!$AT$338),"")</f>
        <v/>
      </c>
      <c r="AU338" t="str">
        <f ca="1">IFERROR(IF(0=LEN(ReferenceData!$AU$338),"",ReferenceData!$AU$338),"")</f>
        <v/>
      </c>
      <c r="AV338" t="str">
        <f ca="1">IFERROR(IF(0=LEN(ReferenceData!$AV$338),"",ReferenceData!$AV$338),"")</f>
        <v/>
      </c>
      <c r="AW338" t="str">
        <f ca="1">IFERROR(IF(0=LEN(ReferenceData!$AW$338),"",ReferenceData!$AW$338),"")</f>
        <v/>
      </c>
      <c r="AX338" t="str">
        <f ca="1">IFERROR(IF(0=LEN(ReferenceData!$AX$338),"",ReferenceData!$AX$338),"")</f>
        <v/>
      </c>
      <c r="AY338" t="str">
        <f ca="1">IFERROR(IF(0=LEN(ReferenceData!$AY$338),"",ReferenceData!$AY$338),"")</f>
        <v/>
      </c>
      <c r="AZ338" t="str">
        <f ca="1">IFERROR(IF(0=LEN(ReferenceData!$AZ$338),"",ReferenceData!$AZ$338),"")</f>
        <v/>
      </c>
      <c r="BA338" t="str">
        <f ca="1">IFERROR(IF(0=LEN(ReferenceData!$BA$338),"",ReferenceData!$BA$338),"")</f>
        <v/>
      </c>
      <c r="BB338" t="str">
        <f ca="1">IFERROR(IF(0=LEN(ReferenceData!$BB$338),"",ReferenceData!$BB$338),"")</f>
        <v/>
      </c>
      <c r="BC338" t="str">
        <f ca="1">IFERROR(IF(0=LEN(ReferenceData!$BC$338),"",ReferenceData!$BC$338),"")</f>
        <v/>
      </c>
      <c r="BD338" t="str">
        <f ca="1">IFERROR(IF(0=LEN(ReferenceData!$BD$338),"",ReferenceData!$BD$338),"")</f>
        <v/>
      </c>
      <c r="BE338" t="str">
        <f ca="1">IFERROR(IF(0=LEN(ReferenceData!$BE$338),"",ReferenceData!$BE$338),"")</f>
        <v/>
      </c>
      <c r="BF338" t="str">
        <f ca="1">IFERROR(IF(0=LEN(ReferenceData!$BF$338),"",ReferenceData!$BF$338),"")</f>
        <v/>
      </c>
      <c r="BG338" t="str">
        <f ca="1">IFERROR(IF(0=LEN(ReferenceData!$BG$338),"",ReferenceData!$BG$338),"")</f>
        <v/>
      </c>
      <c r="BH338" t="str">
        <f ca="1">IFERROR(IF(0=LEN(ReferenceData!$BH$338),"",ReferenceData!$BH$338),"")</f>
        <v/>
      </c>
      <c r="BI338" t="str">
        <f ca="1">IFERROR(IF(0=LEN(ReferenceData!$BI$338),"",ReferenceData!$BI$338),"")</f>
        <v/>
      </c>
      <c r="BJ338" t="str">
        <f ca="1">IFERROR(IF(0=LEN(ReferenceData!$BJ$338),"",ReferenceData!$BJ$338),"")</f>
        <v/>
      </c>
      <c r="BK338" t="str">
        <f ca="1">IFERROR(IF(0=LEN(ReferenceData!$BK$338),"",ReferenceData!$BK$338),"")</f>
        <v/>
      </c>
      <c r="BL338" t="str">
        <f ca="1">IFERROR(IF(0=LEN(ReferenceData!$BL$338),"",ReferenceData!$BL$338),"")</f>
        <v/>
      </c>
      <c r="BM338" t="str">
        <f ca="1">IFERROR(IF(0=LEN(ReferenceData!$BM$338),"",ReferenceData!$BM$338),"")</f>
        <v/>
      </c>
    </row>
    <row r="339" spans="1:65">
      <c r="A339" t="str">
        <f>IFERROR(IF(0=LEN(ReferenceData!$A$339),"",ReferenceData!$A$339),"")</f>
        <v xml:space="preserve">    Weingarten Realty Investors</v>
      </c>
      <c r="B339" t="str">
        <f>IFERROR(IF(0=LEN(ReferenceData!$B$339),"",ReferenceData!$B$339),"")</f>
        <v>WRI US Equity</v>
      </c>
      <c r="C339" t="str">
        <f>IFERROR(IF(0=LEN(ReferenceData!$C$339),"",ReferenceData!$C$339),"")</f>
        <v>RR253</v>
      </c>
      <c r="D339" t="str">
        <f>IFERROR(IF(0=LEN(ReferenceData!$D$339),"",ReferenceData!$D$339),"")</f>
        <v>CASH_AND_MARKETABLE_SECURITIES</v>
      </c>
      <c r="E339" t="str">
        <f>IFERROR(IF(0=LEN(ReferenceData!$E$339),"",ReferenceData!$E$339),"")</f>
        <v>动态</v>
      </c>
      <c r="F339" t="str">
        <f ca="1">IFERROR(IF(0=LEN(ReferenceData!$F$339),"",ReferenceData!$F$339),"")</f>
        <v/>
      </c>
      <c r="G339">
        <f ca="1">IFERROR(IF(0=LEN(ReferenceData!$G$339),"",ReferenceData!$G$339),"")</f>
        <v>13.218999999999999</v>
      </c>
      <c r="H339">
        <f ca="1">IFERROR(IF(0=LEN(ReferenceData!$H$339),"",ReferenceData!$H$339),"")</f>
        <v>39.246000000000002</v>
      </c>
      <c r="I339">
        <f ca="1">IFERROR(IF(0=LEN(ReferenceData!$I$339),"",ReferenceData!$I$339),"")</f>
        <v>6.657</v>
      </c>
      <c r="J339">
        <f ca="1">IFERROR(IF(0=LEN(ReferenceData!$J$339),"",ReferenceData!$J$339),"")</f>
        <v>3.6150000000000002</v>
      </c>
      <c r="K339">
        <f ca="1">IFERROR(IF(0=LEN(ReferenceData!$K$339),"",ReferenceData!$K$339),"")</f>
        <v>16.257000000000001</v>
      </c>
      <c r="L339">
        <f ca="1">IFERROR(IF(0=LEN(ReferenceData!$L$339),"",ReferenceData!$L$339),"")</f>
        <v>9.766</v>
      </c>
      <c r="M339">
        <f ca="1">IFERROR(IF(0=LEN(ReferenceData!$M$339),"",ReferenceData!$M$339),"")</f>
        <v>14.529</v>
      </c>
      <c r="N339">
        <f ca="1">IFERROR(IF(0=LEN(ReferenceData!$N$339),"",ReferenceData!$N$339),"")</f>
        <v>27.2</v>
      </c>
      <c r="O339">
        <f ca="1">IFERROR(IF(0=LEN(ReferenceData!$O$339),"",ReferenceData!$O$339),"")</f>
        <v>22.167999999999999</v>
      </c>
      <c r="P339">
        <f ca="1">IFERROR(IF(0=LEN(ReferenceData!$P$339),"",ReferenceData!$P$339),"")</f>
        <v>12.266999999999999</v>
      </c>
      <c r="Q339">
        <f ca="1">IFERROR(IF(0=LEN(ReferenceData!$Q$339),"",ReferenceData!$Q$339),"")</f>
        <v>13.298999999999999</v>
      </c>
      <c r="R339">
        <f ca="1">IFERROR(IF(0=LEN(ReferenceData!$R$339),"",ReferenceData!$R$339),"")</f>
        <v>40.167999999999999</v>
      </c>
      <c r="S339">
        <f ca="1">IFERROR(IF(0=LEN(ReferenceData!$S$339),"",ReferenceData!$S$339),"")</f>
        <v>23.189</v>
      </c>
      <c r="T339">
        <f ca="1">IFERROR(IF(0=LEN(ReferenceData!$T$339),"",ReferenceData!$T$339),"")</f>
        <v>12.975</v>
      </c>
      <c r="U339">
        <f ca="1">IFERROR(IF(0=LEN(ReferenceData!$U$339),"",ReferenceData!$U$339),"")</f>
        <v>16.035</v>
      </c>
      <c r="V339">
        <f ca="1">IFERROR(IF(0=LEN(ReferenceData!$V$339),"",ReferenceData!$V$339),"")</f>
        <v>9.1989999999999998</v>
      </c>
      <c r="W339">
        <f ca="1">IFERROR(IF(0=LEN(ReferenceData!$W$339),"",ReferenceData!$W$339),"")</f>
        <v>91.575999999999993</v>
      </c>
      <c r="X339">
        <f ca="1">IFERROR(IF(0=LEN(ReferenceData!$X$339),"",ReferenceData!$X$339),"")</f>
        <v>51.73</v>
      </c>
      <c r="Y339">
        <f ca="1">IFERROR(IF(0=LEN(ReferenceData!$Y$339),"",ReferenceData!$Y$339),"")</f>
        <v>23.373999999999999</v>
      </c>
      <c r="Z339">
        <f ca="1">IFERROR(IF(0=LEN(ReferenceData!$Z$339),"",ReferenceData!$Z$339),"")</f>
        <v>54.8</v>
      </c>
      <c r="AA339">
        <f ca="1">IFERROR(IF(0=LEN(ReferenceData!$AA$339),"",ReferenceData!$AA$339),"")</f>
        <v>19.603999999999999</v>
      </c>
      <c r="AB339">
        <f ca="1">IFERROR(IF(0=LEN(ReferenceData!$AB$339),"",ReferenceData!$AB$339),"")</f>
        <v>19.088999999999999</v>
      </c>
      <c r="AC339">
        <f ca="1">IFERROR(IF(0=LEN(ReferenceData!$AC$339),"",ReferenceData!$AC$339),"")</f>
        <v>15.097</v>
      </c>
      <c r="AD339">
        <f ca="1">IFERROR(IF(0=LEN(ReferenceData!$AD$339),"",ReferenceData!$AD$339),"")</f>
        <v>18.024000000000001</v>
      </c>
      <c r="AE339">
        <f ca="1">IFERROR(IF(0=LEN(ReferenceData!$AE$339),"",ReferenceData!$AE$339),"")</f>
        <v>13.641999999999999</v>
      </c>
      <c r="AF339">
        <f ca="1">IFERROR(IF(0=LEN(ReferenceData!$AF$339),"",ReferenceData!$AF$339),"")</f>
        <v>20.181000000000001</v>
      </c>
      <c r="AG339">
        <f ca="1">IFERROR(IF(0=LEN(ReferenceData!$AG$339),"",ReferenceData!$AG$339),"")</f>
        <v>24.373999999999999</v>
      </c>
      <c r="AH339">
        <f ca="1">IFERROR(IF(0=LEN(ReferenceData!$AH$339),"",ReferenceData!$AH$339),"")</f>
        <v>28.774000000000001</v>
      </c>
      <c r="AI339">
        <f ca="1">IFERROR(IF(0=LEN(ReferenceData!$AI$339),"",ReferenceData!$AI$339),"")</f>
        <v>23.859000000000002</v>
      </c>
      <c r="AJ339">
        <f ca="1">IFERROR(IF(0=LEN(ReferenceData!$AJ$339),"",ReferenceData!$AJ$339),"")</f>
        <v>31.814</v>
      </c>
      <c r="AK339">
        <f ca="1">IFERROR(IF(0=LEN(ReferenceData!$AK$339),"",ReferenceData!$AK$339),"")</f>
        <v>77.977999999999994</v>
      </c>
      <c r="AL339">
        <f ca="1">IFERROR(IF(0=LEN(ReferenceData!$AL$339),"",ReferenceData!$AL$339),"")</f>
        <v>122.91500000000001</v>
      </c>
      <c r="AM339">
        <f ca="1">IFERROR(IF(0=LEN(ReferenceData!$AM$339),"",ReferenceData!$AM$339),"")</f>
        <v>153.584</v>
      </c>
      <c r="AN339">
        <f ca="1">IFERROR(IF(0=LEN(ReferenceData!$AN$339),"",ReferenceData!$AN$339),"")</f>
        <v>104.694</v>
      </c>
      <c r="AO339">
        <f ca="1">IFERROR(IF(0=LEN(ReferenceData!$AO$339),"",ReferenceData!$AO$339),"")</f>
        <v>94.37</v>
      </c>
      <c r="AP339">
        <f ca="1">IFERROR(IF(0=LEN(ReferenceData!$AP$339),"",ReferenceData!$AP$339),"")</f>
        <v>118.26</v>
      </c>
      <c r="AQ339">
        <f ca="1">IFERROR(IF(0=LEN(ReferenceData!$AQ$339),"",ReferenceData!$AQ$339),"")</f>
        <v>58.945999999999998</v>
      </c>
      <c r="AR339">
        <f ca="1">IFERROR(IF(0=LEN(ReferenceData!$AR$339),"",ReferenceData!$AR$339),"")</f>
        <v>53.223999999999997</v>
      </c>
      <c r="AS339">
        <f ca="1">IFERROR(IF(0=LEN(ReferenceData!$AS$339),"",ReferenceData!$AS$339),"")</f>
        <v>40.427</v>
      </c>
      <c r="AT339">
        <f ca="1">IFERROR(IF(0=LEN(ReferenceData!$AT$339),"",ReferenceData!$AT$339),"")</f>
        <v>61.488</v>
      </c>
      <c r="AU339">
        <f ca="1">IFERROR(IF(0=LEN(ReferenceData!$AU$339),"",ReferenceData!$AU$339),"")</f>
        <v>65.777000000000001</v>
      </c>
      <c r="AV339">
        <f ca="1">IFERROR(IF(0=LEN(ReferenceData!$AV$339),"",ReferenceData!$AV$339),"")</f>
        <v>59.814999999999998</v>
      </c>
      <c r="AW339">
        <f ca="1">IFERROR(IF(0=LEN(ReferenceData!$AW$339),"",ReferenceData!$AW$339),"")</f>
        <v>46.301000000000002</v>
      </c>
      <c r="AX339">
        <f ca="1">IFERROR(IF(0=LEN(ReferenceData!$AX$339),"",ReferenceData!$AX$339),"")</f>
        <v>35.506</v>
      </c>
      <c r="AY339">
        <f ca="1">IFERROR(IF(0=LEN(ReferenceData!$AY$339),"",ReferenceData!$AY$339),"")</f>
        <v>71.003</v>
      </c>
      <c r="AZ339">
        <f ca="1">IFERROR(IF(0=LEN(ReferenceData!$AZ$339),"",ReferenceData!$AZ$339),"")</f>
        <v>187.036</v>
      </c>
      <c r="BA339">
        <f ca="1">IFERROR(IF(0=LEN(ReferenceData!$BA$339),"",ReferenceData!$BA$339),"")</f>
        <v>132.858</v>
      </c>
      <c r="BB339">
        <f ca="1">IFERROR(IF(0=LEN(ReferenceData!$BB$339),"",ReferenceData!$BB$339),"")</f>
        <v>37.445999999999998</v>
      </c>
      <c r="BC339">
        <f ca="1">IFERROR(IF(0=LEN(ReferenceData!$BC$339),"",ReferenceData!$BC$339),"")</f>
        <v>42.69</v>
      </c>
      <c r="BD339">
        <f ca="1">IFERROR(IF(0=LEN(ReferenceData!$BD$339),"",ReferenceData!$BD$339),"")</f>
        <v>23.960999999999999</v>
      </c>
      <c r="BE339">
        <f ca="1">IFERROR(IF(0=LEN(ReferenceData!$BE$339),"",ReferenceData!$BE$339),"")</f>
        <v>45.545000000000002</v>
      </c>
      <c r="BF339">
        <f ca="1">IFERROR(IF(0=LEN(ReferenceData!$BF$339),"",ReferenceData!$BF$339),"")</f>
        <v>38.698</v>
      </c>
      <c r="BG339">
        <f ca="1">IFERROR(IF(0=LEN(ReferenceData!$BG$339),"",ReferenceData!$BG$339),"")</f>
        <v>45.414999999999999</v>
      </c>
      <c r="BH339">
        <f ca="1">IFERROR(IF(0=LEN(ReferenceData!$BH$339),"",ReferenceData!$BH$339),"")</f>
        <v>38.235999999999997</v>
      </c>
      <c r="BI339">
        <f ca="1">IFERROR(IF(0=LEN(ReferenceData!$BI$339),"",ReferenceData!$BI$339),"")</f>
        <v>42.700000760000002</v>
      </c>
      <c r="BJ339">
        <f ca="1">IFERROR(IF(0=LEN(ReferenceData!$BJ$339),"",ReferenceData!$BJ$339),"")</f>
        <v>34.455002</v>
      </c>
      <c r="BK339">
        <f ca="1">IFERROR(IF(0=LEN(ReferenceData!$BK$339),"",ReferenceData!$BK$339),"")</f>
        <v>20.254999000000002</v>
      </c>
      <c r="BL339">
        <f ca="1">IFERROR(IF(0=LEN(ReferenceData!$BL$339),"",ReferenceData!$BL$339),"")</f>
        <v>14.741</v>
      </c>
      <c r="BM339">
        <f ca="1">IFERROR(IF(0=LEN(ReferenceData!$BM$339),"",ReferenceData!$BM$339),"")</f>
        <v>24.177</v>
      </c>
    </row>
    <row r="340" spans="1:65">
      <c r="A340" t="str">
        <f>IFERROR(IF(0=LEN(ReferenceData!$A$340),"",ReferenceData!$A$340),"")</f>
        <v>1年内到期债务</v>
      </c>
      <c r="B340" t="str">
        <f>IFERROR(IF(0=LEN(ReferenceData!$B$340),"",ReferenceData!$B$340),"")</f>
        <v/>
      </c>
      <c r="C340" t="str">
        <f>IFERROR(IF(0=LEN(ReferenceData!$C$340),"",ReferenceData!$C$340),"")</f>
        <v/>
      </c>
      <c r="D340" t="str">
        <f>IFERROR(IF(0=LEN(ReferenceData!$D$340),"",ReferenceData!$D$340),"")</f>
        <v/>
      </c>
      <c r="E340" t="str">
        <f>IFERROR(IF(0=LEN(ReferenceData!$E$340),"",ReferenceData!$E$340),"")</f>
        <v>Median</v>
      </c>
      <c r="F340" t="str">
        <f ca="1">IFERROR(IF(0=LEN(ReferenceData!$F$340),"",ReferenceData!$F$340),"")</f>
        <v/>
      </c>
      <c r="G340">
        <f ca="1">IFERROR(IF(0=LEN(ReferenceData!$G$340),"",ReferenceData!$G$340),"")</f>
        <v>122.867</v>
      </c>
      <c r="H340">
        <f ca="1">IFERROR(IF(0=LEN(ReferenceData!$H$340),"",ReferenceData!$H$340),"")</f>
        <v>13.164999999999999</v>
      </c>
      <c r="I340">
        <f ca="1">IFERROR(IF(0=LEN(ReferenceData!$I$340),"",ReferenceData!$I$340),"")</f>
        <v>143.90700000000001</v>
      </c>
      <c r="J340">
        <f ca="1">IFERROR(IF(0=LEN(ReferenceData!$J$340),"",ReferenceData!$J$340),"")</f>
        <v>276.10000000000002</v>
      </c>
      <c r="K340">
        <f ca="1">IFERROR(IF(0=LEN(ReferenceData!$K$340),"",ReferenceData!$K$340),"")</f>
        <v>278.2</v>
      </c>
      <c r="L340">
        <f ca="1">IFERROR(IF(0=LEN(ReferenceData!$L$340),"",ReferenceData!$L$340),"")</f>
        <v>36.299999999999997</v>
      </c>
      <c r="M340">
        <f ca="1">IFERROR(IF(0=LEN(ReferenceData!$M$340),"",ReferenceData!$M$340),"")</f>
        <v>121.04600000000001</v>
      </c>
      <c r="N340">
        <f ca="1">IFERROR(IF(0=LEN(ReferenceData!$N$340),"",ReferenceData!$N$340),"")</f>
        <v>158.49199999999999</v>
      </c>
      <c r="O340">
        <f ca="1">IFERROR(IF(0=LEN(ReferenceData!$O$340),"",ReferenceData!$O$340),"")</f>
        <v>427.64949999999999</v>
      </c>
      <c r="P340">
        <f ca="1">IFERROR(IF(0=LEN(ReferenceData!$P$340),"",ReferenceData!$P$340),"")</f>
        <v>58.131999999999998</v>
      </c>
      <c r="Q340">
        <f ca="1">IFERROR(IF(0=LEN(ReferenceData!$Q$340),"",ReferenceData!$Q$340),"")</f>
        <v>190.4</v>
      </c>
      <c r="R340">
        <f ca="1">IFERROR(IF(0=LEN(ReferenceData!$R$340),"",ReferenceData!$R$340),"")</f>
        <v>352.22399999999999</v>
      </c>
      <c r="S340">
        <f ca="1">IFERROR(IF(0=LEN(ReferenceData!$S$340),"",ReferenceData!$S$340),"")</f>
        <v>187.57900000000001</v>
      </c>
      <c r="T340">
        <f ca="1">IFERROR(IF(0=LEN(ReferenceData!$T$340),"",ReferenceData!$T$340),"")</f>
        <v>7.9959999999999996</v>
      </c>
      <c r="U340">
        <f ca="1">IFERROR(IF(0=LEN(ReferenceData!$U$340),"",ReferenceData!$U$340),"")</f>
        <v>23.634500000000003</v>
      </c>
      <c r="V340">
        <f ca="1">IFERROR(IF(0=LEN(ReferenceData!$V$340),"",ReferenceData!$V$340),"")</f>
        <v>81.507999999999996</v>
      </c>
      <c r="W340">
        <f ca="1">IFERROR(IF(0=LEN(ReferenceData!$W$340),"",ReferenceData!$W$340),"")</f>
        <v>161.88249999999999</v>
      </c>
      <c r="X340">
        <f ca="1">IFERROR(IF(0=LEN(ReferenceData!$X$340),"",ReferenceData!$X$340),"")</f>
        <v>10.7</v>
      </c>
      <c r="Y340">
        <f ca="1">IFERROR(IF(0=LEN(ReferenceData!$Y$340),"",ReferenceData!$Y$340),"")</f>
        <v>89.730999999999995</v>
      </c>
      <c r="Z340">
        <f ca="1">IFERROR(IF(0=LEN(ReferenceData!$Z$340),"",ReferenceData!$Z$340),"")</f>
        <v>163.54300000000001</v>
      </c>
      <c r="AA340">
        <f ca="1">IFERROR(IF(0=LEN(ReferenceData!$AA$340),"",ReferenceData!$AA$340),"")</f>
        <v>236.19399999999999</v>
      </c>
      <c r="AB340">
        <f ca="1">IFERROR(IF(0=LEN(ReferenceData!$AB$340),"",ReferenceData!$AB$340),"")</f>
        <v>10.534000000000001</v>
      </c>
      <c r="AC340">
        <f ca="1">IFERROR(IF(0=LEN(ReferenceData!$AC$340),"",ReferenceData!$AC$340),"")</f>
        <v>94.880499999999998</v>
      </c>
      <c r="AD340">
        <f ca="1">IFERROR(IF(0=LEN(ReferenceData!$AD$340),"",ReferenceData!$AD$340),"")</f>
        <v>134.94200000000001</v>
      </c>
      <c r="AE340">
        <f ca="1">IFERROR(IF(0=LEN(ReferenceData!$AE$340),"",ReferenceData!$AE$340),"")</f>
        <v>408.346</v>
      </c>
      <c r="AF340">
        <f ca="1">IFERROR(IF(0=LEN(ReferenceData!$AF$340),"",ReferenceData!$AF$340),"")</f>
        <v>17.198</v>
      </c>
      <c r="AG340">
        <f ca="1">IFERROR(IF(0=LEN(ReferenceData!$AG$340),"",ReferenceData!$AG$340),"")</f>
        <v>157.03</v>
      </c>
      <c r="AH340">
        <f ca="1">IFERROR(IF(0=LEN(ReferenceData!$AH$340),"",ReferenceData!$AH$340),"")</f>
        <v>138.315</v>
      </c>
      <c r="AI340">
        <f ca="1">IFERROR(IF(0=LEN(ReferenceData!$AI$340),"",ReferenceData!$AI$340),"")</f>
        <v>147.4</v>
      </c>
      <c r="AJ340">
        <f ca="1">IFERROR(IF(0=LEN(ReferenceData!$AJ$340),"",ReferenceData!$AJ$340),"")</f>
        <v>10.581</v>
      </c>
      <c r="AK340">
        <f ca="1">IFERROR(IF(0=LEN(ReferenceData!$AK$340),"",ReferenceData!$AK$340),"")</f>
        <v>52.2</v>
      </c>
      <c r="AL340">
        <f ca="1">IFERROR(IF(0=LEN(ReferenceData!$AL$340),"",ReferenceData!$AL$340),"")</f>
        <v>186.11099999999999</v>
      </c>
      <c r="AM340">
        <f ca="1">IFERROR(IF(0=LEN(ReferenceData!$AM$340),"",ReferenceData!$AM$340),"")</f>
        <v>141.30700000000002</v>
      </c>
      <c r="AN340">
        <f ca="1">IFERROR(IF(0=LEN(ReferenceData!$AN$340),"",ReferenceData!$AN$340),"")</f>
        <v>61.911499999999997</v>
      </c>
      <c r="AO340">
        <f ca="1">IFERROR(IF(0=LEN(ReferenceData!$AO$340),"",ReferenceData!$AO$340),"")</f>
        <v>152.947</v>
      </c>
      <c r="AP340">
        <f ca="1">IFERROR(IF(0=LEN(ReferenceData!$AP$340),"",ReferenceData!$AP$340),"")</f>
        <v>249.69399999999999</v>
      </c>
      <c r="AQ340">
        <f ca="1">IFERROR(IF(0=LEN(ReferenceData!$AQ$340),"",ReferenceData!$AQ$340),"")</f>
        <v>387.54199999999997</v>
      </c>
      <c r="AR340">
        <f ca="1">IFERROR(IF(0=LEN(ReferenceData!$AR$340),"",ReferenceData!$AR$340),"")</f>
        <v>28.231999999999999</v>
      </c>
      <c r="AS340">
        <f ca="1">IFERROR(IF(0=LEN(ReferenceData!$AS$340),"",ReferenceData!$AS$340),"")</f>
        <v>100</v>
      </c>
      <c r="AT340">
        <f ca="1">IFERROR(IF(0=LEN(ReferenceData!$AT$340),"",ReferenceData!$AT$340),"")</f>
        <v>255.471</v>
      </c>
      <c r="AU340">
        <f ca="1">IFERROR(IF(0=LEN(ReferenceData!$AU$340),"",ReferenceData!$AU$340),"")</f>
        <v>254.50899999999999</v>
      </c>
      <c r="AV340">
        <f ca="1">IFERROR(IF(0=LEN(ReferenceData!$AV$340),"",ReferenceData!$AV$340),"")</f>
        <v>94.346000000000004</v>
      </c>
      <c r="AW340">
        <f ca="1">IFERROR(IF(0=LEN(ReferenceData!$AW$340),"",ReferenceData!$AW$340),"")</f>
        <v>97.327500000000001</v>
      </c>
      <c r="AX340">
        <f ca="1">IFERROR(IF(0=LEN(ReferenceData!$AX$340),"",ReferenceData!$AX$340),"")</f>
        <v>154.53299999999999</v>
      </c>
      <c r="AY340">
        <f ca="1">IFERROR(IF(0=LEN(ReferenceData!$AY$340),"",ReferenceData!$AY$340),"")</f>
        <v>153.23150000000001</v>
      </c>
      <c r="AZ340">
        <f ca="1">IFERROR(IF(0=LEN(ReferenceData!$AZ$340),"",ReferenceData!$AZ$340),"")</f>
        <v>131.881</v>
      </c>
      <c r="BA340">
        <f ca="1">IFERROR(IF(0=LEN(ReferenceData!$BA$340),"",ReferenceData!$BA$340),"")</f>
        <v>248.70350000000002</v>
      </c>
      <c r="BB340">
        <f ca="1">IFERROR(IF(0=LEN(ReferenceData!$BB$340),"",ReferenceData!$BB$340),"")</f>
        <v>201.84200000000001</v>
      </c>
      <c r="BC340">
        <f ca="1">IFERROR(IF(0=LEN(ReferenceData!$BC$340),"",ReferenceData!$BC$340),"")</f>
        <v>56.878500000000003</v>
      </c>
      <c r="BD340">
        <f ca="1">IFERROR(IF(0=LEN(ReferenceData!$BD$340),"",ReferenceData!$BD$340),"")</f>
        <v>21.673500043000001</v>
      </c>
      <c r="BE340">
        <f ca="1">IFERROR(IF(0=LEN(ReferenceData!$BE$340),"",ReferenceData!$BE$340),"")</f>
        <v>99.413000000000011</v>
      </c>
      <c r="BF340">
        <f ca="1">IFERROR(IF(0=LEN(ReferenceData!$BF$340),"",ReferenceData!$BF$340),"")</f>
        <v>42.38</v>
      </c>
      <c r="BG340">
        <f ca="1">IFERROR(IF(0=LEN(ReferenceData!$BG$340),"",ReferenceData!$BG$340),"")</f>
        <v>23.64200035</v>
      </c>
      <c r="BH340">
        <f ca="1">IFERROR(IF(0=LEN(ReferenceData!$BH$340),"",ReferenceData!$BH$340),"")</f>
        <v>51.5</v>
      </c>
      <c r="BI340">
        <f ca="1">IFERROR(IF(0=LEN(ReferenceData!$BI$340),"",ReferenceData!$BI$340),"")</f>
        <v>16.401499999999999</v>
      </c>
      <c r="BJ340">
        <f ca="1">IFERROR(IF(0=LEN(ReferenceData!$BJ$340),"",ReferenceData!$BJ$340),"")</f>
        <v>355.32600000000002</v>
      </c>
      <c r="BK340">
        <f ca="1">IFERROR(IF(0=LEN(ReferenceData!$BK$340),"",ReferenceData!$BK$340),"")</f>
        <v>123.158</v>
      </c>
      <c r="BL340">
        <f ca="1">IFERROR(IF(0=LEN(ReferenceData!$BL$340),"",ReferenceData!$BL$340),"")</f>
        <v>291.64449999999999</v>
      </c>
      <c r="BM340">
        <f ca="1">IFERROR(IF(0=LEN(ReferenceData!$BM$340),"",ReferenceData!$BM$340),"")</f>
        <v>301.2405</v>
      </c>
    </row>
    <row r="341" spans="1:65">
      <c r="A341" t="str">
        <f>IFERROR(IF(0=LEN(ReferenceData!$A$341),"",ReferenceData!$A$341),"")</f>
        <v xml:space="preserve">    Brixmor Property Group Inc</v>
      </c>
      <c r="B341" t="str">
        <f>IFERROR(IF(0=LEN(ReferenceData!$B$341),"",ReferenceData!$B$341),"")</f>
        <v>BRX US Equity</v>
      </c>
      <c r="C341" t="str">
        <f>IFERROR(IF(0=LEN(ReferenceData!$C$341),"",ReferenceData!$C$341),"")</f>
        <v>BS658</v>
      </c>
      <c r="D341" t="str">
        <f>IFERROR(IF(0=LEN(ReferenceData!$D$341),"",ReferenceData!$D$341),"")</f>
        <v>BS_YEAR_1_PRINCIPAL</v>
      </c>
      <c r="E341" t="str">
        <f>IFERROR(IF(0=LEN(ReferenceData!$E$341),"",ReferenceData!$E$341),"")</f>
        <v>动态</v>
      </c>
      <c r="F341" t="str">
        <f ca="1">IFERROR(IF(0=LEN(ReferenceData!$F$341),"",ReferenceData!$F$341),"")</f>
        <v/>
      </c>
      <c r="G341">
        <f ca="1">IFERROR(IF(0=LEN(ReferenceData!$G$341),"",ReferenceData!$G$341),"")</f>
        <v>203.11799999999999</v>
      </c>
      <c r="H341">
        <f ca="1">IFERROR(IF(0=LEN(ReferenceData!$H$341),"",ReferenceData!$H$341),"")</f>
        <v>13.164999999999999</v>
      </c>
      <c r="I341">
        <f ca="1">IFERROR(IF(0=LEN(ReferenceData!$I$341),"",ReferenceData!$I$341),"")</f>
        <v>18.190999999999999</v>
      </c>
      <c r="J341">
        <f ca="1">IFERROR(IF(0=LEN(ReferenceData!$J$341),"",ReferenceData!$J$341),"")</f>
        <v>306.92700000000002</v>
      </c>
      <c r="K341">
        <f ca="1">IFERROR(IF(0=LEN(ReferenceData!$K$341),"",ReferenceData!$K$341),"")</f>
        <v>312.88799999999998</v>
      </c>
      <c r="L341">
        <f ca="1">IFERROR(IF(0=LEN(ReferenceData!$L$341),"",ReferenceData!$L$341),"")</f>
        <v>11.782</v>
      </c>
      <c r="M341">
        <f ca="1">IFERROR(IF(0=LEN(ReferenceData!$M$341),"",ReferenceData!$M$341),"")</f>
        <v>699.15</v>
      </c>
      <c r="N341">
        <f ca="1">IFERROR(IF(0=LEN(ReferenceData!$N$341),"",ReferenceData!$N$341),"")</f>
        <v>872.96</v>
      </c>
      <c r="O341">
        <f ca="1">IFERROR(IF(0=LEN(ReferenceData!$O$341),"",ReferenceData!$O$341),"")</f>
        <v>877.7</v>
      </c>
      <c r="P341">
        <f ca="1">IFERROR(IF(0=LEN(ReferenceData!$P$341),"",ReferenceData!$P$341),"")</f>
        <v>8.1419999999999995</v>
      </c>
      <c r="Q341">
        <f ca="1">IFERROR(IF(0=LEN(ReferenceData!$Q$341),"",ReferenceData!$Q$341),"")</f>
        <v>157.51900000000001</v>
      </c>
      <c r="R341">
        <f ca="1">IFERROR(IF(0=LEN(ReferenceData!$R$341),"",ReferenceData!$R$341),"")</f>
        <v>494.38799999999998</v>
      </c>
      <c r="S341" t="str">
        <f ca="1">IFERROR(IF(0=LEN(ReferenceData!$S$341),"",ReferenceData!$S$341),"")</f>
        <v/>
      </c>
      <c r="T341">
        <f ca="1">IFERROR(IF(0=LEN(ReferenceData!$T$341),"",ReferenceData!$T$341),"")</f>
        <v>8.3919999999999995</v>
      </c>
      <c r="U341">
        <f ca="1">IFERROR(IF(0=LEN(ReferenceData!$U$341),"",ReferenceData!$U$341),"")</f>
        <v>15.971</v>
      </c>
      <c r="V341">
        <f ca="1">IFERROR(IF(0=LEN(ReferenceData!$V$341),"",ReferenceData!$V$341),"")</f>
        <v>72.168999999999997</v>
      </c>
      <c r="W341">
        <f ca="1">IFERROR(IF(0=LEN(ReferenceData!$W$341),"",ReferenceData!$W$341),"")</f>
        <v>327.553</v>
      </c>
      <c r="X341">
        <f ca="1">IFERROR(IF(0=LEN(ReferenceData!$X$341),"",ReferenceData!$X$341),"")</f>
        <v>58.524000000000001</v>
      </c>
      <c r="Y341">
        <f ca="1">IFERROR(IF(0=LEN(ReferenceData!$Y$341),"",ReferenceData!$Y$341),"")</f>
        <v>830.99099999999999</v>
      </c>
      <c r="Z341">
        <f ca="1">IFERROR(IF(0=LEN(ReferenceData!$Z$341),"",ReferenceData!$Z$341),"")</f>
        <v>838.67499999999995</v>
      </c>
      <c r="AA341">
        <f ca="1">IFERROR(IF(0=LEN(ReferenceData!$AA$341),"",ReferenceData!$AA$341),"")</f>
        <v>873.04100000000005</v>
      </c>
      <c r="AB341" t="str">
        <f ca="1">IFERROR(IF(0=LEN(ReferenceData!$AB$341),"",ReferenceData!$AB$341),"")</f>
        <v/>
      </c>
      <c r="AC341" t="str">
        <f ca="1">IFERROR(IF(0=LEN(ReferenceData!$AC$341),"",ReferenceData!$AC$341),"")</f>
        <v/>
      </c>
      <c r="AD341" t="str">
        <f ca="1">IFERROR(IF(0=LEN(ReferenceData!$AD$341),"",ReferenceData!$AD$341),"")</f>
        <v/>
      </c>
      <c r="AE341" t="str">
        <f ca="1">IFERROR(IF(0=LEN(ReferenceData!$AE$341),"",ReferenceData!$AE$341),"")</f>
        <v/>
      </c>
      <c r="AF341" t="str">
        <f ca="1">IFERROR(IF(0=LEN(ReferenceData!$AF$341),"",ReferenceData!$AF$341),"")</f>
        <v/>
      </c>
      <c r="AG341" t="str">
        <f ca="1">IFERROR(IF(0=LEN(ReferenceData!$AG$341),"",ReferenceData!$AG$341),"")</f>
        <v/>
      </c>
      <c r="AH341" t="str">
        <f ca="1">IFERROR(IF(0=LEN(ReferenceData!$AH$341),"",ReferenceData!$AH$341),"")</f>
        <v/>
      </c>
      <c r="AI341" t="str">
        <f ca="1">IFERROR(IF(0=LEN(ReferenceData!$AI$341),"",ReferenceData!$AI$341),"")</f>
        <v/>
      </c>
      <c r="AJ341" t="str">
        <f ca="1">IFERROR(IF(0=LEN(ReferenceData!$AJ$341),"",ReferenceData!$AJ$341),"")</f>
        <v/>
      </c>
      <c r="AK341" t="str">
        <f ca="1">IFERROR(IF(0=LEN(ReferenceData!$AK$341),"",ReferenceData!$AK$341),"")</f>
        <v/>
      </c>
      <c r="AL341" t="str">
        <f ca="1">IFERROR(IF(0=LEN(ReferenceData!$AL$341),"",ReferenceData!$AL$341),"")</f>
        <v/>
      </c>
      <c r="AM341" t="str">
        <f ca="1">IFERROR(IF(0=LEN(ReferenceData!$AM$341),"",ReferenceData!$AM$341),"")</f>
        <v/>
      </c>
      <c r="AN341" t="str">
        <f ca="1">IFERROR(IF(0=LEN(ReferenceData!$AN$341),"",ReferenceData!$AN$341),"")</f>
        <v/>
      </c>
      <c r="AO341" t="str">
        <f ca="1">IFERROR(IF(0=LEN(ReferenceData!$AO$341),"",ReferenceData!$AO$341),"")</f>
        <v/>
      </c>
      <c r="AP341" t="str">
        <f ca="1">IFERROR(IF(0=LEN(ReferenceData!$AP$341),"",ReferenceData!$AP$341),"")</f>
        <v/>
      </c>
      <c r="AQ341" t="str">
        <f ca="1">IFERROR(IF(0=LEN(ReferenceData!$AQ$341),"",ReferenceData!$AQ$341),"")</f>
        <v/>
      </c>
      <c r="AR341" t="str">
        <f ca="1">IFERROR(IF(0=LEN(ReferenceData!$AR$341),"",ReferenceData!$AR$341),"")</f>
        <v/>
      </c>
      <c r="AS341" t="str">
        <f ca="1">IFERROR(IF(0=LEN(ReferenceData!$AS$341),"",ReferenceData!$AS$341),"")</f>
        <v/>
      </c>
      <c r="AT341" t="str">
        <f ca="1">IFERROR(IF(0=LEN(ReferenceData!$AT$341),"",ReferenceData!$AT$341),"")</f>
        <v/>
      </c>
      <c r="AU341" t="str">
        <f ca="1">IFERROR(IF(0=LEN(ReferenceData!$AU$341),"",ReferenceData!$AU$341),"")</f>
        <v/>
      </c>
      <c r="AV341" t="str">
        <f ca="1">IFERROR(IF(0=LEN(ReferenceData!$AV$341),"",ReferenceData!$AV$341),"")</f>
        <v/>
      </c>
      <c r="AW341" t="str">
        <f ca="1">IFERROR(IF(0=LEN(ReferenceData!$AW$341),"",ReferenceData!$AW$341),"")</f>
        <v/>
      </c>
      <c r="AX341" t="str">
        <f ca="1">IFERROR(IF(0=LEN(ReferenceData!$AX$341),"",ReferenceData!$AX$341),"")</f>
        <v/>
      </c>
      <c r="AY341" t="str">
        <f ca="1">IFERROR(IF(0=LEN(ReferenceData!$AY$341),"",ReferenceData!$AY$341),"")</f>
        <v/>
      </c>
      <c r="AZ341" t="str">
        <f ca="1">IFERROR(IF(0=LEN(ReferenceData!$AZ$341),"",ReferenceData!$AZ$341),"")</f>
        <v/>
      </c>
      <c r="BA341" t="str">
        <f ca="1">IFERROR(IF(0=LEN(ReferenceData!$BA$341),"",ReferenceData!$BA$341),"")</f>
        <v/>
      </c>
      <c r="BB341" t="str">
        <f ca="1">IFERROR(IF(0=LEN(ReferenceData!$BB$341),"",ReferenceData!$BB$341),"")</f>
        <v/>
      </c>
      <c r="BC341" t="str">
        <f ca="1">IFERROR(IF(0=LEN(ReferenceData!$BC$341),"",ReferenceData!$BC$341),"")</f>
        <v/>
      </c>
      <c r="BD341" t="str">
        <f ca="1">IFERROR(IF(0=LEN(ReferenceData!$BD$341),"",ReferenceData!$BD$341),"")</f>
        <v/>
      </c>
      <c r="BE341" t="str">
        <f ca="1">IFERROR(IF(0=LEN(ReferenceData!$BE$341),"",ReferenceData!$BE$341),"")</f>
        <v/>
      </c>
      <c r="BF341" t="str">
        <f ca="1">IFERROR(IF(0=LEN(ReferenceData!$BF$341),"",ReferenceData!$BF$341),"")</f>
        <v/>
      </c>
      <c r="BG341" t="str">
        <f ca="1">IFERROR(IF(0=LEN(ReferenceData!$BG$341),"",ReferenceData!$BG$341),"")</f>
        <v/>
      </c>
      <c r="BH341" t="str">
        <f ca="1">IFERROR(IF(0=LEN(ReferenceData!$BH$341),"",ReferenceData!$BH$341),"")</f>
        <v/>
      </c>
      <c r="BI341" t="str">
        <f ca="1">IFERROR(IF(0=LEN(ReferenceData!$BI$341),"",ReferenceData!$BI$341),"")</f>
        <v/>
      </c>
      <c r="BJ341" t="str">
        <f ca="1">IFERROR(IF(0=LEN(ReferenceData!$BJ$341),"",ReferenceData!$BJ$341),"")</f>
        <v/>
      </c>
      <c r="BK341" t="str">
        <f ca="1">IFERROR(IF(0=LEN(ReferenceData!$BK$341),"",ReferenceData!$BK$341),"")</f>
        <v/>
      </c>
      <c r="BL341" t="str">
        <f ca="1">IFERROR(IF(0=LEN(ReferenceData!$BL$341),"",ReferenceData!$BL$341),"")</f>
        <v/>
      </c>
      <c r="BM341" t="str">
        <f ca="1">IFERROR(IF(0=LEN(ReferenceData!$BM$341),"",ReferenceData!$BM$341),"")</f>
        <v/>
      </c>
    </row>
    <row r="342" spans="1:65">
      <c r="A342" t="str">
        <f>IFERROR(IF(0=LEN(ReferenceData!$A$342),"",ReferenceData!$A$342),"")</f>
        <v xml:space="preserve">    CBL &amp; Associates Properties In</v>
      </c>
      <c r="B342" t="str">
        <f>IFERROR(IF(0=LEN(ReferenceData!$B$342),"",ReferenceData!$B$342),"")</f>
        <v>CBL US Equity</v>
      </c>
      <c r="C342" t="str">
        <f>IFERROR(IF(0=LEN(ReferenceData!$C$342),"",ReferenceData!$C$342),"")</f>
        <v>BS658</v>
      </c>
      <c r="D342" t="str">
        <f>IFERROR(IF(0=LEN(ReferenceData!$D$342),"",ReferenceData!$D$342),"")</f>
        <v>BS_YEAR_1_PRINCIPAL</v>
      </c>
      <c r="E342" t="str">
        <f>IFERROR(IF(0=LEN(ReferenceData!$E$342),"",ReferenceData!$E$342),"")</f>
        <v>动态</v>
      </c>
      <c r="F342" t="str">
        <f ca="1">IFERROR(IF(0=LEN(ReferenceData!$F$342),"",ReferenceData!$F$342),"")</f>
        <v/>
      </c>
      <c r="G342">
        <f ca="1">IFERROR(IF(0=LEN(ReferenceData!$G$342),"",ReferenceData!$G$342),"")</f>
        <v>667.72</v>
      </c>
      <c r="H342">
        <f ca="1">IFERROR(IF(0=LEN(ReferenceData!$H$342),"",ReferenceData!$H$342),"")</f>
        <v>134.15899999999999</v>
      </c>
      <c r="I342">
        <f ca="1">IFERROR(IF(0=LEN(ReferenceData!$I$342),"",ReferenceData!$I$342),"")</f>
        <v>566.92999999999995</v>
      </c>
      <c r="J342">
        <f ca="1">IFERROR(IF(0=LEN(ReferenceData!$J$342),"",ReferenceData!$J$342),"")</f>
        <v>571.98199999999997</v>
      </c>
      <c r="K342">
        <f ca="1">IFERROR(IF(0=LEN(ReferenceData!$K$342),"",ReferenceData!$K$342),"")</f>
        <v>757.31399999999996</v>
      </c>
      <c r="L342">
        <f ca="1">IFERROR(IF(0=LEN(ReferenceData!$L$342),"",ReferenceData!$L$342),"")</f>
        <v>85.143000000000001</v>
      </c>
      <c r="M342">
        <f ca="1">IFERROR(IF(0=LEN(ReferenceData!$M$342),"",ReferenceData!$M$342),"")</f>
        <v>327.66899999999998</v>
      </c>
      <c r="N342">
        <f ca="1">IFERROR(IF(0=LEN(ReferenceData!$N$342),"",ReferenceData!$N$342),"")</f>
        <v>578.20399999999995</v>
      </c>
      <c r="O342">
        <f ca="1">IFERROR(IF(0=LEN(ReferenceData!$O$342),"",ReferenceData!$O$342),"")</f>
        <v>596.24400000000003</v>
      </c>
      <c r="P342">
        <f ca="1">IFERROR(IF(0=LEN(ReferenceData!$P$342),"",ReferenceData!$P$342),"")</f>
        <v>265.988</v>
      </c>
      <c r="Q342">
        <f ca="1">IFERROR(IF(0=LEN(ReferenceData!$Q$342),"",ReferenceData!$Q$342),"")</f>
        <v>475.959</v>
      </c>
      <c r="R342">
        <f ca="1">IFERROR(IF(0=LEN(ReferenceData!$R$342),"",ReferenceData!$R$342),"")</f>
        <v>554.96400000000006</v>
      </c>
      <c r="S342" t="str">
        <f ca="1">IFERROR(IF(0=LEN(ReferenceData!$S$342),"",ReferenceData!$S$342),"")</f>
        <v/>
      </c>
      <c r="T342">
        <f ca="1">IFERROR(IF(0=LEN(ReferenceData!$T$342),"",ReferenceData!$T$342),"")</f>
        <v>207.268</v>
      </c>
      <c r="U342">
        <f ca="1">IFERROR(IF(0=LEN(ReferenceData!$U$342),"",ReferenceData!$U$342),"")</f>
        <v>226.40700000000001</v>
      </c>
      <c r="V342">
        <f ca="1">IFERROR(IF(0=LEN(ReferenceData!$V$342),"",ReferenceData!$V$342),"")</f>
        <v>194.88499999999999</v>
      </c>
      <c r="W342">
        <f ca="1">IFERROR(IF(0=LEN(ReferenceData!$W$342),"",ReferenceData!$W$342),"")</f>
        <v>209.535</v>
      </c>
      <c r="X342">
        <f ca="1">IFERROR(IF(0=LEN(ReferenceData!$X$342),"",ReferenceData!$X$342),"")</f>
        <v>45.898000000000003</v>
      </c>
      <c r="Y342">
        <f ca="1">IFERROR(IF(0=LEN(ReferenceData!$Y$342),"",ReferenceData!$Y$342),"")</f>
        <v>89.730999999999995</v>
      </c>
      <c r="Z342">
        <f ca="1">IFERROR(IF(0=LEN(ReferenceData!$Z$342),"",ReferenceData!$Z$342),"")</f>
        <v>417.904</v>
      </c>
      <c r="AA342">
        <f ca="1">IFERROR(IF(0=LEN(ReferenceData!$AA$342),"",ReferenceData!$AA$342),"")</f>
        <v>503.17099999999999</v>
      </c>
      <c r="AB342">
        <f ca="1">IFERROR(IF(0=LEN(ReferenceData!$AB$342),"",ReferenceData!$AB$342),"")</f>
        <v>187.072</v>
      </c>
      <c r="AC342">
        <f ca="1">IFERROR(IF(0=LEN(ReferenceData!$AC$342),"",ReferenceData!$AC$342),"")</f>
        <v>330.03699999999998</v>
      </c>
      <c r="AD342">
        <f ca="1">IFERROR(IF(0=LEN(ReferenceData!$AD$342),"",ReferenceData!$AD$342),"")</f>
        <v>601.81899999999996</v>
      </c>
      <c r="AE342">
        <f ca="1">IFERROR(IF(0=LEN(ReferenceData!$AE$342),"",ReferenceData!$AE$342),"")</f>
        <v>1029.059</v>
      </c>
      <c r="AF342">
        <f ca="1">IFERROR(IF(0=LEN(ReferenceData!$AF$342),"",ReferenceData!$AF$342),"")</f>
        <v>364.70800000000003</v>
      </c>
      <c r="AG342">
        <f ca="1">IFERROR(IF(0=LEN(ReferenceData!$AG$342),"",ReferenceData!$AG$342),"")</f>
        <v>705.70100000000002</v>
      </c>
      <c r="AH342">
        <f ca="1">IFERROR(IF(0=LEN(ReferenceData!$AH$342),"",ReferenceData!$AH$342),"")</f>
        <v>827.54200000000003</v>
      </c>
      <c r="AI342">
        <f ca="1">IFERROR(IF(0=LEN(ReferenceData!$AI$342),"",ReferenceData!$AI$342),"")</f>
        <v>1612.6990000000001</v>
      </c>
      <c r="AJ342">
        <f ca="1">IFERROR(IF(0=LEN(ReferenceData!$AJ$342),"",ReferenceData!$AJ$342),"")</f>
        <v>317.45999999999998</v>
      </c>
      <c r="AK342">
        <f ca="1">IFERROR(IF(0=LEN(ReferenceData!$AK$342),"",ReferenceData!$AK$342),"")</f>
        <v>715.79899999999998</v>
      </c>
      <c r="AL342">
        <f ca="1">IFERROR(IF(0=LEN(ReferenceData!$AL$342),"",ReferenceData!$AL$342),"")</f>
        <v>923.04899999999998</v>
      </c>
      <c r="AM342">
        <f ca="1">IFERROR(IF(0=LEN(ReferenceData!$AM$342),"",ReferenceData!$AM$342),"")</f>
        <v>1038.106</v>
      </c>
      <c r="AN342">
        <f ca="1">IFERROR(IF(0=LEN(ReferenceData!$AN$342),"",ReferenceData!$AN$342),"")</f>
        <v>68.105999999999995</v>
      </c>
      <c r="AO342">
        <f ca="1">IFERROR(IF(0=LEN(ReferenceData!$AO$342),"",ReferenceData!$AO$342),"")</f>
        <v>154.39400000000001</v>
      </c>
      <c r="AP342">
        <f ca="1">IFERROR(IF(0=LEN(ReferenceData!$AP$342),"",ReferenceData!$AP$342),"")</f>
        <v>981.35299999999995</v>
      </c>
      <c r="AQ342">
        <f ca="1">IFERROR(IF(0=LEN(ReferenceData!$AQ$342),"",ReferenceData!$AQ$342),"")</f>
        <v>1640.6790000000001</v>
      </c>
      <c r="AR342" t="str">
        <f ca="1">IFERROR(IF(0=LEN(ReferenceData!$AR$342),"",ReferenceData!$AR$342),"")</f>
        <v/>
      </c>
      <c r="AS342" t="str">
        <f ca="1">IFERROR(IF(0=LEN(ReferenceData!$AS$342),"",ReferenceData!$AS$342),"")</f>
        <v/>
      </c>
      <c r="AT342" t="str">
        <f ca="1">IFERROR(IF(0=LEN(ReferenceData!$AT$342),"",ReferenceData!$AT$342),"")</f>
        <v/>
      </c>
      <c r="AU342">
        <f ca="1">IFERROR(IF(0=LEN(ReferenceData!$AU$342),"",ReferenceData!$AU$342),"")</f>
        <v>1113.019</v>
      </c>
      <c r="AV342" t="str">
        <f ca="1">IFERROR(IF(0=LEN(ReferenceData!$AV$342),"",ReferenceData!$AV$342),"")</f>
        <v/>
      </c>
      <c r="AW342" t="str">
        <f ca="1">IFERROR(IF(0=LEN(ReferenceData!$AW$342),"",ReferenceData!$AW$342),"")</f>
        <v/>
      </c>
      <c r="AX342" t="str">
        <f ca="1">IFERROR(IF(0=LEN(ReferenceData!$AX$342),"",ReferenceData!$AX$342),"")</f>
        <v/>
      </c>
      <c r="AY342">
        <f ca="1">IFERROR(IF(0=LEN(ReferenceData!$AY$342),"",ReferenceData!$AY$342),"")</f>
        <v>151.46600000000001</v>
      </c>
      <c r="AZ342" t="str">
        <f ca="1">IFERROR(IF(0=LEN(ReferenceData!$AZ$342),"",ReferenceData!$AZ$342),"")</f>
        <v/>
      </c>
      <c r="BA342" t="str">
        <f ca="1">IFERROR(IF(0=LEN(ReferenceData!$BA$342),"",ReferenceData!$BA$342),"")</f>
        <v/>
      </c>
      <c r="BB342" t="str">
        <f ca="1">IFERROR(IF(0=LEN(ReferenceData!$BB$342),"",ReferenceData!$BB$342),"")</f>
        <v/>
      </c>
      <c r="BC342" t="str">
        <f ca="1">IFERROR(IF(0=LEN(ReferenceData!$BC$342),"",ReferenceData!$BC$342),"")</f>
        <v/>
      </c>
      <c r="BD342" t="str">
        <f ca="1">IFERROR(IF(0=LEN(ReferenceData!$BD$342),"",ReferenceData!$BD$342),"")</f>
        <v/>
      </c>
      <c r="BE342" t="str">
        <f ca="1">IFERROR(IF(0=LEN(ReferenceData!$BE$342),"",ReferenceData!$BE$342),"")</f>
        <v/>
      </c>
      <c r="BF342" t="str">
        <f ca="1">IFERROR(IF(0=LEN(ReferenceData!$BF$342),"",ReferenceData!$BF$342),"")</f>
        <v/>
      </c>
      <c r="BG342" t="str">
        <f ca="1">IFERROR(IF(0=LEN(ReferenceData!$BG$342),"",ReferenceData!$BG$342),"")</f>
        <v/>
      </c>
      <c r="BH342" t="str">
        <f ca="1">IFERROR(IF(0=LEN(ReferenceData!$BH$342),"",ReferenceData!$BH$342),"")</f>
        <v/>
      </c>
      <c r="BI342" t="str">
        <f ca="1">IFERROR(IF(0=LEN(ReferenceData!$BI$342),"",ReferenceData!$BI$342),"")</f>
        <v/>
      </c>
      <c r="BJ342" t="str">
        <f ca="1">IFERROR(IF(0=LEN(ReferenceData!$BJ$342),"",ReferenceData!$BJ$342),"")</f>
        <v/>
      </c>
      <c r="BK342" t="str">
        <f ca="1">IFERROR(IF(0=LEN(ReferenceData!$BK$342),"",ReferenceData!$BK$342),"")</f>
        <v/>
      </c>
      <c r="BL342" t="str">
        <f ca="1">IFERROR(IF(0=LEN(ReferenceData!$BL$342),"",ReferenceData!$BL$342),"")</f>
        <v/>
      </c>
      <c r="BM342" t="str">
        <f ca="1">IFERROR(IF(0=LEN(ReferenceData!$BM$342),"",ReferenceData!$BM$342),"")</f>
        <v/>
      </c>
    </row>
    <row r="343" spans="1:65">
      <c r="A343" t="str">
        <f>IFERROR(IF(0=LEN(ReferenceData!$A$343),"",ReferenceData!$A$343),"")</f>
        <v xml:space="preserve">    DDR Corp</v>
      </c>
      <c r="B343" t="str">
        <f>IFERROR(IF(0=LEN(ReferenceData!$B$343),"",ReferenceData!$B$343),"")</f>
        <v>DDR US Equity</v>
      </c>
      <c r="C343" t="str">
        <f>IFERROR(IF(0=LEN(ReferenceData!$C$343),"",ReferenceData!$C$343),"")</f>
        <v>BS658</v>
      </c>
      <c r="D343" t="str">
        <f>IFERROR(IF(0=LEN(ReferenceData!$D$343),"",ReferenceData!$D$343),"")</f>
        <v>BS_YEAR_1_PRINCIPAL</v>
      </c>
      <c r="E343" t="str">
        <f>IFERROR(IF(0=LEN(ReferenceData!$E$343),"",ReferenceData!$E$343),"")</f>
        <v>动态</v>
      </c>
      <c r="F343" t="str">
        <f ca="1">IFERROR(IF(0=LEN(ReferenceData!$F$343),"",ReferenceData!$F$343),"")</f>
        <v/>
      </c>
      <c r="G343">
        <f ca="1">IFERROR(IF(0=LEN(ReferenceData!$G$343),"",ReferenceData!$G$343),"")</f>
        <v>298.87700000000001</v>
      </c>
      <c r="H343">
        <f ca="1">IFERROR(IF(0=LEN(ReferenceData!$H$343),"",ReferenceData!$H$343),"")</f>
        <v>5.35</v>
      </c>
      <c r="I343">
        <f ca="1">IFERROR(IF(0=LEN(ReferenceData!$I$343),"",ReferenceData!$I$343),"")</f>
        <v>143.90700000000001</v>
      </c>
      <c r="J343">
        <f ca="1">IFERROR(IF(0=LEN(ReferenceData!$J$343),"",ReferenceData!$J$343),"")</f>
        <v>627.76400000000001</v>
      </c>
      <c r="K343">
        <f ca="1">IFERROR(IF(0=LEN(ReferenceData!$K$343),"",ReferenceData!$K$343),"")</f>
        <v>1124.2919999999999</v>
      </c>
      <c r="L343">
        <f ca="1">IFERROR(IF(0=LEN(ReferenceData!$L$343),"",ReferenceData!$L$343),"")</f>
        <v>119.3</v>
      </c>
      <c r="M343">
        <f ca="1">IFERROR(IF(0=LEN(ReferenceData!$M$343),"",ReferenceData!$M$343),"")</f>
        <v>128.6</v>
      </c>
      <c r="N343">
        <f ca="1">IFERROR(IF(0=LEN(ReferenceData!$N$343),"",ReferenceData!$N$343),"")</f>
        <v>137.4</v>
      </c>
      <c r="O343">
        <f ca="1">IFERROR(IF(0=LEN(ReferenceData!$O$343),"",ReferenceData!$O$343),"")</f>
        <v>410.19900000000001</v>
      </c>
      <c r="P343">
        <f ca="1">IFERROR(IF(0=LEN(ReferenceData!$P$343),"",ReferenceData!$P$343),"")</f>
        <v>358.4</v>
      </c>
      <c r="Q343">
        <f ca="1">IFERROR(IF(0=LEN(ReferenceData!$Q$343),"",ReferenceData!$Q$343),"")</f>
        <v>544.70000000000005</v>
      </c>
      <c r="R343">
        <f ca="1">IFERROR(IF(0=LEN(ReferenceData!$R$343),"",ReferenceData!$R$343),"")</f>
        <v>959.9</v>
      </c>
      <c r="S343">
        <f ca="1">IFERROR(IF(0=LEN(ReferenceData!$S$343),"",ReferenceData!$S$343),"")</f>
        <v>959.01499999999999</v>
      </c>
      <c r="T343" t="str">
        <f ca="1">IFERROR(IF(0=LEN(ReferenceData!$T$343),"",ReferenceData!$T$343),"")</f>
        <v/>
      </c>
      <c r="U343" t="str">
        <f ca="1">IFERROR(IF(0=LEN(ReferenceData!$U$343),"",ReferenceData!$U$343),"")</f>
        <v/>
      </c>
      <c r="V343" t="str">
        <f ca="1">IFERROR(IF(0=LEN(ReferenceData!$V$343),"",ReferenceData!$V$343),"")</f>
        <v/>
      </c>
      <c r="W343">
        <f ca="1">IFERROR(IF(0=LEN(ReferenceData!$W$343),"",ReferenceData!$W$343),"")</f>
        <v>359.52800000000002</v>
      </c>
      <c r="X343" t="str">
        <f ca="1">IFERROR(IF(0=LEN(ReferenceData!$X$343),"",ReferenceData!$X$343),"")</f>
        <v/>
      </c>
      <c r="Y343" t="str">
        <f ca="1">IFERROR(IF(0=LEN(ReferenceData!$Y$343),"",ReferenceData!$Y$343),"")</f>
        <v/>
      </c>
      <c r="Z343" t="str">
        <f ca="1">IFERROR(IF(0=LEN(ReferenceData!$Z$343),"",ReferenceData!$Z$343),"")</f>
        <v/>
      </c>
      <c r="AA343">
        <f ca="1">IFERROR(IF(0=LEN(ReferenceData!$AA$343),"",ReferenceData!$AA$343),"")</f>
        <v>66.64</v>
      </c>
      <c r="AB343" t="str">
        <f ca="1">IFERROR(IF(0=LEN(ReferenceData!$AB$343),"",ReferenceData!$AB$343),"")</f>
        <v/>
      </c>
      <c r="AC343" t="str">
        <f ca="1">IFERROR(IF(0=LEN(ReferenceData!$AC$343),"",ReferenceData!$AC$343),"")</f>
        <v/>
      </c>
      <c r="AD343" t="str">
        <f ca="1">IFERROR(IF(0=LEN(ReferenceData!$AD$343),"",ReferenceData!$AD$343),"")</f>
        <v/>
      </c>
      <c r="AE343">
        <f ca="1">IFERROR(IF(0=LEN(ReferenceData!$AE$343),"",ReferenceData!$AE$343),"")</f>
        <v>545.93799999999999</v>
      </c>
      <c r="AF343" t="str">
        <f ca="1">IFERROR(IF(0=LEN(ReferenceData!$AF$343),"",ReferenceData!$AF$343),"")</f>
        <v/>
      </c>
      <c r="AG343" t="str">
        <f ca="1">IFERROR(IF(0=LEN(ReferenceData!$AG$343),"",ReferenceData!$AG$343),"")</f>
        <v/>
      </c>
      <c r="AH343" t="str">
        <f ca="1">IFERROR(IF(0=LEN(ReferenceData!$AH$343),"",ReferenceData!$AH$343),"")</f>
        <v/>
      </c>
      <c r="AI343">
        <f ca="1">IFERROR(IF(0=LEN(ReferenceData!$AI$343),"",ReferenceData!$AI$343),"")</f>
        <v>993.72699999999998</v>
      </c>
      <c r="AJ343" t="str">
        <f ca="1">IFERROR(IF(0=LEN(ReferenceData!$AJ$343),"",ReferenceData!$AJ$343),"")</f>
        <v/>
      </c>
      <c r="AK343" t="str">
        <f ca="1">IFERROR(IF(0=LEN(ReferenceData!$AK$343),"",ReferenceData!$AK$343),"")</f>
        <v/>
      </c>
      <c r="AL343" t="str">
        <f ca="1">IFERROR(IF(0=LEN(ReferenceData!$AL$343),"",ReferenceData!$AL$343),"")</f>
        <v/>
      </c>
      <c r="AM343">
        <f ca="1">IFERROR(IF(0=LEN(ReferenceData!$AM$343),"",ReferenceData!$AM$343),"")</f>
        <v>1457.396</v>
      </c>
      <c r="AN343" t="str">
        <f ca="1">IFERROR(IF(0=LEN(ReferenceData!$AN$343),"",ReferenceData!$AN$343),"")</f>
        <v/>
      </c>
      <c r="AO343" t="str">
        <f ca="1">IFERROR(IF(0=LEN(ReferenceData!$AO$343),"",ReferenceData!$AO$343),"")</f>
        <v/>
      </c>
      <c r="AP343" t="str">
        <f ca="1">IFERROR(IF(0=LEN(ReferenceData!$AP$343),"",ReferenceData!$AP$343),"")</f>
        <v/>
      </c>
      <c r="AQ343">
        <f ca="1">IFERROR(IF(0=LEN(ReferenceData!$AQ$343),"",ReferenceData!$AQ$343),"")</f>
        <v>399.685</v>
      </c>
      <c r="AR343" t="str">
        <f ca="1">IFERROR(IF(0=LEN(ReferenceData!$AR$343),"",ReferenceData!$AR$343),"")</f>
        <v/>
      </c>
      <c r="AS343" t="str">
        <f ca="1">IFERROR(IF(0=LEN(ReferenceData!$AS$343),"",ReferenceData!$AS$343),"")</f>
        <v/>
      </c>
      <c r="AT343" t="str">
        <f ca="1">IFERROR(IF(0=LEN(ReferenceData!$AT$343),"",ReferenceData!$AT$343),"")</f>
        <v/>
      </c>
      <c r="AU343" t="str">
        <f ca="1">IFERROR(IF(0=LEN(ReferenceData!$AU$343),"",ReferenceData!$AU$343),"")</f>
        <v/>
      </c>
      <c r="AV343" t="str">
        <f ca="1">IFERROR(IF(0=LEN(ReferenceData!$AV$343),"",ReferenceData!$AV$343),"")</f>
        <v/>
      </c>
      <c r="AW343" t="str">
        <f ca="1">IFERROR(IF(0=LEN(ReferenceData!$AW$343),"",ReferenceData!$AW$343),"")</f>
        <v/>
      </c>
      <c r="AX343" t="str">
        <f ca="1">IFERROR(IF(0=LEN(ReferenceData!$AX$343),"",ReferenceData!$AX$343),"")</f>
        <v/>
      </c>
      <c r="AY343" t="str">
        <f ca="1">IFERROR(IF(0=LEN(ReferenceData!$AY$343),"",ReferenceData!$AY$343),"")</f>
        <v/>
      </c>
      <c r="AZ343" t="str">
        <f ca="1">IFERROR(IF(0=LEN(ReferenceData!$AZ$343),"",ReferenceData!$AZ$343),"")</f>
        <v/>
      </c>
      <c r="BA343" t="str">
        <f ca="1">IFERROR(IF(0=LEN(ReferenceData!$BA$343),"",ReferenceData!$BA$343),"")</f>
        <v/>
      </c>
      <c r="BB343" t="str">
        <f ca="1">IFERROR(IF(0=LEN(ReferenceData!$BB$343),"",ReferenceData!$BB$343),"")</f>
        <v/>
      </c>
      <c r="BC343" t="str">
        <f ca="1">IFERROR(IF(0=LEN(ReferenceData!$BC$343),"",ReferenceData!$BC$343),"")</f>
        <v/>
      </c>
      <c r="BD343" t="str">
        <f ca="1">IFERROR(IF(0=LEN(ReferenceData!$BD$343),"",ReferenceData!$BD$343),"")</f>
        <v/>
      </c>
      <c r="BE343" t="str">
        <f ca="1">IFERROR(IF(0=LEN(ReferenceData!$BE$343),"",ReferenceData!$BE$343),"")</f>
        <v/>
      </c>
      <c r="BF343" t="str">
        <f ca="1">IFERROR(IF(0=LEN(ReferenceData!$BF$343),"",ReferenceData!$BF$343),"")</f>
        <v/>
      </c>
      <c r="BG343" t="str">
        <f ca="1">IFERROR(IF(0=LEN(ReferenceData!$BG$343),"",ReferenceData!$BG$343),"")</f>
        <v/>
      </c>
      <c r="BH343" t="str">
        <f ca="1">IFERROR(IF(0=LEN(ReferenceData!$BH$343),"",ReferenceData!$BH$343),"")</f>
        <v/>
      </c>
      <c r="BI343" t="str">
        <f ca="1">IFERROR(IF(0=LEN(ReferenceData!$BI$343),"",ReferenceData!$BI$343),"")</f>
        <v/>
      </c>
      <c r="BJ343" t="str">
        <f ca="1">IFERROR(IF(0=LEN(ReferenceData!$BJ$343),"",ReferenceData!$BJ$343),"")</f>
        <v/>
      </c>
      <c r="BK343" t="str">
        <f ca="1">IFERROR(IF(0=LEN(ReferenceData!$BK$343),"",ReferenceData!$BK$343),"")</f>
        <v/>
      </c>
      <c r="BL343" t="str">
        <f ca="1">IFERROR(IF(0=LEN(ReferenceData!$BL$343),"",ReferenceData!$BL$343),"")</f>
        <v/>
      </c>
      <c r="BM343" t="str">
        <f ca="1">IFERROR(IF(0=LEN(ReferenceData!$BM$343),"",ReferenceData!$BM$343),"")</f>
        <v/>
      </c>
    </row>
    <row r="344" spans="1:65">
      <c r="A344" t="str">
        <f>IFERROR(IF(0=LEN(ReferenceData!$A$344),"",ReferenceData!$A$344),"")</f>
        <v xml:space="preserve">    Federal Realty Investment Trus</v>
      </c>
      <c r="B344" t="str">
        <f>IFERROR(IF(0=LEN(ReferenceData!$B$344),"",ReferenceData!$B$344),"")</f>
        <v>FRT US Equity</v>
      </c>
      <c r="C344" t="str">
        <f>IFERROR(IF(0=LEN(ReferenceData!$C$344),"",ReferenceData!$C$344),"")</f>
        <v>BS658</v>
      </c>
      <c r="D344" t="str">
        <f>IFERROR(IF(0=LEN(ReferenceData!$D$344),"",ReferenceData!$D$344),"")</f>
        <v>BS_YEAR_1_PRINCIPAL</v>
      </c>
      <c r="E344" t="str">
        <f>IFERROR(IF(0=LEN(ReferenceData!$E$344),"",ReferenceData!$E$344),"")</f>
        <v>动态</v>
      </c>
      <c r="F344" t="str">
        <f ca="1">IFERROR(IF(0=LEN(ReferenceData!$F$344),"",ReferenceData!$F$344),"")</f>
        <v/>
      </c>
      <c r="G344">
        <f ca="1">IFERROR(IF(0=LEN(ReferenceData!$G$344),"",ReferenceData!$G$344),"")</f>
        <v>291.77499999999998</v>
      </c>
      <c r="H344">
        <f ca="1">IFERROR(IF(0=LEN(ReferenceData!$H$344),"",ReferenceData!$H$344),"")</f>
        <v>1.5609999999999999</v>
      </c>
      <c r="I344">
        <f ca="1">IFERROR(IF(0=LEN(ReferenceData!$I$344),"",ReferenceData!$I$344),"")</f>
        <v>44.847000000000001</v>
      </c>
      <c r="J344">
        <f ca="1">IFERROR(IF(0=LEN(ReferenceData!$J$344),"",ReferenceData!$J$344),"")</f>
        <v>221.46899999999999</v>
      </c>
      <c r="K344">
        <f ca="1">IFERROR(IF(0=LEN(ReferenceData!$K$344),"",ReferenceData!$K$344),"")</f>
        <v>222.94499999999999</v>
      </c>
      <c r="L344">
        <f ca="1">IFERROR(IF(0=LEN(ReferenceData!$L$344),"",ReferenceData!$L$344),"")</f>
        <v>10.71</v>
      </c>
      <c r="M344">
        <f ca="1">IFERROR(IF(0=LEN(ReferenceData!$M$344),"",ReferenceData!$M$344),"")</f>
        <v>12.538</v>
      </c>
      <c r="N344">
        <f ca="1">IFERROR(IF(0=LEN(ReferenceData!$N$344),"",ReferenceData!$N$344),"")</f>
        <v>48.509</v>
      </c>
      <c r="O344" t="str">
        <f ca="1">IFERROR(IF(0=LEN(ReferenceData!$O$344),"",ReferenceData!$O$344),"")</f>
        <v/>
      </c>
      <c r="P344">
        <f ca="1">IFERROR(IF(0=LEN(ReferenceData!$P$344),"",ReferenceData!$P$344),"")</f>
        <v>19.11</v>
      </c>
      <c r="Q344">
        <f ca="1">IFERROR(IF(0=LEN(ReferenceData!$Q$344),"",ReferenceData!$Q$344),"")</f>
        <v>149.76900000000001</v>
      </c>
      <c r="R344">
        <f ca="1">IFERROR(IF(0=LEN(ReferenceData!$R$344),"",ReferenceData!$R$344),"")</f>
        <v>352.22399999999999</v>
      </c>
      <c r="S344">
        <f ca="1">IFERROR(IF(0=LEN(ReferenceData!$S$344),"",ReferenceData!$S$344),"")</f>
        <v>153.79499999999999</v>
      </c>
      <c r="T344">
        <f ca="1">IFERROR(IF(0=LEN(ReferenceData!$T$344),"",ReferenceData!$T$344),"")</f>
        <v>2.714</v>
      </c>
      <c r="U344">
        <f ca="1">IFERROR(IF(0=LEN(ReferenceData!$U$344),"",ReferenceData!$U$344),"")</f>
        <v>5.5220000000000002</v>
      </c>
      <c r="V344">
        <f ca="1">IFERROR(IF(0=LEN(ReferenceData!$V$344),"",ReferenceData!$V$344),"")</f>
        <v>50.136000000000003</v>
      </c>
      <c r="W344">
        <f ca="1">IFERROR(IF(0=LEN(ReferenceData!$W$344),"",ReferenceData!$W$344),"")</f>
        <v>40.276000000000003</v>
      </c>
      <c r="X344">
        <f ca="1">IFERROR(IF(0=LEN(ReferenceData!$X$344),"",ReferenceData!$X$344),"")</f>
        <v>3.0230000000000001</v>
      </c>
      <c r="Y344">
        <f ca="1">IFERROR(IF(0=LEN(ReferenceData!$Y$344),"",ReferenceData!$Y$344),"")</f>
        <v>6.202</v>
      </c>
      <c r="Z344">
        <f ca="1">IFERROR(IF(0=LEN(ReferenceData!$Z$344),"",ReferenceData!$Z$344),"")</f>
        <v>163.54300000000001</v>
      </c>
      <c r="AA344">
        <f ca="1">IFERROR(IF(0=LEN(ReferenceData!$AA$344),"",ReferenceData!$AA$344),"")</f>
        <v>175.55199999999999</v>
      </c>
      <c r="AB344">
        <f ca="1">IFERROR(IF(0=LEN(ReferenceData!$AB$344),"",ReferenceData!$AB$344),"")</f>
        <v>23.123999999999999</v>
      </c>
      <c r="AC344">
        <f ca="1">IFERROR(IF(0=LEN(ReferenceData!$AC$344),"",ReferenceData!$AC$344),"")</f>
        <v>190.941</v>
      </c>
      <c r="AD344">
        <f ca="1">IFERROR(IF(0=LEN(ReferenceData!$AD$344),"",ReferenceData!$AD$344),"")</f>
        <v>200.88900000000001</v>
      </c>
      <c r="AE344">
        <f ca="1">IFERROR(IF(0=LEN(ReferenceData!$AE$344),"",ReferenceData!$AE$344),"")</f>
        <v>408.346</v>
      </c>
      <c r="AF344">
        <f ca="1">IFERROR(IF(0=LEN(ReferenceData!$AF$344),"",ReferenceData!$AF$344),"")</f>
        <v>2.4369999999999998</v>
      </c>
      <c r="AG344">
        <f ca="1">IFERROR(IF(0=LEN(ReferenceData!$AG$344),"",ReferenceData!$AG$344),"")</f>
        <v>194.00200000000001</v>
      </c>
      <c r="AH344">
        <f ca="1">IFERROR(IF(0=LEN(ReferenceData!$AH$344),"",ReferenceData!$AH$344),"")</f>
        <v>237.363</v>
      </c>
      <c r="AI344">
        <f ca="1">IFERROR(IF(0=LEN(ReferenceData!$AI$344),"",ReferenceData!$AI$344),"")</f>
        <v>125.07299999999999</v>
      </c>
      <c r="AJ344">
        <f ca="1">IFERROR(IF(0=LEN(ReferenceData!$AJ$344),"",ReferenceData!$AJ$344),"")</f>
        <v>2.4220000000000002</v>
      </c>
      <c r="AK344">
        <f ca="1">IFERROR(IF(0=LEN(ReferenceData!$AK$344),"",ReferenceData!$AK$344),"")</f>
        <v>5.0110000000000001</v>
      </c>
      <c r="AL344">
        <f ca="1">IFERROR(IF(0=LEN(ReferenceData!$AL$344),"",ReferenceData!$AL$344),"")</f>
        <v>8.2040000000000006</v>
      </c>
      <c r="AM344">
        <f ca="1">IFERROR(IF(0=LEN(ReferenceData!$AM$344),"",ReferenceData!$AM$344),"")</f>
        <v>10.728</v>
      </c>
      <c r="AN344">
        <f ca="1">IFERROR(IF(0=LEN(ReferenceData!$AN$344),"",ReferenceData!$AN$344),"")</f>
        <v>251.68199999999999</v>
      </c>
      <c r="AO344">
        <f ca="1">IFERROR(IF(0=LEN(ReferenceData!$AO$344),"",ReferenceData!$AO$344),"")</f>
        <v>256.49200000000002</v>
      </c>
      <c r="AP344">
        <f ca="1">IFERROR(IF(0=LEN(ReferenceData!$AP$344),"",ReferenceData!$AP$344),"")</f>
        <v>750.43600000000004</v>
      </c>
      <c r="AQ344">
        <f ca="1">IFERROR(IF(0=LEN(ReferenceData!$AQ$344),"",ReferenceData!$AQ$344),"")</f>
        <v>387.54199999999997</v>
      </c>
      <c r="AR344">
        <f ca="1">IFERROR(IF(0=LEN(ReferenceData!$AR$344),"",ReferenceData!$AR$344),"")</f>
        <v>5.4080000000000004</v>
      </c>
      <c r="AS344">
        <f ca="1">IFERROR(IF(0=LEN(ReferenceData!$AS$344),"",ReferenceData!$AS$344),"")</f>
        <v>69.323999999999998</v>
      </c>
      <c r="AT344">
        <f ca="1">IFERROR(IF(0=LEN(ReferenceData!$AT$344),"",ReferenceData!$AT$344),"")</f>
        <v>430.76</v>
      </c>
      <c r="AU344">
        <f ca="1">IFERROR(IF(0=LEN(ReferenceData!$AU$344),"",ReferenceData!$AU$344),"")</f>
        <v>217.084</v>
      </c>
      <c r="AV344">
        <f ca="1">IFERROR(IF(0=LEN(ReferenceData!$AV$344),"",ReferenceData!$AV$344),"")</f>
        <v>151.221</v>
      </c>
      <c r="AW344">
        <f ca="1">IFERROR(IF(0=LEN(ReferenceData!$AW$344),"",ReferenceData!$AW$344),"")</f>
        <v>152.869</v>
      </c>
      <c r="AX344">
        <f ca="1">IFERROR(IF(0=LEN(ReferenceData!$AX$344),"",ReferenceData!$AX$344),"")</f>
        <v>154.53299999999999</v>
      </c>
      <c r="AY344">
        <f ca="1">IFERROR(IF(0=LEN(ReferenceData!$AY$344),"",ReferenceData!$AY$344),"")</f>
        <v>154.99700000000001</v>
      </c>
      <c r="AZ344">
        <f ca="1">IFERROR(IF(0=LEN(ReferenceData!$AZ$344),"",ReferenceData!$AZ$344),"")</f>
        <v>0.86099999999999999</v>
      </c>
      <c r="BA344">
        <f ca="1">IFERROR(IF(0=LEN(ReferenceData!$BA$344),"",ReferenceData!$BA$344),"")</f>
        <v>203.82300000000001</v>
      </c>
      <c r="BB344">
        <f ca="1">IFERROR(IF(0=LEN(ReferenceData!$BB$344),"",ReferenceData!$BB$344),"")</f>
        <v>201.84200000000001</v>
      </c>
      <c r="BC344">
        <f ca="1">IFERROR(IF(0=LEN(ReferenceData!$BC$344),"",ReferenceData!$BC$344),"")</f>
        <v>199.834</v>
      </c>
      <c r="BD344">
        <f ca="1">IFERROR(IF(0=LEN(ReferenceData!$BD$344),"",ReferenceData!$BD$344),"")</f>
        <v>40.686999999999998</v>
      </c>
      <c r="BE344">
        <f ca="1">IFERROR(IF(0=LEN(ReferenceData!$BE$344),"",ReferenceData!$BE$344),"")</f>
        <v>41.539000000000001</v>
      </c>
      <c r="BF344">
        <f ca="1">IFERROR(IF(0=LEN(ReferenceData!$BF$344),"",ReferenceData!$BF$344),"")</f>
        <v>42.38</v>
      </c>
      <c r="BG344">
        <f ca="1">IFERROR(IF(0=LEN(ReferenceData!$BG$344),"",ReferenceData!$BG$344),"")</f>
        <v>43.2140007</v>
      </c>
      <c r="BH344" t="str">
        <f ca="1">IFERROR(IF(0=LEN(ReferenceData!$BH$344),"",ReferenceData!$BH$344),"")</f>
        <v/>
      </c>
      <c r="BI344">
        <f ca="1">IFERROR(IF(0=LEN(ReferenceData!$BI$344),"",ReferenceData!$BI$344),"")</f>
        <v>1.4079999919999999</v>
      </c>
      <c r="BJ344">
        <f ca="1">IFERROR(IF(0=LEN(ReferenceData!$BJ$344),"",ReferenceData!$BJ$344),"")</f>
        <v>2.1890000000000001</v>
      </c>
      <c r="BK344">
        <f ca="1">IFERROR(IF(0=LEN(ReferenceData!$BK$344),"",ReferenceData!$BK$344),"")</f>
        <v>42.454999999999998</v>
      </c>
      <c r="BL344">
        <f ca="1">IFERROR(IF(0=LEN(ReferenceData!$BL$344),"",ReferenceData!$BL$344),"")</f>
        <v>323.38900000000001</v>
      </c>
      <c r="BM344">
        <f ca="1">IFERROR(IF(0=LEN(ReferenceData!$BM$344),"",ReferenceData!$BM$344),"")</f>
        <v>332.601</v>
      </c>
    </row>
    <row r="345" spans="1:65">
      <c r="A345" t="str">
        <f>IFERROR(IF(0=LEN(ReferenceData!$A$345),"",ReferenceData!$A$345),"")</f>
        <v xml:space="preserve">    Kimco Realty Corp</v>
      </c>
      <c r="B345" t="str">
        <f>IFERROR(IF(0=LEN(ReferenceData!$B$345),"",ReferenceData!$B$345),"")</f>
        <v>KIM US Equity</v>
      </c>
      <c r="C345" t="str">
        <f>IFERROR(IF(0=LEN(ReferenceData!$C$345),"",ReferenceData!$C$345),"")</f>
        <v>BS658</v>
      </c>
      <c r="D345" t="str">
        <f>IFERROR(IF(0=LEN(ReferenceData!$D$345),"",ReferenceData!$D$345),"")</f>
        <v>BS_YEAR_1_PRINCIPAL</v>
      </c>
      <c r="E345" t="str">
        <f>IFERROR(IF(0=LEN(ReferenceData!$E$345),"",ReferenceData!$E$345),"")</f>
        <v>动态</v>
      </c>
      <c r="F345" t="str">
        <f ca="1">IFERROR(IF(0=LEN(ReferenceData!$F$345),"",ReferenceData!$F$345),"")</f>
        <v/>
      </c>
      <c r="G345">
        <f ca="1">IFERROR(IF(0=LEN(ReferenceData!$G$345),"",ReferenceData!$G$345),"")</f>
        <v>85.367000000000004</v>
      </c>
      <c r="H345">
        <f ca="1">IFERROR(IF(0=LEN(ReferenceData!$H$345),"",ReferenceData!$H$345),"")</f>
        <v>12.414999999999999</v>
      </c>
      <c r="I345">
        <f ca="1">IFERROR(IF(0=LEN(ReferenceData!$I$345),"",ReferenceData!$I$345),"")</f>
        <v>230.13200000000001</v>
      </c>
      <c r="J345">
        <f ca="1">IFERROR(IF(0=LEN(ReferenceData!$J$345),"",ReferenceData!$J$345),"")</f>
        <v>407.95499999999998</v>
      </c>
      <c r="K345">
        <f ca="1">IFERROR(IF(0=LEN(ReferenceData!$K$345),"",ReferenceData!$K$345),"")</f>
        <v>451.572</v>
      </c>
      <c r="L345">
        <f ca="1">IFERROR(IF(0=LEN(ReferenceData!$L$345),"",ReferenceData!$L$345),"")</f>
        <v>38.024999999999999</v>
      </c>
      <c r="M345">
        <f ca="1">IFERROR(IF(0=LEN(ReferenceData!$M$345),"",ReferenceData!$M$345),"")</f>
        <v>238.48099999999999</v>
      </c>
      <c r="N345">
        <f ca="1">IFERROR(IF(0=LEN(ReferenceData!$N$345),"",ReferenceData!$N$345),"")</f>
        <v>371.654</v>
      </c>
      <c r="O345">
        <f ca="1">IFERROR(IF(0=LEN(ReferenceData!$O$345),"",ReferenceData!$O$345),"")</f>
        <v>776.48099999999999</v>
      </c>
      <c r="P345">
        <f ca="1">IFERROR(IF(0=LEN(ReferenceData!$P$345),"",ReferenceData!$P$345),"")</f>
        <v>168.82499999999999</v>
      </c>
      <c r="Q345">
        <f ca="1">IFERROR(IF(0=LEN(ReferenceData!$Q$345),"",ReferenceData!$Q$345),"")</f>
        <v>406.60399999999998</v>
      </c>
      <c r="R345">
        <f ca="1">IFERROR(IF(0=LEN(ReferenceData!$R$345),"",ReferenceData!$R$345),"")</f>
        <v>433.654</v>
      </c>
      <c r="S345">
        <f ca="1">IFERROR(IF(0=LEN(ReferenceData!$S$345),"",ReferenceData!$S$345),"")</f>
        <v>689.10500000000002</v>
      </c>
      <c r="T345">
        <f ca="1">IFERROR(IF(0=LEN(ReferenceData!$T$345),"",ReferenceData!$T$345),"")</f>
        <v>6.5</v>
      </c>
      <c r="U345">
        <f ca="1">IFERROR(IF(0=LEN(ReferenceData!$U$345),"",ReferenceData!$U$345),"")</f>
        <v>53.444000000000003</v>
      </c>
      <c r="V345">
        <f ca="1">IFERROR(IF(0=LEN(ReferenceData!$V$345),"",ReferenceData!$V$345),"")</f>
        <v>359.6</v>
      </c>
      <c r="W345">
        <f ca="1">IFERROR(IF(0=LEN(ReferenceData!$W$345),"",ReferenceData!$W$345),"")</f>
        <v>594.99900000000002</v>
      </c>
      <c r="X345">
        <f ca="1">IFERROR(IF(0=LEN(ReferenceData!$X$345),"",ReferenceData!$X$345),"")</f>
        <v>100.1</v>
      </c>
      <c r="Y345">
        <f ca="1">IFERROR(IF(0=LEN(ReferenceData!$Y$345),"",ReferenceData!$Y$345),"")</f>
        <v>359.3</v>
      </c>
      <c r="Z345">
        <f ca="1">IFERROR(IF(0=LEN(ReferenceData!$Z$345),"",ReferenceData!$Z$345),"")</f>
        <v>441.4</v>
      </c>
      <c r="AA345">
        <f ca="1">IFERROR(IF(0=LEN(ReferenceData!$AA$345),"",ReferenceData!$AA$345),"")</f>
        <v>640.5</v>
      </c>
      <c r="AB345">
        <f ca="1">IFERROR(IF(0=LEN(ReferenceData!$AB$345),"",ReferenceData!$AB$345),"")</f>
        <v>227.2</v>
      </c>
      <c r="AC345">
        <f ca="1">IFERROR(IF(0=LEN(ReferenceData!$AC$345),"",ReferenceData!$AC$345),"")</f>
        <v>249</v>
      </c>
      <c r="AD345">
        <f ca="1">IFERROR(IF(0=LEN(ReferenceData!$AD$345),"",ReferenceData!$AD$345),"")</f>
        <v>311.5</v>
      </c>
      <c r="AE345">
        <f ca="1">IFERROR(IF(0=LEN(ReferenceData!$AE$345),"",ReferenceData!$AE$345),"")</f>
        <v>423.6</v>
      </c>
      <c r="AF345">
        <f ca="1">IFERROR(IF(0=LEN(ReferenceData!$AF$345),"",ReferenceData!$AF$345),"")</f>
        <v>4.5999999999999996</v>
      </c>
      <c r="AG345">
        <f ca="1">IFERROR(IF(0=LEN(ReferenceData!$AG$345),"",ReferenceData!$AG$345),"")</f>
        <v>91.8</v>
      </c>
      <c r="AH345">
        <f ca="1">IFERROR(IF(0=LEN(ReferenceData!$AH$345),"",ReferenceData!$AH$345),"")</f>
        <v>112.2</v>
      </c>
      <c r="AI345">
        <f ca="1">IFERROR(IF(0=LEN(ReferenceData!$AI$345),"",ReferenceData!$AI$345),"")</f>
        <v>147.4</v>
      </c>
      <c r="AJ345">
        <f ca="1">IFERROR(IF(0=LEN(ReferenceData!$AJ$345),"",ReferenceData!$AJ$345),"")</f>
        <v>0</v>
      </c>
      <c r="AK345">
        <f ca="1">IFERROR(IF(0=LEN(ReferenceData!$AK$345),"",ReferenceData!$AK$345),"")</f>
        <v>52.2</v>
      </c>
      <c r="AL345">
        <f ca="1">IFERROR(IF(0=LEN(ReferenceData!$AL$345),"",ReferenceData!$AL$345),"")</f>
        <v>199.5</v>
      </c>
      <c r="AM345">
        <f ca="1">IFERROR(IF(0=LEN(ReferenceData!$AM$345),"",ReferenceData!$AM$345),"")</f>
        <v>380</v>
      </c>
      <c r="AN345">
        <f ca="1">IFERROR(IF(0=LEN(ReferenceData!$AN$345),"",ReferenceData!$AN$345),"")</f>
        <v>132.19999999999999</v>
      </c>
      <c r="AO345">
        <f ca="1">IFERROR(IF(0=LEN(ReferenceData!$AO$345),"",ReferenceData!$AO$345),"")</f>
        <v>151.5</v>
      </c>
      <c r="AP345">
        <f ca="1">IFERROR(IF(0=LEN(ReferenceData!$AP$345),"",ReferenceData!$AP$345),"")</f>
        <v>286.89999999999998</v>
      </c>
      <c r="AQ345">
        <f ca="1">IFERROR(IF(0=LEN(ReferenceData!$AQ$345),"",ReferenceData!$AQ$345),"")</f>
        <v>553.70000000000005</v>
      </c>
      <c r="AR345">
        <f ca="1">IFERROR(IF(0=LEN(ReferenceData!$AR$345),"",ReferenceData!$AR$345),"")</f>
        <v>166.37100000000001</v>
      </c>
      <c r="AS345">
        <f ca="1">IFERROR(IF(0=LEN(ReferenceData!$AS$345),"",ReferenceData!$AS$345),"")</f>
        <v>362.11200000000002</v>
      </c>
      <c r="AT345">
        <f ca="1">IFERROR(IF(0=LEN(ReferenceData!$AT$345),"",ReferenceData!$AT$345),"")</f>
        <v>470.30900000000003</v>
      </c>
      <c r="AU345">
        <f ca="1">IFERROR(IF(0=LEN(ReferenceData!$AU$345),"",ReferenceData!$AU$345),"")</f>
        <v>495.9</v>
      </c>
      <c r="AV345">
        <f ca="1">IFERROR(IF(0=LEN(ReferenceData!$AV$345),"",ReferenceData!$AV$345),"")</f>
        <v>371.97500000000002</v>
      </c>
      <c r="AW345">
        <f ca="1">IFERROR(IF(0=LEN(ReferenceData!$AW$345),"",ReferenceData!$AW$345),"")</f>
        <v>240.499</v>
      </c>
      <c r="AX345">
        <f ca="1">IFERROR(IF(0=LEN(ReferenceData!$AX$345),"",ReferenceData!$AX$345),"")</f>
        <v>386.851</v>
      </c>
      <c r="AY345">
        <f ca="1">IFERROR(IF(0=LEN(ReferenceData!$AY$345),"",ReferenceData!$AY$345),"")</f>
        <v>495.9</v>
      </c>
      <c r="AZ345">
        <f ca="1">IFERROR(IF(0=LEN(ReferenceData!$AZ$345),"",ReferenceData!$AZ$345),"")</f>
        <v>131.881</v>
      </c>
      <c r="BA345">
        <f ca="1">IFERROR(IF(0=LEN(ReferenceData!$BA$345),"",ReferenceData!$BA$345),"")</f>
        <v>284.03199999999998</v>
      </c>
      <c r="BB345">
        <f ca="1">IFERROR(IF(0=LEN(ReferenceData!$BB$345),"",ReferenceData!$BB$345),"")</f>
        <v>293.31900000000002</v>
      </c>
      <c r="BC345" t="str">
        <f ca="1">IFERROR(IF(0=LEN(ReferenceData!$BC$345),"",ReferenceData!$BC$345),"")</f>
        <v/>
      </c>
      <c r="BD345" t="str">
        <f ca="1">IFERROR(IF(0=LEN(ReferenceData!$BD$345),"",ReferenceData!$BD$345),"")</f>
        <v/>
      </c>
      <c r="BE345" t="str">
        <f ca="1">IFERROR(IF(0=LEN(ReferenceData!$BE$345),"",ReferenceData!$BE$345),"")</f>
        <v/>
      </c>
      <c r="BF345" t="str">
        <f ca="1">IFERROR(IF(0=LEN(ReferenceData!$BF$345),"",ReferenceData!$BF$345),"")</f>
        <v/>
      </c>
      <c r="BG345" t="str">
        <f ca="1">IFERROR(IF(0=LEN(ReferenceData!$BG$345),"",ReferenceData!$BG$345),"")</f>
        <v/>
      </c>
      <c r="BH345" t="str">
        <f ca="1">IFERROR(IF(0=LEN(ReferenceData!$BH$345),"",ReferenceData!$BH$345),"")</f>
        <v/>
      </c>
      <c r="BI345" t="str">
        <f ca="1">IFERROR(IF(0=LEN(ReferenceData!$BI$345),"",ReferenceData!$BI$345),"")</f>
        <v/>
      </c>
      <c r="BJ345" t="str">
        <f ca="1">IFERROR(IF(0=LEN(ReferenceData!$BJ$345),"",ReferenceData!$BJ$345),"")</f>
        <v/>
      </c>
      <c r="BK345" t="str">
        <f ca="1">IFERROR(IF(0=LEN(ReferenceData!$BK$345),"",ReferenceData!$BK$345),"")</f>
        <v/>
      </c>
      <c r="BL345" t="str">
        <f ca="1">IFERROR(IF(0=LEN(ReferenceData!$BL$345),"",ReferenceData!$BL$345),"")</f>
        <v/>
      </c>
      <c r="BM345" t="str">
        <f ca="1">IFERROR(IF(0=LEN(ReferenceData!$BM$345),"",ReferenceData!$BM$345),"")</f>
        <v/>
      </c>
    </row>
    <row r="346" spans="1:65">
      <c r="A346" t="str">
        <f>IFERROR(IF(0=LEN(ReferenceData!$A$346),"",ReferenceData!$A$346),"")</f>
        <v xml:space="preserve">    National Retail Properties Inc</v>
      </c>
      <c r="B346" t="str">
        <f>IFERROR(IF(0=LEN(ReferenceData!$B$346),"",ReferenceData!$B$346),"")</f>
        <v>NNN US Equity</v>
      </c>
      <c r="C346" t="str">
        <f>IFERROR(IF(0=LEN(ReferenceData!$C$346),"",ReferenceData!$C$346),"")</f>
        <v>BS658</v>
      </c>
      <c r="D346" t="str">
        <f>IFERROR(IF(0=LEN(ReferenceData!$D$346),"",ReferenceData!$D$346),"")</f>
        <v>BS_YEAR_1_PRINCIPAL</v>
      </c>
      <c r="E346" t="str">
        <f>IFERROR(IF(0=LEN(ReferenceData!$E$346),"",ReferenceData!$E$346),"")</f>
        <v>动态</v>
      </c>
      <c r="F346" t="str">
        <f ca="1">IFERROR(IF(0=LEN(ReferenceData!$F$346),"",ReferenceData!$F$346),"")</f>
        <v/>
      </c>
      <c r="G346">
        <f ca="1">IFERROR(IF(0=LEN(ReferenceData!$G$346),"",ReferenceData!$G$346),"")</f>
        <v>0.623</v>
      </c>
      <c r="H346">
        <f ca="1">IFERROR(IF(0=LEN(ReferenceData!$H$346),"",ReferenceData!$H$346),"")</f>
        <v>250.14599999999999</v>
      </c>
      <c r="I346">
        <f ca="1">IFERROR(IF(0=LEN(ReferenceData!$I$346),"",ReferenceData!$I$346),"")</f>
        <v>250.26499999999999</v>
      </c>
      <c r="J346">
        <f ca="1">IFERROR(IF(0=LEN(ReferenceData!$J$346),"",ReferenceData!$J$346),"")</f>
        <v>250.38300000000001</v>
      </c>
      <c r="K346">
        <f ca="1">IFERROR(IF(0=LEN(ReferenceData!$K$346),"",ReferenceData!$K$346),"")</f>
        <v>250.50299999999999</v>
      </c>
      <c r="L346">
        <f ca="1">IFERROR(IF(0=LEN(ReferenceData!$L$346),"",ReferenceData!$L$346),"")</f>
        <v>0.16</v>
      </c>
      <c r="M346">
        <f ca="1">IFERROR(IF(0=LEN(ReferenceData!$M$346),"",ReferenceData!$M$346),"")</f>
        <v>0.33200000000000002</v>
      </c>
      <c r="N346">
        <f ca="1">IFERROR(IF(0=LEN(ReferenceData!$N$346),"",ReferenceData!$N$346),"")</f>
        <v>0.502</v>
      </c>
      <c r="O346">
        <f ca="1">IFERROR(IF(0=LEN(ReferenceData!$O$346),"",ReferenceData!$O$346),"")</f>
        <v>7.3440000000000003</v>
      </c>
      <c r="P346">
        <f ca="1">IFERROR(IF(0=LEN(ReferenceData!$P$346),"",ReferenceData!$P$346),"")</f>
        <v>150.41800000000001</v>
      </c>
      <c r="Q346">
        <f ca="1">IFERROR(IF(0=LEN(ReferenceData!$Q$346),"",ReferenceData!$Q$346),"")</f>
        <v>150.88900000000001</v>
      </c>
      <c r="R346">
        <f ca="1">IFERROR(IF(0=LEN(ReferenceData!$R$346),"",ReferenceData!$R$346),"")</f>
        <v>151.25399999999999</v>
      </c>
      <c r="S346">
        <f ca="1">IFERROR(IF(0=LEN(ReferenceData!$S$346),"",ReferenceData!$S$346),"")</f>
        <v>151.822</v>
      </c>
      <c r="T346">
        <f ca="1">IFERROR(IF(0=LEN(ReferenceData!$T$346),"",ReferenceData!$T$346),"")</f>
        <v>0.31900000000000001</v>
      </c>
      <c r="U346">
        <f ca="1">IFERROR(IF(0=LEN(ReferenceData!$U$346),"",ReferenceData!$U$346),"")</f>
        <v>0.57499999999999996</v>
      </c>
      <c r="V346">
        <f ca="1">IFERROR(IF(0=LEN(ReferenceData!$V$346),"",ReferenceData!$V$346),"")</f>
        <v>150.85300000000001</v>
      </c>
      <c r="W346">
        <f ca="1">IFERROR(IF(0=LEN(ReferenceData!$W$346),"",ReferenceData!$W$346),"")</f>
        <v>151.13300000000001</v>
      </c>
      <c r="X346">
        <f ca="1">IFERROR(IF(0=LEN(ReferenceData!$X$346),"",ReferenceData!$X$346),"")</f>
        <v>0.28899999999999998</v>
      </c>
      <c r="Y346">
        <f ca="1">IFERROR(IF(0=LEN(ReferenceData!$Y$346),"",ReferenceData!$Y$346),"")</f>
        <v>223.517</v>
      </c>
      <c r="Z346">
        <f ca="1">IFERROR(IF(0=LEN(ReferenceData!$Z$346),"",ReferenceData!$Z$346),"")</f>
        <v>222.93799999999999</v>
      </c>
      <c r="AA346">
        <f ca="1">IFERROR(IF(0=LEN(ReferenceData!$AA$346),"",ReferenceData!$AA$346),"")</f>
        <v>237.62700000000001</v>
      </c>
      <c r="AB346">
        <f ca="1">IFERROR(IF(0=LEN(ReferenceData!$AB$346),"",ReferenceData!$AB$346),"")</f>
        <v>0.27</v>
      </c>
      <c r="AC346">
        <f ca="1">IFERROR(IF(0=LEN(ReferenceData!$AC$346),"",ReferenceData!$AC$346),"")</f>
        <v>18.739000000000001</v>
      </c>
      <c r="AD346">
        <f ca="1">IFERROR(IF(0=LEN(ReferenceData!$AD$346),"",ReferenceData!$AD$346),"")</f>
        <v>68.995000000000005</v>
      </c>
      <c r="AE346">
        <f ca="1">IFERROR(IF(0=LEN(ReferenceData!$AE$346),"",ReferenceData!$AE$346),"")</f>
        <v>69.272999999999996</v>
      </c>
      <c r="AF346">
        <f ca="1">IFERROR(IF(0=LEN(ReferenceData!$AF$346),"",ReferenceData!$AF$346),"")</f>
        <v>0.28199999999999997</v>
      </c>
      <c r="AG346">
        <f ca="1">IFERROR(IF(0=LEN(ReferenceData!$AG$346),"",ReferenceData!$AG$346),"")</f>
        <v>138.68600000000001</v>
      </c>
      <c r="AH346">
        <f ca="1">IFERROR(IF(0=LEN(ReferenceData!$AH$346),"",ReferenceData!$AH$346),"")</f>
        <v>138.315</v>
      </c>
      <c r="AI346">
        <f ca="1">IFERROR(IF(0=LEN(ReferenceData!$AI$346),"",ReferenceData!$AI$346),"")</f>
        <v>137.95500000000001</v>
      </c>
      <c r="AJ346">
        <f ca="1">IFERROR(IF(0=LEN(ReferenceData!$AJ$346),"",ReferenceData!$AJ$346),"")</f>
        <v>0.26300000000000001</v>
      </c>
      <c r="AK346">
        <f ca="1">IFERROR(IF(0=LEN(ReferenceData!$AK$346),"",ReferenceData!$AK$346),"")</f>
        <v>25.916</v>
      </c>
      <c r="AL346">
        <f ca="1">IFERROR(IF(0=LEN(ReferenceData!$AL$346),"",ReferenceData!$AL$346),"")</f>
        <v>26.192</v>
      </c>
      <c r="AM346">
        <f ca="1">IFERROR(IF(0=LEN(ReferenceData!$AM$346),"",ReferenceData!$AM$346),"")</f>
        <v>21.009</v>
      </c>
      <c r="AN346">
        <f ca="1">IFERROR(IF(0=LEN(ReferenceData!$AN$346),"",ReferenceData!$AN$346),"")</f>
        <v>0.25900000000000001</v>
      </c>
      <c r="AO346">
        <f ca="1">IFERROR(IF(0=LEN(ReferenceData!$AO$346),"",ReferenceData!$AO$346),"")</f>
        <v>0.50800000000000001</v>
      </c>
      <c r="AP346">
        <f ca="1">IFERROR(IF(0=LEN(ReferenceData!$AP$346),"",ReferenceData!$AP$346),"")</f>
        <v>0.753</v>
      </c>
      <c r="AQ346">
        <f ca="1">IFERROR(IF(0=LEN(ReferenceData!$AQ$346),"",ReferenceData!$AQ$346),"")</f>
        <v>1.0009999999999999</v>
      </c>
      <c r="AR346">
        <f ca="1">IFERROR(IF(0=LEN(ReferenceData!$AR$346),"",ReferenceData!$AR$346),"")</f>
        <v>0.308</v>
      </c>
      <c r="AS346">
        <f ca="1">IFERROR(IF(0=LEN(ReferenceData!$AS$346),"",ReferenceData!$AS$346),"")</f>
        <v>0.60699999999999998</v>
      </c>
      <c r="AT346">
        <f ca="1">IFERROR(IF(0=LEN(ReferenceData!$AT$346),"",ReferenceData!$AT$346),"")</f>
        <v>0.89900000000000002</v>
      </c>
      <c r="AU346">
        <f ca="1">IFERROR(IF(0=LEN(ReferenceData!$AU$346),"",ReferenceData!$AU$346),"")</f>
        <v>113.19</v>
      </c>
      <c r="AV346">
        <f ca="1">IFERROR(IF(0=LEN(ReferenceData!$AV$346),"",ReferenceData!$AV$346),"")</f>
        <v>10.786</v>
      </c>
      <c r="AW346">
        <f ca="1">IFERROR(IF(0=LEN(ReferenceData!$AW$346),"",ReferenceData!$AW$346),"")</f>
        <v>18.010999680000001</v>
      </c>
      <c r="AX346">
        <f ca="1">IFERROR(IF(0=LEN(ReferenceData!$AX$346),"",ReferenceData!$AX$346),"")</f>
        <v>18.462</v>
      </c>
      <c r="AY346">
        <f ca="1">IFERROR(IF(0=LEN(ReferenceData!$AY$346),"",ReferenceData!$AY$346),"")</f>
        <v>20.913000109999999</v>
      </c>
      <c r="AZ346">
        <f ca="1">IFERROR(IF(0=LEN(ReferenceData!$AZ$346),"",ReferenceData!$AZ$346),"")</f>
        <v>2.1890000000000001</v>
      </c>
      <c r="BA346">
        <f ca="1">IFERROR(IF(0=LEN(ReferenceData!$BA$346),"",ReferenceData!$BA$346),"")</f>
        <v>2.6150000100000002</v>
      </c>
      <c r="BB346">
        <f ca="1">IFERROR(IF(0=LEN(ReferenceData!$BB$346),"",ReferenceData!$BB$346),"")</f>
        <v>5.0339999999999998</v>
      </c>
      <c r="BC346">
        <f ca="1">IFERROR(IF(0=LEN(ReferenceData!$BC$346),"",ReferenceData!$BC$346),"")</f>
        <v>23.990999219999999</v>
      </c>
      <c r="BD346">
        <f ca="1">IFERROR(IF(0=LEN(ReferenceData!$BD$346),"",ReferenceData!$BD$346),"")</f>
        <v>2.6600000860000002</v>
      </c>
      <c r="BE346">
        <f ca="1">IFERROR(IF(0=LEN(ReferenceData!$BE$346),"",ReferenceData!$BE$346),"")</f>
        <v>3.7300000190000002</v>
      </c>
      <c r="BF346">
        <f ca="1">IFERROR(IF(0=LEN(ReferenceData!$BF$346),"",ReferenceData!$BF$346),"")</f>
        <v>4.07</v>
      </c>
      <c r="BG346">
        <f ca="1">IFERROR(IF(0=LEN(ReferenceData!$BG$346),"",ReferenceData!$BG$346),"")</f>
        <v>4.07</v>
      </c>
      <c r="BH346" t="str">
        <f ca="1">IFERROR(IF(0=LEN(ReferenceData!$BH$346),"",ReferenceData!$BH$346),"")</f>
        <v/>
      </c>
      <c r="BI346">
        <f ca="1">IFERROR(IF(0=LEN(ReferenceData!$BI$346),"",ReferenceData!$BI$346),"")</f>
        <v>22.103000000000002</v>
      </c>
      <c r="BJ346" t="str">
        <f ca="1">IFERROR(IF(0=LEN(ReferenceData!$BJ$346),"",ReferenceData!$BJ$346),"")</f>
        <v/>
      </c>
      <c r="BK346">
        <f ca="1">IFERROR(IF(0=LEN(ReferenceData!$BK$346),"",ReferenceData!$BK$346),"")</f>
        <v>123.158</v>
      </c>
      <c r="BL346" t="str">
        <f ca="1">IFERROR(IF(0=LEN(ReferenceData!$BL$346),"",ReferenceData!$BL$346),"")</f>
        <v/>
      </c>
      <c r="BM346" t="str">
        <f ca="1">IFERROR(IF(0=LEN(ReferenceData!$BM$346),"",ReferenceData!$BM$346),"")</f>
        <v/>
      </c>
    </row>
    <row r="347" spans="1:65">
      <c r="A347" t="str">
        <f>IFERROR(IF(0=LEN(ReferenceData!$A$347),"",ReferenceData!$A$347),"")</f>
        <v xml:space="preserve">    Realty Income Corp</v>
      </c>
      <c r="B347" t="str">
        <f>IFERROR(IF(0=LEN(ReferenceData!$B$347),"",ReferenceData!$B$347),"")</f>
        <v>O US Equity</v>
      </c>
      <c r="C347" t="str">
        <f>IFERROR(IF(0=LEN(ReferenceData!$C$347),"",ReferenceData!$C$347),"")</f>
        <v>BS658</v>
      </c>
      <c r="D347" t="str">
        <f>IFERROR(IF(0=LEN(ReferenceData!$D$347),"",ReferenceData!$D$347),"")</f>
        <v>BS_YEAR_1_PRINCIPAL</v>
      </c>
      <c r="E347" t="str">
        <f>IFERROR(IF(0=LEN(ReferenceData!$E$347),"",ReferenceData!$E$347),"")</f>
        <v>动态</v>
      </c>
      <c r="F347" t="str">
        <f ca="1">IFERROR(IF(0=LEN(ReferenceData!$F$347),"",ReferenceData!$F$347),"")</f>
        <v/>
      </c>
      <c r="G347">
        <f ca="1">IFERROR(IF(0=LEN(ReferenceData!$G$347),"",ReferenceData!$G$347),"")</f>
        <v>567.79999999999995</v>
      </c>
      <c r="H347">
        <f ca="1">IFERROR(IF(0=LEN(ReferenceData!$H$347),"",ReferenceData!$H$347),"")</f>
        <v>1.3</v>
      </c>
      <c r="I347">
        <f ca="1">IFERROR(IF(0=LEN(ReferenceData!$I$347),"",ReferenceData!$I$347),"")</f>
        <v>213.3</v>
      </c>
      <c r="J347">
        <f ca="1">IFERROR(IF(0=LEN(ReferenceData!$J$347),"",ReferenceData!$J$347),"")</f>
        <v>276.10000000000002</v>
      </c>
      <c r="K347">
        <f ca="1">IFERROR(IF(0=LEN(ReferenceData!$K$347),"",ReferenceData!$K$347),"")</f>
        <v>278.2</v>
      </c>
      <c r="L347">
        <f ca="1">IFERROR(IF(0=LEN(ReferenceData!$L$347),"",ReferenceData!$L$347),"")</f>
        <v>36.299999999999997</v>
      </c>
      <c r="M347">
        <f ca="1">IFERROR(IF(0=LEN(ReferenceData!$M$347),"",ReferenceData!$M$347),"")</f>
        <v>279.8</v>
      </c>
      <c r="N347">
        <f ca="1">IFERROR(IF(0=LEN(ReferenceData!$N$347),"",ReferenceData!$N$347),"")</f>
        <v>296.7</v>
      </c>
      <c r="O347">
        <f ca="1">IFERROR(IF(0=LEN(ReferenceData!$O$347),"",ReferenceData!$O$347),"")</f>
        <v>445.1</v>
      </c>
      <c r="P347">
        <f ca="1">IFERROR(IF(0=LEN(ReferenceData!$P$347),"",ReferenceData!$P$347),"")</f>
        <v>151.9</v>
      </c>
      <c r="Q347">
        <f ca="1">IFERROR(IF(0=LEN(ReferenceData!$Q$347),"",ReferenceData!$Q$347),"")</f>
        <v>190.4</v>
      </c>
      <c r="R347">
        <f ca="1">IFERROR(IF(0=LEN(ReferenceData!$R$347),"",ReferenceData!$R$347),"")</f>
        <v>218.4</v>
      </c>
      <c r="S347">
        <f ca="1">IFERROR(IF(0=LEN(ReferenceData!$S$347),"",ReferenceData!$S$347),"")</f>
        <v>119.85</v>
      </c>
      <c r="T347">
        <f ca="1">IFERROR(IF(0=LEN(ReferenceData!$T$347),"",ReferenceData!$T$347),"")</f>
        <v>7.6</v>
      </c>
      <c r="U347">
        <f ca="1">IFERROR(IF(0=LEN(ReferenceData!$U$347),"",ReferenceData!$U$347),"")</f>
        <v>57.4</v>
      </c>
      <c r="V347">
        <f ca="1">IFERROR(IF(0=LEN(ReferenceData!$V$347),"",ReferenceData!$V$347),"")</f>
        <v>48.1</v>
      </c>
      <c r="W347">
        <f ca="1">IFERROR(IF(0=LEN(ReferenceData!$W$347),"",ReferenceData!$W$347),"")</f>
        <v>0</v>
      </c>
      <c r="X347">
        <f ca="1">IFERROR(IF(0=LEN(ReferenceData!$X$347),"",ReferenceData!$X$347),"")</f>
        <v>10.7</v>
      </c>
      <c r="Y347">
        <f ca="1">IFERROR(IF(0=LEN(ReferenceData!$Y$347),"",ReferenceData!$Y$347),"")</f>
        <v>0</v>
      </c>
      <c r="Z347">
        <f ca="1">IFERROR(IF(0=LEN(ReferenceData!$Z$347),"",ReferenceData!$Z$347),"")</f>
        <v>24.8</v>
      </c>
      <c r="AA347">
        <f ca="1">IFERROR(IF(0=LEN(ReferenceData!$AA$347),"",ReferenceData!$AA$347),"")</f>
        <v>100</v>
      </c>
      <c r="AB347">
        <f ca="1">IFERROR(IF(0=LEN(ReferenceData!$AB$347),"",ReferenceData!$AB$347),"")</f>
        <v>0.5</v>
      </c>
      <c r="AC347">
        <f ca="1">IFERROR(IF(0=LEN(ReferenceData!$AC$347),"",ReferenceData!$AC$347),"")</f>
        <v>0</v>
      </c>
      <c r="AD347">
        <f ca="1">IFERROR(IF(0=LEN(ReferenceData!$AD$347),"",ReferenceData!$AD$347),"")</f>
        <v>0.4</v>
      </c>
      <c r="AE347">
        <f ca="1">IFERROR(IF(0=LEN(ReferenceData!$AE$347),"",ReferenceData!$AE$347),"")</f>
        <v>11.3</v>
      </c>
      <c r="AF347">
        <f ca="1">IFERROR(IF(0=LEN(ReferenceData!$AF$347),"",ReferenceData!$AF$347),"")</f>
        <v>0.2</v>
      </c>
      <c r="AG347">
        <f ca="1">IFERROR(IF(0=LEN(ReferenceData!$AG$347),"",ReferenceData!$AG$347),"")</f>
        <v>0</v>
      </c>
      <c r="AH347">
        <f ca="1">IFERROR(IF(0=LEN(ReferenceData!$AH$347),"",ReferenceData!$AH$347),"")</f>
        <v>0</v>
      </c>
      <c r="AI347">
        <f ca="1">IFERROR(IF(0=LEN(ReferenceData!$AI$347),"",ReferenceData!$AI$347),"")</f>
        <v>0</v>
      </c>
      <c r="AJ347">
        <f ca="1">IFERROR(IF(0=LEN(ReferenceData!$AJ$347),"",ReferenceData!$AJ$347),"")</f>
        <v>0</v>
      </c>
      <c r="AK347">
        <f ca="1">IFERROR(IF(0=LEN(ReferenceData!$AK$347),"",ReferenceData!$AK$347),"")</f>
        <v>0</v>
      </c>
      <c r="AL347">
        <f ca="1">IFERROR(IF(0=LEN(ReferenceData!$AL$347),"",ReferenceData!$AL$347),"")</f>
        <v>0</v>
      </c>
      <c r="AM347">
        <f ca="1">IFERROR(IF(0=LEN(ReferenceData!$AM$347),"",ReferenceData!$AM$347),"")</f>
        <v>82.4</v>
      </c>
      <c r="AN347">
        <f ca="1">IFERROR(IF(0=LEN(ReferenceData!$AN$347),"",ReferenceData!$AN$347),"")</f>
        <v>0</v>
      </c>
      <c r="AO347">
        <f ca="1">IFERROR(IF(0=LEN(ReferenceData!$AO$347),"",ReferenceData!$AO$347),"")</f>
        <v>0</v>
      </c>
      <c r="AP347">
        <f ca="1">IFERROR(IF(0=LEN(ReferenceData!$AP$347),"",ReferenceData!$AP$347),"")</f>
        <v>0</v>
      </c>
      <c r="AQ347">
        <f ca="1">IFERROR(IF(0=LEN(ReferenceData!$AQ$347),"",ReferenceData!$AQ$347),"")</f>
        <v>20</v>
      </c>
      <c r="AR347">
        <f ca="1">IFERROR(IF(0=LEN(ReferenceData!$AR$347),"",ReferenceData!$AR$347),"")</f>
        <v>100</v>
      </c>
      <c r="AS347">
        <f ca="1">IFERROR(IF(0=LEN(ReferenceData!$AS$347),"",ReferenceData!$AS$347),"")</f>
        <v>100</v>
      </c>
      <c r="AT347">
        <f ca="1">IFERROR(IF(0=LEN(ReferenceData!$AT$347),"",ReferenceData!$AT$347),"")</f>
        <v>100</v>
      </c>
      <c r="AU347">
        <f ca="1">IFERROR(IF(0=LEN(ReferenceData!$AU$347),"",ReferenceData!$AU$347),"")</f>
        <v>100</v>
      </c>
      <c r="AV347" t="str">
        <f ca="1">IFERROR(IF(0=LEN(ReferenceData!$AV$347),"",ReferenceData!$AV$347),"")</f>
        <v/>
      </c>
      <c r="AW347" t="str">
        <f ca="1">IFERROR(IF(0=LEN(ReferenceData!$AW$347),"",ReferenceData!$AW$347),"")</f>
        <v/>
      </c>
      <c r="AX347">
        <f ca="1">IFERROR(IF(0=LEN(ReferenceData!$AX$347),"",ReferenceData!$AX$347),"")</f>
        <v>63.7</v>
      </c>
      <c r="AY347">
        <f ca="1">IFERROR(IF(0=LEN(ReferenceData!$AY$347),"",ReferenceData!$AY$347),"")</f>
        <v>72.3</v>
      </c>
      <c r="AZ347">
        <f ca="1">IFERROR(IF(0=LEN(ReferenceData!$AZ$347),"",ReferenceData!$AZ$347),"")</f>
        <v>40.1</v>
      </c>
      <c r="BA347" t="str">
        <f ca="1">IFERROR(IF(0=LEN(ReferenceData!$BA$347),"",ReferenceData!$BA$347),"")</f>
        <v/>
      </c>
      <c r="BB347">
        <f ca="1">IFERROR(IF(0=LEN(ReferenceData!$BB$347),"",ReferenceData!$BB$347),"")</f>
        <v>72.400000000000006</v>
      </c>
      <c r="BC347">
        <f ca="1">IFERROR(IF(0=LEN(ReferenceData!$BC$347),"",ReferenceData!$BC$347),"")</f>
        <v>72.3</v>
      </c>
      <c r="BD347" t="str">
        <f ca="1">IFERROR(IF(0=LEN(ReferenceData!$BD$347),"",ReferenceData!$BD$347),"")</f>
        <v/>
      </c>
      <c r="BE347" t="str">
        <f ca="1">IFERROR(IF(0=LEN(ReferenceData!$BE$347),"",ReferenceData!$BE$347),"")</f>
        <v/>
      </c>
      <c r="BF347" t="str">
        <f ca="1">IFERROR(IF(0=LEN(ReferenceData!$BF$347),"",ReferenceData!$BF$347),"")</f>
        <v/>
      </c>
      <c r="BG347" t="str">
        <f ca="1">IFERROR(IF(0=LEN(ReferenceData!$BG$347),"",ReferenceData!$BG$347),"")</f>
        <v/>
      </c>
      <c r="BH347">
        <f ca="1">IFERROR(IF(0=LEN(ReferenceData!$BH$347),"",ReferenceData!$BH$347),"")</f>
        <v>51.5</v>
      </c>
      <c r="BI347">
        <f ca="1">IFERROR(IF(0=LEN(ReferenceData!$BI$347),"",ReferenceData!$BI$347),"")</f>
        <v>10.7</v>
      </c>
      <c r="BJ347" t="str">
        <f ca="1">IFERROR(IF(0=LEN(ReferenceData!$BJ$347),"",ReferenceData!$BJ$347),"")</f>
        <v/>
      </c>
      <c r="BK347" t="str">
        <f ca="1">IFERROR(IF(0=LEN(ReferenceData!$BK$347),"",ReferenceData!$BK$347),"")</f>
        <v/>
      </c>
      <c r="BL347" t="str">
        <f ca="1">IFERROR(IF(0=LEN(ReferenceData!$BL$347),"",ReferenceData!$BL$347),"")</f>
        <v/>
      </c>
      <c r="BM347" t="str">
        <f ca="1">IFERROR(IF(0=LEN(ReferenceData!$BM$347),"",ReferenceData!$BM$347),"")</f>
        <v/>
      </c>
    </row>
    <row r="348" spans="1:65">
      <c r="A348" t="str">
        <f>IFERROR(IF(0=LEN(ReferenceData!$A$348),"",ReferenceData!$A$348),"")</f>
        <v xml:space="preserve">    Regency Centers Corp</v>
      </c>
      <c r="B348" t="str">
        <f>IFERROR(IF(0=LEN(ReferenceData!$B$348),"",ReferenceData!$B$348),"")</f>
        <v>REG US Equity</v>
      </c>
      <c r="C348" t="str">
        <f>IFERROR(IF(0=LEN(ReferenceData!$C$348),"",ReferenceData!$C$348),"")</f>
        <v>BS658</v>
      </c>
      <c r="D348" t="str">
        <f>IFERROR(IF(0=LEN(ReferenceData!$D$348),"",ReferenceData!$D$348),"")</f>
        <v>BS_YEAR_1_PRINCIPAL</v>
      </c>
      <c r="E348" t="str">
        <f>IFERROR(IF(0=LEN(ReferenceData!$E$348),"",ReferenceData!$E$348),"")</f>
        <v>动态</v>
      </c>
      <c r="F348" t="str">
        <f ca="1">IFERROR(IF(0=LEN(ReferenceData!$F$348),"",ReferenceData!$F$348),"")</f>
        <v/>
      </c>
      <c r="G348">
        <f ca="1">IFERROR(IF(0=LEN(ReferenceData!$G$348),"",ReferenceData!$G$348),"")</f>
        <v>122.867</v>
      </c>
      <c r="H348">
        <f ca="1">IFERROR(IF(0=LEN(ReferenceData!$H$348),"",ReferenceData!$H$348),"")</f>
        <v>2.7080000000000002</v>
      </c>
      <c r="I348">
        <f ca="1">IFERROR(IF(0=LEN(ReferenceData!$I$348),"",ReferenceData!$I$348),"")</f>
        <v>5.3719999999999999</v>
      </c>
      <c r="J348">
        <f ca="1">IFERROR(IF(0=LEN(ReferenceData!$J$348),"",ReferenceData!$J$348),"")</f>
        <v>84.334999999999994</v>
      </c>
      <c r="K348">
        <f ca="1">IFERROR(IF(0=LEN(ReferenceData!$K$348),"",ReferenceData!$K$348),"")</f>
        <v>91.617999999999995</v>
      </c>
      <c r="L348">
        <f ca="1">IFERROR(IF(0=LEN(ReferenceData!$L$348),"",ReferenceData!$L$348),"")</f>
        <v>1.4279999999999999</v>
      </c>
      <c r="M348">
        <f ca="1">IFERROR(IF(0=LEN(ReferenceData!$M$348),"",ReferenceData!$M$348),"")</f>
        <v>2.9630000000000001</v>
      </c>
      <c r="N348">
        <f ca="1">IFERROR(IF(0=LEN(ReferenceData!$N$348),"",ReferenceData!$N$348),"")</f>
        <v>18.756</v>
      </c>
      <c r="O348" t="str">
        <f ca="1">IFERROR(IF(0=LEN(ReferenceData!$O$348),"",ReferenceData!$O$348),"")</f>
        <v/>
      </c>
      <c r="P348">
        <f ca="1">IFERROR(IF(0=LEN(ReferenceData!$P$348),"",ReferenceData!$P$348),"")</f>
        <v>2.1269999999999998</v>
      </c>
      <c r="Q348">
        <f ca="1">IFERROR(IF(0=LEN(ReferenceData!$Q$348),"",ReferenceData!$Q$348),"")</f>
        <v>353.31599999999997</v>
      </c>
      <c r="R348">
        <f ca="1">IFERROR(IF(0=LEN(ReferenceData!$R$348),"",ReferenceData!$R$348),"")</f>
        <v>375.11500000000001</v>
      </c>
      <c r="S348">
        <f ca="1">IFERROR(IF(0=LEN(ReferenceData!$S$348),"",ReferenceData!$S$348),"")</f>
        <v>432.483</v>
      </c>
      <c r="T348">
        <f ca="1">IFERROR(IF(0=LEN(ReferenceData!$T$348),"",ReferenceData!$T$348),"")</f>
        <v>1.97</v>
      </c>
      <c r="U348">
        <f ca="1">IFERROR(IF(0=LEN(ReferenceData!$U$348),"",ReferenceData!$U$348),"")</f>
        <v>12.826000000000001</v>
      </c>
      <c r="V348">
        <f ca="1">IFERROR(IF(0=LEN(ReferenceData!$V$348),"",ReferenceData!$V$348),"")</f>
        <v>171.279</v>
      </c>
      <c r="W348">
        <f ca="1">IFERROR(IF(0=LEN(ReferenceData!$W$348),"",ReferenceData!$W$348),"")</f>
        <v>172.63200000000001</v>
      </c>
      <c r="X348">
        <f ca="1">IFERROR(IF(0=LEN(ReferenceData!$X$348),"",ReferenceData!$X$348),"")</f>
        <v>2.0190000000000001</v>
      </c>
      <c r="Y348">
        <f ca="1">IFERROR(IF(0=LEN(ReferenceData!$Y$348),"",ReferenceData!$Y$348),"")</f>
        <v>3.8769999999999998</v>
      </c>
      <c r="Z348">
        <f ca="1">IFERROR(IF(0=LEN(ReferenceData!$Z$348),"",ReferenceData!$Z$348),"")</f>
        <v>22.108000000000001</v>
      </c>
      <c r="AA348">
        <f ca="1">IFERROR(IF(0=LEN(ReferenceData!$AA$348),"",ReferenceData!$AA$348),"")</f>
        <v>24.190999999999999</v>
      </c>
      <c r="AB348">
        <f ca="1">IFERROR(IF(0=LEN(ReferenceData!$AB$348),"",ReferenceData!$AB$348),"")</f>
        <v>2.0219999999999998</v>
      </c>
      <c r="AC348">
        <f ca="1">IFERROR(IF(0=LEN(ReferenceData!$AC$348),"",ReferenceData!$AC$348),"")</f>
        <v>3.883</v>
      </c>
      <c r="AD348">
        <f ca="1">IFERROR(IF(0=LEN(ReferenceData!$AD$348),"",ReferenceData!$AD$348),"")</f>
        <v>5.306</v>
      </c>
      <c r="AE348">
        <f ca="1">IFERROR(IF(0=LEN(ReferenceData!$AE$348),"",ReferenceData!$AE$348),"")</f>
        <v>199.375</v>
      </c>
      <c r="AF348">
        <f ca="1">IFERROR(IF(0=LEN(ReferenceData!$AF$348),"",ReferenceData!$AF$348),"")</f>
        <v>21.757000000000001</v>
      </c>
      <c r="AG348">
        <f ca="1">IFERROR(IF(0=LEN(ReferenceData!$AG$348),"",ReferenceData!$AG$348),"")</f>
        <v>31.675000000000001</v>
      </c>
      <c r="AH348">
        <f ca="1">IFERROR(IF(0=LEN(ReferenceData!$AH$348),"",ReferenceData!$AH$348),"")</f>
        <v>32.247999999999998</v>
      </c>
      <c r="AI348">
        <f ca="1">IFERROR(IF(0=LEN(ReferenceData!$AI$348),"",ReferenceData!$AI$348),"")</f>
        <v>194.31299999999999</v>
      </c>
      <c r="AJ348">
        <f ca="1">IFERROR(IF(0=LEN(ReferenceData!$AJ$348),"",ReferenceData!$AJ$348),"")</f>
        <v>18.739999999999998</v>
      </c>
      <c r="AK348">
        <f ca="1">IFERROR(IF(0=LEN(ReferenceData!$AK$348),"",ReferenceData!$AK$348),"")</f>
        <v>150.38200000000001</v>
      </c>
      <c r="AL348">
        <f ca="1">IFERROR(IF(0=LEN(ReferenceData!$AL$348),"",ReferenceData!$AL$348),"")</f>
        <v>172.72200000000001</v>
      </c>
      <c r="AM348">
        <f ca="1">IFERROR(IF(0=LEN(ReferenceData!$AM$348),"",ReferenceData!$AM$348),"")</f>
        <v>173.97</v>
      </c>
      <c r="AN348">
        <f ca="1">IFERROR(IF(0=LEN(ReferenceData!$AN$348),"",ReferenceData!$AN$348),"")</f>
        <v>6.399</v>
      </c>
      <c r="AO348">
        <f ca="1">IFERROR(IF(0=LEN(ReferenceData!$AO$348),"",ReferenceData!$AO$348),"")</f>
        <v>7.7089999999999996</v>
      </c>
      <c r="AP348">
        <f ca="1">IFERROR(IF(0=LEN(ReferenceData!$AP$348),"",ReferenceData!$AP$348),"")</f>
        <v>59.000999999999998</v>
      </c>
      <c r="AQ348">
        <f ca="1">IFERROR(IF(0=LEN(ReferenceData!$AQ$348),"",ReferenceData!$AQ$348),"")</f>
        <v>62.908999999999999</v>
      </c>
      <c r="AR348">
        <f ca="1">IFERROR(IF(0=LEN(ReferenceData!$AR$348),"",ReferenceData!$AR$348),"")</f>
        <v>1.242</v>
      </c>
      <c r="AS348">
        <f ca="1">IFERROR(IF(0=LEN(ReferenceData!$AS$348),"",ReferenceData!$AS$348),"")</f>
        <v>21.712</v>
      </c>
      <c r="AT348">
        <f ca="1">IFERROR(IF(0=LEN(ReferenceData!$AT$348),"",ReferenceData!$AT$348),"")</f>
        <v>23.573</v>
      </c>
      <c r="AU348">
        <f ca="1">IFERROR(IF(0=LEN(ReferenceData!$AU$348),"",ReferenceData!$AU$348),"")</f>
        <v>23.672000000000001</v>
      </c>
      <c r="AV348">
        <f ca="1">IFERROR(IF(0=LEN(ReferenceData!$AV$348),"",ReferenceData!$AV$348),"")</f>
        <v>37.470999999999997</v>
      </c>
      <c r="AW348">
        <f ca="1">IFERROR(IF(0=LEN(ReferenceData!$AW$348),"",ReferenceData!$AW$348),"")</f>
        <v>38.298000000000002</v>
      </c>
      <c r="AX348">
        <f ca="1">IFERROR(IF(0=LEN(ReferenceData!$AX$348),"",ReferenceData!$AX$348),"")</f>
        <v>80.289000000000001</v>
      </c>
      <c r="AY348">
        <f ca="1">IFERROR(IF(0=LEN(ReferenceData!$AY$348),"",ReferenceData!$AY$348),"")</f>
        <v>216.63900000000001</v>
      </c>
      <c r="AZ348">
        <f ca="1">IFERROR(IF(0=LEN(ReferenceData!$AZ$348),"",ReferenceData!$AZ$348),"")</f>
        <v>263.58499999999998</v>
      </c>
      <c r="BA348">
        <f ca="1">IFERROR(IF(0=LEN(ReferenceData!$BA$348),"",ReferenceData!$BA$348),"")</f>
        <v>214.143</v>
      </c>
      <c r="BB348">
        <f ca="1">IFERROR(IF(0=LEN(ReferenceData!$BB$348),"",ReferenceData!$BB$348),"")</f>
        <v>225.232</v>
      </c>
      <c r="BC348" t="str">
        <f ca="1">IFERROR(IF(0=LEN(ReferenceData!$BC$348),"",ReferenceData!$BC$348),"")</f>
        <v/>
      </c>
      <c r="BD348">
        <f ca="1">IFERROR(IF(0=LEN(ReferenceData!$BD$348),"",ReferenceData!$BD$348),"")</f>
        <v>2.0059999999999998</v>
      </c>
      <c r="BE348">
        <f ca="1">IFERROR(IF(0=LEN(ReferenceData!$BE$348),"",ReferenceData!$BE$348),"")</f>
        <v>157.28700000000001</v>
      </c>
      <c r="BF348" t="str">
        <f ca="1">IFERROR(IF(0=LEN(ReferenceData!$BF$348),"",ReferenceData!$BF$348),"")</f>
        <v/>
      </c>
      <c r="BG348" t="str">
        <f ca="1">IFERROR(IF(0=LEN(ReferenceData!$BG$348),"",ReferenceData!$BG$348),"")</f>
        <v/>
      </c>
      <c r="BH348" t="str">
        <f ca="1">IFERROR(IF(0=LEN(ReferenceData!$BH$348),"",ReferenceData!$BH$348),"")</f>
        <v/>
      </c>
      <c r="BI348" t="str">
        <f ca="1">IFERROR(IF(0=LEN(ReferenceData!$BI$348),"",ReferenceData!$BI$348),"")</f>
        <v/>
      </c>
      <c r="BJ348" t="str">
        <f ca="1">IFERROR(IF(0=LEN(ReferenceData!$BJ$348),"",ReferenceData!$BJ$348),"")</f>
        <v/>
      </c>
      <c r="BK348" t="str">
        <f ca="1">IFERROR(IF(0=LEN(ReferenceData!$BK$348),"",ReferenceData!$BK$348),"")</f>
        <v/>
      </c>
      <c r="BL348" t="str">
        <f ca="1">IFERROR(IF(0=LEN(ReferenceData!$BL$348),"",ReferenceData!$BL$348),"")</f>
        <v/>
      </c>
      <c r="BM348" t="str">
        <f ca="1">IFERROR(IF(0=LEN(ReferenceData!$BM$348),"",ReferenceData!$BM$348),"")</f>
        <v/>
      </c>
    </row>
    <row r="349" spans="1:65">
      <c r="A349" t="str">
        <f>IFERROR(IF(0=LEN(ReferenceData!$A$349),"",ReferenceData!$A$349),"")</f>
        <v xml:space="preserve">    Retail Opportunity Investments</v>
      </c>
      <c r="B349" t="str">
        <f>IFERROR(IF(0=LEN(ReferenceData!$B$349),"",ReferenceData!$B$349),"")</f>
        <v>ROIC US Equity</v>
      </c>
      <c r="C349" t="str">
        <f>IFERROR(IF(0=LEN(ReferenceData!$C$349),"",ReferenceData!$C$349),"")</f>
        <v>BS658</v>
      </c>
      <c r="D349" t="str">
        <f>IFERROR(IF(0=LEN(ReferenceData!$D$349),"",ReferenceData!$D$349),"")</f>
        <v>BS_YEAR_1_PRINCIPAL</v>
      </c>
      <c r="E349" t="str">
        <f>IFERROR(IF(0=LEN(ReferenceData!$E$349),"",ReferenceData!$E$349),"")</f>
        <v>动态</v>
      </c>
      <c r="F349" t="str">
        <f ca="1">IFERROR(IF(0=LEN(ReferenceData!$F$349),"",ReferenceData!$F$349),"")</f>
        <v/>
      </c>
      <c r="G349">
        <f ca="1">IFERROR(IF(0=LEN(ReferenceData!$G$349),"",ReferenceData!$G$349),"")</f>
        <v>19.611999999999998</v>
      </c>
      <c r="H349">
        <f ca="1">IFERROR(IF(0=LEN(ReferenceData!$H$349),"",ReferenceData!$H$349),"")</f>
        <v>0.14699999999999999</v>
      </c>
      <c r="I349">
        <f ca="1">IFERROR(IF(0=LEN(ReferenceData!$I$349),"",ReferenceData!$I$349),"")</f>
        <v>0.28999999999999998</v>
      </c>
      <c r="J349">
        <f ca="1">IFERROR(IF(0=LEN(ReferenceData!$J$349),"",ReferenceData!$J$349),"")</f>
        <v>8.5990000000000002</v>
      </c>
      <c r="K349">
        <f ca="1">IFERROR(IF(0=LEN(ReferenceData!$K$349),"",ReferenceData!$K$349),"")</f>
        <v>9.3800000000000008</v>
      </c>
      <c r="L349">
        <f ca="1">IFERROR(IF(0=LEN(ReferenceData!$L$349),"",ReferenceData!$L$349),"")</f>
        <v>0.188</v>
      </c>
      <c r="M349">
        <f ca="1">IFERROR(IF(0=LEN(ReferenceData!$M$349),"",ReferenceData!$M$349),"")</f>
        <v>0.37</v>
      </c>
      <c r="N349">
        <f ca="1">IFERROR(IF(0=LEN(ReferenceData!$N$349),"",ReferenceData!$N$349),"")</f>
        <v>7.6879999999999997</v>
      </c>
      <c r="O349" t="str">
        <f ca="1">IFERROR(IF(0=LEN(ReferenceData!$O$349),"",ReferenceData!$O$349),"")</f>
        <v/>
      </c>
      <c r="P349">
        <f ca="1">IFERROR(IF(0=LEN(ReferenceData!$P$349),"",ReferenceData!$P$349),"")</f>
        <v>0.128</v>
      </c>
      <c r="Q349">
        <f ca="1">IFERROR(IF(0=LEN(ReferenceData!$Q$349),"",ReferenceData!$Q$349),"")</f>
        <v>48.399000000000001</v>
      </c>
      <c r="R349">
        <f ca="1">IFERROR(IF(0=LEN(ReferenceData!$R$349),"",ReferenceData!$R$349),"")</f>
        <v>64.869</v>
      </c>
      <c r="S349">
        <f ca="1">IFERROR(IF(0=LEN(ReferenceData!$S$349),"",ReferenceData!$S$349),"")</f>
        <v>67.080858000000006</v>
      </c>
      <c r="T349">
        <f ca="1">IFERROR(IF(0=LEN(ReferenceData!$T$349),"",ReferenceData!$T$349),"")</f>
        <v>0.47499999999999998</v>
      </c>
      <c r="U349">
        <f ca="1">IFERROR(IF(0=LEN(ReferenceData!$U$349),"",ReferenceData!$U$349),"")</f>
        <v>9.01</v>
      </c>
      <c r="V349">
        <f ca="1">IFERROR(IF(0=LEN(ReferenceData!$V$349),"",ReferenceData!$V$349),"")</f>
        <v>9.5021000000000004</v>
      </c>
      <c r="W349">
        <f ca="1">IFERROR(IF(0=LEN(ReferenceData!$W$349),"",ReferenceData!$W$349),"")</f>
        <v>12.741263</v>
      </c>
      <c r="X349">
        <f ca="1">IFERROR(IF(0=LEN(ReferenceData!$X$349),"",ReferenceData!$X$349),"")</f>
        <v>2.3185739999999999</v>
      </c>
      <c r="Y349">
        <f ca="1">IFERROR(IF(0=LEN(ReferenceData!$Y$349),"",ReferenceData!$Y$349),"")</f>
        <v>0.71948999999999996</v>
      </c>
      <c r="Z349">
        <f ca="1">IFERROR(IF(0=LEN(ReferenceData!$Z$349),"",ReferenceData!$Z$349),"")</f>
        <v>1.066797</v>
      </c>
      <c r="AA349">
        <f ca="1">IFERROR(IF(0=LEN(ReferenceData!$AA$349),"",ReferenceData!$AA$349),"")</f>
        <v>2.2717139999999998</v>
      </c>
      <c r="AB349">
        <f ca="1">IFERROR(IF(0=LEN(ReferenceData!$AB$349),"",ReferenceData!$AB$349),"")</f>
        <v>0.205814</v>
      </c>
      <c r="AC349">
        <f ca="1">IFERROR(IF(0=LEN(ReferenceData!$AC$349),"",ReferenceData!$AC$349),"")</f>
        <v>0</v>
      </c>
      <c r="AD349">
        <f ca="1">IFERROR(IF(0=LEN(ReferenceData!$AD$349),"",ReferenceData!$AD$349),"")</f>
        <v>7.5799110000000001</v>
      </c>
      <c r="AE349">
        <f ca="1">IFERROR(IF(0=LEN(ReferenceData!$AE$349),"",ReferenceData!$AE$349),"")</f>
        <v>7.7125570000000003</v>
      </c>
      <c r="AF349">
        <f ca="1">IFERROR(IF(0=LEN(ReferenceData!$AF$349),"",ReferenceData!$AF$349),"")</f>
        <v>0.277723</v>
      </c>
      <c r="AG349">
        <f ca="1">IFERROR(IF(0=LEN(ReferenceData!$AG$349),"",ReferenceData!$AG$349),"")</f>
        <v>11.746081</v>
      </c>
      <c r="AH349">
        <f ca="1">IFERROR(IF(0=LEN(ReferenceData!$AH$349),"",ReferenceData!$AH$349),"")</f>
        <v>11.926487</v>
      </c>
      <c r="AI349">
        <f ca="1">IFERROR(IF(0=LEN(ReferenceData!$AI$349),"",ReferenceData!$AI$349),"")</f>
        <v>12.102986</v>
      </c>
      <c r="AJ349" t="str">
        <f ca="1">IFERROR(IF(0=LEN(ReferenceData!$AJ$349),"",ReferenceData!$AJ$349),"")</f>
        <v/>
      </c>
      <c r="AK349" t="str">
        <f ca="1">IFERROR(IF(0=LEN(ReferenceData!$AK$349),"",ReferenceData!$AK$349),"")</f>
        <v/>
      </c>
      <c r="AL349" t="str">
        <f ca="1">IFERROR(IF(0=LEN(ReferenceData!$AL$349),"",ReferenceData!$AL$349),"")</f>
        <v/>
      </c>
      <c r="AM349" t="str">
        <f ca="1">IFERROR(IF(0=LEN(ReferenceData!$AM$349),"",ReferenceData!$AM$349),"")</f>
        <v/>
      </c>
      <c r="AN349" t="str">
        <f ca="1">IFERROR(IF(0=LEN(ReferenceData!$AN$349),"",ReferenceData!$AN$349),"")</f>
        <v/>
      </c>
      <c r="AO349" t="str">
        <f ca="1">IFERROR(IF(0=LEN(ReferenceData!$AO$349),"",ReferenceData!$AO$349),"")</f>
        <v/>
      </c>
      <c r="AP349" t="str">
        <f ca="1">IFERROR(IF(0=LEN(ReferenceData!$AP$349),"",ReferenceData!$AP$349),"")</f>
        <v/>
      </c>
      <c r="AQ349" t="str">
        <f ca="1">IFERROR(IF(0=LEN(ReferenceData!$AQ$349),"",ReferenceData!$AQ$349),"")</f>
        <v/>
      </c>
      <c r="AR349" t="str">
        <f ca="1">IFERROR(IF(0=LEN(ReferenceData!$AR$349),"",ReferenceData!$AR$349),"")</f>
        <v/>
      </c>
      <c r="AS349" t="str">
        <f ca="1">IFERROR(IF(0=LEN(ReferenceData!$AS$349),"",ReferenceData!$AS$349),"")</f>
        <v/>
      </c>
      <c r="AT349" t="str">
        <f ca="1">IFERROR(IF(0=LEN(ReferenceData!$AT$349),"",ReferenceData!$AT$349),"")</f>
        <v/>
      </c>
      <c r="AU349" t="str">
        <f ca="1">IFERROR(IF(0=LEN(ReferenceData!$AU$349),"",ReferenceData!$AU$349),"")</f>
        <v/>
      </c>
      <c r="AV349" t="str">
        <f ca="1">IFERROR(IF(0=LEN(ReferenceData!$AV$349),"",ReferenceData!$AV$349),"")</f>
        <v/>
      </c>
      <c r="AW349" t="str">
        <f ca="1">IFERROR(IF(0=LEN(ReferenceData!$AW$349),"",ReferenceData!$AW$349),"")</f>
        <v/>
      </c>
      <c r="AX349" t="str">
        <f ca="1">IFERROR(IF(0=LEN(ReferenceData!$AX$349),"",ReferenceData!$AX$349),"")</f>
        <v/>
      </c>
      <c r="AY349" t="str">
        <f ca="1">IFERROR(IF(0=LEN(ReferenceData!$AY$349),"",ReferenceData!$AY$349),"")</f>
        <v/>
      </c>
      <c r="AZ349" t="str">
        <f ca="1">IFERROR(IF(0=LEN(ReferenceData!$AZ$349),"",ReferenceData!$AZ$349),"")</f>
        <v/>
      </c>
      <c r="BA349" t="str">
        <f ca="1">IFERROR(IF(0=LEN(ReferenceData!$BA$349),"",ReferenceData!$BA$349),"")</f>
        <v/>
      </c>
      <c r="BB349" t="str">
        <f ca="1">IFERROR(IF(0=LEN(ReferenceData!$BB$349),"",ReferenceData!$BB$349),"")</f>
        <v/>
      </c>
      <c r="BC349" t="str">
        <f ca="1">IFERROR(IF(0=LEN(ReferenceData!$BC$349),"",ReferenceData!$BC$349),"")</f>
        <v/>
      </c>
      <c r="BD349" t="str">
        <f ca="1">IFERROR(IF(0=LEN(ReferenceData!$BD$349),"",ReferenceData!$BD$349),"")</f>
        <v/>
      </c>
      <c r="BE349" t="str">
        <f ca="1">IFERROR(IF(0=LEN(ReferenceData!$BE$349),"",ReferenceData!$BE$349),"")</f>
        <v/>
      </c>
      <c r="BF349" t="str">
        <f ca="1">IFERROR(IF(0=LEN(ReferenceData!$BF$349),"",ReferenceData!$BF$349),"")</f>
        <v/>
      </c>
      <c r="BG349" t="str">
        <f ca="1">IFERROR(IF(0=LEN(ReferenceData!$BG$349),"",ReferenceData!$BG$349),"")</f>
        <v/>
      </c>
      <c r="BH349" t="str">
        <f ca="1">IFERROR(IF(0=LEN(ReferenceData!$BH$349),"",ReferenceData!$BH$349),"")</f>
        <v/>
      </c>
      <c r="BI349" t="str">
        <f ca="1">IFERROR(IF(0=LEN(ReferenceData!$BI$349),"",ReferenceData!$BI$349),"")</f>
        <v/>
      </c>
      <c r="BJ349" t="str">
        <f ca="1">IFERROR(IF(0=LEN(ReferenceData!$BJ$349),"",ReferenceData!$BJ$349),"")</f>
        <v/>
      </c>
      <c r="BK349" t="str">
        <f ca="1">IFERROR(IF(0=LEN(ReferenceData!$BK$349),"",ReferenceData!$BK$349),"")</f>
        <v/>
      </c>
      <c r="BL349" t="str">
        <f ca="1">IFERROR(IF(0=LEN(ReferenceData!$BL$349),"",ReferenceData!$BL$349),"")</f>
        <v/>
      </c>
      <c r="BM349" t="str">
        <f ca="1">IFERROR(IF(0=LEN(ReferenceData!$BM$349),"",ReferenceData!$BM$349),"")</f>
        <v/>
      </c>
    </row>
    <row r="350" spans="1:65">
      <c r="A350" t="str">
        <f>IFERROR(IF(0=LEN(ReferenceData!$A$350),"",ReferenceData!$A$350),"")</f>
        <v xml:space="preserve">    Retail Properties of America I</v>
      </c>
      <c r="B350" t="str">
        <f>IFERROR(IF(0=LEN(ReferenceData!$B$350),"",ReferenceData!$B$350),"")</f>
        <v>RPAI US Equity</v>
      </c>
      <c r="C350" t="str">
        <f>IFERROR(IF(0=LEN(ReferenceData!$C$350),"",ReferenceData!$C$350),"")</f>
        <v>BS658</v>
      </c>
      <c r="D350" t="str">
        <f>IFERROR(IF(0=LEN(ReferenceData!$D$350),"",ReferenceData!$D$350),"")</f>
        <v>BS_YEAR_1_PRINCIPAL</v>
      </c>
      <c r="E350" t="str">
        <f>IFERROR(IF(0=LEN(ReferenceData!$E$350),"",ReferenceData!$E$350),"")</f>
        <v>动态</v>
      </c>
      <c r="F350" t="str">
        <f ca="1">IFERROR(IF(0=LEN(ReferenceData!$F$350),"",ReferenceData!$F$350),"")</f>
        <v/>
      </c>
      <c r="G350">
        <f ca="1">IFERROR(IF(0=LEN(ReferenceData!$G$350),"",ReferenceData!$G$350),"")</f>
        <v>104.166</v>
      </c>
      <c r="H350">
        <f ca="1">IFERROR(IF(0=LEN(ReferenceData!$H$350),"",ReferenceData!$H$350),"")</f>
        <v>1.0029999999999999</v>
      </c>
      <c r="I350">
        <f ca="1">IFERROR(IF(0=LEN(ReferenceData!$I$350),"",ReferenceData!$I$350),"")</f>
        <v>27.157</v>
      </c>
      <c r="J350">
        <f ca="1">IFERROR(IF(0=LEN(ReferenceData!$J$350),"",ReferenceData!$J$350),"")</f>
        <v>28.324999999999999</v>
      </c>
      <c r="K350">
        <f ca="1">IFERROR(IF(0=LEN(ReferenceData!$K$350),"",ReferenceData!$K$350),"")</f>
        <v>35.023000000000003</v>
      </c>
      <c r="L350">
        <f ca="1">IFERROR(IF(0=LEN(ReferenceData!$L$350),"",ReferenceData!$L$350),"")</f>
        <v>2.8650000000000002</v>
      </c>
      <c r="M350">
        <f ca="1">IFERROR(IF(0=LEN(ReferenceData!$M$350),"",ReferenceData!$M$350),"")</f>
        <v>35.43</v>
      </c>
      <c r="N350">
        <f ca="1">IFERROR(IF(0=LEN(ReferenceData!$N$350),"",ReferenceData!$N$350),"")</f>
        <v>44.683</v>
      </c>
      <c r="O350">
        <f ca="1">IFERROR(IF(0=LEN(ReferenceData!$O$350),"",ReferenceData!$O$350),"")</f>
        <v>48.875999999999998</v>
      </c>
      <c r="P350">
        <f ca="1">IFERROR(IF(0=LEN(ReferenceData!$P$350),"",ReferenceData!$P$350),"")</f>
        <v>77.754000000000005</v>
      </c>
      <c r="Q350">
        <f ca="1">IFERROR(IF(0=LEN(ReferenceData!$Q$350),"",ReferenceData!$Q$350),"")</f>
        <v>245.32400000000001</v>
      </c>
      <c r="R350">
        <f ca="1">IFERROR(IF(0=LEN(ReferenceData!$R$350),"",ReferenceData!$R$350),"")</f>
        <v>320.35700000000003</v>
      </c>
      <c r="S350">
        <f ca="1">IFERROR(IF(0=LEN(ReferenceData!$S$350),"",ReferenceData!$S$350),"")</f>
        <v>391.55900000000003</v>
      </c>
      <c r="T350">
        <f ca="1">IFERROR(IF(0=LEN(ReferenceData!$T$350),"",ReferenceData!$T$350),"")</f>
        <v>19.125</v>
      </c>
      <c r="U350">
        <f ca="1">IFERROR(IF(0=LEN(ReferenceData!$U$350),"",ReferenceData!$U$350),"")</f>
        <v>23.913</v>
      </c>
      <c r="V350">
        <f ca="1">IFERROR(IF(0=LEN(ReferenceData!$V$350),"",ReferenceData!$V$350),"")</f>
        <v>30.49</v>
      </c>
      <c r="W350">
        <f ca="1">IFERROR(IF(0=LEN(ReferenceData!$W$350),"",ReferenceData!$W$350),"")</f>
        <v>49.825000000000003</v>
      </c>
      <c r="X350">
        <f ca="1">IFERROR(IF(0=LEN(ReferenceData!$X$350),"",ReferenceData!$X$350),"")</f>
        <v>65.478999999999999</v>
      </c>
      <c r="Y350">
        <f ca="1">IFERROR(IF(0=LEN(ReferenceData!$Y$350),"",ReferenceData!$Y$350),"")</f>
        <v>96.81</v>
      </c>
      <c r="Z350">
        <f ca="1">IFERROR(IF(0=LEN(ReferenceData!$Z$350),"",ReferenceData!$Z$350),"")</f>
        <v>204.85300000000001</v>
      </c>
      <c r="AA350">
        <f ca="1">IFERROR(IF(0=LEN(ReferenceData!$AA$350),"",ReferenceData!$AA$350),"")</f>
        <v>236.19399999999999</v>
      </c>
      <c r="AB350">
        <f ca="1">IFERROR(IF(0=LEN(ReferenceData!$AB$350),"",ReferenceData!$AB$350),"")</f>
        <v>62.23</v>
      </c>
      <c r="AC350">
        <f ca="1">IFERROR(IF(0=LEN(ReferenceData!$AC$350),"",ReferenceData!$AC$350),"")</f>
        <v>258.27100000000002</v>
      </c>
      <c r="AD350">
        <f ca="1">IFERROR(IF(0=LEN(ReferenceData!$AD$350),"",ReferenceData!$AD$350),"")</f>
        <v>396.19900000000001</v>
      </c>
      <c r="AE350">
        <f ca="1">IFERROR(IF(0=LEN(ReferenceData!$AE$350),"",ReferenceData!$AE$350),"")</f>
        <v>527.37699999999995</v>
      </c>
      <c r="AF350">
        <f ca="1">IFERROR(IF(0=LEN(ReferenceData!$AF$350),"",ReferenceData!$AF$350),"")</f>
        <v>145.31200000000001</v>
      </c>
      <c r="AG350">
        <f ca="1">IFERROR(IF(0=LEN(ReferenceData!$AG$350),"",ReferenceData!$AG$350),"")</f>
        <v>279.12400000000002</v>
      </c>
      <c r="AH350">
        <f ca="1">IFERROR(IF(0=LEN(ReferenceData!$AH$350),"",ReferenceData!$AH$350),"")</f>
        <v>407.86700000000002</v>
      </c>
      <c r="AI350" t="str">
        <f ca="1">IFERROR(IF(0=LEN(ReferenceData!$AI$350),"",ReferenceData!$AI$350),"")</f>
        <v/>
      </c>
      <c r="AJ350">
        <f ca="1">IFERROR(IF(0=LEN(ReferenceData!$AJ$350),"",ReferenceData!$AJ$350),"")</f>
        <v>312.02999999999997</v>
      </c>
      <c r="AK350" t="str">
        <f ca="1">IFERROR(IF(0=LEN(ReferenceData!$AK$350),"",ReferenceData!$AK$350),"")</f>
        <v/>
      </c>
      <c r="AL350" t="str">
        <f ca="1">IFERROR(IF(0=LEN(ReferenceData!$AL$350),"",ReferenceData!$AL$350),"")</f>
        <v/>
      </c>
      <c r="AM350" t="str">
        <f ca="1">IFERROR(IF(0=LEN(ReferenceData!$AM$350),"",ReferenceData!$AM$350),"")</f>
        <v/>
      </c>
      <c r="AN350" t="str">
        <f ca="1">IFERROR(IF(0=LEN(ReferenceData!$AN$350),"",ReferenceData!$AN$350),"")</f>
        <v/>
      </c>
      <c r="AO350" t="str">
        <f ca="1">IFERROR(IF(0=LEN(ReferenceData!$AO$350),"",ReferenceData!$AO$350),"")</f>
        <v/>
      </c>
      <c r="AP350" t="str">
        <f ca="1">IFERROR(IF(0=LEN(ReferenceData!$AP$350),"",ReferenceData!$AP$350),"")</f>
        <v/>
      </c>
      <c r="AQ350" t="str">
        <f ca="1">IFERROR(IF(0=LEN(ReferenceData!$AQ$350),"",ReferenceData!$AQ$350),"")</f>
        <v/>
      </c>
      <c r="AR350" t="str">
        <f ca="1">IFERROR(IF(0=LEN(ReferenceData!$AR$350),"",ReferenceData!$AR$350),"")</f>
        <v/>
      </c>
      <c r="AS350" t="str">
        <f ca="1">IFERROR(IF(0=LEN(ReferenceData!$AS$350),"",ReferenceData!$AS$350),"")</f>
        <v/>
      </c>
      <c r="AT350" t="str">
        <f ca="1">IFERROR(IF(0=LEN(ReferenceData!$AT$350),"",ReferenceData!$AT$350),"")</f>
        <v/>
      </c>
      <c r="AU350" t="str">
        <f ca="1">IFERROR(IF(0=LEN(ReferenceData!$AU$350),"",ReferenceData!$AU$350),"")</f>
        <v/>
      </c>
      <c r="AV350" t="str">
        <f ca="1">IFERROR(IF(0=LEN(ReferenceData!$AV$350),"",ReferenceData!$AV$350),"")</f>
        <v/>
      </c>
      <c r="AW350" t="str">
        <f ca="1">IFERROR(IF(0=LEN(ReferenceData!$AW$350),"",ReferenceData!$AW$350),"")</f>
        <v/>
      </c>
      <c r="AX350" t="str">
        <f ca="1">IFERROR(IF(0=LEN(ReferenceData!$AX$350),"",ReferenceData!$AX$350),"")</f>
        <v/>
      </c>
      <c r="AY350" t="str">
        <f ca="1">IFERROR(IF(0=LEN(ReferenceData!$AY$350),"",ReferenceData!$AY$350),"")</f>
        <v/>
      </c>
      <c r="AZ350" t="str">
        <f ca="1">IFERROR(IF(0=LEN(ReferenceData!$AZ$350),"",ReferenceData!$AZ$350),"")</f>
        <v/>
      </c>
      <c r="BA350" t="str">
        <f ca="1">IFERROR(IF(0=LEN(ReferenceData!$BA$350),"",ReferenceData!$BA$350),"")</f>
        <v/>
      </c>
      <c r="BB350" t="str">
        <f ca="1">IFERROR(IF(0=LEN(ReferenceData!$BB$350),"",ReferenceData!$BB$350),"")</f>
        <v/>
      </c>
      <c r="BC350" t="str">
        <f ca="1">IFERROR(IF(0=LEN(ReferenceData!$BC$350),"",ReferenceData!$BC$350),"")</f>
        <v/>
      </c>
      <c r="BD350" t="str">
        <f ca="1">IFERROR(IF(0=LEN(ReferenceData!$BD$350),"",ReferenceData!$BD$350),"")</f>
        <v/>
      </c>
      <c r="BE350" t="str">
        <f ca="1">IFERROR(IF(0=LEN(ReferenceData!$BE$350),"",ReferenceData!$BE$350),"")</f>
        <v/>
      </c>
      <c r="BF350" t="str">
        <f ca="1">IFERROR(IF(0=LEN(ReferenceData!$BF$350),"",ReferenceData!$BF$350),"")</f>
        <v/>
      </c>
      <c r="BG350" t="str">
        <f ca="1">IFERROR(IF(0=LEN(ReferenceData!$BG$350),"",ReferenceData!$BG$350),"")</f>
        <v/>
      </c>
      <c r="BH350" t="str">
        <f ca="1">IFERROR(IF(0=LEN(ReferenceData!$BH$350),"",ReferenceData!$BH$350),"")</f>
        <v/>
      </c>
      <c r="BI350" t="str">
        <f ca="1">IFERROR(IF(0=LEN(ReferenceData!$BI$350),"",ReferenceData!$BI$350),"")</f>
        <v/>
      </c>
      <c r="BJ350" t="str">
        <f ca="1">IFERROR(IF(0=LEN(ReferenceData!$BJ$350),"",ReferenceData!$BJ$350),"")</f>
        <v/>
      </c>
      <c r="BK350" t="str">
        <f ca="1">IFERROR(IF(0=LEN(ReferenceData!$BK$350),"",ReferenceData!$BK$350),"")</f>
        <v/>
      </c>
      <c r="BL350" t="str">
        <f ca="1">IFERROR(IF(0=LEN(ReferenceData!$BL$350),"",ReferenceData!$BL$350),"")</f>
        <v/>
      </c>
      <c r="BM350" t="str">
        <f ca="1">IFERROR(IF(0=LEN(ReferenceData!$BM$350),"",ReferenceData!$BM$350),"")</f>
        <v/>
      </c>
    </row>
    <row r="351" spans="1:65">
      <c r="A351" t="str">
        <f>IFERROR(IF(0=LEN(ReferenceData!$A$351),"",ReferenceData!$A$351),"")</f>
        <v xml:space="preserve">    Simon Property Group Inc</v>
      </c>
      <c r="B351" t="str">
        <f>IFERROR(IF(0=LEN(ReferenceData!$B$351),"",ReferenceData!$B$351),"")</f>
        <v>SPG US Equity</v>
      </c>
      <c r="C351" t="str">
        <f>IFERROR(IF(0=LEN(ReferenceData!$C$351),"",ReferenceData!$C$351),"")</f>
        <v>BS658</v>
      </c>
      <c r="D351" t="str">
        <f>IFERROR(IF(0=LEN(ReferenceData!$D$351),"",ReferenceData!$D$351),"")</f>
        <v>BS_YEAR_1_PRINCIPAL</v>
      </c>
      <c r="E351" t="str">
        <f>IFERROR(IF(0=LEN(ReferenceData!$E$351),"",ReferenceData!$E$351),"")</f>
        <v>动态</v>
      </c>
      <c r="F351" t="str">
        <f ca="1">IFERROR(IF(0=LEN(ReferenceData!$F$351),"",ReferenceData!$F$351),"")</f>
        <v/>
      </c>
      <c r="G351">
        <f ca="1">IFERROR(IF(0=LEN(ReferenceData!$G$351),"",ReferenceData!$G$351),"")</f>
        <v>2169.8409999999999</v>
      </c>
      <c r="H351">
        <f ca="1">IFERROR(IF(0=LEN(ReferenceData!$H$351),"",ReferenceData!$H$351),"")</f>
        <v>1309.232</v>
      </c>
      <c r="I351">
        <f ca="1">IFERROR(IF(0=LEN(ReferenceData!$I$351),"",ReferenceData!$I$351),"")</f>
        <v>1633.95</v>
      </c>
      <c r="J351">
        <f ca="1">IFERROR(IF(0=LEN(ReferenceData!$J$351),"",ReferenceData!$J$351),"")</f>
        <v>2432.5210000000002</v>
      </c>
      <c r="K351">
        <f ca="1">IFERROR(IF(0=LEN(ReferenceData!$K$351),"",ReferenceData!$K$351),"")</f>
        <v>2488.663</v>
      </c>
      <c r="L351">
        <f ca="1">IFERROR(IF(0=LEN(ReferenceData!$L$351),"",ReferenceData!$L$351),"")</f>
        <v>1037.9179999999999</v>
      </c>
      <c r="M351">
        <f ca="1">IFERROR(IF(0=LEN(ReferenceData!$M$351),"",ReferenceData!$M$351),"")</f>
        <v>1967.3969999999999</v>
      </c>
      <c r="N351">
        <f ca="1">IFERROR(IF(0=LEN(ReferenceData!$N$351),"",ReferenceData!$N$351),"")</f>
        <v>2191.5279999999998</v>
      </c>
      <c r="O351">
        <f ca="1">IFERROR(IF(0=LEN(ReferenceData!$O$351),"",ReferenceData!$O$351),"")</f>
        <v>3577.527</v>
      </c>
      <c r="P351">
        <f ca="1">IFERROR(IF(0=LEN(ReferenceData!$P$351),"",ReferenceData!$P$351),"")</f>
        <v>824.91899999999998</v>
      </c>
      <c r="Q351">
        <f ca="1">IFERROR(IF(0=LEN(ReferenceData!$Q$351),"",ReferenceData!$Q$351),"")</f>
        <v>1209.192</v>
      </c>
      <c r="R351">
        <f ca="1">IFERROR(IF(0=LEN(ReferenceData!$R$351),"",ReferenceData!$R$351),"")</f>
        <v>1221.08</v>
      </c>
      <c r="S351">
        <f ca="1">IFERROR(IF(0=LEN(ReferenceData!$S$351),"",ReferenceData!$S$351),"")</f>
        <v>1968.779</v>
      </c>
      <c r="T351">
        <f ca="1">IFERROR(IF(0=LEN(ReferenceData!$T$351),"",ReferenceData!$T$351),"")</f>
        <v>37.771000000000001</v>
      </c>
      <c r="U351">
        <f ca="1">IFERROR(IF(0=LEN(ReferenceData!$U$351),"",ReferenceData!$U$351),"")</f>
        <v>276.75700000000001</v>
      </c>
      <c r="V351">
        <f ca="1">IFERROR(IF(0=LEN(ReferenceData!$V$351),"",ReferenceData!$V$351),"")</f>
        <v>384.83699999999999</v>
      </c>
      <c r="W351">
        <f ca="1">IFERROR(IF(0=LEN(ReferenceData!$W$351),"",ReferenceData!$W$351),"")</f>
        <v>2655.415</v>
      </c>
      <c r="X351">
        <f ca="1">IFERROR(IF(0=LEN(ReferenceData!$X$351),"",ReferenceData!$X$351),"")</f>
        <v>18.838000000000001</v>
      </c>
      <c r="Y351">
        <f ca="1">IFERROR(IF(0=LEN(ReferenceData!$Y$351),"",ReferenceData!$Y$351),"")</f>
        <v>114.727</v>
      </c>
      <c r="Z351">
        <f ca="1">IFERROR(IF(0=LEN(ReferenceData!$Z$351),"",ReferenceData!$Z$351),"")</f>
        <v>130.41399999999999</v>
      </c>
      <c r="AA351">
        <f ca="1">IFERROR(IF(0=LEN(ReferenceData!$AA$351),"",ReferenceData!$AA$351),"")</f>
        <v>821.63699999999994</v>
      </c>
      <c r="AB351">
        <f ca="1">IFERROR(IF(0=LEN(ReferenceData!$AB$351),"",ReferenceData!$AB$351),"")</f>
        <v>19.045999999999999</v>
      </c>
      <c r="AC351">
        <f ca="1">IFERROR(IF(0=LEN(ReferenceData!$AC$351),"",ReferenceData!$AC$351),"")</f>
        <v>248.10499999999999</v>
      </c>
      <c r="AD351">
        <f ca="1">IFERROR(IF(0=LEN(ReferenceData!$AD$351),"",ReferenceData!$AD$351),"")</f>
        <v>623.73199999999997</v>
      </c>
      <c r="AE351">
        <f ca="1">IFERROR(IF(0=LEN(ReferenceData!$AE$351),"",ReferenceData!$AE$351),"")</f>
        <v>1564.6610000000001</v>
      </c>
      <c r="AF351">
        <f ca="1">IFERROR(IF(0=LEN(ReferenceData!$AF$351),"",ReferenceData!$AF$351),"")</f>
        <v>17.198</v>
      </c>
      <c r="AG351">
        <f ca="1">IFERROR(IF(0=LEN(ReferenceData!$AG$351),"",ReferenceData!$AG$351),"")</f>
        <v>229.471</v>
      </c>
      <c r="AH351">
        <f ca="1">IFERROR(IF(0=LEN(ReferenceData!$AH$351),"",ReferenceData!$AH$351),"")</f>
        <v>600.62699999999995</v>
      </c>
      <c r="AI351">
        <f ca="1">IFERROR(IF(0=LEN(ReferenceData!$AI$351),"",ReferenceData!$AI$351),"")</f>
        <v>1674.5630000000001</v>
      </c>
      <c r="AJ351">
        <f ca="1">IFERROR(IF(0=LEN(ReferenceData!$AJ$351),"",ReferenceData!$AJ$351),"")</f>
        <v>78.938999999999993</v>
      </c>
      <c r="AK351">
        <f ca="1">IFERROR(IF(0=LEN(ReferenceData!$AK$351),"",ReferenceData!$AK$351),"")</f>
        <v>766.01700000000005</v>
      </c>
      <c r="AL351">
        <f ca="1">IFERROR(IF(0=LEN(ReferenceData!$AL$351),"",ReferenceData!$AL$351),"")</f>
        <v>1715.7860000000001</v>
      </c>
      <c r="AM351">
        <f ca="1">IFERROR(IF(0=LEN(ReferenceData!$AM$351),"",ReferenceData!$AM$351),"")</f>
        <v>2096.8020000000001</v>
      </c>
      <c r="AN351">
        <f ca="1">IFERROR(IF(0=LEN(ReferenceData!$AN$351),"",ReferenceData!$AN$351),"")</f>
        <v>325.476</v>
      </c>
      <c r="AO351">
        <f ca="1">IFERROR(IF(0=LEN(ReferenceData!$AO$351),"",ReferenceData!$AO$351),"")</f>
        <v>374.202</v>
      </c>
      <c r="AP351">
        <f ca="1">IFERROR(IF(0=LEN(ReferenceData!$AP$351),"",ReferenceData!$AP$351),"")</f>
        <v>1259.954</v>
      </c>
      <c r="AQ351">
        <f ca="1">IFERROR(IF(0=LEN(ReferenceData!$AQ$351),"",ReferenceData!$AQ$351),"")</f>
        <v>1475.51</v>
      </c>
      <c r="AR351">
        <f ca="1">IFERROR(IF(0=LEN(ReferenceData!$AR$351),"",ReferenceData!$AR$351),"")</f>
        <v>28.231999999999999</v>
      </c>
      <c r="AS351">
        <f ca="1">IFERROR(IF(0=LEN(ReferenceData!$AS$351),"",ReferenceData!$AS$351),"")</f>
        <v>718.58799999999997</v>
      </c>
      <c r="AT351">
        <f ca="1">IFERROR(IF(0=LEN(ReferenceData!$AT$351),"",ReferenceData!$AT$351),"")</f>
        <v>794.20799999999997</v>
      </c>
      <c r="AU351">
        <f ca="1">IFERROR(IF(0=LEN(ReferenceData!$AU$351),"",ReferenceData!$AU$351),"")</f>
        <v>809.66700000000003</v>
      </c>
      <c r="AV351">
        <f ca="1">IFERROR(IF(0=LEN(ReferenceData!$AV$351),"",ReferenceData!$AV$351),"")</f>
        <v>891.28499999999997</v>
      </c>
      <c r="AW351">
        <f ca="1">IFERROR(IF(0=LEN(ReferenceData!$AW$351),"",ReferenceData!$AW$351),"")</f>
        <v>1368.309</v>
      </c>
      <c r="AX351">
        <f ca="1">IFERROR(IF(0=LEN(ReferenceData!$AX$351),"",ReferenceData!$AX$351),"")</f>
        <v>1695.2850000000001</v>
      </c>
      <c r="AY351">
        <f ca="1">IFERROR(IF(0=LEN(ReferenceData!$AY$351),"",ReferenceData!$AY$351),"")</f>
        <v>1683.9659999999999</v>
      </c>
      <c r="AZ351">
        <f ca="1">IFERROR(IF(0=LEN(ReferenceData!$AZ$351),"",ReferenceData!$AZ$351),"")</f>
        <v>267.399</v>
      </c>
      <c r="BA351">
        <f ca="1">IFERROR(IF(0=LEN(ReferenceData!$BA$351),"",ReferenceData!$BA$351),"")</f>
        <v>283.26400000000001</v>
      </c>
      <c r="BB351">
        <f ca="1">IFERROR(IF(0=LEN(ReferenceData!$BB$351),"",ReferenceData!$BB$351),"")</f>
        <v>357.58100000000002</v>
      </c>
      <c r="BC351" t="str">
        <f ca="1">IFERROR(IF(0=LEN(ReferenceData!$BC$351),"",ReferenceData!$BC$351),"")</f>
        <v/>
      </c>
      <c r="BD351">
        <f ca="1">IFERROR(IF(0=LEN(ReferenceData!$BD$351),"",ReferenceData!$BD$351),"")</f>
        <v>175.28800000000001</v>
      </c>
      <c r="BE351">
        <f ca="1">IFERROR(IF(0=LEN(ReferenceData!$BE$351),"",ReferenceData!$BE$351),"")</f>
        <v>238.78899999999999</v>
      </c>
      <c r="BF351">
        <f ca="1">IFERROR(IF(0=LEN(ReferenceData!$BF$351),"",ReferenceData!$BF$351),"")</f>
        <v>1514.8630000000001</v>
      </c>
      <c r="BG351" t="str">
        <f ca="1">IFERROR(IF(0=LEN(ReferenceData!$BG$351),"",ReferenceData!$BG$351),"")</f>
        <v/>
      </c>
      <c r="BH351" t="str">
        <f ca="1">IFERROR(IF(0=LEN(ReferenceData!$BH$351),"",ReferenceData!$BH$351),"")</f>
        <v/>
      </c>
      <c r="BI351">
        <f ca="1">IFERROR(IF(0=LEN(ReferenceData!$BI$351),"",ReferenceData!$BI$351),"")</f>
        <v>482.815</v>
      </c>
      <c r="BJ351">
        <f ca="1">IFERROR(IF(0=LEN(ReferenceData!$BJ$351),"",ReferenceData!$BJ$351),"")</f>
        <v>708.46299999999997</v>
      </c>
      <c r="BK351">
        <f ca="1">IFERROR(IF(0=LEN(ReferenceData!$BK$351),"",ReferenceData!$BK$351),"")</f>
        <v>1480.85</v>
      </c>
      <c r="BL351">
        <f ca="1">IFERROR(IF(0=LEN(ReferenceData!$BL$351),"",ReferenceData!$BL$351),"")</f>
        <v>259.89999999999998</v>
      </c>
      <c r="BM351">
        <f ca="1">IFERROR(IF(0=LEN(ReferenceData!$BM$351),"",ReferenceData!$BM$351),"")</f>
        <v>269.88</v>
      </c>
    </row>
    <row r="352" spans="1:65">
      <c r="A352" t="str">
        <f>IFERROR(IF(0=LEN(ReferenceData!$A$352),"",ReferenceData!$A$352),"")</f>
        <v xml:space="preserve">    Tanger Factory Outlet Centers</v>
      </c>
      <c r="B352" t="str">
        <f>IFERROR(IF(0=LEN(ReferenceData!$B$352),"",ReferenceData!$B$352),"")</f>
        <v>SKT US Equity</v>
      </c>
      <c r="C352" t="str">
        <f>IFERROR(IF(0=LEN(ReferenceData!$C$352),"",ReferenceData!$C$352),"")</f>
        <v>BS658</v>
      </c>
      <c r="D352" t="str">
        <f>IFERROR(IF(0=LEN(ReferenceData!$D$352),"",ReferenceData!$D$352),"")</f>
        <v>BS_YEAR_1_PRINCIPAL</v>
      </c>
      <c r="E352" t="str">
        <f>IFERROR(IF(0=LEN(ReferenceData!$E$352),"",ReferenceData!$E$352),"")</f>
        <v>动态</v>
      </c>
      <c r="F352" t="str">
        <f ca="1">IFERROR(IF(0=LEN(ReferenceData!$F$352),"",ReferenceData!$F$352),"")</f>
        <v/>
      </c>
      <c r="G352">
        <f ca="1">IFERROR(IF(0=LEN(ReferenceData!$G$352),"",ReferenceData!$G$352),"")</f>
        <v>63.183999999999997</v>
      </c>
      <c r="H352">
        <f ca="1">IFERROR(IF(0=LEN(ReferenceData!$H$352),"",ReferenceData!$H$352),"")</f>
        <v>71.016999999999996</v>
      </c>
      <c r="I352">
        <f ca="1">IFERROR(IF(0=LEN(ReferenceData!$I$352),"",ReferenceData!$I$352),"")</f>
        <v>71.775000000000006</v>
      </c>
      <c r="J352">
        <f ca="1">IFERROR(IF(0=LEN(ReferenceData!$J$352),"",ReferenceData!$J$352),"")</f>
        <v>72.52</v>
      </c>
      <c r="K352">
        <f ca="1">IFERROR(IF(0=LEN(ReferenceData!$K$352),"",ReferenceData!$K$352),"")</f>
        <v>73.257999999999996</v>
      </c>
      <c r="L352">
        <f ca="1">IFERROR(IF(0=LEN(ReferenceData!$L$352),"",ReferenceData!$L$352),"")</f>
        <v>0.72699999999999998</v>
      </c>
      <c r="M352">
        <f ca="1">IFERROR(IF(0=LEN(ReferenceData!$M$352),"",ReferenceData!$M$352),"")</f>
        <v>1.4419999999999999</v>
      </c>
      <c r="N352">
        <f ca="1">IFERROR(IF(0=LEN(ReferenceData!$N$352),"",ReferenceData!$N$352),"")</f>
        <v>12.148</v>
      </c>
      <c r="O352" t="str">
        <f ca="1">IFERROR(IF(0=LEN(ReferenceData!$O$352),"",ReferenceData!$O$352),"")</f>
        <v/>
      </c>
      <c r="P352">
        <f ca="1">IFERROR(IF(0=LEN(ReferenceData!$P$352),"",ReferenceData!$P$352),"")</f>
        <v>0.68600000000000005</v>
      </c>
      <c r="Q352">
        <f ca="1">IFERROR(IF(0=LEN(ReferenceData!$Q$352),"",ReferenceData!$Q$352),"")</f>
        <v>1.556</v>
      </c>
      <c r="R352">
        <f ca="1">IFERROR(IF(0=LEN(ReferenceData!$R$352),"",ReferenceData!$R$352),"")</f>
        <v>31.402000000000001</v>
      </c>
      <c r="S352">
        <f ca="1">IFERROR(IF(0=LEN(ReferenceData!$S$352),"",ReferenceData!$S$352),"")</f>
        <v>32.343000000000004</v>
      </c>
      <c r="T352">
        <f ca="1">IFERROR(IF(0=LEN(ReferenceData!$T$352),"",ReferenceData!$T$352),"")</f>
        <v>0.92100000000000004</v>
      </c>
      <c r="U352">
        <f ca="1">IFERROR(IF(0=LEN(ReferenceData!$U$352),"",ReferenceData!$U$352),"")</f>
        <v>1.823</v>
      </c>
      <c r="V352">
        <f ca="1">IFERROR(IF(0=LEN(ReferenceData!$V$352),"",ReferenceData!$V$352),"")</f>
        <v>2.7120000000000002</v>
      </c>
      <c r="W352">
        <f ca="1">IFERROR(IF(0=LEN(ReferenceData!$W$352),"",ReferenceData!$W$352),"")</f>
        <v>3.6030000000000002</v>
      </c>
      <c r="X352">
        <f ca="1">IFERROR(IF(0=LEN(ReferenceData!$X$352),"",ReferenceData!$X$352),"")</f>
        <v>0.871</v>
      </c>
      <c r="Y352">
        <f ca="1">IFERROR(IF(0=LEN(ReferenceData!$Y$352),"",ReferenceData!$Y$352),"")</f>
        <v>1.7230000000000001</v>
      </c>
      <c r="Z352">
        <f ca="1">IFERROR(IF(0=LEN(ReferenceData!$Z$352),"",ReferenceData!$Z$352),"")</f>
        <v>2.5640000000000001</v>
      </c>
      <c r="AA352">
        <f ca="1">IFERROR(IF(0=LEN(ReferenceData!$AA$352),"",ReferenceData!$AA$352),"")</f>
        <v>4.633</v>
      </c>
      <c r="AB352">
        <f ca="1">IFERROR(IF(0=LEN(ReferenceData!$AB$352),"",ReferenceData!$AB$352),"")</f>
        <v>0.65700000000000003</v>
      </c>
      <c r="AC352">
        <f ca="1">IFERROR(IF(0=LEN(ReferenceData!$AC$352),"",ReferenceData!$AC$352),"")</f>
        <v>1.298</v>
      </c>
      <c r="AD352">
        <f ca="1">IFERROR(IF(0=LEN(ReferenceData!$AD$352),"",ReferenceData!$AD$352),"")</f>
        <v>1.931</v>
      </c>
      <c r="AE352">
        <f ca="1">IFERROR(IF(0=LEN(ReferenceData!$AE$352),"",ReferenceData!$AE$352),"")</f>
        <v>2.5630000000000002</v>
      </c>
      <c r="AF352">
        <f ca="1">IFERROR(IF(0=LEN(ReferenceData!$AF$352),"",ReferenceData!$AF$352),"")</f>
        <v>150.62299999999999</v>
      </c>
      <c r="AG352">
        <f ca="1">IFERROR(IF(0=LEN(ReferenceData!$AG$352),"",ReferenceData!$AG$352),"")</f>
        <v>157.03</v>
      </c>
      <c r="AH352">
        <f ca="1">IFERROR(IF(0=LEN(ReferenceData!$AH$352),"",ReferenceData!$AH$352),"")</f>
        <v>7.16</v>
      </c>
      <c r="AI352">
        <f ca="1">IFERROR(IF(0=LEN(ReferenceData!$AI$352),"",ReferenceData!$AI$352),"")</f>
        <v>7.21</v>
      </c>
      <c r="AJ352">
        <f ca="1">IFERROR(IF(0=LEN(ReferenceData!$AJ$352),"",ReferenceData!$AJ$352),"")</f>
        <v>0</v>
      </c>
      <c r="AK352">
        <f ca="1">IFERROR(IF(0=LEN(ReferenceData!$AK$352),"",ReferenceData!$AK$352),"")</f>
        <v>0</v>
      </c>
      <c r="AL352" t="str">
        <f ca="1">IFERROR(IF(0=LEN(ReferenceData!$AL$352),"",ReferenceData!$AL$352),"")</f>
        <v/>
      </c>
      <c r="AM352">
        <f ca="1">IFERROR(IF(0=LEN(ReferenceData!$AM$352),"",ReferenceData!$AM$352),"")</f>
        <v>35.799999999999997</v>
      </c>
      <c r="AN352" t="str">
        <f ca="1">IFERROR(IF(0=LEN(ReferenceData!$AN$352),"",ReferenceData!$AN$352),"")</f>
        <v/>
      </c>
      <c r="AO352" t="str">
        <f ca="1">IFERROR(IF(0=LEN(ReferenceData!$AO$352),"",ReferenceData!$AO$352),"")</f>
        <v/>
      </c>
      <c r="AP352" t="str">
        <f ca="1">IFERROR(IF(0=LEN(ReferenceData!$AP$352),"",ReferenceData!$AP$352),"")</f>
        <v/>
      </c>
      <c r="AQ352" t="str">
        <f ca="1">IFERROR(IF(0=LEN(ReferenceData!$AQ$352),"",ReferenceData!$AQ$352),"")</f>
        <v/>
      </c>
      <c r="AR352" t="str">
        <f ca="1">IFERROR(IF(0=LEN(ReferenceData!$AR$352),"",ReferenceData!$AR$352),"")</f>
        <v/>
      </c>
      <c r="AS352" t="str">
        <f ca="1">IFERROR(IF(0=LEN(ReferenceData!$AS$352),"",ReferenceData!$AS$352),"")</f>
        <v/>
      </c>
      <c r="AT352" t="str">
        <f ca="1">IFERROR(IF(0=LEN(ReferenceData!$AT$352),"",ReferenceData!$AT$352),"")</f>
        <v/>
      </c>
      <c r="AU352">
        <f ca="1">IFERROR(IF(0=LEN(ReferenceData!$AU$352),"",ReferenceData!$AU$352),"")</f>
        <v>272.678</v>
      </c>
      <c r="AV352" t="str">
        <f ca="1">IFERROR(IF(0=LEN(ReferenceData!$AV$352),"",ReferenceData!$AV$352),"")</f>
        <v/>
      </c>
      <c r="AW352" t="str">
        <f ca="1">IFERROR(IF(0=LEN(ReferenceData!$AW$352),"",ReferenceData!$AW$352),"")</f>
        <v/>
      </c>
      <c r="AX352" t="str">
        <f ca="1">IFERROR(IF(0=LEN(ReferenceData!$AX$352),"",ReferenceData!$AX$352),"")</f>
        <v/>
      </c>
      <c r="AY352" t="str">
        <f ca="1">IFERROR(IF(0=LEN(ReferenceData!$AY$352),"",ReferenceData!$AY$352),"")</f>
        <v/>
      </c>
      <c r="AZ352" t="str">
        <f ca="1">IFERROR(IF(0=LEN(ReferenceData!$AZ$352),"",ReferenceData!$AZ$352),"")</f>
        <v/>
      </c>
      <c r="BA352" t="str">
        <f ca="1">IFERROR(IF(0=LEN(ReferenceData!$BA$352),"",ReferenceData!$BA$352),"")</f>
        <v/>
      </c>
      <c r="BB352" t="str">
        <f ca="1">IFERROR(IF(0=LEN(ReferenceData!$BB$352),"",ReferenceData!$BB$352),"")</f>
        <v/>
      </c>
      <c r="BC352" t="str">
        <f ca="1">IFERROR(IF(0=LEN(ReferenceData!$BC$352),"",ReferenceData!$BC$352),"")</f>
        <v/>
      </c>
      <c r="BD352" t="str">
        <f ca="1">IFERROR(IF(0=LEN(ReferenceData!$BD$352),"",ReferenceData!$BD$352),"")</f>
        <v/>
      </c>
      <c r="BE352" t="str">
        <f ca="1">IFERROR(IF(0=LEN(ReferenceData!$BE$352),"",ReferenceData!$BE$352),"")</f>
        <v/>
      </c>
      <c r="BF352" t="str">
        <f ca="1">IFERROR(IF(0=LEN(ReferenceData!$BF$352),"",ReferenceData!$BF$352),"")</f>
        <v/>
      </c>
      <c r="BG352" t="str">
        <f ca="1">IFERROR(IF(0=LEN(ReferenceData!$BG$352),"",ReferenceData!$BG$352),"")</f>
        <v/>
      </c>
      <c r="BH352" t="str">
        <f ca="1">IFERROR(IF(0=LEN(ReferenceData!$BH$352),"",ReferenceData!$BH$352),"")</f>
        <v/>
      </c>
      <c r="BI352" t="str">
        <f ca="1">IFERROR(IF(0=LEN(ReferenceData!$BI$352),"",ReferenceData!$BI$352),"")</f>
        <v/>
      </c>
      <c r="BJ352" t="str">
        <f ca="1">IFERROR(IF(0=LEN(ReferenceData!$BJ$352),"",ReferenceData!$BJ$352),"")</f>
        <v/>
      </c>
      <c r="BK352" t="str">
        <f ca="1">IFERROR(IF(0=LEN(ReferenceData!$BK$352),"",ReferenceData!$BK$352),"")</f>
        <v/>
      </c>
      <c r="BL352" t="str">
        <f ca="1">IFERROR(IF(0=LEN(ReferenceData!$BL$352),"",ReferenceData!$BL$352),"")</f>
        <v/>
      </c>
      <c r="BM352" t="str">
        <f ca="1">IFERROR(IF(0=LEN(ReferenceData!$BM$352),"",ReferenceData!$BM$352),"")</f>
        <v/>
      </c>
    </row>
    <row r="353" spans="1:65">
      <c r="A353" t="str">
        <f>IFERROR(IF(0=LEN(ReferenceData!$A$353),"",ReferenceData!$A$353),"")</f>
        <v xml:space="preserve">    VEREIT Inc</v>
      </c>
      <c r="B353" t="str">
        <f>IFERROR(IF(0=LEN(ReferenceData!$B$353),"",ReferenceData!$B$353),"")</f>
        <v>VER US Equity</v>
      </c>
      <c r="C353" t="str">
        <f>IFERROR(IF(0=LEN(ReferenceData!$C$353),"",ReferenceData!$C$353),"")</f>
        <v>BS658</v>
      </c>
      <c r="D353" t="str">
        <f>IFERROR(IF(0=LEN(ReferenceData!$D$353),"",ReferenceData!$D$353),"")</f>
        <v>BS_YEAR_1_PRINCIPAL</v>
      </c>
      <c r="E353" t="str">
        <f>IFERROR(IF(0=LEN(ReferenceData!$E$353),"",ReferenceData!$E$353),"")</f>
        <v>动态</v>
      </c>
      <c r="F353" t="str">
        <f ca="1">IFERROR(IF(0=LEN(ReferenceData!$F$353),"",ReferenceData!$F$353),"")</f>
        <v/>
      </c>
      <c r="G353">
        <f ca="1">IFERROR(IF(0=LEN(ReferenceData!$G$353),"",ReferenceData!$G$353),"")</f>
        <v>864.75</v>
      </c>
      <c r="H353">
        <f ca="1">IFERROR(IF(0=LEN(ReferenceData!$H$353),"",ReferenceData!$H$353),"")</f>
        <v>17.780999999999999</v>
      </c>
      <c r="I353">
        <f ca="1">IFERROR(IF(0=LEN(ReferenceData!$I$353),"",ReferenceData!$I$353),"")</f>
        <v>162.483</v>
      </c>
      <c r="J353">
        <f ca="1">IFERROR(IF(0=LEN(ReferenceData!$J$353),"",ReferenceData!$J$353),"")</f>
        <v>301.14600000000002</v>
      </c>
      <c r="K353">
        <f ca="1">IFERROR(IF(0=LEN(ReferenceData!$K$353),"",ReferenceData!$K$353),"")</f>
        <v>287.09399999999999</v>
      </c>
      <c r="L353">
        <f ca="1">IFERROR(IF(0=LEN(ReferenceData!$L$353),"",ReferenceData!$L$353),"")</f>
        <v>51.83</v>
      </c>
      <c r="M353">
        <f ca="1">IFERROR(IF(0=LEN(ReferenceData!$M$353),"",ReferenceData!$M$353),"")</f>
        <v>121.04600000000001</v>
      </c>
      <c r="N353">
        <f ca="1">IFERROR(IF(0=LEN(ReferenceData!$N$353),"",ReferenceData!$N$353),"")</f>
        <v>207.34399999999999</v>
      </c>
      <c r="O353">
        <f ca="1">IFERROR(IF(0=LEN(ReferenceData!$O$353),"",ReferenceData!$O$353),"")</f>
        <v>216.006</v>
      </c>
      <c r="P353">
        <f ca="1">IFERROR(IF(0=LEN(ReferenceData!$P$353),"",ReferenceData!$P$353),"")</f>
        <v>5.4119999999999999</v>
      </c>
      <c r="Q353">
        <f ca="1">IFERROR(IF(0=LEN(ReferenceData!$Q$353),"",ReferenceData!$Q$353),"")</f>
        <v>11.523999999999999</v>
      </c>
      <c r="R353">
        <f ca="1">IFERROR(IF(0=LEN(ReferenceData!$R$353),"",ReferenceData!$R$353),"")</f>
        <v>62.576999999999998</v>
      </c>
      <c r="S353" t="str">
        <f ca="1">IFERROR(IF(0=LEN(ReferenceData!$S$353),"",ReferenceData!$S$353),"")</f>
        <v/>
      </c>
      <c r="T353">
        <f ca="1">IFERROR(IF(0=LEN(ReferenceData!$T$353),"",ReferenceData!$T$353),"")</f>
        <v>103.949</v>
      </c>
      <c r="U353">
        <f ca="1">IFERROR(IF(0=LEN(ReferenceData!$U$353),"",ReferenceData!$U$353),"")</f>
        <v>104.04300000000001</v>
      </c>
      <c r="V353">
        <f ca="1">IFERROR(IF(0=LEN(ReferenceData!$V$353),"",ReferenceData!$V$353),"")</f>
        <v>191.077</v>
      </c>
      <c r="W353">
        <f ca="1">IFERROR(IF(0=LEN(ReferenceData!$W$353),"",ReferenceData!$W$353),"")</f>
        <v>99.784000000000006</v>
      </c>
      <c r="X353">
        <f ca="1">IFERROR(IF(0=LEN(ReferenceData!$X$353),"",ReferenceData!$X$353),"")</f>
        <v>4.7E-2</v>
      </c>
      <c r="Y353">
        <f ca="1">IFERROR(IF(0=LEN(ReferenceData!$Y$353),"",ReferenceData!$Y$353),"")</f>
        <v>7.3999999999999996E-2</v>
      </c>
      <c r="Z353">
        <f ca="1">IFERROR(IF(0=LEN(ReferenceData!$Z$353),"",ReferenceData!$Z$353),"")</f>
        <v>7.3999999999999996E-2</v>
      </c>
      <c r="AA353" t="str">
        <f ca="1">IFERROR(IF(0=LEN(ReferenceData!$AA$353),"",ReferenceData!$AA$353),"")</f>
        <v/>
      </c>
      <c r="AB353">
        <f ca="1">IFERROR(IF(0=LEN(ReferenceData!$AB$353),"",ReferenceData!$AB$353),"")</f>
        <v>0.40300000000000002</v>
      </c>
      <c r="AC353">
        <f ca="1">IFERROR(IF(0=LEN(ReferenceData!$AC$353),"",ReferenceData!$AC$353),"")</f>
        <v>0</v>
      </c>
      <c r="AD353">
        <f ca="1">IFERROR(IF(0=LEN(ReferenceData!$AD$353),"",ReferenceData!$AD$353),"")</f>
        <v>0</v>
      </c>
      <c r="AE353">
        <f ca="1">IFERROR(IF(0=LEN(ReferenceData!$AE$353),"",ReferenceData!$AE$353),"")</f>
        <v>0</v>
      </c>
      <c r="AF353" t="str">
        <f ca="1">IFERROR(IF(0=LEN(ReferenceData!$AF$353),"",ReferenceData!$AF$353),"")</f>
        <v/>
      </c>
      <c r="AG353" t="str">
        <f ca="1">IFERROR(IF(0=LEN(ReferenceData!$AG$353),"",ReferenceData!$AG$353),"")</f>
        <v/>
      </c>
      <c r="AH353" t="str">
        <f ca="1">IFERROR(IF(0=LEN(ReferenceData!$AH$353),"",ReferenceData!$AH$353),"")</f>
        <v/>
      </c>
      <c r="AI353" t="str">
        <f ca="1">IFERROR(IF(0=LEN(ReferenceData!$AI$353),"",ReferenceData!$AI$353),"")</f>
        <v/>
      </c>
      <c r="AJ353" t="str">
        <f ca="1">IFERROR(IF(0=LEN(ReferenceData!$AJ$353),"",ReferenceData!$AJ$353),"")</f>
        <v/>
      </c>
      <c r="AK353" t="str">
        <f ca="1">IFERROR(IF(0=LEN(ReferenceData!$AK$353),"",ReferenceData!$AK$353),"")</f>
        <v/>
      </c>
      <c r="AL353" t="str">
        <f ca="1">IFERROR(IF(0=LEN(ReferenceData!$AL$353),"",ReferenceData!$AL$353),"")</f>
        <v/>
      </c>
      <c r="AM353" t="str">
        <f ca="1">IFERROR(IF(0=LEN(ReferenceData!$AM$353),"",ReferenceData!$AM$353),"")</f>
        <v/>
      </c>
      <c r="AN353" t="str">
        <f ca="1">IFERROR(IF(0=LEN(ReferenceData!$AN$353),"",ReferenceData!$AN$353),"")</f>
        <v/>
      </c>
      <c r="AO353" t="str">
        <f ca="1">IFERROR(IF(0=LEN(ReferenceData!$AO$353),"",ReferenceData!$AO$353),"")</f>
        <v/>
      </c>
      <c r="AP353" t="str">
        <f ca="1">IFERROR(IF(0=LEN(ReferenceData!$AP$353),"",ReferenceData!$AP$353),"")</f>
        <v/>
      </c>
      <c r="AQ353" t="str">
        <f ca="1">IFERROR(IF(0=LEN(ReferenceData!$AQ$353),"",ReferenceData!$AQ$353),"")</f>
        <v/>
      </c>
      <c r="AR353" t="str">
        <f ca="1">IFERROR(IF(0=LEN(ReferenceData!$AR$353),"",ReferenceData!$AR$353),"")</f>
        <v/>
      </c>
      <c r="AS353" t="str">
        <f ca="1">IFERROR(IF(0=LEN(ReferenceData!$AS$353),"",ReferenceData!$AS$353),"")</f>
        <v/>
      </c>
      <c r="AT353" t="str">
        <f ca="1">IFERROR(IF(0=LEN(ReferenceData!$AT$353),"",ReferenceData!$AT$353),"")</f>
        <v/>
      </c>
      <c r="AU353" t="str">
        <f ca="1">IFERROR(IF(0=LEN(ReferenceData!$AU$353),"",ReferenceData!$AU$353),"")</f>
        <v/>
      </c>
      <c r="AV353" t="str">
        <f ca="1">IFERROR(IF(0=LEN(ReferenceData!$AV$353),"",ReferenceData!$AV$353),"")</f>
        <v/>
      </c>
      <c r="AW353" t="str">
        <f ca="1">IFERROR(IF(0=LEN(ReferenceData!$AW$353),"",ReferenceData!$AW$353),"")</f>
        <v/>
      </c>
      <c r="AX353" t="str">
        <f ca="1">IFERROR(IF(0=LEN(ReferenceData!$AX$353),"",ReferenceData!$AX$353),"")</f>
        <v/>
      </c>
      <c r="AY353" t="str">
        <f ca="1">IFERROR(IF(0=LEN(ReferenceData!$AY$353),"",ReferenceData!$AY$353),"")</f>
        <v/>
      </c>
      <c r="AZ353" t="str">
        <f ca="1">IFERROR(IF(0=LEN(ReferenceData!$AZ$353),"",ReferenceData!$AZ$353),"")</f>
        <v/>
      </c>
      <c r="BA353" t="str">
        <f ca="1">IFERROR(IF(0=LEN(ReferenceData!$BA$353),"",ReferenceData!$BA$353),"")</f>
        <v/>
      </c>
      <c r="BB353" t="str">
        <f ca="1">IFERROR(IF(0=LEN(ReferenceData!$BB$353),"",ReferenceData!$BB$353),"")</f>
        <v/>
      </c>
      <c r="BC353" t="str">
        <f ca="1">IFERROR(IF(0=LEN(ReferenceData!$BC$353),"",ReferenceData!$BC$353),"")</f>
        <v/>
      </c>
      <c r="BD353" t="str">
        <f ca="1">IFERROR(IF(0=LEN(ReferenceData!$BD$353),"",ReferenceData!$BD$353),"")</f>
        <v/>
      </c>
      <c r="BE353" t="str">
        <f ca="1">IFERROR(IF(0=LEN(ReferenceData!$BE$353),"",ReferenceData!$BE$353),"")</f>
        <v/>
      </c>
      <c r="BF353" t="str">
        <f ca="1">IFERROR(IF(0=LEN(ReferenceData!$BF$353),"",ReferenceData!$BF$353),"")</f>
        <v/>
      </c>
      <c r="BG353" t="str">
        <f ca="1">IFERROR(IF(0=LEN(ReferenceData!$BG$353),"",ReferenceData!$BG$353),"")</f>
        <v/>
      </c>
      <c r="BH353" t="str">
        <f ca="1">IFERROR(IF(0=LEN(ReferenceData!$BH$353),"",ReferenceData!$BH$353),"")</f>
        <v/>
      </c>
      <c r="BI353" t="str">
        <f ca="1">IFERROR(IF(0=LEN(ReferenceData!$BI$353),"",ReferenceData!$BI$353),"")</f>
        <v/>
      </c>
      <c r="BJ353" t="str">
        <f ca="1">IFERROR(IF(0=LEN(ReferenceData!$BJ$353),"",ReferenceData!$BJ$353),"")</f>
        <v/>
      </c>
      <c r="BK353" t="str">
        <f ca="1">IFERROR(IF(0=LEN(ReferenceData!$BK$353),"",ReferenceData!$BK$353),"")</f>
        <v/>
      </c>
      <c r="BL353" t="str">
        <f ca="1">IFERROR(IF(0=LEN(ReferenceData!$BL$353),"",ReferenceData!$BL$353),"")</f>
        <v/>
      </c>
      <c r="BM353" t="str">
        <f ca="1">IFERROR(IF(0=LEN(ReferenceData!$BM$353),"",ReferenceData!$BM$353),"")</f>
        <v/>
      </c>
    </row>
    <row r="354" spans="1:65">
      <c r="A354" t="str">
        <f>IFERROR(IF(0=LEN(ReferenceData!$A$354),"",ReferenceData!$A$354),"")</f>
        <v xml:space="preserve">    Washington Prime Group Inc</v>
      </c>
      <c r="B354" t="str">
        <f>IFERROR(IF(0=LEN(ReferenceData!$B$354),"",ReferenceData!$B$354),"")</f>
        <v>WPG US Equity</v>
      </c>
      <c r="C354" t="str">
        <f>IFERROR(IF(0=LEN(ReferenceData!$C$354),"",ReferenceData!$C$354),"")</f>
        <v>BS658</v>
      </c>
      <c r="D354" t="str">
        <f>IFERROR(IF(0=LEN(ReferenceData!$D$354),"",ReferenceData!$D$354),"")</f>
        <v>BS_YEAR_1_PRINCIPAL</v>
      </c>
      <c r="E354" t="str">
        <f>IFERROR(IF(0=LEN(ReferenceData!$E$354),"",ReferenceData!$E$354),"")</f>
        <v>动态</v>
      </c>
      <c r="F354" t="str">
        <f ca="1">IFERROR(IF(0=LEN(ReferenceData!$F$354),"",ReferenceData!$F$354),"")</f>
        <v/>
      </c>
      <c r="G354">
        <f ca="1">IFERROR(IF(0=LEN(ReferenceData!$G$354),"",ReferenceData!$G$354),"")</f>
        <v>25.411999999999999</v>
      </c>
      <c r="H354">
        <f ca="1">IFERROR(IF(0=LEN(ReferenceData!$H$354),"",ReferenceData!$H$354),"")</f>
        <v>243.422</v>
      </c>
      <c r="I354">
        <f ca="1">IFERROR(IF(0=LEN(ReferenceData!$I$354),"",ReferenceData!$I$354),"")</f>
        <v>247.38300000000001</v>
      </c>
      <c r="J354">
        <f ca="1">IFERROR(IF(0=LEN(ReferenceData!$J$354),"",ReferenceData!$J$354),"")</f>
        <v>339.625</v>
      </c>
      <c r="K354">
        <f ca="1">IFERROR(IF(0=LEN(ReferenceData!$K$354),"",ReferenceData!$K$354),"")</f>
        <v>346.05</v>
      </c>
      <c r="L354">
        <f ca="1">IFERROR(IF(0=LEN(ReferenceData!$L$354),"",ReferenceData!$L$354),"")</f>
        <v>237.946</v>
      </c>
      <c r="M354">
        <f ca="1">IFERROR(IF(0=LEN(ReferenceData!$M$354),"",ReferenceData!$M$354),"")</f>
        <v>295.947</v>
      </c>
      <c r="N354">
        <f ca="1">IFERROR(IF(0=LEN(ReferenceData!$N$354),"",ReferenceData!$N$354),"")</f>
        <v>422.322</v>
      </c>
      <c r="O354" t="str">
        <f ca="1">IFERROR(IF(0=LEN(ReferenceData!$O$354),"",ReferenceData!$O$354),"")</f>
        <v/>
      </c>
      <c r="P354">
        <f ca="1">IFERROR(IF(0=LEN(ReferenceData!$P$354),"",ReferenceData!$P$354),"")</f>
        <v>58.131999999999998</v>
      </c>
      <c r="Q354">
        <f ca="1">IFERROR(IF(0=LEN(ReferenceData!$Q$354),"",ReferenceData!$Q$354),"")</f>
        <v>301.649</v>
      </c>
      <c r="R354">
        <f ca="1">IFERROR(IF(0=LEN(ReferenceData!$R$354),"",ReferenceData!$R$354),"")</f>
        <v>694.81600000000003</v>
      </c>
      <c r="S354">
        <f ca="1">IFERROR(IF(0=LEN(ReferenceData!$S$354),"",ReferenceData!$S$354),"")</f>
        <v>187.57900000000001</v>
      </c>
      <c r="T354">
        <f ca="1">IFERROR(IF(0=LEN(ReferenceData!$T$354),"",ReferenceData!$T$354),"")</f>
        <v>19.779</v>
      </c>
      <c r="U354">
        <f ca="1">IFERROR(IF(0=LEN(ReferenceData!$U$354),"",ReferenceData!$U$354),"")</f>
        <v>23.356000000000002</v>
      </c>
      <c r="V354">
        <f ca="1">IFERROR(IF(0=LEN(ReferenceData!$V$354),"",ReferenceData!$V$354),"")</f>
        <v>90.846999999999994</v>
      </c>
      <c r="W354" t="str">
        <f ca="1">IFERROR(IF(0=LEN(ReferenceData!$W$354),"",ReferenceData!$W$354),"")</f>
        <v/>
      </c>
      <c r="X354" t="str">
        <f ca="1">IFERROR(IF(0=LEN(ReferenceData!$X$354),"",ReferenceData!$X$354),"")</f>
        <v/>
      </c>
      <c r="Y354" t="str">
        <f ca="1">IFERROR(IF(0=LEN(ReferenceData!$Y$354),"",ReferenceData!$Y$354),"")</f>
        <v/>
      </c>
      <c r="Z354" t="str">
        <f ca="1">IFERROR(IF(0=LEN(ReferenceData!$Z$354),"",ReferenceData!$Z$354),"")</f>
        <v/>
      </c>
      <c r="AA354" t="str">
        <f ca="1">IFERROR(IF(0=LEN(ReferenceData!$AA$354),"",ReferenceData!$AA$354),"")</f>
        <v/>
      </c>
      <c r="AB354" t="str">
        <f ca="1">IFERROR(IF(0=LEN(ReferenceData!$AB$354),"",ReferenceData!$AB$354),"")</f>
        <v/>
      </c>
      <c r="AC354" t="str">
        <f ca="1">IFERROR(IF(0=LEN(ReferenceData!$AC$354),"",ReferenceData!$AC$354),"")</f>
        <v/>
      </c>
      <c r="AD354" t="str">
        <f ca="1">IFERROR(IF(0=LEN(ReferenceData!$AD$354),"",ReferenceData!$AD$354),"")</f>
        <v/>
      </c>
      <c r="AE354" t="str">
        <f ca="1">IFERROR(IF(0=LEN(ReferenceData!$AE$354),"",ReferenceData!$AE$354),"")</f>
        <v/>
      </c>
      <c r="AF354" t="str">
        <f ca="1">IFERROR(IF(0=LEN(ReferenceData!$AF$354),"",ReferenceData!$AF$354),"")</f>
        <v/>
      </c>
      <c r="AG354" t="str">
        <f ca="1">IFERROR(IF(0=LEN(ReferenceData!$AG$354),"",ReferenceData!$AG$354),"")</f>
        <v/>
      </c>
      <c r="AH354" t="str">
        <f ca="1">IFERROR(IF(0=LEN(ReferenceData!$AH$354),"",ReferenceData!$AH$354),"")</f>
        <v/>
      </c>
      <c r="AI354" t="str">
        <f ca="1">IFERROR(IF(0=LEN(ReferenceData!$AI$354),"",ReferenceData!$AI$354),"")</f>
        <v/>
      </c>
      <c r="AJ354" t="str">
        <f ca="1">IFERROR(IF(0=LEN(ReferenceData!$AJ$354),"",ReferenceData!$AJ$354),"")</f>
        <v/>
      </c>
      <c r="AK354" t="str">
        <f ca="1">IFERROR(IF(0=LEN(ReferenceData!$AK$354),"",ReferenceData!$AK$354),"")</f>
        <v/>
      </c>
      <c r="AL354" t="str">
        <f ca="1">IFERROR(IF(0=LEN(ReferenceData!$AL$354),"",ReferenceData!$AL$354),"")</f>
        <v/>
      </c>
      <c r="AM354" t="str">
        <f ca="1">IFERROR(IF(0=LEN(ReferenceData!$AM$354),"",ReferenceData!$AM$354),"")</f>
        <v/>
      </c>
      <c r="AN354" t="str">
        <f ca="1">IFERROR(IF(0=LEN(ReferenceData!$AN$354),"",ReferenceData!$AN$354),"")</f>
        <v/>
      </c>
      <c r="AO354" t="str">
        <f ca="1">IFERROR(IF(0=LEN(ReferenceData!$AO$354),"",ReferenceData!$AO$354),"")</f>
        <v/>
      </c>
      <c r="AP354" t="str">
        <f ca="1">IFERROR(IF(0=LEN(ReferenceData!$AP$354),"",ReferenceData!$AP$354),"")</f>
        <v/>
      </c>
      <c r="AQ354" t="str">
        <f ca="1">IFERROR(IF(0=LEN(ReferenceData!$AQ$354),"",ReferenceData!$AQ$354),"")</f>
        <v/>
      </c>
      <c r="AR354" t="str">
        <f ca="1">IFERROR(IF(0=LEN(ReferenceData!$AR$354),"",ReferenceData!$AR$354),"")</f>
        <v/>
      </c>
      <c r="AS354" t="str">
        <f ca="1">IFERROR(IF(0=LEN(ReferenceData!$AS$354),"",ReferenceData!$AS$354),"")</f>
        <v/>
      </c>
      <c r="AT354" t="str">
        <f ca="1">IFERROR(IF(0=LEN(ReferenceData!$AT$354),"",ReferenceData!$AT$354),"")</f>
        <v/>
      </c>
      <c r="AU354" t="str">
        <f ca="1">IFERROR(IF(0=LEN(ReferenceData!$AU$354),"",ReferenceData!$AU$354),"")</f>
        <v/>
      </c>
      <c r="AV354" t="str">
        <f ca="1">IFERROR(IF(0=LEN(ReferenceData!$AV$354),"",ReferenceData!$AV$354),"")</f>
        <v/>
      </c>
      <c r="AW354" t="str">
        <f ca="1">IFERROR(IF(0=LEN(ReferenceData!$AW$354),"",ReferenceData!$AW$354),"")</f>
        <v/>
      </c>
      <c r="AX354" t="str">
        <f ca="1">IFERROR(IF(0=LEN(ReferenceData!$AX$354),"",ReferenceData!$AX$354),"")</f>
        <v/>
      </c>
      <c r="AY354" t="str">
        <f ca="1">IFERROR(IF(0=LEN(ReferenceData!$AY$354),"",ReferenceData!$AY$354),"")</f>
        <v/>
      </c>
      <c r="AZ354" t="str">
        <f ca="1">IFERROR(IF(0=LEN(ReferenceData!$AZ$354),"",ReferenceData!$AZ$354),"")</f>
        <v/>
      </c>
      <c r="BA354" t="str">
        <f ca="1">IFERROR(IF(0=LEN(ReferenceData!$BA$354),"",ReferenceData!$BA$354),"")</f>
        <v/>
      </c>
      <c r="BB354" t="str">
        <f ca="1">IFERROR(IF(0=LEN(ReferenceData!$BB$354),"",ReferenceData!$BB$354),"")</f>
        <v/>
      </c>
      <c r="BC354" t="str">
        <f ca="1">IFERROR(IF(0=LEN(ReferenceData!$BC$354),"",ReferenceData!$BC$354),"")</f>
        <v/>
      </c>
      <c r="BD354" t="str">
        <f ca="1">IFERROR(IF(0=LEN(ReferenceData!$BD$354),"",ReferenceData!$BD$354),"")</f>
        <v/>
      </c>
      <c r="BE354" t="str">
        <f ca="1">IFERROR(IF(0=LEN(ReferenceData!$BE$354),"",ReferenceData!$BE$354),"")</f>
        <v/>
      </c>
      <c r="BF354" t="str">
        <f ca="1">IFERROR(IF(0=LEN(ReferenceData!$BF$354),"",ReferenceData!$BF$354),"")</f>
        <v/>
      </c>
      <c r="BG354" t="str">
        <f ca="1">IFERROR(IF(0=LEN(ReferenceData!$BG$354),"",ReferenceData!$BG$354),"")</f>
        <v/>
      </c>
      <c r="BH354" t="str">
        <f ca="1">IFERROR(IF(0=LEN(ReferenceData!$BH$354),"",ReferenceData!$BH$354),"")</f>
        <v/>
      </c>
      <c r="BI354" t="str">
        <f ca="1">IFERROR(IF(0=LEN(ReferenceData!$BI$354),"",ReferenceData!$BI$354),"")</f>
        <v/>
      </c>
      <c r="BJ354" t="str">
        <f ca="1">IFERROR(IF(0=LEN(ReferenceData!$BJ$354),"",ReferenceData!$BJ$354),"")</f>
        <v/>
      </c>
      <c r="BK354" t="str">
        <f ca="1">IFERROR(IF(0=LEN(ReferenceData!$BK$354),"",ReferenceData!$BK$354),"")</f>
        <v/>
      </c>
      <c r="BL354" t="str">
        <f ca="1">IFERROR(IF(0=LEN(ReferenceData!$BL$354),"",ReferenceData!$BL$354),"")</f>
        <v/>
      </c>
      <c r="BM354" t="str">
        <f ca="1">IFERROR(IF(0=LEN(ReferenceData!$BM$354),"",ReferenceData!$BM$354),"")</f>
        <v/>
      </c>
    </row>
    <row r="355" spans="1:65">
      <c r="A355" t="str">
        <f>IFERROR(IF(0=LEN(ReferenceData!$A$355),"",ReferenceData!$A$355),"")</f>
        <v xml:space="preserve">    Weingarten Realty Investors</v>
      </c>
      <c r="B355" t="str">
        <f>IFERROR(IF(0=LEN(ReferenceData!$B$355),"",ReferenceData!$B$355),"")</f>
        <v>WRI US Equity</v>
      </c>
      <c r="C355" t="str">
        <f>IFERROR(IF(0=LEN(ReferenceData!$C$355),"",ReferenceData!$C$355),"")</f>
        <v>BS658</v>
      </c>
      <c r="D355" t="str">
        <f>IFERROR(IF(0=LEN(ReferenceData!$D$355),"",ReferenceData!$D$355),"")</f>
        <v>BS_YEAR_1_PRINCIPAL</v>
      </c>
      <c r="E355" t="str">
        <f>IFERROR(IF(0=LEN(ReferenceData!$E$355),"",ReferenceData!$E$355),"")</f>
        <v>动态</v>
      </c>
      <c r="F355" t="str">
        <f ca="1">IFERROR(IF(0=LEN(ReferenceData!$F$355),"",ReferenceData!$F$355),"")</f>
        <v/>
      </c>
      <c r="G355">
        <f ca="1">IFERROR(IF(0=LEN(ReferenceData!$G$355),"",ReferenceData!$G$355),"")</f>
        <v>113.42700000000001</v>
      </c>
      <c r="H355">
        <f ca="1">IFERROR(IF(0=LEN(ReferenceData!$H$355),"",ReferenceData!$H$355),"")</f>
        <v>38.506</v>
      </c>
      <c r="I355">
        <f ca="1">IFERROR(IF(0=LEN(ReferenceData!$I$355),"",ReferenceData!$I$355),"")</f>
        <v>40.401000000000003</v>
      </c>
      <c r="J355">
        <f ca="1">IFERROR(IF(0=LEN(ReferenceData!$J$355),"",ReferenceData!$J$355),"")</f>
        <v>67.268000000000001</v>
      </c>
      <c r="K355">
        <f ca="1">IFERROR(IF(0=LEN(ReferenceData!$K$355),"",ReferenceData!$K$355),"")</f>
        <v>86.71</v>
      </c>
      <c r="L355">
        <f ca="1">IFERROR(IF(0=LEN(ReferenceData!$L$355),"",ReferenceData!$L$355),"")</f>
        <v>76.938999999999993</v>
      </c>
      <c r="M355">
        <f ca="1">IFERROR(IF(0=LEN(ReferenceData!$M$355),"",ReferenceData!$M$355),"")</f>
        <v>78.834999999999994</v>
      </c>
      <c r="N355">
        <f ca="1">IFERROR(IF(0=LEN(ReferenceData!$N$355),"",ReferenceData!$N$355),"")</f>
        <v>158.49199999999999</v>
      </c>
      <c r="O355">
        <f ca="1">IFERROR(IF(0=LEN(ReferenceData!$O$355),"",ReferenceData!$O$355),"")</f>
        <v>161.86799999999999</v>
      </c>
      <c r="P355">
        <f ca="1">IFERROR(IF(0=LEN(ReferenceData!$P$355),"",ReferenceData!$P$355),"")</f>
        <v>2.7610000000000001</v>
      </c>
      <c r="Q355">
        <f ca="1">IFERROR(IF(0=LEN(ReferenceData!$Q$355),"",ReferenceData!$Q$355),"")</f>
        <v>24.847000000000001</v>
      </c>
      <c r="R355">
        <f ca="1">IFERROR(IF(0=LEN(ReferenceData!$R$355),"",ReferenceData!$R$355),"")</f>
        <v>114.054</v>
      </c>
      <c r="S355" t="str">
        <f ca="1">IFERROR(IF(0=LEN(ReferenceData!$S$355),"",ReferenceData!$S$355),"")</f>
        <v/>
      </c>
      <c r="T355">
        <f ca="1">IFERROR(IF(0=LEN(ReferenceData!$T$355),"",ReferenceData!$T$355),"")</f>
        <v>134.15899999999999</v>
      </c>
      <c r="U355">
        <f ca="1">IFERROR(IF(0=LEN(ReferenceData!$U$355),"",ReferenceData!$U$355),"")</f>
        <v>374.1</v>
      </c>
      <c r="V355">
        <f ca="1">IFERROR(IF(0=LEN(ReferenceData!$V$355),"",ReferenceData!$V$355),"")</f>
        <v>48.65</v>
      </c>
      <c r="W355">
        <f ca="1">IFERROR(IF(0=LEN(ReferenceData!$W$355),"",ReferenceData!$W$355),"")</f>
        <v>368.858</v>
      </c>
      <c r="X355">
        <f ca="1">IFERROR(IF(0=LEN(ReferenceData!$X$355),"",ReferenceData!$X$355),"")</f>
        <v>65.727000000000004</v>
      </c>
      <c r="Y355">
        <f ca="1">IFERROR(IF(0=LEN(ReferenceData!$Y$355),"",ReferenceData!$Y$355),"")</f>
        <v>623.899</v>
      </c>
      <c r="Z355">
        <f ca="1">IFERROR(IF(0=LEN(ReferenceData!$Z$355),"",ReferenceData!$Z$355),"")</f>
        <v>456.34399999999999</v>
      </c>
      <c r="AA355">
        <f ca="1">IFERROR(IF(0=LEN(ReferenceData!$AA$355),"",ReferenceData!$AA$355),"")</f>
        <v>349.108</v>
      </c>
      <c r="AB355">
        <f ca="1">IFERROR(IF(0=LEN(ReferenceData!$AB$355),"",ReferenceData!$AB$355),"")</f>
        <v>162.02099999999999</v>
      </c>
      <c r="AC355">
        <f ca="1">IFERROR(IF(0=LEN(ReferenceData!$AC$355),"",ReferenceData!$AC$355),"")</f>
        <v>171.02199999999999</v>
      </c>
      <c r="AD355">
        <f ca="1">IFERROR(IF(0=LEN(ReferenceData!$AD$355),"",ReferenceData!$AD$355),"")</f>
        <v>460.65199999999999</v>
      </c>
      <c r="AE355">
        <f ca="1">IFERROR(IF(0=LEN(ReferenceData!$AE$355),"",ReferenceData!$AE$355),"")</f>
        <v>495.226</v>
      </c>
      <c r="AF355">
        <f ca="1">IFERROR(IF(0=LEN(ReferenceData!$AF$355),"",ReferenceData!$AF$355),"")</f>
        <v>40.628999999999998</v>
      </c>
      <c r="AG355">
        <f ca="1">IFERROR(IF(0=LEN(ReferenceData!$AG$355),"",ReferenceData!$AG$355),"")</f>
        <v>320.20400000000001</v>
      </c>
      <c r="AH355">
        <f ca="1">IFERROR(IF(0=LEN(ReferenceData!$AH$355),"",ReferenceData!$AH$355),"")</f>
        <v>197.786</v>
      </c>
      <c r="AI355">
        <f ca="1">IFERROR(IF(0=LEN(ReferenceData!$AI$355),"",ReferenceData!$AI$355),"")</f>
        <v>212.26400000000001</v>
      </c>
      <c r="AJ355">
        <f ca="1">IFERROR(IF(0=LEN(ReferenceData!$AJ$355),"",ReferenceData!$AJ$355),"")</f>
        <v>57.966999999999999</v>
      </c>
      <c r="AK355">
        <f ca="1">IFERROR(IF(0=LEN(ReferenceData!$AK$355),"",ReferenceData!$AK$355),"")</f>
        <v>148.58099999999999</v>
      </c>
      <c r="AL355">
        <f ca="1">IFERROR(IF(0=LEN(ReferenceData!$AL$355),"",ReferenceData!$AL$355),"")</f>
        <v>210.87200000000001</v>
      </c>
      <c r="AM355">
        <f ca="1">IFERROR(IF(0=LEN(ReferenceData!$AM$355),"",ReferenceData!$AM$355),"")</f>
        <v>108.64400000000001</v>
      </c>
      <c r="AN355">
        <f ca="1">IFERROR(IF(0=LEN(ReferenceData!$AN$355),"",ReferenceData!$AN$355),"")</f>
        <v>55.716999999999999</v>
      </c>
      <c r="AO355">
        <f ca="1">IFERROR(IF(0=LEN(ReferenceData!$AO$355),"",ReferenceData!$AO$355),"")</f>
        <v>460.23099999999999</v>
      </c>
      <c r="AP355">
        <f ca="1">IFERROR(IF(0=LEN(ReferenceData!$AP$355),"",ReferenceData!$AP$355),"")</f>
        <v>212.488</v>
      </c>
      <c r="AQ355">
        <f ca="1">IFERROR(IF(0=LEN(ReferenceData!$AQ$355),"",ReferenceData!$AQ$355),"")</f>
        <v>96.986999999999995</v>
      </c>
      <c r="AR355">
        <f ca="1">IFERROR(IF(0=LEN(ReferenceData!$AR$355),"",ReferenceData!$AR$355),"")</f>
        <v>79.384</v>
      </c>
      <c r="AS355">
        <f ca="1">IFERROR(IF(0=LEN(ReferenceData!$AS$355),"",ReferenceData!$AS$355),"")</f>
        <v>184.642</v>
      </c>
      <c r="AT355">
        <f ca="1">IFERROR(IF(0=LEN(ReferenceData!$AT$355),"",ReferenceData!$AT$355),"")</f>
        <v>255.471</v>
      </c>
      <c r="AU355">
        <f ca="1">IFERROR(IF(0=LEN(ReferenceData!$AU$355),"",ReferenceData!$AU$355),"")</f>
        <v>254.50899999999999</v>
      </c>
      <c r="AV355">
        <f ca="1">IFERROR(IF(0=LEN(ReferenceData!$AV$355),"",ReferenceData!$AV$355),"")</f>
        <v>26.853000000000002</v>
      </c>
      <c r="AW355">
        <f ca="1">IFERROR(IF(0=LEN(ReferenceData!$AW$355),"",ReferenceData!$AW$355),"")</f>
        <v>41.786000000000001</v>
      </c>
      <c r="AX355">
        <f ca="1">IFERROR(IF(0=LEN(ReferenceData!$AX$355),"",ReferenceData!$AX$355),"")</f>
        <v>255.023</v>
      </c>
      <c r="AY355">
        <f ca="1">IFERROR(IF(0=LEN(ReferenceData!$AY$355),"",ReferenceData!$AY$355),"")</f>
        <v>114.098</v>
      </c>
      <c r="AZ355">
        <f ca="1">IFERROR(IF(0=LEN(ReferenceData!$AZ$355),"",ReferenceData!$AZ$355),"")</f>
        <v>329.02800000000002</v>
      </c>
      <c r="BA355">
        <f ca="1">IFERROR(IF(0=LEN(ReferenceData!$BA$355),"",ReferenceData!$BA$355),"")</f>
        <v>410.37799999999999</v>
      </c>
      <c r="BB355">
        <f ca="1">IFERROR(IF(0=LEN(ReferenceData!$BB$355),"",ReferenceData!$BB$355),"")</f>
        <v>37.594000000000001</v>
      </c>
      <c r="BC355">
        <f ca="1">IFERROR(IF(0=LEN(ReferenceData!$BC$355),"",ReferenceData!$BC$355),"")</f>
        <v>41.457000000000001</v>
      </c>
      <c r="BD355" t="str">
        <f ca="1">IFERROR(IF(0=LEN(ReferenceData!$BD$355),"",ReferenceData!$BD$355),"")</f>
        <v/>
      </c>
      <c r="BE355" t="str">
        <f ca="1">IFERROR(IF(0=LEN(ReferenceData!$BE$355),"",ReferenceData!$BE$355),"")</f>
        <v/>
      </c>
      <c r="BF355" t="str">
        <f ca="1">IFERROR(IF(0=LEN(ReferenceData!$BF$355),"",ReferenceData!$BF$355),"")</f>
        <v/>
      </c>
      <c r="BG355" t="str">
        <f ca="1">IFERROR(IF(0=LEN(ReferenceData!$BG$355),"",ReferenceData!$BG$355),"")</f>
        <v/>
      </c>
      <c r="BH355" t="str">
        <f ca="1">IFERROR(IF(0=LEN(ReferenceData!$BH$355),"",ReferenceData!$BH$355),"")</f>
        <v/>
      </c>
      <c r="BI355" t="str">
        <f ca="1">IFERROR(IF(0=LEN(ReferenceData!$BI$355),"",ReferenceData!$BI$355),"")</f>
        <v/>
      </c>
      <c r="BJ355" t="str">
        <f ca="1">IFERROR(IF(0=LEN(ReferenceData!$BJ$355),"",ReferenceData!$BJ$355),"")</f>
        <v/>
      </c>
      <c r="BK355" t="str">
        <f ca="1">IFERROR(IF(0=LEN(ReferenceData!$BK$355),"",ReferenceData!$BK$355),"")</f>
        <v/>
      </c>
      <c r="BL355" t="str">
        <f ca="1">IFERROR(IF(0=LEN(ReferenceData!$BL$355),"",ReferenceData!$BL$355),"")</f>
        <v/>
      </c>
      <c r="BM355" t="str">
        <f ca="1">IFERROR(IF(0=LEN(ReferenceData!$BM$355),"",ReferenceData!$BM$355),"")</f>
        <v/>
      </c>
    </row>
    <row r="356" spans="1:65">
      <c r="A356" t="str">
        <f>IFERROR(IF(0=LEN(ReferenceData!$A$356),"",ReferenceData!$A$356),"")</f>
        <v>自由现金流减去资本支出</v>
      </c>
      <c r="B356" t="str">
        <f>IFERROR(IF(0=LEN(ReferenceData!$B$356),"",ReferenceData!$B$356),"")</f>
        <v/>
      </c>
      <c r="C356" t="str">
        <f>IFERROR(IF(0=LEN(ReferenceData!$C$356),"",ReferenceData!$C$356),"")</f>
        <v/>
      </c>
      <c r="D356" t="str">
        <f>IFERROR(IF(0=LEN(ReferenceData!$D$356),"",ReferenceData!$D$356),"")</f>
        <v/>
      </c>
      <c r="E356" t="str">
        <f>IFERROR(IF(0=LEN(ReferenceData!$E$356),"",ReferenceData!$E$356),"")</f>
        <v>Median</v>
      </c>
      <c r="F356" t="str">
        <f ca="1">IFERROR(IF(0=LEN(ReferenceData!$F$356),"",ReferenceData!$F$356),"")</f>
        <v/>
      </c>
      <c r="G356">
        <f ca="1">IFERROR(IF(0=LEN(ReferenceData!$G$356),"",ReferenceData!$G$356),"")</f>
        <v>10.33</v>
      </c>
      <c r="H356">
        <f ca="1">IFERROR(IF(0=LEN(ReferenceData!$H$356),"",ReferenceData!$H$356),"")</f>
        <v>46.335000000000001</v>
      </c>
      <c r="I356">
        <f ca="1">IFERROR(IF(0=LEN(ReferenceData!$I$356),"",ReferenceData!$I$356),"")</f>
        <v>42.398000000000003</v>
      </c>
      <c r="J356">
        <f ca="1">IFERROR(IF(0=LEN(ReferenceData!$J$356),"",ReferenceData!$J$356),"")</f>
        <v>14.129</v>
      </c>
      <c r="K356">
        <f ca="1">IFERROR(IF(0=LEN(ReferenceData!$K$356),"",ReferenceData!$K$356),"")</f>
        <v>11.182</v>
      </c>
      <c r="L356">
        <f ca="1">IFERROR(IF(0=LEN(ReferenceData!$L$356),"",ReferenceData!$L$356),"")</f>
        <v>22.510999999999999</v>
      </c>
      <c r="M356">
        <f ca="1">IFERROR(IF(0=LEN(ReferenceData!$M$356),"",ReferenceData!$M$356),"")</f>
        <v>10.646000000000001</v>
      </c>
      <c r="N356">
        <f ca="1">IFERROR(IF(0=LEN(ReferenceData!$N$356),"",ReferenceData!$N$356),"")</f>
        <v>29.279</v>
      </c>
      <c r="O356">
        <f ca="1">IFERROR(IF(0=LEN(ReferenceData!$O$356),"",ReferenceData!$O$356),"")</f>
        <v>4.085</v>
      </c>
      <c r="P356">
        <f ca="1">IFERROR(IF(0=LEN(ReferenceData!$P$356),"",ReferenceData!$P$356),"")</f>
        <v>24.251999999999999</v>
      </c>
      <c r="Q356">
        <f ca="1">IFERROR(IF(0=LEN(ReferenceData!$Q$356),"",ReferenceData!$Q$356),"")</f>
        <v>-0.189</v>
      </c>
      <c r="R356">
        <f ca="1">IFERROR(IF(0=LEN(ReferenceData!$R$356),"",ReferenceData!$R$356),"")</f>
        <v>-4.5890000000000004</v>
      </c>
      <c r="S356">
        <f ca="1">IFERROR(IF(0=LEN(ReferenceData!$S$356),"",ReferenceData!$S$356),"")</f>
        <v>12.359</v>
      </c>
      <c r="T356">
        <f ca="1">IFERROR(IF(0=LEN(ReferenceData!$T$356),"",ReferenceData!$T$356),"")</f>
        <v>26.774999999999999</v>
      </c>
      <c r="U356">
        <f ca="1">IFERROR(IF(0=LEN(ReferenceData!$U$356),"",ReferenceData!$U$356),"")</f>
        <v>11.074999999999999</v>
      </c>
      <c r="V356">
        <f ca="1">IFERROR(IF(0=LEN(ReferenceData!$V$356),"",ReferenceData!$V$356),"")</f>
        <v>26.852</v>
      </c>
      <c r="W356">
        <f ca="1">IFERROR(IF(0=LEN(ReferenceData!$W$356),"",ReferenceData!$W$356),"")</f>
        <v>-5.7575000000000003</v>
      </c>
      <c r="X356">
        <f ca="1">IFERROR(IF(0=LEN(ReferenceData!$X$356),"",ReferenceData!$X$356),"")</f>
        <v>27.666499999999999</v>
      </c>
      <c r="Y356">
        <f ca="1">IFERROR(IF(0=LEN(ReferenceData!$Y$356),"",ReferenceData!$Y$356),"")</f>
        <v>2.2190000000000003</v>
      </c>
      <c r="Z356">
        <f ca="1">IFERROR(IF(0=LEN(ReferenceData!$Z$356),"",ReferenceData!$Z$356),"")</f>
        <v>13.163</v>
      </c>
      <c r="AA356">
        <f ca="1">IFERROR(IF(0=LEN(ReferenceData!$AA$356),"",ReferenceData!$AA$356),"")</f>
        <v>3.4910470000000005</v>
      </c>
      <c r="AB356">
        <f ca="1">IFERROR(IF(0=LEN(ReferenceData!$AB$356),"",ReferenceData!$AB$356),"")</f>
        <v>3.7831590000000004</v>
      </c>
      <c r="AC356">
        <f ca="1">IFERROR(IF(0=LEN(ReferenceData!$AC$356),"",ReferenceData!$AC$356),"")</f>
        <v>12.027138000000001</v>
      </c>
      <c r="AD356">
        <f ca="1">IFERROR(IF(0=LEN(ReferenceData!$AD$356),"",ReferenceData!$AD$356),"")</f>
        <v>8.5990000000000002</v>
      </c>
      <c r="AE356">
        <f ca="1">IFERROR(IF(0=LEN(ReferenceData!$AE$356),"",ReferenceData!$AE$356),"")</f>
        <v>0.67700000000000005</v>
      </c>
      <c r="AF356">
        <f ca="1">IFERROR(IF(0=LEN(ReferenceData!$AF$356),"",ReferenceData!$AF$356),"")</f>
        <v>0.97699999999999998</v>
      </c>
      <c r="AG356">
        <f ca="1">IFERROR(IF(0=LEN(ReferenceData!$AG$356),"",ReferenceData!$AG$356),"")</f>
        <v>28.669</v>
      </c>
      <c r="AH356">
        <f ca="1">IFERROR(IF(0=LEN(ReferenceData!$AH$356),"",ReferenceData!$AH$356),"")</f>
        <v>14.57</v>
      </c>
      <c r="AI356">
        <f ca="1">IFERROR(IF(0=LEN(ReferenceData!$AI$356),"",ReferenceData!$AI$356),"")</f>
        <v>3.9750000000000001</v>
      </c>
      <c r="AJ356">
        <f ca="1">IFERROR(IF(0=LEN(ReferenceData!$AJ$356),"",ReferenceData!$AJ$356),"")</f>
        <v>17.629000000000001</v>
      </c>
      <c r="AK356">
        <f ca="1">IFERROR(IF(0=LEN(ReferenceData!$AK$356),"",ReferenceData!$AK$356),"")</f>
        <v>38.683999999999997</v>
      </c>
      <c r="AL356">
        <f ca="1">IFERROR(IF(0=LEN(ReferenceData!$AL$356),"",ReferenceData!$AL$356),"")</f>
        <v>27.554499999999997</v>
      </c>
      <c r="AM356">
        <f ca="1">IFERROR(IF(0=LEN(ReferenceData!$AM$356),"",ReferenceData!$AM$356),"")</f>
        <v>14.940999999999999</v>
      </c>
      <c r="AN356">
        <f ca="1">IFERROR(IF(0=LEN(ReferenceData!$AN$356),"",ReferenceData!$AN$356),"")</f>
        <v>36.332499999999996</v>
      </c>
      <c r="AO356">
        <f ca="1">IFERROR(IF(0=LEN(ReferenceData!$AO$356),"",ReferenceData!$AO$356),"")</f>
        <v>30.673500000000001</v>
      </c>
      <c r="AP356">
        <f ca="1">IFERROR(IF(0=LEN(ReferenceData!$AP$356),"",ReferenceData!$AP$356),"")</f>
        <v>31.792999999999999</v>
      </c>
      <c r="AQ356">
        <f ca="1">IFERROR(IF(0=LEN(ReferenceData!$AQ$356),"",ReferenceData!$AQ$356),"")</f>
        <v>-2.9794999999999998</v>
      </c>
      <c r="AR356">
        <f ca="1">IFERROR(IF(0=LEN(ReferenceData!$AR$356),"",ReferenceData!$AR$356),"")</f>
        <v>14.821</v>
      </c>
      <c r="AS356">
        <f ca="1">IFERROR(IF(0=LEN(ReferenceData!$AS$356),"",ReferenceData!$AS$356),"")</f>
        <v>-14.198999999999998</v>
      </c>
      <c r="AT356">
        <f ca="1">IFERROR(IF(0=LEN(ReferenceData!$AT$356),"",ReferenceData!$AT$356),"")</f>
        <v>-39.624000000000002</v>
      </c>
      <c r="AU356">
        <f ca="1">IFERROR(IF(0=LEN(ReferenceData!$AU$356),"",ReferenceData!$AU$356),"")</f>
        <v>-36.077500000000001</v>
      </c>
      <c r="AV356">
        <f ca="1">IFERROR(IF(0=LEN(ReferenceData!$AV$356),"",ReferenceData!$AV$356),"")</f>
        <v>-59.712499999999999</v>
      </c>
      <c r="AW356">
        <f ca="1">IFERROR(IF(0=LEN(ReferenceData!$AW$356),"",ReferenceData!$AW$356),"")</f>
        <v>-34.825000000000003</v>
      </c>
      <c r="AX356">
        <f ca="1">IFERROR(IF(0=LEN(ReferenceData!$AX$356),"",ReferenceData!$AX$356),"")</f>
        <v>-28.358499999999999</v>
      </c>
      <c r="AY356">
        <f ca="1">IFERROR(IF(0=LEN(ReferenceData!$AY$356),"",ReferenceData!$AY$356),"")</f>
        <v>-76.201501014999991</v>
      </c>
      <c r="AZ356">
        <f ca="1">IFERROR(IF(0=LEN(ReferenceData!$AZ$356),"",ReferenceData!$AZ$356),"")</f>
        <v>-73.376499999999993</v>
      </c>
      <c r="BA356">
        <f ca="1">IFERROR(IF(0=LEN(ReferenceData!$BA$356),"",ReferenceData!$BA$356),"")</f>
        <v>-15.634498765</v>
      </c>
      <c r="BB356">
        <f ca="1">IFERROR(IF(0=LEN(ReferenceData!$BB$356),"",ReferenceData!$BB$356),"")</f>
        <v>-16.2395</v>
      </c>
      <c r="BC356">
        <f ca="1">IFERROR(IF(0=LEN(ReferenceData!$BC$356),"",ReferenceData!$BC$356),"")</f>
        <v>-103.32899999999999</v>
      </c>
      <c r="BD356">
        <f ca="1">IFERROR(IF(0=LEN(ReferenceData!$BD$356),"",ReferenceData!$BD$356),"")</f>
        <v>-18.220998760000001</v>
      </c>
      <c r="BE356">
        <f ca="1">IFERROR(IF(0=LEN(ReferenceData!$BE$356),"",ReferenceData!$BE$356),"")</f>
        <v>1.8325</v>
      </c>
      <c r="BF356">
        <f ca="1">IFERROR(IF(0=LEN(ReferenceData!$BF$356),"",ReferenceData!$BF$356),"")</f>
        <v>-33.088000000000001</v>
      </c>
      <c r="BG356">
        <f ca="1">IFERROR(IF(0=LEN(ReferenceData!$BG$356),"",ReferenceData!$BG$356),"")</f>
        <v>-55.830500000000001</v>
      </c>
      <c r="BH356">
        <f ca="1">IFERROR(IF(0=LEN(ReferenceData!$BH$356),"",ReferenceData!$BH$356),"")</f>
        <v>-3.5289999999999999</v>
      </c>
      <c r="BI356">
        <f ca="1">IFERROR(IF(0=LEN(ReferenceData!$BI$356),"",ReferenceData!$BI$356),"")</f>
        <v>-32.686500244999998</v>
      </c>
      <c r="BJ356">
        <f ca="1">IFERROR(IF(0=LEN(ReferenceData!$BJ$356),"",ReferenceData!$BJ$356),"")</f>
        <v>-42.163000165</v>
      </c>
      <c r="BK356">
        <f ca="1">IFERROR(IF(0=LEN(ReferenceData!$BK$356),"",ReferenceData!$BK$356),"")</f>
        <v>-141.32300565</v>
      </c>
      <c r="BL356">
        <f ca="1">IFERROR(IF(0=LEN(ReferenceData!$BL$356),"",ReferenceData!$BL$356),"")</f>
        <v>-48.048996500000001</v>
      </c>
      <c r="BM356">
        <f ca="1">IFERROR(IF(0=LEN(ReferenceData!$BM$356),"",ReferenceData!$BM$356),"")</f>
        <v>-19.215499999999999</v>
      </c>
    </row>
    <row r="357" spans="1:65">
      <c r="A357" t="str">
        <f>IFERROR(IF(0=LEN(ReferenceData!$A$357),"",ReferenceData!$A$357),"")</f>
        <v xml:space="preserve">    Brixmor Property Group Inc</v>
      </c>
      <c r="B357" t="str">
        <f>IFERROR(IF(0=LEN(ReferenceData!$B$357),"",ReferenceData!$B$357),"")</f>
        <v>BRX US Equity</v>
      </c>
      <c r="C357" t="str">
        <f>IFERROR(IF(0=LEN(ReferenceData!$C$357),"",ReferenceData!$C$357),"")</f>
        <v>RR008</v>
      </c>
      <c r="D357" t="str">
        <f>IFERROR(IF(0=LEN(ReferenceData!$D$357),"",ReferenceData!$D$357),"")</f>
        <v>CF_FREE_CASH_FLOW</v>
      </c>
      <c r="E357" t="str">
        <f>IFERROR(IF(0=LEN(ReferenceData!$E$357),"",ReferenceData!$E$357),"")</f>
        <v>动态</v>
      </c>
      <c r="F357" t="str">
        <f ca="1">IFERROR(IF(0=LEN(ReferenceData!$F$357),"",ReferenceData!$F$357),"")</f>
        <v/>
      </c>
      <c r="G357" t="str">
        <f ca="1">IFERROR(IF(0=LEN(ReferenceData!$G$357),"",ReferenceData!$G$357),"")</f>
        <v/>
      </c>
      <c r="H357">
        <f ca="1">IFERROR(IF(0=LEN(ReferenceData!$H$357),"",ReferenceData!$H$357),"")</f>
        <v>73.789000000000001</v>
      </c>
      <c r="I357">
        <f ca="1">IFERROR(IF(0=LEN(ReferenceData!$I$357),"",ReferenceData!$I$357),"")</f>
        <v>138.398</v>
      </c>
      <c r="J357">
        <f ca="1">IFERROR(IF(0=LEN(ReferenceData!$J$357),"",ReferenceData!$J$357),"")</f>
        <v>68.89</v>
      </c>
      <c r="K357">
        <f ca="1">IFERROR(IF(0=LEN(ReferenceData!$K$357),"",ReferenceData!$K$357),"")</f>
        <v>92.367999999999995</v>
      </c>
      <c r="L357">
        <f ca="1">IFERROR(IF(0=LEN(ReferenceData!$L$357),"",ReferenceData!$L$357),"")</f>
        <v>95.850999999999999</v>
      </c>
      <c r="M357">
        <f ca="1">IFERROR(IF(0=LEN(ReferenceData!$M$357),"",ReferenceData!$M$357),"")</f>
        <v>114.88500000000001</v>
      </c>
      <c r="N357">
        <f ca="1">IFERROR(IF(0=LEN(ReferenceData!$N$357),"",ReferenceData!$N$357),"")</f>
        <v>79.775000000000006</v>
      </c>
      <c r="O357">
        <f ca="1">IFERROR(IF(0=LEN(ReferenceData!$O$357),"",ReferenceData!$O$357),"")</f>
        <v>79.56</v>
      </c>
      <c r="P357">
        <f ca="1">IFERROR(IF(0=LEN(ReferenceData!$P$357),"",ReferenceData!$P$357),"")</f>
        <v>91.013000000000005</v>
      </c>
      <c r="Q357">
        <f ca="1">IFERROR(IF(0=LEN(ReferenceData!$Q$357),"",ReferenceData!$Q$357),"")</f>
        <v>100.992</v>
      </c>
      <c r="R357">
        <f ca="1">IFERROR(IF(0=LEN(ReferenceData!$R$357),"",ReferenceData!$R$357),"")</f>
        <v>72.525999999999996</v>
      </c>
      <c r="S357">
        <f ca="1">IFERROR(IF(0=LEN(ReferenceData!$S$357),"",ReferenceData!$S$357),"")</f>
        <v>38.741</v>
      </c>
      <c r="T357">
        <f ca="1">IFERROR(IF(0=LEN(ReferenceData!$T$357),"",ReferenceData!$T$357),"")</f>
        <v>95.944999999999993</v>
      </c>
      <c r="U357">
        <f ca="1">IFERROR(IF(0=LEN(ReferenceData!$U$357),"",ReferenceData!$U$357),"")</f>
        <v>83.745000000000005</v>
      </c>
      <c r="V357">
        <f ca="1">IFERROR(IF(0=LEN(ReferenceData!$V$357),"",ReferenceData!$V$357),"")</f>
        <v>46.100999999999999</v>
      </c>
      <c r="W357">
        <f ca="1">IFERROR(IF(0=LEN(ReferenceData!$W$357),"",ReferenceData!$W$357),"")</f>
        <v>91.043000000000006</v>
      </c>
      <c r="X357">
        <f ca="1">IFERROR(IF(0=LEN(ReferenceData!$X$357),"",ReferenceData!$X$357),"")</f>
        <v>46.826000000000001</v>
      </c>
      <c r="Y357">
        <f ca="1">IFERROR(IF(0=LEN(ReferenceData!$Y$357),"",ReferenceData!$Y$357),"")</f>
        <v>45.31</v>
      </c>
      <c r="Z357">
        <f ca="1">IFERROR(IF(0=LEN(ReferenceData!$Z$357),"",ReferenceData!$Z$357),"")</f>
        <v>-1.651</v>
      </c>
      <c r="AA357">
        <f ca="1">IFERROR(IF(0=LEN(ReferenceData!$AA$357),"",ReferenceData!$AA$357),"")</f>
        <v>31.504999999999999</v>
      </c>
      <c r="AB357">
        <f ca="1">IFERROR(IF(0=LEN(ReferenceData!$AB$357),"",ReferenceData!$AB$357),"")</f>
        <v>26.047000000000001</v>
      </c>
      <c r="AC357">
        <f ca="1">IFERROR(IF(0=LEN(ReferenceData!$AC$357),"",ReferenceData!$AC$357),"")</f>
        <v>27.158999999999999</v>
      </c>
      <c r="AD357">
        <f ca="1">IFERROR(IF(0=LEN(ReferenceData!$AD$357),"",ReferenceData!$AD$357),"")</f>
        <v>1.923</v>
      </c>
      <c r="AE357" t="str">
        <f ca="1">IFERROR(IF(0=LEN(ReferenceData!$AE$357),"",ReferenceData!$AE$357),"")</f>
        <v/>
      </c>
      <c r="AF357" t="str">
        <f ca="1">IFERROR(IF(0=LEN(ReferenceData!$AF$357),"",ReferenceData!$AF$357),"")</f>
        <v/>
      </c>
      <c r="AG357" t="str">
        <f ca="1">IFERROR(IF(0=LEN(ReferenceData!$AG$357),"",ReferenceData!$AG$357),"")</f>
        <v/>
      </c>
      <c r="AH357" t="str">
        <f ca="1">IFERROR(IF(0=LEN(ReferenceData!$AH$357),"",ReferenceData!$AH$357),"")</f>
        <v/>
      </c>
      <c r="AI357" t="str">
        <f ca="1">IFERROR(IF(0=LEN(ReferenceData!$AI$357),"",ReferenceData!$AI$357),"")</f>
        <v/>
      </c>
      <c r="AJ357" t="str">
        <f ca="1">IFERROR(IF(0=LEN(ReferenceData!$AJ$357),"",ReferenceData!$AJ$357),"")</f>
        <v/>
      </c>
      <c r="AK357" t="str">
        <f ca="1">IFERROR(IF(0=LEN(ReferenceData!$AK$357),"",ReferenceData!$AK$357),"")</f>
        <v/>
      </c>
      <c r="AL357" t="str">
        <f ca="1">IFERROR(IF(0=LEN(ReferenceData!$AL$357),"",ReferenceData!$AL$357),"")</f>
        <v/>
      </c>
      <c r="AM357" t="str">
        <f ca="1">IFERROR(IF(0=LEN(ReferenceData!$AM$357),"",ReferenceData!$AM$357),"")</f>
        <v/>
      </c>
      <c r="AN357" t="str">
        <f ca="1">IFERROR(IF(0=LEN(ReferenceData!$AN$357),"",ReferenceData!$AN$357),"")</f>
        <v/>
      </c>
      <c r="AO357" t="str">
        <f ca="1">IFERROR(IF(0=LEN(ReferenceData!$AO$357),"",ReferenceData!$AO$357),"")</f>
        <v/>
      </c>
      <c r="AP357" t="str">
        <f ca="1">IFERROR(IF(0=LEN(ReferenceData!$AP$357),"",ReferenceData!$AP$357),"")</f>
        <v/>
      </c>
      <c r="AQ357" t="str">
        <f ca="1">IFERROR(IF(0=LEN(ReferenceData!$AQ$357),"",ReferenceData!$AQ$357),"")</f>
        <v/>
      </c>
      <c r="AR357" t="str">
        <f ca="1">IFERROR(IF(0=LEN(ReferenceData!$AR$357),"",ReferenceData!$AR$357),"")</f>
        <v/>
      </c>
      <c r="AS357" t="str">
        <f ca="1">IFERROR(IF(0=LEN(ReferenceData!$AS$357),"",ReferenceData!$AS$357),"")</f>
        <v/>
      </c>
      <c r="AT357" t="str">
        <f ca="1">IFERROR(IF(0=LEN(ReferenceData!$AT$357),"",ReferenceData!$AT$357),"")</f>
        <v/>
      </c>
      <c r="AU357" t="str">
        <f ca="1">IFERROR(IF(0=LEN(ReferenceData!$AU$357),"",ReferenceData!$AU$357),"")</f>
        <v/>
      </c>
      <c r="AV357" t="str">
        <f ca="1">IFERROR(IF(0=LEN(ReferenceData!$AV$357),"",ReferenceData!$AV$357),"")</f>
        <v/>
      </c>
      <c r="AW357" t="str">
        <f ca="1">IFERROR(IF(0=LEN(ReferenceData!$AW$357),"",ReferenceData!$AW$357),"")</f>
        <v/>
      </c>
      <c r="AX357" t="str">
        <f ca="1">IFERROR(IF(0=LEN(ReferenceData!$AX$357),"",ReferenceData!$AX$357),"")</f>
        <v/>
      </c>
      <c r="AY357" t="str">
        <f ca="1">IFERROR(IF(0=LEN(ReferenceData!$AY$357),"",ReferenceData!$AY$357),"")</f>
        <v/>
      </c>
      <c r="AZ357" t="str">
        <f ca="1">IFERROR(IF(0=LEN(ReferenceData!$AZ$357),"",ReferenceData!$AZ$357),"")</f>
        <v/>
      </c>
      <c r="BA357" t="str">
        <f ca="1">IFERROR(IF(0=LEN(ReferenceData!$BA$357),"",ReferenceData!$BA$357),"")</f>
        <v/>
      </c>
      <c r="BB357" t="str">
        <f ca="1">IFERROR(IF(0=LEN(ReferenceData!$BB$357),"",ReferenceData!$BB$357),"")</f>
        <v/>
      </c>
      <c r="BC357" t="str">
        <f ca="1">IFERROR(IF(0=LEN(ReferenceData!$BC$357),"",ReferenceData!$BC$357),"")</f>
        <v/>
      </c>
      <c r="BD357" t="str">
        <f ca="1">IFERROR(IF(0=LEN(ReferenceData!$BD$357),"",ReferenceData!$BD$357),"")</f>
        <v/>
      </c>
      <c r="BE357" t="str">
        <f ca="1">IFERROR(IF(0=LEN(ReferenceData!$BE$357),"",ReferenceData!$BE$357),"")</f>
        <v/>
      </c>
      <c r="BF357" t="str">
        <f ca="1">IFERROR(IF(0=LEN(ReferenceData!$BF$357),"",ReferenceData!$BF$357),"")</f>
        <v/>
      </c>
      <c r="BG357" t="str">
        <f ca="1">IFERROR(IF(0=LEN(ReferenceData!$BG$357),"",ReferenceData!$BG$357),"")</f>
        <v/>
      </c>
      <c r="BH357" t="str">
        <f ca="1">IFERROR(IF(0=LEN(ReferenceData!$BH$357),"",ReferenceData!$BH$357),"")</f>
        <v/>
      </c>
      <c r="BI357" t="str">
        <f ca="1">IFERROR(IF(0=LEN(ReferenceData!$BI$357),"",ReferenceData!$BI$357),"")</f>
        <v/>
      </c>
      <c r="BJ357" t="str">
        <f ca="1">IFERROR(IF(0=LEN(ReferenceData!$BJ$357),"",ReferenceData!$BJ$357),"")</f>
        <v/>
      </c>
      <c r="BK357" t="str">
        <f ca="1">IFERROR(IF(0=LEN(ReferenceData!$BK$357),"",ReferenceData!$BK$357),"")</f>
        <v/>
      </c>
      <c r="BL357" t="str">
        <f ca="1">IFERROR(IF(0=LEN(ReferenceData!$BL$357),"",ReferenceData!$BL$357),"")</f>
        <v/>
      </c>
      <c r="BM357" t="str">
        <f ca="1">IFERROR(IF(0=LEN(ReferenceData!$BM$357),"",ReferenceData!$BM$357),"")</f>
        <v/>
      </c>
    </row>
    <row r="358" spans="1:65">
      <c r="A358" t="str">
        <f>IFERROR(IF(0=LEN(ReferenceData!$A$358),"",ReferenceData!$A$358),"")</f>
        <v xml:space="preserve">    CBL &amp; Associates Properties In</v>
      </c>
      <c r="B358" t="str">
        <f>IFERROR(IF(0=LEN(ReferenceData!$B$358),"",ReferenceData!$B$358),"")</f>
        <v>CBL US Equity</v>
      </c>
      <c r="C358" t="str">
        <f>IFERROR(IF(0=LEN(ReferenceData!$C$358),"",ReferenceData!$C$358),"")</f>
        <v>RR008</v>
      </c>
      <c r="D358" t="str">
        <f>IFERROR(IF(0=LEN(ReferenceData!$D$358),"",ReferenceData!$D$358),"")</f>
        <v>CF_FREE_CASH_FLOW</v>
      </c>
      <c r="E358" t="str">
        <f>IFERROR(IF(0=LEN(ReferenceData!$E$358),"",ReferenceData!$E$358),"")</f>
        <v>动态</v>
      </c>
      <c r="F358" t="str">
        <f ca="1">IFERROR(IF(0=LEN(ReferenceData!$F$358),"",ReferenceData!$F$358),"")</f>
        <v/>
      </c>
      <c r="G358">
        <f ca="1">IFERROR(IF(0=LEN(ReferenceData!$G$358),"",ReferenceData!$G$358),"")</f>
        <v>39.622</v>
      </c>
      <c r="H358">
        <f ca="1">IFERROR(IF(0=LEN(ReferenceData!$H$358),"",ReferenceData!$H$358),"")</f>
        <v>75.855999999999995</v>
      </c>
      <c r="I358">
        <f ca="1">IFERROR(IF(0=LEN(ReferenceData!$I$358),"",ReferenceData!$I$358),"")</f>
        <v>58.438000000000002</v>
      </c>
      <c r="J358">
        <f ca="1">IFERROR(IF(0=LEN(ReferenceData!$J$358),"",ReferenceData!$J$358),"")</f>
        <v>-26.445</v>
      </c>
      <c r="K358">
        <f ca="1">IFERROR(IF(0=LEN(ReferenceData!$K$358),"",ReferenceData!$K$358),"")</f>
        <v>46.040999999999997</v>
      </c>
      <c r="L358">
        <f ca="1">IFERROR(IF(0=LEN(ReferenceData!$L$358),"",ReferenceData!$L$358),"")</f>
        <v>63.695</v>
      </c>
      <c r="M358">
        <f ca="1">IFERROR(IF(0=LEN(ReferenceData!$M$358),"",ReferenceData!$M$358),"")</f>
        <v>59.366</v>
      </c>
      <c r="N358">
        <f ca="1">IFERROR(IF(0=LEN(ReferenceData!$N$358),"",ReferenceData!$N$358),"")</f>
        <v>51.472999999999999</v>
      </c>
      <c r="O358">
        <f ca="1">IFERROR(IF(0=LEN(ReferenceData!$O$358),"",ReferenceData!$O$358),"")</f>
        <v>77.001999999999995</v>
      </c>
      <c r="P358">
        <f ca="1">IFERROR(IF(0=LEN(ReferenceData!$P$358),"",ReferenceData!$P$358),"")</f>
        <v>73.959999999999994</v>
      </c>
      <c r="Q358">
        <f ca="1">IFERROR(IF(0=LEN(ReferenceData!$Q$358),"",ReferenceData!$Q$358),"")</f>
        <v>-129.23599999999999</v>
      </c>
      <c r="R358">
        <f ca="1">IFERROR(IF(0=LEN(ReferenceData!$R$358),"",ReferenceData!$R$358),"")</f>
        <v>62.41</v>
      </c>
      <c r="S358">
        <f ca="1">IFERROR(IF(0=LEN(ReferenceData!$S$358),"",ReferenceData!$S$358),"")</f>
        <v>56.521000000000001</v>
      </c>
      <c r="T358">
        <f ca="1">IFERROR(IF(0=LEN(ReferenceData!$T$358),"",ReferenceData!$T$358),"")</f>
        <v>42.31</v>
      </c>
      <c r="U358">
        <f ca="1">IFERROR(IF(0=LEN(ReferenceData!$U$358),"",ReferenceData!$U$358),"")</f>
        <v>57.750999999999998</v>
      </c>
      <c r="V358">
        <f ca="1">IFERROR(IF(0=LEN(ReferenceData!$V$358),"",ReferenceData!$V$358),"")</f>
        <v>33.854999999999997</v>
      </c>
      <c r="W358">
        <f ca="1">IFERROR(IF(0=LEN(ReferenceData!$W$358),"",ReferenceData!$W$358),"")</f>
        <v>32.616999999999997</v>
      </c>
      <c r="X358">
        <f ca="1">IFERROR(IF(0=LEN(ReferenceData!$X$358),"",ReferenceData!$X$358),"")</f>
        <v>60.493000000000002</v>
      </c>
      <c r="Y358">
        <f ca="1">IFERROR(IF(0=LEN(ReferenceData!$Y$358),"",ReferenceData!$Y$358),"")</f>
        <v>-9.0399999999999991</v>
      </c>
      <c r="Z358">
        <f ca="1">IFERROR(IF(0=LEN(ReferenceData!$Z$358),"",ReferenceData!$Z$358),"")</f>
        <v>24.937999999999999</v>
      </c>
      <c r="AA358">
        <f ca="1">IFERROR(IF(0=LEN(ReferenceData!$AA$358),"",ReferenceData!$AA$358),"")</f>
        <v>7.3840000000000003</v>
      </c>
      <c r="AB358">
        <f ca="1">IFERROR(IF(0=LEN(ReferenceData!$AB$358),"",ReferenceData!$AB$358),"")</f>
        <v>29.305</v>
      </c>
      <c r="AC358">
        <f ca="1">IFERROR(IF(0=LEN(ReferenceData!$AC$358),"",ReferenceData!$AC$358),"")</f>
        <v>81.94</v>
      </c>
      <c r="AD358">
        <f ca="1">IFERROR(IF(0=LEN(ReferenceData!$AD$358),"",ReferenceData!$AD$358),"")</f>
        <v>48.96</v>
      </c>
      <c r="AE358">
        <f ca="1">IFERROR(IF(0=LEN(ReferenceData!$AE$358),"",ReferenceData!$AE$358),"")</f>
        <v>56.143000000000001</v>
      </c>
      <c r="AF358">
        <f ca="1">IFERROR(IF(0=LEN(ReferenceData!$AF$358),"",ReferenceData!$AF$358),"")</f>
        <v>50.500999999999998</v>
      </c>
      <c r="AG358">
        <f ca="1">IFERROR(IF(0=LEN(ReferenceData!$AG$358),"",ReferenceData!$AG$358),"")</f>
        <v>70.790999999999997</v>
      </c>
      <c r="AH358">
        <f ca="1">IFERROR(IF(0=LEN(ReferenceData!$AH$358),"",ReferenceData!$AH$358),"")</f>
        <v>47.521999999999998</v>
      </c>
      <c r="AI358">
        <f ca="1">IFERROR(IF(0=LEN(ReferenceData!$AI$358),"",ReferenceData!$AI$358),"")</f>
        <v>77.057000000000002</v>
      </c>
      <c r="AJ358">
        <f ca="1">IFERROR(IF(0=LEN(ReferenceData!$AJ$358),"",ReferenceData!$AJ$358),"")</f>
        <v>72.646000000000001</v>
      </c>
      <c r="AK358">
        <f ca="1">IFERROR(IF(0=LEN(ReferenceData!$AK$358),"",ReferenceData!$AK$358),"")</f>
        <v>76.278999999999996</v>
      </c>
      <c r="AL358">
        <f ca="1">IFERROR(IF(0=LEN(ReferenceData!$AL$358),"",ReferenceData!$AL$358),"")</f>
        <v>60.223999999999997</v>
      </c>
      <c r="AM358">
        <f ca="1">IFERROR(IF(0=LEN(ReferenceData!$AM$358),"",ReferenceData!$AM$358),"")</f>
        <v>78.221999999999994</v>
      </c>
      <c r="AN358">
        <f ca="1">IFERROR(IF(0=LEN(ReferenceData!$AN$358),"",ReferenceData!$AN$358),"")</f>
        <v>40.256999999999998</v>
      </c>
      <c r="AO358">
        <f ca="1">IFERROR(IF(0=LEN(ReferenceData!$AO$358),"",ReferenceData!$AO$358),"")</f>
        <v>53.02</v>
      </c>
      <c r="AP358">
        <f ca="1">IFERROR(IF(0=LEN(ReferenceData!$AP$358),"",ReferenceData!$AP$358),"")</f>
        <v>30.407</v>
      </c>
      <c r="AQ358">
        <f ca="1">IFERROR(IF(0=LEN(ReferenceData!$AQ$358),"",ReferenceData!$AQ$358),"")</f>
        <v>26.4</v>
      </c>
      <c r="AR358">
        <f ca="1">IFERROR(IF(0=LEN(ReferenceData!$AR$358),"",ReferenceData!$AR$358),"")</f>
        <v>17.344000000000001</v>
      </c>
      <c r="AS358">
        <f ca="1">IFERROR(IF(0=LEN(ReferenceData!$AS$358),"",ReferenceData!$AS$358),"")</f>
        <v>-28.370999999999999</v>
      </c>
      <c r="AT358">
        <f ca="1">IFERROR(IF(0=LEN(ReferenceData!$AT$358),"",ReferenceData!$AT$358),"")</f>
        <v>-34.045000000000002</v>
      </c>
      <c r="AU358">
        <f ca="1">IFERROR(IF(0=LEN(ReferenceData!$AU$358),"",ReferenceData!$AU$358),"")</f>
        <v>-354.13600000000002</v>
      </c>
      <c r="AV358">
        <f ca="1">IFERROR(IF(0=LEN(ReferenceData!$AV$358),"",ReferenceData!$AV$358),"")</f>
        <v>-49.944000000000003</v>
      </c>
      <c r="AW358">
        <f ca="1">IFERROR(IF(0=LEN(ReferenceData!$AW$358),"",ReferenceData!$AW$358),"")</f>
        <v>-42.692999999999998</v>
      </c>
      <c r="AX358">
        <f ca="1">IFERROR(IF(0=LEN(ReferenceData!$AX$358),"",ReferenceData!$AX$358),"")</f>
        <v>-25.478000000000002</v>
      </c>
      <c r="AY358">
        <f ca="1">IFERROR(IF(0=LEN(ReferenceData!$AY$358),"",ReferenceData!$AY$358),"")</f>
        <v>-52.834000000000003</v>
      </c>
      <c r="AZ358">
        <f ca="1">IFERROR(IF(0=LEN(ReferenceData!$AZ$358),"",ReferenceData!$AZ$358),"")</f>
        <v>-31.536999999999999</v>
      </c>
      <c r="BA358">
        <f ca="1">IFERROR(IF(0=LEN(ReferenceData!$BA$358),"",ReferenceData!$BA$358),"")</f>
        <v>-6.3209999999999997</v>
      </c>
      <c r="BB358">
        <f ca="1">IFERROR(IF(0=LEN(ReferenceData!$BB$358),"",ReferenceData!$BB$358),"")</f>
        <v>17.937999999999999</v>
      </c>
      <c r="BC358">
        <f ca="1">IFERROR(IF(0=LEN(ReferenceData!$BC$358),"",ReferenceData!$BC$358),"")</f>
        <v>-518.74800000000005</v>
      </c>
      <c r="BD358" t="str">
        <f ca="1">IFERROR(IF(0=LEN(ReferenceData!$BD$358),"",ReferenceData!$BD$358),"")</f>
        <v/>
      </c>
      <c r="BE358">
        <f ca="1">IFERROR(IF(0=LEN(ReferenceData!$BE$358),"",ReferenceData!$BE$358),"")</f>
        <v>-13.451000000000001</v>
      </c>
      <c r="BF358">
        <f ca="1">IFERROR(IF(0=LEN(ReferenceData!$BF$358),"",ReferenceData!$BF$358),"")</f>
        <v>34.280999999999999</v>
      </c>
      <c r="BG358">
        <f ca="1">IFERROR(IF(0=LEN(ReferenceData!$BG$358),"",ReferenceData!$BG$358),"")</f>
        <v>-174.70699999999999</v>
      </c>
      <c r="BH358">
        <f ca="1">IFERROR(IF(0=LEN(ReferenceData!$BH$358),"",ReferenceData!$BH$358),"")</f>
        <v>-33.430000999999997</v>
      </c>
      <c r="BI358">
        <f ca="1">IFERROR(IF(0=LEN(ReferenceData!$BI$358),"",ReferenceData!$BI$358),"")</f>
        <v>-197.49601000000001</v>
      </c>
      <c r="BJ358">
        <f ca="1">IFERROR(IF(0=LEN(ReferenceData!$BJ$358),"",ReferenceData!$BJ$358),"")</f>
        <v>-65.898994999999999</v>
      </c>
      <c r="BK358">
        <f ca="1">IFERROR(IF(0=LEN(ReferenceData!$BK$358),"",ReferenceData!$BK$358),"")</f>
        <v>-165.640007</v>
      </c>
      <c r="BL358">
        <f ca="1">IFERROR(IF(0=LEN(ReferenceData!$BL$358),"",ReferenceData!$BL$358),"")</f>
        <v>-43.912996</v>
      </c>
      <c r="BM358">
        <f ca="1">IFERROR(IF(0=LEN(ReferenceData!$BM$358),"",ReferenceData!$BM$358),"")</f>
        <v>-24.721001000000001</v>
      </c>
    </row>
    <row r="359" spans="1:65">
      <c r="A359" t="str">
        <f>IFERROR(IF(0=LEN(ReferenceData!$A$359),"",ReferenceData!$A$359),"")</f>
        <v xml:space="preserve">    DDR Corp</v>
      </c>
      <c r="B359" t="str">
        <f>IFERROR(IF(0=LEN(ReferenceData!$B$359),"",ReferenceData!$B$359),"")</f>
        <v>DDR US Equity</v>
      </c>
      <c r="C359" t="str">
        <f>IFERROR(IF(0=LEN(ReferenceData!$C$359),"",ReferenceData!$C$359),"")</f>
        <v>RR008</v>
      </c>
      <c r="D359" t="str">
        <f>IFERROR(IF(0=LEN(ReferenceData!$D$359),"",ReferenceData!$D$359),"")</f>
        <v>CF_FREE_CASH_FLOW</v>
      </c>
      <c r="E359" t="str">
        <f>IFERROR(IF(0=LEN(ReferenceData!$E$359),"",ReferenceData!$E$359),"")</f>
        <v>动态</v>
      </c>
      <c r="F359" t="str">
        <f ca="1">IFERROR(IF(0=LEN(ReferenceData!$F$359),"",ReferenceData!$F$359),"")</f>
        <v/>
      </c>
      <c r="G359">
        <f ca="1">IFERROR(IF(0=LEN(ReferenceData!$G$359),"",ReferenceData!$G$359),"")</f>
        <v>82.566000000000003</v>
      </c>
      <c r="H359">
        <f ca="1">IFERROR(IF(0=LEN(ReferenceData!$H$359),"",ReferenceData!$H$359),"")</f>
        <v>59.756</v>
      </c>
      <c r="I359">
        <f ca="1">IFERROR(IF(0=LEN(ReferenceData!$I$359),"",ReferenceData!$I$359),"")</f>
        <v>88.903999999999996</v>
      </c>
      <c r="J359">
        <f ca="1">IFERROR(IF(0=LEN(ReferenceData!$J$359),"",ReferenceData!$J$359),"")</f>
        <v>-22.259</v>
      </c>
      <c r="K359">
        <f ca="1">IFERROR(IF(0=LEN(ReferenceData!$K$359),"",ReferenceData!$K$359),"")</f>
        <v>84.817999999999998</v>
      </c>
      <c r="L359">
        <f ca="1">IFERROR(IF(0=LEN(ReferenceData!$L$359),"",ReferenceData!$L$359),"")</f>
        <v>-12.518000000000001</v>
      </c>
      <c r="M359">
        <f ca="1">IFERROR(IF(0=LEN(ReferenceData!$M$359),"",ReferenceData!$M$359),"")</f>
        <v>104.91200000000001</v>
      </c>
      <c r="N359">
        <f ca="1">IFERROR(IF(0=LEN(ReferenceData!$N$359),"",ReferenceData!$N$359),"")</f>
        <v>-25.033999999999999</v>
      </c>
      <c r="O359">
        <f ca="1">IFERROR(IF(0=LEN(ReferenceData!$O$359),"",ReferenceData!$O$359),"")</f>
        <v>-10.25</v>
      </c>
      <c r="P359">
        <f ca="1">IFERROR(IF(0=LEN(ReferenceData!$P$359),"",ReferenceData!$P$359),"")</f>
        <v>-7.34</v>
      </c>
      <c r="Q359">
        <f ca="1">IFERROR(IF(0=LEN(ReferenceData!$Q$359),"",ReferenceData!$Q$359),"")</f>
        <v>-32.988</v>
      </c>
      <c r="R359">
        <f ca="1">IFERROR(IF(0=LEN(ReferenceData!$R$359),"",ReferenceData!$R$359),"")</f>
        <v>3.42</v>
      </c>
      <c r="S359">
        <f ca="1">IFERROR(IF(0=LEN(ReferenceData!$S$359),"",ReferenceData!$S$359),"")</f>
        <v>12.359</v>
      </c>
      <c r="T359">
        <f ca="1">IFERROR(IF(0=LEN(ReferenceData!$T$359),"",ReferenceData!$T$359),"")</f>
        <v>9.3339999999999996</v>
      </c>
      <c r="U359">
        <f ca="1">IFERROR(IF(0=LEN(ReferenceData!$U$359),"",ReferenceData!$U$359),"")</f>
        <v>-238.08</v>
      </c>
      <c r="V359">
        <f ca="1">IFERROR(IF(0=LEN(ReferenceData!$V$359),"",ReferenceData!$V$359),"")</f>
        <v>44.843000000000004</v>
      </c>
      <c r="W359">
        <f ca="1">IFERROR(IF(0=LEN(ReferenceData!$W$359),"",ReferenceData!$W$359),"")</f>
        <v>-485.63799999999998</v>
      </c>
      <c r="X359">
        <f ca="1">IFERROR(IF(0=LEN(ReferenceData!$X$359),"",ReferenceData!$X$359),"")</f>
        <v>-15.529</v>
      </c>
      <c r="Y359">
        <f ca="1">IFERROR(IF(0=LEN(ReferenceData!$Y$359),"",ReferenceData!$Y$359),"")</f>
        <v>-112.916</v>
      </c>
      <c r="Z359">
        <f ca="1">IFERROR(IF(0=LEN(ReferenceData!$Z$359),"",ReferenceData!$Z$359),"")</f>
        <v>-80.447000000000003</v>
      </c>
      <c r="AA359">
        <f ca="1">IFERROR(IF(0=LEN(ReferenceData!$AA$359),"",ReferenceData!$AA$359),"")</f>
        <v>-104.712</v>
      </c>
      <c r="AB359">
        <f ca="1">IFERROR(IF(0=LEN(ReferenceData!$AB$359),"",ReferenceData!$AB$359),"")</f>
        <v>-114.59399999999999</v>
      </c>
      <c r="AC359">
        <f ca="1">IFERROR(IF(0=LEN(ReferenceData!$AC$359),"",ReferenceData!$AC$359),"")</f>
        <v>-12.97</v>
      </c>
      <c r="AD359">
        <f ca="1">IFERROR(IF(0=LEN(ReferenceData!$AD$359),"",ReferenceData!$AD$359),"")</f>
        <v>-49.939</v>
      </c>
      <c r="AE359">
        <f ca="1">IFERROR(IF(0=LEN(ReferenceData!$AE$359),"",ReferenceData!$AE$359),"")</f>
        <v>-11.33</v>
      </c>
      <c r="AF359">
        <f ca="1">IFERROR(IF(0=LEN(ReferenceData!$AF$359),"",ReferenceData!$AF$359),"")</f>
        <v>0.97699999999999998</v>
      </c>
      <c r="AG359">
        <f ca="1">IFERROR(IF(0=LEN(ReferenceData!$AG$359),"",ReferenceData!$AG$359),"")</f>
        <v>51.116999999999997</v>
      </c>
      <c r="AH359">
        <f ca="1">IFERROR(IF(0=LEN(ReferenceData!$AH$359),"",ReferenceData!$AH$359),"")</f>
        <v>14.57</v>
      </c>
      <c r="AI359">
        <f ca="1">IFERROR(IF(0=LEN(ReferenceData!$AI$359),"",ReferenceData!$AI$359),"")</f>
        <v>26.503</v>
      </c>
      <c r="AJ359">
        <f ca="1">IFERROR(IF(0=LEN(ReferenceData!$AJ$359),"",ReferenceData!$AJ$359),"")</f>
        <v>35.052999999999997</v>
      </c>
      <c r="AK359">
        <f ca="1">IFERROR(IF(0=LEN(ReferenceData!$AK$359),"",ReferenceData!$AK$359),"")</f>
        <v>45.472000000000001</v>
      </c>
      <c r="AL359">
        <f ca="1">IFERROR(IF(0=LEN(ReferenceData!$AL$359),"",ReferenceData!$AL$359),"")</f>
        <v>6.7050000000000001</v>
      </c>
      <c r="AM359">
        <f ca="1">IFERROR(IF(0=LEN(ReferenceData!$AM$359),"",ReferenceData!$AM$359),"")</f>
        <v>-24.991</v>
      </c>
      <c r="AN359">
        <f ca="1">IFERROR(IF(0=LEN(ReferenceData!$AN$359),"",ReferenceData!$AN$359),"")</f>
        <v>21.75</v>
      </c>
      <c r="AO359">
        <f ca="1">IFERROR(IF(0=LEN(ReferenceData!$AO$359),"",ReferenceData!$AO$359),"")</f>
        <v>28.704999999999998</v>
      </c>
      <c r="AP359">
        <f ca="1">IFERROR(IF(0=LEN(ReferenceData!$AP$359),"",ReferenceData!$AP$359),"")</f>
        <v>-2.4729999999999999</v>
      </c>
      <c r="AQ359">
        <f ca="1">IFERROR(IF(0=LEN(ReferenceData!$AQ$359),"",ReferenceData!$AQ$359),"")</f>
        <v>4.9210000000000003</v>
      </c>
      <c r="AR359">
        <f ca="1">IFERROR(IF(0=LEN(ReferenceData!$AR$359),"",ReferenceData!$AR$359),"")</f>
        <v>14.821</v>
      </c>
      <c r="AS359">
        <f ca="1">IFERROR(IF(0=LEN(ReferenceData!$AS$359),"",ReferenceData!$AS$359),"")</f>
        <v>-10.318</v>
      </c>
      <c r="AT359">
        <f ca="1">IFERROR(IF(0=LEN(ReferenceData!$AT$359),"",ReferenceData!$AT$359),"")</f>
        <v>-15.984999999999999</v>
      </c>
      <c r="AU359">
        <f ca="1">IFERROR(IF(0=LEN(ReferenceData!$AU$359),"",ReferenceData!$AU$359),"")</f>
        <v>-1354.9290000000001</v>
      </c>
      <c r="AV359">
        <f ca="1">IFERROR(IF(0=LEN(ReferenceData!$AV$359),"",ReferenceData!$AV$359),"")</f>
        <v>-20.978999999999999</v>
      </c>
      <c r="AW359">
        <f ca="1">IFERROR(IF(0=LEN(ReferenceData!$AW$359),"",ReferenceData!$AW$359),"")</f>
        <v>-147.27099999999999</v>
      </c>
      <c r="AX359">
        <f ca="1">IFERROR(IF(0=LEN(ReferenceData!$AX$359),"",ReferenceData!$AX$359),"")</f>
        <v>-2223.2539999999999</v>
      </c>
      <c r="AY359">
        <f ca="1">IFERROR(IF(0=LEN(ReferenceData!$AY$359),"",ReferenceData!$AY$359),"")</f>
        <v>-266.04500000000002</v>
      </c>
      <c r="AZ359">
        <f ca="1">IFERROR(IF(0=LEN(ReferenceData!$AZ$359),"",ReferenceData!$AZ$359),"")</f>
        <v>-29.337</v>
      </c>
      <c r="BA359">
        <f ca="1">IFERROR(IF(0=LEN(ReferenceData!$BA$359),"",ReferenceData!$BA$359),"")</f>
        <v>-19.327000000000002</v>
      </c>
      <c r="BB359">
        <f ca="1">IFERROR(IF(0=LEN(ReferenceData!$BB$359),"",ReferenceData!$BB$359),"")</f>
        <v>-16.172000000000001</v>
      </c>
      <c r="BC359">
        <f ca="1">IFERROR(IF(0=LEN(ReferenceData!$BC$359),"",ReferenceData!$BC$359),"")</f>
        <v>-309.577</v>
      </c>
      <c r="BD359">
        <f ca="1">IFERROR(IF(0=LEN(ReferenceData!$BD$359),"",ReferenceData!$BD$359),"")</f>
        <v>-110.79300000000001</v>
      </c>
      <c r="BE359">
        <f ca="1">IFERROR(IF(0=LEN(ReferenceData!$BE$359),"",ReferenceData!$BE$359),"")</f>
        <v>5.415</v>
      </c>
      <c r="BF359">
        <f ca="1">IFERROR(IF(0=LEN(ReferenceData!$BF$359),"",ReferenceData!$BF$359),"")</f>
        <v>-419.72699999999998</v>
      </c>
      <c r="BG359">
        <f ca="1">IFERROR(IF(0=LEN(ReferenceData!$BG$359),"",ReferenceData!$BG$359),"")</f>
        <v>-266.65600000000001</v>
      </c>
      <c r="BH359">
        <f ca="1">IFERROR(IF(0=LEN(ReferenceData!$BH$359),"",ReferenceData!$BH$359),"")</f>
        <v>-9.016</v>
      </c>
      <c r="BI359">
        <f ca="1">IFERROR(IF(0=LEN(ReferenceData!$BI$359),"",ReferenceData!$BI$359),"")</f>
        <v>-1595.2360000000001</v>
      </c>
      <c r="BJ359">
        <f ca="1">IFERROR(IF(0=LEN(ReferenceData!$BJ$359),"",ReferenceData!$BJ$359),"")</f>
        <v>5.17</v>
      </c>
      <c r="BK359">
        <f ca="1">IFERROR(IF(0=LEN(ReferenceData!$BK$359),"",ReferenceData!$BK$359),"")</f>
        <v>-230.68498990000001</v>
      </c>
      <c r="BL359">
        <f ca="1">IFERROR(IF(0=LEN(ReferenceData!$BL$359),"",ReferenceData!$BL$359),"")</f>
        <v>47.484999999999999</v>
      </c>
      <c r="BM359">
        <f ca="1">IFERROR(IF(0=LEN(ReferenceData!$BM$359),"",ReferenceData!$BM$359),"")</f>
        <v>-22.183</v>
      </c>
    </row>
    <row r="360" spans="1:65">
      <c r="A360" t="str">
        <f>IFERROR(IF(0=LEN(ReferenceData!$A$360),"",ReferenceData!$A$360),"")</f>
        <v xml:space="preserve">    Federal Realty Investment Trus</v>
      </c>
      <c r="B360" t="str">
        <f>IFERROR(IF(0=LEN(ReferenceData!$B$360),"",ReferenceData!$B$360),"")</f>
        <v>FRT US Equity</v>
      </c>
      <c r="C360" t="str">
        <f>IFERROR(IF(0=LEN(ReferenceData!$C$360),"",ReferenceData!$C$360),"")</f>
        <v>RR008</v>
      </c>
      <c r="D360" t="str">
        <f>IFERROR(IF(0=LEN(ReferenceData!$D$360),"",ReferenceData!$D$360),"")</f>
        <v>CF_FREE_CASH_FLOW</v>
      </c>
      <c r="E360" t="str">
        <f>IFERROR(IF(0=LEN(ReferenceData!$E$360),"",ReferenceData!$E$360),"")</f>
        <v>动态</v>
      </c>
      <c r="F360" t="str">
        <f ca="1">IFERROR(IF(0=LEN(ReferenceData!$F$360),"",ReferenceData!$F$360),"")</f>
        <v/>
      </c>
      <c r="G360">
        <f ca="1">IFERROR(IF(0=LEN(ReferenceData!$G$360),"",ReferenceData!$G$360),"")</f>
        <v>-10.856</v>
      </c>
      <c r="H360">
        <f ca="1">IFERROR(IF(0=LEN(ReferenceData!$H$360),"",ReferenceData!$H$360),"")</f>
        <v>-296.21899999999999</v>
      </c>
      <c r="I360">
        <f ca="1">IFERROR(IF(0=LEN(ReferenceData!$I$360),"",ReferenceData!$I$360),"")</f>
        <v>-34.729999999999997</v>
      </c>
      <c r="J360">
        <f ca="1">IFERROR(IF(0=LEN(ReferenceData!$J$360),"",ReferenceData!$J$360),"")</f>
        <v>-154.60599999999999</v>
      </c>
      <c r="K360">
        <f ca="1">IFERROR(IF(0=LEN(ReferenceData!$K$360),"",ReferenceData!$K$360),"")</f>
        <v>-10.858000000000001</v>
      </c>
      <c r="L360">
        <f ca="1">IFERROR(IF(0=LEN(ReferenceData!$L$360),"",ReferenceData!$L$360),"")</f>
        <v>-53.826999999999998</v>
      </c>
      <c r="M360">
        <f ca="1">IFERROR(IF(0=LEN(ReferenceData!$M$360),"",ReferenceData!$M$360),"")</f>
        <v>0.97399999999999998</v>
      </c>
      <c r="N360">
        <f ca="1">IFERROR(IF(0=LEN(ReferenceData!$N$360),"",ReferenceData!$N$360),"")</f>
        <v>-92.828000000000003</v>
      </c>
      <c r="O360">
        <f ca="1">IFERROR(IF(0=LEN(ReferenceData!$O$360),"",ReferenceData!$O$360),"")</f>
        <v>-12.05</v>
      </c>
      <c r="P360">
        <f ca="1">IFERROR(IF(0=LEN(ReferenceData!$P$360),"",ReferenceData!$P$360),"")</f>
        <v>15.971</v>
      </c>
      <c r="Q360">
        <f ca="1">IFERROR(IF(0=LEN(ReferenceData!$Q$360),"",ReferenceData!$Q$360),"")</f>
        <v>-71.14</v>
      </c>
      <c r="R360">
        <f ca="1">IFERROR(IF(0=LEN(ReferenceData!$R$360),"",ReferenceData!$R$360),"")</f>
        <v>-9.7919999999999998</v>
      </c>
      <c r="S360">
        <f ca="1">IFERROR(IF(0=LEN(ReferenceData!$S$360),"",ReferenceData!$S$360),"")</f>
        <v>8.6850000000000005</v>
      </c>
      <c r="T360">
        <f ca="1">IFERROR(IF(0=LEN(ReferenceData!$T$360),"",ReferenceData!$T$360),"")</f>
        <v>-25.372</v>
      </c>
      <c r="U360">
        <f ca="1">IFERROR(IF(0=LEN(ReferenceData!$U$360),"",ReferenceData!$U$360),"")</f>
        <v>-2.218</v>
      </c>
      <c r="V360">
        <f ca="1">IFERROR(IF(0=LEN(ReferenceData!$V$360),"",ReferenceData!$V$360),"")</f>
        <v>-5.077</v>
      </c>
      <c r="W360">
        <f ca="1">IFERROR(IF(0=LEN(ReferenceData!$W$360),"",ReferenceData!$W$360),"")</f>
        <v>-54.658000000000001</v>
      </c>
      <c r="X360">
        <f ca="1">IFERROR(IF(0=LEN(ReferenceData!$X$360),"",ReferenceData!$X$360),"")</f>
        <v>4.4850000000000003</v>
      </c>
      <c r="Y360">
        <f ca="1">IFERROR(IF(0=LEN(ReferenceData!$Y$360),"",ReferenceData!$Y$360),"")</f>
        <v>-43.067</v>
      </c>
      <c r="Z360">
        <f ca="1">IFERROR(IF(0=LEN(ReferenceData!$Z$360),"",ReferenceData!$Z$360),"")</f>
        <v>24.866</v>
      </c>
      <c r="AA360">
        <f ca="1">IFERROR(IF(0=LEN(ReferenceData!$AA$360),"",ReferenceData!$AA$360),"")</f>
        <v>-41.533999999999999</v>
      </c>
      <c r="AB360">
        <f ca="1">IFERROR(IF(0=LEN(ReferenceData!$AB$360),"",ReferenceData!$AB$360),"")</f>
        <v>-5.1980000000000004</v>
      </c>
      <c r="AC360">
        <f ca="1">IFERROR(IF(0=LEN(ReferenceData!$AC$360),"",ReferenceData!$AC$360),"")</f>
        <v>49.411000000000001</v>
      </c>
      <c r="AD360">
        <f ca="1">IFERROR(IF(0=LEN(ReferenceData!$AD$360),"",ReferenceData!$AD$360),"")</f>
        <v>32.417999999999999</v>
      </c>
      <c r="AE360">
        <f ca="1">IFERROR(IF(0=LEN(ReferenceData!$AE$360),"",ReferenceData!$AE$360),"")</f>
        <v>-64.756</v>
      </c>
      <c r="AF360">
        <f ca="1">IFERROR(IF(0=LEN(ReferenceData!$AF$360),"",ReferenceData!$AF$360),"")</f>
        <v>18.948</v>
      </c>
      <c r="AG360">
        <f ca="1">IFERROR(IF(0=LEN(ReferenceData!$AG$360),"",ReferenceData!$AG$360),"")</f>
        <v>47.872</v>
      </c>
      <c r="AH360">
        <f ca="1">IFERROR(IF(0=LEN(ReferenceData!$AH$360),"",ReferenceData!$AH$360),"")</f>
        <v>-3.3719999999999999</v>
      </c>
      <c r="AI360">
        <f ca="1">IFERROR(IF(0=LEN(ReferenceData!$AI$360),"",ReferenceData!$AI$360),"")</f>
        <v>9.01</v>
      </c>
      <c r="AJ360">
        <f ca="1">IFERROR(IF(0=LEN(ReferenceData!$AJ$360),"",ReferenceData!$AJ$360),"")</f>
        <v>1.0649999999999999</v>
      </c>
      <c r="AK360">
        <f ca="1">IFERROR(IF(0=LEN(ReferenceData!$AK$360),"",ReferenceData!$AK$360),"")</f>
        <v>53.945</v>
      </c>
      <c r="AL360">
        <f ca="1">IFERROR(IF(0=LEN(ReferenceData!$AL$360),"",ReferenceData!$AL$360),"")</f>
        <v>46.487000000000002</v>
      </c>
      <c r="AM360">
        <f ca="1">IFERROR(IF(0=LEN(ReferenceData!$AM$360),"",ReferenceData!$AM$360),"")</f>
        <v>-6.133</v>
      </c>
      <c r="AN360">
        <f ca="1">IFERROR(IF(0=LEN(ReferenceData!$AN$360),"",ReferenceData!$AN$360),"")</f>
        <v>3.24</v>
      </c>
      <c r="AO360">
        <f ca="1">IFERROR(IF(0=LEN(ReferenceData!$AO$360),"",ReferenceData!$AO$360),"")</f>
        <v>32.642000000000003</v>
      </c>
      <c r="AP360">
        <f ca="1">IFERROR(IF(0=LEN(ReferenceData!$AP$360),"",ReferenceData!$AP$360),"")</f>
        <v>42.975000000000001</v>
      </c>
      <c r="AQ360">
        <f ca="1">IFERROR(IF(0=LEN(ReferenceData!$AQ$360),"",ReferenceData!$AQ$360),"")</f>
        <v>13.98</v>
      </c>
      <c r="AR360">
        <f ca="1">IFERROR(IF(0=LEN(ReferenceData!$AR$360),"",ReferenceData!$AR$360),"")</f>
        <v>-42.262</v>
      </c>
      <c r="AS360">
        <f ca="1">IFERROR(IF(0=LEN(ReferenceData!$AS$360),"",ReferenceData!$AS$360),"")</f>
        <v>2.766</v>
      </c>
      <c r="AT360">
        <f ca="1">IFERROR(IF(0=LEN(ReferenceData!$AT$360),"",ReferenceData!$AT$360),"")</f>
        <v>16.190000000000001</v>
      </c>
      <c r="AU360">
        <f ca="1">IFERROR(IF(0=LEN(ReferenceData!$AU$360),"",ReferenceData!$AU$360),"")</f>
        <v>4.1029999999999998</v>
      </c>
      <c r="AV360">
        <f ca="1">IFERROR(IF(0=LEN(ReferenceData!$AV$360),"",ReferenceData!$AV$360),"")</f>
        <v>12.646000000000001</v>
      </c>
      <c r="AW360">
        <f ca="1">IFERROR(IF(0=LEN(ReferenceData!$AW$360),"",ReferenceData!$AW$360),"")</f>
        <v>-9.8879999999999999</v>
      </c>
      <c r="AX360">
        <f ca="1">IFERROR(IF(0=LEN(ReferenceData!$AX$360),"",ReferenceData!$AX$360),"")</f>
        <v>0.50600000000000001</v>
      </c>
      <c r="AY360">
        <f ca="1">IFERROR(IF(0=LEN(ReferenceData!$AY$360),"",ReferenceData!$AY$360),"")</f>
        <v>-52.210999999999999</v>
      </c>
      <c r="AZ360">
        <f ca="1">IFERROR(IF(0=LEN(ReferenceData!$AZ$360),"",ReferenceData!$AZ$360),"")</f>
        <v>-159.50899999999999</v>
      </c>
      <c r="BA360">
        <f ca="1">IFERROR(IF(0=LEN(ReferenceData!$BA$360),"",ReferenceData!$BA$360),"")</f>
        <v>6.0810000000000004</v>
      </c>
      <c r="BB360">
        <f ca="1">IFERROR(IF(0=LEN(ReferenceData!$BB$360),"",ReferenceData!$BB$360),"")</f>
        <v>3.3769999999999998</v>
      </c>
      <c r="BC360">
        <f ca="1">IFERROR(IF(0=LEN(ReferenceData!$BC$360),"",ReferenceData!$BC$360),"")</f>
        <v>-56.01</v>
      </c>
      <c r="BD360">
        <f ca="1">IFERROR(IF(0=LEN(ReferenceData!$BD$360),"",ReferenceData!$BD$360),"")</f>
        <v>4.0229999999999997</v>
      </c>
      <c r="BE360">
        <f ca="1">IFERROR(IF(0=LEN(ReferenceData!$BE$360),"",ReferenceData!$BE$360),"")</f>
        <v>13.58</v>
      </c>
      <c r="BF360">
        <f ca="1">IFERROR(IF(0=LEN(ReferenceData!$BF$360),"",ReferenceData!$BF$360),"")</f>
        <v>-53.228999999999999</v>
      </c>
      <c r="BG360">
        <f ca="1">IFERROR(IF(0=LEN(ReferenceData!$BG$360),"",ReferenceData!$BG$360),"")</f>
        <v>7.9570021630000003</v>
      </c>
      <c r="BH360">
        <f ca="1">IFERROR(IF(0=LEN(ReferenceData!$BH$360),"",ReferenceData!$BH$360),"")</f>
        <v>-26.983000000000001</v>
      </c>
      <c r="BI360">
        <f ca="1">IFERROR(IF(0=LEN(ReferenceData!$BI$360),"",ReferenceData!$BI$360),"")</f>
        <v>11.03800011</v>
      </c>
      <c r="BJ360">
        <f ca="1">IFERROR(IF(0=LEN(ReferenceData!$BJ$360),"",ReferenceData!$BJ$360),"")</f>
        <v>-80.992999999999995</v>
      </c>
      <c r="BK360">
        <f ca="1">IFERROR(IF(0=LEN(ReferenceData!$BK$360),"",ReferenceData!$BK$360),"")</f>
        <v>-34.046999999999997</v>
      </c>
      <c r="BL360">
        <f ca="1">IFERROR(IF(0=LEN(ReferenceData!$BL$360),"",ReferenceData!$BL$360),"")</f>
        <v>-68.715000000000003</v>
      </c>
      <c r="BM360">
        <f ca="1">IFERROR(IF(0=LEN(ReferenceData!$BM$360),"",ReferenceData!$BM$360),"")</f>
        <v>-68.358000000000004</v>
      </c>
    </row>
    <row r="361" spans="1:65">
      <c r="A361" t="str">
        <f>IFERROR(IF(0=LEN(ReferenceData!$A$361),"",ReferenceData!$A$361),"")</f>
        <v xml:space="preserve">    Kimco Realty Corp</v>
      </c>
      <c r="B361" t="str">
        <f>IFERROR(IF(0=LEN(ReferenceData!$B$361),"",ReferenceData!$B$361),"")</f>
        <v>KIM US Equity</v>
      </c>
      <c r="C361" t="str">
        <f>IFERROR(IF(0=LEN(ReferenceData!$C$361),"",ReferenceData!$C$361),"")</f>
        <v>RR008</v>
      </c>
      <c r="D361" t="str">
        <f>IFERROR(IF(0=LEN(ReferenceData!$D$361),"",ReferenceData!$D$361),"")</f>
        <v>CF_FREE_CASH_FLOW</v>
      </c>
      <c r="E361" t="str">
        <f>IFERROR(IF(0=LEN(ReferenceData!$E$361),"",ReferenceData!$E$361),"")</f>
        <v>动态</v>
      </c>
      <c r="F361" t="str">
        <f ca="1">IFERROR(IF(0=LEN(ReferenceData!$F$361),"",ReferenceData!$F$361),"")</f>
        <v/>
      </c>
      <c r="G361">
        <f ca="1">IFERROR(IF(0=LEN(ReferenceData!$G$361),"",ReferenceData!$G$361),"")</f>
        <v>-31.446000000000002</v>
      </c>
      <c r="H361">
        <f ca="1">IFERROR(IF(0=LEN(ReferenceData!$H$361),"",ReferenceData!$H$361),"")</f>
        <v>63.64</v>
      </c>
      <c r="I361">
        <f ca="1">IFERROR(IF(0=LEN(ReferenceData!$I$361),"",ReferenceData!$I$361),"")</f>
        <v>26.359000000000002</v>
      </c>
      <c r="J361">
        <f ca="1">IFERROR(IF(0=LEN(ReferenceData!$J$361),"",ReferenceData!$J$361),"")</f>
        <v>34.051000000000002</v>
      </c>
      <c r="K361">
        <f ca="1">IFERROR(IF(0=LEN(ReferenceData!$K$361),"",ReferenceData!$K$361),"")</f>
        <v>53.805999999999997</v>
      </c>
      <c r="L361">
        <f ca="1">IFERROR(IF(0=LEN(ReferenceData!$L$361),"",ReferenceData!$L$361),"")</f>
        <v>138.36500000000001</v>
      </c>
      <c r="M361">
        <f ca="1">IFERROR(IF(0=LEN(ReferenceData!$M$361),"",ReferenceData!$M$361),"")</f>
        <v>-93.981999999999999</v>
      </c>
      <c r="N361">
        <f ca="1">IFERROR(IF(0=LEN(ReferenceData!$N$361),"",ReferenceData!$N$361),"")</f>
        <v>74.236000000000004</v>
      </c>
      <c r="O361">
        <f ca="1">IFERROR(IF(0=LEN(ReferenceData!$O$361),"",ReferenceData!$O$361),"")</f>
        <v>-141.63</v>
      </c>
      <c r="P361">
        <f ca="1">IFERROR(IF(0=LEN(ReferenceData!$P$361),"",ReferenceData!$P$361),"")</f>
        <v>188.88</v>
      </c>
      <c r="Q361">
        <f ca="1">IFERROR(IF(0=LEN(ReferenceData!$Q$361),"",ReferenceData!$Q$361),"")</f>
        <v>28.492999999999999</v>
      </c>
      <c r="R361">
        <f ca="1">IFERROR(IF(0=LEN(ReferenceData!$R$361),"",ReferenceData!$R$361),"")</f>
        <v>-406.28100000000001</v>
      </c>
      <c r="S361">
        <f ca="1">IFERROR(IF(0=LEN(ReferenceData!$S$361),"",ReferenceData!$S$361),"")</f>
        <v>12.101000000000001</v>
      </c>
      <c r="T361">
        <f ca="1">IFERROR(IF(0=LEN(ReferenceData!$T$361),"",ReferenceData!$T$361),"")</f>
        <v>120.556</v>
      </c>
      <c r="U361">
        <f ca="1">IFERROR(IF(0=LEN(ReferenceData!$U$361),"",ReferenceData!$U$361),"")</f>
        <v>-154.239</v>
      </c>
      <c r="V361">
        <f ca="1">IFERROR(IF(0=LEN(ReferenceData!$V$361),"",ReferenceData!$V$361),"")</f>
        <v>63.822000000000003</v>
      </c>
      <c r="W361">
        <f ca="1">IFERROR(IF(0=LEN(ReferenceData!$W$361),"",ReferenceData!$W$361),"")</f>
        <v>-164.58500000000001</v>
      </c>
      <c r="X361">
        <f ca="1">IFERROR(IF(0=LEN(ReferenceData!$X$361),"",ReferenceData!$X$361),"")</f>
        <v>201.72399999999999</v>
      </c>
      <c r="Y361">
        <f ca="1">IFERROR(IF(0=LEN(ReferenceData!$Y$361),"",ReferenceData!$Y$361),"")</f>
        <v>3.4940000000000002</v>
      </c>
      <c r="Z361">
        <f ca="1">IFERROR(IF(0=LEN(ReferenceData!$Z$361),"",ReferenceData!$Z$361),"")</f>
        <v>43.680999999999997</v>
      </c>
      <c r="AA361">
        <f ca="1">IFERROR(IF(0=LEN(ReferenceData!$AA$361),"",ReferenceData!$AA$361),"")</f>
        <v>-60.643000000000001</v>
      </c>
      <c r="AB361">
        <f ca="1">IFERROR(IF(0=LEN(ReferenceData!$AB$361),"",ReferenceData!$AB$361),"")</f>
        <v>38.563000000000002</v>
      </c>
      <c r="AC361">
        <f ca="1">IFERROR(IF(0=LEN(ReferenceData!$AC$361),"",ReferenceData!$AC$361),"")</f>
        <v>-71.546999999999997</v>
      </c>
      <c r="AD361">
        <f ca="1">IFERROR(IF(0=LEN(ReferenceData!$AD$361),"",ReferenceData!$AD$361),"")</f>
        <v>12.087</v>
      </c>
      <c r="AE361">
        <f ca="1">IFERROR(IF(0=LEN(ReferenceData!$AE$361),"",ReferenceData!$AE$361),"")</f>
        <v>-105.941</v>
      </c>
      <c r="AF361">
        <f ca="1">IFERROR(IF(0=LEN(ReferenceData!$AF$361),"",ReferenceData!$AF$361),"")</f>
        <v>50.331000000000003</v>
      </c>
      <c r="AG361">
        <f ca="1">IFERROR(IF(0=LEN(ReferenceData!$AG$361),"",ReferenceData!$AG$361),"")</f>
        <v>47.348999999999997</v>
      </c>
      <c r="AH361">
        <f ca="1">IFERROR(IF(0=LEN(ReferenceData!$AH$361),"",ReferenceData!$AH$361),"")</f>
        <v>68.721000000000004</v>
      </c>
      <c r="AI361">
        <f ca="1">IFERROR(IF(0=LEN(ReferenceData!$AI$361),"",ReferenceData!$AI$361),"")</f>
        <v>31.77</v>
      </c>
      <c r="AJ361">
        <f ca="1">IFERROR(IF(0=LEN(ReferenceData!$AJ$361),"",ReferenceData!$AJ$361),"")</f>
        <v>65.897999999999996</v>
      </c>
      <c r="AK361">
        <f ca="1">IFERROR(IF(0=LEN(ReferenceData!$AK$361),"",ReferenceData!$AK$361),"")</f>
        <v>43.509</v>
      </c>
      <c r="AL361">
        <f ca="1">IFERROR(IF(0=LEN(ReferenceData!$AL$361),"",ReferenceData!$AL$361),"")</f>
        <v>101.773</v>
      </c>
      <c r="AM361">
        <f ca="1">IFERROR(IF(0=LEN(ReferenceData!$AM$361),"",ReferenceData!$AM$361),"")</f>
        <v>-247.11500000000001</v>
      </c>
      <c r="AN361">
        <f ca="1">IFERROR(IF(0=LEN(ReferenceData!$AN$361),"",ReferenceData!$AN$361),"")</f>
        <v>58.13</v>
      </c>
      <c r="AO361">
        <f ca="1">IFERROR(IF(0=LEN(ReferenceData!$AO$361),"",ReferenceData!$AO$361),"")</f>
        <v>19.905000000000001</v>
      </c>
      <c r="AP361">
        <f ca="1">IFERROR(IF(0=LEN(ReferenceData!$AP$361),"",ReferenceData!$AP$361),"")</f>
        <v>42.430999999999997</v>
      </c>
      <c r="AQ361">
        <f ca="1">IFERROR(IF(0=LEN(ReferenceData!$AQ$361),"",ReferenceData!$AQ$361),"")</f>
        <v>-6.149</v>
      </c>
      <c r="AR361">
        <f ca="1">IFERROR(IF(0=LEN(ReferenceData!$AR$361),"",ReferenceData!$AR$361),"")</f>
        <v>35.636000000000003</v>
      </c>
      <c r="AS361">
        <f ca="1">IFERROR(IF(0=LEN(ReferenceData!$AS$361),"",ReferenceData!$AS$361),"")</f>
        <v>-88.441000000000003</v>
      </c>
      <c r="AT361">
        <f ca="1">IFERROR(IF(0=LEN(ReferenceData!$AT$361),"",ReferenceData!$AT$361),"")</f>
        <v>-39.624000000000002</v>
      </c>
      <c r="AU361">
        <f ca="1">IFERROR(IF(0=LEN(ReferenceData!$AU$361),"",ReferenceData!$AU$361),"")</f>
        <v>5.3879999999999999</v>
      </c>
      <c r="AV361">
        <f ca="1">IFERROR(IF(0=LEN(ReferenceData!$AV$361),"",ReferenceData!$AV$361),"")</f>
        <v>-315.83199999999999</v>
      </c>
      <c r="AW361">
        <f ca="1">IFERROR(IF(0=LEN(ReferenceData!$AW$361),"",ReferenceData!$AW$361),"")</f>
        <v>-559.37199999999996</v>
      </c>
      <c r="AX361">
        <f ca="1">IFERROR(IF(0=LEN(ReferenceData!$AX$361),"",ReferenceData!$AX$361),"")</f>
        <v>-182.33099999999999</v>
      </c>
      <c r="AY361">
        <f ca="1">IFERROR(IF(0=LEN(ReferenceData!$AY$361),"",ReferenceData!$AY$361),"")</f>
        <v>5.1379999999999999</v>
      </c>
      <c r="AZ361">
        <f ca="1">IFERROR(IF(0=LEN(ReferenceData!$AZ$361),"",ReferenceData!$AZ$361),"")</f>
        <v>-183.86</v>
      </c>
      <c r="BA361">
        <f ca="1">IFERROR(IF(0=LEN(ReferenceData!$BA$361),"",ReferenceData!$BA$361),"")</f>
        <v>-124.607</v>
      </c>
      <c r="BB361">
        <f ca="1">IFERROR(IF(0=LEN(ReferenceData!$BB$361),"",ReferenceData!$BB$361),"")</f>
        <v>-407.18599999999998</v>
      </c>
      <c r="BC361">
        <f ca="1">IFERROR(IF(0=LEN(ReferenceData!$BC$361),"",ReferenceData!$BC$361),"")</f>
        <v>-150.648</v>
      </c>
      <c r="BD361">
        <f ca="1">IFERROR(IF(0=LEN(ReferenceData!$BD$361),"",ReferenceData!$BD$361),"")</f>
        <v>-164.32599999999999</v>
      </c>
      <c r="BE361">
        <f ca="1">IFERROR(IF(0=LEN(ReferenceData!$BE$361),"",ReferenceData!$BE$361),"")</f>
        <v>-139.399</v>
      </c>
      <c r="BF361">
        <f ca="1">IFERROR(IF(0=LEN(ReferenceData!$BF$361),"",ReferenceData!$BF$361),"")</f>
        <v>-19.065999999999999</v>
      </c>
      <c r="BG361">
        <f ca="1">IFERROR(IF(0=LEN(ReferenceData!$BG$361),"",ReferenceData!$BG$361),"")</f>
        <v>-119.693</v>
      </c>
      <c r="BH361">
        <f ca="1">IFERROR(IF(0=LEN(ReferenceData!$BH$361),"",ReferenceData!$BH$361),"")</f>
        <v>-7.62</v>
      </c>
      <c r="BI361">
        <f ca="1">IFERROR(IF(0=LEN(ReferenceData!$BI$361),"",ReferenceData!$BI$361),"")</f>
        <v>-16.494</v>
      </c>
      <c r="BJ361">
        <f ca="1">IFERROR(IF(0=LEN(ReferenceData!$BJ$361),"",ReferenceData!$BJ$361),"")</f>
        <v>-19.132000000000001</v>
      </c>
      <c r="BK361">
        <f ca="1">IFERROR(IF(0=LEN(ReferenceData!$BK$361),"",ReferenceData!$BK$361),"")</f>
        <v>-596.29499999999996</v>
      </c>
      <c r="BL361">
        <f ca="1">IFERROR(IF(0=LEN(ReferenceData!$BL$361),"",ReferenceData!$BL$361),"")</f>
        <v>-35.869995119999999</v>
      </c>
      <c r="BM361">
        <f ca="1">IFERROR(IF(0=LEN(ReferenceData!$BM$361),"",ReferenceData!$BM$361),"")</f>
        <v>-153.37899999999999</v>
      </c>
    </row>
    <row r="362" spans="1:65">
      <c r="A362" t="str">
        <f>IFERROR(IF(0=LEN(ReferenceData!$A$362),"",ReferenceData!$A$362),"")</f>
        <v xml:space="preserve">    National Retail Properties Inc</v>
      </c>
      <c r="B362" t="str">
        <f>IFERROR(IF(0=LEN(ReferenceData!$B$362),"",ReferenceData!$B$362),"")</f>
        <v>NNN US Equity</v>
      </c>
      <c r="C362" t="str">
        <f>IFERROR(IF(0=LEN(ReferenceData!$C$362),"",ReferenceData!$C$362),"")</f>
        <v>RR008</v>
      </c>
      <c r="D362" t="str">
        <f>IFERROR(IF(0=LEN(ReferenceData!$D$362),"",ReferenceData!$D$362),"")</f>
        <v>CF_FREE_CASH_FLOW</v>
      </c>
      <c r="E362" t="str">
        <f>IFERROR(IF(0=LEN(ReferenceData!$E$362),"",ReferenceData!$E$362),"")</f>
        <v>动态</v>
      </c>
      <c r="F362" t="str">
        <f ca="1">IFERROR(IF(0=LEN(ReferenceData!$F$362),"",ReferenceData!$F$362),"")</f>
        <v/>
      </c>
      <c r="G362">
        <f ca="1">IFERROR(IF(0=LEN(ReferenceData!$G$362),"",ReferenceData!$G$362),"")</f>
        <v>-159.155</v>
      </c>
      <c r="H362">
        <f ca="1">IFERROR(IF(0=LEN(ReferenceData!$H$362),"",ReferenceData!$H$362),"")</f>
        <v>42.710999999999999</v>
      </c>
      <c r="I362">
        <f ca="1">IFERROR(IF(0=LEN(ReferenceData!$I$362),"",ReferenceData!$I$362),"")</f>
        <v>-203.02600000000001</v>
      </c>
      <c r="J362">
        <f ca="1">IFERROR(IF(0=LEN(ReferenceData!$J$362),"",ReferenceData!$J$362),"")</f>
        <v>19.134</v>
      </c>
      <c r="K362">
        <f ca="1">IFERROR(IF(0=LEN(ReferenceData!$K$362),"",ReferenceData!$K$362),"")</f>
        <v>-147.232</v>
      </c>
      <c r="L362">
        <f ca="1">IFERROR(IF(0=LEN(ReferenceData!$L$362),"",ReferenceData!$L$362),"")</f>
        <v>-25.472000000000001</v>
      </c>
      <c r="M362">
        <f ca="1">IFERROR(IF(0=LEN(ReferenceData!$M$362),"",ReferenceData!$M$362),"")</f>
        <v>-273.77100000000002</v>
      </c>
      <c r="N362">
        <f ca="1">IFERROR(IF(0=LEN(ReferenceData!$N$362),"",ReferenceData!$N$362),"")</f>
        <v>-24.154</v>
      </c>
      <c r="O362">
        <f ca="1">IFERROR(IF(0=LEN(ReferenceData!$O$362),"",ReferenceData!$O$362),"")</f>
        <v>-92.311999999999998</v>
      </c>
      <c r="P362">
        <f ca="1">IFERROR(IF(0=LEN(ReferenceData!$P$362),"",ReferenceData!$P$362),"")</f>
        <v>-133.053</v>
      </c>
      <c r="Q362">
        <f ca="1">IFERROR(IF(0=LEN(ReferenceData!$Q$362),"",ReferenceData!$Q$362),"")</f>
        <v>-62.601999999999997</v>
      </c>
      <c r="R362">
        <f ca="1">IFERROR(IF(0=LEN(ReferenceData!$R$362),"",ReferenceData!$R$362),"")</f>
        <v>-54.180999999999997</v>
      </c>
      <c r="S362">
        <f ca="1">IFERROR(IF(0=LEN(ReferenceData!$S$362),"",ReferenceData!$S$362),"")</f>
        <v>-12.429</v>
      </c>
      <c r="T362">
        <f ca="1">IFERROR(IF(0=LEN(ReferenceData!$T$362),"",ReferenceData!$T$362),"")</f>
        <v>-244.24700000000001</v>
      </c>
      <c r="U362">
        <f ca="1">IFERROR(IF(0=LEN(ReferenceData!$U$362),"",ReferenceData!$U$362),"")</f>
        <v>-38.088999999999999</v>
      </c>
      <c r="V362">
        <f ca="1">IFERROR(IF(0=LEN(ReferenceData!$V$362),"",ReferenceData!$V$362),"")</f>
        <v>-10.050000000000001</v>
      </c>
      <c r="W362">
        <f ca="1">IFERROR(IF(0=LEN(ReferenceData!$W$362),"",ReferenceData!$W$362),"")</f>
        <v>-5.306</v>
      </c>
      <c r="X362">
        <f ca="1">IFERROR(IF(0=LEN(ReferenceData!$X$362),"",ReferenceData!$X$362),"")</f>
        <v>6.35</v>
      </c>
      <c r="Y362">
        <f ca="1">IFERROR(IF(0=LEN(ReferenceData!$Y$362),"",ReferenceData!$Y$362),"")</f>
        <v>-381.43200000000002</v>
      </c>
      <c r="Z362">
        <f ca="1">IFERROR(IF(0=LEN(ReferenceData!$Z$362),"",ReferenceData!$Z$362),"")</f>
        <v>17.391999999999999</v>
      </c>
      <c r="AA362">
        <f ca="1">IFERROR(IF(0=LEN(ReferenceData!$AA$362),"",ReferenceData!$AA$362),"")</f>
        <v>-213.24100000000001</v>
      </c>
      <c r="AB362">
        <f ca="1">IFERROR(IF(0=LEN(ReferenceData!$AB$362),"",ReferenceData!$AB$362),"")</f>
        <v>-54.713999999999999</v>
      </c>
      <c r="AC362">
        <f ca="1">IFERROR(IF(0=LEN(ReferenceData!$AC$362),"",ReferenceData!$AC$362),"")</f>
        <v>-47.41</v>
      </c>
      <c r="AD362">
        <f ca="1">IFERROR(IF(0=LEN(ReferenceData!$AD$362),"",ReferenceData!$AD$362),"")</f>
        <v>-141.14500000000001</v>
      </c>
      <c r="AE362">
        <f ca="1">IFERROR(IF(0=LEN(ReferenceData!$AE$362),"",ReferenceData!$AE$362),"")</f>
        <v>-278.3</v>
      </c>
      <c r="AF362">
        <f ca="1">IFERROR(IF(0=LEN(ReferenceData!$AF$362),"",ReferenceData!$AF$362),"")</f>
        <v>-261.57299999999998</v>
      </c>
      <c r="AG362">
        <f ca="1">IFERROR(IF(0=LEN(ReferenceData!$AG$362),"",ReferenceData!$AG$362),"")</f>
        <v>-25.167999999999999</v>
      </c>
      <c r="AH362">
        <f ca="1">IFERROR(IF(0=LEN(ReferenceData!$AH$362),"",ReferenceData!$AH$362),"")</f>
        <v>-10.393000000000001</v>
      </c>
      <c r="AI362">
        <f ca="1">IFERROR(IF(0=LEN(ReferenceData!$AI$362),"",ReferenceData!$AI$362),"")</f>
        <v>-98.38</v>
      </c>
      <c r="AJ362">
        <f ca="1">IFERROR(IF(0=LEN(ReferenceData!$AJ$362),"",ReferenceData!$AJ$362),"")</f>
        <v>10.863</v>
      </c>
      <c r="AK362">
        <f ca="1">IFERROR(IF(0=LEN(ReferenceData!$AK$362),"",ReferenceData!$AK$362),"")</f>
        <v>4.548</v>
      </c>
      <c r="AL362">
        <f ca="1">IFERROR(IF(0=LEN(ReferenceData!$AL$362),"",ReferenceData!$AL$362),"")</f>
        <v>39.954999999999998</v>
      </c>
      <c r="AM362">
        <f ca="1">IFERROR(IF(0=LEN(ReferenceData!$AM$362),"",ReferenceData!$AM$362),"")</f>
        <v>19.631</v>
      </c>
      <c r="AN362">
        <f ca="1">IFERROR(IF(0=LEN(ReferenceData!$AN$362),"",ReferenceData!$AN$362),"")</f>
        <v>44.005000000000003</v>
      </c>
      <c r="AO362">
        <f ca="1">IFERROR(IF(0=LEN(ReferenceData!$AO$362),"",ReferenceData!$AO$362),"")</f>
        <v>12.353</v>
      </c>
      <c r="AP362">
        <f ca="1">IFERROR(IF(0=LEN(ReferenceData!$AP$362),"",ReferenceData!$AP$362),"")</f>
        <v>34.438000000000002</v>
      </c>
      <c r="AQ362">
        <f ca="1">IFERROR(IF(0=LEN(ReferenceData!$AQ$362),"",ReferenceData!$AQ$362),"")</f>
        <v>-7.5369999999999999</v>
      </c>
      <c r="AR362">
        <f ca="1">IFERROR(IF(0=LEN(ReferenceData!$AR$362),"",ReferenceData!$AR$362),"")</f>
        <v>37.252000000000002</v>
      </c>
      <c r="AS362">
        <f ca="1">IFERROR(IF(0=LEN(ReferenceData!$AS$362),"",ReferenceData!$AS$362),"")</f>
        <v>-50.296999999999997</v>
      </c>
      <c r="AT362">
        <f ca="1">IFERROR(IF(0=LEN(ReferenceData!$AT$362),"",ReferenceData!$AT$362),"")</f>
        <v>-94.576999999999998</v>
      </c>
      <c r="AU362">
        <f ca="1">IFERROR(IF(0=LEN(ReferenceData!$AU$362),"",ReferenceData!$AU$362),"")</f>
        <v>-62.771000000000001</v>
      </c>
      <c r="AV362">
        <f ca="1">IFERROR(IF(0=LEN(ReferenceData!$AV$362),"",ReferenceData!$AV$362),"")</f>
        <v>-216.70099999999999</v>
      </c>
      <c r="AW362">
        <f ca="1">IFERROR(IF(0=LEN(ReferenceData!$AW$362),"",ReferenceData!$AW$362),"")</f>
        <v>-274.54200359999999</v>
      </c>
      <c r="AX362">
        <f ca="1">IFERROR(IF(0=LEN(ReferenceData!$AX$362),"",ReferenceData!$AX$362),"")</f>
        <v>6.5469999999999997</v>
      </c>
      <c r="AY362">
        <f ca="1">IFERROR(IF(0=LEN(ReferenceData!$AY$362),"",ReferenceData!$AY$362),"")</f>
        <v>-99.569002029999993</v>
      </c>
      <c r="AZ362">
        <f ca="1">IFERROR(IF(0=LEN(ReferenceData!$AZ$362),"",ReferenceData!$AZ$362),"")</f>
        <v>-106.285</v>
      </c>
      <c r="BA362">
        <f ca="1">IFERROR(IF(0=LEN(ReferenceData!$BA$362),"",ReferenceData!$BA$362),"")</f>
        <v>-128.7119999</v>
      </c>
      <c r="BB362">
        <f ca="1">IFERROR(IF(0=LEN(ReferenceData!$BB$362),"",ReferenceData!$BB$362),"")</f>
        <v>-16.306999999999999</v>
      </c>
      <c r="BC362">
        <f ca="1">IFERROR(IF(0=LEN(ReferenceData!$BC$362),"",ReferenceData!$BC$362),"")</f>
        <v>-187.44000629999999</v>
      </c>
      <c r="BD362">
        <f ca="1">IFERROR(IF(0=LEN(ReferenceData!$BD$362),"",ReferenceData!$BD$362),"")</f>
        <v>-18.220998760000001</v>
      </c>
      <c r="BE362">
        <f ca="1">IFERROR(IF(0=LEN(ReferenceData!$BE$362),"",ReferenceData!$BE$362),"")</f>
        <v>-1.75</v>
      </c>
      <c r="BF362">
        <f ca="1">IFERROR(IF(0=LEN(ReferenceData!$BF$362),"",ReferenceData!$BF$362),"")</f>
        <v>-29.456</v>
      </c>
      <c r="BG362">
        <f ca="1">IFERROR(IF(0=LEN(ReferenceData!$BG$362),"",ReferenceData!$BG$362),"")</f>
        <v>-18.018999999999998</v>
      </c>
      <c r="BH362">
        <f ca="1">IFERROR(IF(0=LEN(ReferenceData!$BH$362),"",ReferenceData!$BH$362),"")</f>
        <v>5.08</v>
      </c>
      <c r="BI362">
        <f ca="1">IFERROR(IF(0=LEN(ReferenceData!$BI$362),"",ReferenceData!$BI$362),"")</f>
        <v>-37.61</v>
      </c>
      <c r="BJ362">
        <f ca="1">IFERROR(IF(0=LEN(ReferenceData!$BJ$362),"",ReferenceData!$BJ$362),"")</f>
        <v>-1.9630000000000001</v>
      </c>
      <c r="BK362">
        <f ca="1">IFERROR(IF(0=LEN(ReferenceData!$BK$362),"",ReferenceData!$BK$362),"")</f>
        <v>-17.312000000000001</v>
      </c>
      <c r="BL362">
        <f ca="1">IFERROR(IF(0=LEN(ReferenceData!$BL$362),"",ReferenceData!$BL$362),"")</f>
        <v>-136.23599909999999</v>
      </c>
      <c r="BM362">
        <f ca="1">IFERROR(IF(0=LEN(ReferenceData!$BM$362),"",ReferenceData!$BM$362),"")</f>
        <v>-16.248000000000001</v>
      </c>
    </row>
    <row r="363" spans="1:65">
      <c r="A363" t="str">
        <f>IFERROR(IF(0=LEN(ReferenceData!$A$363),"",ReferenceData!$A$363),"")</f>
        <v xml:space="preserve">    Realty Income Corp</v>
      </c>
      <c r="B363" t="str">
        <f>IFERROR(IF(0=LEN(ReferenceData!$B$363),"",ReferenceData!$B$363),"")</f>
        <v>O US Equity</v>
      </c>
      <c r="C363" t="str">
        <f>IFERROR(IF(0=LEN(ReferenceData!$C$363),"",ReferenceData!$C$363),"")</f>
        <v>RR008</v>
      </c>
      <c r="D363" t="str">
        <f>IFERROR(IF(0=LEN(ReferenceData!$D$363),"",ReferenceData!$D$363),"")</f>
        <v>CF_FREE_CASH_FLOW</v>
      </c>
      <c r="E363" t="str">
        <f>IFERROR(IF(0=LEN(ReferenceData!$E$363),"",ReferenceData!$E$363),"")</f>
        <v>动态</v>
      </c>
      <c r="F363" t="str">
        <f ca="1">IFERROR(IF(0=LEN(ReferenceData!$F$363),"",ReferenceData!$F$363),"")</f>
        <v/>
      </c>
      <c r="G363">
        <f ca="1">IFERROR(IF(0=LEN(ReferenceData!$G$363),"",ReferenceData!$G$363),"")</f>
        <v>-216.21199999999999</v>
      </c>
      <c r="H363">
        <f ca="1">IFERROR(IF(0=LEN(ReferenceData!$H$363),"",ReferenceData!$H$363),"")</f>
        <v>-91.724000000000004</v>
      </c>
      <c r="I363">
        <f ca="1">IFERROR(IF(0=LEN(ReferenceData!$I$363),"",ReferenceData!$I$363),"")</f>
        <v>-79.540000000000006</v>
      </c>
      <c r="J363">
        <f ca="1">IFERROR(IF(0=LEN(ReferenceData!$J$363),"",ReferenceData!$J$363),"")</f>
        <v>-165.191</v>
      </c>
      <c r="K363">
        <f ca="1">IFERROR(IF(0=LEN(ReferenceData!$K$363),"",ReferenceData!$K$363),"")</f>
        <v>-554.27099999999996</v>
      </c>
      <c r="L363">
        <f ca="1">IFERROR(IF(0=LEN(ReferenceData!$L$363),"",ReferenceData!$L$363),"")</f>
        <v>-194.155</v>
      </c>
      <c r="M363">
        <f ca="1">IFERROR(IF(0=LEN(ReferenceData!$M$363),"",ReferenceData!$M$363),"")</f>
        <v>-82.066000000000003</v>
      </c>
      <c r="N363">
        <f ca="1">IFERROR(IF(0=LEN(ReferenceData!$N$363),"",ReferenceData!$N$363),"")</f>
        <v>-177.78100000000001</v>
      </c>
      <c r="O363">
        <f ca="1">IFERROR(IF(0=LEN(ReferenceData!$O$363),"",ReferenceData!$O$363),"")</f>
        <v>8.6609999999999996</v>
      </c>
      <c r="P363">
        <f ca="1">IFERROR(IF(0=LEN(ReferenceData!$P$363),"",ReferenceData!$P$363),"")</f>
        <v>10.516999999999999</v>
      </c>
      <c r="Q363">
        <f ca="1">IFERROR(IF(0=LEN(ReferenceData!$Q$363),"",ReferenceData!$Q$363),"")</f>
        <v>-519.02700000000004</v>
      </c>
      <c r="R363">
        <f ca="1">IFERROR(IF(0=LEN(ReferenceData!$R$363),"",ReferenceData!$R$363),"")</f>
        <v>-86.274000000000001</v>
      </c>
      <c r="S363">
        <f ca="1">IFERROR(IF(0=LEN(ReferenceData!$S$363),"",ReferenceData!$S$363),"")</f>
        <v>34.265000000000001</v>
      </c>
      <c r="T363">
        <f ca="1">IFERROR(IF(0=LEN(ReferenceData!$T$363),"",ReferenceData!$T$363),"")</f>
        <v>-37.484999999999999</v>
      </c>
      <c r="U363">
        <f ca="1">IFERROR(IF(0=LEN(ReferenceData!$U$363),"",ReferenceData!$U$363),"")</f>
        <v>-112.21</v>
      </c>
      <c r="V363">
        <f ca="1">IFERROR(IF(0=LEN(ReferenceData!$V$363),"",ReferenceData!$V$363),"")</f>
        <v>-491.15300000000002</v>
      </c>
      <c r="W363">
        <f ca="1">IFERROR(IF(0=LEN(ReferenceData!$W$363),"",ReferenceData!$W$363),"")</f>
        <v>27.535</v>
      </c>
      <c r="X363">
        <f ca="1">IFERROR(IF(0=LEN(ReferenceData!$X$363),"",ReferenceData!$X$363),"")</f>
        <v>-416.38400000000001</v>
      </c>
      <c r="Y363">
        <f ca="1">IFERROR(IF(0=LEN(ReferenceData!$Y$363),"",ReferenceData!$Y$363),"")</f>
        <v>-484.78</v>
      </c>
      <c r="Z363">
        <f ca="1">IFERROR(IF(0=LEN(ReferenceData!$Z$363),"",ReferenceData!$Z$363),"")</f>
        <v>-45.454999999999998</v>
      </c>
      <c r="AA363">
        <f ca="1">IFERROR(IF(0=LEN(ReferenceData!$AA$363),"",ReferenceData!$AA$363),"")</f>
        <v>-249.21</v>
      </c>
      <c r="AB363">
        <f ca="1">IFERROR(IF(0=LEN(ReferenceData!$AB$363),"",ReferenceData!$AB$363),"")</f>
        <v>-380.57400000000001</v>
      </c>
      <c r="AC363">
        <f ca="1">IFERROR(IF(0=LEN(ReferenceData!$AC$363),"",ReferenceData!$AC$363),"")</f>
        <v>-107.43899999999999</v>
      </c>
      <c r="AD363">
        <f ca="1">IFERROR(IF(0=LEN(ReferenceData!$AD$363),"",ReferenceData!$AD$363),"")</f>
        <v>41.412999999999997</v>
      </c>
      <c r="AE363">
        <f ca="1">IFERROR(IF(0=LEN(ReferenceData!$AE$363),"",ReferenceData!$AE$363),"")</f>
        <v>-91.494</v>
      </c>
      <c r="AF363">
        <f ca="1">IFERROR(IF(0=LEN(ReferenceData!$AF$363),"",ReferenceData!$AF$363),"")</f>
        <v>-400.10500000000002</v>
      </c>
      <c r="AG363">
        <f ca="1">IFERROR(IF(0=LEN(ReferenceData!$AG$363),"",ReferenceData!$AG$363),"")</f>
        <v>-57.679000000000002</v>
      </c>
      <c r="AH363">
        <f ca="1">IFERROR(IF(0=LEN(ReferenceData!$AH$363),"",ReferenceData!$AH$363),"")</f>
        <v>-109.117</v>
      </c>
      <c r="AI363">
        <f ca="1">IFERROR(IF(0=LEN(ReferenceData!$AI$363),"",ReferenceData!$AI$363),"")</f>
        <v>-325.82499999999999</v>
      </c>
      <c r="AJ363">
        <f ca="1">IFERROR(IF(0=LEN(ReferenceData!$AJ$363),"",ReferenceData!$AJ$363),"")</f>
        <v>32.273000000000003</v>
      </c>
      <c r="AK363">
        <f ca="1">IFERROR(IF(0=LEN(ReferenceData!$AK$363),"",ReferenceData!$AK$363),"")</f>
        <v>-187.941</v>
      </c>
      <c r="AL363">
        <f ca="1">IFERROR(IF(0=LEN(ReferenceData!$AL$363),"",ReferenceData!$AL$363),"")</f>
        <v>7.8140000000000001</v>
      </c>
      <c r="AM363">
        <f ca="1">IFERROR(IF(0=LEN(ReferenceData!$AM$363),"",ReferenceData!$AM$363),"")</f>
        <v>31.068000000000001</v>
      </c>
      <c r="AN363">
        <f ca="1">IFERROR(IF(0=LEN(ReferenceData!$AN$363),"",ReferenceData!$AN$363),"")</f>
        <v>31.402999999999999</v>
      </c>
      <c r="AO363">
        <f ca="1">IFERROR(IF(0=LEN(ReferenceData!$AO$363),"",ReferenceData!$AO$363),"")</f>
        <v>70.597999999999999</v>
      </c>
      <c r="AP363">
        <f ca="1">IFERROR(IF(0=LEN(ReferenceData!$AP$363),"",ReferenceData!$AP$363),"")</f>
        <v>33.179000000000002</v>
      </c>
      <c r="AQ363">
        <f ca="1">IFERROR(IF(0=LEN(ReferenceData!$AQ$363),"",ReferenceData!$AQ$363),"")</f>
        <v>68.876000000000005</v>
      </c>
      <c r="AR363">
        <f ca="1">IFERROR(IF(0=LEN(ReferenceData!$AR$363),"",ReferenceData!$AR$363),"")</f>
        <v>39.29</v>
      </c>
      <c r="AS363">
        <f ca="1">IFERROR(IF(0=LEN(ReferenceData!$AS$363),"",ReferenceData!$AS$363),"")</f>
        <v>76.427000000000007</v>
      </c>
      <c r="AT363">
        <f ca="1">IFERROR(IF(0=LEN(ReferenceData!$AT$363),"",ReferenceData!$AT$363),"")</f>
        <v>-132.54400000000001</v>
      </c>
      <c r="AU363">
        <f ca="1">IFERROR(IF(0=LEN(ReferenceData!$AU$363),"",ReferenceData!$AU$363),"")</f>
        <v>-29.481999999999999</v>
      </c>
      <c r="AV363">
        <f ca="1">IFERROR(IF(0=LEN(ReferenceData!$AV$363),"",ReferenceData!$AV$363),"")</f>
        <v>-233.2939987</v>
      </c>
      <c r="AW363">
        <f ca="1">IFERROR(IF(0=LEN(ReferenceData!$AW$363),"",ReferenceData!$AW$363),"")</f>
        <v>81.098999019999994</v>
      </c>
      <c r="AX363">
        <f ca="1">IFERROR(IF(0=LEN(ReferenceData!$AX$363),"",ReferenceData!$AX$363),"")</f>
        <v>-6.5140000000000002</v>
      </c>
      <c r="AY363">
        <f ca="1">IFERROR(IF(0=LEN(ReferenceData!$AY$363),"",ReferenceData!$AY$363),"")</f>
        <v>-450.46</v>
      </c>
      <c r="AZ363">
        <f ca="1">IFERROR(IF(0=LEN(ReferenceData!$AZ$363),"",ReferenceData!$AZ$363),"")</f>
        <v>-55.11</v>
      </c>
      <c r="BA363">
        <f ca="1">IFERROR(IF(0=LEN(ReferenceData!$BA$363),"",ReferenceData!$BA$363),"")</f>
        <v>-11.94199753</v>
      </c>
      <c r="BB363">
        <f ca="1">IFERROR(IF(0=LEN(ReferenceData!$BB$363),"",ReferenceData!$BB$363),"")</f>
        <v>-49.692</v>
      </c>
      <c r="BC363">
        <f ca="1">IFERROR(IF(0=LEN(ReferenceData!$BC$363),"",ReferenceData!$BC$363),"")</f>
        <v>-30.978000000000002</v>
      </c>
      <c r="BD363">
        <f ca="1">IFERROR(IF(0=LEN(ReferenceData!$BD$363),"",ReferenceData!$BD$363),"")</f>
        <v>-199.17000479999999</v>
      </c>
      <c r="BE363">
        <f ca="1">IFERROR(IF(0=LEN(ReferenceData!$BE$363),"",ReferenceData!$BE$363),"")</f>
        <v>-38.32400131</v>
      </c>
      <c r="BF363">
        <f ca="1">IFERROR(IF(0=LEN(ReferenceData!$BF$363),"",ReferenceData!$BF$363),"")</f>
        <v>-39.318004610000003</v>
      </c>
      <c r="BG363">
        <f ca="1">IFERROR(IF(0=LEN(ReferenceData!$BG$363),"",ReferenceData!$BG$363),"")</f>
        <v>-0.36399999999999999</v>
      </c>
      <c r="BH363">
        <f ca="1">IFERROR(IF(0=LEN(ReferenceData!$BH$363),"",ReferenceData!$BH$363),"")</f>
        <v>2.3889999999999998</v>
      </c>
      <c r="BI363">
        <f ca="1">IFERROR(IF(0=LEN(ReferenceData!$BI$363),"",ReferenceData!$BI$363),"")</f>
        <v>-19.158000000000001</v>
      </c>
      <c r="BJ363">
        <f ca="1">IFERROR(IF(0=LEN(ReferenceData!$BJ$363),"",ReferenceData!$BJ$363),"")</f>
        <v>-54.903999329999998</v>
      </c>
      <c r="BK363">
        <f ca="1">IFERROR(IF(0=LEN(ReferenceData!$BK$363),"",ReferenceData!$BK$363),"")</f>
        <v>-187.16400619999999</v>
      </c>
      <c r="BL363">
        <f ca="1">IFERROR(IF(0=LEN(ReferenceData!$BL$363),"",ReferenceData!$BL$363),"")</f>
        <v>-23.134999749999999</v>
      </c>
      <c r="BM363">
        <f ca="1">IFERROR(IF(0=LEN(ReferenceData!$BM$363),"",ReferenceData!$BM$363),"")</f>
        <v>-8.7109985349999999</v>
      </c>
    </row>
    <row r="364" spans="1:65">
      <c r="A364" t="str">
        <f>IFERROR(IF(0=LEN(ReferenceData!$A$364),"",ReferenceData!$A$364),"")</f>
        <v xml:space="preserve">    Regency Centers Corp</v>
      </c>
      <c r="B364" t="str">
        <f>IFERROR(IF(0=LEN(ReferenceData!$B$364),"",ReferenceData!$B$364),"")</f>
        <v>REG US Equity</v>
      </c>
      <c r="C364" t="str">
        <f>IFERROR(IF(0=LEN(ReferenceData!$C$364),"",ReferenceData!$C$364),"")</f>
        <v>RR008</v>
      </c>
      <c r="D364" t="str">
        <f>IFERROR(IF(0=LEN(ReferenceData!$D$364),"",ReferenceData!$D$364),"")</f>
        <v>CF_FREE_CASH_FLOW</v>
      </c>
      <c r="E364" t="str">
        <f>IFERROR(IF(0=LEN(ReferenceData!$E$364),"",ReferenceData!$E$364),"")</f>
        <v>动态</v>
      </c>
      <c r="F364" t="str">
        <f ca="1">IFERROR(IF(0=LEN(ReferenceData!$F$364),"",ReferenceData!$F$364),"")</f>
        <v/>
      </c>
      <c r="G364">
        <f ca="1">IFERROR(IF(0=LEN(ReferenceData!$G$364),"",ReferenceData!$G$364),"")</f>
        <v>-105.842</v>
      </c>
      <c r="H364">
        <f ca="1">IFERROR(IF(0=LEN(ReferenceData!$H$364),"",ReferenceData!$H$364),"")</f>
        <v>85.741</v>
      </c>
      <c r="I364">
        <f ca="1">IFERROR(IF(0=LEN(ReferenceData!$I$364),"",ReferenceData!$I$364),"")</f>
        <v>47.603999999999999</v>
      </c>
      <c r="J364">
        <f ca="1">IFERROR(IF(0=LEN(ReferenceData!$J$364),"",ReferenceData!$J$364),"")</f>
        <v>-33.780999999999999</v>
      </c>
      <c r="K364">
        <f ca="1">IFERROR(IF(0=LEN(ReferenceData!$K$364),"",ReferenceData!$K$364),"")</f>
        <v>-17.797999999999998</v>
      </c>
      <c r="L364">
        <f ca="1">IFERROR(IF(0=LEN(ReferenceData!$L$364),"",ReferenceData!$L$364),"")</f>
        <v>-30.439</v>
      </c>
      <c r="M364">
        <f ca="1">IFERROR(IF(0=LEN(ReferenceData!$M$364),"",ReferenceData!$M$364),"")</f>
        <v>-261.50099999999998</v>
      </c>
      <c r="N364">
        <f ca="1">IFERROR(IF(0=LEN(ReferenceData!$N$364),"",ReferenceData!$N$364),"")</f>
        <v>38.53</v>
      </c>
      <c r="O364">
        <f ca="1">IFERROR(IF(0=LEN(ReferenceData!$O$364),"",ReferenceData!$O$364),"")</f>
        <v>4.7380000000000004</v>
      </c>
      <c r="P364">
        <f ca="1">IFERROR(IF(0=LEN(ReferenceData!$P$364),"",ReferenceData!$P$364),"")</f>
        <v>6.7679999999999998</v>
      </c>
      <c r="Q364">
        <f ca="1">IFERROR(IF(0=LEN(ReferenceData!$Q$364),"",ReferenceData!$Q$364),"")</f>
        <v>18.384</v>
      </c>
      <c r="R364">
        <f ca="1">IFERROR(IF(0=LEN(ReferenceData!$R$364),"",ReferenceData!$R$364),"")</f>
        <v>-4.5890000000000004</v>
      </c>
      <c r="S364">
        <f ca="1">IFERROR(IF(0=LEN(ReferenceData!$S$364),"",ReferenceData!$S$364),"")</f>
        <v>-31.855</v>
      </c>
      <c r="T364">
        <f ca="1">IFERROR(IF(0=LEN(ReferenceData!$T$364),"",ReferenceData!$T$364),"")</f>
        <v>12.852</v>
      </c>
      <c r="U364">
        <f ca="1">IFERROR(IF(0=LEN(ReferenceData!$U$364),"",ReferenceData!$U$364),"")</f>
        <v>19.715</v>
      </c>
      <c r="V364">
        <f ca="1">IFERROR(IF(0=LEN(ReferenceData!$V$364),"",ReferenceData!$V$364),"")</f>
        <v>-73.326999999999998</v>
      </c>
      <c r="W364">
        <f ca="1">IFERROR(IF(0=LEN(ReferenceData!$W$364),"",ReferenceData!$W$364),"")</f>
        <v>-81.816999999999993</v>
      </c>
      <c r="X364">
        <f ca="1">IFERROR(IF(0=LEN(ReferenceData!$X$364),"",ReferenceData!$X$364),"")</f>
        <v>13.018000000000001</v>
      </c>
      <c r="Y364">
        <f ca="1">IFERROR(IF(0=LEN(ReferenceData!$Y$364),"",ReferenceData!$Y$364),"")</f>
        <v>-10.484999999999999</v>
      </c>
      <c r="Z364">
        <f ca="1">IFERROR(IF(0=LEN(ReferenceData!$Z$364),"",ReferenceData!$Z$364),"")</f>
        <v>8.9339999999999993</v>
      </c>
      <c r="AA364">
        <f ca="1">IFERROR(IF(0=LEN(ReferenceData!$AA$364),"",ReferenceData!$AA$364),"")</f>
        <v>-83.888000000000005</v>
      </c>
      <c r="AB364">
        <f ca="1">IFERROR(IF(0=LEN(ReferenceData!$AB$364),"",ReferenceData!$AB$364),"")</f>
        <v>-10.441000000000001</v>
      </c>
      <c r="AC364">
        <f ca="1">IFERROR(IF(0=LEN(ReferenceData!$AC$364),"",ReferenceData!$AC$364),"")</f>
        <v>20.076000000000001</v>
      </c>
      <c r="AD364">
        <f ca="1">IFERROR(IF(0=LEN(ReferenceData!$AD$364),"",ReferenceData!$AD$364),"")</f>
        <v>10.853999999999999</v>
      </c>
      <c r="AE364">
        <f ca="1">IFERROR(IF(0=LEN(ReferenceData!$AE$364),"",ReferenceData!$AE$364),"")</f>
        <v>9.7840000000000007</v>
      </c>
      <c r="AF364">
        <f ca="1">IFERROR(IF(0=LEN(ReferenceData!$AF$364),"",ReferenceData!$AF$364),"")</f>
        <v>-9.69</v>
      </c>
      <c r="AG364">
        <f ca="1">IFERROR(IF(0=LEN(ReferenceData!$AG$364),"",ReferenceData!$AG$364),"")</f>
        <v>28.669</v>
      </c>
      <c r="AH364">
        <f ca="1">IFERROR(IF(0=LEN(ReferenceData!$AH$364),"",ReferenceData!$AH$364),"")</f>
        <v>36.171999999999997</v>
      </c>
      <c r="AI364">
        <f ca="1">IFERROR(IF(0=LEN(ReferenceData!$AI$364),"",ReferenceData!$AI$364),"")</f>
        <v>-31.51</v>
      </c>
      <c r="AJ364">
        <f ca="1">IFERROR(IF(0=LEN(ReferenceData!$AJ$364),"",ReferenceData!$AJ$364),"")</f>
        <v>17.629000000000001</v>
      </c>
      <c r="AK364">
        <f ca="1">IFERROR(IF(0=LEN(ReferenceData!$AK$364),"",ReferenceData!$AK$364),"")</f>
        <v>25.265999999999998</v>
      </c>
      <c r="AL364">
        <f ca="1">IFERROR(IF(0=LEN(ReferenceData!$AL$364),"",ReferenceData!$AL$364),"")</f>
        <v>36.616</v>
      </c>
      <c r="AM364">
        <f ca="1">IFERROR(IF(0=LEN(ReferenceData!$AM$364),"",ReferenceData!$AM$364),"")</f>
        <v>10.250999999999999</v>
      </c>
      <c r="AN364">
        <f ca="1">IFERROR(IF(0=LEN(ReferenceData!$AN$364),"",ReferenceData!$AN$364),"")</f>
        <v>31.850999999999999</v>
      </c>
      <c r="AO364">
        <f ca="1">IFERROR(IF(0=LEN(ReferenceData!$AO$364),"",ReferenceData!$AO$364),"")</f>
        <v>17.013000000000002</v>
      </c>
      <c r="AP364">
        <f ca="1">IFERROR(IF(0=LEN(ReferenceData!$AP$364),"",ReferenceData!$AP$364),"")</f>
        <v>-6.3</v>
      </c>
      <c r="AQ364">
        <f ca="1">IFERROR(IF(0=LEN(ReferenceData!$AQ$364),"",ReferenceData!$AQ$364),"")</f>
        <v>-9.2859999999999996</v>
      </c>
      <c r="AR364">
        <f ca="1">IFERROR(IF(0=LEN(ReferenceData!$AR$364),"",ReferenceData!$AR$364),"")</f>
        <v>-46.674999999999997</v>
      </c>
      <c r="AS364">
        <f ca="1">IFERROR(IF(0=LEN(ReferenceData!$AS$364),"",ReferenceData!$AS$364),"")</f>
        <v>-46.728999999999999</v>
      </c>
      <c r="AT364">
        <f ca="1">IFERROR(IF(0=LEN(ReferenceData!$AT$364),"",ReferenceData!$AT$364),"")</f>
        <v>-66.924000000000007</v>
      </c>
      <c r="AU364">
        <f ca="1">IFERROR(IF(0=LEN(ReferenceData!$AU$364),"",ReferenceData!$AU$364),"")</f>
        <v>-95.947000000000003</v>
      </c>
      <c r="AV364">
        <f ca="1">IFERROR(IF(0=LEN(ReferenceData!$AV$364),"",ReferenceData!$AV$364),"")</f>
        <v>-69.480999999999995</v>
      </c>
      <c r="AW364">
        <f ca="1">IFERROR(IF(0=LEN(ReferenceData!$AW$364),"",ReferenceData!$AW$364),"")</f>
        <v>-178.208</v>
      </c>
      <c r="AX364">
        <f ca="1">IFERROR(IF(0=LEN(ReferenceData!$AX$364),"",ReferenceData!$AX$364),"")</f>
        <v>-120.596</v>
      </c>
      <c r="AY364">
        <f ca="1">IFERROR(IF(0=LEN(ReferenceData!$AY$364),"",ReferenceData!$AY$364),"")</f>
        <v>-45.773000000000003</v>
      </c>
      <c r="AZ364">
        <f ca="1">IFERROR(IF(0=LEN(ReferenceData!$AZ$364),"",ReferenceData!$AZ$364),"")</f>
        <v>-91.643000000000001</v>
      </c>
      <c r="BA364">
        <f ca="1">IFERROR(IF(0=LEN(ReferenceData!$BA$364),"",ReferenceData!$BA$364),"")</f>
        <v>-22.54</v>
      </c>
      <c r="BB364">
        <f ca="1">IFERROR(IF(0=LEN(ReferenceData!$BB$364),"",ReferenceData!$BB$364),"")</f>
        <v>-47.402000000000001</v>
      </c>
      <c r="BC364">
        <f ca="1">IFERROR(IF(0=LEN(ReferenceData!$BC$364),"",ReferenceData!$BC$364),"")</f>
        <v>-49.203000000000003</v>
      </c>
      <c r="BD364">
        <f ca="1">IFERROR(IF(0=LEN(ReferenceData!$BD$364),"",ReferenceData!$BD$364),"")</f>
        <v>-53.578000000000003</v>
      </c>
      <c r="BE364">
        <f ca="1">IFERROR(IF(0=LEN(ReferenceData!$BE$364),"",ReferenceData!$BE$364),"")</f>
        <v>18.242000000000001</v>
      </c>
      <c r="BF364">
        <f ca="1">IFERROR(IF(0=LEN(ReferenceData!$BF$364),"",ReferenceData!$BF$364),"")</f>
        <v>-36.72</v>
      </c>
      <c r="BG364">
        <f ca="1">IFERROR(IF(0=LEN(ReferenceData!$BG$364),"",ReferenceData!$BG$364),"")</f>
        <v>-93.641999999999996</v>
      </c>
      <c r="BH364">
        <f ca="1">IFERROR(IF(0=LEN(ReferenceData!$BH$364),"",ReferenceData!$BH$364),"")</f>
        <v>-29.36</v>
      </c>
      <c r="BI364">
        <f ca="1">IFERROR(IF(0=LEN(ReferenceData!$BI$364),"",ReferenceData!$BI$364),"")</f>
        <v>-64.249992000000006</v>
      </c>
      <c r="BJ364">
        <f ca="1">IFERROR(IF(0=LEN(ReferenceData!$BJ$364),"",ReferenceData!$BJ$364),"")</f>
        <v>-29.422001000000002</v>
      </c>
      <c r="BK364">
        <f ca="1">IFERROR(IF(0=LEN(ReferenceData!$BK$364),"",ReferenceData!$BK$364),"")</f>
        <v>-117.0060043</v>
      </c>
      <c r="BL364">
        <f ca="1">IFERROR(IF(0=LEN(ReferenceData!$BL$364),"",ReferenceData!$BL$364),"")</f>
        <v>-52.184997000000003</v>
      </c>
      <c r="BM364">
        <f ca="1">IFERROR(IF(0=LEN(ReferenceData!$BM$364),"",ReferenceData!$BM$364),"")</f>
        <v>1.968996</v>
      </c>
    </row>
    <row r="365" spans="1:65">
      <c r="A365" t="str">
        <f>IFERROR(IF(0=LEN(ReferenceData!$A$365),"",ReferenceData!$A$365),"")</f>
        <v xml:space="preserve">    Retail Opportunity Investments</v>
      </c>
      <c r="B365" t="str">
        <f>IFERROR(IF(0=LEN(ReferenceData!$B$365),"",ReferenceData!$B$365),"")</f>
        <v>ROIC US Equity</v>
      </c>
      <c r="C365" t="str">
        <f>IFERROR(IF(0=LEN(ReferenceData!$C$365),"",ReferenceData!$C$365),"")</f>
        <v>RR008</v>
      </c>
      <c r="D365" t="str">
        <f>IFERROR(IF(0=LEN(ReferenceData!$D$365),"",ReferenceData!$D$365),"")</f>
        <v>CF_FREE_CASH_FLOW</v>
      </c>
      <c r="E365" t="str">
        <f>IFERROR(IF(0=LEN(ReferenceData!$E$365),"",ReferenceData!$E$365),"")</f>
        <v>动态</v>
      </c>
      <c r="F365" t="str">
        <f ca="1">IFERROR(IF(0=LEN(ReferenceData!$F$365),"",ReferenceData!$F$365),"")</f>
        <v/>
      </c>
      <c r="G365">
        <f ca="1">IFERROR(IF(0=LEN(ReferenceData!$G$365),"",ReferenceData!$G$365),"")</f>
        <v>10.33</v>
      </c>
      <c r="H365">
        <f ca="1">IFERROR(IF(0=LEN(ReferenceData!$H$365),"",ReferenceData!$H$365),"")</f>
        <v>18.82</v>
      </c>
      <c r="I365">
        <f ca="1">IFERROR(IF(0=LEN(ReferenceData!$I$365),"",ReferenceData!$I$365),"")</f>
        <v>12.772</v>
      </c>
      <c r="J365">
        <f ca="1">IFERROR(IF(0=LEN(ReferenceData!$J$365),"",ReferenceData!$J$365),"")</f>
        <v>32.276000000000003</v>
      </c>
      <c r="K365">
        <f ca="1">IFERROR(IF(0=LEN(ReferenceData!$K$365),"",ReferenceData!$K$365),"")</f>
        <v>7.335</v>
      </c>
      <c r="L365">
        <f ca="1">IFERROR(IF(0=LEN(ReferenceData!$L$365),"",ReferenceData!$L$365),"")</f>
        <v>29.285</v>
      </c>
      <c r="M365">
        <f ca="1">IFERROR(IF(0=LEN(ReferenceData!$M$365),"",ReferenceData!$M$365),"")</f>
        <v>10.646000000000001</v>
      </c>
      <c r="N365">
        <f ca="1">IFERROR(IF(0=LEN(ReferenceData!$N$365),"",ReferenceData!$N$365),"")</f>
        <v>26.658000000000001</v>
      </c>
      <c r="O365">
        <f ca="1">IFERROR(IF(0=LEN(ReferenceData!$O$365),"",ReferenceData!$O$365),"")</f>
        <v>4.085</v>
      </c>
      <c r="P365">
        <f ca="1">IFERROR(IF(0=LEN(ReferenceData!$P$365),"",ReferenceData!$P$365),"")</f>
        <v>24.251999999999999</v>
      </c>
      <c r="Q365">
        <f ca="1">IFERROR(IF(0=LEN(ReferenceData!$Q$365),"",ReferenceData!$Q$365),"")</f>
        <v>8.1999999999999993</v>
      </c>
      <c r="R365">
        <f ca="1">IFERROR(IF(0=LEN(ReferenceData!$R$365),"",ReferenceData!$R$365),"")</f>
        <v>22.864999999999998</v>
      </c>
      <c r="S365">
        <f ca="1">IFERROR(IF(0=LEN(ReferenceData!$S$365),"",ReferenceData!$S$365),"")</f>
        <v>2.2878569999999998</v>
      </c>
      <c r="T365">
        <f ca="1">IFERROR(IF(0=LEN(ReferenceData!$T$365),"",ReferenceData!$T$365),"")</f>
        <v>13.771383999999999</v>
      </c>
      <c r="U365">
        <f ca="1">IFERROR(IF(0=LEN(ReferenceData!$U$365),"",ReferenceData!$U$365),"")</f>
        <v>9.6466709999999996</v>
      </c>
      <c r="V365">
        <f ca="1">IFERROR(IF(0=LEN(ReferenceData!$V$365),"",ReferenceData!$V$365),"")</f>
        <v>13.359</v>
      </c>
      <c r="W365">
        <f ca="1">IFERROR(IF(0=LEN(ReferenceData!$W$365),"",ReferenceData!$W$365),"")</f>
        <v>-2.8552999999999999E-2</v>
      </c>
      <c r="X365">
        <f ca="1">IFERROR(IF(0=LEN(ReferenceData!$X$365),"",ReferenceData!$X$365),"")</f>
        <v>-33.907285000000002</v>
      </c>
      <c r="Y365">
        <f ca="1">IFERROR(IF(0=LEN(ReferenceData!$Y$365),"",ReferenceData!$Y$365),"")</f>
        <v>7.9238210000000002</v>
      </c>
      <c r="Z365">
        <f ca="1">IFERROR(IF(0=LEN(ReferenceData!$Z$365),"",ReferenceData!$Z$365),"")</f>
        <v>1.3198510000000001</v>
      </c>
      <c r="AA365">
        <f ca="1">IFERROR(IF(0=LEN(ReferenceData!$AA$365),"",ReferenceData!$AA$365),"")</f>
        <v>-0.40190599999999999</v>
      </c>
      <c r="AB365">
        <f ca="1">IFERROR(IF(0=LEN(ReferenceData!$AB$365),"",ReferenceData!$AB$365),"")</f>
        <v>7.2293180000000001</v>
      </c>
      <c r="AC365">
        <f ca="1">IFERROR(IF(0=LEN(ReferenceData!$AC$365),"",ReferenceData!$AC$365),"")</f>
        <v>3.9782760000000001</v>
      </c>
      <c r="AD365">
        <f ca="1">IFERROR(IF(0=LEN(ReferenceData!$AD$365),"",ReferenceData!$AD$365),"")</f>
        <v>2.51078</v>
      </c>
      <c r="AE365">
        <f ca="1">IFERROR(IF(0=LEN(ReferenceData!$AE$365),"",ReferenceData!$AE$365),"")</f>
        <v>0.40031600000000001</v>
      </c>
      <c r="AF365">
        <f ca="1">IFERROR(IF(0=LEN(ReferenceData!$AF$365),"",ReferenceData!$AF$365),"")</f>
        <v>3.8859460000000001</v>
      </c>
      <c r="AG365">
        <f ca="1">IFERROR(IF(0=LEN(ReferenceData!$AG$365),"",ReferenceData!$AG$365),"")</f>
        <v>1.2144090000000001</v>
      </c>
      <c r="AH365">
        <f ca="1">IFERROR(IF(0=LEN(ReferenceData!$AH$365),"",ReferenceData!$AH$365),"")</f>
        <v>3.845405</v>
      </c>
      <c r="AI365">
        <f ca="1">IFERROR(IF(0=LEN(ReferenceData!$AI$365),"",ReferenceData!$AI$365),"")</f>
        <v>-11.214567000000001</v>
      </c>
      <c r="AJ365">
        <f ca="1">IFERROR(IF(0=LEN(ReferenceData!$AJ$365),"",ReferenceData!$AJ$365),"")</f>
        <v>-0.51895599999999997</v>
      </c>
      <c r="AK365">
        <f ca="1">IFERROR(IF(0=LEN(ReferenceData!$AK$365),"",ReferenceData!$AK$365),"")</f>
        <v>-0.84282500000000005</v>
      </c>
      <c r="AL365">
        <f ca="1">IFERROR(IF(0=LEN(ReferenceData!$AL$365),"",ReferenceData!$AL$365),"")</f>
        <v>-3.3251629999999999</v>
      </c>
      <c r="AM365" t="str">
        <f ca="1">IFERROR(IF(0=LEN(ReferenceData!$AM$365),"",ReferenceData!$AM$365),"")</f>
        <v/>
      </c>
      <c r="AN365" t="str">
        <f ca="1">IFERROR(IF(0=LEN(ReferenceData!$AN$365),"",ReferenceData!$AN$365),"")</f>
        <v/>
      </c>
      <c r="AO365" t="str">
        <f ca="1">IFERROR(IF(0=LEN(ReferenceData!$AO$365),"",ReferenceData!$AO$365),"")</f>
        <v/>
      </c>
      <c r="AP365" t="str">
        <f ca="1">IFERROR(IF(0=LEN(ReferenceData!$AP$365),"",ReferenceData!$AP$365),"")</f>
        <v/>
      </c>
      <c r="AQ365" t="str">
        <f ca="1">IFERROR(IF(0=LEN(ReferenceData!$AQ$365),"",ReferenceData!$AQ$365),"")</f>
        <v/>
      </c>
      <c r="AR365" t="str">
        <f ca="1">IFERROR(IF(0=LEN(ReferenceData!$AR$365),"",ReferenceData!$AR$365),"")</f>
        <v/>
      </c>
      <c r="AS365" t="str">
        <f ca="1">IFERROR(IF(0=LEN(ReferenceData!$AS$365),"",ReferenceData!$AS$365),"")</f>
        <v/>
      </c>
      <c r="AT365" t="str">
        <f ca="1">IFERROR(IF(0=LEN(ReferenceData!$AT$365),"",ReferenceData!$AT$365),"")</f>
        <v/>
      </c>
      <c r="AU365" t="str">
        <f ca="1">IFERROR(IF(0=LEN(ReferenceData!$AU$365),"",ReferenceData!$AU$365),"")</f>
        <v/>
      </c>
      <c r="AV365" t="str">
        <f ca="1">IFERROR(IF(0=LEN(ReferenceData!$AV$365),"",ReferenceData!$AV$365),"")</f>
        <v/>
      </c>
      <c r="AW365" t="str">
        <f ca="1">IFERROR(IF(0=LEN(ReferenceData!$AW$365),"",ReferenceData!$AW$365),"")</f>
        <v/>
      </c>
      <c r="AX365" t="str">
        <f ca="1">IFERROR(IF(0=LEN(ReferenceData!$AX$365),"",ReferenceData!$AX$365),"")</f>
        <v/>
      </c>
      <c r="AY365" t="str">
        <f ca="1">IFERROR(IF(0=LEN(ReferenceData!$AY$365),"",ReferenceData!$AY$365),"")</f>
        <v/>
      </c>
      <c r="AZ365" t="str">
        <f ca="1">IFERROR(IF(0=LEN(ReferenceData!$AZ$365),"",ReferenceData!$AZ$365),"")</f>
        <v/>
      </c>
      <c r="BA365" t="str">
        <f ca="1">IFERROR(IF(0=LEN(ReferenceData!$BA$365),"",ReferenceData!$BA$365),"")</f>
        <v/>
      </c>
      <c r="BB365" t="str">
        <f ca="1">IFERROR(IF(0=LEN(ReferenceData!$BB$365),"",ReferenceData!$BB$365),"")</f>
        <v/>
      </c>
      <c r="BC365" t="str">
        <f ca="1">IFERROR(IF(0=LEN(ReferenceData!$BC$365),"",ReferenceData!$BC$365),"")</f>
        <v/>
      </c>
      <c r="BD365" t="str">
        <f ca="1">IFERROR(IF(0=LEN(ReferenceData!$BD$365),"",ReferenceData!$BD$365),"")</f>
        <v/>
      </c>
      <c r="BE365" t="str">
        <f ca="1">IFERROR(IF(0=LEN(ReferenceData!$BE$365),"",ReferenceData!$BE$365),"")</f>
        <v/>
      </c>
      <c r="BF365" t="str">
        <f ca="1">IFERROR(IF(0=LEN(ReferenceData!$BF$365),"",ReferenceData!$BF$365),"")</f>
        <v/>
      </c>
      <c r="BG365" t="str">
        <f ca="1">IFERROR(IF(0=LEN(ReferenceData!$BG$365),"",ReferenceData!$BG$365),"")</f>
        <v/>
      </c>
      <c r="BH365" t="str">
        <f ca="1">IFERROR(IF(0=LEN(ReferenceData!$BH$365),"",ReferenceData!$BH$365),"")</f>
        <v/>
      </c>
      <c r="BI365" t="str">
        <f ca="1">IFERROR(IF(0=LEN(ReferenceData!$BI$365),"",ReferenceData!$BI$365),"")</f>
        <v/>
      </c>
      <c r="BJ365" t="str">
        <f ca="1">IFERROR(IF(0=LEN(ReferenceData!$BJ$365),"",ReferenceData!$BJ$365),"")</f>
        <v/>
      </c>
      <c r="BK365" t="str">
        <f ca="1">IFERROR(IF(0=LEN(ReferenceData!$BK$365),"",ReferenceData!$BK$365),"")</f>
        <v/>
      </c>
      <c r="BL365" t="str">
        <f ca="1">IFERROR(IF(0=LEN(ReferenceData!$BL$365),"",ReferenceData!$BL$365),"")</f>
        <v/>
      </c>
      <c r="BM365" t="str">
        <f ca="1">IFERROR(IF(0=LEN(ReferenceData!$BM$365),"",ReferenceData!$BM$365),"")</f>
        <v/>
      </c>
    </row>
    <row r="366" spans="1:65">
      <c r="A366" t="str">
        <f>IFERROR(IF(0=LEN(ReferenceData!$A$366),"",ReferenceData!$A$366),"")</f>
        <v xml:space="preserve">    Retail Properties of America I</v>
      </c>
      <c r="B366" t="str">
        <f>IFERROR(IF(0=LEN(ReferenceData!$B$366),"",ReferenceData!$B$366),"")</f>
        <v>RPAI US Equity</v>
      </c>
      <c r="C366" t="str">
        <f>IFERROR(IF(0=LEN(ReferenceData!$C$366),"",ReferenceData!$C$366),"")</f>
        <v>RR008</v>
      </c>
      <c r="D366" t="str">
        <f>IFERROR(IF(0=LEN(ReferenceData!$D$366),"",ReferenceData!$D$366),"")</f>
        <v>CF_FREE_CASH_FLOW</v>
      </c>
      <c r="E366" t="str">
        <f>IFERROR(IF(0=LEN(ReferenceData!$E$366),"",ReferenceData!$E$366),"")</f>
        <v>动态</v>
      </c>
      <c r="F366" t="str">
        <f ca="1">IFERROR(IF(0=LEN(ReferenceData!$F$366),"",ReferenceData!$F$366),"")</f>
        <v/>
      </c>
      <c r="G366">
        <f ca="1">IFERROR(IF(0=LEN(ReferenceData!$G$366),"",ReferenceData!$G$366),"")</f>
        <v>-9.3919999999999995</v>
      </c>
      <c r="H366">
        <f ca="1">IFERROR(IF(0=LEN(ReferenceData!$H$366),"",ReferenceData!$H$366),"")</f>
        <v>-12.711</v>
      </c>
      <c r="I366">
        <f ca="1">IFERROR(IF(0=LEN(ReferenceData!$I$366),"",ReferenceData!$I$366),"")</f>
        <v>42.398000000000003</v>
      </c>
      <c r="J366">
        <f ca="1">IFERROR(IF(0=LEN(ReferenceData!$J$366),"",ReferenceData!$J$366),"")</f>
        <v>-47.283999999999999</v>
      </c>
      <c r="K366">
        <f ca="1">IFERROR(IF(0=LEN(ReferenceData!$K$366),"",ReferenceData!$K$366),"")</f>
        <v>-64.88</v>
      </c>
      <c r="L366">
        <f ca="1">IFERROR(IF(0=LEN(ReferenceData!$L$366),"",ReferenceData!$L$366),"")</f>
        <v>60.743000000000002</v>
      </c>
      <c r="M366">
        <f ca="1">IFERROR(IF(0=LEN(ReferenceData!$M$366),"",ReferenceData!$M$366),"")</f>
        <v>-72.915000000000006</v>
      </c>
      <c r="N366">
        <f ca="1">IFERROR(IF(0=LEN(ReferenceData!$N$366),"",ReferenceData!$N$366),"")</f>
        <v>-92.403999999999996</v>
      </c>
      <c r="O366">
        <f ca="1">IFERROR(IF(0=LEN(ReferenceData!$O$366),"",ReferenceData!$O$366),"")</f>
        <v>0.42499999999999999</v>
      </c>
      <c r="P366">
        <f ca="1">IFERROR(IF(0=LEN(ReferenceData!$P$366),"",ReferenceData!$P$366),"")</f>
        <v>27.748999999999999</v>
      </c>
      <c r="Q366">
        <f ca="1">IFERROR(IF(0=LEN(ReferenceData!$Q$366),"",ReferenceData!$Q$366),"")</f>
        <v>-6.0759999999999996</v>
      </c>
      <c r="R366">
        <f ca="1">IFERROR(IF(0=LEN(ReferenceData!$R$366),"",ReferenceData!$R$366),"")</f>
        <v>-256.01900000000001</v>
      </c>
      <c r="S366">
        <f ca="1">IFERROR(IF(0=LEN(ReferenceData!$S$366),"",ReferenceData!$S$366),"")</f>
        <v>22.120999999999999</v>
      </c>
      <c r="T366">
        <f ca="1">IFERROR(IF(0=LEN(ReferenceData!$T$366),"",ReferenceData!$T$366),"")</f>
        <v>59.988</v>
      </c>
      <c r="U366">
        <f ca="1">IFERROR(IF(0=LEN(ReferenceData!$U$366),"",ReferenceData!$U$366),"")</f>
        <v>-65.795000000000002</v>
      </c>
      <c r="V366">
        <f ca="1">IFERROR(IF(0=LEN(ReferenceData!$V$366),"",ReferenceData!$V$366),"")</f>
        <v>20.268999999999998</v>
      </c>
      <c r="W366">
        <f ca="1">IFERROR(IF(0=LEN(ReferenceData!$W$366),"",ReferenceData!$W$366),"")</f>
        <v>-195.62</v>
      </c>
      <c r="X366">
        <f ca="1">IFERROR(IF(0=LEN(ReferenceData!$X$366),"",ReferenceData!$X$366),"")</f>
        <v>66.171000000000006</v>
      </c>
      <c r="Y366">
        <f ca="1">IFERROR(IF(0=LEN(ReferenceData!$Y$366),"",ReferenceData!$Y$366),"")</f>
        <v>59.634</v>
      </c>
      <c r="Z366">
        <f ca="1">IFERROR(IF(0=LEN(ReferenceData!$Z$366),"",ReferenceData!$Z$366),"")</f>
        <v>20.706</v>
      </c>
      <c r="AA366">
        <f ca="1">IFERROR(IF(0=LEN(ReferenceData!$AA$366),"",ReferenceData!$AA$366),"")</f>
        <v>18.542000000000002</v>
      </c>
      <c r="AB366">
        <f ca="1">IFERROR(IF(0=LEN(ReferenceData!$AB$366),"",ReferenceData!$AB$366),"")</f>
        <v>24.7</v>
      </c>
      <c r="AC366">
        <f ca="1">IFERROR(IF(0=LEN(ReferenceData!$AC$366),"",ReferenceData!$AC$366),"")</f>
        <v>54.046999999999997</v>
      </c>
      <c r="AD366">
        <f ca="1">IFERROR(IF(0=LEN(ReferenceData!$AD$366),"",ReferenceData!$AD$366),"")</f>
        <v>26.218</v>
      </c>
      <c r="AE366">
        <f ca="1">IFERROR(IF(0=LEN(ReferenceData!$AE$366),"",ReferenceData!$AE$366),"")</f>
        <v>33.915999999999997</v>
      </c>
      <c r="AF366">
        <f ca="1">IFERROR(IF(0=LEN(ReferenceData!$AF$366),"",ReferenceData!$AF$366),"")</f>
        <v>21.215</v>
      </c>
      <c r="AG366">
        <f ca="1">IFERROR(IF(0=LEN(ReferenceData!$AG$366),"",ReferenceData!$AG$366),"")</f>
        <v>44.613</v>
      </c>
      <c r="AH366">
        <f ca="1">IFERROR(IF(0=LEN(ReferenceData!$AH$366),"",ReferenceData!$AH$366),"")</f>
        <v>25.798999999999999</v>
      </c>
      <c r="AI366">
        <f ca="1">IFERROR(IF(0=LEN(ReferenceData!$AI$366),"",ReferenceData!$AI$366),"")</f>
        <v>18.523</v>
      </c>
      <c r="AJ366" t="str">
        <f ca="1">IFERROR(IF(0=LEN(ReferenceData!$AJ$366),"",ReferenceData!$AJ$366),"")</f>
        <v/>
      </c>
      <c r="AK366" t="str">
        <f ca="1">IFERROR(IF(0=LEN(ReferenceData!$AK$366),"",ReferenceData!$AK$366),"")</f>
        <v/>
      </c>
      <c r="AL366" t="str">
        <f ca="1">IFERROR(IF(0=LEN(ReferenceData!$AL$366),"",ReferenceData!$AL$366),"")</f>
        <v/>
      </c>
      <c r="AM366" t="str">
        <f ca="1">IFERROR(IF(0=LEN(ReferenceData!$AM$366),"",ReferenceData!$AM$366),"")</f>
        <v/>
      </c>
      <c r="AN366" t="str">
        <f ca="1">IFERROR(IF(0=LEN(ReferenceData!$AN$366),"",ReferenceData!$AN$366),"")</f>
        <v/>
      </c>
      <c r="AO366" t="str">
        <f ca="1">IFERROR(IF(0=LEN(ReferenceData!$AO$366),"",ReferenceData!$AO$366),"")</f>
        <v/>
      </c>
      <c r="AP366" t="str">
        <f ca="1">IFERROR(IF(0=LEN(ReferenceData!$AP$366),"",ReferenceData!$AP$366),"")</f>
        <v/>
      </c>
      <c r="AQ366" t="str">
        <f ca="1">IFERROR(IF(0=LEN(ReferenceData!$AQ$366),"",ReferenceData!$AQ$366),"")</f>
        <v/>
      </c>
      <c r="AR366" t="str">
        <f ca="1">IFERROR(IF(0=LEN(ReferenceData!$AR$366),"",ReferenceData!$AR$366),"")</f>
        <v/>
      </c>
      <c r="AS366" t="str">
        <f ca="1">IFERROR(IF(0=LEN(ReferenceData!$AS$366),"",ReferenceData!$AS$366),"")</f>
        <v/>
      </c>
      <c r="AT366" t="str">
        <f ca="1">IFERROR(IF(0=LEN(ReferenceData!$AT$366),"",ReferenceData!$AT$366),"")</f>
        <v/>
      </c>
      <c r="AU366" t="str">
        <f ca="1">IFERROR(IF(0=LEN(ReferenceData!$AU$366),"",ReferenceData!$AU$366),"")</f>
        <v/>
      </c>
      <c r="AV366" t="str">
        <f ca="1">IFERROR(IF(0=LEN(ReferenceData!$AV$366),"",ReferenceData!$AV$366),"")</f>
        <v/>
      </c>
      <c r="AW366" t="str">
        <f ca="1">IFERROR(IF(0=LEN(ReferenceData!$AW$366),"",ReferenceData!$AW$366),"")</f>
        <v/>
      </c>
      <c r="AX366" t="str">
        <f ca="1">IFERROR(IF(0=LEN(ReferenceData!$AX$366),"",ReferenceData!$AX$366),"")</f>
        <v/>
      </c>
      <c r="AY366" t="str">
        <f ca="1">IFERROR(IF(0=LEN(ReferenceData!$AY$366),"",ReferenceData!$AY$366),"")</f>
        <v/>
      </c>
      <c r="AZ366" t="str">
        <f ca="1">IFERROR(IF(0=LEN(ReferenceData!$AZ$366),"",ReferenceData!$AZ$366),"")</f>
        <v/>
      </c>
      <c r="BA366" t="str">
        <f ca="1">IFERROR(IF(0=LEN(ReferenceData!$BA$366),"",ReferenceData!$BA$366),"")</f>
        <v/>
      </c>
      <c r="BB366" t="str">
        <f ca="1">IFERROR(IF(0=LEN(ReferenceData!$BB$366),"",ReferenceData!$BB$366),"")</f>
        <v/>
      </c>
      <c r="BC366" t="str">
        <f ca="1">IFERROR(IF(0=LEN(ReferenceData!$BC$366),"",ReferenceData!$BC$366),"")</f>
        <v/>
      </c>
      <c r="BD366" t="str">
        <f ca="1">IFERROR(IF(0=LEN(ReferenceData!$BD$366),"",ReferenceData!$BD$366),"")</f>
        <v/>
      </c>
      <c r="BE366" t="str">
        <f ca="1">IFERROR(IF(0=LEN(ReferenceData!$BE$366),"",ReferenceData!$BE$366),"")</f>
        <v/>
      </c>
      <c r="BF366" t="str">
        <f ca="1">IFERROR(IF(0=LEN(ReferenceData!$BF$366),"",ReferenceData!$BF$366),"")</f>
        <v/>
      </c>
      <c r="BG366" t="str">
        <f ca="1">IFERROR(IF(0=LEN(ReferenceData!$BG$366),"",ReferenceData!$BG$366),"")</f>
        <v/>
      </c>
      <c r="BH366" t="str">
        <f ca="1">IFERROR(IF(0=LEN(ReferenceData!$BH$366),"",ReferenceData!$BH$366),"")</f>
        <v/>
      </c>
      <c r="BI366" t="str">
        <f ca="1">IFERROR(IF(0=LEN(ReferenceData!$BI$366),"",ReferenceData!$BI$366),"")</f>
        <v/>
      </c>
      <c r="BJ366" t="str">
        <f ca="1">IFERROR(IF(0=LEN(ReferenceData!$BJ$366),"",ReferenceData!$BJ$366),"")</f>
        <v/>
      </c>
      <c r="BK366" t="str">
        <f ca="1">IFERROR(IF(0=LEN(ReferenceData!$BK$366),"",ReferenceData!$BK$366),"")</f>
        <v/>
      </c>
      <c r="BL366" t="str">
        <f ca="1">IFERROR(IF(0=LEN(ReferenceData!$BL$366),"",ReferenceData!$BL$366),"")</f>
        <v/>
      </c>
      <c r="BM366" t="str">
        <f ca="1">IFERROR(IF(0=LEN(ReferenceData!$BM$366),"",ReferenceData!$BM$366),"")</f>
        <v/>
      </c>
    </row>
    <row r="367" spans="1:65">
      <c r="A367" t="str">
        <f>IFERROR(IF(0=LEN(ReferenceData!$A$367),"",ReferenceData!$A$367),"")</f>
        <v xml:space="preserve">    Simon Property Group Inc</v>
      </c>
      <c r="B367" t="str">
        <f>IFERROR(IF(0=LEN(ReferenceData!$B$367),"",ReferenceData!$B$367),"")</f>
        <v>SPG US Equity</v>
      </c>
      <c r="C367" t="str">
        <f>IFERROR(IF(0=LEN(ReferenceData!$C$367),"",ReferenceData!$C$367),"")</f>
        <v>RR008</v>
      </c>
      <c r="D367" t="str">
        <f>IFERROR(IF(0=LEN(ReferenceData!$D$367),"",ReferenceData!$D$367),"")</f>
        <v>CF_FREE_CASH_FLOW</v>
      </c>
      <c r="E367" t="str">
        <f>IFERROR(IF(0=LEN(ReferenceData!$E$367),"",ReferenceData!$E$367),"")</f>
        <v>动态</v>
      </c>
      <c r="F367" t="str">
        <f ca="1">IFERROR(IF(0=LEN(ReferenceData!$F$367),"",ReferenceData!$F$367),"")</f>
        <v/>
      </c>
      <c r="G367">
        <f ca="1">IFERROR(IF(0=LEN(ReferenceData!$G$367),"",ReferenceData!$G$367),"")</f>
        <v>452.80900000000003</v>
      </c>
      <c r="H367">
        <f ca="1">IFERROR(IF(0=LEN(ReferenceData!$H$367),"",ReferenceData!$H$367),"")</f>
        <v>741.49699999999996</v>
      </c>
      <c r="I367">
        <f ca="1">IFERROR(IF(0=LEN(ReferenceData!$I$367),"",ReferenceData!$I$367),"")</f>
        <v>765.79600000000005</v>
      </c>
      <c r="J367">
        <f ca="1">IFERROR(IF(0=LEN(ReferenceData!$J$367),"",ReferenceData!$J$367),"")</f>
        <v>637.09799999999996</v>
      </c>
      <c r="K367">
        <f ca="1">IFERROR(IF(0=LEN(ReferenceData!$K$367),"",ReferenceData!$K$367),"")</f>
        <v>618.65200000000004</v>
      </c>
      <c r="L367">
        <f ca="1">IFERROR(IF(0=LEN(ReferenceData!$L$367),"",ReferenceData!$L$367),"")</f>
        <v>452.33300000000003</v>
      </c>
      <c r="M367">
        <f ca="1">IFERROR(IF(0=LEN(ReferenceData!$M$367),"",ReferenceData!$M$367),"")</f>
        <v>510.18900000000002</v>
      </c>
      <c r="N367">
        <f ca="1">IFERROR(IF(0=LEN(ReferenceData!$N$367),"",ReferenceData!$N$367),"")</f>
        <v>493.07900000000001</v>
      </c>
      <c r="O367">
        <f ca="1">IFERROR(IF(0=LEN(ReferenceData!$O$367),"",ReferenceData!$O$367),"")</f>
        <v>557.78300000000002</v>
      </c>
      <c r="P367">
        <f ca="1">IFERROR(IF(0=LEN(ReferenceData!$P$367),"",ReferenceData!$P$367),"")</f>
        <v>272.12200000000001</v>
      </c>
      <c r="Q367">
        <f ca="1">IFERROR(IF(0=LEN(ReferenceData!$Q$367),"",ReferenceData!$Q$367),"")</f>
        <v>-0.189</v>
      </c>
      <c r="R367">
        <f ca="1">IFERROR(IF(0=LEN(ReferenceData!$R$367),"",ReferenceData!$R$367),"")</f>
        <v>-236.83600000000001</v>
      </c>
      <c r="S367">
        <f ca="1">IFERROR(IF(0=LEN(ReferenceData!$S$367),"",ReferenceData!$S$367),"")</f>
        <v>468.54599999999999</v>
      </c>
      <c r="T367">
        <f ca="1">IFERROR(IF(0=LEN(ReferenceData!$T$367),"",ReferenceData!$T$367),"")</f>
        <v>560.03499999999997</v>
      </c>
      <c r="U367">
        <f ca="1">IFERROR(IF(0=LEN(ReferenceData!$U$367),"",ReferenceData!$U$367),"")</f>
        <v>451.30700000000002</v>
      </c>
      <c r="V367">
        <f ca="1">IFERROR(IF(0=LEN(ReferenceData!$V$367),"",ReferenceData!$V$367),"")</f>
        <v>368.33699999999999</v>
      </c>
      <c r="W367">
        <f ca="1">IFERROR(IF(0=LEN(ReferenceData!$W$367),"",ReferenceData!$W$367),"")</f>
        <v>1.5649999999999999</v>
      </c>
      <c r="X367">
        <f ca="1">IFERROR(IF(0=LEN(ReferenceData!$X$367),"",ReferenceData!$X$367),"")</f>
        <v>399.596</v>
      </c>
      <c r="Y367">
        <f ca="1">IFERROR(IF(0=LEN(ReferenceData!$Y$367),"",ReferenceData!$Y$367),"")</f>
        <v>293.04199999999997</v>
      </c>
      <c r="Z367">
        <f ca="1">IFERROR(IF(0=LEN(ReferenceData!$Z$367),"",ReferenceData!$Z$367),"")</f>
        <v>299.04300000000001</v>
      </c>
      <c r="AA367">
        <f ca="1">IFERROR(IF(0=LEN(ReferenceData!$AA$367),"",ReferenceData!$AA$367),"")</f>
        <v>428.22899999999998</v>
      </c>
      <c r="AB367">
        <f ca="1">IFERROR(IF(0=LEN(ReferenceData!$AB$367),"",ReferenceData!$AB$367),"")</f>
        <v>382.11399999999998</v>
      </c>
      <c r="AC367">
        <f ca="1">IFERROR(IF(0=LEN(ReferenceData!$AC$367),"",ReferenceData!$AC$367),"")</f>
        <v>334.27499999999998</v>
      </c>
      <c r="AD367">
        <f ca="1">IFERROR(IF(0=LEN(ReferenceData!$AD$367),"",ReferenceData!$AD$367),"")</f>
        <v>-3169.6930000000002</v>
      </c>
      <c r="AE367">
        <f ca="1">IFERROR(IF(0=LEN(ReferenceData!$AE$367),"",ReferenceData!$AE$367),"")</f>
        <v>280.678</v>
      </c>
      <c r="AF367">
        <f ca="1">IFERROR(IF(0=LEN(ReferenceData!$AF$367),"",ReferenceData!$AF$367),"")</f>
        <v>-702.51800000000003</v>
      </c>
      <c r="AG367">
        <f ca="1">IFERROR(IF(0=LEN(ReferenceData!$AG$367),"",ReferenceData!$AG$367),"")</f>
        <v>330.01499999999999</v>
      </c>
      <c r="AH367">
        <f ca="1">IFERROR(IF(0=LEN(ReferenceData!$AH$367),"",ReferenceData!$AH$367),"")</f>
        <v>392.59399999999999</v>
      </c>
      <c r="AI367">
        <f ca="1">IFERROR(IF(0=LEN(ReferenceData!$AI$367),"",ReferenceData!$AI$367),"")</f>
        <v>405.00400000000002</v>
      </c>
      <c r="AJ367">
        <f ca="1">IFERROR(IF(0=LEN(ReferenceData!$AJ$367),"",ReferenceData!$AJ$367),"")</f>
        <v>-476.79700000000003</v>
      </c>
      <c r="AK367">
        <f ca="1">IFERROR(IF(0=LEN(ReferenceData!$AK$367),"",ReferenceData!$AK$367),"")</f>
        <v>206.49100000000001</v>
      </c>
      <c r="AL367">
        <f ca="1">IFERROR(IF(0=LEN(ReferenceData!$AL$367),"",ReferenceData!$AL$367),"")</f>
        <v>385.60899999999998</v>
      </c>
      <c r="AM367">
        <f ca="1">IFERROR(IF(0=LEN(ReferenceData!$AM$367),"",ReferenceData!$AM$367),"")</f>
        <v>316.08499999999998</v>
      </c>
      <c r="AN367">
        <f ca="1">IFERROR(IF(0=LEN(ReferenceData!$AN$367),"",ReferenceData!$AN$367),"")</f>
        <v>380.24400000000003</v>
      </c>
      <c r="AO367">
        <f ca="1">IFERROR(IF(0=LEN(ReferenceData!$AO$367),"",ReferenceData!$AO$367),"")</f>
        <v>350.19200000000001</v>
      </c>
      <c r="AP367">
        <f ca="1">IFERROR(IF(0=LEN(ReferenceData!$AP$367),"",ReferenceData!$AP$367),"")</f>
        <v>297.72399999999999</v>
      </c>
      <c r="AQ367">
        <f ca="1">IFERROR(IF(0=LEN(ReferenceData!$AQ$367),"",ReferenceData!$AQ$367),"")</f>
        <v>-572.88199999999995</v>
      </c>
      <c r="AR367" t="str">
        <f ca="1">IFERROR(IF(0=LEN(ReferenceData!$AR$367),"",ReferenceData!$AR$367),"")</f>
        <v/>
      </c>
      <c r="AS367">
        <f ca="1">IFERROR(IF(0=LEN(ReferenceData!$AS$367),"",ReferenceData!$AS$367),"")</f>
        <v>310.01100000000002</v>
      </c>
      <c r="AT367" t="str">
        <f ca="1">IFERROR(IF(0=LEN(ReferenceData!$AT$367),"",ReferenceData!$AT$367),"")</f>
        <v/>
      </c>
      <c r="AU367">
        <f ca="1">IFERROR(IF(0=LEN(ReferenceData!$AU$367),"",ReferenceData!$AU$367),"")</f>
        <v>145.822</v>
      </c>
      <c r="AV367">
        <f ca="1">IFERROR(IF(0=LEN(ReferenceData!$AV$367),"",ReferenceData!$AV$367),"")</f>
        <v>-42.347000000000001</v>
      </c>
      <c r="AW367">
        <f ca="1">IFERROR(IF(0=LEN(ReferenceData!$AW$367),"",ReferenceData!$AW$367),"")</f>
        <v>87.622</v>
      </c>
      <c r="AX367">
        <f ca="1">IFERROR(IF(0=LEN(ReferenceData!$AX$367),"",ReferenceData!$AX$367),"")</f>
        <v>-31.239000000000001</v>
      </c>
      <c r="AY367">
        <f ca="1">IFERROR(IF(0=LEN(ReferenceData!$AY$367),"",ReferenceData!$AY$367),"")</f>
        <v>-118.298</v>
      </c>
      <c r="AZ367">
        <f ca="1">IFERROR(IF(0=LEN(ReferenceData!$AZ$367),"",ReferenceData!$AZ$367),"")</f>
        <v>54.109000000000002</v>
      </c>
      <c r="BA367">
        <f ca="1">IFERROR(IF(0=LEN(ReferenceData!$BA$367),"",ReferenceData!$BA$367),"")</f>
        <v>190.76900000000001</v>
      </c>
      <c r="BB367">
        <f ca="1">IFERROR(IF(0=LEN(ReferenceData!$BB$367),"",ReferenceData!$BB$367),"")</f>
        <v>117.52500000000001</v>
      </c>
      <c r="BC367">
        <f ca="1">IFERROR(IF(0=LEN(ReferenceData!$BC$367),"",ReferenceData!$BC$367),"")</f>
        <v>-230.47399999999999</v>
      </c>
      <c r="BD367">
        <f ca="1">IFERROR(IF(0=LEN(ReferenceData!$BD$367),"",ReferenceData!$BD$367),"")</f>
        <v>197.74199999999999</v>
      </c>
      <c r="BE367">
        <f ca="1">IFERROR(IF(0=LEN(ReferenceData!$BE$367),"",ReferenceData!$BE$367),"")</f>
        <v>171.78</v>
      </c>
      <c r="BF367">
        <f ca="1">IFERROR(IF(0=LEN(ReferenceData!$BF$367),"",ReferenceData!$BF$367),"")</f>
        <v>-62.755000000000003</v>
      </c>
      <c r="BG367">
        <f ca="1">IFERROR(IF(0=LEN(ReferenceData!$BG$367),"",ReferenceData!$BG$367),"")</f>
        <v>-1601.925</v>
      </c>
      <c r="BH367">
        <f ca="1">IFERROR(IF(0=LEN(ReferenceData!$BH$367),"",ReferenceData!$BH$367),"")</f>
        <v>259.01</v>
      </c>
      <c r="BI367">
        <f ca="1">IFERROR(IF(0=LEN(ReferenceData!$BI$367),"",ReferenceData!$BI$367),"")</f>
        <v>-369.10899999999998</v>
      </c>
      <c r="BJ367">
        <f ca="1">IFERROR(IF(0=LEN(ReferenceData!$BJ$367),"",ReferenceData!$BJ$367),"")</f>
        <v>-113.47799999999999</v>
      </c>
      <c r="BK367">
        <f ca="1">IFERROR(IF(0=LEN(ReferenceData!$BK$367),"",ReferenceData!$BK$367),"")</f>
        <v>-15.785</v>
      </c>
      <c r="BL367">
        <f ca="1">IFERROR(IF(0=LEN(ReferenceData!$BL$367),"",ReferenceData!$BL$367),"")</f>
        <v>-183.762</v>
      </c>
      <c r="BM367">
        <f ca="1">IFERROR(IF(0=LEN(ReferenceData!$BM$367),"",ReferenceData!$BM$367),"")</f>
        <v>159.785</v>
      </c>
    </row>
    <row r="368" spans="1:65">
      <c r="A368" t="str">
        <f>IFERROR(IF(0=LEN(ReferenceData!$A$368),"",ReferenceData!$A$368),"")</f>
        <v xml:space="preserve">    Tanger Factory Outlet Centers</v>
      </c>
      <c r="B368" t="str">
        <f>IFERROR(IF(0=LEN(ReferenceData!$B$368),"",ReferenceData!$B$368),"")</f>
        <v>SKT US Equity</v>
      </c>
      <c r="C368" t="str">
        <f>IFERROR(IF(0=LEN(ReferenceData!$C$368),"",ReferenceData!$C$368),"")</f>
        <v>RR008</v>
      </c>
      <c r="D368" t="str">
        <f>IFERROR(IF(0=LEN(ReferenceData!$D$368),"",ReferenceData!$D$368),"")</f>
        <v>CF_FREE_CASH_FLOW</v>
      </c>
      <c r="E368" t="str">
        <f>IFERROR(IF(0=LEN(ReferenceData!$E$368),"",ReferenceData!$E$368),"")</f>
        <v>动态</v>
      </c>
      <c r="F368" t="str">
        <f ca="1">IFERROR(IF(0=LEN(ReferenceData!$F$368),"",ReferenceData!$F$368),"")</f>
        <v/>
      </c>
      <c r="G368">
        <f ca="1">IFERROR(IF(0=LEN(ReferenceData!$G$368),"",ReferenceData!$G$368),"")</f>
        <v>37.404000000000003</v>
      </c>
      <c r="H368">
        <f ca="1">IFERROR(IF(0=LEN(ReferenceData!$H$368),"",ReferenceData!$H$368),"")</f>
        <v>26.581</v>
      </c>
      <c r="I368">
        <f ca="1">IFERROR(IF(0=LEN(ReferenceData!$I$368),"",ReferenceData!$I$368),"")</f>
        <v>-9.5000000000000001E-2</v>
      </c>
      <c r="J368">
        <f ca="1">IFERROR(IF(0=LEN(ReferenceData!$J$368),"",ReferenceData!$J$368),"")</f>
        <v>14.129</v>
      </c>
      <c r="K368">
        <f ca="1">IFERROR(IF(0=LEN(ReferenceData!$K$368),"",ReferenceData!$K$368),"")</f>
        <v>11.182</v>
      </c>
      <c r="L368">
        <f ca="1">IFERROR(IF(0=LEN(ReferenceData!$L$368),"",ReferenceData!$L$368),"")</f>
        <v>22.510999999999999</v>
      </c>
      <c r="M368">
        <f ca="1">IFERROR(IF(0=LEN(ReferenceData!$M$368),"",ReferenceData!$M$368),"")</f>
        <v>17.068999999999999</v>
      </c>
      <c r="N368">
        <f ca="1">IFERROR(IF(0=LEN(ReferenceData!$N$368),"",ReferenceData!$N$368),"")</f>
        <v>16.991</v>
      </c>
      <c r="O368">
        <f ca="1">IFERROR(IF(0=LEN(ReferenceData!$O$368),"",ReferenceData!$O$368),"")</f>
        <v>-11.997999999999999</v>
      </c>
      <c r="P368">
        <f ca="1">IFERROR(IF(0=LEN(ReferenceData!$P$368),"",ReferenceData!$P$368),"")</f>
        <v>4.1980000000000004</v>
      </c>
      <c r="Q368">
        <f ca="1">IFERROR(IF(0=LEN(ReferenceData!$Q$368),"",ReferenceData!$Q$368),"")</f>
        <v>-14.125</v>
      </c>
      <c r="R368">
        <f ca="1">IFERROR(IF(0=LEN(ReferenceData!$R$368),"",ReferenceData!$R$368),"")</f>
        <v>3.137</v>
      </c>
      <c r="S368">
        <f ca="1">IFERROR(IF(0=LEN(ReferenceData!$S$368),"",ReferenceData!$S$368),"")</f>
        <v>-15.497</v>
      </c>
      <c r="T368">
        <f ca="1">IFERROR(IF(0=LEN(ReferenceData!$T$368),"",ReferenceData!$T$368),"")</f>
        <v>17.716000000000001</v>
      </c>
      <c r="U368">
        <f ca="1">IFERROR(IF(0=LEN(ReferenceData!$U$368),"",ReferenceData!$U$368),"")</f>
        <v>11.074999999999999</v>
      </c>
      <c r="V368">
        <f ca="1">IFERROR(IF(0=LEN(ReferenceData!$V$368),"",ReferenceData!$V$368),"")</f>
        <v>28.527999999999999</v>
      </c>
      <c r="W368">
        <f ca="1">IFERROR(IF(0=LEN(ReferenceData!$W$368),"",ReferenceData!$W$368),"")</f>
        <v>43.649000000000001</v>
      </c>
      <c r="X368">
        <f ca="1">IFERROR(IF(0=LEN(ReferenceData!$X$368),"",ReferenceData!$X$368),"")</f>
        <v>45.960999999999999</v>
      </c>
      <c r="Y368">
        <f ca="1">IFERROR(IF(0=LEN(ReferenceData!$Y$368),"",ReferenceData!$Y$368),"")</f>
        <v>15.852</v>
      </c>
      <c r="Z368">
        <f ca="1">IFERROR(IF(0=LEN(ReferenceData!$Z$368),"",ReferenceData!$Z$368),"")</f>
        <v>26.82</v>
      </c>
      <c r="AA368">
        <f ca="1">IFERROR(IF(0=LEN(ReferenceData!$AA$368),"",ReferenceData!$AA$368),"")</f>
        <v>26.460999999999999</v>
      </c>
      <c r="AB368">
        <f ca="1">IFERROR(IF(0=LEN(ReferenceData!$AB$368),"",ReferenceData!$AB$368),"")</f>
        <v>35.142000000000003</v>
      </c>
      <c r="AC368">
        <f ca="1">IFERROR(IF(0=LEN(ReferenceData!$AC$368),"",ReferenceData!$AC$368),"")</f>
        <v>28.602</v>
      </c>
      <c r="AD368">
        <f ca="1">IFERROR(IF(0=LEN(ReferenceData!$AD$368),"",ReferenceData!$AD$368),"")</f>
        <v>34.262</v>
      </c>
      <c r="AE368">
        <f ca="1">IFERROR(IF(0=LEN(ReferenceData!$AE$368),"",ReferenceData!$AE$368),"")</f>
        <v>12.058</v>
      </c>
      <c r="AF368">
        <f ca="1">IFERROR(IF(0=LEN(ReferenceData!$AF$368),"",ReferenceData!$AF$368),"")</f>
        <v>-98.427999999999997</v>
      </c>
      <c r="AG368">
        <f ca="1">IFERROR(IF(0=LEN(ReferenceData!$AG$368),"",ReferenceData!$AG$368),"")</f>
        <v>-119.95</v>
      </c>
      <c r="AH368">
        <f ca="1">IFERROR(IF(0=LEN(ReferenceData!$AH$368),"",ReferenceData!$AH$368),"")</f>
        <v>15.788</v>
      </c>
      <c r="AI368">
        <f ca="1">IFERROR(IF(0=LEN(ReferenceData!$AI$368),"",ReferenceData!$AI$368),"")</f>
        <v>-6.7389999999999999</v>
      </c>
      <c r="AJ368">
        <f ca="1">IFERROR(IF(0=LEN(ReferenceData!$AJ$368),"",ReferenceData!$AJ$368),"")</f>
        <v>4.1120000000000001</v>
      </c>
      <c r="AK368">
        <f ca="1">IFERROR(IF(0=LEN(ReferenceData!$AK$368),"",ReferenceData!$AK$368),"")</f>
        <v>8.8559999999999999</v>
      </c>
      <c r="AL368">
        <f ca="1">IFERROR(IF(0=LEN(ReferenceData!$AL$368),"",ReferenceData!$AL$368),"")</f>
        <v>18.492999999999999</v>
      </c>
      <c r="AM368">
        <f ca="1">IFERROR(IF(0=LEN(ReferenceData!$AM$368),"",ReferenceData!$AM$368),"")</f>
        <v>-65.816999999999993</v>
      </c>
      <c r="AN368">
        <f ca="1">IFERROR(IF(0=LEN(ReferenceData!$AN$368),"",ReferenceData!$AN$368),"")</f>
        <v>104.463855</v>
      </c>
      <c r="AO368">
        <f ca="1">IFERROR(IF(0=LEN(ReferenceData!$AO$368),"",ReferenceData!$AO$368),"")</f>
        <v>17.581144999999999</v>
      </c>
      <c r="AP368">
        <f ca="1">IFERROR(IF(0=LEN(ReferenceData!$AP$368),"",ReferenceData!$AP$368),"")</f>
        <v>19.224</v>
      </c>
      <c r="AQ368">
        <f ca="1">IFERROR(IF(0=LEN(ReferenceData!$AQ$368),"",ReferenceData!$AQ$368),"")</f>
        <v>0.19</v>
      </c>
      <c r="AR368">
        <f ca="1">IFERROR(IF(0=LEN(ReferenceData!$AR$368),"",ReferenceData!$AR$368),"")</f>
        <v>-5.1790000000000003</v>
      </c>
      <c r="AS368">
        <f ca="1">IFERROR(IF(0=LEN(ReferenceData!$AS$368),"",ReferenceData!$AS$368),"")</f>
        <v>-18.079999999999998</v>
      </c>
      <c r="AT368">
        <f ca="1">IFERROR(IF(0=LEN(ReferenceData!$AT$368),"",ReferenceData!$AT$368),"")</f>
        <v>-7.2590000000000003</v>
      </c>
      <c r="AU368">
        <f ca="1">IFERROR(IF(0=LEN(ReferenceData!$AU$368),"",ReferenceData!$AU$368),"")</f>
        <v>3.0459999999999998</v>
      </c>
      <c r="AV368">
        <f ca="1">IFERROR(IF(0=LEN(ReferenceData!$AV$368),"",ReferenceData!$AV$368),"")</f>
        <v>-3.0329999999999999</v>
      </c>
      <c r="AW368">
        <f ca="1">IFERROR(IF(0=LEN(ReferenceData!$AW$368),"",ReferenceData!$AW$368),"")</f>
        <v>5.73</v>
      </c>
      <c r="AX368">
        <f ca="1">IFERROR(IF(0=LEN(ReferenceData!$AX$368),"",ReferenceData!$AX$368),"")</f>
        <v>7.8150000000000004</v>
      </c>
      <c r="AY368">
        <f ca="1">IFERROR(IF(0=LEN(ReferenceData!$AY$368),"",ReferenceData!$AY$368),"")</f>
        <v>3.1</v>
      </c>
      <c r="AZ368">
        <f ca="1">IFERROR(IF(0=LEN(ReferenceData!$AZ$368),"",ReferenceData!$AZ$368),"")</f>
        <v>6.5629999999999997</v>
      </c>
      <c r="BA368">
        <f ca="1">IFERROR(IF(0=LEN(ReferenceData!$BA$368),"",ReferenceData!$BA$368),"")</f>
        <v>0.17899999999999999</v>
      </c>
      <c r="BB368">
        <f ca="1">IFERROR(IF(0=LEN(ReferenceData!$BB$368),"",ReferenceData!$BB$368),"")</f>
        <v>41.692</v>
      </c>
      <c r="BC368">
        <f ca="1">IFERROR(IF(0=LEN(ReferenceData!$BC$368),"",ReferenceData!$BC$368),"")</f>
        <v>0.30599999999999999</v>
      </c>
      <c r="BD368">
        <f ca="1">IFERROR(IF(0=LEN(ReferenceData!$BD$368),"",ReferenceData!$BD$368),"")</f>
        <v>11.617000000000001</v>
      </c>
      <c r="BE368">
        <f ca="1">IFERROR(IF(0=LEN(ReferenceData!$BE$368),"",ReferenceData!$BE$368),"")</f>
        <v>16.433</v>
      </c>
      <c r="BF368">
        <f ca="1">IFERROR(IF(0=LEN(ReferenceData!$BF$368),"",ReferenceData!$BF$368),"")</f>
        <v>11.454000000000001</v>
      </c>
      <c r="BG368">
        <f ca="1">IFERROR(IF(0=LEN(ReferenceData!$BG$368),"",ReferenceData!$BG$368),"")</f>
        <v>17.751999999999999</v>
      </c>
      <c r="BH368">
        <f ca="1">IFERROR(IF(0=LEN(ReferenceData!$BH$368),"",ReferenceData!$BH$368),"")</f>
        <v>17.741</v>
      </c>
      <c r="BI368">
        <f ca="1">IFERROR(IF(0=LEN(ReferenceData!$BI$368),"",ReferenceData!$BI$368),"")</f>
        <v>15.907</v>
      </c>
      <c r="BJ368">
        <f ca="1">IFERROR(IF(0=LEN(ReferenceData!$BJ$368),"",ReferenceData!$BJ$368),"")</f>
        <v>17.579999999999998</v>
      </c>
      <c r="BK368">
        <f ca="1">IFERROR(IF(0=LEN(ReferenceData!$BK$368),"",ReferenceData!$BK$368),"")</f>
        <v>-309.15500350000002</v>
      </c>
      <c r="BL368">
        <f ca="1">IFERROR(IF(0=LEN(ReferenceData!$BL$368),"",ReferenceData!$BL$368),"")</f>
        <v>8.3089999999999993</v>
      </c>
      <c r="BM368">
        <f ca="1">IFERROR(IF(0=LEN(ReferenceData!$BM$368),"",ReferenceData!$BM$368),"")</f>
        <v>9.1809999999999992</v>
      </c>
    </row>
    <row r="369" spans="1:65">
      <c r="A369" t="str">
        <f>IFERROR(IF(0=LEN(ReferenceData!$A$369),"",ReferenceData!$A$369),"")</f>
        <v xml:space="preserve">    VEREIT Inc</v>
      </c>
      <c r="B369" t="str">
        <f>IFERROR(IF(0=LEN(ReferenceData!$B$369),"",ReferenceData!$B$369),"")</f>
        <v>VER US Equity</v>
      </c>
      <c r="C369" t="str">
        <f>IFERROR(IF(0=LEN(ReferenceData!$C$369),"",ReferenceData!$C$369),"")</f>
        <v>RR008</v>
      </c>
      <c r="D369" t="str">
        <f>IFERROR(IF(0=LEN(ReferenceData!$D$369),"",ReferenceData!$D$369),"")</f>
        <v>CF_FREE_CASH_FLOW</v>
      </c>
      <c r="E369" t="str">
        <f>IFERROR(IF(0=LEN(ReferenceData!$E$369),"",ReferenceData!$E$369),"")</f>
        <v>动态</v>
      </c>
      <c r="F369" t="str">
        <f ca="1">IFERROR(IF(0=LEN(ReferenceData!$F$369),"",ReferenceData!$F$369),"")</f>
        <v/>
      </c>
      <c r="G369" t="str">
        <f ca="1">IFERROR(IF(0=LEN(ReferenceData!$G$369),"",ReferenceData!$G$369),"")</f>
        <v/>
      </c>
      <c r="H369" t="str">
        <f ca="1">IFERROR(IF(0=LEN(ReferenceData!$H$369),"",ReferenceData!$H$369),"")</f>
        <v/>
      </c>
      <c r="I369">
        <f ca="1">IFERROR(IF(0=LEN(ReferenceData!$I$369),"",ReferenceData!$I$369),"")</f>
        <v>197.67699999999999</v>
      </c>
      <c r="J369">
        <f ca="1">IFERROR(IF(0=LEN(ReferenceData!$J$369),"",ReferenceData!$J$369),"")</f>
        <v>171.661</v>
      </c>
      <c r="K369">
        <f ca="1">IFERROR(IF(0=LEN(ReferenceData!$K$369),"",ReferenceData!$K$369),"")</f>
        <v>182.542</v>
      </c>
      <c r="L369">
        <f ca="1">IFERROR(IF(0=LEN(ReferenceData!$L$369),"",ReferenceData!$L$369),"")</f>
        <v>183.65199999999999</v>
      </c>
      <c r="M369">
        <f ca="1">IFERROR(IF(0=LEN(ReferenceData!$M$369),"",ReferenceData!$M$369),"")</f>
        <v>226</v>
      </c>
      <c r="N369">
        <f ca="1">IFERROR(IF(0=LEN(ReferenceData!$N$369),"",ReferenceData!$N$369),"")</f>
        <v>172.096</v>
      </c>
      <c r="O369">
        <f ca="1">IFERROR(IF(0=LEN(ReferenceData!$O$369),"",ReferenceData!$O$369),"")</f>
        <v>223.46600000000001</v>
      </c>
      <c r="P369">
        <f ca="1">IFERROR(IF(0=LEN(ReferenceData!$P$369),"",ReferenceData!$P$369),"")</f>
        <v>156.77099999999999</v>
      </c>
      <c r="Q369">
        <f ca="1">IFERROR(IF(0=LEN(ReferenceData!$Q$369),"",ReferenceData!$Q$369),"")</f>
        <v>198.12899999999999</v>
      </c>
      <c r="R369">
        <f ca="1">IFERROR(IF(0=LEN(ReferenceData!$R$369),"",ReferenceData!$R$369),"")</f>
        <v>210.48500000000001</v>
      </c>
      <c r="S369">
        <f ca="1">IFERROR(IF(0=LEN(ReferenceData!$S$369),"",ReferenceData!$S$369),"")</f>
        <v>196.71299999999999</v>
      </c>
      <c r="T369">
        <f ca="1">IFERROR(IF(0=LEN(ReferenceData!$T$369),"",ReferenceData!$T$369),"")</f>
        <v>171.33699999999999</v>
      </c>
      <c r="U369">
        <f ca="1">IFERROR(IF(0=LEN(ReferenceData!$U$369),"",ReferenceData!$U$369),"")</f>
        <v>126.667</v>
      </c>
      <c r="V369">
        <f ca="1">IFERROR(IF(0=LEN(ReferenceData!$V$369),"",ReferenceData!$V$369),"")</f>
        <v>-138.98400000000001</v>
      </c>
      <c r="W369">
        <f ca="1">IFERROR(IF(0=LEN(ReferenceData!$W$369),"",ReferenceData!$W$369),"")</f>
        <v>-6.2089999999999996</v>
      </c>
      <c r="X369">
        <f ca="1">IFERROR(IF(0=LEN(ReferenceData!$X$369),"",ReferenceData!$X$369),"")</f>
        <v>15.036</v>
      </c>
      <c r="Y369">
        <f ca="1">IFERROR(IF(0=LEN(ReferenceData!$Y$369),"",ReferenceData!$Y$369),"")</f>
        <v>0.94399999999999995</v>
      </c>
      <c r="Z369">
        <f ca="1">IFERROR(IF(0=LEN(ReferenceData!$Z$369),"",ReferenceData!$Z$369),"")</f>
        <v>-8.1509999999999998</v>
      </c>
      <c r="AA369">
        <f ca="1">IFERROR(IF(0=LEN(ReferenceData!$AA$369),"",ReferenceData!$AA$369),"")</f>
        <v>10.065</v>
      </c>
      <c r="AB369">
        <f ca="1">IFERROR(IF(0=LEN(ReferenceData!$AB$369),"",ReferenceData!$AB$369),"")</f>
        <v>0.33700000000000002</v>
      </c>
      <c r="AC369">
        <f ca="1">IFERROR(IF(0=LEN(ReferenceData!$AC$369),"",ReferenceData!$AC$369),"")</f>
        <v>3.7629999999999999</v>
      </c>
      <c r="AD369">
        <f ca="1">IFERROR(IF(0=LEN(ReferenceData!$AD$369),"",ReferenceData!$AD$369),"")</f>
        <v>-2.609</v>
      </c>
      <c r="AE369">
        <f ca="1">IFERROR(IF(0=LEN(ReferenceData!$AE$369),"",ReferenceData!$AE$369),"")</f>
        <v>0.67700000000000005</v>
      </c>
      <c r="AF369">
        <f ca="1">IFERROR(IF(0=LEN(ReferenceData!$AF$369),"",ReferenceData!$AF$369),"")</f>
        <v>0.68306299999999998</v>
      </c>
      <c r="AG369">
        <f ca="1">IFERROR(IF(0=LEN(ReferenceData!$AG$369),"",ReferenceData!$AG$369),"")</f>
        <v>0</v>
      </c>
      <c r="AH369">
        <f ca="1">IFERROR(IF(0=LEN(ReferenceData!$AH$369),"",ReferenceData!$AH$369),"")</f>
        <v>-0.44006299999999998</v>
      </c>
      <c r="AI369" t="str">
        <f ca="1">IFERROR(IF(0=LEN(ReferenceData!$AI$369),"",ReferenceData!$AI$369),"")</f>
        <v/>
      </c>
      <c r="AJ369" t="str">
        <f ca="1">IFERROR(IF(0=LEN(ReferenceData!$AJ$369),"",ReferenceData!$AJ$369),"")</f>
        <v/>
      </c>
      <c r="AK369" t="str">
        <f ca="1">IFERROR(IF(0=LEN(ReferenceData!$AK$369),"",ReferenceData!$AK$369),"")</f>
        <v/>
      </c>
      <c r="AL369">
        <f ca="1">IFERROR(IF(0=LEN(ReferenceData!$AL$369),"",ReferenceData!$AL$369),"")</f>
        <v>-0.31517600000000001</v>
      </c>
      <c r="AM369" t="str">
        <f ca="1">IFERROR(IF(0=LEN(ReferenceData!$AM$369),"",ReferenceData!$AM$369),"")</f>
        <v/>
      </c>
      <c r="AN369" t="str">
        <f ca="1">IFERROR(IF(0=LEN(ReferenceData!$AN$369),"",ReferenceData!$AN$369),"")</f>
        <v/>
      </c>
      <c r="AO369" t="str">
        <f ca="1">IFERROR(IF(0=LEN(ReferenceData!$AO$369),"",ReferenceData!$AO$369),"")</f>
        <v/>
      </c>
      <c r="AP369" t="str">
        <f ca="1">IFERROR(IF(0=LEN(ReferenceData!$AP$369),"",ReferenceData!$AP$369),"")</f>
        <v/>
      </c>
      <c r="AQ369" t="str">
        <f ca="1">IFERROR(IF(0=LEN(ReferenceData!$AQ$369),"",ReferenceData!$AQ$369),"")</f>
        <v/>
      </c>
      <c r="AR369" t="str">
        <f ca="1">IFERROR(IF(0=LEN(ReferenceData!$AR$369),"",ReferenceData!$AR$369),"")</f>
        <v/>
      </c>
      <c r="AS369" t="str">
        <f ca="1">IFERROR(IF(0=LEN(ReferenceData!$AS$369),"",ReferenceData!$AS$369),"")</f>
        <v/>
      </c>
      <c r="AT369" t="str">
        <f ca="1">IFERROR(IF(0=LEN(ReferenceData!$AT$369),"",ReferenceData!$AT$369),"")</f>
        <v/>
      </c>
      <c r="AU369" t="str">
        <f ca="1">IFERROR(IF(0=LEN(ReferenceData!$AU$369),"",ReferenceData!$AU$369),"")</f>
        <v/>
      </c>
      <c r="AV369" t="str">
        <f ca="1">IFERROR(IF(0=LEN(ReferenceData!$AV$369),"",ReferenceData!$AV$369),"")</f>
        <v/>
      </c>
      <c r="AW369" t="str">
        <f ca="1">IFERROR(IF(0=LEN(ReferenceData!$AW$369),"",ReferenceData!$AW$369),"")</f>
        <v/>
      </c>
      <c r="AX369" t="str">
        <f ca="1">IFERROR(IF(0=LEN(ReferenceData!$AX$369),"",ReferenceData!$AX$369),"")</f>
        <v/>
      </c>
      <c r="AY369" t="str">
        <f ca="1">IFERROR(IF(0=LEN(ReferenceData!$AY$369),"",ReferenceData!$AY$369),"")</f>
        <v/>
      </c>
      <c r="AZ369" t="str">
        <f ca="1">IFERROR(IF(0=LEN(ReferenceData!$AZ$369),"",ReferenceData!$AZ$369),"")</f>
        <v/>
      </c>
      <c r="BA369" t="str">
        <f ca="1">IFERROR(IF(0=LEN(ReferenceData!$BA$369),"",ReferenceData!$BA$369),"")</f>
        <v/>
      </c>
      <c r="BB369" t="str">
        <f ca="1">IFERROR(IF(0=LEN(ReferenceData!$BB$369),"",ReferenceData!$BB$369),"")</f>
        <v/>
      </c>
      <c r="BC369" t="str">
        <f ca="1">IFERROR(IF(0=LEN(ReferenceData!$BC$369),"",ReferenceData!$BC$369),"")</f>
        <v/>
      </c>
      <c r="BD369" t="str">
        <f ca="1">IFERROR(IF(0=LEN(ReferenceData!$BD$369),"",ReferenceData!$BD$369),"")</f>
        <v/>
      </c>
      <c r="BE369" t="str">
        <f ca="1">IFERROR(IF(0=LEN(ReferenceData!$BE$369),"",ReferenceData!$BE$369),"")</f>
        <v/>
      </c>
      <c r="BF369" t="str">
        <f ca="1">IFERROR(IF(0=LEN(ReferenceData!$BF$369),"",ReferenceData!$BF$369),"")</f>
        <v/>
      </c>
      <c r="BG369" t="str">
        <f ca="1">IFERROR(IF(0=LEN(ReferenceData!$BG$369),"",ReferenceData!$BG$369),"")</f>
        <v/>
      </c>
      <c r="BH369" t="str">
        <f ca="1">IFERROR(IF(0=LEN(ReferenceData!$BH$369),"",ReferenceData!$BH$369),"")</f>
        <v/>
      </c>
      <c r="BI369" t="str">
        <f ca="1">IFERROR(IF(0=LEN(ReferenceData!$BI$369),"",ReferenceData!$BI$369),"")</f>
        <v/>
      </c>
      <c r="BJ369" t="str">
        <f ca="1">IFERROR(IF(0=LEN(ReferenceData!$BJ$369),"",ReferenceData!$BJ$369),"")</f>
        <v/>
      </c>
      <c r="BK369" t="str">
        <f ca="1">IFERROR(IF(0=LEN(ReferenceData!$BK$369),"",ReferenceData!$BK$369),"")</f>
        <v/>
      </c>
      <c r="BL369" t="str">
        <f ca="1">IFERROR(IF(0=LEN(ReferenceData!$BL$369),"",ReferenceData!$BL$369),"")</f>
        <v/>
      </c>
      <c r="BM369" t="str">
        <f ca="1">IFERROR(IF(0=LEN(ReferenceData!$BM$369),"",ReferenceData!$BM$369),"")</f>
        <v/>
      </c>
    </row>
    <row r="370" spans="1:65">
      <c r="A370" t="str">
        <f>IFERROR(IF(0=LEN(ReferenceData!$A$370),"",ReferenceData!$A$370),"")</f>
        <v xml:space="preserve">    Washington Prime Group Inc</v>
      </c>
      <c r="B370" t="str">
        <f>IFERROR(IF(0=LEN(ReferenceData!$B$370),"",ReferenceData!$B$370),"")</f>
        <v>WPG US Equity</v>
      </c>
      <c r="C370" t="str">
        <f>IFERROR(IF(0=LEN(ReferenceData!$C$370),"",ReferenceData!$C$370),"")</f>
        <v>RR008</v>
      </c>
      <c r="D370" t="str">
        <f>IFERROR(IF(0=LEN(ReferenceData!$D$370),"",ReferenceData!$D$370),"")</f>
        <v>CF_FREE_CASH_FLOW</v>
      </c>
      <c r="E370" t="str">
        <f>IFERROR(IF(0=LEN(ReferenceData!$E$370),"",ReferenceData!$E$370),"")</f>
        <v>动态</v>
      </c>
      <c r="F370" t="str">
        <f ca="1">IFERROR(IF(0=LEN(ReferenceData!$F$370),"",ReferenceData!$F$370),"")</f>
        <v/>
      </c>
      <c r="G370">
        <f ca="1">IFERROR(IF(0=LEN(ReferenceData!$G$370),"",ReferenceData!$G$370),"")</f>
        <v>54.131999999999998</v>
      </c>
      <c r="H370">
        <f ca="1">IFERROR(IF(0=LEN(ReferenceData!$H$370),"",ReferenceData!$H$370),"")</f>
        <v>45.225999999999999</v>
      </c>
      <c r="I370">
        <f ca="1">IFERROR(IF(0=LEN(ReferenceData!$I$370),"",ReferenceData!$I$370),"")</f>
        <v>35.86</v>
      </c>
      <c r="J370">
        <f ca="1">IFERROR(IF(0=LEN(ReferenceData!$J$370),"",ReferenceData!$J$370),"")</f>
        <v>45.850999999999999</v>
      </c>
      <c r="K370">
        <f ca="1">IFERROR(IF(0=LEN(ReferenceData!$K$370),"",ReferenceData!$K$370),"")</f>
        <v>45.866</v>
      </c>
      <c r="L370">
        <f ca="1">IFERROR(IF(0=LEN(ReferenceData!$L$370),"",ReferenceData!$L$370),"")</f>
        <v>9.2720000000000002</v>
      </c>
      <c r="M370">
        <f ca="1">IFERROR(IF(0=LEN(ReferenceData!$M$370),"",ReferenceData!$M$370),"")</f>
        <v>29.003</v>
      </c>
      <c r="N370">
        <f ca="1">IFERROR(IF(0=LEN(ReferenceData!$N$370),"",ReferenceData!$N$370),"")</f>
        <v>30.074999999999999</v>
      </c>
      <c r="O370">
        <f ca="1">IFERROR(IF(0=LEN(ReferenceData!$O$370),"",ReferenceData!$O$370),"")</f>
        <v>30.029</v>
      </c>
      <c r="P370">
        <f ca="1">IFERROR(IF(0=LEN(ReferenceData!$P$370),"",ReferenceData!$P$370),"")</f>
        <v>59.683999999999997</v>
      </c>
      <c r="Q370">
        <f ca="1">IFERROR(IF(0=LEN(ReferenceData!$Q$370),"",ReferenceData!$Q$370),"")</f>
        <v>40.801000000000002</v>
      </c>
      <c r="R370">
        <f ca="1">IFERROR(IF(0=LEN(ReferenceData!$R$370),"",ReferenceData!$R$370),"")</f>
        <v>16.891999999999999</v>
      </c>
      <c r="S370">
        <f ca="1">IFERROR(IF(0=LEN(ReferenceData!$S$370),"",ReferenceData!$S$370),"")</f>
        <v>62.271000000000001</v>
      </c>
      <c r="T370">
        <f ca="1">IFERROR(IF(0=LEN(ReferenceData!$T$370),"",ReferenceData!$T$370),"")</f>
        <v>62.308999999999997</v>
      </c>
      <c r="U370">
        <f ca="1">IFERROR(IF(0=LEN(ReferenceData!$U$370),"",ReferenceData!$U$370),"")</f>
        <v>30.198</v>
      </c>
      <c r="V370">
        <f ca="1">IFERROR(IF(0=LEN(ReferenceData!$V$370),"",ReferenceData!$V$370),"")</f>
        <v>42.57</v>
      </c>
      <c r="W370" t="str">
        <f ca="1">IFERROR(IF(0=LEN(ReferenceData!$W$370),"",ReferenceData!$W$370),"")</f>
        <v/>
      </c>
      <c r="X370" t="str">
        <f ca="1">IFERROR(IF(0=LEN(ReferenceData!$X$370),"",ReferenceData!$X$370),"")</f>
        <v/>
      </c>
      <c r="Y370" t="str">
        <f ca="1">IFERROR(IF(0=LEN(ReferenceData!$Y$370),"",ReferenceData!$Y$370),"")</f>
        <v/>
      </c>
      <c r="Z370" t="str">
        <f ca="1">IFERROR(IF(0=LEN(ReferenceData!$Z$370),"",ReferenceData!$Z$370),"")</f>
        <v/>
      </c>
      <c r="AA370" t="str">
        <f ca="1">IFERROR(IF(0=LEN(ReferenceData!$AA$370),"",ReferenceData!$AA$370),"")</f>
        <v/>
      </c>
      <c r="AB370" t="str">
        <f ca="1">IFERROR(IF(0=LEN(ReferenceData!$AB$370),"",ReferenceData!$AB$370),"")</f>
        <v/>
      </c>
      <c r="AC370" t="str">
        <f ca="1">IFERROR(IF(0=LEN(ReferenceData!$AC$370),"",ReferenceData!$AC$370),"")</f>
        <v/>
      </c>
      <c r="AD370" t="str">
        <f ca="1">IFERROR(IF(0=LEN(ReferenceData!$AD$370),"",ReferenceData!$AD$370),"")</f>
        <v/>
      </c>
      <c r="AE370" t="str">
        <f ca="1">IFERROR(IF(0=LEN(ReferenceData!$AE$370),"",ReferenceData!$AE$370),"")</f>
        <v/>
      </c>
      <c r="AF370" t="str">
        <f ca="1">IFERROR(IF(0=LEN(ReferenceData!$AF$370),"",ReferenceData!$AF$370),"")</f>
        <v/>
      </c>
      <c r="AG370" t="str">
        <f ca="1">IFERROR(IF(0=LEN(ReferenceData!$AG$370),"",ReferenceData!$AG$370),"")</f>
        <v/>
      </c>
      <c r="AH370" t="str">
        <f ca="1">IFERROR(IF(0=LEN(ReferenceData!$AH$370),"",ReferenceData!$AH$370),"")</f>
        <v/>
      </c>
      <c r="AI370" t="str">
        <f ca="1">IFERROR(IF(0=LEN(ReferenceData!$AI$370),"",ReferenceData!$AI$370),"")</f>
        <v/>
      </c>
      <c r="AJ370" t="str">
        <f ca="1">IFERROR(IF(0=LEN(ReferenceData!$AJ$370),"",ReferenceData!$AJ$370),"")</f>
        <v/>
      </c>
      <c r="AK370" t="str">
        <f ca="1">IFERROR(IF(0=LEN(ReferenceData!$AK$370),"",ReferenceData!$AK$370),"")</f>
        <v/>
      </c>
      <c r="AL370" t="str">
        <f ca="1">IFERROR(IF(0=LEN(ReferenceData!$AL$370),"",ReferenceData!$AL$370),"")</f>
        <v/>
      </c>
      <c r="AM370" t="str">
        <f ca="1">IFERROR(IF(0=LEN(ReferenceData!$AM$370),"",ReferenceData!$AM$370),"")</f>
        <v/>
      </c>
      <c r="AN370" t="str">
        <f ca="1">IFERROR(IF(0=LEN(ReferenceData!$AN$370),"",ReferenceData!$AN$370),"")</f>
        <v/>
      </c>
      <c r="AO370" t="str">
        <f ca="1">IFERROR(IF(0=LEN(ReferenceData!$AO$370),"",ReferenceData!$AO$370),"")</f>
        <v/>
      </c>
      <c r="AP370" t="str">
        <f ca="1">IFERROR(IF(0=LEN(ReferenceData!$AP$370),"",ReferenceData!$AP$370),"")</f>
        <v/>
      </c>
      <c r="AQ370" t="str">
        <f ca="1">IFERROR(IF(0=LEN(ReferenceData!$AQ$370),"",ReferenceData!$AQ$370),"")</f>
        <v/>
      </c>
      <c r="AR370" t="str">
        <f ca="1">IFERROR(IF(0=LEN(ReferenceData!$AR$370),"",ReferenceData!$AR$370),"")</f>
        <v/>
      </c>
      <c r="AS370" t="str">
        <f ca="1">IFERROR(IF(0=LEN(ReferenceData!$AS$370),"",ReferenceData!$AS$370),"")</f>
        <v/>
      </c>
      <c r="AT370" t="str">
        <f ca="1">IFERROR(IF(0=LEN(ReferenceData!$AT$370),"",ReferenceData!$AT$370),"")</f>
        <v/>
      </c>
      <c r="AU370" t="str">
        <f ca="1">IFERROR(IF(0=LEN(ReferenceData!$AU$370),"",ReferenceData!$AU$370),"")</f>
        <v/>
      </c>
      <c r="AV370" t="str">
        <f ca="1">IFERROR(IF(0=LEN(ReferenceData!$AV$370),"",ReferenceData!$AV$370),"")</f>
        <v/>
      </c>
      <c r="AW370" t="str">
        <f ca="1">IFERROR(IF(0=LEN(ReferenceData!$AW$370),"",ReferenceData!$AW$370),"")</f>
        <v/>
      </c>
      <c r="AX370" t="str">
        <f ca="1">IFERROR(IF(0=LEN(ReferenceData!$AX$370),"",ReferenceData!$AX$370),"")</f>
        <v/>
      </c>
      <c r="AY370" t="str">
        <f ca="1">IFERROR(IF(0=LEN(ReferenceData!$AY$370),"",ReferenceData!$AY$370),"")</f>
        <v/>
      </c>
      <c r="AZ370" t="str">
        <f ca="1">IFERROR(IF(0=LEN(ReferenceData!$AZ$370),"",ReferenceData!$AZ$370),"")</f>
        <v/>
      </c>
      <c r="BA370" t="str">
        <f ca="1">IFERROR(IF(0=LEN(ReferenceData!$BA$370),"",ReferenceData!$BA$370),"")</f>
        <v/>
      </c>
      <c r="BB370" t="str">
        <f ca="1">IFERROR(IF(0=LEN(ReferenceData!$BB$370),"",ReferenceData!$BB$370),"")</f>
        <v/>
      </c>
      <c r="BC370" t="str">
        <f ca="1">IFERROR(IF(0=LEN(ReferenceData!$BC$370),"",ReferenceData!$BC$370),"")</f>
        <v/>
      </c>
      <c r="BD370" t="str">
        <f ca="1">IFERROR(IF(0=LEN(ReferenceData!$BD$370),"",ReferenceData!$BD$370),"")</f>
        <v/>
      </c>
      <c r="BE370" t="str">
        <f ca="1">IFERROR(IF(0=LEN(ReferenceData!$BE$370),"",ReferenceData!$BE$370),"")</f>
        <v/>
      </c>
      <c r="BF370" t="str">
        <f ca="1">IFERROR(IF(0=LEN(ReferenceData!$BF$370),"",ReferenceData!$BF$370),"")</f>
        <v/>
      </c>
      <c r="BG370" t="str">
        <f ca="1">IFERROR(IF(0=LEN(ReferenceData!$BG$370),"",ReferenceData!$BG$370),"")</f>
        <v/>
      </c>
      <c r="BH370" t="str">
        <f ca="1">IFERROR(IF(0=LEN(ReferenceData!$BH$370),"",ReferenceData!$BH$370),"")</f>
        <v/>
      </c>
      <c r="BI370" t="str">
        <f ca="1">IFERROR(IF(0=LEN(ReferenceData!$BI$370),"",ReferenceData!$BI$370),"")</f>
        <v/>
      </c>
      <c r="BJ370" t="str">
        <f ca="1">IFERROR(IF(0=LEN(ReferenceData!$BJ$370),"",ReferenceData!$BJ$370),"")</f>
        <v/>
      </c>
      <c r="BK370" t="str">
        <f ca="1">IFERROR(IF(0=LEN(ReferenceData!$BK$370),"",ReferenceData!$BK$370),"")</f>
        <v/>
      </c>
      <c r="BL370" t="str">
        <f ca="1">IFERROR(IF(0=LEN(ReferenceData!$BL$370),"",ReferenceData!$BL$370),"")</f>
        <v/>
      </c>
      <c r="BM370" t="str">
        <f ca="1">IFERROR(IF(0=LEN(ReferenceData!$BM$370),"",ReferenceData!$BM$370),"")</f>
        <v/>
      </c>
    </row>
    <row r="371" spans="1:65">
      <c r="A371" t="str">
        <f>IFERROR(IF(0=LEN(ReferenceData!$A$371),"",ReferenceData!$A$371),"")</f>
        <v xml:space="preserve">    Weingarten Realty Investors</v>
      </c>
      <c r="B371" t="str">
        <f>IFERROR(IF(0=LEN(ReferenceData!$B$371),"",ReferenceData!$B$371),"")</f>
        <v>WRI US Equity</v>
      </c>
      <c r="C371" t="str">
        <f>IFERROR(IF(0=LEN(ReferenceData!$C$371),"",ReferenceData!$C$371),"")</f>
        <v>RR008</v>
      </c>
      <c r="D371" t="str">
        <f>IFERROR(IF(0=LEN(ReferenceData!$D$371),"",ReferenceData!$D$371),"")</f>
        <v>CF_FREE_CASH_FLOW</v>
      </c>
      <c r="E371" t="str">
        <f>IFERROR(IF(0=LEN(ReferenceData!$E$371),"",ReferenceData!$E$371),"")</f>
        <v>动态</v>
      </c>
      <c r="F371" t="str">
        <f ca="1">IFERROR(IF(0=LEN(ReferenceData!$F$371),"",ReferenceData!$F$371),"")</f>
        <v/>
      </c>
      <c r="G371">
        <f ca="1">IFERROR(IF(0=LEN(ReferenceData!$G$371),"",ReferenceData!$G$371),"")</f>
        <v>27.616</v>
      </c>
      <c r="H371">
        <f ca="1">IFERROR(IF(0=LEN(ReferenceData!$H$371),"",ReferenceData!$H$371),"")</f>
        <v>47.444000000000003</v>
      </c>
      <c r="I371">
        <f ca="1">IFERROR(IF(0=LEN(ReferenceData!$I$371),"",ReferenceData!$I$371),"")</f>
        <v>60.569000000000003</v>
      </c>
      <c r="J371">
        <f ca="1">IFERROR(IF(0=LEN(ReferenceData!$J$371),"",ReferenceData!$J$371),"")</f>
        <v>-1.109</v>
      </c>
      <c r="K371">
        <f ca="1">IFERROR(IF(0=LEN(ReferenceData!$K$371),"",ReferenceData!$K$371),"")</f>
        <v>-31.870999999999999</v>
      </c>
      <c r="L371">
        <f ca="1">IFERROR(IF(0=LEN(ReferenceData!$L$371),"",ReferenceData!$L$371),"")</f>
        <v>-295.20299999999997</v>
      </c>
      <c r="M371">
        <f ca="1">IFERROR(IF(0=LEN(ReferenceData!$M$371),"",ReferenceData!$M$371),"")</f>
        <v>-51.064999999999998</v>
      </c>
      <c r="N371">
        <f ca="1">IFERROR(IF(0=LEN(ReferenceData!$N$371),"",ReferenceData!$N$371),"")</f>
        <v>29.279</v>
      </c>
      <c r="O371">
        <f ca="1">IFERROR(IF(0=LEN(ReferenceData!$O$371),"",ReferenceData!$O$371),"")</f>
        <v>6.2E-2</v>
      </c>
      <c r="P371">
        <f ca="1">IFERROR(IF(0=LEN(ReferenceData!$P$371),"",ReferenceData!$P$371),"")</f>
        <v>-17.451000000000001</v>
      </c>
      <c r="Q371">
        <f ca="1">IFERROR(IF(0=LEN(ReferenceData!$Q$371),"",ReferenceData!$Q$371),"")</f>
        <v>7.7720000000000002</v>
      </c>
      <c r="R371">
        <f ca="1">IFERROR(IF(0=LEN(ReferenceData!$R$371),"",ReferenceData!$R$371),"")</f>
        <v>-51.448</v>
      </c>
      <c r="S371">
        <f ca="1">IFERROR(IF(0=LEN(ReferenceData!$S$371),"",ReferenceData!$S$371),"")</f>
        <v>-4.734</v>
      </c>
      <c r="T371">
        <f ca="1">IFERROR(IF(0=LEN(ReferenceData!$T$371),"",ReferenceData!$T$371),"")</f>
        <v>26.774999999999999</v>
      </c>
      <c r="U371">
        <f ca="1">IFERROR(IF(0=LEN(ReferenceData!$U$371),"",ReferenceData!$U$371),"")</f>
        <v>47.363</v>
      </c>
      <c r="V371">
        <f ca="1">IFERROR(IF(0=LEN(ReferenceData!$V$371),"",ReferenceData!$V$371),"")</f>
        <v>26.852</v>
      </c>
      <c r="W371">
        <f ca="1">IFERROR(IF(0=LEN(ReferenceData!$W$371),"",ReferenceData!$W$371),"")</f>
        <v>-11.523999999999999</v>
      </c>
      <c r="X371">
        <f ca="1">IFERROR(IF(0=LEN(ReferenceData!$X$371),"",ReferenceData!$X$371),"")</f>
        <v>40.296999999999997</v>
      </c>
      <c r="Y371">
        <f ca="1">IFERROR(IF(0=LEN(ReferenceData!$Y$371),"",ReferenceData!$Y$371),"")</f>
        <v>17.802</v>
      </c>
      <c r="Z371">
        <f ca="1">IFERROR(IF(0=LEN(ReferenceData!$Z$371),"",ReferenceData!$Z$371),"")</f>
        <v>4.66</v>
      </c>
      <c r="AA371">
        <f ca="1">IFERROR(IF(0=LEN(ReferenceData!$AA$371),"",ReferenceData!$AA$371),"")</f>
        <v>36.353000000000002</v>
      </c>
      <c r="AB371">
        <f ca="1">IFERROR(IF(0=LEN(ReferenceData!$AB$371),"",ReferenceData!$AB$371),"")</f>
        <v>-49.837000000000003</v>
      </c>
      <c r="AC371">
        <f ca="1">IFERROR(IF(0=LEN(ReferenceData!$AC$371),"",ReferenceData!$AC$371),"")</f>
        <v>-59.444000000000003</v>
      </c>
      <c r="AD371">
        <f ca="1">IFERROR(IF(0=LEN(ReferenceData!$AD$371),"",ReferenceData!$AD$371),"")</f>
        <v>6.3440000000000003</v>
      </c>
      <c r="AE371">
        <f ca="1">IFERROR(IF(0=LEN(ReferenceData!$AE$371),"",ReferenceData!$AE$371),"")</f>
        <v>31.562000000000001</v>
      </c>
      <c r="AF371">
        <f ca="1">IFERROR(IF(0=LEN(ReferenceData!$AF$371),"",ReferenceData!$AF$371),"")</f>
        <v>15.673999999999999</v>
      </c>
      <c r="AG371">
        <f ca="1">IFERROR(IF(0=LEN(ReferenceData!$AG$371),"",ReferenceData!$AG$371),"")</f>
        <v>28.628</v>
      </c>
      <c r="AH371">
        <f ca="1">IFERROR(IF(0=LEN(ReferenceData!$AH$371),"",ReferenceData!$AH$371),"")</f>
        <v>-6.2389999999999999</v>
      </c>
      <c r="AI371">
        <f ca="1">IFERROR(IF(0=LEN(ReferenceData!$AI$371),"",ReferenceData!$AI$371),"")</f>
        <v>-1.06</v>
      </c>
      <c r="AJ371">
        <f ca="1">IFERROR(IF(0=LEN(ReferenceData!$AJ$371),"",ReferenceData!$AJ$371),"")</f>
        <v>19.585999999999999</v>
      </c>
      <c r="AK371">
        <f ca="1">IFERROR(IF(0=LEN(ReferenceData!$AK$371),"",ReferenceData!$AK$371),"")</f>
        <v>38.683999999999997</v>
      </c>
      <c r="AL371">
        <f ca="1">IFERROR(IF(0=LEN(ReferenceData!$AL$371),"",ReferenceData!$AL$371),"")</f>
        <v>14.443</v>
      </c>
      <c r="AM371">
        <f ca="1">IFERROR(IF(0=LEN(ReferenceData!$AM$371),"",ReferenceData!$AM$371),"")</f>
        <v>31.858000000000001</v>
      </c>
      <c r="AN371">
        <f ca="1">IFERROR(IF(0=LEN(ReferenceData!$AN$371),"",ReferenceData!$AN$371),"")</f>
        <v>32.408000000000001</v>
      </c>
      <c r="AO371">
        <f ca="1">IFERROR(IF(0=LEN(ReferenceData!$AO$371),"",ReferenceData!$AO$371),"")</f>
        <v>49.735999999999997</v>
      </c>
      <c r="AP371">
        <f ca="1">IFERROR(IF(0=LEN(ReferenceData!$AP$371),"",ReferenceData!$AP$371),"")</f>
        <v>21.4</v>
      </c>
      <c r="AQ371">
        <f ca="1">IFERROR(IF(0=LEN(ReferenceData!$AQ$371),"",ReferenceData!$AQ$371),"")</f>
        <v>-14.176</v>
      </c>
      <c r="AR371">
        <f ca="1">IFERROR(IF(0=LEN(ReferenceData!$AR$371),"",ReferenceData!$AR$371),"")</f>
        <v>-15.864000000000001</v>
      </c>
      <c r="AS371">
        <f ca="1">IFERROR(IF(0=LEN(ReferenceData!$AS$371),"",ReferenceData!$AS$371),"")</f>
        <v>-1.5660000000000001</v>
      </c>
      <c r="AT371">
        <f ca="1">IFERROR(IF(0=LEN(ReferenceData!$AT$371),"",ReferenceData!$AT$371),"")</f>
        <v>-56.125999999999998</v>
      </c>
      <c r="AU371">
        <f ca="1">IFERROR(IF(0=LEN(ReferenceData!$AU$371),"",ReferenceData!$AU$371),"")</f>
        <v>-42.673000000000002</v>
      </c>
      <c r="AV371">
        <f ca="1">IFERROR(IF(0=LEN(ReferenceData!$AV$371),"",ReferenceData!$AV$371),"")</f>
        <v>-235.38200000000001</v>
      </c>
      <c r="AW371">
        <f ca="1">IFERROR(IF(0=LEN(ReferenceData!$AW$371),"",ReferenceData!$AW$371),"")</f>
        <v>-26.957000000000001</v>
      </c>
      <c r="AX371">
        <f ca="1">IFERROR(IF(0=LEN(ReferenceData!$AX$371),"",ReferenceData!$AX$371),"")</f>
        <v>-225.14099999999999</v>
      </c>
      <c r="AY371">
        <f ca="1">IFERROR(IF(0=LEN(ReferenceData!$AY$371),"",ReferenceData!$AY$371),"")</f>
        <v>-200.495</v>
      </c>
      <c r="AZ371">
        <f ca="1">IFERROR(IF(0=LEN(ReferenceData!$AZ$371),"",ReferenceData!$AZ$371),"")</f>
        <v>-369.18599999999998</v>
      </c>
      <c r="BA371">
        <f ca="1">IFERROR(IF(0=LEN(ReferenceData!$BA$371),"",ReferenceData!$BA$371),"")</f>
        <v>-46.347999999999999</v>
      </c>
      <c r="BB371">
        <f ca="1">IFERROR(IF(0=LEN(ReferenceData!$BB$371),"",ReferenceData!$BB$371),"")</f>
        <v>-21.85</v>
      </c>
      <c r="BC371">
        <f ca="1">IFERROR(IF(0=LEN(ReferenceData!$BC$371),"",ReferenceData!$BC$371),"")</f>
        <v>-42.41</v>
      </c>
      <c r="BD371">
        <f ca="1">IFERROR(IF(0=LEN(ReferenceData!$BD$371),"",ReferenceData!$BD$371),"")</f>
        <v>-5.851</v>
      </c>
      <c r="BE371">
        <f ca="1">IFERROR(IF(0=LEN(ReferenceData!$BE$371),"",ReferenceData!$BE$371),"")</f>
        <v>-14.013999999999999</v>
      </c>
      <c r="BF371">
        <f ca="1">IFERROR(IF(0=LEN(ReferenceData!$BF$371),"",ReferenceData!$BF$371),"")</f>
        <v>3.07</v>
      </c>
      <c r="BG371">
        <f ca="1">IFERROR(IF(0=LEN(ReferenceData!$BG$371),"",ReferenceData!$BG$371),"")</f>
        <v>-0.433</v>
      </c>
      <c r="BH371">
        <f ca="1">IFERROR(IF(0=LEN(ReferenceData!$BH$371),"",ReferenceData!$BH$371),"")</f>
        <v>0.56200000000000006</v>
      </c>
      <c r="BI371">
        <f ca="1">IFERROR(IF(0=LEN(ReferenceData!$BI$371),"",ReferenceData!$BI$371),"")</f>
        <v>-27.76300049</v>
      </c>
      <c r="BJ371">
        <f ca="1">IFERROR(IF(0=LEN(ReferenceData!$BJ$371),"",ReferenceData!$BJ$371),"")</f>
        <v>-172.46699699999999</v>
      </c>
      <c r="BK371">
        <f ca="1">IFERROR(IF(0=LEN(ReferenceData!$BK$371),"",ReferenceData!$BK$371),"")</f>
        <v>-46.501998999999998</v>
      </c>
      <c r="BL371">
        <f ca="1">IFERROR(IF(0=LEN(ReferenceData!$BL$371),"",ReferenceData!$BL$371),"")</f>
        <v>-63.593001999999998</v>
      </c>
      <c r="BM371">
        <f ca="1">IFERROR(IF(0=LEN(ReferenceData!$BM$371),"",ReferenceData!$BM$371),"")</f>
        <v>-24.111000000000001</v>
      </c>
    </row>
    <row r="372" spans="1:65">
      <c r="A372" t="str">
        <f>IFERROR(IF(0=LEN(ReferenceData!$A$372),"",ReferenceData!$A$372),"")</f>
        <v>总可用流动性</v>
      </c>
      <c r="B372" t="str">
        <f>IFERROR(IF(0=LEN(ReferenceData!$B$372),"",ReferenceData!$B$372),"")</f>
        <v/>
      </c>
      <c r="C372" t="str">
        <f>IFERROR(IF(0=LEN(ReferenceData!$C$372),"",ReferenceData!$C$372),"")</f>
        <v/>
      </c>
      <c r="D372" t="str">
        <f>IFERROR(IF(0=LEN(ReferenceData!$D$372),"",ReferenceData!$D$372),"")</f>
        <v/>
      </c>
      <c r="E372" t="str">
        <f>IFERROR(IF(0=LEN(ReferenceData!$E$372),"",ReferenceData!$E$372),"")</f>
        <v>Median</v>
      </c>
      <c r="F372" t="str">
        <f ca="1">IFERROR(IF(0=LEN(ReferenceData!$F$372),"",ReferenceData!$F$372),"")</f>
        <v/>
      </c>
      <c r="G372">
        <f ca="1">IFERROR(IF(0=LEN(ReferenceData!$G$372),"",ReferenceData!$G$372),"")</f>
        <v>780.24099999999999</v>
      </c>
      <c r="H372">
        <f ca="1">IFERROR(IF(0=LEN(ReferenceData!$H$372),"",ReferenceData!$H$372),"")</f>
        <v>917.22199999999998</v>
      </c>
      <c r="I372">
        <f ca="1">IFERROR(IF(0=LEN(ReferenceData!$I$372),"",ReferenceData!$I$372),"")</f>
        <v>851.47900000000004</v>
      </c>
      <c r="J372">
        <f ca="1">IFERROR(IF(0=LEN(ReferenceData!$J$372),"",ReferenceData!$J$372),"")</f>
        <v>434.03500000000003</v>
      </c>
      <c r="K372">
        <f ca="1">IFERROR(IF(0=LEN(ReferenceData!$K$372),"",ReferenceData!$K$372),"")</f>
        <v>600.423</v>
      </c>
      <c r="L372">
        <f ca="1">IFERROR(IF(0=LEN(ReferenceData!$L$372),"",ReferenceData!$L$372),"")</f>
        <v>616.20600000000002</v>
      </c>
      <c r="M372">
        <f ca="1">IFERROR(IF(0=LEN(ReferenceData!$M$372),"",ReferenceData!$M$372),"")</f>
        <v>504.73899999999998</v>
      </c>
      <c r="N372">
        <f ca="1">IFERROR(IF(0=LEN(ReferenceData!$N$372),"",ReferenceData!$N$372),"")</f>
        <v>337.79899999999998</v>
      </c>
      <c r="O372">
        <f ca="1">IFERROR(IF(0=LEN(ReferenceData!$O$372),"",ReferenceData!$O$372),"")</f>
        <v>452.548</v>
      </c>
      <c r="P372">
        <f ca="1">IFERROR(IF(0=LEN(ReferenceData!$P$372),"",ReferenceData!$P$372),"")</f>
        <v>458.78399999999999</v>
      </c>
      <c r="Q372">
        <f ca="1">IFERROR(IF(0=LEN(ReferenceData!$Q$372),"",ReferenceData!$Q$372),"")</f>
        <v>410.12700000000001</v>
      </c>
      <c r="R372">
        <f ca="1">IFERROR(IF(0=LEN(ReferenceData!$R$372),"",ReferenceData!$R$372),"")</f>
        <v>431.37400000000002</v>
      </c>
      <c r="S372">
        <f ca="1">IFERROR(IF(0=LEN(ReferenceData!$S$372),"",ReferenceData!$S$372),"")</f>
        <v>475.39299999999997</v>
      </c>
      <c r="T372">
        <f ca="1">IFERROR(IF(0=LEN(ReferenceData!$T$372),"",ReferenceData!$T$372),"")</f>
        <v>635.21600000000001</v>
      </c>
      <c r="U372">
        <f ca="1">IFERROR(IF(0=LEN(ReferenceData!$U$372),"",ReferenceData!$U$372),"")</f>
        <v>695.82650000000001</v>
      </c>
      <c r="V372">
        <f ca="1">IFERROR(IF(0=LEN(ReferenceData!$V$372),"",ReferenceData!$V$372),"")</f>
        <v>625.56299999999999</v>
      </c>
      <c r="W372">
        <f ca="1">IFERROR(IF(0=LEN(ReferenceData!$W$372),"",ReferenceData!$W$372),"")</f>
        <v>632.7014999999999</v>
      </c>
      <c r="X372">
        <f ca="1">IFERROR(IF(0=LEN(ReferenceData!$X$372),"",ReferenceData!$X$372),"")</f>
        <v>663.78200000000004</v>
      </c>
      <c r="Y372">
        <f ca="1">IFERROR(IF(0=LEN(ReferenceData!$Y$372),"",ReferenceData!$Y$372),"")</f>
        <v>510.08199999999999</v>
      </c>
      <c r="Z372">
        <f ca="1">IFERROR(IF(0=LEN(ReferenceData!$Z$372),"",ReferenceData!$Z$372),"")</f>
        <v>417.81049999999999</v>
      </c>
      <c r="AA372">
        <f ca="1">IFERROR(IF(0=LEN(ReferenceData!$AA$372),"",ReferenceData!$AA$372),"")</f>
        <v>475.41800000000001</v>
      </c>
      <c r="AB372">
        <f ca="1">IFERROR(IF(0=LEN(ReferenceData!$AB$372),"",ReferenceData!$AB$372),"")</f>
        <v>458.92500000000001</v>
      </c>
      <c r="AC372">
        <f ca="1">IFERROR(IF(0=LEN(ReferenceData!$AC$372),"",ReferenceData!$AC$372),"")</f>
        <v>340.59500000000003</v>
      </c>
      <c r="AD372">
        <f ca="1">IFERROR(IF(0=LEN(ReferenceData!$AD$372),"",ReferenceData!$AD$372),"")</f>
        <v>259.36250000000001</v>
      </c>
      <c r="AE372">
        <f ca="1">IFERROR(IF(0=LEN(ReferenceData!$AE$372),"",ReferenceData!$AE$372),"")</f>
        <v>180.18651549999998</v>
      </c>
      <c r="AF372">
        <f ca="1">IFERROR(IF(0=LEN(ReferenceData!$AF$372),"",ReferenceData!$AF$372),"")</f>
        <v>389.30599999999998</v>
      </c>
      <c r="AG372">
        <f ca="1">IFERROR(IF(0=LEN(ReferenceData!$AG$372),"",ReferenceData!$AG$372),"")</f>
        <v>153.582427</v>
      </c>
      <c r="AH372">
        <f ca="1">IFERROR(IF(0=LEN(ReferenceData!$AH$372),"",ReferenceData!$AH$372),"")</f>
        <v>169.488</v>
      </c>
      <c r="AI372">
        <f ca="1">IFERROR(IF(0=LEN(ReferenceData!$AI$372),"",ReferenceData!$AI$372),"")</f>
        <v>247.63342399999999</v>
      </c>
      <c r="AJ372">
        <f ca="1">IFERROR(IF(0=LEN(ReferenceData!$AJ$372),"",ReferenceData!$AJ$372),"")</f>
        <v>391.09649999999999</v>
      </c>
      <c r="AK372">
        <f ca="1">IFERROR(IF(0=LEN(ReferenceData!$AK$372),"",ReferenceData!$AK$372),"")</f>
        <v>421.09699999999998</v>
      </c>
      <c r="AL372">
        <f ca="1">IFERROR(IF(0=LEN(ReferenceData!$AL$372),"",ReferenceData!$AL$372),"")</f>
        <v>404.38200000000001</v>
      </c>
      <c r="AM372">
        <f ca="1">IFERROR(IF(0=LEN(ReferenceData!$AM$372),"",ReferenceData!$AM$372),"")</f>
        <v>394.21600000000001</v>
      </c>
      <c r="AN372">
        <f ca="1">IFERROR(IF(0=LEN(ReferenceData!$AN$372),"",ReferenceData!$AN$372),"")</f>
        <v>467.85299999999995</v>
      </c>
      <c r="AO372">
        <f ca="1">IFERROR(IF(0=LEN(ReferenceData!$AO$372),"",ReferenceData!$AO$372),"")</f>
        <v>384.94399999999996</v>
      </c>
      <c r="AP372">
        <f ca="1">IFERROR(IF(0=LEN(ReferenceData!$AP$372),"",ReferenceData!$AP$372),"")</f>
        <v>207.28649999999999</v>
      </c>
      <c r="AQ372">
        <f ca="1">IFERROR(IF(0=LEN(ReferenceData!$AQ$372),"",ReferenceData!$AQ$372),"")</f>
        <v>259.30799999999999</v>
      </c>
      <c r="AR372">
        <f ca="1">IFERROR(IF(0=LEN(ReferenceData!$AR$372),"",ReferenceData!$AR$372),"")</f>
        <v>451.87049999999999</v>
      </c>
      <c r="AS372">
        <f ca="1">IFERROR(IF(0=LEN(ReferenceData!$AS$372),"",ReferenceData!$AS$372),"")</f>
        <v>281.14549999999997</v>
      </c>
      <c r="AT372">
        <f ca="1">IFERROR(IF(0=LEN(ReferenceData!$AT$372),"",ReferenceData!$AT$372),"")</f>
        <v>405.53899999999999</v>
      </c>
      <c r="AU372">
        <f ca="1">IFERROR(IF(0=LEN(ReferenceData!$AU$372),"",ReferenceData!$AU$372),"")</f>
        <v>184.50899999999999</v>
      </c>
      <c r="AV372">
        <f ca="1">IFERROR(IF(0=LEN(ReferenceData!$AV$372),"",ReferenceData!$AV$372),"")</f>
        <v>282.03100000000001</v>
      </c>
      <c r="AW372">
        <f ca="1">IFERROR(IF(0=LEN(ReferenceData!$AW$372),"",ReferenceData!$AW$372),"")</f>
        <v>340.77350000000001</v>
      </c>
      <c r="AX372">
        <f ca="1">IFERROR(IF(0=LEN(ReferenceData!$AX$372),"",ReferenceData!$AX$372),"")</f>
        <v>241.69900000000001</v>
      </c>
      <c r="AY372">
        <f ca="1">IFERROR(IF(0=LEN(ReferenceData!$AY$372),"",ReferenceData!$AY$372),"")</f>
        <v>319.83349999999996</v>
      </c>
      <c r="AZ372">
        <f ca="1">IFERROR(IF(0=LEN(ReferenceData!$AZ$372),"",ReferenceData!$AZ$372),"")</f>
        <v>274.77499999999998</v>
      </c>
      <c r="BA372">
        <f ca="1">IFERROR(IF(0=LEN(ReferenceData!$BA$372),"",ReferenceData!$BA$372),"")</f>
        <v>237.10899850000001</v>
      </c>
      <c r="BB372">
        <f ca="1">IFERROR(IF(0=LEN(ReferenceData!$BB$372),"",ReferenceData!$BB$372),"")</f>
        <v>362.82400000000001</v>
      </c>
      <c r="BC372">
        <f ca="1">IFERROR(IF(0=LEN(ReferenceData!$BC$372),"",ReferenceData!$BC$372),"")</f>
        <v>139.323499</v>
      </c>
      <c r="BD372">
        <f ca="1">IFERROR(IF(0=LEN(ReferenceData!$BD$372),"",ReferenceData!$BD$372),"")</f>
        <v>354.55600000000004</v>
      </c>
      <c r="BE372">
        <f ca="1">IFERROR(IF(0=LEN(ReferenceData!$BE$372),"",ReferenceData!$BE$372),"")</f>
        <v>393.52549999999997</v>
      </c>
      <c r="BF372">
        <f ca="1">IFERROR(IF(0=LEN(ReferenceData!$BF$372),"",ReferenceData!$BF$372),"")</f>
        <v>259.07900000000001</v>
      </c>
      <c r="BG372">
        <f ca="1">IFERROR(IF(0=LEN(ReferenceData!$BG$372),"",ReferenceData!$BG$372),"")</f>
        <v>196.2439995</v>
      </c>
      <c r="BH372">
        <f ca="1">IFERROR(IF(0=LEN(ReferenceData!$BH$372),"",ReferenceData!$BH$372),"")</f>
        <v>163.58300600000001</v>
      </c>
      <c r="BI372">
        <f ca="1">IFERROR(IF(0=LEN(ReferenceData!$BI$372),"",ReferenceData!$BI$372),"")</f>
        <v>252.41750200000001</v>
      </c>
      <c r="BJ372">
        <f ca="1">IFERROR(IF(0=LEN(ReferenceData!$BJ$372),"",ReferenceData!$BJ$372),"")</f>
        <v>328.97249999999997</v>
      </c>
      <c r="BK372">
        <f ca="1">IFERROR(IF(0=LEN(ReferenceData!$BK$372),"",ReferenceData!$BK$372),"")</f>
        <v>78.406000000000006</v>
      </c>
      <c r="BL372">
        <f ca="1">IFERROR(IF(0=LEN(ReferenceData!$BL$372),"",ReferenceData!$BL$372),"")</f>
        <v>251.017</v>
      </c>
      <c r="BM372">
        <f ca="1">IFERROR(IF(0=LEN(ReferenceData!$BM$372),"",ReferenceData!$BM$372),"")</f>
        <v>273.41800000000001</v>
      </c>
    </row>
    <row r="373" spans="1:65">
      <c r="A373" t="str">
        <f>IFERROR(IF(0=LEN(ReferenceData!$A$373),"",ReferenceData!$A$373),"")</f>
        <v xml:space="preserve">    Brixmor Property Group Inc</v>
      </c>
      <c r="B373" t="str">
        <f>IFERROR(IF(0=LEN(ReferenceData!$B$373),"",ReferenceData!$B$373),"")</f>
        <v>BRX US Equity</v>
      </c>
      <c r="C373" t="str">
        <f>IFERROR(IF(0=LEN(ReferenceData!$C$373),"",ReferenceData!$C$373),"")</f>
        <v/>
      </c>
      <c r="D373" t="str">
        <f>IFERROR(IF(0=LEN(ReferenceData!$D$373),"",ReferenceData!$D$373),"")</f>
        <v/>
      </c>
      <c r="E373" t="str">
        <f>IFERROR(IF(0=LEN(ReferenceData!$E$373),"",ReferenceData!$E$373),"")</f>
        <v>Expression</v>
      </c>
      <c r="F373" t="str">
        <f ca="1">IFERROR(IF(0=LEN(ReferenceData!$F$373),"",ReferenceData!$F$373),"")</f>
        <v/>
      </c>
      <c r="G373">
        <f ca="1">IFERROR(IF(0=LEN(ReferenceData!$G$373),"",ReferenceData!$G$373),"")</f>
        <v>1103.82</v>
      </c>
      <c r="H373">
        <f ca="1">IFERROR(IF(0=LEN(ReferenceData!$H$373),"",ReferenceData!$H$373),"")</f>
        <v>1266.8130000000001</v>
      </c>
      <c r="I373">
        <f ca="1">IFERROR(IF(0=LEN(ReferenceData!$I$373),"",ReferenceData!$I$373),"")</f>
        <v>1286.288</v>
      </c>
      <c r="J373">
        <f ca="1">IFERROR(IF(0=LEN(ReferenceData!$J$373),"",ReferenceData!$J$373),"")</f>
        <v>792.95600000000002</v>
      </c>
      <c r="K373">
        <f ca="1">IFERROR(IF(0=LEN(ReferenceData!$K$373),"",ReferenceData!$K$373),"")</f>
        <v>868.51400000000001</v>
      </c>
      <c r="L373">
        <f ca="1">IFERROR(IF(0=LEN(ReferenceData!$L$373),"",ReferenceData!$L$373),"")</f>
        <v>1179.3610000000001</v>
      </c>
      <c r="M373">
        <f ca="1">IFERROR(IF(0=LEN(ReferenceData!$M$373),"",ReferenceData!$M$373),"")</f>
        <v>665.12199999999996</v>
      </c>
      <c r="N373">
        <f ca="1">IFERROR(IF(0=LEN(ReferenceData!$N$373),"",ReferenceData!$N$373),"")</f>
        <v>26.861999999999998</v>
      </c>
      <c r="O373">
        <f ca="1">IFERROR(IF(0=LEN(ReferenceData!$O$373),"",ReferenceData!$O$373),"")</f>
        <v>25.827999999999999</v>
      </c>
      <c r="P373">
        <f ca="1">IFERROR(IF(0=LEN(ReferenceData!$P$373),"",ReferenceData!$P$373),"")</f>
        <v>1279.8409999999999</v>
      </c>
      <c r="Q373">
        <f ca="1">IFERROR(IF(0=LEN(ReferenceData!$Q$373),"",ReferenceData!$Q$373),"")</f>
        <v>1135.2159999999999</v>
      </c>
      <c r="R373">
        <f ca="1">IFERROR(IF(0=LEN(ReferenceData!$R$373),"",ReferenceData!$R$373),"")</f>
        <v>823.79600000000005</v>
      </c>
      <c r="S373" t="str">
        <f ca="1">IFERROR(IF(0=LEN(ReferenceData!$S$373),"",ReferenceData!$S$373),"")</f>
        <v/>
      </c>
      <c r="T373">
        <f ca="1">IFERROR(IF(0=LEN(ReferenceData!$T$373),"",ReferenceData!$T$373),"")</f>
        <v>1334.366</v>
      </c>
      <c r="U373">
        <f ca="1">IFERROR(IF(0=LEN(ReferenceData!$U$373),"",ReferenceData!$U$373),"")</f>
        <v>1295.8589999999999</v>
      </c>
      <c r="V373">
        <f ca="1">IFERROR(IF(0=LEN(ReferenceData!$V$373),"",ReferenceData!$V$373),"")</f>
        <v>1233.527</v>
      </c>
      <c r="W373">
        <f ca="1">IFERROR(IF(0=LEN(ReferenceData!$W$373),"",ReferenceData!$W$373),"")</f>
        <v>916.18299999999999</v>
      </c>
      <c r="X373">
        <f ca="1">IFERROR(IF(0=LEN(ReferenceData!$X$373),"",ReferenceData!$X$373),"")</f>
        <v>1328.8520000000001</v>
      </c>
      <c r="Y373" t="str">
        <f ca="1">IFERROR(IF(0=LEN(ReferenceData!$Y$373),"",ReferenceData!$Y$373),"")</f>
        <v/>
      </c>
      <c r="Z373" t="str">
        <f ca="1">IFERROR(IF(0=LEN(ReferenceData!$Z$373),"",ReferenceData!$Z$373),"")</f>
        <v/>
      </c>
      <c r="AA373" t="str">
        <f ca="1">IFERROR(IF(0=LEN(ReferenceData!$AA$373),"",ReferenceData!$AA$373),"")</f>
        <v/>
      </c>
      <c r="AB373" t="str">
        <f ca="1">IFERROR(IF(0=LEN(ReferenceData!$AB$373),"",ReferenceData!$AB$373),"")</f>
        <v/>
      </c>
      <c r="AC373" t="str">
        <f ca="1">IFERROR(IF(0=LEN(ReferenceData!$AC$373),"",ReferenceData!$AC$373),"")</f>
        <v/>
      </c>
      <c r="AD373" t="str">
        <f ca="1">IFERROR(IF(0=LEN(ReferenceData!$AD$373),"",ReferenceData!$AD$373),"")</f>
        <v/>
      </c>
      <c r="AE373" t="str">
        <f ca="1">IFERROR(IF(0=LEN(ReferenceData!$AE$373),"",ReferenceData!$AE$373),"")</f>
        <v/>
      </c>
      <c r="AF373" t="str">
        <f ca="1">IFERROR(IF(0=LEN(ReferenceData!$AF$373),"",ReferenceData!$AF$373),"")</f>
        <v/>
      </c>
      <c r="AG373" t="str">
        <f ca="1">IFERROR(IF(0=LEN(ReferenceData!$AG$373),"",ReferenceData!$AG$373),"")</f>
        <v/>
      </c>
      <c r="AH373" t="str">
        <f ca="1">IFERROR(IF(0=LEN(ReferenceData!$AH$373),"",ReferenceData!$AH$373),"")</f>
        <v/>
      </c>
      <c r="AI373" t="str">
        <f ca="1">IFERROR(IF(0=LEN(ReferenceData!$AI$373),"",ReferenceData!$AI$373),"")</f>
        <v/>
      </c>
      <c r="AJ373" t="str">
        <f ca="1">IFERROR(IF(0=LEN(ReferenceData!$AJ$373),"",ReferenceData!$AJ$373),"")</f>
        <v/>
      </c>
      <c r="AK373" t="str">
        <f ca="1">IFERROR(IF(0=LEN(ReferenceData!$AK$373),"",ReferenceData!$AK$373),"")</f>
        <v/>
      </c>
      <c r="AL373" t="str">
        <f ca="1">IFERROR(IF(0=LEN(ReferenceData!$AL$373),"",ReferenceData!$AL$373),"")</f>
        <v/>
      </c>
      <c r="AM373" t="str">
        <f ca="1">IFERROR(IF(0=LEN(ReferenceData!$AM$373),"",ReferenceData!$AM$373),"")</f>
        <v/>
      </c>
      <c r="AN373" t="str">
        <f ca="1">IFERROR(IF(0=LEN(ReferenceData!$AN$373),"",ReferenceData!$AN$373),"")</f>
        <v/>
      </c>
      <c r="AO373" t="str">
        <f ca="1">IFERROR(IF(0=LEN(ReferenceData!$AO$373),"",ReferenceData!$AO$373),"")</f>
        <v/>
      </c>
      <c r="AP373" t="str">
        <f ca="1">IFERROR(IF(0=LEN(ReferenceData!$AP$373),"",ReferenceData!$AP$373),"")</f>
        <v/>
      </c>
      <c r="AQ373" t="str">
        <f ca="1">IFERROR(IF(0=LEN(ReferenceData!$AQ$373),"",ReferenceData!$AQ$373),"")</f>
        <v/>
      </c>
      <c r="AR373" t="str">
        <f ca="1">IFERROR(IF(0=LEN(ReferenceData!$AR$373),"",ReferenceData!$AR$373),"")</f>
        <v/>
      </c>
      <c r="AS373" t="str">
        <f ca="1">IFERROR(IF(0=LEN(ReferenceData!$AS$373),"",ReferenceData!$AS$373),"")</f>
        <v/>
      </c>
      <c r="AT373" t="str">
        <f ca="1">IFERROR(IF(0=LEN(ReferenceData!$AT$373),"",ReferenceData!$AT$373),"")</f>
        <v/>
      </c>
      <c r="AU373" t="str">
        <f ca="1">IFERROR(IF(0=LEN(ReferenceData!$AU$373),"",ReferenceData!$AU$373),"")</f>
        <v/>
      </c>
      <c r="AV373" t="str">
        <f ca="1">IFERROR(IF(0=LEN(ReferenceData!$AV$373),"",ReferenceData!$AV$373),"")</f>
        <v/>
      </c>
      <c r="AW373" t="str">
        <f ca="1">IFERROR(IF(0=LEN(ReferenceData!$AW$373),"",ReferenceData!$AW$373),"")</f>
        <v/>
      </c>
      <c r="AX373" t="str">
        <f ca="1">IFERROR(IF(0=LEN(ReferenceData!$AX$373),"",ReferenceData!$AX$373),"")</f>
        <v/>
      </c>
      <c r="AY373" t="str">
        <f ca="1">IFERROR(IF(0=LEN(ReferenceData!$AY$373),"",ReferenceData!$AY$373),"")</f>
        <v/>
      </c>
      <c r="AZ373" t="str">
        <f ca="1">IFERROR(IF(0=LEN(ReferenceData!$AZ$373),"",ReferenceData!$AZ$373),"")</f>
        <v/>
      </c>
      <c r="BA373" t="str">
        <f ca="1">IFERROR(IF(0=LEN(ReferenceData!$BA$373),"",ReferenceData!$BA$373),"")</f>
        <v/>
      </c>
      <c r="BB373" t="str">
        <f ca="1">IFERROR(IF(0=LEN(ReferenceData!$BB$373),"",ReferenceData!$BB$373),"")</f>
        <v/>
      </c>
      <c r="BC373" t="str">
        <f ca="1">IFERROR(IF(0=LEN(ReferenceData!$BC$373),"",ReferenceData!$BC$373),"")</f>
        <v/>
      </c>
      <c r="BD373" t="str">
        <f ca="1">IFERROR(IF(0=LEN(ReferenceData!$BD$373),"",ReferenceData!$BD$373),"")</f>
        <v/>
      </c>
      <c r="BE373" t="str">
        <f ca="1">IFERROR(IF(0=LEN(ReferenceData!$BE$373),"",ReferenceData!$BE$373),"")</f>
        <v/>
      </c>
      <c r="BF373" t="str">
        <f ca="1">IFERROR(IF(0=LEN(ReferenceData!$BF$373),"",ReferenceData!$BF$373),"")</f>
        <v/>
      </c>
      <c r="BG373" t="str">
        <f ca="1">IFERROR(IF(0=LEN(ReferenceData!$BG$373),"",ReferenceData!$BG$373),"")</f>
        <v/>
      </c>
      <c r="BH373" t="str">
        <f ca="1">IFERROR(IF(0=LEN(ReferenceData!$BH$373),"",ReferenceData!$BH$373),"")</f>
        <v/>
      </c>
      <c r="BI373" t="str">
        <f ca="1">IFERROR(IF(0=LEN(ReferenceData!$BI$373),"",ReferenceData!$BI$373),"")</f>
        <v/>
      </c>
      <c r="BJ373" t="str">
        <f ca="1">IFERROR(IF(0=LEN(ReferenceData!$BJ$373),"",ReferenceData!$BJ$373),"")</f>
        <v/>
      </c>
      <c r="BK373" t="str">
        <f ca="1">IFERROR(IF(0=LEN(ReferenceData!$BK$373),"",ReferenceData!$BK$373),"")</f>
        <v/>
      </c>
      <c r="BL373" t="str">
        <f ca="1">IFERROR(IF(0=LEN(ReferenceData!$BL$373),"",ReferenceData!$BL$373),"")</f>
        <v/>
      </c>
      <c r="BM373" t="str">
        <f ca="1">IFERROR(IF(0=LEN(ReferenceData!$BM$373),"",ReferenceData!$BM$373),"")</f>
        <v/>
      </c>
    </row>
    <row r="374" spans="1:65">
      <c r="A374" t="str">
        <f>IFERROR(IF(0=LEN(ReferenceData!$A$374),"",ReferenceData!$A$374),"")</f>
        <v xml:space="preserve">    CBL &amp; Associates Properties In</v>
      </c>
      <c r="B374" t="str">
        <f>IFERROR(IF(0=LEN(ReferenceData!$B$374),"",ReferenceData!$B$374),"")</f>
        <v>CBL US Equity</v>
      </c>
      <c r="C374" t="str">
        <f>IFERROR(IF(0=LEN(ReferenceData!$C$374),"",ReferenceData!$C$374),"")</f>
        <v/>
      </c>
      <c r="D374" t="str">
        <f>IFERROR(IF(0=LEN(ReferenceData!$D$374),"",ReferenceData!$D$374),"")</f>
        <v/>
      </c>
      <c r="E374" t="str">
        <f>IFERROR(IF(0=LEN(ReferenceData!$E$374),"",ReferenceData!$E$374),"")</f>
        <v>Expression</v>
      </c>
      <c r="F374" t="str">
        <f ca="1">IFERROR(IF(0=LEN(ReferenceData!$F$374),"",ReferenceData!$F$374),"")</f>
        <v/>
      </c>
      <c r="G374">
        <f ca="1">IFERROR(IF(0=LEN(ReferenceData!$G$374),"",ReferenceData!$G$374),"")</f>
        <v>371.12</v>
      </c>
      <c r="H374">
        <f ca="1">IFERROR(IF(0=LEN(ReferenceData!$H$374),"",ReferenceData!$H$374),"")</f>
        <v>917.22199999999998</v>
      </c>
      <c r="I374">
        <f ca="1">IFERROR(IF(0=LEN(ReferenceData!$I$374),"",ReferenceData!$I$374),"")</f>
        <v>381.62299999999999</v>
      </c>
      <c r="J374">
        <f ca="1">IFERROR(IF(0=LEN(ReferenceData!$J$374),"",ReferenceData!$J$374),"")</f>
        <v>303.46600000000001</v>
      </c>
      <c r="K374">
        <f ca="1">IFERROR(IF(0=LEN(ReferenceData!$K$374),"",ReferenceData!$K$374),"")</f>
        <v>355.613</v>
      </c>
      <c r="L374">
        <f ca="1">IFERROR(IF(0=LEN(ReferenceData!$L$374),"",ReferenceData!$L$374),"")</f>
        <v>600.36900000000003</v>
      </c>
      <c r="M374">
        <f ca="1">IFERROR(IF(0=LEN(ReferenceData!$M$374),"",ReferenceData!$M$374),"")</f>
        <v>404.55799999999999</v>
      </c>
      <c r="N374">
        <f ca="1">IFERROR(IF(0=LEN(ReferenceData!$N$374),"",ReferenceData!$N$374),"")</f>
        <v>159.64099999999999</v>
      </c>
      <c r="O374">
        <f ca="1">IFERROR(IF(0=LEN(ReferenceData!$O$374),"",ReferenceData!$O$374),"")</f>
        <v>141.744</v>
      </c>
      <c r="P374">
        <f ca="1">IFERROR(IF(0=LEN(ReferenceData!$P$374),"",ReferenceData!$P$374),"")</f>
        <v>234.351</v>
      </c>
      <c r="Q374">
        <f ca="1">IFERROR(IF(0=LEN(ReferenceData!$Q$374),"",ReferenceData!$Q$374),"")</f>
        <v>401.12900000000002</v>
      </c>
      <c r="R374">
        <f ca="1">IFERROR(IF(0=LEN(ReferenceData!$R$374),"",ReferenceData!$R$374),"")</f>
        <v>568.92600000000004</v>
      </c>
      <c r="S374" t="str">
        <f ca="1">IFERROR(IF(0=LEN(ReferenceData!$S$374),"",ReferenceData!$S$374),"")</f>
        <v/>
      </c>
      <c r="T374">
        <f ca="1">IFERROR(IF(0=LEN(ReferenceData!$T$374),"",ReferenceData!$T$374),"")</f>
        <v>779.57899999999995</v>
      </c>
      <c r="U374">
        <f ca="1">IFERROR(IF(0=LEN(ReferenceData!$U$374),"",ReferenceData!$U$374),"")</f>
        <v>755.86300000000006</v>
      </c>
      <c r="V374">
        <f ca="1">IFERROR(IF(0=LEN(ReferenceData!$V$374),"",ReferenceData!$V$374),"")</f>
        <v>780.09299999999996</v>
      </c>
      <c r="W374">
        <f ca="1">IFERROR(IF(0=LEN(ReferenceData!$W$374),"",ReferenceData!$W$374),"")</f>
        <v>927.21100000000001</v>
      </c>
      <c r="X374">
        <f ca="1">IFERROR(IF(0=LEN(ReferenceData!$X$374),"",ReferenceData!$X$374),"")</f>
        <v>663.78200000000004</v>
      </c>
      <c r="Y374">
        <f ca="1">IFERROR(IF(0=LEN(ReferenceData!$Y$374),"",ReferenceData!$Y$374),"")</f>
        <v>491.30500000000001</v>
      </c>
      <c r="Z374">
        <f ca="1">IFERROR(IF(0=LEN(ReferenceData!$Z$374),"",ReferenceData!$Z$374),"")</f>
        <v>490.39400000000001</v>
      </c>
      <c r="AA374">
        <f ca="1">IFERROR(IF(0=LEN(ReferenceData!$AA$374),"",ReferenceData!$AA$374),"")</f>
        <v>764.452</v>
      </c>
      <c r="AB374">
        <f ca="1">IFERROR(IF(0=LEN(ReferenceData!$AB$374),"",ReferenceData!$AB$374),"")</f>
        <v>772.37699999999995</v>
      </c>
      <c r="AC374">
        <f ca="1">IFERROR(IF(0=LEN(ReferenceData!$AC$374),"",ReferenceData!$AC$374),"")</f>
        <v>781.5</v>
      </c>
      <c r="AD374">
        <f ca="1">IFERROR(IF(0=LEN(ReferenceData!$AD$374),"",ReferenceData!$AD$374),"")</f>
        <v>250.43199999999999</v>
      </c>
      <c r="AE374">
        <f ca="1">IFERROR(IF(0=LEN(ReferenceData!$AE$374),"",ReferenceData!$AE$374),"")</f>
        <v>149.733</v>
      </c>
      <c r="AF374">
        <f ca="1">IFERROR(IF(0=LEN(ReferenceData!$AF$374),"",ReferenceData!$AF$374),"")</f>
        <v>627.26199999999994</v>
      </c>
      <c r="AG374">
        <f ca="1">IFERROR(IF(0=LEN(ReferenceData!$AG$374),"",ReferenceData!$AG$374),"")</f>
        <v>309.49400000000003</v>
      </c>
      <c r="AH374">
        <f ca="1">IFERROR(IF(0=LEN(ReferenceData!$AH$374),"",ReferenceData!$AH$374),"")</f>
        <v>-296.16800000000001</v>
      </c>
      <c r="AI374">
        <f ca="1">IFERROR(IF(0=LEN(ReferenceData!$AI$374),"",ReferenceData!$AI$374),"")</f>
        <v>-1010.047</v>
      </c>
      <c r="AJ374">
        <f ca="1">IFERROR(IF(0=LEN(ReferenceData!$AJ$374),"",ReferenceData!$AJ$374),"")</f>
        <v>182.69900000000001</v>
      </c>
      <c r="AK374">
        <f ca="1">IFERROR(IF(0=LEN(ReferenceData!$AK$374),"",ReferenceData!$AK$374),"")</f>
        <v>-99.566000000000003</v>
      </c>
      <c r="AL374">
        <f ca="1">IFERROR(IF(0=LEN(ReferenceData!$AL$374),"",ReferenceData!$AL$374),"")</f>
        <v>-335.10300000000001</v>
      </c>
      <c r="AM374">
        <f ca="1">IFERROR(IF(0=LEN(ReferenceData!$AM$374),"",ReferenceData!$AM$374),"")</f>
        <v>-651.58900000000006</v>
      </c>
      <c r="AN374">
        <f ca="1">IFERROR(IF(0=LEN(ReferenceData!$AN$374),"",ReferenceData!$AN$374),"")</f>
        <v>478.96</v>
      </c>
      <c r="AO374">
        <f ca="1">IFERROR(IF(0=LEN(ReferenceData!$AO$374),"",ReferenceData!$AO$374),"")</f>
        <v>236.321</v>
      </c>
      <c r="AP374">
        <f ca="1">IFERROR(IF(0=LEN(ReferenceData!$AP$374),"",ReferenceData!$AP$374),"")</f>
        <v>-917.35400000000004</v>
      </c>
      <c r="AQ374">
        <f ca="1">IFERROR(IF(0=LEN(ReferenceData!$AQ$374),"",ReferenceData!$AQ$374),"")</f>
        <v>-1249.5260000000001</v>
      </c>
      <c r="AR374" t="str">
        <f ca="1">IFERROR(IF(0=LEN(ReferenceData!$AR$374),"",ReferenceData!$AR$374),"")</f>
        <v/>
      </c>
      <c r="AS374" t="str">
        <f ca="1">IFERROR(IF(0=LEN(ReferenceData!$AS$374),"",ReferenceData!$AS$374),"")</f>
        <v/>
      </c>
      <c r="AT374" t="str">
        <f ca="1">IFERROR(IF(0=LEN(ReferenceData!$AT$374),"",ReferenceData!$AT$374),"")</f>
        <v/>
      </c>
      <c r="AU374">
        <f ca="1">IFERROR(IF(0=LEN(ReferenceData!$AU$374),"",ReferenceData!$AU$374),"")</f>
        <v>-891.22500000000002</v>
      </c>
      <c r="AV374" t="str">
        <f ca="1">IFERROR(IF(0=LEN(ReferenceData!$AV$374),"",ReferenceData!$AV$374),"")</f>
        <v/>
      </c>
      <c r="AW374" t="str">
        <f ca="1">IFERROR(IF(0=LEN(ReferenceData!$AW$374),"",ReferenceData!$AW$374),"")</f>
        <v/>
      </c>
      <c r="AX374" t="str">
        <f ca="1">IFERROR(IF(0=LEN(ReferenceData!$AX$374),"",ReferenceData!$AX$374),"")</f>
        <v/>
      </c>
      <c r="AY374">
        <f ca="1">IFERROR(IF(0=LEN(ReferenceData!$AY$374),"",ReferenceData!$AY$374),"")</f>
        <v>549.50199999999995</v>
      </c>
      <c r="AZ374" t="str">
        <f ca="1">IFERROR(IF(0=LEN(ReferenceData!$AZ$374),"",ReferenceData!$AZ$374),"")</f>
        <v/>
      </c>
      <c r="BA374" t="str">
        <f ca="1">IFERROR(IF(0=LEN(ReferenceData!$BA$374),"",ReferenceData!$BA$374),"")</f>
        <v/>
      </c>
      <c r="BB374" t="str">
        <f ca="1">IFERROR(IF(0=LEN(ReferenceData!$BB$374),"",ReferenceData!$BB$374),"")</f>
        <v/>
      </c>
      <c r="BC374" t="str">
        <f ca="1">IFERROR(IF(0=LEN(ReferenceData!$BC$374),"",ReferenceData!$BC$374),"")</f>
        <v/>
      </c>
      <c r="BD374" t="str">
        <f ca="1">IFERROR(IF(0=LEN(ReferenceData!$BD$374),"",ReferenceData!$BD$374),"")</f>
        <v/>
      </c>
      <c r="BE374" t="str">
        <f ca="1">IFERROR(IF(0=LEN(ReferenceData!$BE$374),"",ReferenceData!$BE$374),"")</f>
        <v/>
      </c>
      <c r="BF374" t="str">
        <f ca="1">IFERROR(IF(0=LEN(ReferenceData!$BF$374),"",ReferenceData!$BF$374),"")</f>
        <v/>
      </c>
      <c r="BG374" t="str">
        <f ca="1">IFERROR(IF(0=LEN(ReferenceData!$BG$374),"",ReferenceData!$BG$374),"")</f>
        <v/>
      </c>
      <c r="BH374" t="str">
        <f ca="1">IFERROR(IF(0=LEN(ReferenceData!$BH$374),"",ReferenceData!$BH$374),"")</f>
        <v/>
      </c>
      <c r="BI374" t="str">
        <f ca="1">IFERROR(IF(0=LEN(ReferenceData!$BI$374),"",ReferenceData!$BI$374),"")</f>
        <v/>
      </c>
      <c r="BJ374" t="str">
        <f ca="1">IFERROR(IF(0=LEN(ReferenceData!$BJ$374),"",ReferenceData!$BJ$374),"")</f>
        <v/>
      </c>
      <c r="BK374" t="str">
        <f ca="1">IFERROR(IF(0=LEN(ReferenceData!$BK$374),"",ReferenceData!$BK$374),"")</f>
        <v/>
      </c>
      <c r="BL374" t="str">
        <f ca="1">IFERROR(IF(0=LEN(ReferenceData!$BL$374),"",ReferenceData!$BL$374),"")</f>
        <v/>
      </c>
      <c r="BM374" t="str">
        <f ca="1">IFERROR(IF(0=LEN(ReferenceData!$BM$374),"",ReferenceData!$BM$374),"")</f>
        <v/>
      </c>
    </row>
    <row r="375" spans="1:65">
      <c r="A375" t="str">
        <f>IFERROR(IF(0=LEN(ReferenceData!$A$375),"",ReferenceData!$A$375),"")</f>
        <v xml:space="preserve">    DDR Corp</v>
      </c>
      <c r="B375" t="str">
        <f>IFERROR(IF(0=LEN(ReferenceData!$B$375),"",ReferenceData!$B$375),"")</f>
        <v>DDR US Equity</v>
      </c>
      <c r="C375" t="str">
        <f>IFERROR(IF(0=LEN(ReferenceData!$C$375),"",ReferenceData!$C$375),"")</f>
        <v/>
      </c>
      <c r="D375" t="str">
        <f>IFERROR(IF(0=LEN(ReferenceData!$D$375),"",ReferenceData!$D$375),"")</f>
        <v/>
      </c>
      <c r="E375" t="str">
        <f>IFERROR(IF(0=LEN(ReferenceData!$E$375),"",ReferenceData!$E$375),"")</f>
        <v>Expression</v>
      </c>
      <c r="F375" t="str">
        <f ca="1">IFERROR(IF(0=LEN(ReferenceData!$F$375),"",ReferenceData!$F$375),"")</f>
        <v/>
      </c>
      <c r="G375">
        <f ca="1">IFERROR(IF(0=LEN(ReferenceData!$G$375),"",ReferenceData!$G$375),"")</f>
        <v>793.73400000000004</v>
      </c>
      <c r="H375">
        <f ca="1">IFERROR(IF(0=LEN(ReferenceData!$H$375),"",ReferenceData!$H$375),"")</f>
        <v>952.91800000000001</v>
      </c>
      <c r="I375">
        <f ca="1">IFERROR(IF(0=LEN(ReferenceData!$I$375),"",ReferenceData!$I$375),"")</f>
        <v>1069.367</v>
      </c>
      <c r="J375">
        <f ca="1">IFERROR(IF(0=LEN(ReferenceData!$J$375),"",ReferenceData!$J$375),"")</f>
        <v>101.151</v>
      </c>
      <c r="K375">
        <f ca="1">IFERROR(IF(0=LEN(ReferenceData!$K$375),"",ReferenceData!$K$375),"")</f>
        <v>-294.96199999999999</v>
      </c>
      <c r="L375">
        <f ca="1">IFERROR(IF(0=LEN(ReferenceData!$L$375),"",ReferenceData!$L$375),"")</f>
        <v>390.25799999999998</v>
      </c>
      <c r="M375">
        <f ca="1">IFERROR(IF(0=LEN(ReferenceData!$M$375),"",ReferenceData!$M$375),"")</f>
        <v>423.28100000000001</v>
      </c>
      <c r="N375">
        <f ca="1">IFERROR(IF(0=LEN(ReferenceData!$N$375),"",ReferenceData!$N$375),"")</f>
        <v>335.22</v>
      </c>
      <c r="O375">
        <f ca="1">IFERROR(IF(0=LEN(ReferenceData!$O$375),"",ReferenceData!$O$375),"")</f>
        <v>201.11699999999999</v>
      </c>
      <c r="P375">
        <f ca="1">IFERROR(IF(0=LEN(ReferenceData!$P$375),"",ReferenceData!$P$375),"")</f>
        <v>66.540000000000006</v>
      </c>
      <c r="Q375">
        <f ca="1">IFERROR(IF(0=LEN(ReferenceData!$Q$375),"",ReferenceData!$Q$375),"")</f>
        <v>37.968000000000004</v>
      </c>
      <c r="R375">
        <f ca="1">IFERROR(IF(0=LEN(ReferenceData!$R$375),"",ReferenceData!$R$375),"")</f>
        <v>-96.307000000000002</v>
      </c>
      <c r="S375">
        <f ca="1">IFERROR(IF(0=LEN(ReferenceData!$S$375),"",ReferenceData!$S$375),"")</f>
        <v>-162.97800000000001</v>
      </c>
      <c r="T375" t="str">
        <f ca="1">IFERROR(IF(0=LEN(ReferenceData!$T$375),"",ReferenceData!$T$375),"")</f>
        <v/>
      </c>
      <c r="U375" t="str">
        <f ca="1">IFERROR(IF(0=LEN(ReferenceData!$U$375),"",ReferenceData!$U$375),"")</f>
        <v/>
      </c>
      <c r="V375" t="str">
        <f ca="1">IFERROR(IF(0=LEN(ReferenceData!$V$375),"",ReferenceData!$V$375),"")</f>
        <v/>
      </c>
      <c r="W375">
        <f ca="1">IFERROR(IF(0=LEN(ReferenceData!$W$375),"",ReferenceData!$W$375),"")</f>
        <v>502.13600000000002</v>
      </c>
      <c r="X375" t="str">
        <f ca="1">IFERROR(IF(0=LEN(ReferenceData!$X$375),"",ReferenceData!$X$375),"")</f>
        <v/>
      </c>
      <c r="Y375" t="str">
        <f ca="1">IFERROR(IF(0=LEN(ReferenceData!$Y$375),"",ReferenceData!$Y$375),"")</f>
        <v/>
      </c>
      <c r="Z375" t="str">
        <f ca="1">IFERROR(IF(0=LEN(ReferenceData!$Z$375),"",ReferenceData!$Z$375),"")</f>
        <v/>
      </c>
      <c r="AA375">
        <f ca="1">IFERROR(IF(0=LEN(ReferenceData!$AA$375),"",ReferenceData!$AA$375),"")</f>
        <v>603.43399999999997</v>
      </c>
      <c r="AB375" t="str">
        <f ca="1">IFERROR(IF(0=LEN(ReferenceData!$AB$375),"",ReferenceData!$AB$375),"")</f>
        <v/>
      </c>
      <c r="AC375" t="str">
        <f ca="1">IFERROR(IF(0=LEN(ReferenceData!$AC$375),"",ReferenceData!$AC$375),"")</f>
        <v/>
      </c>
      <c r="AD375" t="str">
        <f ca="1">IFERROR(IF(0=LEN(ReferenceData!$AD$375),"",ReferenceData!$AD$375),"")</f>
        <v/>
      </c>
      <c r="AE375">
        <f ca="1">IFERROR(IF(0=LEN(ReferenceData!$AE$375),"",ReferenceData!$AE$375),"")</f>
        <v>158.768</v>
      </c>
      <c r="AF375" t="str">
        <f ca="1">IFERROR(IF(0=LEN(ReferenceData!$AF$375),"",ReferenceData!$AF$375),"")</f>
        <v/>
      </c>
      <c r="AG375" t="str">
        <f ca="1">IFERROR(IF(0=LEN(ReferenceData!$AG$375),"",ReferenceData!$AG$375),"")</f>
        <v/>
      </c>
      <c r="AH375" t="str">
        <f ca="1">IFERROR(IF(0=LEN(ReferenceData!$AH$375),"",ReferenceData!$AH$375),"")</f>
        <v/>
      </c>
      <c r="AI375">
        <f ca="1">IFERROR(IF(0=LEN(ReferenceData!$AI$375),"",ReferenceData!$AI$375),"")</f>
        <v>-251.81100000000001</v>
      </c>
      <c r="AJ375" t="str">
        <f ca="1">IFERROR(IF(0=LEN(ReferenceData!$AJ$375),"",ReferenceData!$AJ$375),"")</f>
        <v/>
      </c>
      <c r="AK375" t="str">
        <f ca="1">IFERROR(IF(0=LEN(ReferenceData!$AK$375),"",ReferenceData!$AK$375),"")</f>
        <v/>
      </c>
      <c r="AL375" t="str">
        <f ca="1">IFERROR(IF(0=LEN(ReferenceData!$AL$375),"",ReferenceData!$AL$375),"")</f>
        <v/>
      </c>
      <c r="AM375">
        <f ca="1">IFERROR(IF(0=LEN(ReferenceData!$AM$375),"",ReferenceData!$AM$375),"")</f>
        <v>-909.22400000000005</v>
      </c>
      <c r="AN375" t="str">
        <f ca="1">IFERROR(IF(0=LEN(ReferenceData!$AN$375),"",ReferenceData!$AN$375),"")</f>
        <v/>
      </c>
      <c r="AO375" t="str">
        <f ca="1">IFERROR(IF(0=LEN(ReferenceData!$AO$375),"",ReferenceData!$AO$375),"")</f>
        <v/>
      </c>
      <c r="AP375" t="str">
        <f ca="1">IFERROR(IF(0=LEN(ReferenceData!$AP$375),"",ReferenceData!$AP$375),"")</f>
        <v/>
      </c>
      <c r="AQ375">
        <f ca="1">IFERROR(IF(0=LEN(ReferenceData!$AQ$375),"",ReferenceData!$AQ$375),"")</f>
        <v>-370.19071700000001</v>
      </c>
      <c r="AR375" t="str">
        <f ca="1">IFERROR(IF(0=LEN(ReferenceData!$AR$375),"",ReferenceData!$AR$375),"")</f>
        <v/>
      </c>
      <c r="AS375" t="str">
        <f ca="1">IFERROR(IF(0=LEN(ReferenceData!$AS$375),"",ReferenceData!$AS$375),"")</f>
        <v/>
      </c>
      <c r="AT375" t="str">
        <f ca="1">IFERROR(IF(0=LEN(ReferenceData!$AT$375),"",ReferenceData!$AT$375),"")</f>
        <v/>
      </c>
      <c r="AU375" t="str">
        <f ca="1">IFERROR(IF(0=LEN(ReferenceData!$AU$375),"",ReferenceData!$AU$375),"")</f>
        <v/>
      </c>
      <c r="AV375" t="str">
        <f ca="1">IFERROR(IF(0=LEN(ReferenceData!$AV$375),"",ReferenceData!$AV$375),"")</f>
        <v/>
      </c>
      <c r="AW375" t="str">
        <f ca="1">IFERROR(IF(0=LEN(ReferenceData!$AW$375),"",ReferenceData!$AW$375),"")</f>
        <v/>
      </c>
      <c r="AX375" t="str">
        <f ca="1">IFERROR(IF(0=LEN(ReferenceData!$AX$375),"",ReferenceData!$AX$375),"")</f>
        <v/>
      </c>
      <c r="AY375" t="str">
        <f ca="1">IFERROR(IF(0=LEN(ReferenceData!$AY$375),"",ReferenceData!$AY$375),"")</f>
        <v/>
      </c>
      <c r="AZ375" t="str">
        <f ca="1">IFERROR(IF(0=LEN(ReferenceData!$AZ$375),"",ReferenceData!$AZ$375),"")</f>
        <v/>
      </c>
      <c r="BA375" t="str">
        <f ca="1">IFERROR(IF(0=LEN(ReferenceData!$BA$375),"",ReferenceData!$BA$375),"")</f>
        <v/>
      </c>
      <c r="BB375" t="str">
        <f ca="1">IFERROR(IF(0=LEN(ReferenceData!$BB$375),"",ReferenceData!$BB$375),"")</f>
        <v/>
      </c>
      <c r="BC375" t="str">
        <f ca="1">IFERROR(IF(0=LEN(ReferenceData!$BC$375),"",ReferenceData!$BC$375),"")</f>
        <v/>
      </c>
      <c r="BD375" t="str">
        <f ca="1">IFERROR(IF(0=LEN(ReferenceData!$BD$375),"",ReferenceData!$BD$375),"")</f>
        <v/>
      </c>
      <c r="BE375" t="str">
        <f ca="1">IFERROR(IF(0=LEN(ReferenceData!$BE$375),"",ReferenceData!$BE$375),"")</f>
        <v/>
      </c>
      <c r="BF375" t="str">
        <f ca="1">IFERROR(IF(0=LEN(ReferenceData!$BF$375),"",ReferenceData!$BF$375),"")</f>
        <v/>
      </c>
      <c r="BG375" t="str">
        <f ca="1">IFERROR(IF(0=LEN(ReferenceData!$BG$375),"",ReferenceData!$BG$375),"")</f>
        <v/>
      </c>
      <c r="BH375" t="str">
        <f ca="1">IFERROR(IF(0=LEN(ReferenceData!$BH$375),"",ReferenceData!$BH$375),"")</f>
        <v/>
      </c>
      <c r="BI375" t="str">
        <f ca="1">IFERROR(IF(0=LEN(ReferenceData!$BI$375),"",ReferenceData!$BI$375),"")</f>
        <v/>
      </c>
      <c r="BJ375" t="str">
        <f ca="1">IFERROR(IF(0=LEN(ReferenceData!$BJ$375),"",ReferenceData!$BJ$375),"")</f>
        <v/>
      </c>
      <c r="BK375" t="str">
        <f ca="1">IFERROR(IF(0=LEN(ReferenceData!$BK$375),"",ReferenceData!$BK$375),"")</f>
        <v/>
      </c>
      <c r="BL375" t="str">
        <f ca="1">IFERROR(IF(0=LEN(ReferenceData!$BL$375),"",ReferenceData!$BL$375),"")</f>
        <v/>
      </c>
      <c r="BM375" t="str">
        <f ca="1">IFERROR(IF(0=LEN(ReferenceData!$BM$375),"",ReferenceData!$BM$375),"")</f>
        <v/>
      </c>
    </row>
    <row r="376" spans="1:65">
      <c r="A376" t="str">
        <f>IFERROR(IF(0=LEN(ReferenceData!$A$376),"",ReferenceData!$A$376),"")</f>
        <v xml:space="preserve">    Federal Realty Investment Trus</v>
      </c>
      <c r="B376" t="str">
        <f>IFERROR(IF(0=LEN(ReferenceData!$B$376),"",ReferenceData!$B$376),"")</f>
        <v>FRT US Equity</v>
      </c>
      <c r="C376" t="str">
        <f>IFERROR(IF(0=LEN(ReferenceData!$C$376),"",ReferenceData!$C$376),"")</f>
        <v/>
      </c>
      <c r="D376" t="str">
        <f>IFERROR(IF(0=LEN(ReferenceData!$D$376),"",ReferenceData!$D$376),"")</f>
        <v/>
      </c>
      <c r="E376" t="str">
        <f>IFERROR(IF(0=LEN(ReferenceData!$E$376),"",ReferenceData!$E$376),"")</f>
        <v>Expression</v>
      </c>
      <c r="F376" t="str">
        <f ca="1">IFERROR(IF(0=LEN(ReferenceData!$F$376),"",ReferenceData!$F$376),"")</f>
        <v/>
      </c>
      <c r="G376">
        <f ca="1">IFERROR(IF(0=LEN(ReferenceData!$G$376),"",ReferenceData!$G$376),"")</f>
        <v>523.41300000000001</v>
      </c>
      <c r="H376">
        <f ca="1">IFERROR(IF(0=LEN(ReferenceData!$H$376),"",ReferenceData!$H$376),"")</f>
        <v>779.78899999999999</v>
      </c>
      <c r="I376">
        <f ca="1">IFERROR(IF(0=LEN(ReferenceData!$I$376),"",ReferenceData!$I$376),"")</f>
        <v>851.47900000000004</v>
      </c>
      <c r="J376">
        <f ca="1">IFERROR(IF(0=LEN(ReferenceData!$J$376),"",ReferenceData!$J$376),"")</f>
        <v>381.64299999999997</v>
      </c>
      <c r="K376">
        <f ca="1">IFERROR(IF(0=LEN(ReferenceData!$K$376),"",ReferenceData!$K$376),"")</f>
        <v>600.423</v>
      </c>
      <c r="L376">
        <f ca="1">IFERROR(IF(0=LEN(ReferenceData!$L$376),"",ReferenceData!$L$376),"")</f>
        <v>890.57100000000003</v>
      </c>
      <c r="M376">
        <f ca="1">IFERROR(IF(0=LEN(ReferenceData!$M$376),"",ReferenceData!$M$376),"")</f>
        <v>711.08399999999995</v>
      </c>
      <c r="N376">
        <f ca="1">IFERROR(IF(0=LEN(ReferenceData!$N$376),"",ReferenceData!$N$376),"")</f>
        <v>518.20699999999999</v>
      </c>
      <c r="O376" t="str">
        <f ca="1">IFERROR(IF(0=LEN(ReferenceData!$O$376),"",ReferenceData!$O$376),"")</f>
        <v/>
      </c>
      <c r="P376">
        <f ca="1">IFERROR(IF(0=LEN(ReferenceData!$P$376),"",ReferenceData!$P$376),"")</f>
        <v>593.75400000000002</v>
      </c>
      <c r="Q376">
        <f ca="1">IFERROR(IF(0=LEN(ReferenceData!$Q$376),"",ReferenceData!$Q$376),"")</f>
        <v>472.29950000000002</v>
      </c>
      <c r="R376">
        <f ca="1">IFERROR(IF(0=LEN(ReferenceData!$R$376),"",ReferenceData!$R$376),"")</f>
        <v>419.21300000000002</v>
      </c>
      <c r="S376">
        <f ca="1">IFERROR(IF(0=LEN(ReferenceData!$S$376),"",ReferenceData!$S$376),"")</f>
        <v>494.15600000000001</v>
      </c>
      <c r="T376">
        <f ca="1">IFERROR(IF(0=LEN(ReferenceData!$T$376),"",ReferenceData!$T$376),"")</f>
        <v>610.20299999999997</v>
      </c>
      <c r="U376">
        <f ca="1">IFERROR(IF(0=LEN(ReferenceData!$U$376),"",ReferenceData!$U$376),"")</f>
        <v>635.79</v>
      </c>
      <c r="V376">
        <f ca="1">IFERROR(IF(0=LEN(ReferenceData!$V$376),"",ReferenceData!$V$376),"")</f>
        <v>625.56299999999999</v>
      </c>
      <c r="W376">
        <f ca="1">IFERROR(IF(0=LEN(ReferenceData!$W$376),"",ReferenceData!$W$376),"")</f>
        <v>576.65099999999995</v>
      </c>
      <c r="X376">
        <f ca="1">IFERROR(IF(0=LEN(ReferenceData!$X$376),"",ReferenceData!$X$376),"")</f>
        <v>724.80799999999999</v>
      </c>
      <c r="Y376">
        <f ca="1">IFERROR(IF(0=LEN(ReferenceData!$Y$376),"",ReferenceData!$Y$376),"")</f>
        <v>702.16399999999999</v>
      </c>
      <c r="Z376">
        <f ca="1">IFERROR(IF(0=LEN(ReferenceData!$Z$376),"",ReferenceData!$Z$376),"")</f>
        <v>267.73099999999999</v>
      </c>
      <c r="AA376">
        <f ca="1">IFERROR(IF(0=LEN(ReferenceData!$AA$376),"",ReferenceData!$AA$376),"")</f>
        <v>261.43599999999998</v>
      </c>
      <c r="AB376">
        <f ca="1">IFERROR(IF(0=LEN(ReferenceData!$AB$376),"",ReferenceData!$AB$376),"")</f>
        <v>524.55600000000004</v>
      </c>
      <c r="AC376">
        <f ca="1">IFERROR(IF(0=LEN(ReferenceData!$AC$376),"",ReferenceData!$AC$376),"")</f>
        <v>291.83300000000003</v>
      </c>
      <c r="AD376">
        <f ca="1">IFERROR(IF(0=LEN(ReferenceData!$AD$376),"",ReferenceData!$AD$376),"")</f>
        <v>268.29300000000001</v>
      </c>
      <c r="AE376">
        <f ca="1">IFERROR(IF(0=LEN(ReferenceData!$AE$376),"",ReferenceData!$AE$376),"")</f>
        <v>59.46</v>
      </c>
      <c r="AF376">
        <f ca="1">IFERROR(IF(0=LEN(ReferenceData!$AF$376),"",ReferenceData!$AF$376),"")</f>
        <v>100.633</v>
      </c>
      <c r="AG376">
        <f ca="1">IFERROR(IF(0=LEN(ReferenceData!$AG$376),"",ReferenceData!$AG$376),"")</f>
        <v>125.846</v>
      </c>
      <c r="AH376">
        <f ca="1">IFERROR(IF(0=LEN(ReferenceData!$AH$376),"",ReferenceData!$AH$376),"")</f>
        <v>72.638000000000005</v>
      </c>
      <c r="AI376">
        <f ca="1">IFERROR(IF(0=LEN(ReferenceData!$AI$376),"",ReferenceData!$AI$376),"")</f>
        <v>113.724</v>
      </c>
      <c r="AJ376">
        <f ca="1">IFERROR(IF(0=LEN(ReferenceData!$AJ$376),"",ReferenceData!$AJ$376),"")</f>
        <v>279.75200000000001</v>
      </c>
      <c r="AK376">
        <f ca="1">IFERROR(IF(0=LEN(ReferenceData!$AK$376),"",ReferenceData!$AK$376),"")</f>
        <v>318.54599999999999</v>
      </c>
      <c r="AL376">
        <f ca="1">IFERROR(IF(0=LEN(ReferenceData!$AL$376),"",ReferenceData!$AL$376),"")</f>
        <v>314.39</v>
      </c>
      <c r="AM376" t="str">
        <f ca="1">IFERROR(IF(0=LEN(ReferenceData!$AM$376),"",ReferenceData!$AM$376),"")</f>
        <v/>
      </c>
      <c r="AN376">
        <f ca="1">IFERROR(IF(0=LEN(ReferenceData!$AN$376),"",ReferenceData!$AN$376),"")</f>
        <v>456.74599999999998</v>
      </c>
      <c r="AO376">
        <f ca="1">IFERROR(IF(0=LEN(ReferenceData!$AO$376),"",ReferenceData!$AO$376),"")</f>
        <v>57.567</v>
      </c>
      <c r="AP376">
        <f ca="1">IFERROR(IF(0=LEN(ReferenceData!$AP$376),"",ReferenceData!$AP$376),"")</f>
        <v>-600.476</v>
      </c>
      <c r="AQ376">
        <f ca="1">IFERROR(IF(0=LEN(ReferenceData!$AQ$376),"",ReferenceData!$AQ$376),"")</f>
        <v>-195.81899999999999</v>
      </c>
      <c r="AR376">
        <f ca="1">IFERROR(IF(0=LEN(ReferenceData!$AR$376),"",ReferenceData!$AR$376),"")</f>
        <v>214.583</v>
      </c>
      <c r="AS376">
        <f ca="1">IFERROR(IF(0=LEN(ReferenceData!$AS$376),"",ReferenceData!$AS$376),"")</f>
        <v>202.95699999999999</v>
      </c>
      <c r="AT376">
        <f ca="1">IFERROR(IF(0=LEN(ReferenceData!$AT$376),"",ReferenceData!$AT$376),"")</f>
        <v>-110.10599999999999</v>
      </c>
      <c r="AU376">
        <f ca="1">IFERROR(IF(0=LEN(ReferenceData!$AU$376),"",ReferenceData!$AU$376),"")</f>
        <v>133.607</v>
      </c>
      <c r="AV376">
        <f ca="1">IFERROR(IF(0=LEN(ReferenceData!$AV$376),"",ReferenceData!$AV$376),"")</f>
        <v>-8.94</v>
      </c>
      <c r="AW376">
        <f ca="1">IFERROR(IF(0=LEN(ReferenceData!$AW$376),"",ReferenceData!$AW$376),"")</f>
        <v>158.84899999999999</v>
      </c>
      <c r="AX376">
        <f ca="1">IFERROR(IF(0=LEN(ReferenceData!$AX$376),"",ReferenceData!$AX$376),"")</f>
        <v>161.45400000000001</v>
      </c>
      <c r="AY376">
        <f ca="1">IFERROR(IF(0=LEN(ReferenceData!$AY$376),"",ReferenceData!$AY$376),"")</f>
        <v>58.497999999999998</v>
      </c>
      <c r="AZ376">
        <f ca="1">IFERROR(IF(0=LEN(ReferenceData!$AZ$376),"",ReferenceData!$AZ$376),"")</f>
        <v>365.56299999999999</v>
      </c>
      <c r="BA376">
        <f ca="1">IFERROR(IF(0=LEN(ReferenceData!$BA$376),"",ReferenceData!$BA$376),"")</f>
        <v>-83.781000000000006</v>
      </c>
      <c r="BB376">
        <f ca="1">IFERROR(IF(0=LEN(ReferenceData!$BB$376),"",ReferenceData!$BB$376),"")</f>
        <v>3.95</v>
      </c>
      <c r="BC376">
        <f ca="1">IFERROR(IF(0=LEN(ReferenceData!$BC$376),"",ReferenceData!$BC$376),"")</f>
        <v>53.305</v>
      </c>
      <c r="BD376">
        <f ca="1">IFERROR(IF(0=LEN(ReferenceData!$BD$376),"",ReferenceData!$BD$376),"")</f>
        <v>179.886</v>
      </c>
      <c r="BE376">
        <f ca="1">IFERROR(IF(0=LEN(ReferenceData!$BE$376),"",ReferenceData!$BE$376),"")</f>
        <v>418.08600000000001</v>
      </c>
      <c r="BF376">
        <f ca="1">IFERROR(IF(0=LEN(ReferenceData!$BF$376),"",ReferenceData!$BF$376),"")</f>
        <v>535.14499999999998</v>
      </c>
      <c r="BG376">
        <f ca="1">IFERROR(IF(0=LEN(ReferenceData!$BG$376),"",ReferenceData!$BG$376),"")</f>
        <v>187.510999</v>
      </c>
      <c r="BH376" t="str">
        <f ca="1">IFERROR(IF(0=LEN(ReferenceData!$BH$376),"",ReferenceData!$BH$376),"")</f>
        <v/>
      </c>
      <c r="BI376">
        <f ca="1">IFERROR(IF(0=LEN(ReferenceData!$BI$376),"",ReferenceData!$BI$376),"")</f>
        <v>266.69500099999999</v>
      </c>
      <c r="BJ376">
        <f ca="1">IFERROR(IF(0=LEN(ReferenceData!$BJ$376),"",ReferenceData!$BJ$376),"")</f>
        <v>160.751</v>
      </c>
      <c r="BK376">
        <f ca="1">IFERROR(IF(0=LEN(ReferenceData!$BK$376),"",ReferenceData!$BK$376),"")</f>
        <v>192.76300000000001</v>
      </c>
      <c r="BL376">
        <f ca="1">IFERROR(IF(0=LEN(ReferenceData!$BL$376),"",ReferenceData!$BL$376),"")</f>
        <v>-187.733</v>
      </c>
      <c r="BM376">
        <f ca="1">IFERROR(IF(0=LEN(ReferenceData!$BM$376),"",ReferenceData!$BM$376),"")</f>
        <v>-220.99199999999999</v>
      </c>
    </row>
    <row r="377" spans="1:65">
      <c r="A377" t="str">
        <f>IFERROR(IF(0=LEN(ReferenceData!$A$377),"",ReferenceData!$A$377),"")</f>
        <v xml:space="preserve">    Kimco Realty Corp</v>
      </c>
      <c r="B377" t="str">
        <f>IFERROR(IF(0=LEN(ReferenceData!$B$377),"",ReferenceData!$B$377),"")</f>
        <v>KIM US Equity</v>
      </c>
      <c r="C377" t="str">
        <f>IFERROR(IF(0=LEN(ReferenceData!$C$377),"",ReferenceData!$C$377),"")</f>
        <v/>
      </c>
      <c r="D377" t="str">
        <f>IFERROR(IF(0=LEN(ReferenceData!$D$377),"",ReferenceData!$D$377),"")</f>
        <v/>
      </c>
      <c r="E377" t="str">
        <f>IFERROR(IF(0=LEN(ReferenceData!$E$377),"",ReferenceData!$E$377),"")</f>
        <v>Expression</v>
      </c>
      <c r="F377" t="str">
        <f ca="1">IFERROR(IF(0=LEN(ReferenceData!$F$377),"",ReferenceData!$F$377),"")</f>
        <v/>
      </c>
      <c r="G377">
        <f ca="1">IFERROR(IF(0=LEN(ReferenceData!$G$377),"",ReferenceData!$G$377),"")</f>
        <v>2402.6469999999999</v>
      </c>
      <c r="H377">
        <f ca="1">IFERROR(IF(0=LEN(ReferenceData!$H$377),"",ReferenceData!$H$377),"")</f>
        <v>2273.674</v>
      </c>
      <c r="I377">
        <f ca="1">IFERROR(IF(0=LEN(ReferenceData!$I$377),"",ReferenceData!$I$377),"")</f>
        <v>1487.4680000000001</v>
      </c>
      <c r="J377">
        <f ca="1">IFERROR(IF(0=LEN(ReferenceData!$J$377),"",ReferenceData!$J$377),"")</f>
        <v>1643.85</v>
      </c>
      <c r="K377">
        <f ca="1">IFERROR(IF(0=LEN(ReferenceData!$K$377),"",ReferenceData!$K$377),"")</f>
        <v>1553.4590000000001</v>
      </c>
      <c r="L377">
        <f ca="1">IFERROR(IF(0=LEN(ReferenceData!$L$377),"",ReferenceData!$L$377),"")</f>
        <v>1546.7950000000001</v>
      </c>
      <c r="M377">
        <f ca="1">IFERROR(IF(0=LEN(ReferenceData!$M$377),"",ReferenceData!$M$377),"")</f>
        <v>1749.3340000000001</v>
      </c>
      <c r="N377">
        <f ca="1">IFERROR(IF(0=LEN(ReferenceData!$N$377),"",ReferenceData!$N$377),"")</f>
        <v>1450.346</v>
      </c>
      <c r="O377">
        <f ca="1">IFERROR(IF(0=LEN(ReferenceData!$O$377),"",ReferenceData!$O$377),"")</f>
        <v>1151.6659999999999</v>
      </c>
      <c r="P377">
        <f ca="1">IFERROR(IF(0=LEN(ReferenceData!$P$377),"",ReferenceData!$P$377),"")</f>
        <v>1312.088</v>
      </c>
      <c r="Q377">
        <f ca="1">IFERROR(IF(0=LEN(ReferenceData!$Q$377),"",ReferenceData!$Q$377),"")</f>
        <v>1239.2280000000001</v>
      </c>
      <c r="R377">
        <f ca="1">IFERROR(IF(0=LEN(ReferenceData!$R$377),"",ReferenceData!$R$377),"")</f>
        <v>1091.3230000000001</v>
      </c>
      <c r="S377">
        <f ca="1">IFERROR(IF(0=LEN(ReferenceData!$S$377),"",ReferenceData!$S$377),"")</f>
        <v>1114.8430000000001</v>
      </c>
      <c r="T377">
        <f ca="1">IFERROR(IF(0=LEN(ReferenceData!$T$377),"",ReferenceData!$T$377),"")</f>
        <v>1646.59</v>
      </c>
      <c r="U377">
        <f ca="1">IFERROR(IF(0=LEN(ReferenceData!$U$377),"",ReferenceData!$U$377),"")</f>
        <v>1410.088</v>
      </c>
      <c r="V377">
        <f ca="1">IFERROR(IF(0=LEN(ReferenceData!$V$377),"",ReferenceData!$V$377),"")</f>
        <v>1330.8109999999999</v>
      </c>
      <c r="W377">
        <f ca="1">IFERROR(IF(0=LEN(ReferenceData!$W$377),"",ReferenceData!$W$377),"")</f>
        <v>962.07600000000002</v>
      </c>
      <c r="X377">
        <f ca="1">IFERROR(IF(0=LEN(ReferenceData!$X$377),"",ReferenceData!$X$377),"")</f>
        <v>1894.73</v>
      </c>
      <c r="Y377">
        <f ca="1">IFERROR(IF(0=LEN(ReferenceData!$Y$377),"",ReferenceData!$Y$377),"")</f>
        <v>1356.75</v>
      </c>
      <c r="Z377">
        <f ca="1">IFERROR(IF(0=LEN(ReferenceData!$Z$377),"",ReferenceData!$Z$377),"")</f>
        <v>971.69399999999996</v>
      </c>
      <c r="AA377">
        <f ca="1">IFERROR(IF(0=LEN(ReferenceData!$AA$377),"",ReferenceData!$AA$377),"")</f>
        <v>974.17499999999995</v>
      </c>
      <c r="AB377">
        <f ca="1">IFERROR(IF(0=LEN(ReferenceData!$AB$377),"",ReferenceData!$AB$377),"")</f>
        <v>1910.6289999999999</v>
      </c>
      <c r="AC377">
        <f ca="1">IFERROR(IF(0=LEN(ReferenceData!$AC$377),"",ReferenceData!$AC$377),"")</f>
        <v>1844.029</v>
      </c>
      <c r="AD377">
        <f ca="1">IFERROR(IF(0=LEN(ReferenceData!$AD$377),"",ReferenceData!$AD$377),"")</f>
        <v>1599.1</v>
      </c>
      <c r="AE377">
        <f ca="1">IFERROR(IF(0=LEN(ReferenceData!$AE$377),"",ReferenceData!$AE$377),"")</f>
        <v>1173.482</v>
      </c>
      <c r="AF377">
        <f ca="1">IFERROR(IF(0=LEN(ReferenceData!$AF$377),"",ReferenceData!$AF$377),"")</f>
        <v>1515.8979999999999</v>
      </c>
      <c r="AG377">
        <f ca="1">IFERROR(IF(0=LEN(ReferenceData!$AG$377),"",ReferenceData!$AG$377),"")</f>
        <v>1504.4670000000001</v>
      </c>
      <c r="AH377">
        <f ca="1">IFERROR(IF(0=LEN(ReferenceData!$AH$377),"",ReferenceData!$AH$377),"")</f>
        <v>1323.1379999999999</v>
      </c>
      <c r="AI377">
        <f ca="1">IFERROR(IF(0=LEN(ReferenceData!$AI$377),"",ReferenceData!$AI$377),"")</f>
        <v>1529.454</v>
      </c>
      <c r="AJ377">
        <f ca="1">IFERROR(IF(0=LEN(ReferenceData!$AJ$377),"",ReferenceData!$AJ$377),"")</f>
        <v>1494.5160000000001</v>
      </c>
      <c r="AK377">
        <f ca="1">IFERROR(IF(0=LEN(ReferenceData!$AK$377),"",ReferenceData!$AK$377),"")</f>
        <v>1398.9829999999999</v>
      </c>
      <c r="AL377">
        <f ca="1">IFERROR(IF(0=LEN(ReferenceData!$AL$377),"",ReferenceData!$AL$377),"")</f>
        <v>1240.2370000000001</v>
      </c>
      <c r="AM377">
        <f ca="1">IFERROR(IF(0=LEN(ReferenceData!$AM$377),"",ReferenceData!$AM$377),"")</f>
        <v>1302.558</v>
      </c>
      <c r="AN377">
        <f ca="1">IFERROR(IF(0=LEN(ReferenceData!$AN$377),"",ReferenceData!$AN$377),"")</f>
        <v>1489.557</v>
      </c>
      <c r="AO377">
        <f ca="1">IFERROR(IF(0=LEN(ReferenceData!$AO$377),"",ReferenceData!$AO$377),"")</f>
        <v>1505.125</v>
      </c>
      <c r="AP377">
        <f ca="1">IFERROR(IF(0=LEN(ReferenceData!$AP$377),"",ReferenceData!$AP$377),"")</f>
        <v>481.08199999999999</v>
      </c>
      <c r="AQ377">
        <f ca="1">IFERROR(IF(0=LEN(ReferenceData!$AQ$377),"",ReferenceData!$AQ$377),"")</f>
        <v>383.97699999999998</v>
      </c>
      <c r="AR377">
        <f ca="1">IFERROR(IF(0=LEN(ReferenceData!$AR$377),"",ReferenceData!$AR$377),"")</f>
        <v>1057.72</v>
      </c>
      <c r="AS377">
        <f ca="1">IFERROR(IF(0=LEN(ReferenceData!$AS$377),"",ReferenceData!$AS$377),"")</f>
        <v>761.07100000000003</v>
      </c>
      <c r="AT377">
        <f ca="1">IFERROR(IF(0=LEN(ReferenceData!$AT$377),"",ReferenceData!$AT$377),"")</f>
        <v>680.65200000000004</v>
      </c>
      <c r="AU377">
        <f ca="1">IFERROR(IF(0=LEN(ReferenceData!$AU$377),"",ReferenceData!$AU$377),"")</f>
        <v>832.59900000000005</v>
      </c>
      <c r="AV377">
        <f ca="1">IFERROR(IF(0=LEN(ReferenceData!$AV$377),"",ReferenceData!$AV$377),"")</f>
        <v>98.463999999999999</v>
      </c>
      <c r="AW377">
        <f ca="1">IFERROR(IF(0=LEN(ReferenceData!$AW$377),"",ReferenceData!$AW$377),"")</f>
        <v>294.03199999999998</v>
      </c>
      <c r="AX377">
        <f ca="1">IFERROR(IF(0=LEN(ReferenceData!$AX$377),"",ReferenceData!$AX$377),"")</f>
        <v>583.19299999999998</v>
      </c>
      <c r="AY377">
        <f ca="1">IFERROR(IF(0=LEN(ReferenceData!$AY$377),"",ReferenceData!$AY$377),"")</f>
        <v>699.16499999999996</v>
      </c>
      <c r="AZ377">
        <f ca="1">IFERROR(IF(0=LEN(ReferenceData!$AZ$377),"",ReferenceData!$AZ$377),"")</f>
        <v>460.91399999999999</v>
      </c>
      <c r="BA377">
        <f ca="1">IFERROR(IF(0=LEN(ReferenceData!$BA$377),"",ReferenceData!$BA$377),"")</f>
        <v>613.31399999999996</v>
      </c>
      <c r="BB377">
        <f ca="1">IFERROR(IF(0=LEN(ReferenceData!$BB$377),"",ReferenceData!$BB$377),"")</f>
        <v>715.55899999999997</v>
      </c>
      <c r="BC377" t="str">
        <f ca="1">IFERROR(IF(0=LEN(ReferenceData!$BC$377),"",ReferenceData!$BC$377),"")</f>
        <v/>
      </c>
      <c r="BD377" t="str">
        <f ca="1">IFERROR(IF(0=LEN(ReferenceData!$BD$377),"",ReferenceData!$BD$377),"")</f>
        <v/>
      </c>
      <c r="BE377" t="str">
        <f ca="1">IFERROR(IF(0=LEN(ReferenceData!$BE$377),"",ReferenceData!$BE$377),"")</f>
        <v/>
      </c>
      <c r="BF377" t="str">
        <f ca="1">IFERROR(IF(0=LEN(ReferenceData!$BF$377),"",ReferenceData!$BF$377),"")</f>
        <v/>
      </c>
      <c r="BG377" t="str">
        <f ca="1">IFERROR(IF(0=LEN(ReferenceData!$BG$377),"",ReferenceData!$BG$377),"")</f>
        <v/>
      </c>
      <c r="BH377" t="str">
        <f ca="1">IFERROR(IF(0=LEN(ReferenceData!$BH$377),"",ReferenceData!$BH$377),"")</f>
        <v/>
      </c>
      <c r="BI377" t="str">
        <f ca="1">IFERROR(IF(0=LEN(ReferenceData!$BI$377),"",ReferenceData!$BI$377),"")</f>
        <v/>
      </c>
      <c r="BJ377" t="str">
        <f ca="1">IFERROR(IF(0=LEN(ReferenceData!$BJ$377),"",ReferenceData!$BJ$377),"")</f>
        <v/>
      </c>
      <c r="BK377" t="str">
        <f ca="1">IFERROR(IF(0=LEN(ReferenceData!$BK$377),"",ReferenceData!$BK$377),"")</f>
        <v/>
      </c>
      <c r="BL377" t="str">
        <f ca="1">IFERROR(IF(0=LEN(ReferenceData!$BL$377),"",ReferenceData!$BL$377),"")</f>
        <v/>
      </c>
      <c r="BM377" t="str">
        <f ca="1">IFERROR(IF(0=LEN(ReferenceData!$BM$377),"",ReferenceData!$BM$377),"")</f>
        <v/>
      </c>
    </row>
    <row r="378" spans="1:65">
      <c r="A378" t="str">
        <f>IFERROR(IF(0=LEN(ReferenceData!$A$378),"",ReferenceData!$A$378),"")</f>
        <v xml:space="preserve">    National Retail Properties Inc</v>
      </c>
      <c r="B378" t="str">
        <f>IFERROR(IF(0=LEN(ReferenceData!$B$378),"",ReferenceData!$B$378),"")</f>
        <v>NNN US Equity</v>
      </c>
      <c r="C378" t="str">
        <f>IFERROR(IF(0=LEN(ReferenceData!$C$378),"",ReferenceData!$C$378),"")</f>
        <v/>
      </c>
      <c r="D378" t="str">
        <f>IFERROR(IF(0=LEN(ReferenceData!$D$378),"",ReferenceData!$D$378),"")</f>
        <v/>
      </c>
      <c r="E378" t="str">
        <f>IFERROR(IF(0=LEN(ReferenceData!$E$378),"",ReferenceData!$E$378),"")</f>
        <v>Expression</v>
      </c>
      <c r="F378" t="str">
        <f ca="1">IFERROR(IF(0=LEN(ReferenceData!$F$378),"",ReferenceData!$F$378),"")</f>
        <v/>
      </c>
      <c r="G378">
        <f ca="1">IFERROR(IF(0=LEN(ReferenceData!$G$378),"",ReferenceData!$G$378),"")</f>
        <v>780.24099999999999</v>
      </c>
      <c r="H378">
        <f ca="1">IFERROR(IF(0=LEN(ReferenceData!$H$378),"",ReferenceData!$H$378),"")</f>
        <v>654.11699999999996</v>
      </c>
      <c r="I378">
        <f ca="1">IFERROR(IF(0=LEN(ReferenceData!$I$378),"",ReferenceData!$I$378),"")</f>
        <v>188.685</v>
      </c>
      <c r="J378">
        <f ca="1">IFERROR(IF(0=LEN(ReferenceData!$J$378),"",ReferenceData!$J$378),"")</f>
        <v>434.03500000000003</v>
      </c>
      <c r="K378">
        <f ca="1">IFERROR(IF(0=LEN(ReferenceData!$K$378),"",ReferenceData!$K$378),"")</f>
        <v>623.89800000000002</v>
      </c>
      <c r="L378">
        <f ca="1">IFERROR(IF(0=LEN(ReferenceData!$L$378),"",ReferenceData!$L$378),"")</f>
        <v>471.55599999999998</v>
      </c>
      <c r="M378">
        <f ca="1">IFERROR(IF(0=LEN(ReferenceData!$M$378),"",ReferenceData!$M$378),"")</f>
        <v>504.73899999999998</v>
      </c>
      <c r="N378">
        <f ca="1">IFERROR(IF(0=LEN(ReferenceData!$N$378),"",ReferenceData!$N$378),"")</f>
        <v>657.70100000000002</v>
      </c>
      <c r="O378">
        <f ca="1">IFERROR(IF(0=LEN(ReferenceData!$O$378),"",ReferenceData!$O$378),"")</f>
        <v>578.23400000000004</v>
      </c>
      <c r="P378">
        <f ca="1">IFERROR(IF(0=LEN(ReferenceData!$P$378),"",ReferenceData!$P$378),"")</f>
        <v>219.797</v>
      </c>
      <c r="Q378">
        <f ca="1">IFERROR(IF(0=LEN(ReferenceData!$Q$378),"",ReferenceData!$Q$378),"")</f>
        <v>374.05900000000003</v>
      </c>
      <c r="R378">
        <f ca="1">IFERROR(IF(0=LEN(ReferenceData!$R$378),"",ReferenceData!$R$378),"")</f>
        <v>461.30200000000002</v>
      </c>
      <c r="S378">
        <f ca="1">IFERROR(IF(0=LEN(ReferenceData!$S$378),"",ReferenceData!$S$378),"")</f>
        <v>508.78199999999998</v>
      </c>
      <c r="T378">
        <f ca="1">IFERROR(IF(0=LEN(ReferenceData!$T$378),"",ReferenceData!$T$378),"")</f>
        <v>504.58499999999998</v>
      </c>
      <c r="U378">
        <f ca="1">IFERROR(IF(0=LEN(ReferenceData!$U$378),"",ReferenceData!$U$378),"")</f>
        <v>584.78300000000002</v>
      </c>
      <c r="V378">
        <f ca="1">IFERROR(IF(0=LEN(ReferenceData!$V$378),"",ReferenceData!$V$378),"")</f>
        <v>263.57299999999998</v>
      </c>
      <c r="W378">
        <f ca="1">IFERROR(IF(0=LEN(ReferenceData!$W$378),"",ReferenceData!$W$378),"")</f>
        <v>303.952</v>
      </c>
      <c r="X378">
        <f ca="1">IFERROR(IF(0=LEN(ReferenceData!$X$378),"",ReferenceData!$X$378),"")</f>
        <v>506.24099999999999</v>
      </c>
      <c r="Y378">
        <f ca="1">IFERROR(IF(0=LEN(ReferenceData!$Y$378),"",ReferenceData!$Y$378),"")</f>
        <v>513.399</v>
      </c>
      <c r="Z378">
        <f ca="1">IFERROR(IF(0=LEN(ReferenceData!$Z$378),"",ReferenceData!$Z$378),"")</f>
        <v>221.10400000000001</v>
      </c>
      <c r="AA378">
        <f ca="1">IFERROR(IF(0=LEN(ReferenceData!$AA$378),"",ReferenceData!$AA$378),"")</f>
        <v>90.248999999999995</v>
      </c>
      <c r="AB378">
        <f ca="1">IFERROR(IF(0=LEN(ReferenceData!$AB$378),"",ReferenceData!$AB$378),"")</f>
        <v>591.17600000000004</v>
      </c>
      <c r="AC378">
        <f ca="1">IFERROR(IF(0=LEN(ReferenceData!$AC$378),"",ReferenceData!$AC$378),"")</f>
        <v>291.56799999999998</v>
      </c>
      <c r="AD378">
        <f ca="1">IFERROR(IF(0=LEN(ReferenceData!$AD$378),"",ReferenceData!$AD$378),"")</f>
        <v>357.83800000000002</v>
      </c>
      <c r="AE378">
        <f ca="1">IFERROR(IF(0=LEN(ReferenceData!$AE$378),"",ReferenceData!$AE$378),"")</f>
        <v>317.209</v>
      </c>
      <c r="AF378">
        <f ca="1">IFERROR(IF(0=LEN(ReferenceData!$AF$378),"",ReferenceData!$AF$378),"")</f>
        <v>469.39600000000002</v>
      </c>
      <c r="AG378">
        <f ca="1">IFERROR(IF(0=LEN(ReferenceData!$AG$378),"",ReferenceData!$AG$378),"")</f>
        <v>95.701999999999998</v>
      </c>
      <c r="AH378">
        <f ca="1">IFERROR(IF(0=LEN(ReferenceData!$AH$378),"",ReferenceData!$AH$378),"")</f>
        <v>80.042000000000002</v>
      </c>
      <c r="AI378">
        <f ca="1">IFERROR(IF(0=LEN(ReferenceData!$AI$378),"",ReferenceData!$AI$378),"")</f>
        <v>103.093</v>
      </c>
      <c r="AJ378">
        <f ca="1">IFERROR(IF(0=LEN(ReferenceData!$AJ$378),"",ReferenceData!$AJ$378),"")</f>
        <v>366.64600000000002</v>
      </c>
      <c r="AK378">
        <f ca="1">IFERROR(IF(0=LEN(ReferenceData!$AK$378),"",ReferenceData!$AK$378),"")</f>
        <v>425.916</v>
      </c>
      <c r="AL378">
        <f ca="1">IFERROR(IF(0=LEN(ReferenceData!$AL$378),"",ReferenceData!$AL$378),"")</f>
        <v>405.05099999999999</v>
      </c>
      <c r="AM378">
        <f ca="1">IFERROR(IF(0=LEN(ReferenceData!$AM$378),"",ReferenceData!$AM$378),"")</f>
        <v>394.21600000000001</v>
      </c>
      <c r="AN378">
        <f ca="1">IFERROR(IF(0=LEN(ReferenceData!$AN$378),"",ReferenceData!$AN$378),"")</f>
        <v>422.99200000000002</v>
      </c>
      <c r="AO378">
        <f ca="1">IFERROR(IF(0=LEN(ReferenceData!$AO$378),"",ReferenceData!$AO$378),"")</f>
        <v>379.065</v>
      </c>
      <c r="AP378">
        <f ca="1">IFERROR(IF(0=LEN(ReferenceData!$AP$378),"",ReferenceData!$AP$378),"")</f>
        <v>378.20499999999998</v>
      </c>
      <c r="AQ378">
        <f ca="1">IFERROR(IF(0=LEN(ReferenceData!$AQ$378),"",ReferenceData!$AQ$378),"")</f>
        <v>375.125</v>
      </c>
      <c r="AR378">
        <f ca="1">IFERROR(IF(0=LEN(ReferenceData!$AR$378),"",ReferenceData!$AR$378),"")</f>
        <v>349.20600000000002</v>
      </c>
      <c r="AS378">
        <f ca="1">IFERROR(IF(0=LEN(ReferenceData!$AS$378),"",ReferenceData!$AS$378),"")</f>
        <v>277.06599999999997</v>
      </c>
      <c r="AT378">
        <f ca="1">IFERROR(IF(0=LEN(ReferenceData!$AT$378),"",ReferenceData!$AT$378),"")</f>
        <v>287.43900000000002</v>
      </c>
      <c r="AU378">
        <f ca="1">IFERROR(IF(0=LEN(ReferenceData!$AU$378),"",ReferenceData!$AU$378),"")</f>
        <v>184.50899999999999</v>
      </c>
      <c r="AV378">
        <f ca="1">IFERROR(IF(0=LEN(ReferenceData!$AV$378),"",ReferenceData!$AV$378),"")</f>
        <v>396.25700000000001</v>
      </c>
      <c r="AW378">
        <f ca="1">IFERROR(IF(0=LEN(ReferenceData!$AW$378),"",ReferenceData!$AW$378),"")</f>
        <v>111.905002</v>
      </c>
      <c r="AX378">
        <f ca="1">IFERROR(IF(0=LEN(ReferenceData!$AX$378),"",ReferenceData!$AX$378),"")</f>
        <v>338.09899999999999</v>
      </c>
      <c r="AY378">
        <f ca="1">IFERROR(IF(0=LEN(ReferenceData!$AY$378),"",ReferenceData!$AY$378),"")</f>
        <v>280.762</v>
      </c>
      <c r="AZ378">
        <f ca="1">IFERROR(IF(0=LEN(ReferenceData!$AZ$378),"",ReferenceData!$AZ$378),"")</f>
        <v>85.822000000000003</v>
      </c>
      <c r="BA378">
        <f ca="1">IFERROR(IF(0=LEN(ReferenceData!$BA$378),"",ReferenceData!$BA$378),"")</f>
        <v>151.766997</v>
      </c>
      <c r="BB378">
        <f ca="1">IFERROR(IF(0=LEN(ReferenceData!$BB$378),"",ReferenceData!$BB$378),"")</f>
        <v>206.78800000000001</v>
      </c>
      <c r="BC378">
        <f ca="1">IFERROR(IF(0=LEN(ReferenceData!$BC$378),"",ReferenceData!$BC$378),"")</f>
        <v>121.942998</v>
      </c>
      <c r="BD378">
        <f ca="1">IFERROR(IF(0=LEN(ReferenceData!$BD$378),"",ReferenceData!$BD$378),"")</f>
        <v>113.39599699999999</v>
      </c>
      <c r="BE378">
        <f ca="1">IFERROR(IF(0=LEN(ReferenceData!$BE$378),"",ReferenceData!$BE$378),"")</f>
        <v>154.41600299999999</v>
      </c>
      <c r="BF378">
        <f ca="1">IFERROR(IF(0=LEN(ReferenceData!$BF$378),"",ReferenceData!$BF$378),"")</f>
        <v>259.07900000000001</v>
      </c>
      <c r="BG378">
        <f ca="1">IFERROR(IF(0=LEN(ReferenceData!$BG$378),"",ReferenceData!$BG$378),"")</f>
        <v>204.977</v>
      </c>
      <c r="BH378" t="str">
        <f ca="1">IFERROR(IF(0=LEN(ReferenceData!$BH$378),"",ReferenceData!$BH$378),"")</f>
        <v/>
      </c>
      <c r="BI378">
        <f ca="1">IFERROR(IF(0=LEN(ReferenceData!$BI$378),"",ReferenceData!$BI$378),"")</f>
        <v>17.302</v>
      </c>
      <c r="BJ378" t="str">
        <f ca="1">IFERROR(IF(0=LEN(ReferenceData!$BJ$378),"",ReferenceData!$BJ$378),"")</f>
        <v/>
      </c>
      <c r="BK378">
        <f ca="1">IFERROR(IF(0=LEN(ReferenceData!$BK$378),"",ReferenceData!$BK$378),"")</f>
        <v>78.406000000000006</v>
      </c>
      <c r="BL378" t="str">
        <f ca="1">IFERROR(IF(0=LEN(ReferenceData!$BL$378),"",ReferenceData!$BL$378),"")</f>
        <v/>
      </c>
      <c r="BM378" t="str">
        <f ca="1">IFERROR(IF(0=LEN(ReferenceData!$BM$378),"",ReferenceData!$BM$378),"")</f>
        <v/>
      </c>
    </row>
    <row r="379" spans="1:65">
      <c r="A379" t="str">
        <f>IFERROR(IF(0=LEN(ReferenceData!$A$379),"",ReferenceData!$A$379),"")</f>
        <v xml:space="preserve">    Realty Income Corp</v>
      </c>
      <c r="B379" t="str">
        <f>IFERROR(IF(0=LEN(ReferenceData!$B$379),"",ReferenceData!$B$379),"")</f>
        <v>O US Equity</v>
      </c>
      <c r="C379" t="str">
        <f>IFERROR(IF(0=LEN(ReferenceData!$C$379),"",ReferenceData!$C$379),"")</f>
        <v/>
      </c>
      <c r="D379" t="str">
        <f>IFERROR(IF(0=LEN(ReferenceData!$D$379),"",ReferenceData!$D$379),"")</f>
        <v/>
      </c>
      <c r="E379" t="str">
        <f>IFERROR(IF(0=LEN(ReferenceData!$E$379),"",ReferenceData!$E$379),"")</f>
        <v>Expression</v>
      </c>
      <c r="F379" t="str">
        <f ca="1">IFERROR(IF(0=LEN(ReferenceData!$F$379),"",ReferenceData!$F$379),"")</f>
        <v/>
      </c>
      <c r="G379">
        <f ca="1">IFERROR(IF(0=LEN(ReferenceData!$G$379),"",ReferenceData!$G$379),"")</f>
        <v>1329.098</v>
      </c>
      <c r="H379">
        <f ca="1">IFERROR(IF(0=LEN(ReferenceData!$H$379),"",ReferenceData!$H$379),"")</f>
        <v>1341.8989999999999</v>
      </c>
      <c r="I379">
        <f ca="1">IFERROR(IF(0=LEN(ReferenceData!$I$379),"",ReferenceData!$I$379),"")</f>
        <v>1147.645</v>
      </c>
      <c r="J379">
        <f ca="1">IFERROR(IF(0=LEN(ReferenceData!$J$379),"",ReferenceData!$J$379),"")</f>
        <v>751.49800000000005</v>
      </c>
      <c r="K379">
        <f ca="1">IFERROR(IF(0=LEN(ReferenceData!$K$379),"",ReferenceData!$K$379),"")</f>
        <v>611.22</v>
      </c>
      <c r="L379">
        <f ca="1">IFERROR(IF(0=LEN(ReferenceData!$L$379),"",ReferenceData!$L$379),"")</f>
        <v>913.50099999999998</v>
      </c>
      <c r="M379">
        <f ca="1">IFERROR(IF(0=LEN(ReferenceData!$M$379),"",ReferenceData!$M$379),"")</f>
        <v>1230.643</v>
      </c>
      <c r="N379">
        <f ca="1">IFERROR(IF(0=LEN(ReferenceData!$N$379),"",ReferenceData!$N$379),"")</f>
        <v>1058.9949999999999</v>
      </c>
      <c r="O379">
        <f ca="1">IFERROR(IF(0=LEN(ReferenceData!$O$379),"",ReferenceData!$O$379),"")</f>
        <v>1355.194</v>
      </c>
      <c r="P379">
        <f ca="1">IFERROR(IF(0=LEN(ReferenceData!$P$379),"",ReferenceData!$P$379),"")</f>
        <v>1415.174</v>
      </c>
      <c r="Q379">
        <f ca="1">IFERROR(IF(0=LEN(ReferenceData!$Q$379),"",ReferenceData!$Q$379),"")</f>
        <v>1398.3409999999999</v>
      </c>
      <c r="R379">
        <f ca="1">IFERROR(IF(0=LEN(ReferenceData!$R$379),"",ReferenceData!$R$379),"")</f>
        <v>923.79</v>
      </c>
      <c r="S379">
        <f ca="1">IFERROR(IF(0=LEN(ReferenceData!$S$379),"",ReferenceData!$S$379),"")</f>
        <v>1164.002</v>
      </c>
      <c r="T379">
        <f ca="1">IFERROR(IF(0=LEN(ReferenceData!$T$379),"",ReferenceData!$T$379),"")</f>
        <v>1469.336</v>
      </c>
      <c r="U379">
        <f ca="1">IFERROR(IF(0=LEN(ReferenceData!$U$379),"",ReferenceData!$U$379),"")</f>
        <v>1381.508</v>
      </c>
      <c r="V379">
        <f ca="1">IFERROR(IF(0=LEN(ReferenceData!$V$379),"",ReferenceData!$V$379),"")</f>
        <v>725.94200000000001</v>
      </c>
      <c r="W379">
        <f ca="1">IFERROR(IF(0=LEN(ReferenceData!$W$379),"",ReferenceData!$W$379),"")</f>
        <v>1382.2570000000001</v>
      </c>
      <c r="X379">
        <f ca="1">IFERROR(IF(0=LEN(ReferenceData!$X$379),"",ReferenceData!$X$379),"")</f>
        <v>530.86</v>
      </c>
      <c r="Y379">
        <f ca="1">IFERROR(IF(0=LEN(ReferenceData!$Y$379),"",ReferenceData!$Y$379),"")</f>
        <v>321.57499999999999</v>
      </c>
      <c r="Z379">
        <f ca="1">IFERROR(IF(0=LEN(ReferenceData!$Z$379),"",ReferenceData!$Z$379),"")</f>
        <v>862.75900000000001</v>
      </c>
      <c r="AA379">
        <f ca="1">IFERROR(IF(0=LEN(ReferenceData!$AA$379),"",ReferenceData!$AA$379),"")</f>
        <v>747.24800000000005</v>
      </c>
      <c r="AB379">
        <f ca="1">IFERROR(IF(0=LEN(ReferenceData!$AB$379),"",ReferenceData!$AB$379),"")</f>
        <v>393.29399999999998</v>
      </c>
      <c r="AC379">
        <f ca="1">IFERROR(IF(0=LEN(ReferenceData!$AC$379),"",ReferenceData!$AC$379),"")</f>
        <v>822.46400000000006</v>
      </c>
      <c r="AD379">
        <f ca="1">IFERROR(IF(0=LEN(ReferenceData!$AD$379),"",ReferenceData!$AD$379),"")</f>
        <v>47.793999999999997</v>
      </c>
      <c r="AE379">
        <f ca="1">IFERROR(IF(0=LEN(ReferenceData!$AE$379),"",ReferenceData!$AE$379),"")</f>
        <v>417.86500000000001</v>
      </c>
      <c r="AF379">
        <f ca="1">IFERROR(IF(0=LEN(ReferenceData!$AF$379),"",ReferenceData!$AF$379),"")</f>
        <v>333.74299999999999</v>
      </c>
      <c r="AG379">
        <f ca="1">IFERROR(IF(0=LEN(ReferenceData!$AG$379),"",ReferenceData!$AG$379),"")</f>
        <v>580.67100000000005</v>
      </c>
      <c r="AH379">
        <f ca="1">IFERROR(IF(0=LEN(ReferenceData!$AH$379),"",ReferenceData!$AH$379),"")</f>
        <v>554.70699999999999</v>
      </c>
      <c r="AI379">
        <f ca="1">IFERROR(IF(0=LEN(ReferenceData!$AI$379),"",ReferenceData!$AI$379),"")</f>
        <v>442.60700000000003</v>
      </c>
      <c r="AJ379">
        <f ca="1">IFERROR(IF(0=LEN(ReferenceData!$AJ$379),"",ReferenceData!$AJ$379),"")</f>
        <v>510.58199999999999</v>
      </c>
      <c r="AK379">
        <f ca="1">IFERROR(IF(0=LEN(ReferenceData!$AK$379),"",ReferenceData!$AK$379),"")</f>
        <v>355.87200000000001</v>
      </c>
      <c r="AL379">
        <f ca="1">IFERROR(IF(0=LEN(ReferenceData!$AL$379),"",ReferenceData!$AL$379),"")</f>
        <v>355.84899999999999</v>
      </c>
      <c r="AM379">
        <f ca="1">IFERROR(IF(0=LEN(ReferenceData!$AM$379),"",ReferenceData!$AM$379),"")</f>
        <v>278.02600000000001</v>
      </c>
      <c r="AN379">
        <f ca="1">IFERROR(IF(0=LEN(ReferenceData!$AN$379),"",ReferenceData!$AN$379),"")</f>
        <v>375.04199999999997</v>
      </c>
      <c r="AO379">
        <f ca="1">IFERROR(IF(0=LEN(ReferenceData!$AO$379),"",ReferenceData!$AO$379),"")</f>
        <v>390.82299999999998</v>
      </c>
      <c r="AP379">
        <f ca="1">IFERROR(IF(0=LEN(ReferenceData!$AP$379),"",ReferenceData!$AP$379),"")</f>
        <v>10.438000000000001</v>
      </c>
      <c r="AQ379" t="str">
        <f ca="1">IFERROR(IF(0=LEN(ReferenceData!$AQ$379),"",ReferenceData!$AQ$379),"")</f>
        <v/>
      </c>
      <c r="AR379" t="str">
        <f ca="1">IFERROR(IF(0=LEN(ReferenceData!$AR$379),"",ReferenceData!$AR$379),"")</f>
        <v/>
      </c>
      <c r="AS379" t="str">
        <f ca="1">IFERROR(IF(0=LEN(ReferenceData!$AS$379),"",ReferenceData!$AS$379),"")</f>
        <v/>
      </c>
      <c r="AT379" t="str">
        <f ca="1">IFERROR(IF(0=LEN(ReferenceData!$AT$379),"",ReferenceData!$AT$379),"")</f>
        <v/>
      </c>
      <c r="AU379">
        <f ca="1">IFERROR(IF(0=LEN(ReferenceData!$AU$379),"",ReferenceData!$AU$379),"")</f>
        <v>393.101</v>
      </c>
      <c r="AV379" t="str">
        <f ca="1">IFERROR(IF(0=LEN(ReferenceData!$AV$379),"",ReferenceData!$AV$379),"")</f>
        <v/>
      </c>
      <c r="AW379" t="str">
        <f ca="1">IFERROR(IF(0=LEN(ReferenceData!$AW$379),"",ReferenceData!$AW$379),"")</f>
        <v/>
      </c>
      <c r="AX379">
        <f ca="1">IFERROR(IF(0=LEN(ReferenceData!$AX$379),"",ReferenceData!$AX$379),"")</f>
        <v>241.69900000000001</v>
      </c>
      <c r="AY379">
        <f ca="1">IFERROR(IF(0=LEN(ReferenceData!$AY$379),"",ReferenceData!$AY$379),"")</f>
        <v>238.273</v>
      </c>
      <c r="AZ379">
        <f ca="1">IFERROR(IF(0=LEN(ReferenceData!$AZ$379),"",ReferenceData!$AZ$379),"")</f>
        <v>265.274</v>
      </c>
      <c r="BA379" t="str">
        <f ca="1">IFERROR(IF(0=LEN(ReferenceData!$BA$379),"",ReferenceData!$BA$379),"")</f>
        <v/>
      </c>
      <c r="BB379">
        <f ca="1">IFERROR(IF(0=LEN(ReferenceData!$BB$379),"",ReferenceData!$BB$379),"")</f>
        <v>188.107</v>
      </c>
      <c r="BC379">
        <f ca="1">IFERROR(IF(0=LEN(ReferenceData!$BC$379),"",ReferenceData!$BC$379),"")</f>
        <v>156.70400000000001</v>
      </c>
      <c r="BD379" t="str">
        <f ca="1">IFERROR(IF(0=LEN(ReferenceData!$BD$379),"",ReferenceData!$BD$379),"")</f>
        <v/>
      </c>
      <c r="BE379" t="str">
        <f ca="1">IFERROR(IF(0=LEN(ReferenceData!$BE$379),"",ReferenceData!$BE$379),"")</f>
        <v/>
      </c>
      <c r="BF379" t="str">
        <f ca="1">IFERROR(IF(0=LEN(ReferenceData!$BF$379),"",ReferenceData!$BF$379),"")</f>
        <v/>
      </c>
      <c r="BG379" t="str">
        <f ca="1">IFERROR(IF(0=LEN(ReferenceData!$BG$379),"",ReferenceData!$BG$379),"")</f>
        <v/>
      </c>
      <c r="BH379">
        <f ca="1">IFERROR(IF(0=LEN(ReferenceData!$BH$379),"",ReferenceData!$BH$379),"")</f>
        <v>163.58300600000001</v>
      </c>
      <c r="BI379">
        <f ca="1">IFERROR(IF(0=LEN(ReferenceData!$BI$379),"",ReferenceData!$BI$379),"")</f>
        <v>238.14000300000001</v>
      </c>
      <c r="BJ379" t="str">
        <f ca="1">IFERROR(IF(0=LEN(ReferenceData!$BJ$379),"",ReferenceData!$BJ$379),"")</f>
        <v/>
      </c>
      <c r="BK379" t="str">
        <f ca="1">IFERROR(IF(0=LEN(ReferenceData!$BK$379),"",ReferenceData!$BK$379),"")</f>
        <v/>
      </c>
      <c r="BL379" t="str">
        <f ca="1">IFERROR(IF(0=LEN(ReferenceData!$BL$379),"",ReferenceData!$BL$379),"")</f>
        <v/>
      </c>
      <c r="BM379" t="str">
        <f ca="1">IFERROR(IF(0=LEN(ReferenceData!$BM$379),"",ReferenceData!$BM$379),"")</f>
        <v/>
      </c>
    </row>
    <row r="380" spans="1:65">
      <c r="A380" t="str">
        <f>IFERROR(IF(0=LEN(ReferenceData!$A$380),"",ReferenceData!$A$380),"")</f>
        <v xml:space="preserve">    Regency Centers Corp</v>
      </c>
      <c r="B380" t="str">
        <f>IFERROR(IF(0=LEN(ReferenceData!$B$380),"",ReferenceData!$B$380),"")</f>
        <v>REG US Equity</v>
      </c>
      <c r="C380" t="str">
        <f>IFERROR(IF(0=LEN(ReferenceData!$C$380),"",ReferenceData!$C$380),"")</f>
        <v/>
      </c>
      <c r="D380" t="str">
        <f>IFERROR(IF(0=LEN(ReferenceData!$D$380),"",ReferenceData!$D$380),"")</f>
        <v/>
      </c>
      <c r="E380" t="str">
        <f>IFERROR(IF(0=LEN(ReferenceData!$E$380),"",ReferenceData!$E$380),"")</f>
        <v>Expression</v>
      </c>
      <c r="F380" t="str">
        <f ca="1">IFERROR(IF(0=LEN(ReferenceData!$F$380),"",ReferenceData!$F$380),"")</f>
        <v/>
      </c>
      <c r="G380">
        <f ca="1">IFERROR(IF(0=LEN(ReferenceData!$G$380),"",ReferenceData!$G$380),"")</f>
        <v>853.10299999999995</v>
      </c>
      <c r="H380">
        <f ca="1">IFERROR(IF(0=LEN(ReferenceData!$H$380),"",ReferenceData!$H$380),"")</f>
        <v>1005.835</v>
      </c>
      <c r="I380">
        <f ca="1">IFERROR(IF(0=LEN(ReferenceData!$I$380),"",ReferenceData!$I$380),"")</f>
        <v>1091.894</v>
      </c>
      <c r="J380">
        <f ca="1">IFERROR(IF(0=LEN(ReferenceData!$J$380),"",ReferenceData!$J$380),"")</f>
        <v>857.52</v>
      </c>
      <c r="K380">
        <f ca="1">IFERROR(IF(0=LEN(ReferenceData!$K$380),"",ReferenceData!$K$380),"")</f>
        <v>700.83799999999997</v>
      </c>
      <c r="L380">
        <f ca="1">IFERROR(IF(0=LEN(ReferenceData!$L$380),"",ReferenceData!$L$380),"")</f>
        <v>839.47400000000005</v>
      </c>
      <c r="M380">
        <f ca="1">IFERROR(IF(0=LEN(ReferenceData!$M$380),"",ReferenceData!$M$380),"")</f>
        <v>676.976</v>
      </c>
      <c r="N380">
        <f ca="1">IFERROR(IF(0=LEN(ReferenceData!$N$380),"",ReferenceData!$N$380),"")</f>
        <v>808.38099999999997</v>
      </c>
      <c r="O380" t="str">
        <f ca="1">IFERROR(IF(0=LEN(ReferenceData!$O$380),"",ReferenceData!$O$380),"")</f>
        <v/>
      </c>
      <c r="P380">
        <f ca="1">IFERROR(IF(0=LEN(ReferenceData!$P$380),"",ReferenceData!$P$380),"")</f>
        <v>771.75300000000004</v>
      </c>
      <c r="Q380">
        <f ca="1">IFERROR(IF(0=LEN(ReferenceData!$Q$380),"",ReferenceData!$Q$380),"")</f>
        <v>422.89800000000002</v>
      </c>
      <c r="R380">
        <f ca="1">IFERROR(IF(0=LEN(ReferenceData!$R$380),"",ReferenceData!$R$380),"")</f>
        <v>431.37400000000002</v>
      </c>
      <c r="S380">
        <f ca="1">IFERROR(IF(0=LEN(ReferenceData!$S$380),"",ReferenceData!$S$380),"")</f>
        <v>475.39299999999997</v>
      </c>
      <c r="T380">
        <f ca="1">IFERROR(IF(0=LEN(ReferenceData!$T$380),"",ReferenceData!$T$380),"")</f>
        <v>898.73800000000006</v>
      </c>
      <c r="U380">
        <f ca="1">IFERROR(IF(0=LEN(ReferenceData!$U$380),"",ReferenceData!$U$380),"")</f>
        <v>813.91</v>
      </c>
      <c r="V380">
        <f ca="1">IFERROR(IF(0=LEN(ReferenceData!$V$380),"",ReferenceData!$V$380),"")</f>
        <v>644.58000000000004</v>
      </c>
      <c r="W380">
        <f ca="1">IFERROR(IF(0=LEN(ReferenceData!$W$380),"",ReferenceData!$W$380),"")</f>
        <v>688.75199999999995</v>
      </c>
      <c r="X380">
        <f ca="1">IFERROR(IF(0=LEN(ReferenceData!$X$380),"",ReferenceData!$X$380),"")</f>
        <v>841.38300000000004</v>
      </c>
      <c r="Y380">
        <f ca="1">IFERROR(IF(0=LEN(ReferenceData!$Y$380),"",ReferenceData!$Y$380),"")</f>
        <v>810.96600000000001</v>
      </c>
      <c r="Z380">
        <f ca="1">IFERROR(IF(0=LEN(ReferenceData!$Z$380),"",ReferenceData!$Z$380),"")</f>
        <v>735.89400000000001</v>
      </c>
      <c r="AA380">
        <f ca="1">IFERROR(IF(0=LEN(ReferenceData!$AA$380),"",ReferenceData!$AA$380),"")</f>
        <v>728.15800000000002</v>
      </c>
      <c r="AB380">
        <f ca="1">IFERROR(IF(0=LEN(ReferenceData!$AB$380),"",ReferenceData!$AB$380),"")</f>
        <v>754.32799999999997</v>
      </c>
      <c r="AC380">
        <f ca="1">IFERROR(IF(0=LEN(ReferenceData!$AC$380),"",ReferenceData!$AC$380),"")</f>
        <v>504.14699999999999</v>
      </c>
      <c r="AD380">
        <f ca="1">IFERROR(IF(0=LEN(ReferenceData!$AD$380),"",ReferenceData!$AD$380),"")</f>
        <v>496.80900000000003</v>
      </c>
      <c r="AE380">
        <f ca="1">IFERROR(IF(0=LEN(ReferenceData!$AE$380),"",ReferenceData!$AE$380),"")</f>
        <v>485.827</v>
      </c>
      <c r="AF380">
        <f ca="1">IFERROR(IF(0=LEN(ReferenceData!$AF$380),"",ReferenceData!$AF$380),"")</f>
        <v>628.23800000000006</v>
      </c>
      <c r="AG380">
        <f ca="1">IFERROR(IF(0=LEN(ReferenceData!$AG$380),"",ReferenceData!$AG$380),"")</f>
        <v>670.53300000000002</v>
      </c>
      <c r="AH380">
        <f ca="1">IFERROR(IF(0=LEN(ReferenceData!$AH$380),"",ReferenceData!$AH$380),"")</f>
        <v>633.51599999999996</v>
      </c>
      <c r="AI380">
        <f ca="1">IFERROR(IF(0=LEN(ReferenceData!$AI$380),"",ReferenceData!$AI$380),"")</f>
        <v>526.548</v>
      </c>
      <c r="AJ380">
        <f ca="1">IFERROR(IF(0=LEN(ReferenceData!$AJ$380),"",ReferenceData!$AJ$380),"")</f>
        <v>623.89800000000002</v>
      </c>
      <c r="AK380">
        <f ca="1">IFERROR(IF(0=LEN(ReferenceData!$AK$380),"",ReferenceData!$AK$380),"")</f>
        <v>669.851</v>
      </c>
      <c r="AL380">
        <f ca="1">IFERROR(IF(0=LEN(ReferenceData!$AL$380),"",ReferenceData!$AL$380),"")</f>
        <v>660.61599999999999</v>
      </c>
      <c r="AM380">
        <f ca="1">IFERROR(IF(0=LEN(ReferenceData!$AM$380),"",ReferenceData!$AM$380),"")</f>
        <v>639.30700000000002</v>
      </c>
      <c r="AN380">
        <f ca="1">IFERROR(IF(0=LEN(ReferenceData!$AN$380),"",ReferenceData!$AN$380),"")</f>
        <v>653.53200000000004</v>
      </c>
      <c r="AO380">
        <f ca="1">IFERROR(IF(0=LEN(ReferenceData!$AO$380),"",ReferenceData!$AO$380),"")</f>
        <v>605.21600000000001</v>
      </c>
      <c r="AP380">
        <f ca="1">IFERROR(IF(0=LEN(ReferenceData!$AP$380),"",ReferenceData!$AP$380),"")</f>
        <v>311.80099999999999</v>
      </c>
      <c r="AQ380">
        <f ca="1">IFERROR(IF(0=LEN(ReferenceData!$AQ$380),"",ReferenceData!$AQ$380),"")</f>
        <v>374.75700000000001</v>
      </c>
      <c r="AR380">
        <f ca="1">IFERROR(IF(0=LEN(ReferenceData!$AR$380),"",ReferenceData!$AR$380),"")</f>
        <v>554.53499999999997</v>
      </c>
      <c r="AS380">
        <f ca="1">IFERROR(IF(0=LEN(ReferenceData!$AS$380),"",ReferenceData!$AS$380),"")</f>
        <v>285.22500000000002</v>
      </c>
      <c r="AT380">
        <f ca="1">IFERROR(IF(0=LEN(ReferenceData!$AT$380),"",ReferenceData!$AT$380),"")</f>
        <v>523.63900000000001</v>
      </c>
      <c r="AU380">
        <f ca="1">IFERROR(IF(0=LEN(ReferenceData!$AU$380),"",ReferenceData!$AU$380),"")</f>
        <v>386.99599999999998</v>
      </c>
      <c r="AV380">
        <f ca="1">IFERROR(IF(0=LEN(ReferenceData!$AV$380),"",ReferenceData!$AV$380),"")</f>
        <v>266.10000000000002</v>
      </c>
      <c r="AW380">
        <f ca="1">IFERROR(IF(0=LEN(ReferenceData!$AW$380),"",ReferenceData!$AW$380),"")</f>
        <v>616.79700000000003</v>
      </c>
      <c r="AX380">
        <f ca="1">IFERROR(IF(0=LEN(ReferenceData!$AX$380),"",ReferenceData!$AX$380),"")</f>
        <v>548.875</v>
      </c>
      <c r="AY380">
        <f ca="1">IFERROR(IF(0=LEN(ReferenceData!$AY$380),"",ReferenceData!$AY$380),"")</f>
        <v>196.40700000000001</v>
      </c>
      <c r="AZ380">
        <f ca="1">IFERROR(IF(0=LEN(ReferenceData!$AZ$380),"",ReferenceData!$AZ$380),"")</f>
        <v>274.77499999999998</v>
      </c>
      <c r="BA380">
        <f ca="1">IFERROR(IF(0=LEN(ReferenceData!$BA$380),"",ReferenceData!$BA$380),"")</f>
        <v>322.45100000000002</v>
      </c>
      <c r="BB380">
        <f ca="1">IFERROR(IF(0=LEN(ReferenceData!$BB$380),"",ReferenceData!$BB$380),"")</f>
        <v>362.82400000000001</v>
      </c>
      <c r="BC380" t="str">
        <f ca="1">IFERROR(IF(0=LEN(ReferenceData!$BC$380),"",ReferenceData!$BC$380),"")</f>
        <v/>
      </c>
      <c r="BD380">
        <f ca="1">IFERROR(IF(0=LEN(ReferenceData!$BD$380),"",ReferenceData!$BD$380),"")</f>
        <v>529.226</v>
      </c>
      <c r="BE380">
        <f ca="1">IFERROR(IF(0=LEN(ReferenceData!$BE$380),"",ReferenceData!$BE$380),"")</f>
        <v>368.96499999999997</v>
      </c>
      <c r="BF380" t="str">
        <f ca="1">IFERROR(IF(0=LEN(ReferenceData!$BF$380),"",ReferenceData!$BF$380),"")</f>
        <v/>
      </c>
      <c r="BG380" t="str">
        <f ca="1">IFERROR(IF(0=LEN(ReferenceData!$BG$380),"",ReferenceData!$BG$380),"")</f>
        <v/>
      </c>
      <c r="BH380" t="str">
        <f ca="1">IFERROR(IF(0=LEN(ReferenceData!$BH$380),"",ReferenceData!$BH$380),"")</f>
        <v/>
      </c>
      <c r="BI380" t="str">
        <f ca="1">IFERROR(IF(0=LEN(ReferenceData!$BI$380),"",ReferenceData!$BI$380),"")</f>
        <v/>
      </c>
      <c r="BJ380" t="str">
        <f ca="1">IFERROR(IF(0=LEN(ReferenceData!$BJ$380),"",ReferenceData!$BJ$380),"")</f>
        <v/>
      </c>
      <c r="BK380" t="str">
        <f ca="1">IFERROR(IF(0=LEN(ReferenceData!$BK$380),"",ReferenceData!$BK$380),"")</f>
        <v/>
      </c>
      <c r="BL380" t="str">
        <f ca="1">IFERROR(IF(0=LEN(ReferenceData!$BL$380),"",ReferenceData!$BL$380),"")</f>
        <v/>
      </c>
      <c r="BM380" t="str">
        <f ca="1">IFERROR(IF(0=LEN(ReferenceData!$BM$380),"",ReferenceData!$BM$380),"")</f>
        <v/>
      </c>
    </row>
    <row r="381" spans="1:65">
      <c r="A381" t="str">
        <f>IFERROR(IF(0=LEN(ReferenceData!$A$381),"",ReferenceData!$A$381),"")</f>
        <v xml:space="preserve">    Retail Opportunity Investments</v>
      </c>
      <c r="B381" t="str">
        <f>IFERROR(IF(0=LEN(ReferenceData!$B$381),"",ReferenceData!$B$381),"")</f>
        <v>ROIC US Equity</v>
      </c>
      <c r="C381" t="str">
        <f>IFERROR(IF(0=LEN(ReferenceData!$C$381),"",ReferenceData!$C$381),"")</f>
        <v/>
      </c>
      <c r="D381" t="str">
        <f>IFERROR(IF(0=LEN(ReferenceData!$D$381),"",ReferenceData!$D$381),"")</f>
        <v/>
      </c>
      <c r="E381" t="str">
        <f>IFERROR(IF(0=LEN(ReferenceData!$E$381),"",ReferenceData!$E$381),"")</f>
        <v>Expression</v>
      </c>
      <c r="F381" t="str">
        <f ca="1">IFERROR(IF(0=LEN(ReferenceData!$F$381),"",ReferenceData!$F$381),"")</f>
        <v/>
      </c>
      <c r="G381">
        <f ca="1">IFERROR(IF(0=LEN(ReferenceData!$G$381),"",ReferenceData!$G$381),"")</f>
        <v>448.44099999999997</v>
      </c>
      <c r="H381">
        <f ca="1">IFERROR(IF(0=LEN(ReferenceData!$H$381),"",ReferenceData!$H$381),"")</f>
        <v>292.92599999999999</v>
      </c>
      <c r="I381">
        <f ca="1">IFERROR(IF(0=LEN(ReferenceData!$I$381),"",ReferenceData!$I$381),"")</f>
        <v>230.11799999999999</v>
      </c>
      <c r="J381">
        <f ca="1">IFERROR(IF(0=LEN(ReferenceData!$J$381),"",ReferenceData!$J$381),"")</f>
        <v>323.83100000000002</v>
      </c>
      <c r="K381">
        <f ca="1">IFERROR(IF(0=LEN(ReferenceData!$K$381),"",ReferenceData!$K$381),"")</f>
        <v>405.745</v>
      </c>
      <c r="L381">
        <f ca="1">IFERROR(IF(0=LEN(ReferenceData!$L$381),"",ReferenceData!$L$381),"")</f>
        <v>502.25900000000001</v>
      </c>
      <c r="M381">
        <f ca="1">IFERROR(IF(0=LEN(ReferenceData!$M$381),"",ReferenceData!$M$381),"")</f>
        <v>183.66499999999999</v>
      </c>
      <c r="N381">
        <f ca="1">IFERROR(IF(0=LEN(ReferenceData!$N$381),"",ReferenceData!$N$381),"")</f>
        <v>337.79899999999998</v>
      </c>
      <c r="O381" t="str">
        <f ca="1">IFERROR(IF(0=LEN(ReferenceData!$O$381),"",ReferenceData!$O$381),"")</f>
        <v/>
      </c>
      <c r="P381">
        <f ca="1">IFERROR(IF(0=LEN(ReferenceData!$P$381),"",ReferenceData!$P$381),"")</f>
        <v>490.625</v>
      </c>
      <c r="Q381">
        <f ca="1">IFERROR(IF(0=LEN(ReferenceData!$Q$381),"",ReferenceData!$Q$381),"")</f>
        <v>173.142</v>
      </c>
      <c r="R381">
        <f ca="1">IFERROR(IF(0=LEN(ReferenceData!$R$381),"",ReferenceData!$R$381),"")</f>
        <v>208.31399999999999</v>
      </c>
      <c r="S381">
        <f ca="1">IFERROR(IF(0=LEN(ReferenceData!$S$381),"",ReferenceData!$S$381),"")</f>
        <v>287.19254799999999</v>
      </c>
      <c r="T381">
        <f ca="1">IFERROR(IF(0=LEN(ReferenceData!$T$381),"",ReferenceData!$T$381),"")</f>
        <v>237.22103000000001</v>
      </c>
      <c r="U381">
        <f ca="1">IFERROR(IF(0=LEN(ReferenceData!$U$381),"",ReferenceData!$U$381),"")</f>
        <v>228.72794500000001</v>
      </c>
      <c r="V381">
        <f ca="1">IFERROR(IF(0=LEN(ReferenceData!$V$381),"",ReferenceData!$V$381),"")</f>
        <v>230.86247900000001</v>
      </c>
      <c r="W381">
        <f ca="1">IFERROR(IF(0=LEN(ReferenceData!$W$381),"",ReferenceData!$W$381),"")</f>
        <v>288.278434</v>
      </c>
      <c r="X381">
        <f ca="1">IFERROR(IF(0=LEN(ReferenceData!$X$381),"",ReferenceData!$X$381),"")</f>
        <v>182.71576200000001</v>
      </c>
      <c r="Y381">
        <f ca="1">IFERROR(IF(0=LEN(ReferenceData!$Y$381),"",ReferenceData!$Y$381),"")</f>
        <v>100.574378</v>
      </c>
      <c r="Z381">
        <f ca="1">IFERROR(IF(0=LEN(ReferenceData!$Z$381),"",ReferenceData!$Z$381),"")</f>
        <v>187.82681199999999</v>
      </c>
      <c r="AA381">
        <f ca="1">IFERROR(IF(0=LEN(ReferenceData!$AA$381),"",ReferenceData!$AA$381),"")</f>
        <v>82.920516000000006</v>
      </c>
      <c r="AB381">
        <f ca="1">IFERROR(IF(0=LEN(ReferenceData!$AB$381),"",ReferenceData!$AB$381),"")</f>
        <v>223.28300899999999</v>
      </c>
      <c r="AC381">
        <f ca="1">IFERROR(IF(0=LEN(ReferenceData!$AC$381),"",ReferenceData!$AC$381),"")</f>
        <v>121.154</v>
      </c>
      <c r="AD381">
        <f ca="1">IFERROR(IF(0=LEN(ReferenceData!$AD$381),"",ReferenceData!$AD$381),"")</f>
        <v>168.159076</v>
      </c>
      <c r="AE381">
        <f ca="1">IFERROR(IF(0=LEN(ReferenceData!$AE$381),"",ReferenceData!$AE$381),"")</f>
        <v>201.605031</v>
      </c>
      <c r="AF381">
        <f ca="1">IFERROR(IF(0=LEN(ReferenceData!$AF$381),"",ReferenceData!$AF$381),"")</f>
        <v>152.882711</v>
      </c>
      <c r="AG381">
        <f ca="1">IFERROR(IF(0=LEN(ReferenceData!$AG$381),"",ReferenceData!$AG$381),"")</f>
        <v>153.582427</v>
      </c>
      <c r="AH381">
        <f ca="1">IFERROR(IF(0=LEN(ReferenceData!$AH$381),"",ReferenceData!$AH$381),"")</f>
        <v>161.83760599999999</v>
      </c>
      <c r="AI381">
        <f ca="1">IFERROR(IF(0=LEN(ReferenceData!$AI$381),"",ReferenceData!$AI$381),"")</f>
        <v>247.63342399999999</v>
      </c>
      <c r="AJ381" t="str">
        <f ca="1">IFERROR(IF(0=LEN(ReferenceData!$AJ$381),"",ReferenceData!$AJ$381),"")</f>
        <v/>
      </c>
      <c r="AK381" t="str">
        <f ca="1">IFERROR(IF(0=LEN(ReferenceData!$AK$381),"",ReferenceData!$AK$381),"")</f>
        <v/>
      </c>
      <c r="AL381" t="str">
        <f ca="1">IFERROR(IF(0=LEN(ReferenceData!$AL$381),"",ReferenceData!$AL$381),"")</f>
        <v/>
      </c>
      <c r="AM381" t="str">
        <f ca="1">IFERROR(IF(0=LEN(ReferenceData!$AM$381),"",ReferenceData!$AM$381),"")</f>
        <v/>
      </c>
      <c r="AN381" t="str">
        <f ca="1">IFERROR(IF(0=LEN(ReferenceData!$AN$381),"",ReferenceData!$AN$381),"")</f>
        <v/>
      </c>
      <c r="AO381" t="str">
        <f ca="1">IFERROR(IF(0=LEN(ReferenceData!$AO$381),"",ReferenceData!$AO$381),"")</f>
        <v/>
      </c>
      <c r="AP381" t="str">
        <f ca="1">IFERROR(IF(0=LEN(ReferenceData!$AP$381),"",ReferenceData!$AP$381),"")</f>
        <v/>
      </c>
      <c r="AQ381" t="str">
        <f ca="1">IFERROR(IF(0=LEN(ReferenceData!$AQ$381),"",ReferenceData!$AQ$381),"")</f>
        <v/>
      </c>
      <c r="AR381" t="str">
        <f ca="1">IFERROR(IF(0=LEN(ReferenceData!$AR$381),"",ReferenceData!$AR$381),"")</f>
        <v/>
      </c>
      <c r="AS381" t="str">
        <f ca="1">IFERROR(IF(0=LEN(ReferenceData!$AS$381),"",ReferenceData!$AS$381),"")</f>
        <v/>
      </c>
      <c r="AT381" t="str">
        <f ca="1">IFERROR(IF(0=LEN(ReferenceData!$AT$381),"",ReferenceData!$AT$381),"")</f>
        <v/>
      </c>
      <c r="AU381" t="str">
        <f ca="1">IFERROR(IF(0=LEN(ReferenceData!$AU$381),"",ReferenceData!$AU$381),"")</f>
        <v/>
      </c>
      <c r="AV381" t="str">
        <f ca="1">IFERROR(IF(0=LEN(ReferenceData!$AV$381),"",ReferenceData!$AV$381),"")</f>
        <v/>
      </c>
      <c r="AW381" t="str">
        <f ca="1">IFERROR(IF(0=LEN(ReferenceData!$AW$381),"",ReferenceData!$AW$381),"")</f>
        <v/>
      </c>
      <c r="AX381" t="str">
        <f ca="1">IFERROR(IF(0=LEN(ReferenceData!$AX$381),"",ReferenceData!$AX$381),"")</f>
        <v/>
      </c>
      <c r="AY381" t="str">
        <f ca="1">IFERROR(IF(0=LEN(ReferenceData!$AY$381),"",ReferenceData!$AY$381),"")</f>
        <v/>
      </c>
      <c r="AZ381" t="str">
        <f ca="1">IFERROR(IF(0=LEN(ReferenceData!$AZ$381),"",ReferenceData!$AZ$381),"")</f>
        <v/>
      </c>
      <c r="BA381" t="str">
        <f ca="1">IFERROR(IF(0=LEN(ReferenceData!$BA$381),"",ReferenceData!$BA$381),"")</f>
        <v/>
      </c>
      <c r="BB381" t="str">
        <f ca="1">IFERROR(IF(0=LEN(ReferenceData!$BB$381),"",ReferenceData!$BB$381),"")</f>
        <v/>
      </c>
      <c r="BC381" t="str">
        <f ca="1">IFERROR(IF(0=LEN(ReferenceData!$BC$381),"",ReferenceData!$BC$381),"")</f>
        <v/>
      </c>
      <c r="BD381" t="str">
        <f ca="1">IFERROR(IF(0=LEN(ReferenceData!$BD$381),"",ReferenceData!$BD$381),"")</f>
        <v/>
      </c>
      <c r="BE381" t="str">
        <f ca="1">IFERROR(IF(0=LEN(ReferenceData!$BE$381),"",ReferenceData!$BE$381),"")</f>
        <v/>
      </c>
      <c r="BF381" t="str">
        <f ca="1">IFERROR(IF(0=LEN(ReferenceData!$BF$381),"",ReferenceData!$BF$381),"")</f>
        <v/>
      </c>
      <c r="BG381" t="str">
        <f ca="1">IFERROR(IF(0=LEN(ReferenceData!$BG$381),"",ReferenceData!$BG$381),"")</f>
        <v/>
      </c>
      <c r="BH381" t="str">
        <f ca="1">IFERROR(IF(0=LEN(ReferenceData!$BH$381),"",ReferenceData!$BH$381),"")</f>
        <v/>
      </c>
      <c r="BI381" t="str">
        <f ca="1">IFERROR(IF(0=LEN(ReferenceData!$BI$381),"",ReferenceData!$BI$381),"")</f>
        <v/>
      </c>
      <c r="BJ381" t="str">
        <f ca="1">IFERROR(IF(0=LEN(ReferenceData!$BJ$381),"",ReferenceData!$BJ$381),"")</f>
        <v/>
      </c>
      <c r="BK381" t="str">
        <f ca="1">IFERROR(IF(0=LEN(ReferenceData!$BK$381),"",ReferenceData!$BK$381),"")</f>
        <v/>
      </c>
      <c r="BL381" t="str">
        <f ca="1">IFERROR(IF(0=LEN(ReferenceData!$BL$381),"",ReferenceData!$BL$381),"")</f>
        <v/>
      </c>
      <c r="BM381" t="str">
        <f ca="1">IFERROR(IF(0=LEN(ReferenceData!$BM$381),"",ReferenceData!$BM$381),"")</f>
        <v/>
      </c>
    </row>
    <row r="382" spans="1:65">
      <c r="A382" t="str">
        <f>IFERROR(IF(0=LEN(ReferenceData!$A$382),"",ReferenceData!$A$382),"")</f>
        <v xml:space="preserve">    Retail Properties of America I</v>
      </c>
      <c r="B382" t="str">
        <f>IFERROR(IF(0=LEN(ReferenceData!$B$382),"",ReferenceData!$B$382),"")</f>
        <v>RPAI US Equity</v>
      </c>
      <c r="C382" t="str">
        <f>IFERROR(IF(0=LEN(ReferenceData!$C$382),"",ReferenceData!$C$382),"")</f>
        <v/>
      </c>
      <c r="D382" t="str">
        <f>IFERROR(IF(0=LEN(ReferenceData!$D$382),"",ReferenceData!$D$382),"")</f>
        <v/>
      </c>
      <c r="E382" t="str">
        <f>IFERROR(IF(0=LEN(ReferenceData!$E$382),"",ReferenceData!$E$382),"")</f>
        <v>Expression</v>
      </c>
      <c r="F382" t="str">
        <f ca="1">IFERROR(IF(0=LEN(ReferenceData!$F$382),"",ReferenceData!$F$382),"")</f>
        <v/>
      </c>
      <c r="G382">
        <f ca="1">IFERROR(IF(0=LEN(ReferenceData!$G$382),"",ReferenceData!$G$382),"")</f>
        <v>271.01900000000001</v>
      </c>
      <c r="H382">
        <f ca="1">IFERROR(IF(0=LEN(ReferenceData!$H$382),"",ReferenceData!$H$382),"")</f>
        <v>582.00400000000002</v>
      </c>
      <c r="I382">
        <f ca="1">IFERROR(IF(0=LEN(ReferenceData!$I$382),"",ReferenceData!$I$382),"")</f>
        <v>555.68700000000001</v>
      </c>
      <c r="J382">
        <f ca="1">IFERROR(IF(0=LEN(ReferenceData!$J$382),"",ReferenceData!$J$382),"")</f>
        <v>461.94900000000001</v>
      </c>
      <c r="K382">
        <f ca="1">IFERROR(IF(0=LEN(ReferenceData!$K$382),"",ReferenceData!$K$382),"")</f>
        <v>468.096</v>
      </c>
      <c r="L382">
        <f ca="1">IFERROR(IF(0=LEN(ReferenceData!$L$382),"",ReferenceData!$L$382),"")</f>
        <v>616.20600000000002</v>
      </c>
      <c r="M382">
        <f ca="1">IFERROR(IF(0=LEN(ReferenceData!$M$382),"",ReferenceData!$M$382),"")</f>
        <v>239.358</v>
      </c>
      <c r="N382">
        <f ca="1">IFERROR(IF(0=LEN(ReferenceData!$N$382),"",ReferenceData!$N$382),"")</f>
        <v>325.90499999999997</v>
      </c>
      <c r="O382">
        <f ca="1">IFERROR(IF(0=LEN(ReferenceData!$O$382),"",ReferenceData!$O$382),"")</f>
        <v>452.548</v>
      </c>
      <c r="P382">
        <f ca="1">IFERROR(IF(0=LEN(ReferenceData!$P$382),"",ReferenceData!$P$382),"")</f>
        <v>458.78399999999999</v>
      </c>
      <c r="Q382">
        <f ca="1">IFERROR(IF(0=LEN(ReferenceData!$Q$382),"",ReferenceData!$Q$382),"")</f>
        <v>279.37700000000001</v>
      </c>
      <c r="R382">
        <f ca="1">IFERROR(IF(0=LEN(ReferenceData!$R$382),"",ReferenceData!$R$382),"")</f>
        <v>259.53800000000001</v>
      </c>
      <c r="S382">
        <f ca="1">IFERROR(IF(0=LEN(ReferenceData!$S$382),"",ReferenceData!$S$382),"")</f>
        <v>270.733</v>
      </c>
      <c r="T382">
        <f ca="1">IFERROR(IF(0=LEN(ReferenceData!$T$382),"",ReferenceData!$T$382),"")</f>
        <v>540.70500000000004</v>
      </c>
      <c r="U382">
        <f ca="1">IFERROR(IF(0=LEN(ReferenceData!$U$382),"",ReferenceData!$U$382),"")</f>
        <v>584.65499999999997</v>
      </c>
      <c r="V382">
        <f ca="1">IFERROR(IF(0=LEN(ReferenceData!$V$382),"",ReferenceData!$V$382),"")</f>
        <v>352.17700000000002</v>
      </c>
      <c r="W382">
        <f ca="1">IFERROR(IF(0=LEN(ReferenceData!$W$382),"",ReferenceData!$W$382),"")</f>
        <v>393.36500000000001</v>
      </c>
      <c r="X382">
        <f ca="1">IFERROR(IF(0=LEN(ReferenceData!$X$382),"",ReferenceData!$X$382),"")</f>
        <v>389.84199999999998</v>
      </c>
      <c r="Y382">
        <f ca="1">IFERROR(IF(0=LEN(ReferenceData!$Y$382),"",ReferenceData!$Y$382),"")</f>
        <v>506.76499999999999</v>
      </c>
      <c r="Z382">
        <f ca="1">IFERROR(IF(0=LEN(ReferenceData!$Z$382),"",ReferenceData!$Z$382),"")</f>
        <v>47.593000000000004</v>
      </c>
      <c r="AA382">
        <f ca="1">IFERROR(IF(0=LEN(ReferenceData!$AA$382),"",ReferenceData!$AA$382),"")</f>
        <v>171.875</v>
      </c>
      <c r="AB382">
        <f ca="1">IFERROR(IF(0=LEN(ReferenceData!$AB$382),"",ReferenceData!$AB$382),"")</f>
        <v>245.19300000000001</v>
      </c>
      <c r="AC382">
        <f ca="1">IFERROR(IF(0=LEN(ReferenceData!$AC$382),"",ReferenceData!$AC$382),"")</f>
        <v>64.075000000000003</v>
      </c>
      <c r="AD382">
        <f ca="1">IFERROR(IF(0=LEN(ReferenceData!$AD$382),"",ReferenceData!$AD$382),"")</f>
        <v>-135.084</v>
      </c>
      <c r="AE382">
        <f ca="1">IFERROR(IF(0=LEN(ReferenceData!$AE$382),"",ReferenceData!$AE$382),"")</f>
        <v>-361.36799999999999</v>
      </c>
      <c r="AF382">
        <f ca="1">IFERROR(IF(0=LEN(ReferenceData!$AF$382),"",ReferenceData!$AF$382),"")</f>
        <v>389.30599999999998</v>
      </c>
      <c r="AG382">
        <f ca="1">IFERROR(IF(0=LEN(ReferenceData!$AG$382),"",ReferenceData!$AG$382),"")</f>
        <v>144.81</v>
      </c>
      <c r="AH382">
        <f ca="1">IFERROR(IF(0=LEN(ReferenceData!$AH$382),"",ReferenceData!$AH$382),"")</f>
        <v>-43.843000000000004</v>
      </c>
      <c r="AI382" t="str">
        <f ca="1">IFERROR(IF(0=LEN(ReferenceData!$AI$382),"",ReferenceData!$AI$382),"")</f>
        <v/>
      </c>
      <c r="AJ382">
        <f ca="1">IFERROR(IF(0=LEN(ReferenceData!$AJ$382),"",ReferenceData!$AJ$382),"")</f>
        <v>-144.256</v>
      </c>
      <c r="AK382" t="str">
        <f ca="1">IFERROR(IF(0=LEN(ReferenceData!$AK$382),"",ReferenceData!$AK$382),"")</f>
        <v/>
      </c>
      <c r="AL382" t="str">
        <f ca="1">IFERROR(IF(0=LEN(ReferenceData!$AL$382),"",ReferenceData!$AL$382),"")</f>
        <v/>
      </c>
      <c r="AM382" t="str">
        <f ca="1">IFERROR(IF(0=LEN(ReferenceData!$AM$382),"",ReferenceData!$AM$382),"")</f>
        <v/>
      </c>
      <c r="AN382" t="str">
        <f ca="1">IFERROR(IF(0=LEN(ReferenceData!$AN$382),"",ReferenceData!$AN$382),"")</f>
        <v/>
      </c>
      <c r="AO382" t="str">
        <f ca="1">IFERROR(IF(0=LEN(ReferenceData!$AO$382),"",ReferenceData!$AO$382),"")</f>
        <v/>
      </c>
      <c r="AP382" t="str">
        <f ca="1">IFERROR(IF(0=LEN(ReferenceData!$AP$382),"",ReferenceData!$AP$382),"")</f>
        <v/>
      </c>
      <c r="AQ382" t="str">
        <f ca="1">IFERROR(IF(0=LEN(ReferenceData!$AQ$382),"",ReferenceData!$AQ$382),"")</f>
        <v/>
      </c>
      <c r="AR382" t="str">
        <f ca="1">IFERROR(IF(0=LEN(ReferenceData!$AR$382),"",ReferenceData!$AR$382),"")</f>
        <v/>
      </c>
      <c r="AS382" t="str">
        <f ca="1">IFERROR(IF(0=LEN(ReferenceData!$AS$382),"",ReferenceData!$AS$382),"")</f>
        <v/>
      </c>
      <c r="AT382" t="str">
        <f ca="1">IFERROR(IF(0=LEN(ReferenceData!$AT$382),"",ReferenceData!$AT$382),"")</f>
        <v/>
      </c>
      <c r="AU382" t="str">
        <f ca="1">IFERROR(IF(0=LEN(ReferenceData!$AU$382),"",ReferenceData!$AU$382),"")</f>
        <v/>
      </c>
      <c r="AV382" t="str">
        <f ca="1">IFERROR(IF(0=LEN(ReferenceData!$AV$382),"",ReferenceData!$AV$382),"")</f>
        <v/>
      </c>
      <c r="AW382" t="str">
        <f ca="1">IFERROR(IF(0=LEN(ReferenceData!$AW$382),"",ReferenceData!$AW$382),"")</f>
        <v/>
      </c>
      <c r="AX382" t="str">
        <f ca="1">IFERROR(IF(0=LEN(ReferenceData!$AX$382),"",ReferenceData!$AX$382),"")</f>
        <v/>
      </c>
      <c r="AY382" t="str">
        <f ca="1">IFERROR(IF(0=LEN(ReferenceData!$AY$382),"",ReferenceData!$AY$382),"")</f>
        <v/>
      </c>
      <c r="AZ382" t="str">
        <f ca="1">IFERROR(IF(0=LEN(ReferenceData!$AZ$382),"",ReferenceData!$AZ$382),"")</f>
        <v/>
      </c>
      <c r="BA382" t="str">
        <f ca="1">IFERROR(IF(0=LEN(ReferenceData!$BA$382),"",ReferenceData!$BA$382),"")</f>
        <v/>
      </c>
      <c r="BB382" t="str">
        <f ca="1">IFERROR(IF(0=LEN(ReferenceData!$BB$382),"",ReferenceData!$BB$382),"")</f>
        <v/>
      </c>
      <c r="BC382" t="str">
        <f ca="1">IFERROR(IF(0=LEN(ReferenceData!$BC$382),"",ReferenceData!$BC$382),"")</f>
        <v/>
      </c>
      <c r="BD382" t="str">
        <f ca="1">IFERROR(IF(0=LEN(ReferenceData!$BD$382),"",ReferenceData!$BD$382),"")</f>
        <v/>
      </c>
      <c r="BE382" t="str">
        <f ca="1">IFERROR(IF(0=LEN(ReferenceData!$BE$382),"",ReferenceData!$BE$382),"")</f>
        <v/>
      </c>
      <c r="BF382" t="str">
        <f ca="1">IFERROR(IF(0=LEN(ReferenceData!$BF$382),"",ReferenceData!$BF$382),"")</f>
        <v/>
      </c>
      <c r="BG382" t="str">
        <f ca="1">IFERROR(IF(0=LEN(ReferenceData!$BG$382),"",ReferenceData!$BG$382),"")</f>
        <v/>
      </c>
      <c r="BH382" t="str">
        <f ca="1">IFERROR(IF(0=LEN(ReferenceData!$BH$382),"",ReferenceData!$BH$382),"")</f>
        <v/>
      </c>
      <c r="BI382" t="str">
        <f ca="1">IFERROR(IF(0=LEN(ReferenceData!$BI$382),"",ReferenceData!$BI$382),"")</f>
        <v/>
      </c>
      <c r="BJ382" t="str">
        <f ca="1">IFERROR(IF(0=LEN(ReferenceData!$BJ$382),"",ReferenceData!$BJ$382),"")</f>
        <v/>
      </c>
      <c r="BK382" t="str">
        <f ca="1">IFERROR(IF(0=LEN(ReferenceData!$BK$382),"",ReferenceData!$BK$382),"")</f>
        <v/>
      </c>
      <c r="BL382" t="str">
        <f ca="1">IFERROR(IF(0=LEN(ReferenceData!$BL$382),"",ReferenceData!$BL$382),"")</f>
        <v/>
      </c>
      <c r="BM382" t="str">
        <f ca="1">IFERROR(IF(0=LEN(ReferenceData!$BM$382),"",ReferenceData!$BM$382),"")</f>
        <v/>
      </c>
    </row>
    <row r="383" spans="1:65">
      <c r="A383" t="str">
        <f>IFERROR(IF(0=LEN(ReferenceData!$A$383),"",ReferenceData!$A$383),"")</f>
        <v xml:space="preserve">    Simon Property Group Inc</v>
      </c>
      <c r="B383" t="str">
        <f>IFERROR(IF(0=LEN(ReferenceData!$B$383),"",ReferenceData!$B$383),"")</f>
        <v>SPG US Equity</v>
      </c>
      <c r="C383" t="str">
        <f>IFERROR(IF(0=LEN(ReferenceData!$C$383),"",ReferenceData!$C$383),"")</f>
        <v/>
      </c>
      <c r="D383" t="str">
        <f>IFERROR(IF(0=LEN(ReferenceData!$D$383),"",ReferenceData!$D$383),"")</f>
        <v/>
      </c>
      <c r="E383" t="str">
        <f>IFERROR(IF(0=LEN(ReferenceData!$E$383),"",ReferenceData!$E$383),"")</f>
        <v>Expression</v>
      </c>
      <c r="F383" t="str">
        <f ca="1">IFERROR(IF(0=LEN(ReferenceData!$F$383),"",ReferenceData!$F$383),"")</f>
        <v/>
      </c>
      <c r="G383">
        <f ca="1">IFERROR(IF(0=LEN(ReferenceData!$G$383),"",ReferenceData!$G$383),"")</f>
        <v>5512.4679999999998</v>
      </c>
      <c r="H383">
        <f ca="1">IFERROR(IF(0=LEN(ReferenceData!$H$383),"",ReferenceData!$H$383),"")</f>
        <v>5099.1729999999998</v>
      </c>
      <c r="I383">
        <f ca="1">IFERROR(IF(0=LEN(ReferenceData!$I$383),"",ReferenceData!$I$383),"")</f>
        <v>5426.2510000000002</v>
      </c>
      <c r="J383">
        <f ca="1">IFERROR(IF(0=LEN(ReferenceData!$J$383),"",ReferenceData!$J$383),"")</f>
        <v>5186.8860000000004</v>
      </c>
      <c r="K383">
        <f ca="1">IFERROR(IF(0=LEN(ReferenceData!$K$383),"",ReferenceData!$K$383),"")</f>
        <v>4271.3959999999997</v>
      </c>
      <c r="L383">
        <f ca="1">IFERROR(IF(0=LEN(ReferenceData!$L$383),"",ReferenceData!$L$383),"")</f>
        <v>5676.8289999999997</v>
      </c>
      <c r="M383">
        <f ca="1">IFERROR(IF(0=LEN(ReferenceData!$M$383),"",ReferenceData!$M$383),"")</f>
        <v>5116.884</v>
      </c>
      <c r="N383">
        <f ca="1">IFERROR(IF(0=LEN(ReferenceData!$N$383),"",ReferenceData!$N$383),"")</f>
        <v>3713.5479999999998</v>
      </c>
      <c r="O383" t="str">
        <f ca="1">IFERROR(IF(0=LEN(ReferenceData!$O$383),"",ReferenceData!$O$383),"")</f>
        <v/>
      </c>
      <c r="P383">
        <f ca="1">IFERROR(IF(0=LEN(ReferenceData!$P$383),"",ReferenceData!$P$383),"")</f>
        <v>5031.942</v>
      </c>
      <c r="Q383">
        <f ca="1">IFERROR(IF(0=LEN(ReferenceData!$Q$383),"",ReferenceData!$Q$383),"")</f>
        <v>3856.4650000000001</v>
      </c>
      <c r="R383">
        <f ca="1">IFERROR(IF(0=LEN(ReferenceData!$R$383),"",ReferenceData!$R$383),"")</f>
        <v>4812.652</v>
      </c>
      <c r="S383">
        <f ca="1">IFERROR(IF(0=LEN(ReferenceData!$S$383),"",ReferenceData!$S$383),"")</f>
        <v>3643.5030000000002</v>
      </c>
      <c r="T383">
        <f ca="1">IFERROR(IF(0=LEN(ReferenceData!$T$383),"",ReferenceData!$T$383),"")</f>
        <v>5980.2269999999999</v>
      </c>
      <c r="U383">
        <f ca="1">IFERROR(IF(0=LEN(ReferenceData!$U$383),"",ReferenceData!$U$383),"")</f>
        <v>6489.06</v>
      </c>
      <c r="V383">
        <f ca="1">IFERROR(IF(0=LEN(ReferenceData!$V$383),"",ReferenceData!$V$383),"")</f>
        <v>5728.5309999999999</v>
      </c>
      <c r="W383">
        <f ca="1">IFERROR(IF(0=LEN(ReferenceData!$W$383),"",ReferenceData!$W$383),"")</f>
        <v>3861.4479999999999</v>
      </c>
      <c r="X383">
        <f ca="1">IFERROR(IF(0=LEN(ReferenceData!$X$383),"",ReferenceData!$X$383),"")</f>
        <v>5638.3130000000001</v>
      </c>
      <c r="Y383">
        <f ca="1">IFERROR(IF(0=LEN(ReferenceData!$Y$383),"",ReferenceData!$Y$383),"")</f>
        <v>5581.1019999999999</v>
      </c>
      <c r="Z383">
        <f ca="1">IFERROR(IF(0=LEN(ReferenceData!$Z$383),"",ReferenceData!$Z$383),"")</f>
        <v>5263.4520000000002</v>
      </c>
      <c r="AA383">
        <f ca="1">IFERROR(IF(0=LEN(ReferenceData!$AA$383),"",ReferenceData!$AA$383),"")</f>
        <v>4762.8810000000003</v>
      </c>
      <c r="AB383">
        <f ca="1">IFERROR(IF(0=LEN(ReferenceData!$AB$383),"",ReferenceData!$AB$383),"")</f>
        <v>4133.6660000000002</v>
      </c>
      <c r="AC383">
        <f ca="1">IFERROR(IF(0=LEN(ReferenceData!$AC$383),"",ReferenceData!$AC$383),"")</f>
        <v>2590.3939999999998</v>
      </c>
      <c r="AD383">
        <f ca="1">IFERROR(IF(0=LEN(ReferenceData!$AD$383),"",ReferenceData!$AD$383),"")</f>
        <v>2356.817</v>
      </c>
      <c r="AE383" t="str">
        <f ca="1">IFERROR(IF(0=LEN(ReferenceData!$AE$383),"",ReferenceData!$AE$383),"")</f>
        <v/>
      </c>
      <c r="AF383">
        <f ca="1">IFERROR(IF(0=LEN(ReferenceData!$AF$383),"",ReferenceData!$AF$383),"")</f>
        <v>2658.6190000000001</v>
      </c>
      <c r="AG383">
        <f ca="1">IFERROR(IF(0=LEN(ReferenceData!$AG$383),"",ReferenceData!$AG$383),"")</f>
        <v>3700.2420000000002</v>
      </c>
      <c r="AH383">
        <f ca="1">IFERROR(IF(0=LEN(ReferenceData!$AH$383),"",ReferenceData!$AH$383),"")</f>
        <v>3181.723</v>
      </c>
      <c r="AI383">
        <f ca="1">IFERROR(IF(0=LEN(ReferenceData!$AI$383),"",ReferenceData!$AI$383),"")</f>
        <v>2122.1550000000002</v>
      </c>
      <c r="AJ383">
        <f ca="1">IFERROR(IF(0=LEN(ReferenceData!$AJ$383),"",ReferenceData!$AJ$383),"")</f>
        <v>3980.6350000000002</v>
      </c>
      <c r="AK383">
        <f ca="1">IFERROR(IF(0=LEN(ReferenceData!$AK$383),"",ReferenceData!$AK$383),"")</f>
        <v>4877.2250000000004</v>
      </c>
      <c r="AL383">
        <f ca="1">IFERROR(IF(0=LEN(ReferenceData!$AL$383),"",ReferenceData!$AL$383),"")</f>
        <v>4855.7560000000003</v>
      </c>
      <c r="AM383">
        <f ca="1">IFERROR(IF(0=LEN(ReferenceData!$AM$383),"",ReferenceData!$AM$383),"")</f>
        <v>4960.9160000000002</v>
      </c>
      <c r="AN383">
        <f ca="1">IFERROR(IF(0=LEN(ReferenceData!$AN$383),"",ReferenceData!$AN$383),"")</f>
        <v>6464.0169999999998</v>
      </c>
      <c r="AO383">
        <f ca="1">IFERROR(IF(0=LEN(ReferenceData!$AO$383),"",ReferenceData!$AO$383),"")</f>
        <v>5320.7290000000003</v>
      </c>
      <c r="AP383">
        <f ca="1">IFERROR(IF(0=LEN(ReferenceData!$AP$383),"",ReferenceData!$AP$383),"")</f>
        <v>2721.3739999999998</v>
      </c>
      <c r="AQ383">
        <f ca="1">IFERROR(IF(0=LEN(ReferenceData!$AQ$383),"",ReferenceData!$AQ$383),"")</f>
        <v>1698.0340000000001</v>
      </c>
      <c r="AR383">
        <f ca="1">IFERROR(IF(0=LEN(ReferenceData!$AR$383),"",ReferenceData!$AR$383),"")</f>
        <v>3117.884</v>
      </c>
      <c r="AS383">
        <f ca="1">IFERROR(IF(0=LEN(ReferenceData!$AS$383),"",ReferenceData!$AS$383),"")</f>
        <v>2485.2910000000002</v>
      </c>
      <c r="AT383">
        <f ca="1">IFERROR(IF(0=LEN(ReferenceData!$AT$383),"",ReferenceData!$AT$383),"")</f>
        <v>1234.451</v>
      </c>
      <c r="AU383">
        <f ca="1">IFERROR(IF(0=LEN(ReferenceData!$AU$383),"",ReferenceData!$AU$383),"")</f>
        <v>764.11500000000001</v>
      </c>
      <c r="AV383">
        <f ca="1">IFERROR(IF(0=LEN(ReferenceData!$AV$383),"",ReferenceData!$AV$383),"")</f>
        <v>2998.683</v>
      </c>
      <c r="AW383">
        <f ca="1">IFERROR(IF(0=LEN(ReferenceData!$AW$383),"",ReferenceData!$AW$383),"")</f>
        <v>1060.866</v>
      </c>
      <c r="AX383">
        <f ca="1">IFERROR(IF(0=LEN(ReferenceData!$AX$383),"",ReferenceData!$AX$383),"")</f>
        <v>-255.33199999999999</v>
      </c>
      <c r="AY383">
        <f ca="1">IFERROR(IF(0=LEN(ReferenceData!$AY$383),"",ReferenceData!$AY$383),"")</f>
        <v>1945.394</v>
      </c>
      <c r="AZ383">
        <f ca="1">IFERROR(IF(0=LEN(ReferenceData!$AZ$383),"",ReferenceData!$AZ$383),"")</f>
        <v>2755.5529999999999</v>
      </c>
      <c r="BA383">
        <f ca="1">IFERROR(IF(0=LEN(ReferenceData!$BA$383),"",ReferenceData!$BA$383),"")</f>
        <v>1747.021</v>
      </c>
      <c r="BB383">
        <f ca="1">IFERROR(IF(0=LEN(ReferenceData!$BB$383),"",ReferenceData!$BB$383),"")</f>
        <v>941.45600000000002</v>
      </c>
      <c r="BC383" t="str">
        <f ca="1">IFERROR(IF(0=LEN(ReferenceData!$BC$383),"",ReferenceData!$BC$383),"")</f>
        <v/>
      </c>
      <c r="BD383">
        <f ca="1">IFERROR(IF(0=LEN(ReferenceData!$BD$383),"",ReferenceData!$BD$383),"")</f>
        <v>1209.1030000000001</v>
      </c>
      <c r="BE383">
        <f ca="1">IFERROR(IF(0=LEN(ReferenceData!$BE$383),"",ReferenceData!$BE$383),"")</f>
        <v>1330.7860000000001</v>
      </c>
      <c r="BF383">
        <f ca="1">IFERROR(IF(0=LEN(ReferenceData!$BF$383),"",ReferenceData!$BF$383),"")</f>
        <v>-68.334000000000003</v>
      </c>
      <c r="BG383" t="str">
        <f ca="1">IFERROR(IF(0=LEN(ReferenceData!$BG$383),"",ReferenceData!$BG$383),"")</f>
        <v/>
      </c>
      <c r="BH383" t="str">
        <f ca="1">IFERROR(IF(0=LEN(ReferenceData!$BH$383),"",ReferenceData!$BH$383),"")</f>
        <v/>
      </c>
      <c r="BI383">
        <f ca="1">IFERROR(IF(0=LEN(ReferenceData!$BI$383),"",ReferenceData!$BI$383),"")</f>
        <v>692.85500000000002</v>
      </c>
      <c r="BJ383">
        <f ca="1">IFERROR(IF(0=LEN(ReferenceData!$BJ$383),"",ReferenceData!$BJ$383),"")</f>
        <v>497.19400000000002</v>
      </c>
      <c r="BK383">
        <f ca="1">IFERROR(IF(0=LEN(ReferenceData!$BK$383),"",ReferenceData!$BK$383),"")</f>
        <v>-47.209000000000003</v>
      </c>
      <c r="BL383">
        <f ca="1">IFERROR(IF(0=LEN(ReferenceData!$BL$383),"",ReferenceData!$BL$383),"")</f>
        <v>689.76700000000005</v>
      </c>
      <c r="BM383">
        <f ca="1">IFERROR(IF(0=LEN(ReferenceData!$BM$383),"",ReferenceData!$BM$383),"")</f>
        <v>767.82799999999997</v>
      </c>
    </row>
    <row r="384" spans="1:65">
      <c r="A384" t="str">
        <f>IFERROR(IF(0=LEN(ReferenceData!$A$384),"",ReferenceData!$A$384),"")</f>
        <v xml:space="preserve">    Tanger Factory Outlet Centers</v>
      </c>
      <c r="B384" t="str">
        <f>IFERROR(IF(0=LEN(ReferenceData!$B$384),"",ReferenceData!$B$384),"")</f>
        <v>SKT US Equity</v>
      </c>
      <c r="C384" t="str">
        <f>IFERROR(IF(0=LEN(ReferenceData!$C$384),"",ReferenceData!$C$384),"")</f>
        <v/>
      </c>
      <c r="D384" t="str">
        <f>IFERROR(IF(0=LEN(ReferenceData!$D$384),"",ReferenceData!$D$384),"")</f>
        <v/>
      </c>
      <c r="E384" t="str">
        <f>IFERROR(IF(0=LEN(ReferenceData!$E$384),"",ReferenceData!$E$384),"")</f>
        <v>Expression</v>
      </c>
      <c r="F384" t="str">
        <f ca="1">IFERROR(IF(0=LEN(ReferenceData!$F$384),"",ReferenceData!$F$384),"")</f>
        <v/>
      </c>
      <c r="G384">
        <f ca="1">IFERROR(IF(0=LEN(ReferenceData!$G$384),"",ReferenceData!$G$384),"")</f>
        <v>254.81700000000001</v>
      </c>
      <c r="H384">
        <f ca="1">IFERROR(IF(0=LEN(ReferenceData!$H$384),"",ReferenceData!$H$384),"")</f>
        <v>309.55599999999998</v>
      </c>
      <c r="I384">
        <f ca="1">IFERROR(IF(0=LEN(ReferenceData!$I$384),"",ReferenceData!$I$384),"")</f>
        <v>355.43200000000002</v>
      </c>
      <c r="J384">
        <f ca="1">IFERROR(IF(0=LEN(ReferenceData!$J$384),"",ReferenceData!$J$384),"")</f>
        <v>382.35500000000002</v>
      </c>
      <c r="K384">
        <f ca="1">IFERROR(IF(0=LEN(ReferenceData!$K$384),"",ReferenceData!$K$384),"")</f>
        <v>397.964</v>
      </c>
      <c r="L384">
        <f ca="1">IFERROR(IF(0=LEN(ReferenceData!$L$384),"",ReferenceData!$L$384),"")</f>
        <v>349.17500000000001</v>
      </c>
      <c r="M384">
        <f ca="1">IFERROR(IF(0=LEN(ReferenceData!$M$384),"",ReferenceData!$M$384),"")</f>
        <v>286.46499999999997</v>
      </c>
      <c r="N384">
        <f ca="1">IFERROR(IF(0=LEN(ReferenceData!$N$384),"",ReferenceData!$N$384),"")</f>
        <v>263.029</v>
      </c>
      <c r="O384" t="str">
        <f ca="1">IFERROR(IF(0=LEN(ReferenceData!$O$384),"",ReferenceData!$O$384),"")</f>
        <v/>
      </c>
      <c r="P384">
        <f ca="1">IFERROR(IF(0=LEN(ReferenceData!$P$384),"",ReferenceData!$P$384),"")</f>
        <v>344.17500000000001</v>
      </c>
      <c r="Q384">
        <f ca="1">IFERROR(IF(0=LEN(ReferenceData!$Q$384),"",ReferenceData!$Q$384),"")</f>
        <v>359.09300000000002</v>
      </c>
      <c r="R384">
        <f ca="1">IFERROR(IF(0=LEN(ReferenceData!$R$384),"",ReferenceData!$R$384),"")</f>
        <v>387.55900000000003</v>
      </c>
      <c r="S384">
        <f ca="1">IFERROR(IF(0=LEN(ReferenceData!$S$384),"",ReferenceData!$S$384),"")</f>
        <v>393.53199999999998</v>
      </c>
      <c r="T384">
        <f ca="1">IFERROR(IF(0=LEN(ReferenceData!$T$384),"",ReferenceData!$T$384),"")</f>
        <v>390.10300000000001</v>
      </c>
      <c r="U384">
        <f ca="1">IFERROR(IF(0=LEN(ReferenceData!$U$384),"",ReferenceData!$U$384),"")</f>
        <v>440.21699999999998</v>
      </c>
      <c r="V384">
        <f ca="1">IFERROR(IF(0=LEN(ReferenceData!$V$384),"",ReferenceData!$V$384),"")</f>
        <v>487.29399999999998</v>
      </c>
      <c r="W384">
        <f ca="1">IFERROR(IF(0=LEN(ReferenceData!$W$384),"",ReferenceData!$W$384),"")</f>
        <v>515.43799999999999</v>
      </c>
      <c r="X384">
        <f ca="1">IFERROR(IF(0=LEN(ReferenceData!$X$384),"",ReferenceData!$X$384),"")</f>
        <v>270.61099999999999</v>
      </c>
      <c r="Y384">
        <f ca="1">IFERROR(IF(0=LEN(ReferenceData!$Y$384),"",ReferenceData!$Y$384),"")</f>
        <v>310.62700000000001</v>
      </c>
      <c r="Z384">
        <f ca="1">IFERROR(IF(0=LEN(ReferenceData!$Z$384),"",ReferenceData!$Z$384),"")</f>
        <v>345.22699999999998</v>
      </c>
      <c r="AA384">
        <f ca="1">IFERROR(IF(0=LEN(ReferenceData!$AA$384),"",ReferenceData!$AA$384),"")</f>
        <v>347.40199999999999</v>
      </c>
      <c r="AB384">
        <f ca="1">IFERROR(IF(0=LEN(ReferenceData!$AB$384),"",ReferenceData!$AB$384),"")</f>
        <v>392.05399999999997</v>
      </c>
      <c r="AC384">
        <f ca="1">IFERROR(IF(0=LEN(ReferenceData!$AC$384),"",ReferenceData!$AC$384),"")</f>
        <v>389.35700000000003</v>
      </c>
      <c r="AD384">
        <f ca="1">IFERROR(IF(0=LEN(ReferenceData!$AD$384),"",ReferenceData!$AD$384),"")</f>
        <v>407.75599999999997</v>
      </c>
      <c r="AE384">
        <f ca="1">IFERROR(IF(0=LEN(ReferenceData!$AE$384),"",ReferenceData!$AE$384),"")</f>
        <v>305.33100000000002</v>
      </c>
      <c r="AF384">
        <f ca="1">IFERROR(IF(0=LEN(ReferenceData!$AF$384),"",ReferenceData!$AF$384),"")</f>
        <v>80.771000000000001</v>
      </c>
      <c r="AG384">
        <f ca="1">IFERROR(IF(0=LEN(ReferenceData!$AG$384),"",ReferenceData!$AG$384),"")</f>
        <v>79.408000000000001</v>
      </c>
      <c r="AH384">
        <f ca="1">IFERROR(IF(0=LEN(ReferenceData!$AH$384),"",ReferenceData!$AH$384),"")</f>
        <v>227.27099999999999</v>
      </c>
      <c r="AI384">
        <f ca="1">IFERROR(IF(0=LEN(ReferenceData!$AI$384),"",ReferenceData!$AI$384),"")</f>
        <v>238.548</v>
      </c>
      <c r="AJ384">
        <f ca="1">IFERROR(IF(0=LEN(ReferenceData!$AJ$384),"",ReferenceData!$AJ$384),"")</f>
        <v>273.03500000000003</v>
      </c>
      <c r="AK384">
        <f ca="1">IFERROR(IF(0=LEN(ReferenceData!$AK$384),"",ReferenceData!$AK$384),"")</f>
        <v>277.65300000000002</v>
      </c>
      <c r="AL384" t="str">
        <f ca="1">IFERROR(IF(0=LEN(ReferenceData!$AL$384),"",ReferenceData!$AL$384),"")</f>
        <v/>
      </c>
      <c r="AM384">
        <f ca="1">IFERROR(IF(0=LEN(ReferenceData!$AM$384),"",ReferenceData!$AM$384),"")</f>
        <v>234.767</v>
      </c>
      <c r="AN384" t="str">
        <f ca="1">IFERROR(IF(0=LEN(ReferenceData!$AN$384),"",ReferenceData!$AN$384),"")</f>
        <v/>
      </c>
      <c r="AO384" t="str">
        <f ca="1">IFERROR(IF(0=LEN(ReferenceData!$AO$384),"",ReferenceData!$AO$384),"")</f>
        <v/>
      </c>
      <c r="AP384" t="str">
        <f ca="1">IFERROR(IF(0=LEN(ReferenceData!$AP$384),"",ReferenceData!$AP$384),"")</f>
        <v/>
      </c>
      <c r="AQ384" t="str">
        <f ca="1">IFERROR(IF(0=LEN(ReferenceData!$AQ$384),"",ReferenceData!$AQ$384),"")</f>
        <v/>
      </c>
      <c r="AR384" t="str">
        <f ca="1">IFERROR(IF(0=LEN(ReferenceData!$AR$384),"",ReferenceData!$AR$384),"")</f>
        <v/>
      </c>
      <c r="AS384" t="str">
        <f ca="1">IFERROR(IF(0=LEN(ReferenceData!$AS$384),"",ReferenceData!$AS$384),"")</f>
        <v/>
      </c>
      <c r="AT384" t="str">
        <f ca="1">IFERROR(IF(0=LEN(ReferenceData!$AT$384),"",ReferenceData!$AT$384),"")</f>
        <v/>
      </c>
      <c r="AU384">
        <f ca="1">IFERROR(IF(0=LEN(ReferenceData!$AU$384),"",ReferenceData!$AU$384),"")</f>
        <v>20.853999999999999</v>
      </c>
      <c r="AV384" t="str">
        <f ca="1">IFERROR(IF(0=LEN(ReferenceData!$AV$384),"",ReferenceData!$AV$384),"")</f>
        <v/>
      </c>
      <c r="AW384" t="str">
        <f ca="1">IFERROR(IF(0=LEN(ReferenceData!$AW$384),"",ReferenceData!$AW$384),"")</f>
        <v/>
      </c>
      <c r="AX384" t="str">
        <f ca="1">IFERROR(IF(0=LEN(ReferenceData!$AX$384),"",ReferenceData!$AX$384),"")</f>
        <v/>
      </c>
      <c r="AY384" t="str">
        <f ca="1">IFERROR(IF(0=LEN(ReferenceData!$AY$384),"",ReferenceData!$AY$384),"")</f>
        <v/>
      </c>
      <c r="AZ384" t="str">
        <f ca="1">IFERROR(IF(0=LEN(ReferenceData!$AZ$384),"",ReferenceData!$AZ$384),"")</f>
        <v/>
      </c>
      <c r="BA384" t="str">
        <f ca="1">IFERROR(IF(0=LEN(ReferenceData!$BA$384),"",ReferenceData!$BA$384),"")</f>
        <v/>
      </c>
      <c r="BB384" t="str">
        <f ca="1">IFERROR(IF(0=LEN(ReferenceData!$BB$384),"",ReferenceData!$BB$384),"")</f>
        <v/>
      </c>
      <c r="BC384" t="str">
        <f ca="1">IFERROR(IF(0=LEN(ReferenceData!$BC$384),"",ReferenceData!$BC$384),"")</f>
        <v/>
      </c>
      <c r="BD384" t="str">
        <f ca="1">IFERROR(IF(0=LEN(ReferenceData!$BD$384),"",ReferenceData!$BD$384),"")</f>
        <v/>
      </c>
      <c r="BE384" t="str">
        <f ca="1">IFERROR(IF(0=LEN(ReferenceData!$BE$384),"",ReferenceData!$BE$384),"")</f>
        <v/>
      </c>
      <c r="BF384" t="str">
        <f ca="1">IFERROR(IF(0=LEN(ReferenceData!$BF$384),"",ReferenceData!$BF$384),"")</f>
        <v/>
      </c>
      <c r="BG384" t="str">
        <f ca="1">IFERROR(IF(0=LEN(ReferenceData!$BG$384),"",ReferenceData!$BG$384),"")</f>
        <v/>
      </c>
      <c r="BH384" t="str">
        <f ca="1">IFERROR(IF(0=LEN(ReferenceData!$BH$384),"",ReferenceData!$BH$384),"")</f>
        <v/>
      </c>
      <c r="BI384" t="str">
        <f ca="1">IFERROR(IF(0=LEN(ReferenceData!$BI$384),"",ReferenceData!$BI$384),"")</f>
        <v/>
      </c>
      <c r="BJ384" t="str">
        <f ca="1">IFERROR(IF(0=LEN(ReferenceData!$BJ$384),"",ReferenceData!$BJ$384),"")</f>
        <v/>
      </c>
      <c r="BK384" t="str">
        <f ca="1">IFERROR(IF(0=LEN(ReferenceData!$BK$384),"",ReferenceData!$BK$384),"")</f>
        <v/>
      </c>
      <c r="BL384" t="str">
        <f ca="1">IFERROR(IF(0=LEN(ReferenceData!$BL$384),"",ReferenceData!$BL$384),"")</f>
        <v/>
      </c>
      <c r="BM384" t="str">
        <f ca="1">IFERROR(IF(0=LEN(ReferenceData!$BM$384),"",ReferenceData!$BM$384),"")</f>
        <v/>
      </c>
    </row>
    <row r="385" spans="1:65">
      <c r="A385" t="str">
        <f>IFERROR(IF(0=LEN(ReferenceData!$A$385),"",ReferenceData!$A$385),"")</f>
        <v xml:space="preserve">    VEREIT Inc</v>
      </c>
      <c r="B385" t="str">
        <f>IFERROR(IF(0=LEN(ReferenceData!$B$385),"",ReferenceData!$B$385),"")</f>
        <v>VER US Equity</v>
      </c>
      <c r="C385" t="str">
        <f>IFERROR(IF(0=LEN(ReferenceData!$C$385),"",ReferenceData!$C$385),"")</f>
        <v/>
      </c>
      <c r="D385" t="str">
        <f>IFERROR(IF(0=LEN(ReferenceData!$D$385),"",ReferenceData!$D$385),"")</f>
        <v/>
      </c>
      <c r="E385" t="str">
        <f>IFERROR(IF(0=LEN(ReferenceData!$E$385),"",ReferenceData!$E$385),"")</f>
        <v>Expression</v>
      </c>
      <c r="F385" t="str">
        <f ca="1">IFERROR(IF(0=LEN(ReferenceData!$F$385),"",ReferenceData!$F$385),"")</f>
        <v/>
      </c>
      <c r="G385">
        <f ca="1">IFERROR(IF(0=LEN(ReferenceData!$G$385),"",ReferenceData!$G$385),"")</f>
        <v>1269.4259999999999</v>
      </c>
      <c r="H385">
        <f ca="1">IFERROR(IF(0=LEN(ReferenceData!$H$385),"",ReferenceData!$H$385),"")</f>
        <v>2336.5819999999999</v>
      </c>
      <c r="I385">
        <f ca="1">IFERROR(IF(0=LEN(ReferenceData!$I$385),"",ReferenceData!$I$385),"")</f>
        <v>2430.0149999999999</v>
      </c>
      <c r="J385">
        <f ca="1">IFERROR(IF(0=LEN(ReferenceData!$J$385),"",ReferenceData!$J$385),"")</f>
        <v>2284.44</v>
      </c>
      <c r="K385">
        <f ca="1">IFERROR(IF(0=LEN(ReferenceData!$K$385),"",ReferenceData!$K$385),"")</f>
        <v>1769.3579999999999</v>
      </c>
      <c r="L385">
        <f ca="1">IFERROR(IF(0=LEN(ReferenceData!$L$385),"",ReferenceData!$L$385),"")</f>
        <v>1868.78</v>
      </c>
      <c r="M385">
        <f ca="1">IFERROR(IF(0=LEN(ReferenceData!$M$385),"",ReferenceData!$M$385),"")</f>
        <v>2108.5740000000001</v>
      </c>
      <c r="N385">
        <f ca="1">IFERROR(IF(0=LEN(ReferenceData!$N$385),"",ReferenceData!$N$385),"")</f>
        <v>1997.106</v>
      </c>
      <c r="O385">
        <f ca="1">IFERROR(IF(0=LEN(ReferenceData!$O$385),"",ReferenceData!$O$385),"")</f>
        <v>653.09699999999998</v>
      </c>
      <c r="P385">
        <f ca="1">IFERROR(IF(0=LEN(ReferenceData!$P$385),"",ReferenceData!$P$385),"")</f>
        <v>366.24700000000001</v>
      </c>
      <c r="Q385">
        <f ca="1">IFERROR(IF(0=LEN(ReferenceData!$Q$385),"",ReferenceData!$Q$385),"")</f>
        <v>410.12700000000001</v>
      </c>
      <c r="R385">
        <f ca="1">IFERROR(IF(0=LEN(ReferenceData!$R$385),"",ReferenceData!$R$385),"")</f>
        <v>1142.162</v>
      </c>
      <c r="S385" t="str">
        <f ca="1">IFERROR(IF(0=LEN(ReferenceData!$S$385),"",ReferenceData!$S$385),"")</f>
        <v/>
      </c>
      <c r="T385">
        <f ca="1">IFERROR(IF(0=LEN(ReferenceData!$T$385),"",ReferenceData!$T$385),"")</f>
        <v>291.36099999999999</v>
      </c>
      <c r="U385">
        <f ca="1">IFERROR(IF(0=LEN(ReferenceData!$U$385),"",ReferenceData!$U$385),"")</f>
        <v>2789.6469999999999</v>
      </c>
      <c r="V385">
        <f ca="1">IFERROR(IF(0=LEN(ReferenceData!$V$385),"",ReferenceData!$V$385),"")</f>
        <v>576.19000000000005</v>
      </c>
      <c r="W385">
        <f ca="1">IFERROR(IF(0=LEN(ReferenceData!$W$385),"",ReferenceData!$W$385),"")</f>
        <v>1333.1410000000001</v>
      </c>
      <c r="X385">
        <f ca="1">IFERROR(IF(0=LEN(ReferenceData!$X$385),"",ReferenceData!$X$385),"")</f>
        <v>2050.4340000000002</v>
      </c>
      <c r="Y385">
        <f ca="1">IFERROR(IF(0=LEN(ReferenceData!$Y$385),"",ReferenceData!$Y$385),"")</f>
        <v>1910.884</v>
      </c>
      <c r="Z385">
        <f ca="1">IFERROR(IF(0=LEN(ReferenceData!$Z$385),"",ReferenceData!$Z$385),"")</f>
        <v>1912.338</v>
      </c>
      <c r="AA385" t="str">
        <f ca="1">IFERROR(IF(0=LEN(ReferenceData!$AA$385),"",ReferenceData!$AA$385),"")</f>
        <v/>
      </c>
      <c r="AB385">
        <f ca="1">IFERROR(IF(0=LEN(ReferenceData!$AB$385),"",ReferenceData!$AB$385),"")</f>
        <v>62.276000000000003</v>
      </c>
      <c r="AC385">
        <f ca="1">IFERROR(IF(0=LEN(ReferenceData!$AC$385),"",ReferenceData!$AC$385),"")</f>
        <v>77.206999999999994</v>
      </c>
      <c r="AD385">
        <f ca="1">IFERROR(IF(0=LEN(ReferenceData!$AD$385),"",ReferenceData!$AD$385),"")</f>
        <v>101.16800000000001</v>
      </c>
      <c r="AE385">
        <f ca="1">IFERROR(IF(0=LEN(ReferenceData!$AE$385),"",ReferenceData!$AE$385),"")</f>
        <v>110.748</v>
      </c>
      <c r="AF385" t="str">
        <f ca="1">IFERROR(IF(0=LEN(ReferenceData!$AF$385),"",ReferenceData!$AF$385),"")</f>
        <v/>
      </c>
      <c r="AG385" t="str">
        <f ca="1">IFERROR(IF(0=LEN(ReferenceData!$AG$385),"",ReferenceData!$AG$385),"")</f>
        <v/>
      </c>
      <c r="AH385" t="str">
        <f ca="1">IFERROR(IF(0=LEN(ReferenceData!$AH$385),"",ReferenceData!$AH$385),"")</f>
        <v/>
      </c>
      <c r="AI385" t="str">
        <f ca="1">IFERROR(IF(0=LEN(ReferenceData!$AI$385),"",ReferenceData!$AI$385),"")</f>
        <v/>
      </c>
      <c r="AJ385" t="str">
        <f ca="1">IFERROR(IF(0=LEN(ReferenceData!$AJ$385),"",ReferenceData!$AJ$385),"")</f>
        <v/>
      </c>
      <c r="AK385" t="str">
        <f ca="1">IFERROR(IF(0=LEN(ReferenceData!$AK$385),"",ReferenceData!$AK$385),"")</f>
        <v/>
      </c>
      <c r="AL385" t="str">
        <f ca="1">IFERROR(IF(0=LEN(ReferenceData!$AL$385),"",ReferenceData!$AL$385),"")</f>
        <v/>
      </c>
      <c r="AM385" t="str">
        <f ca="1">IFERROR(IF(0=LEN(ReferenceData!$AM$385),"",ReferenceData!$AM$385),"")</f>
        <v/>
      </c>
      <c r="AN385" t="str">
        <f ca="1">IFERROR(IF(0=LEN(ReferenceData!$AN$385),"",ReferenceData!$AN$385),"")</f>
        <v/>
      </c>
      <c r="AO385" t="str">
        <f ca="1">IFERROR(IF(0=LEN(ReferenceData!$AO$385),"",ReferenceData!$AO$385),"")</f>
        <v/>
      </c>
      <c r="AP385" t="str">
        <f ca="1">IFERROR(IF(0=LEN(ReferenceData!$AP$385),"",ReferenceData!$AP$385),"")</f>
        <v/>
      </c>
      <c r="AQ385" t="str">
        <f ca="1">IFERROR(IF(0=LEN(ReferenceData!$AQ$385),"",ReferenceData!$AQ$385),"")</f>
        <v/>
      </c>
      <c r="AR385" t="str">
        <f ca="1">IFERROR(IF(0=LEN(ReferenceData!$AR$385),"",ReferenceData!$AR$385),"")</f>
        <v/>
      </c>
      <c r="AS385" t="str">
        <f ca="1">IFERROR(IF(0=LEN(ReferenceData!$AS$385),"",ReferenceData!$AS$385),"")</f>
        <v/>
      </c>
      <c r="AT385" t="str">
        <f ca="1">IFERROR(IF(0=LEN(ReferenceData!$AT$385),"",ReferenceData!$AT$385),"")</f>
        <v/>
      </c>
      <c r="AU385" t="str">
        <f ca="1">IFERROR(IF(0=LEN(ReferenceData!$AU$385),"",ReferenceData!$AU$385),"")</f>
        <v/>
      </c>
      <c r="AV385" t="str">
        <f ca="1">IFERROR(IF(0=LEN(ReferenceData!$AV$385),"",ReferenceData!$AV$385),"")</f>
        <v/>
      </c>
      <c r="AW385" t="str">
        <f ca="1">IFERROR(IF(0=LEN(ReferenceData!$AW$385),"",ReferenceData!$AW$385),"")</f>
        <v/>
      </c>
      <c r="AX385" t="str">
        <f ca="1">IFERROR(IF(0=LEN(ReferenceData!$AX$385),"",ReferenceData!$AX$385),"")</f>
        <v/>
      </c>
      <c r="AY385" t="str">
        <f ca="1">IFERROR(IF(0=LEN(ReferenceData!$AY$385),"",ReferenceData!$AY$385),"")</f>
        <v/>
      </c>
      <c r="AZ385" t="str">
        <f ca="1">IFERROR(IF(0=LEN(ReferenceData!$AZ$385),"",ReferenceData!$AZ$385),"")</f>
        <v/>
      </c>
      <c r="BA385" t="str">
        <f ca="1">IFERROR(IF(0=LEN(ReferenceData!$BA$385),"",ReferenceData!$BA$385),"")</f>
        <v/>
      </c>
      <c r="BB385" t="str">
        <f ca="1">IFERROR(IF(0=LEN(ReferenceData!$BB$385),"",ReferenceData!$BB$385),"")</f>
        <v/>
      </c>
      <c r="BC385" t="str">
        <f ca="1">IFERROR(IF(0=LEN(ReferenceData!$BC$385),"",ReferenceData!$BC$385),"")</f>
        <v/>
      </c>
      <c r="BD385" t="str">
        <f ca="1">IFERROR(IF(0=LEN(ReferenceData!$BD$385),"",ReferenceData!$BD$385),"")</f>
        <v/>
      </c>
      <c r="BE385" t="str">
        <f ca="1">IFERROR(IF(0=LEN(ReferenceData!$BE$385),"",ReferenceData!$BE$385),"")</f>
        <v/>
      </c>
      <c r="BF385" t="str">
        <f ca="1">IFERROR(IF(0=LEN(ReferenceData!$BF$385),"",ReferenceData!$BF$385),"")</f>
        <v/>
      </c>
      <c r="BG385" t="str">
        <f ca="1">IFERROR(IF(0=LEN(ReferenceData!$BG$385),"",ReferenceData!$BG$385),"")</f>
        <v/>
      </c>
      <c r="BH385" t="str">
        <f ca="1">IFERROR(IF(0=LEN(ReferenceData!$BH$385),"",ReferenceData!$BH$385),"")</f>
        <v/>
      </c>
      <c r="BI385" t="str">
        <f ca="1">IFERROR(IF(0=LEN(ReferenceData!$BI$385),"",ReferenceData!$BI$385),"")</f>
        <v/>
      </c>
      <c r="BJ385" t="str">
        <f ca="1">IFERROR(IF(0=LEN(ReferenceData!$BJ$385),"",ReferenceData!$BJ$385),"")</f>
        <v/>
      </c>
      <c r="BK385" t="str">
        <f ca="1">IFERROR(IF(0=LEN(ReferenceData!$BK$385),"",ReferenceData!$BK$385),"")</f>
        <v/>
      </c>
      <c r="BL385" t="str">
        <f ca="1">IFERROR(IF(0=LEN(ReferenceData!$BL$385),"",ReferenceData!$BL$385),"")</f>
        <v/>
      </c>
      <c r="BM385" t="str">
        <f ca="1">IFERROR(IF(0=LEN(ReferenceData!$BM$385),"",ReferenceData!$BM$385),"")</f>
        <v/>
      </c>
    </row>
    <row r="386" spans="1:65">
      <c r="A386" t="str">
        <f>IFERROR(IF(0=LEN(ReferenceData!$A$386),"",ReferenceData!$A$386),"")</f>
        <v xml:space="preserve">    Washington Prime Group Inc</v>
      </c>
      <c r="B386" t="str">
        <f>IFERROR(IF(0=LEN(ReferenceData!$B$386),"",ReferenceData!$B$386),"")</f>
        <v>WPG US Equity</v>
      </c>
      <c r="C386" t="str">
        <f>IFERROR(IF(0=LEN(ReferenceData!$C$386),"",ReferenceData!$C$386),"")</f>
        <v/>
      </c>
      <c r="D386" t="str">
        <f>IFERROR(IF(0=LEN(ReferenceData!$D$386),"",ReferenceData!$D$386),"")</f>
        <v/>
      </c>
      <c r="E386" t="str">
        <f>IFERROR(IF(0=LEN(ReferenceData!$E$386),"",ReferenceData!$E$386),"")</f>
        <v>Expression</v>
      </c>
      <c r="F386" t="str">
        <f ca="1">IFERROR(IF(0=LEN(ReferenceData!$F$386),"",ReferenceData!$F$386),"")</f>
        <v/>
      </c>
      <c r="G386">
        <f ca="1">IFERROR(IF(0=LEN(ReferenceData!$G$386),"",ReferenceData!$G$386),"")</f>
        <v>771.40700000000004</v>
      </c>
      <c r="H386">
        <f ca="1">IFERROR(IF(0=LEN(ReferenceData!$H$386),"",ReferenceData!$H$386),"")</f>
        <v>704.54100000000005</v>
      </c>
      <c r="I386">
        <f ca="1">IFERROR(IF(0=LEN(ReferenceData!$I$386),"",ReferenceData!$I$386),"")</f>
        <v>729.07600000000002</v>
      </c>
      <c r="J386">
        <f ca="1">IFERROR(IF(0=LEN(ReferenceData!$J$386),"",ReferenceData!$J$386),"")</f>
        <v>361.60599999999999</v>
      </c>
      <c r="K386">
        <f ca="1">IFERROR(IF(0=LEN(ReferenceData!$K$386),"",ReferenceData!$K$386),"")</f>
        <v>305.00299999999999</v>
      </c>
      <c r="L386">
        <f ca="1">IFERROR(IF(0=LEN(ReferenceData!$L$386),"",ReferenceData!$L$386),"")</f>
        <v>423.54500000000002</v>
      </c>
      <c r="M386">
        <f ca="1">IFERROR(IF(0=LEN(ReferenceData!$M$386),"",ReferenceData!$M$386),"")</f>
        <v>408.39800000000002</v>
      </c>
      <c r="N386">
        <f ca="1">IFERROR(IF(0=LEN(ReferenceData!$N$386),"",ReferenceData!$N$386),"")</f>
        <v>304.83699999999999</v>
      </c>
      <c r="O386" t="str">
        <f ca="1">IFERROR(IF(0=LEN(ReferenceData!$O$386),"",ReferenceData!$O$386),"")</f>
        <v/>
      </c>
      <c r="P386">
        <f ca="1">IFERROR(IF(0=LEN(ReferenceData!$P$386),"",ReferenceData!$P$386),"")</f>
        <v>374.09500000000003</v>
      </c>
      <c r="Q386">
        <f ca="1">IFERROR(IF(0=LEN(ReferenceData!$Q$386),"",ReferenceData!$Q$386),"")</f>
        <v>282.24099999999999</v>
      </c>
      <c r="R386">
        <f ca="1">IFERROR(IF(0=LEN(ReferenceData!$R$386),"",ReferenceData!$R$386),"")</f>
        <v>43.9</v>
      </c>
      <c r="S386">
        <f ca="1">IFERROR(IF(0=LEN(ReferenceData!$S$386),"",ReferenceData!$S$386),"")</f>
        <v>407.38900000000001</v>
      </c>
      <c r="T386">
        <f ca="1">IFERROR(IF(0=LEN(ReferenceData!$T$386),"",ReferenceData!$T$386),"")</f>
        <v>660.22900000000004</v>
      </c>
      <c r="U386">
        <f ca="1">IFERROR(IF(0=LEN(ReferenceData!$U$386),"",ReferenceData!$U$386),"")</f>
        <v>629.49</v>
      </c>
      <c r="V386" t="str">
        <f ca="1">IFERROR(IF(0=LEN(ReferenceData!$V$386),"",ReferenceData!$V$386),"")</f>
        <v/>
      </c>
      <c r="W386" t="str">
        <f ca="1">IFERROR(IF(0=LEN(ReferenceData!$W$386),"",ReferenceData!$W$386),"")</f>
        <v/>
      </c>
      <c r="X386" t="str">
        <f ca="1">IFERROR(IF(0=LEN(ReferenceData!$X$386),"",ReferenceData!$X$386),"")</f>
        <v/>
      </c>
      <c r="Y386" t="str">
        <f ca="1">IFERROR(IF(0=LEN(ReferenceData!$Y$386),"",ReferenceData!$Y$386),"")</f>
        <v/>
      </c>
      <c r="Z386" t="str">
        <f ca="1">IFERROR(IF(0=LEN(ReferenceData!$Z$386),"",ReferenceData!$Z$386),"")</f>
        <v/>
      </c>
      <c r="AA386" t="str">
        <f ca="1">IFERROR(IF(0=LEN(ReferenceData!$AA$386),"",ReferenceData!$AA$386),"")</f>
        <v/>
      </c>
      <c r="AB386" t="str">
        <f ca="1">IFERROR(IF(0=LEN(ReferenceData!$AB$386),"",ReferenceData!$AB$386),"")</f>
        <v/>
      </c>
      <c r="AC386" t="str">
        <f ca="1">IFERROR(IF(0=LEN(ReferenceData!$AC$386),"",ReferenceData!$AC$386),"")</f>
        <v/>
      </c>
      <c r="AD386" t="str">
        <f ca="1">IFERROR(IF(0=LEN(ReferenceData!$AD$386),"",ReferenceData!$AD$386),"")</f>
        <v/>
      </c>
      <c r="AE386" t="str">
        <f ca="1">IFERROR(IF(0=LEN(ReferenceData!$AE$386),"",ReferenceData!$AE$386),"")</f>
        <v/>
      </c>
      <c r="AF386" t="str">
        <f ca="1">IFERROR(IF(0=LEN(ReferenceData!$AF$386),"",ReferenceData!$AF$386),"")</f>
        <v/>
      </c>
      <c r="AG386" t="str">
        <f ca="1">IFERROR(IF(0=LEN(ReferenceData!$AG$386),"",ReferenceData!$AG$386),"")</f>
        <v/>
      </c>
      <c r="AH386" t="str">
        <f ca="1">IFERROR(IF(0=LEN(ReferenceData!$AH$386),"",ReferenceData!$AH$386),"")</f>
        <v/>
      </c>
      <c r="AI386" t="str">
        <f ca="1">IFERROR(IF(0=LEN(ReferenceData!$AI$386),"",ReferenceData!$AI$386),"")</f>
        <v/>
      </c>
      <c r="AJ386" t="str">
        <f ca="1">IFERROR(IF(0=LEN(ReferenceData!$AJ$386),"",ReferenceData!$AJ$386),"")</f>
        <v/>
      </c>
      <c r="AK386" t="str">
        <f ca="1">IFERROR(IF(0=LEN(ReferenceData!$AK$386),"",ReferenceData!$AK$386),"")</f>
        <v/>
      </c>
      <c r="AL386" t="str">
        <f ca="1">IFERROR(IF(0=LEN(ReferenceData!$AL$386),"",ReferenceData!$AL$386),"")</f>
        <v/>
      </c>
      <c r="AM386" t="str">
        <f ca="1">IFERROR(IF(0=LEN(ReferenceData!$AM$386),"",ReferenceData!$AM$386),"")</f>
        <v/>
      </c>
      <c r="AN386" t="str">
        <f ca="1">IFERROR(IF(0=LEN(ReferenceData!$AN$386),"",ReferenceData!$AN$386),"")</f>
        <v/>
      </c>
      <c r="AO386" t="str">
        <f ca="1">IFERROR(IF(0=LEN(ReferenceData!$AO$386),"",ReferenceData!$AO$386),"")</f>
        <v/>
      </c>
      <c r="AP386" t="str">
        <f ca="1">IFERROR(IF(0=LEN(ReferenceData!$AP$386),"",ReferenceData!$AP$386),"")</f>
        <v/>
      </c>
      <c r="AQ386" t="str">
        <f ca="1">IFERROR(IF(0=LEN(ReferenceData!$AQ$386),"",ReferenceData!$AQ$386),"")</f>
        <v/>
      </c>
      <c r="AR386" t="str">
        <f ca="1">IFERROR(IF(0=LEN(ReferenceData!$AR$386),"",ReferenceData!$AR$386),"")</f>
        <v/>
      </c>
      <c r="AS386" t="str">
        <f ca="1">IFERROR(IF(0=LEN(ReferenceData!$AS$386),"",ReferenceData!$AS$386),"")</f>
        <v/>
      </c>
      <c r="AT386" t="str">
        <f ca="1">IFERROR(IF(0=LEN(ReferenceData!$AT$386),"",ReferenceData!$AT$386),"")</f>
        <v/>
      </c>
      <c r="AU386" t="str">
        <f ca="1">IFERROR(IF(0=LEN(ReferenceData!$AU$386),"",ReferenceData!$AU$386),"")</f>
        <v/>
      </c>
      <c r="AV386" t="str">
        <f ca="1">IFERROR(IF(0=LEN(ReferenceData!$AV$386),"",ReferenceData!$AV$386),"")</f>
        <v/>
      </c>
      <c r="AW386" t="str">
        <f ca="1">IFERROR(IF(0=LEN(ReferenceData!$AW$386),"",ReferenceData!$AW$386),"")</f>
        <v/>
      </c>
      <c r="AX386" t="str">
        <f ca="1">IFERROR(IF(0=LEN(ReferenceData!$AX$386),"",ReferenceData!$AX$386),"")</f>
        <v/>
      </c>
      <c r="AY386" t="str">
        <f ca="1">IFERROR(IF(0=LEN(ReferenceData!$AY$386),"",ReferenceData!$AY$386),"")</f>
        <v/>
      </c>
      <c r="AZ386" t="str">
        <f ca="1">IFERROR(IF(0=LEN(ReferenceData!$AZ$386),"",ReferenceData!$AZ$386),"")</f>
        <v/>
      </c>
      <c r="BA386" t="str">
        <f ca="1">IFERROR(IF(0=LEN(ReferenceData!$BA$386),"",ReferenceData!$BA$386),"")</f>
        <v/>
      </c>
      <c r="BB386" t="str">
        <f ca="1">IFERROR(IF(0=LEN(ReferenceData!$BB$386),"",ReferenceData!$BB$386),"")</f>
        <v/>
      </c>
      <c r="BC386" t="str">
        <f ca="1">IFERROR(IF(0=LEN(ReferenceData!$BC$386),"",ReferenceData!$BC$386),"")</f>
        <v/>
      </c>
      <c r="BD386" t="str">
        <f ca="1">IFERROR(IF(0=LEN(ReferenceData!$BD$386),"",ReferenceData!$BD$386),"")</f>
        <v/>
      </c>
      <c r="BE386" t="str">
        <f ca="1">IFERROR(IF(0=LEN(ReferenceData!$BE$386),"",ReferenceData!$BE$386),"")</f>
        <v/>
      </c>
      <c r="BF386" t="str">
        <f ca="1">IFERROR(IF(0=LEN(ReferenceData!$BF$386),"",ReferenceData!$BF$386),"")</f>
        <v/>
      </c>
      <c r="BG386" t="str">
        <f ca="1">IFERROR(IF(0=LEN(ReferenceData!$BG$386),"",ReferenceData!$BG$386),"")</f>
        <v/>
      </c>
      <c r="BH386" t="str">
        <f ca="1">IFERROR(IF(0=LEN(ReferenceData!$BH$386),"",ReferenceData!$BH$386),"")</f>
        <v/>
      </c>
      <c r="BI386" t="str">
        <f ca="1">IFERROR(IF(0=LEN(ReferenceData!$BI$386),"",ReferenceData!$BI$386),"")</f>
        <v/>
      </c>
      <c r="BJ386" t="str">
        <f ca="1">IFERROR(IF(0=LEN(ReferenceData!$BJ$386),"",ReferenceData!$BJ$386),"")</f>
        <v/>
      </c>
      <c r="BK386" t="str">
        <f ca="1">IFERROR(IF(0=LEN(ReferenceData!$BK$386),"",ReferenceData!$BK$386),"")</f>
        <v/>
      </c>
      <c r="BL386" t="str">
        <f ca="1">IFERROR(IF(0=LEN(ReferenceData!$BL$386),"",ReferenceData!$BL$386),"")</f>
        <v/>
      </c>
      <c r="BM386" t="str">
        <f ca="1">IFERROR(IF(0=LEN(ReferenceData!$BM$386),"",ReferenceData!$BM$386),"")</f>
        <v/>
      </c>
    </row>
    <row r="387" spans="1:65">
      <c r="A387" t="str">
        <f>IFERROR(IF(0=LEN(ReferenceData!$A$387),"",ReferenceData!$A$387),"")</f>
        <v xml:space="preserve">    Weingarten Realty Investors</v>
      </c>
      <c r="B387" t="str">
        <f>IFERROR(IF(0=LEN(ReferenceData!$B$387),"",ReferenceData!$B$387),"")</f>
        <v>WRI US Equity</v>
      </c>
      <c r="C387" t="str">
        <f>IFERROR(IF(0=LEN(ReferenceData!$C$387),"",ReferenceData!$C$387),"")</f>
        <v/>
      </c>
      <c r="D387" t="str">
        <f>IFERROR(IF(0=LEN(ReferenceData!$D$387),"",ReferenceData!$D$387),"")</f>
        <v/>
      </c>
      <c r="E387" t="str">
        <f>IFERROR(IF(0=LEN(ReferenceData!$E$387),"",ReferenceData!$E$387),"")</f>
        <v>Expression</v>
      </c>
      <c r="F387" t="str">
        <f ca="1">IFERROR(IF(0=LEN(ReferenceData!$F$387),"",ReferenceData!$F$387),"")</f>
        <v/>
      </c>
      <c r="G387">
        <f ca="1">IFERROR(IF(0=LEN(ReferenceData!$G$387),"",ReferenceData!$G$387),"")</f>
        <v>393.40199999999999</v>
      </c>
      <c r="H387">
        <f ca="1">IFERROR(IF(0=LEN(ReferenceData!$H$387),"",ReferenceData!$H$387),"")</f>
        <v>369.35</v>
      </c>
      <c r="I387">
        <f ca="1">IFERROR(IF(0=LEN(ReferenceData!$I$387),"",ReferenceData!$I$387),"")</f>
        <v>260.642</v>
      </c>
      <c r="J387">
        <f ca="1">IFERROR(IF(0=LEN(ReferenceData!$J$387),"",ReferenceData!$J$387),"")</f>
        <v>204.733</v>
      </c>
      <c r="K387">
        <f ca="1">IFERROR(IF(0=LEN(ReferenceData!$K$387),"",ReferenceData!$K$387),"")</f>
        <v>179.68700000000001</v>
      </c>
      <c r="L387">
        <f ca="1">IFERROR(IF(0=LEN(ReferenceData!$L$387),"",ReferenceData!$L$387),"")</f>
        <v>299.96699999999998</v>
      </c>
      <c r="M387">
        <f ca="1">IFERROR(IF(0=LEN(ReferenceData!$M$387),"",ReferenceData!$M$387),"")</f>
        <v>335.88400000000001</v>
      </c>
      <c r="N387">
        <f ca="1">IFERROR(IF(0=LEN(ReferenceData!$N$387),"",ReferenceData!$N$387),"")</f>
        <v>183.898</v>
      </c>
      <c r="O387">
        <f ca="1">IFERROR(IF(0=LEN(ReferenceData!$O$387),"",ReferenceData!$O$387),"")</f>
        <v>215.49</v>
      </c>
      <c r="P387">
        <f ca="1">IFERROR(IF(0=LEN(ReferenceData!$P$387),"",ReferenceData!$P$387),"")</f>
        <v>397.50200000000001</v>
      </c>
      <c r="Q387">
        <f ca="1">IFERROR(IF(0=LEN(ReferenceData!$Q$387),"",ReferenceData!$Q$387),"")</f>
        <v>421.108</v>
      </c>
      <c r="R387">
        <f ca="1">IFERROR(IF(0=LEN(ReferenceData!$R$387),"",ReferenceData!$R$387),"")</f>
        <v>317.89100000000002</v>
      </c>
      <c r="S387" t="str">
        <f ca="1">IFERROR(IF(0=LEN(ReferenceData!$S$387),"",ReferenceData!$S$387),"")</f>
        <v/>
      </c>
      <c r="T387">
        <f ca="1">IFERROR(IF(0=LEN(ReferenceData!$T$387),"",ReferenceData!$T$387),"")</f>
        <v>175.762</v>
      </c>
      <c r="U387">
        <f ca="1">IFERROR(IF(0=LEN(ReferenceData!$U$387),"",ReferenceData!$U$387),"")</f>
        <v>-6.1189999999999998</v>
      </c>
      <c r="V387">
        <f ca="1">IFERROR(IF(0=LEN(ReferenceData!$V$387),"",ReferenceData!$V$387),"")</f>
        <v>299.495</v>
      </c>
      <c r="W387">
        <f ca="1">IFERROR(IF(0=LEN(ReferenceData!$W$387),"",ReferenceData!$W$387),"")</f>
        <v>100.518</v>
      </c>
      <c r="X387">
        <f ca="1">IFERROR(IF(0=LEN(ReferenceData!$X$387),"",ReferenceData!$X$387),"")</f>
        <v>383.82400000000001</v>
      </c>
      <c r="Y387">
        <f ca="1">IFERROR(IF(0=LEN(ReferenceData!$Y$387),"",ReferenceData!$Y$387),"")</f>
        <v>-181.70400000000001</v>
      </c>
      <c r="Z387">
        <f ca="1">IFERROR(IF(0=LEN(ReferenceData!$Z$387),"",ReferenceData!$Z$387),"")</f>
        <v>96.027000000000001</v>
      </c>
      <c r="AA387">
        <f ca="1">IFERROR(IF(0=LEN(ReferenceData!$AA$387),"",ReferenceData!$AA$387),"")</f>
        <v>53.095999999999997</v>
      </c>
      <c r="AB387">
        <f ca="1">IFERROR(IF(0=LEN(ReferenceData!$AB$387),"",ReferenceData!$AB$387),"")</f>
        <v>104.639</v>
      </c>
      <c r="AC387">
        <f ca="1">IFERROR(IF(0=LEN(ReferenceData!$AC$387),"",ReferenceData!$AC$387),"")</f>
        <v>170.64599999999999</v>
      </c>
      <c r="AD387">
        <f ca="1">IFERROR(IF(0=LEN(ReferenceData!$AD$387),"",ReferenceData!$AD$387),"")</f>
        <v>-116.057</v>
      </c>
      <c r="AE387">
        <f ca="1">IFERROR(IF(0=LEN(ReferenceData!$AE$387),"",ReferenceData!$AE$387),"")</f>
        <v>-124.98399999999999</v>
      </c>
      <c r="AF387">
        <f ca="1">IFERROR(IF(0=LEN(ReferenceData!$AF$387),"",ReferenceData!$AF$387),"")</f>
        <v>292.25200000000001</v>
      </c>
      <c r="AG387">
        <f ca="1">IFERROR(IF(0=LEN(ReferenceData!$AG$387),"",ReferenceData!$AG$387),"")</f>
        <v>36.869999999999997</v>
      </c>
      <c r="AH387">
        <f ca="1">IFERROR(IF(0=LEN(ReferenceData!$AH$387),"",ReferenceData!$AH$387),"")</f>
        <v>169.488</v>
      </c>
      <c r="AI387">
        <f ca="1">IFERROR(IF(0=LEN(ReferenceData!$AI$387),"",ReferenceData!$AI$387),"")</f>
        <v>260.29500000000002</v>
      </c>
      <c r="AJ387">
        <f ca="1">IFERROR(IF(0=LEN(ReferenceData!$AJ$387),"",ReferenceData!$AJ$387),"")</f>
        <v>415.54700000000003</v>
      </c>
      <c r="AK387">
        <f ca="1">IFERROR(IF(0=LEN(ReferenceData!$AK$387),"",ReferenceData!$AK$387),"")</f>
        <v>421.09699999999998</v>
      </c>
      <c r="AL387">
        <f ca="1">IFERROR(IF(0=LEN(ReferenceData!$AL$387),"",ReferenceData!$AL$387),"")</f>
        <v>403.71300000000002</v>
      </c>
      <c r="AM387">
        <f ca="1">IFERROR(IF(0=LEN(ReferenceData!$AM$387),"",ReferenceData!$AM$387),"")</f>
        <v>612.74</v>
      </c>
      <c r="AN387">
        <f ca="1">IFERROR(IF(0=LEN(ReferenceData!$AN$387),"",ReferenceData!$AN$387),"")</f>
        <v>423.97699999999998</v>
      </c>
      <c r="AO387">
        <f ca="1">IFERROR(IF(0=LEN(ReferenceData!$AO$387),"",ReferenceData!$AO$387),"")</f>
        <v>199.13900000000001</v>
      </c>
      <c r="AP387">
        <f ca="1">IFERROR(IF(0=LEN(ReferenceData!$AP$387),"",ReferenceData!$AP$387),"")</f>
        <v>102.77200000000001</v>
      </c>
      <c r="AQ387">
        <f ca="1">IFERROR(IF(0=LEN(ReferenceData!$AQ$387),"",ReferenceData!$AQ$387),"")</f>
        <v>143.85900000000001</v>
      </c>
      <c r="AR387">
        <f ca="1">IFERROR(IF(0=LEN(ReferenceData!$AR$387),"",ReferenceData!$AR$387),"")</f>
        <v>55.64</v>
      </c>
      <c r="AS387">
        <f ca="1">IFERROR(IF(0=LEN(ReferenceData!$AS$387),"",ReferenceData!$AS$387),"")</f>
        <v>155.08500000000001</v>
      </c>
      <c r="AT387">
        <f ca="1">IFERROR(IF(0=LEN(ReferenceData!$AT$387),"",ReferenceData!$AT$387),"")</f>
        <v>135.11699999999999</v>
      </c>
      <c r="AU387">
        <f ca="1">IFERROR(IF(0=LEN(ReferenceData!$AU$387),"",ReferenceData!$AU$387),"")</f>
        <v>131.268</v>
      </c>
      <c r="AV387">
        <f ca="1">IFERROR(IF(0=LEN(ReferenceData!$AV$387),"",ReferenceData!$AV$387),"")</f>
        <v>297.96199999999999</v>
      </c>
      <c r="AW387">
        <f ca="1">IFERROR(IF(0=LEN(ReferenceData!$AW$387),"",ReferenceData!$AW$387),"")</f>
        <v>387.51499999999999</v>
      </c>
      <c r="AX387">
        <f ca="1">IFERROR(IF(0=LEN(ReferenceData!$AX$387),"",ReferenceData!$AX$387),"")</f>
        <v>200.483</v>
      </c>
      <c r="AY387">
        <f ca="1">IFERROR(IF(0=LEN(ReferenceData!$AY$387),"",ReferenceData!$AY$387),"")</f>
        <v>358.90499999999997</v>
      </c>
      <c r="AZ387">
        <f ca="1">IFERROR(IF(0=LEN(ReferenceData!$AZ$387),"",ReferenceData!$AZ$387),"")</f>
        <v>263.608</v>
      </c>
      <c r="BA387">
        <f ca="1">IFERROR(IF(0=LEN(ReferenceData!$BA$387),"",ReferenceData!$BA$387),"")</f>
        <v>-139.32</v>
      </c>
      <c r="BB387">
        <f ca="1">IFERROR(IF(0=LEN(ReferenceData!$BB$387),"",ReferenceData!$BB$387),"")</f>
        <v>419.85199999999998</v>
      </c>
      <c r="BC387">
        <f ca="1">IFERROR(IF(0=LEN(ReferenceData!$BC$387),"",ReferenceData!$BC$387),"")</f>
        <v>196.333</v>
      </c>
      <c r="BD387" t="str">
        <f ca="1">IFERROR(IF(0=LEN(ReferenceData!$BD$387),"",ReferenceData!$BD$387),"")</f>
        <v/>
      </c>
      <c r="BE387" t="str">
        <f ca="1">IFERROR(IF(0=LEN(ReferenceData!$BE$387),"",ReferenceData!$BE$387),"")</f>
        <v/>
      </c>
      <c r="BF387" t="str">
        <f ca="1">IFERROR(IF(0=LEN(ReferenceData!$BF$387),"",ReferenceData!$BF$387),"")</f>
        <v/>
      </c>
      <c r="BG387" t="str">
        <f ca="1">IFERROR(IF(0=LEN(ReferenceData!$BG$387),"",ReferenceData!$BG$387),"")</f>
        <v/>
      </c>
      <c r="BH387" t="str">
        <f ca="1">IFERROR(IF(0=LEN(ReferenceData!$BH$387),"",ReferenceData!$BH$387),"")</f>
        <v/>
      </c>
      <c r="BI387" t="str">
        <f ca="1">IFERROR(IF(0=LEN(ReferenceData!$BI$387),"",ReferenceData!$BI$387),"")</f>
        <v/>
      </c>
      <c r="BJ387" t="str">
        <f ca="1">IFERROR(IF(0=LEN(ReferenceData!$BJ$387),"",ReferenceData!$BJ$387),"")</f>
        <v/>
      </c>
      <c r="BK387" t="str">
        <f ca="1">IFERROR(IF(0=LEN(ReferenceData!$BK$387),"",ReferenceData!$BK$387),"")</f>
        <v/>
      </c>
      <c r="BL387" t="str">
        <f ca="1">IFERROR(IF(0=LEN(ReferenceData!$BL$387),"",ReferenceData!$BL$387),"")</f>
        <v/>
      </c>
      <c r="BM387" t="str">
        <f ca="1">IFERROR(IF(0=LEN(ReferenceData!$BM$387),"",ReferenceData!$BM$387),"")</f>
        <v/>
      </c>
    </row>
    <row r="388" spans="1:65">
      <c r="A388" t="str">
        <f>IFERROR(IF(0=LEN(ReferenceData!$A$388),"",ReferenceData!$A$388),"")</f>
        <v>FFO支付比率(%)</v>
      </c>
      <c r="B388" t="str">
        <f>IFERROR(IF(0=LEN(ReferenceData!$B$388),"",ReferenceData!$B$388),"")</f>
        <v/>
      </c>
      <c r="C388" t="str">
        <f>IFERROR(IF(0=LEN(ReferenceData!$C$388),"",ReferenceData!$C$388),"")</f>
        <v/>
      </c>
      <c r="D388" t="str">
        <f>IFERROR(IF(0=LEN(ReferenceData!$D$388),"",ReferenceData!$D$388),"")</f>
        <v/>
      </c>
      <c r="E388" t="str">
        <f>IFERROR(IF(0=LEN(ReferenceData!$E$388),"",ReferenceData!$E$388),"")</f>
        <v>Median</v>
      </c>
      <c r="F388" t="str">
        <f ca="1">IFERROR(IF(0=LEN(ReferenceData!$F$388),"",ReferenceData!$F$388),"")</f>
        <v/>
      </c>
      <c r="G388">
        <f ca="1">IFERROR(IF(0=LEN(ReferenceData!$G$388),"",ReferenceData!$G$388),"")</f>
        <v>71.442600220000003</v>
      </c>
      <c r="H388">
        <f ca="1">IFERROR(IF(0=LEN(ReferenceData!$H$388),"",ReferenceData!$H$388),"")</f>
        <v>66.514309089999998</v>
      </c>
      <c r="I388">
        <f ca="1">IFERROR(IF(0=LEN(ReferenceData!$I$388),"",ReferenceData!$I$388),"")</f>
        <v>62.792828190000002</v>
      </c>
      <c r="J388">
        <f ca="1">IFERROR(IF(0=LEN(ReferenceData!$J$388),"",ReferenceData!$J$388),"")</f>
        <v>66.823573890000006</v>
      </c>
      <c r="K388">
        <f ca="1">IFERROR(IF(0=LEN(ReferenceData!$K$388),"",ReferenceData!$K$388),"")</f>
        <v>62.558474269999998</v>
      </c>
      <c r="L388">
        <f ca="1">IFERROR(IF(0=LEN(ReferenceData!$L$388),"",ReferenceData!$L$388),"")</f>
        <v>61.92891522</v>
      </c>
      <c r="M388">
        <f ca="1">IFERROR(IF(0=LEN(ReferenceData!$M$388),"",ReferenceData!$M$388),"")</f>
        <v>59.194013200000001</v>
      </c>
      <c r="N388">
        <f ca="1">IFERROR(IF(0=LEN(ReferenceData!$N$388),"",ReferenceData!$N$388),"")</f>
        <v>59.930234980000002</v>
      </c>
      <c r="O388">
        <f ca="1">IFERROR(IF(0=LEN(ReferenceData!$O$388),"",ReferenceData!$O$388),"")</f>
        <v>65.172364450000003</v>
      </c>
      <c r="P388">
        <f ca="1">IFERROR(IF(0=LEN(ReferenceData!$P$388),"",ReferenceData!$P$388),"")</f>
        <v>61.232560650000003</v>
      </c>
      <c r="Q388">
        <f ca="1">IFERROR(IF(0=LEN(ReferenceData!$Q$388),"",ReferenceData!$Q$388),"")</f>
        <v>64.041501289999999</v>
      </c>
      <c r="R388">
        <f ca="1">IFERROR(IF(0=LEN(ReferenceData!$R$388),"",ReferenceData!$R$388),"")</f>
        <v>64.886114000000006</v>
      </c>
      <c r="S388">
        <f ca="1">IFERROR(IF(0=LEN(ReferenceData!$S$388),"",ReferenceData!$S$388),"")</f>
        <v>63.329352104999998</v>
      </c>
      <c r="T388">
        <f ca="1">IFERROR(IF(0=LEN(ReferenceData!$T$388),"",ReferenceData!$T$388),"")</f>
        <v>60.178009009999997</v>
      </c>
      <c r="U388">
        <f ca="1">IFERROR(IF(0=LEN(ReferenceData!$U$388),"",ReferenceData!$U$388),"")</f>
        <v>62.740675039999999</v>
      </c>
      <c r="V388">
        <f ca="1">IFERROR(IF(0=LEN(ReferenceData!$V$388),"",ReferenceData!$V$388),"")</f>
        <v>63.550534319999997</v>
      </c>
      <c r="W388">
        <f ca="1">IFERROR(IF(0=LEN(ReferenceData!$W$388),"",ReferenceData!$W$388),"")</f>
        <v>66.462448190000003</v>
      </c>
      <c r="X388">
        <f ca="1">IFERROR(IF(0=LEN(ReferenceData!$X$388),"",ReferenceData!$X$388),"")</f>
        <v>60.623120839999999</v>
      </c>
      <c r="Y388">
        <f ca="1">IFERROR(IF(0=LEN(ReferenceData!$Y$388),"",ReferenceData!$Y$388),"")</f>
        <v>63.915010565000003</v>
      </c>
      <c r="Z388">
        <f ca="1">IFERROR(IF(0=LEN(ReferenceData!$Z$388),"",ReferenceData!$Z$388),"")</f>
        <v>63.315282590000002</v>
      </c>
      <c r="AA388">
        <f ca="1">IFERROR(IF(0=LEN(ReferenceData!$AA$388),"",ReferenceData!$AA$388),"")</f>
        <v>63.666052319999999</v>
      </c>
      <c r="AB388">
        <f ca="1">IFERROR(IF(0=LEN(ReferenceData!$AB$388),"",ReferenceData!$AB$388),"")</f>
        <v>64.82257371</v>
      </c>
      <c r="AC388">
        <f ca="1">IFERROR(IF(0=LEN(ReferenceData!$AC$388),"",ReferenceData!$AC$388),"")</f>
        <v>54.446978340000001</v>
      </c>
      <c r="AD388">
        <f ca="1">IFERROR(IF(0=LEN(ReferenceData!$AD$388),"",ReferenceData!$AD$388),"")</f>
        <v>62.942452099999997</v>
      </c>
      <c r="AE388">
        <f ca="1">IFERROR(IF(0=LEN(ReferenceData!$AE$388),"",ReferenceData!$AE$388),"")</f>
        <v>68.168480130000006</v>
      </c>
      <c r="AF388">
        <f ca="1">IFERROR(IF(0=LEN(ReferenceData!$AF$388),"",ReferenceData!$AF$388),"")</f>
        <v>51.008692095000001</v>
      </c>
      <c r="AG388">
        <f ca="1">IFERROR(IF(0=LEN(ReferenceData!$AG$388),"",ReferenceData!$AG$388),"")</f>
        <v>62.563392754999995</v>
      </c>
      <c r="AH388">
        <f ca="1">IFERROR(IF(0=LEN(ReferenceData!$AH$388),"",ReferenceData!$AH$388),"")</f>
        <v>53.16002701</v>
      </c>
      <c r="AI388">
        <f ca="1">IFERROR(IF(0=LEN(ReferenceData!$AI$388),"",ReferenceData!$AI$388),"")</f>
        <v>58.334085989999998</v>
      </c>
      <c r="AJ388">
        <f ca="1">IFERROR(IF(0=LEN(ReferenceData!$AJ$388),"",ReferenceData!$AJ$388),"")</f>
        <v>64.33401155</v>
      </c>
      <c r="AK388">
        <f ca="1">IFERROR(IF(0=LEN(ReferenceData!$AK$388),"",ReferenceData!$AK$388),"")</f>
        <v>78.428389030000005</v>
      </c>
      <c r="AL388">
        <f ca="1">IFERROR(IF(0=LEN(ReferenceData!$AL$388),"",ReferenceData!$AL$388),"")</f>
        <v>52.801068739999998</v>
      </c>
      <c r="AM388">
        <f ca="1">IFERROR(IF(0=LEN(ReferenceData!$AM$388),"",ReferenceData!$AM$388),"")</f>
        <v>66.336349394999999</v>
      </c>
      <c r="AN388">
        <f ca="1">IFERROR(IF(0=LEN(ReferenceData!$AN$388),"",ReferenceData!$AN$388),"")</f>
        <v>60.70590627</v>
      </c>
      <c r="AO388">
        <f ca="1">IFERROR(IF(0=LEN(ReferenceData!$AO$388),"",ReferenceData!$AO$388),"")</f>
        <v>59.081117464999998</v>
      </c>
      <c r="AP388">
        <f ca="1">IFERROR(IF(0=LEN(ReferenceData!$AP$388),"",ReferenceData!$AP$388),"")</f>
        <v>76.603865040000002</v>
      </c>
      <c r="AQ388">
        <f ca="1">IFERROR(IF(0=LEN(ReferenceData!$AQ$388),"",ReferenceData!$AQ$388),"")</f>
        <v>73.290864319999997</v>
      </c>
      <c r="AR388">
        <f ca="1">IFERROR(IF(0=LEN(ReferenceData!$AR$388),"",ReferenceData!$AR$388),"")</f>
        <v>70.621931380000007</v>
      </c>
      <c r="AS388">
        <f ca="1">IFERROR(IF(0=LEN(ReferenceData!$AS$388),"",ReferenceData!$AS$388),"")</f>
        <v>70.238944355000001</v>
      </c>
      <c r="AT388">
        <f ca="1">IFERROR(IF(0=LEN(ReferenceData!$AT$388),"",ReferenceData!$AT$388),"")</f>
        <v>66.852704955000007</v>
      </c>
      <c r="AU388">
        <f ca="1">IFERROR(IF(0=LEN(ReferenceData!$AU$388),"",ReferenceData!$AU$388),"")</f>
        <v>61.327856824999998</v>
      </c>
      <c r="AV388">
        <f ca="1">IFERROR(IF(0=LEN(ReferenceData!$AV$388),"",ReferenceData!$AV$388),"")</f>
        <v>67.136508320000004</v>
      </c>
      <c r="AW388">
        <f ca="1">IFERROR(IF(0=LEN(ReferenceData!$AW$388),"",ReferenceData!$AW$388),"")</f>
        <v>50.205959839999998</v>
      </c>
      <c r="AX388">
        <f ca="1">IFERROR(IF(0=LEN(ReferenceData!$AX$388),"",ReferenceData!$AX$388),"")</f>
        <v>60.825257024999999</v>
      </c>
      <c r="AY388">
        <f ca="1">IFERROR(IF(0=LEN(ReferenceData!$AY$388),"",ReferenceData!$AY$388),"")</f>
        <v>57.89472593</v>
      </c>
      <c r="AZ388">
        <f ca="1">IFERROR(IF(0=LEN(ReferenceData!$AZ$388),"",ReferenceData!$AZ$388),"")</f>
        <v>61.470778005</v>
      </c>
      <c r="BA388">
        <f ca="1">IFERROR(IF(0=LEN(ReferenceData!$BA$388),"",ReferenceData!$BA$388),"")</f>
        <v>61.183718065000001</v>
      </c>
      <c r="BB388">
        <f ca="1">IFERROR(IF(0=LEN(ReferenceData!$BB$388),"",ReferenceData!$BB$388),"")</f>
        <v>63.104324039999995</v>
      </c>
      <c r="BC388">
        <f ca="1">IFERROR(IF(0=LEN(ReferenceData!$BC$388),"",ReferenceData!$BC$388),"")</f>
        <v>62.981075910000001</v>
      </c>
      <c r="BD388">
        <f ca="1">IFERROR(IF(0=LEN(ReferenceData!$BD$388),"",ReferenceData!$BD$388),"")</f>
        <v>66.474538210000006</v>
      </c>
      <c r="BE388">
        <f ca="1">IFERROR(IF(0=LEN(ReferenceData!$BE$388),"",ReferenceData!$BE$388),"")</f>
        <v>60.733852370000001</v>
      </c>
      <c r="BF388">
        <f ca="1">IFERROR(IF(0=LEN(ReferenceData!$BF$388),"",ReferenceData!$BF$388),"")</f>
        <v>61.604190549999998</v>
      </c>
      <c r="BG388">
        <f ca="1">IFERROR(IF(0=LEN(ReferenceData!$BG$388),"",ReferenceData!$BG$388),"")</f>
        <v>62.976801300000005</v>
      </c>
      <c r="BH388">
        <f ca="1">IFERROR(IF(0=LEN(ReferenceData!$BH$388),"",ReferenceData!$BH$388),"")</f>
        <v>51.088513434999996</v>
      </c>
      <c r="BI388">
        <f ca="1">IFERROR(IF(0=LEN(ReferenceData!$BI$388),"",ReferenceData!$BI$388),"")</f>
        <v>66.957903049999999</v>
      </c>
      <c r="BJ388">
        <f ca="1">IFERROR(IF(0=LEN(ReferenceData!$BJ$388),"",ReferenceData!$BJ$388),"")</f>
        <v>61.725777260000001</v>
      </c>
      <c r="BK388">
        <f ca="1">IFERROR(IF(0=LEN(ReferenceData!$BK$388),"",ReferenceData!$BK$388),"")</f>
        <v>48.642045359999997</v>
      </c>
      <c r="BL388">
        <f ca="1">IFERROR(IF(0=LEN(ReferenceData!$BL$388),"",ReferenceData!$BL$388),"")</f>
        <v>64.366020539999994</v>
      </c>
      <c r="BM388">
        <f ca="1">IFERROR(IF(0=LEN(ReferenceData!$BM$388),"",ReferenceData!$BM$388),"")</f>
        <v>65.460485899999995</v>
      </c>
    </row>
    <row r="389" spans="1:65">
      <c r="A389" t="str">
        <f>IFERROR(IF(0=LEN(ReferenceData!$A$389),"",ReferenceData!$A$389),"")</f>
        <v xml:space="preserve">    Brixmor Property Group Inc</v>
      </c>
      <c r="B389" t="str">
        <f>IFERROR(IF(0=LEN(ReferenceData!$B$389),"",ReferenceData!$B$389),"")</f>
        <v>BRX US Equity</v>
      </c>
      <c r="C389" t="str">
        <f>IFERROR(IF(0=LEN(ReferenceData!$C$389),"",ReferenceData!$C$389),"")</f>
        <v>RR106</v>
      </c>
      <c r="D389" t="str">
        <f>IFERROR(IF(0=LEN(ReferenceData!$D$389),"",ReferenceData!$D$389),"")</f>
        <v>FFO_PAYOUT_RATIO</v>
      </c>
      <c r="E389" t="str">
        <f>IFERROR(IF(0=LEN(ReferenceData!$E$389),"",ReferenceData!$E$389),"")</f>
        <v>动态</v>
      </c>
      <c r="F389" t="str">
        <f ca="1">IFERROR(IF(0=LEN(ReferenceData!$F$389),"",ReferenceData!$F$389),"")</f>
        <v/>
      </c>
      <c r="G389">
        <f ca="1">IFERROR(IF(0=LEN(ReferenceData!$G$389),"",ReferenceData!$G$389),"")</f>
        <v>53.165911039999997</v>
      </c>
      <c r="H389">
        <f ca="1">IFERROR(IF(0=LEN(ReferenceData!$H$389),"",ReferenceData!$H$389),"")</f>
        <v>50.419953450000001</v>
      </c>
      <c r="I389">
        <f ca="1">IFERROR(IF(0=LEN(ReferenceData!$I$389),"",ReferenceData!$I$389),"")</f>
        <v>48.974603860000002</v>
      </c>
      <c r="J389">
        <f ca="1">IFERROR(IF(0=LEN(ReferenceData!$J$389),"",ReferenceData!$J$389),"")</f>
        <v>49.016087400000004</v>
      </c>
      <c r="K389">
        <f ca="1">IFERROR(IF(0=LEN(ReferenceData!$K$389),"",ReferenceData!$K$389),"")</f>
        <v>48.527847289999997</v>
      </c>
      <c r="L389">
        <f ca="1">IFERROR(IF(0=LEN(ReferenceData!$L$389),"",ReferenceData!$L$389),"")</f>
        <v>47.920645630000003</v>
      </c>
      <c r="M389">
        <f ca="1">IFERROR(IF(0=LEN(ReferenceData!$M$389),"",ReferenceData!$M$389),"")</f>
        <v>48.097939089999997</v>
      </c>
      <c r="N389">
        <f ca="1">IFERROR(IF(0=LEN(ReferenceData!$N$389),"",ReferenceData!$N$389),"")</f>
        <v>45.45426922</v>
      </c>
      <c r="O389">
        <f ca="1">IFERROR(IF(0=LEN(ReferenceData!$O$389),"",ReferenceData!$O$389),"")</f>
        <v>47.01203829</v>
      </c>
      <c r="P389">
        <f ca="1">IFERROR(IF(0=LEN(ReferenceData!$P$389),"",ReferenceData!$P$389),"")</f>
        <v>42.993949870000002</v>
      </c>
      <c r="Q389">
        <f ca="1">IFERROR(IF(0=LEN(ReferenceData!$Q$389),"",ReferenceData!$Q$389),"")</f>
        <v>45.054645729999997</v>
      </c>
      <c r="R389">
        <f ca="1">IFERROR(IF(0=LEN(ReferenceData!$R$389),"",ReferenceData!$R$389),"")</f>
        <v>47.890859110000001</v>
      </c>
      <c r="S389">
        <f ca="1">IFERROR(IF(0=LEN(ReferenceData!$S$389),"",ReferenceData!$S$389),"")</f>
        <v>41.36523029</v>
      </c>
      <c r="T389">
        <f ca="1">IFERROR(IF(0=LEN(ReferenceData!$T$389),"",ReferenceData!$T$389),"")</f>
        <v>33.854347990000001</v>
      </c>
      <c r="U389">
        <f ca="1">IFERROR(IF(0=LEN(ReferenceData!$U$389),"",ReferenceData!$U$389),"")</f>
        <v>32.694795460000002</v>
      </c>
      <c r="V389">
        <f ca="1">IFERROR(IF(0=LEN(ReferenceData!$V$389),"",ReferenceData!$V$389),"")</f>
        <v>21.835082679999999</v>
      </c>
      <c r="W389">
        <f ca="1">IFERROR(IF(0=LEN(ReferenceData!$W$389),"",ReferenceData!$W$389),"")</f>
        <v>45.331112830000002</v>
      </c>
      <c r="X389">
        <f ca="1">IFERROR(IF(0=LEN(ReferenceData!$X$389),"",ReferenceData!$X$389),"")</f>
        <v>0</v>
      </c>
      <c r="Y389">
        <f ca="1">IFERROR(IF(0=LEN(ReferenceData!$Y$389),"",ReferenceData!$Y$389),"")</f>
        <v>0</v>
      </c>
      <c r="Z389">
        <f ca="1">IFERROR(IF(0=LEN(ReferenceData!$Z$389),"",ReferenceData!$Z$389),"")</f>
        <v>0</v>
      </c>
      <c r="AA389">
        <f ca="1">IFERROR(IF(0=LEN(ReferenceData!$AA$389),"",ReferenceData!$AA$389),"")</f>
        <v>0</v>
      </c>
      <c r="AB389">
        <f ca="1">IFERROR(IF(0=LEN(ReferenceData!$AB$389),"",ReferenceData!$AB$389),"")</f>
        <v>0</v>
      </c>
      <c r="AC389">
        <f ca="1">IFERROR(IF(0=LEN(ReferenceData!$AC$389),"",ReferenceData!$AC$389),"")</f>
        <v>0</v>
      </c>
      <c r="AD389">
        <f ca="1">IFERROR(IF(0=LEN(ReferenceData!$AD$389),"",ReferenceData!$AD$389),"")</f>
        <v>0</v>
      </c>
      <c r="AE389" t="str">
        <f ca="1">IFERROR(IF(0=LEN(ReferenceData!$AE$389),"",ReferenceData!$AE$389),"")</f>
        <v/>
      </c>
      <c r="AF389" t="str">
        <f ca="1">IFERROR(IF(0=LEN(ReferenceData!$AF$389),"",ReferenceData!$AF$389),"")</f>
        <v/>
      </c>
      <c r="AG389" t="str">
        <f ca="1">IFERROR(IF(0=LEN(ReferenceData!$AG$389),"",ReferenceData!$AG$389),"")</f>
        <v/>
      </c>
      <c r="AH389" t="str">
        <f ca="1">IFERROR(IF(0=LEN(ReferenceData!$AH$389),"",ReferenceData!$AH$389),"")</f>
        <v/>
      </c>
      <c r="AI389" t="str">
        <f ca="1">IFERROR(IF(0=LEN(ReferenceData!$AI$389),"",ReferenceData!$AI$389),"")</f>
        <v/>
      </c>
      <c r="AJ389" t="str">
        <f ca="1">IFERROR(IF(0=LEN(ReferenceData!$AJ$389),"",ReferenceData!$AJ$389),"")</f>
        <v/>
      </c>
      <c r="AK389" t="str">
        <f ca="1">IFERROR(IF(0=LEN(ReferenceData!$AK$389),"",ReferenceData!$AK$389),"")</f>
        <v/>
      </c>
      <c r="AL389" t="str">
        <f ca="1">IFERROR(IF(0=LEN(ReferenceData!$AL$389),"",ReferenceData!$AL$389),"")</f>
        <v/>
      </c>
      <c r="AM389" t="str">
        <f ca="1">IFERROR(IF(0=LEN(ReferenceData!$AM$389),"",ReferenceData!$AM$389),"")</f>
        <v/>
      </c>
      <c r="AN389" t="str">
        <f ca="1">IFERROR(IF(0=LEN(ReferenceData!$AN$389),"",ReferenceData!$AN$389),"")</f>
        <v/>
      </c>
      <c r="AO389" t="str">
        <f ca="1">IFERROR(IF(0=LEN(ReferenceData!$AO$389),"",ReferenceData!$AO$389),"")</f>
        <v/>
      </c>
      <c r="AP389" t="str">
        <f ca="1">IFERROR(IF(0=LEN(ReferenceData!$AP$389),"",ReferenceData!$AP$389),"")</f>
        <v/>
      </c>
      <c r="AQ389" t="str">
        <f ca="1">IFERROR(IF(0=LEN(ReferenceData!$AQ$389),"",ReferenceData!$AQ$389),"")</f>
        <v/>
      </c>
      <c r="AR389" t="str">
        <f ca="1">IFERROR(IF(0=LEN(ReferenceData!$AR$389),"",ReferenceData!$AR$389),"")</f>
        <v/>
      </c>
      <c r="AS389" t="str">
        <f ca="1">IFERROR(IF(0=LEN(ReferenceData!$AS$389),"",ReferenceData!$AS$389),"")</f>
        <v/>
      </c>
      <c r="AT389" t="str">
        <f ca="1">IFERROR(IF(0=LEN(ReferenceData!$AT$389),"",ReferenceData!$AT$389),"")</f>
        <v/>
      </c>
      <c r="AU389" t="str">
        <f ca="1">IFERROR(IF(0=LEN(ReferenceData!$AU$389),"",ReferenceData!$AU$389),"")</f>
        <v/>
      </c>
      <c r="AV389" t="str">
        <f ca="1">IFERROR(IF(0=LEN(ReferenceData!$AV$389),"",ReferenceData!$AV$389),"")</f>
        <v/>
      </c>
      <c r="AW389" t="str">
        <f ca="1">IFERROR(IF(0=LEN(ReferenceData!$AW$389),"",ReferenceData!$AW$389),"")</f>
        <v/>
      </c>
      <c r="AX389" t="str">
        <f ca="1">IFERROR(IF(0=LEN(ReferenceData!$AX$389),"",ReferenceData!$AX$389),"")</f>
        <v/>
      </c>
      <c r="AY389" t="str">
        <f ca="1">IFERROR(IF(0=LEN(ReferenceData!$AY$389),"",ReferenceData!$AY$389),"")</f>
        <v/>
      </c>
      <c r="AZ389" t="str">
        <f ca="1">IFERROR(IF(0=LEN(ReferenceData!$AZ$389),"",ReferenceData!$AZ$389),"")</f>
        <v/>
      </c>
      <c r="BA389" t="str">
        <f ca="1">IFERROR(IF(0=LEN(ReferenceData!$BA$389),"",ReferenceData!$BA$389),"")</f>
        <v/>
      </c>
      <c r="BB389" t="str">
        <f ca="1">IFERROR(IF(0=LEN(ReferenceData!$BB$389),"",ReferenceData!$BB$389),"")</f>
        <v/>
      </c>
      <c r="BC389" t="str">
        <f ca="1">IFERROR(IF(0=LEN(ReferenceData!$BC$389),"",ReferenceData!$BC$389),"")</f>
        <v/>
      </c>
      <c r="BD389" t="str">
        <f ca="1">IFERROR(IF(0=LEN(ReferenceData!$BD$389),"",ReferenceData!$BD$389),"")</f>
        <v/>
      </c>
      <c r="BE389" t="str">
        <f ca="1">IFERROR(IF(0=LEN(ReferenceData!$BE$389),"",ReferenceData!$BE$389),"")</f>
        <v/>
      </c>
      <c r="BF389" t="str">
        <f ca="1">IFERROR(IF(0=LEN(ReferenceData!$BF$389),"",ReferenceData!$BF$389),"")</f>
        <v/>
      </c>
      <c r="BG389" t="str">
        <f ca="1">IFERROR(IF(0=LEN(ReferenceData!$BG$389),"",ReferenceData!$BG$389),"")</f>
        <v/>
      </c>
      <c r="BH389" t="str">
        <f ca="1">IFERROR(IF(0=LEN(ReferenceData!$BH$389),"",ReferenceData!$BH$389),"")</f>
        <v/>
      </c>
      <c r="BI389" t="str">
        <f ca="1">IFERROR(IF(0=LEN(ReferenceData!$BI$389),"",ReferenceData!$BI$389),"")</f>
        <v/>
      </c>
      <c r="BJ389" t="str">
        <f ca="1">IFERROR(IF(0=LEN(ReferenceData!$BJ$389),"",ReferenceData!$BJ$389),"")</f>
        <v/>
      </c>
      <c r="BK389" t="str">
        <f ca="1">IFERROR(IF(0=LEN(ReferenceData!$BK$389),"",ReferenceData!$BK$389),"")</f>
        <v/>
      </c>
      <c r="BL389" t="str">
        <f ca="1">IFERROR(IF(0=LEN(ReferenceData!$BL$389),"",ReferenceData!$BL$389),"")</f>
        <v/>
      </c>
      <c r="BM389" t="str">
        <f ca="1">IFERROR(IF(0=LEN(ReferenceData!$BM$389),"",ReferenceData!$BM$389),"")</f>
        <v/>
      </c>
    </row>
    <row r="390" spans="1:65">
      <c r="A390" t="str">
        <f>IFERROR(IF(0=LEN(ReferenceData!$A$390),"",ReferenceData!$A$390),"")</f>
        <v xml:space="preserve">    CBL &amp; Associates Properties In</v>
      </c>
      <c r="B390" t="str">
        <f>IFERROR(IF(0=LEN(ReferenceData!$B$390),"",ReferenceData!$B$390),"")</f>
        <v>CBL US Equity</v>
      </c>
      <c r="C390" t="str">
        <f>IFERROR(IF(0=LEN(ReferenceData!$C$390),"",ReferenceData!$C$390),"")</f>
        <v>RR106</v>
      </c>
      <c r="D390" t="str">
        <f>IFERROR(IF(0=LEN(ReferenceData!$D$390),"",ReferenceData!$D$390),"")</f>
        <v>FFO_PAYOUT_RATIO</v>
      </c>
      <c r="E390" t="str">
        <f>IFERROR(IF(0=LEN(ReferenceData!$E$390),"",ReferenceData!$E$390),"")</f>
        <v>动态</v>
      </c>
      <c r="F390" t="str">
        <f ca="1">IFERROR(IF(0=LEN(ReferenceData!$F$390),"",ReferenceData!$F$390),"")</f>
        <v/>
      </c>
      <c r="G390">
        <f ca="1">IFERROR(IF(0=LEN(ReferenceData!$G$390),"",ReferenceData!$G$390),"")</f>
        <v>72.946509939999999</v>
      </c>
      <c r="H390">
        <f ca="1">IFERROR(IF(0=LEN(ReferenceData!$H$390),"",ReferenceData!$H$390),"")</f>
        <v>44.08318749</v>
      </c>
      <c r="I390">
        <f ca="1">IFERROR(IF(0=LEN(ReferenceData!$I$390),"",ReferenceData!$I$390),"")</f>
        <v>39.059646460000003</v>
      </c>
      <c r="J390">
        <f ca="1">IFERROR(IF(0=LEN(ReferenceData!$J$390),"",ReferenceData!$J$390),"")</f>
        <v>42.526967450000001</v>
      </c>
      <c r="K390">
        <f ca="1">IFERROR(IF(0=LEN(ReferenceData!$K$390),"",ReferenceData!$K$390),"")</f>
        <v>31.330138720000001</v>
      </c>
      <c r="L390">
        <f ca="1">IFERROR(IF(0=LEN(ReferenceData!$L$390),"",ReferenceData!$L$390),"")</f>
        <v>40.75043668</v>
      </c>
      <c r="M390">
        <f ca="1">IFERROR(IF(0=LEN(ReferenceData!$M$390),"",ReferenceData!$M$390),"")</f>
        <v>30.736361469999999</v>
      </c>
      <c r="N390">
        <f ca="1">IFERROR(IF(0=LEN(ReferenceData!$N$390),"",ReferenceData!$N$390),"")</f>
        <v>33.296060619999999</v>
      </c>
      <c r="O390">
        <f ca="1">IFERROR(IF(0=LEN(ReferenceData!$O$390),"",ReferenceData!$O$390),"")</f>
        <v>32.038387630000003</v>
      </c>
      <c r="P390">
        <f ca="1">IFERROR(IF(0=LEN(ReferenceData!$P$390),"",ReferenceData!$P$390),"")</f>
        <v>40.717375629999999</v>
      </c>
      <c r="Q390">
        <f ca="1">IFERROR(IF(0=LEN(ReferenceData!$Q$390),"",ReferenceData!$Q$390),"")</f>
        <v>43.058143520000002</v>
      </c>
      <c r="R390">
        <f ca="1">IFERROR(IF(0=LEN(ReferenceData!$R$390),"",ReferenceData!$R$390),"")</f>
        <v>36.374641580000002</v>
      </c>
      <c r="S390">
        <f ca="1">IFERROR(IF(0=LEN(ReferenceData!$S$390),"",ReferenceData!$S$390),"")</f>
        <v>27.485333799999999</v>
      </c>
      <c r="T390">
        <f ca="1">IFERROR(IF(0=LEN(ReferenceData!$T$390),"",ReferenceData!$T$390),"")</f>
        <v>33.143701630000002</v>
      </c>
      <c r="U390">
        <f ca="1">IFERROR(IF(0=LEN(ReferenceData!$U$390),"",ReferenceData!$U$390),"")</f>
        <v>38.230687809999999</v>
      </c>
      <c r="V390">
        <f ca="1">IFERROR(IF(0=LEN(ReferenceData!$V$390),"",ReferenceData!$V$390),"")</f>
        <v>28.484588899999999</v>
      </c>
      <c r="W390">
        <f ca="1">IFERROR(IF(0=LEN(ReferenceData!$W$390),"",ReferenceData!$W$390),"")</f>
        <v>34.43051036</v>
      </c>
      <c r="X390">
        <f ca="1">IFERROR(IF(0=LEN(ReferenceData!$X$390),"",ReferenceData!$X$390),"")</f>
        <v>35.2995619</v>
      </c>
      <c r="Y390">
        <f ca="1">IFERROR(IF(0=LEN(ReferenceData!$Y$390),"",ReferenceData!$Y$390),"")</f>
        <v>40.607481640000003</v>
      </c>
      <c r="Z390">
        <f ca="1">IFERROR(IF(0=LEN(ReferenceData!$Z$390),"",ReferenceData!$Z$390),"")</f>
        <v>37.110693449999999</v>
      </c>
      <c r="AA390">
        <f ca="1">IFERROR(IF(0=LEN(ReferenceData!$AA$390),"",ReferenceData!$AA$390),"")</f>
        <v>22.51781888</v>
      </c>
      <c r="AB390">
        <f ca="1">IFERROR(IF(0=LEN(ReferenceData!$AB$390),"",ReferenceData!$AB$390),"")</f>
        <v>34.293253460000003</v>
      </c>
      <c r="AC390">
        <f ca="1">IFERROR(IF(0=LEN(ReferenceData!$AC$390),"",ReferenceData!$AC$390),"")</f>
        <v>32.94324383</v>
      </c>
      <c r="AD390">
        <f ca="1">IFERROR(IF(0=LEN(ReferenceData!$AD$390),"",ReferenceData!$AD$390),"")</f>
        <v>35.360525969999998</v>
      </c>
      <c r="AE390">
        <f ca="1">IFERROR(IF(0=LEN(ReferenceData!$AE$390),"",ReferenceData!$AE$390),"")</f>
        <v>27.270406999999999</v>
      </c>
      <c r="AF390">
        <f ca="1">IFERROR(IF(0=LEN(ReferenceData!$AF$390),"",ReferenceData!$AF$390),"")</f>
        <v>34.203159479999997</v>
      </c>
      <c r="AG390">
        <f ca="1">IFERROR(IF(0=LEN(ReferenceData!$AG$390),"",ReferenceData!$AG$390),"")</f>
        <v>32.914709520000002</v>
      </c>
      <c r="AH390">
        <f ca="1">IFERROR(IF(0=LEN(ReferenceData!$AH$390),"",ReferenceData!$AH$390),"")</f>
        <v>25.386502369999999</v>
      </c>
      <c r="AI390">
        <f ca="1">IFERROR(IF(0=LEN(ReferenceData!$AI$390),"",ReferenceData!$AI$390),"")</f>
        <v>26.06099481</v>
      </c>
      <c r="AJ390">
        <f ca="1">IFERROR(IF(0=LEN(ReferenceData!$AJ$390),"",ReferenceData!$AJ$390),"")</f>
        <v>30.860610399999999</v>
      </c>
      <c r="AK390">
        <f ca="1">IFERROR(IF(0=LEN(ReferenceData!$AK$390),"",ReferenceData!$AK$390),"")</f>
        <v>40.232798680000002</v>
      </c>
      <c r="AL390">
        <f ca="1">IFERROR(IF(0=LEN(ReferenceData!$AL$390),"",ReferenceData!$AL$390),"")</f>
        <v>29.498455719999999</v>
      </c>
      <c r="AM390">
        <f ca="1">IFERROR(IF(0=LEN(ReferenceData!$AM$390),"",ReferenceData!$AM$390),"")</f>
        <v>424.63196799999997</v>
      </c>
      <c r="AN390">
        <f ca="1">IFERROR(IF(0=LEN(ReferenceData!$AN$390),"",ReferenceData!$AN$390),"")</f>
        <v>7.3092028449999997</v>
      </c>
      <c r="AO390">
        <f ca="1">IFERROR(IF(0=LEN(ReferenceData!$AO$390),"",ReferenceData!$AO$390),"")</f>
        <v>15.75094238</v>
      </c>
      <c r="AP390">
        <f ca="1">IFERROR(IF(0=LEN(ReferenceData!$AP$390),"",ReferenceData!$AP$390),"")</f>
        <v>27.785189370000001</v>
      </c>
      <c r="AQ390">
        <f ca="1">IFERROR(IF(0=LEN(ReferenceData!$AQ$390),"",ReferenceData!$AQ$390),"")</f>
        <v>26.698638509999999</v>
      </c>
      <c r="AR390">
        <f ca="1">IFERROR(IF(0=LEN(ReferenceData!$AR$390),"",ReferenceData!$AR$390),"")</f>
        <v>37.749540590000002</v>
      </c>
      <c r="AS390">
        <f ca="1">IFERROR(IF(0=LEN(ReferenceData!$AS$390),"",ReferenceData!$AS$390),"")</f>
        <v>38.273291399999998</v>
      </c>
      <c r="AT390">
        <f ca="1">IFERROR(IF(0=LEN(ReferenceData!$AT$390),"",ReferenceData!$AT$390),"")</f>
        <v>38.83043455</v>
      </c>
      <c r="AU390">
        <f ca="1">IFERROR(IF(0=LEN(ReferenceData!$AU$390),"",ReferenceData!$AU$390),"")</f>
        <v>36.990384419999998</v>
      </c>
      <c r="AV390">
        <f ca="1">IFERROR(IF(0=LEN(ReferenceData!$AV$390),"",ReferenceData!$AV$390),"")</f>
        <v>37.409124919999996</v>
      </c>
      <c r="AW390">
        <f ca="1">IFERROR(IF(0=LEN(ReferenceData!$AW$390),"",ReferenceData!$AW$390),"")</f>
        <v>38.336238190000003</v>
      </c>
      <c r="AX390">
        <f ca="1">IFERROR(IF(0=LEN(ReferenceData!$AX$390),"",ReferenceData!$AX$390),"")</f>
        <v>36.228660050000002</v>
      </c>
      <c r="AY390">
        <f ca="1">IFERROR(IF(0=LEN(ReferenceData!$AY$390),"",ReferenceData!$AY$390),"")</f>
        <v>28.79871485</v>
      </c>
      <c r="AZ390">
        <f ca="1">IFERROR(IF(0=LEN(ReferenceData!$AZ$390),"",ReferenceData!$AZ$390),"")</f>
        <v>32.033086390000001</v>
      </c>
      <c r="BA390">
        <f ca="1">IFERROR(IF(0=LEN(ReferenceData!$BA$390),"",ReferenceData!$BA$390),"")</f>
        <v>33.073216809999998</v>
      </c>
      <c r="BB390">
        <f ca="1">IFERROR(IF(0=LEN(ReferenceData!$BB$390),"",ReferenceData!$BB$390),"")</f>
        <v>29.68370406</v>
      </c>
      <c r="BC390">
        <f ca="1">IFERROR(IF(0=LEN(ReferenceData!$BC$390),"",ReferenceData!$BC$390),"")</f>
        <v>61.634327470000002</v>
      </c>
      <c r="BD390">
        <f ca="1">IFERROR(IF(0=LEN(ReferenceData!$BD$390),"",ReferenceData!$BD$390),"")</f>
        <v>22.348898699999999</v>
      </c>
      <c r="BE390">
        <f ca="1">IFERROR(IF(0=LEN(ReferenceData!$BE$390),"",ReferenceData!$BE$390),"")</f>
        <v>30.606806550000002</v>
      </c>
      <c r="BF390">
        <f ca="1">IFERROR(IF(0=LEN(ReferenceData!$BF$390),"",ReferenceData!$BF$390),"")</f>
        <v>28.678739780000001</v>
      </c>
      <c r="BG390">
        <f ca="1">IFERROR(IF(0=LEN(ReferenceData!$BG$390),"",ReferenceData!$BG$390),"")</f>
        <v>22.925019630000001</v>
      </c>
      <c r="BH390">
        <f ca="1">IFERROR(IF(0=LEN(ReferenceData!$BH$390),"",ReferenceData!$BH$390),"")</f>
        <v>29.651425140000001</v>
      </c>
      <c r="BI390">
        <f ca="1">IFERROR(IF(0=LEN(ReferenceData!$BI$390),"",ReferenceData!$BI$390),"")</f>
        <v>32.27472333</v>
      </c>
      <c r="BJ390">
        <f ca="1">IFERROR(IF(0=LEN(ReferenceData!$BJ$390),"",ReferenceData!$BJ$390),"")</f>
        <v>31.560436030000002</v>
      </c>
      <c r="BK390">
        <f ca="1">IFERROR(IF(0=LEN(ReferenceData!$BK$390),"",ReferenceData!$BK$390),"")</f>
        <v>30.699866790000002</v>
      </c>
      <c r="BL390">
        <f ca="1">IFERROR(IF(0=LEN(ReferenceData!$BL$390),"",ReferenceData!$BL$390),"")</f>
        <v>29.884042950000001</v>
      </c>
      <c r="BM390">
        <f ca="1">IFERROR(IF(0=LEN(ReferenceData!$BM$390),"",ReferenceData!$BM$390),"")</f>
        <v>29.040443849999999</v>
      </c>
    </row>
    <row r="391" spans="1:65">
      <c r="A391" t="str">
        <f>IFERROR(IF(0=LEN(ReferenceData!$A$391),"",ReferenceData!$A$391),"")</f>
        <v xml:space="preserve">    DDR Corp</v>
      </c>
      <c r="B391" t="str">
        <f>IFERROR(IF(0=LEN(ReferenceData!$B$391),"",ReferenceData!$B$391),"")</f>
        <v>DDR US Equity</v>
      </c>
      <c r="C391" t="str">
        <f>IFERROR(IF(0=LEN(ReferenceData!$C$391),"",ReferenceData!$C$391),"")</f>
        <v>RR106</v>
      </c>
      <c r="D391" t="str">
        <f>IFERROR(IF(0=LEN(ReferenceData!$D$391),"",ReferenceData!$D$391),"")</f>
        <v>FFO_PAYOUT_RATIO</v>
      </c>
      <c r="E391" t="str">
        <f>IFERROR(IF(0=LEN(ReferenceData!$E$391),"",ReferenceData!$E$391),"")</f>
        <v>动态</v>
      </c>
      <c r="F391" t="str">
        <f ca="1">IFERROR(IF(0=LEN(ReferenceData!$F$391),"",ReferenceData!$F$391),"")</f>
        <v/>
      </c>
      <c r="G391">
        <f ca="1">IFERROR(IF(0=LEN(ReferenceData!$G$391),"",ReferenceData!$G$391),"")</f>
        <v>73.74666302</v>
      </c>
      <c r="H391">
        <f ca="1">IFERROR(IF(0=LEN(ReferenceData!$H$391),"",ReferenceData!$H$391),"")</f>
        <v>151.13724640000001</v>
      </c>
      <c r="I391">
        <f ca="1">IFERROR(IF(0=LEN(ReferenceData!$I$391),"",ReferenceData!$I$391),"")</f>
        <v>75.072214770000002</v>
      </c>
      <c r="J391">
        <f ca="1">IFERROR(IF(0=LEN(ReferenceData!$J$391),"",ReferenceData!$J$391),"")</f>
        <v>314.31208359999999</v>
      </c>
      <c r="K391">
        <f ca="1">IFERROR(IF(0=LEN(ReferenceData!$K$391),"",ReferenceData!$K$391),"")</f>
        <v>62.558474269999998</v>
      </c>
      <c r="L391">
        <f ca="1">IFERROR(IF(0=LEN(ReferenceData!$L$391),"",ReferenceData!$L$391),"")</f>
        <v>57.90472544</v>
      </c>
      <c r="M391">
        <f ca="1">IFERROR(IF(0=LEN(ReferenceData!$M$391),"",ReferenceData!$M$391),"")</f>
        <v>57.751348479999997</v>
      </c>
      <c r="N391">
        <f ca="1">IFERROR(IF(0=LEN(ReferenceData!$N$391),"",ReferenceData!$N$391),"")</f>
        <v>60.660718340000003</v>
      </c>
      <c r="O391">
        <f ca="1">IFERROR(IF(0=LEN(ReferenceData!$O$391),"",ReferenceData!$O$391),"")</f>
        <v>54.01397283</v>
      </c>
      <c r="P391">
        <f ca="1">IFERROR(IF(0=LEN(ReferenceData!$P$391),"",ReferenceData!$P$391),"")</f>
        <v>55.084656080000002</v>
      </c>
      <c r="Q391">
        <f ca="1">IFERROR(IF(0=LEN(ReferenceData!$Q$391),"",ReferenceData!$Q$391),"")</f>
        <v>59.302735169999998</v>
      </c>
      <c r="R391">
        <f ca="1">IFERROR(IF(0=LEN(ReferenceData!$R$391),"",ReferenceData!$R$391),"")</f>
        <v>471.6428085</v>
      </c>
      <c r="S391">
        <f ca="1">IFERROR(IF(0=LEN(ReferenceData!$S$391),"",ReferenceData!$S$391),"")</f>
        <v>69.07063565</v>
      </c>
      <c r="T391">
        <f ca="1">IFERROR(IF(0=LEN(ReferenceData!$T$391),"",ReferenceData!$T$391),"")</f>
        <v>50.296931409999999</v>
      </c>
      <c r="U391">
        <f ca="1">IFERROR(IF(0=LEN(ReferenceData!$U$391),"",ReferenceData!$U$391),"")</f>
        <v>67.833572799999999</v>
      </c>
      <c r="V391">
        <f ca="1">IFERROR(IF(0=LEN(ReferenceData!$V$391),"",ReferenceData!$V$391),"")</f>
        <v>64.598506040000004</v>
      </c>
      <c r="W391">
        <f ca="1">IFERROR(IF(0=LEN(ReferenceData!$W$391),"",ReferenceData!$W$391),"")</f>
        <v>40.096785199999999</v>
      </c>
      <c r="X391">
        <f ca="1">IFERROR(IF(0=LEN(ReferenceData!$X$391),"",ReferenceData!$X$391),"")</f>
        <v>47.792385230000001</v>
      </c>
      <c r="Y391">
        <f ca="1">IFERROR(IF(0=LEN(ReferenceData!$Y$391),"",ReferenceData!$Y$391),"")</f>
        <v>54.033064879999998</v>
      </c>
      <c r="Z391">
        <f ca="1">IFERROR(IF(0=LEN(ReferenceData!$Z$391),"",ReferenceData!$Z$391),"")</f>
        <v>51.84933831</v>
      </c>
      <c r="AA391">
        <f ca="1">IFERROR(IF(0=LEN(ReferenceData!$AA$391),"",ReferenceData!$AA$391),"")</f>
        <v>59.750634730000002</v>
      </c>
      <c r="AB391">
        <f ca="1">IFERROR(IF(0=LEN(ReferenceData!$AB$391),"",ReferenceData!$AB$391),"")</f>
        <v>32.174588810000003</v>
      </c>
      <c r="AC391">
        <f ca="1">IFERROR(IF(0=LEN(ReferenceData!$AC$391),"",ReferenceData!$AC$391),"")</f>
        <v>43.096589090000002</v>
      </c>
      <c r="AD391">
        <f ca="1">IFERROR(IF(0=LEN(ReferenceData!$AD$391),"",ReferenceData!$AD$391),"")</f>
        <v>55.274954809999997</v>
      </c>
      <c r="AE391">
        <f ca="1">IFERROR(IF(0=LEN(ReferenceData!$AE$391),"",ReferenceData!$AE$391),"")</f>
        <v>46.351239059999997</v>
      </c>
      <c r="AF391">
        <f ca="1">IFERROR(IF(0=LEN(ReferenceData!$AF$391),"",ReferenceData!$AF$391),"")</f>
        <v>47.511287950000003</v>
      </c>
      <c r="AG391">
        <f ca="1">IFERROR(IF(0=LEN(ReferenceData!$AG$391),"",ReferenceData!$AG$391),"")</f>
        <v>20.876702949999999</v>
      </c>
      <c r="AH391">
        <f ca="1">IFERROR(IF(0=LEN(ReferenceData!$AH$391),"",ReferenceData!$AH$391),"")</f>
        <v>11.014619980000001</v>
      </c>
      <c r="AI391" t="str">
        <f ca="1">IFERROR(IF(0=LEN(ReferenceData!$AI$391),"",ReferenceData!$AI$391),"")</f>
        <v/>
      </c>
      <c r="AJ391">
        <f ca="1">IFERROR(IF(0=LEN(ReferenceData!$AJ$391),"",ReferenceData!$AJ$391),"")</f>
        <v>10.45857734</v>
      </c>
      <c r="AK391" t="str">
        <f ca="1">IFERROR(IF(0=LEN(ReferenceData!$AK$391),"",ReferenceData!$AK$391),"")</f>
        <v/>
      </c>
      <c r="AL391">
        <f ca="1">IFERROR(IF(0=LEN(ReferenceData!$AL$391),"",ReferenceData!$AL$391),"")</f>
        <v>11.64904093</v>
      </c>
      <c r="AM391" t="str">
        <f ca="1">IFERROR(IF(0=LEN(ReferenceData!$AM$391),"",ReferenceData!$AM$391),"")</f>
        <v/>
      </c>
      <c r="AN391" t="str">
        <f ca="1">IFERROR(IF(0=LEN(ReferenceData!$AN$391),"",ReferenceData!$AN$391),"")</f>
        <v/>
      </c>
      <c r="AO391" t="str">
        <f ca="1">IFERROR(IF(0=LEN(ReferenceData!$AO$391),"",ReferenceData!$AO$391),"")</f>
        <v/>
      </c>
      <c r="AP391">
        <f ca="1">IFERROR(IF(0=LEN(ReferenceData!$AP$391),"",ReferenceData!$AP$391),"")</f>
        <v>18.70820724</v>
      </c>
      <c r="AQ391">
        <f ca="1">IFERROR(IF(0=LEN(ReferenceData!$AQ$391),"",ReferenceData!$AQ$391),"")</f>
        <v>0</v>
      </c>
      <c r="AR391">
        <f ca="1">IFERROR(IF(0=LEN(ReferenceData!$AR$391),"",ReferenceData!$AR$391),"")</f>
        <v>77.040739290000005</v>
      </c>
      <c r="AS391">
        <f ca="1">IFERROR(IF(0=LEN(ReferenceData!$AS$391),"",ReferenceData!$AS$391),"")</f>
        <v>77.386145870000007</v>
      </c>
      <c r="AT391">
        <f ca="1">IFERROR(IF(0=LEN(ReferenceData!$AT$391),"",ReferenceData!$AT$391),"")</f>
        <v>77.311466820000007</v>
      </c>
      <c r="AU391">
        <f ca="1">IFERROR(IF(0=LEN(ReferenceData!$AU$391),"",ReferenceData!$AU$391),"")</f>
        <v>71.352224230000004</v>
      </c>
      <c r="AV391">
        <f ca="1">IFERROR(IF(0=LEN(ReferenceData!$AV$391),"",ReferenceData!$AV$391),"")</f>
        <v>73.919448579999994</v>
      </c>
      <c r="AW391">
        <f ca="1">IFERROR(IF(0=LEN(ReferenceData!$AW$391),"",ReferenceData!$AW$391),"")</f>
        <v>46.866077850000003</v>
      </c>
      <c r="AX391">
        <f ca="1">IFERROR(IF(0=LEN(ReferenceData!$AX$391),"",ReferenceData!$AX$391),"")</f>
        <v>68.725984580000002</v>
      </c>
      <c r="AY391">
        <f ca="1">IFERROR(IF(0=LEN(ReferenceData!$AY$391),"",ReferenceData!$AY$391),"")</f>
        <v>62.31832095</v>
      </c>
      <c r="AZ391">
        <f ca="1">IFERROR(IF(0=LEN(ReferenceData!$AZ$391),"",ReferenceData!$AZ$391),"")</f>
        <v>61.009997630000001</v>
      </c>
      <c r="BA391">
        <f ca="1">IFERROR(IF(0=LEN(ReferenceData!$BA$391),"",ReferenceData!$BA$391),"")</f>
        <v>52.228482880000001</v>
      </c>
      <c r="BB391">
        <f ca="1">IFERROR(IF(0=LEN(ReferenceData!$BB$391),"",ReferenceData!$BB$391),"")</f>
        <v>64.297867659999994</v>
      </c>
      <c r="BC391">
        <f ca="1">IFERROR(IF(0=LEN(ReferenceData!$BC$391),"",ReferenceData!$BC$391),"")</f>
        <v>62.401637630000003</v>
      </c>
      <c r="BD391">
        <f ca="1">IFERROR(IF(0=LEN(ReferenceData!$BD$391),"",ReferenceData!$BD$391),"")</f>
        <v>71.594585670000001</v>
      </c>
      <c r="BE391">
        <f ca="1">IFERROR(IF(0=LEN(ReferenceData!$BE$391),"",ReferenceData!$BE$391),"")</f>
        <v>63.185864809999998</v>
      </c>
      <c r="BF391">
        <f ca="1">IFERROR(IF(0=LEN(ReferenceData!$BF$391),"",ReferenceData!$BF$391),"")</f>
        <v>51.675659869999997</v>
      </c>
      <c r="BG391">
        <f ca="1">IFERROR(IF(0=LEN(ReferenceData!$BG$391),"",ReferenceData!$BG$391),"")</f>
        <v>80.230042449999999</v>
      </c>
      <c r="BH391">
        <f ca="1">IFERROR(IF(0=LEN(ReferenceData!$BH$391),"",ReferenceData!$BH$391),"")</f>
        <v>69.518461149999993</v>
      </c>
      <c r="BI391">
        <f ca="1">IFERROR(IF(0=LEN(ReferenceData!$BI$391),"",ReferenceData!$BI$391),"")</f>
        <v>210.97784429999999</v>
      </c>
      <c r="BJ391">
        <f ca="1">IFERROR(IF(0=LEN(ReferenceData!$BJ$391),"",ReferenceData!$BJ$391),"")</f>
        <v>0</v>
      </c>
      <c r="BK391">
        <f ca="1">IFERROR(IF(0=LEN(ReferenceData!$BK$391),"",ReferenceData!$BK$391),"")</f>
        <v>65.947678300000007</v>
      </c>
      <c r="BL391">
        <f ca="1">IFERROR(IF(0=LEN(ReferenceData!$BL$391),"",ReferenceData!$BL$391),"")</f>
        <v>345.64032939999998</v>
      </c>
      <c r="BM391">
        <f ca="1">IFERROR(IF(0=LEN(ReferenceData!$BM$391),"",ReferenceData!$BM$391),"")</f>
        <v>375.80166000000003</v>
      </c>
    </row>
    <row r="392" spans="1:65">
      <c r="A392" t="str">
        <f>IFERROR(IF(0=LEN(ReferenceData!$A$392),"",ReferenceData!$A$392),"")</f>
        <v xml:space="preserve">    Federal Realty Investment Trus</v>
      </c>
      <c r="B392" t="str">
        <f>IFERROR(IF(0=LEN(ReferenceData!$B$392),"",ReferenceData!$B$392),"")</f>
        <v>FRT US Equity</v>
      </c>
      <c r="C392" t="str">
        <f>IFERROR(IF(0=LEN(ReferenceData!$C$392),"",ReferenceData!$C$392),"")</f>
        <v>RR106</v>
      </c>
      <c r="D392" t="str">
        <f>IFERROR(IF(0=LEN(ReferenceData!$D$392),"",ReferenceData!$D$392),"")</f>
        <v>FFO_PAYOUT_RATIO</v>
      </c>
      <c r="E392" t="str">
        <f>IFERROR(IF(0=LEN(ReferenceData!$E$392),"",ReferenceData!$E$392),"")</f>
        <v>动态</v>
      </c>
      <c r="F392" t="str">
        <f ca="1">IFERROR(IF(0=LEN(ReferenceData!$F$392),"",ReferenceData!$F$392),"")</f>
        <v/>
      </c>
      <c r="G392">
        <f ca="1">IFERROR(IF(0=LEN(ReferenceData!$G$392),"",ReferenceData!$G$392),"")</f>
        <v>76.505456300000006</v>
      </c>
      <c r="H392">
        <f ca="1">IFERROR(IF(0=LEN(ReferenceData!$H$392),"",ReferenceData!$H$392),"")</f>
        <v>65.930998110000004</v>
      </c>
      <c r="I392">
        <f ca="1">IFERROR(IF(0=LEN(ReferenceData!$I$392),"",ReferenceData!$I$392),"")</f>
        <v>64.971483289999995</v>
      </c>
      <c r="J392">
        <f ca="1">IFERROR(IF(0=LEN(ReferenceData!$J$392),"",ReferenceData!$J$392),"")</f>
        <v>66.823573890000006</v>
      </c>
      <c r="K392">
        <f ca="1">IFERROR(IF(0=LEN(ReferenceData!$K$392),"",ReferenceData!$K$392),"")</f>
        <v>67.206130439999995</v>
      </c>
      <c r="L392">
        <f ca="1">IFERROR(IF(0=LEN(ReferenceData!$L$392),"",ReferenceData!$L$392),"")</f>
        <v>69.152378990000003</v>
      </c>
      <c r="M392">
        <f ca="1">IFERROR(IF(0=LEN(ReferenceData!$M$392),"",ReferenceData!$M$392),"")</f>
        <v>65.118525980000001</v>
      </c>
      <c r="N392">
        <f ca="1">IFERROR(IF(0=LEN(ReferenceData!$N$392),"",ReferenceData!$N$392),"")</f>
        <v>68.215680050000003</v>
      </c>
      <c r="O392">
        <f ca="1">IFERROR(IF(0=LEN(ReferenceData!$O$392),"",ReferenceData!$O$392),"")</f>
        <v>67.708462909999994</v>
      </c>
      <c r="P392">
        <f ca="1">IFERROR(IF(0=LEN(ReferenceData!$P$392),"",ReferenceData!$P$392),"")</f>
        <v>68.598211379999995</v>
      </c>
      <c r="Q392">
        <f ca="1">IFERROR(IF(0=LEN(ReferenceData!$Q$392),"",ReferenceData!$Q$392),"")</f>
        <v>81.200638319999996</v>
      </c>
      <c r="R392">
        <f ca="1">IFERROR(IF(0=LEN(ReferenceData!$R$392),"",ReferenceData!$R$392),"")</f>
        <v>68.453853910000007</v>
      </c>
      <c r="S392">
        <f ca="1">IFERROR(IF(0=LEN(ReferenceData!$S$392),"",ReferenceData!$S$392),"")</f>
        <v>76.091568589999994</v>
      </c>
      <c r="T392">
        <f ca="1">IFERROR(IF(0=LEN(ReferenceData!$T$392),"",ReferenceData!$T$392),"")</f>
        <v>69.584962169999997</v>
      </c>
      <c r="U392">
        <f ca="1">IFERROR(IF(0=LEN(ReferenceData!$U$392),"",ReferenceData!$U$392),"")</f>
        <v>62.740675039999999</v>
      </c>
      <c r="V392">
        <f ca="1">IFERROR(IF(0=LEN(ReferenceData!$V$392),"",ReferenceData!$V$392),"")</f>
        <v>64.169337279999993</v>
      </c>
      <c r="W392">
        <f ca="1">IFERROR(IF(0=LEN(ReferenceData!$W$392),"",ReferenceData!$W$392),"")</f>
        <v>75.254051369999999</v>
      </c>
      <c r="X392">
        <f ca="1">IFERROR(IF(0=LEN(ReferenceData!$X$392),"",ReferenceData!$X$392),"")</f>
        <v>66.903834070000002</v>
      </c>
      <c r="Y392">
        <f ca="1">IFERROR(IF(0=LEN(ReferenceData!$Y$392),"",ReferenceData!$Y$392),"")</f>
        <v>67.392862660000006</v>
      </c>
      <c r="Z392">
        <f ca="1">IFERROR(IF(0=LEN(ReferenceData!$Z$392),"",ReferenceData!$Z$392),"")</f>
        <v>64.15530047</v>
      </c>
      <c r="AA392">
        <f ca="1">IFERROR(IF(0=LEN(ReferenceData!$AA$392),"",ReferenceData!$AA$392),"")</f>
        <v>65.519290810000001</v>
      </c>
      <c r="AB392">
        <f ca="1">IFERROR(IF(0=LEN(ReferenceData!$AB$392),"",ReferenceData!$AB$392),"")</f>
        <v>64.848142550000006</v>
      </c>
      <c r="AC392">
        <f ca="1">IFERROR(IF(0=LEN(ReferenceData!$AC$392),"",ReferenceData!$AC$392),"")</f>
        <v>65.819581299999996</v>
      </c>
      <c r="AD392">
        <f ca="1">IFERROR(IF(0=LEN(ReferenceData!$AD$392),"",ReferenceData!$AD$392),"")</f>
        <v>66.152068889999995</v>
      </c>
      <c r="AE392">
        <f ca="1">IFERROR(IF(0=LEN(ReferenceData!$AE$392),"",ReferenceData!$AE$392),"")</f>
        <v>70.239840279999996</v>
      </c>
      <c r="AF392">
        <f ca="1">IFERROR(IF(0=LEN(ReferenceData!$AF$392),"",ReferenceData!$AF$392),"")</f>
        <v>67.804054690000001</v>
      </c>
      <c r="AG392">
        <f ca="1">IFERROR(IF(0=LEN(ReferenceData!$AG$392),"",ReferenceData!$AG$392),"")</f>
        <v>64.854648990000001</v>
      </c>
      <c r="AH392">
        <f ca="1">IFERROR(IF(0=LEN(ReferenceData!$AH$392),"",ReferenceData!$AH$392),"")</f>
        <v>68.008813450000005</v>
      </c>
      <c r="AI392">
        <f ca="1">IFERROR(IF(0=LEN(ReferenceData!$AI$392),"",ReferenceData!$AI$392),"")</f>
        <v>66.215195769999994</v>
      </c>
      <c r="AJ392">
        <f ca="1">IFERROR(IF(0=LEN(ReferenceData!$AJ$392),"",ReferenceData!$AJ$392),"")</f>
        <v>68.869175080000005</v>
      </c>
      <c r="AK392">
        <f ca="1">IFERROR(IF(0=LEN(ReferenceData!$AK$392),"",ReferenceData!$AK$392),"")</f>
        <v>67.18726685</v>
      </c>
      <c r="AL392">
        <f ca="1">IFERROR(IF(0=LEN(ReferenceData!$AL$392),"",ReferenceData!$AL$392),"")</f>
        <v>70.018335289999996</v>
      </c>
      <c r="AM392">
        <f ca="1">IFERROR(IF(0=LEN(ReferenceData!$AM$392),"",ReferenceData!$AM$392),"")</f>
        <v>67.253515269999994</v>
      </c>
      <c r="AN392">
        <f ca="1">IFERROR(IF(0=LEN(ReferenceData!$AN$392),"",ReferenceData!$AN$392),"")</f>
        <v>71.248421620000002</v>
      </c>
      <c r="AO392">
        <f ca="1">IFERROR(IF(0=LEN(ReferenceData!$AO$392),"",ReferenceData!$AO$392),"")</f>
        <v>66.757399849999999</v>
      </c>
      <c r="AP392">
        <f ca="1">IFERROR(IF(0=LEN(ReferenceData!$AP$392),"",ReferenceData!$AP$392),"")</f>
        <v>101.28611530000001</v>
      </c>
      <c r="AQ392">
        <f ca="1">IFERROR(IF(0=LEN(ReferenceData!$AQ$392),"",ReferenceData!$AQ$392),"")</f>
        <v>65.442255829999993</v>
      </c>
      <c r="AR392">
        <f ca="1">IFERROR(IF(0=LEN(ReferenceData!$AR$392),"",ReferenceData!$AR$392),"")</f>
        <v>65.934217799999999</v>
      </c>
      <c r="AS392">
        <f ca="1">IFERROR(IF(0=LEN(ReferenceData!$AS$392),"",ReferenceData!$AS$392),"")</f>
        <v>62.829067790000003</v>
      </c>
      <c r="AT392">
        <f ca="1">IFERROR(IF(0=LEN(ReferenceData!$AT$392),"",ReferenceData!$AT$392),"")</f>
        <v>64.662940079999998</v>
      </c>
      <c r="AU392">
        <f ca="1">IFERROR(IF(0=LEN(ReferenceData!$AU$392),"",ReferenceData!$AU$392),"")</f>
        <v>65.596336359999995</v>
      </c>
      <c r="AV392">
        <f ca="1">IFERROR(IF(0=LEN(ReferenceData!$AV$392),"",ReferenceData!$AV$392),"")</f>
        <v>65.444986470000003</v>
      </c>
      <c r="AW392">
        <f ca="1">IFERROR(IF(0=LEN(ReferenceData!$AW$392),"",ReferenceData!$AW$392),"")</f>
        <v>66.041788740000001</v>
      </c>
      <c r="AX392">
        <f ca="1">IFERROR(IF(0=LEN(ReferenceData!$AX$392),"",ReferenceData!$AX$392),"")</f>
        <v>64.216926950000001</v>
      </c>
      <c r="AY392">
        <f ca="1">IFERROR(IF(0=LEN(ReferenceData!$AY$392),"",ReferenceData!$AY$392),"")</f>
        <v>73.511127549999998</v>
      </c>
      <c r="AZ392">
        <f ca="1">IFERROR(IF(0=LEN(ReferenceData!$AZ$392),"",ReferenceData!$AZ$392),"")</f>
        <v>66.74201257</v>
      </c>
      <c r="BA392">
        <f ca="1">IFERROR(IF(0=LEN(ReferenceData!$BA$392),"",ReferenceData!$BA$392),"")</f>
        <v>65.779898619999997</v>
      </c>
      <c r="BB392">
        <f ca="1">IFERROR(IF(0=LEN(ReferenceData!$BB$392),"",ReferenceData!$BB$392),"")</f>
        <v>92.263468090000003</v>
      </c>
      <c r="BC392">
        <f ca="1">IFERROR(IF(0=LEN(ReferenceData!$BC$392),"",ReferenceData!$BC$392),"")</f>
        <v>94.971567649999997</v>
      </c>
      <c r="BD392">
        <f ca="1">IFERROR(IF(0=LEN(ReferenceData!$BD$392),"",ReferenceData!$BD$392),"")</f>
        <v>71.237229839999998</v>
      </c>
      <c r="BE392">
        <f ca="1">IFERROR(IF(0=LEN(ReferenceData!$BE$392),"",ReferenceData!$BE$392),"")</f>
        <v>70.456081409999996</v>
      </c>
      <c r="BF392">
        <f ca="1">IFERROR(IF(0=LEN(ReferenceData!$BF$392),"",ReferenceData!$BF$392),"")</f>
        <v>67.054954839999994</v>
      </c>
      <c r="BG392">
        <f ca="1">IFERROR(IF(0=LEN(ReferenceData!$BG$392),"",ReferenceData!$BG$392),"")</f>
        <v>71.746039850000003</v>
      </c>
      <c r="BH392">
        <f ca="1">IFERROR(IF(0=LEN(ReferenceData!$BH$392),"",ReferenceData!$BH$392),"")</f>
        <v>23.34726985</v>
      </c>
      <c r="BI392">
        <f ca="1">IFERROR(IF(0=LEN(ReferenceData!$BI$392),"",ReferenceData!$BI$392),"")</f>
        <v>65.132770969999996</v>
      </c>
      <c r="BJ392">
        <f ca="1">IFERROR(IF(0=LEN(ReferenceData!$BJ$392),"",ReferenceData!$BJ$392),"")</f>
        <v>0</v>
      </c>
      <c r="BK392">
        <f ca="1">IFERROR(IF(0=LEN(ReferenceData!$BK$392),"",ReferenceData!$BK$392),"")</f>
        <v>0</v>
      </c>
      <c r="BL392">
        <f ca="1">IFERROR(IF(0=LEN(ReferenceData!$BL$392),"",ReferenceData!$BL$392),"")</f>
        <v>2.6675852259999999</v>
      </c>
      <c r="BM392">
        <f ca="1">IFERROR(IF(0=LEN(ReferenceData!$BM$392),"",ReferenceData!$BM$392),"")</f>
        <v>3.8124794780000002</v>
      </c>
    </row>
    <row r="393" spans="1:65">
      <c r="A393" t="str">
        <f>IFERROR(IF(0=LEN(ReferenceData!$A$393),"",ReferenceData!$A$393),"")</f>
        <v xml:space="preserve">    Kimco Realty Corp</v>
      </c>
      <c r="B393" t="str">
        <f>IFERROR(IF(0=LEN(ReferenceData!$B$393),"",ReferenceData!$B$393),"")</f>
        <v>KIM US Equity</v>
      </c>
      <c r="C393" t="str">
        <f>IFERROR(IF(0=LEN(ReferenceData!$C$393),"",ReferenceData!$C$393),"")</f>
        <v>RR106</v>
      </c>
      <c r="D393" t="str">
        <f>IFERROR(IF(0=LEN(ReferenceData!$D$393),"",ReferenceData!$D$393),"")</f>
        <v>FFO_PAYOUT_RATIO</v>
      </c>
      <c r="E393" t="str">
        <f>IFERROR(IF(0=LEN(ReferenceData!$E$393),"",ReferenceData!$E$393),"")</f>
        <v>动态</v>
      </c>
      <c r="F393" t="str">
        <f ca="1">IFERROR(IF(0=LEN(ReferenceData!$F$393),"",ReferenceData!$F$393),"")</f>
        <v/>
      </c>
      <c r="G393">
        <f ca="1">IFERROR(IF(0=LEN(ReferenceData!$G$393),"",ReferenceData!$G$393),"")</f>
        <v>71.442600220000003</v>
      </c>
      <c r="H393">
        <f ca="1">IFERROR(IF(0=LEN(ReferenceData!$H$393),"",ReferenceData!$H$393),"")</f>
        <v>69.210798249999996</v>
      </c>
      <c r="I393">
        <f ca="1">IFERROR(IF(0=LEN(ReferenceData!$I$393),"",ReferenceData!$I$393),"")</f>
        <v>65.364636910000002</v>
      </c>
      <c r="J393">
        <f ca="1">IFERROR(IF(0=LEN(ReferenceData!$J$393),"",ReferenceData!$J$393),"")</f>
        <v>73.683685699999998</v>
      </c>
      <c r="K393">
        <f ca="1">IFERROR(IF(0=LEN(ReferenceData!$K$393),"",ReferenceData!$K$393),"")</f>
        <v>70.088775589999997</v>
      </c>
      <c r="L393">
        <f ca="1">IFERROR(IF(0=LEN(ReferenceData!$L$393),"",ReferenceData!$L$393),"")</f>
        <v>140.19660110000001</v>
      </c>
      <c r="M393">
        <f ca="1">IFERROR(IF(0=LEN(ReferenceData!$M$393),"",ReferenceData!$M$393),"")</f>
        <v>67.377431169999994</v>
      </c>
      <c r="N393">
        <f ca="1">IFERROR(IF(0=LEN(ReferenceData!$N$393),"",ReferenceData!$N$393),"")</f>
        <v>66.501908709999995</v>
      </c>
      <c r="O393">
        <f ca="1">IFERROR(IF(0=LEN(ReferenceData!$O$393),"",ReferenceData!$O$393),"")</f>
        <v>73.31737545</v>
      </c>
      <c r="P393">
        <f ca="1">IFERROR(IF(0=LEN(ReferenceData!$P$393),"",ReferenceData!$P$393),"")</f>
        <v>60.263174599999999</v>
      </c>
      <c r="Q393">
        <f ca="1">IFERROR(IF(0=LEN(ReferenceData!$Q$393),"",ReferenceData!$Q$393),"")</f>
        <v>54.027649769999996</v>
      </c>
      <c r="R393">
        <f ca="1">IFERROR(IF(0=LEN(ReferenceData!$R$393),"",ReferenceData!$R$393),"")</f>
        <v>64.181133450000004</v>
      </c>
      <c r="S393">
        <f ca="1">IFERROR(IF(0=LEN(ReferenceData!$S$393),"",ReferenceData!$S$393),"")</f>
        <v>62.746519309999996</v>
      </c>
      <c r="T393">
        <f ca="1">IFERROR(IF(0=LEN(ReferenceData!$T$393),"",ReferenceData!$T$393),"")</f>
        <v>57.594585639999998</v>
      </c>
      <c r="U393">
        <f ca="1">IFERROR(IF(0=LEN(ReferenceData!$U$393),"",ReferenceData!$U$393),"")</f>
        <v>65.153282349999998</v>
      </c>
      <c r="V393">
        <f ca="1">IFERROR(IF(0=LEN(ReferenceData!$V$393),"",ReferenceData!$V$393),"")</f>
        <v>66.392501789999997</v>
      </c>
      <c r="W393">
        <f ca="1">IFERROR(IF(0=LEN(ReferenceData!$W$393),"",ReferenceData!$W$393),"")</f>
        <v>68.190865680000002</v>
      </c>
      <c r="X393">
        <f ca="1">IFERROR(IF(0=LEN(ReferenceData!$X$393),"",ReferenceData!$X$393),"")</f>
        <v>60.623120839999999</v>
      </c>
      <c r="Y393">
        <f ca="1">IFERROR(IF(0=LEN(ReferenceData!$Y$393),"",ReferenceData!$Y$393),"")</f>
        <v>60.43715847</v>
      </c>
      <c r="Z393">
        <f ca="1">IFERROR(IF(0=LEN(ReferenceData!$Z$393),"",ReferenceData!$Z$393),"")</f>
        <v>63.315282590000002</v>
      </c>
      <c r="AA393">
        <f ca="1">IFERROR(IF(0=LEN(ReferenceData!$AA$393),"",ReferenceData!$AA$393),"")</f>
        <v>67.0810405</v>
      </c>
      <c r="AB393">
        <f ca="1">IFERROR(IF(0=LEN(ReferenceData!$AB$393),"",ReferenceData!$AB$393),"")</f>
        <v>64.797004869999995</v>
      </c>
      <c r="AC393">
        <f ca="1">IFERROR(IF(0=LEN(ReferenceData!$AC$393),"",ReferenceData!$AC$393),"")</f>
        <v>55.842422220000003</v>
      </c>
      <c r="AD393">
        <f ca="1">IFERROR(IF(0=LEN(ReferenceData!$AD$393),"",ReferenceData!$AD$393),"")</f>
        <v>61.142409049999998</v>
      </c>
      <c r="AE393">
        <f ca="1">IFERROR(IF(0=LEN(ReferenceData!$AE$393),"",ReferenceData!$AE$393),"")</f>
        <v>114.0631262</v>
      </c>
      <c r="AF393">
        <f ca="1">IFERROR(IF(0=LEN(ReferenceData!$AF$393),"",ReferenceData!$AF$393),"")</f>
        <v>54.506096239999998</v>
      </c>
      <c r="AG393">
        <f ca="1">IFERROR(IF(0=LEN(ReferenceData!$AG$393),"",ReferenceData!$AG$393),"")</f>
        <v>60.272136519999997</v>
      </c>
      <c r="AH393">
        <f ca="1">IFERROR(IF(0=LEN(ReferenceData!$AH$393),"",ReferenceData!$AH$393),"")</f>
        <v>59.952306419999999</v>
      </c>
      <c r="AI393">
        <f ca="1">IFERROR(IF(0=LEN(ReferenceData!$AI$393),"",ReferenceData!$AI$393),"")</f>
        <v>58.334085989999998</v>
      </c>
      <c r="AJ393">
        <f ca="1">IFERROR(IF(0=LEN(ReferenceData!$AJ$393),"",ReferenceData!$AJ$393),"")</f>
        <v>58.740142380000002</v>
      </c>
      <c r="AK393">
        <f ca="1">IFERROR(IF(0=LEN(ReferenceData!$AK$393),"",ReferenceData!$AK$393),"")</f>
        <v>122.95721020000001</v>
      </c>
      <c r="AL393">
        <f ca="1">IFERROR(IF(0=LEN(ReferenceData!$AL$393),"",ReferenceData!$AL$393),"")</f>
        <v>51.506322179999998</v>
      </c>
      <c r="AM393">
        <f ca="1">IFERROR(IF(0=LEN(ReferenceData!$AM$393),"",ReferenceData!$AM$393),"")</f>
        <v>51.285025449999999</v>
      </c>
      <c r="AN393">
        <f ca="1">IFERROR(IF(0=LEN(ReferenceData!$AN$393),"",ReferenceData!$AN$393),"")</f>
        <v>20.073689730000002</v>
      </c>
      <c r="AO393" t="str">
        <f ca="1">IFERROR(IF(0=LEN(ReferenceData!$AO$393),"",ReferenceData!$AO$393),"")</f>
        <v/>
      </c>
      <c r="AP393">
        <f ca="1">IFERROR(IF(0=LEN(ReferenceData!$AP$393),"",ReferenceData!$AP$393),"")</f>
        <v>101.2491151</v>
      </c>
      <c r="AQ393">
        <f ca="1">IFERROR(IF(0=LEN(ReferenceData!$AQ$393),"",ReferenceData!$AQ$393),"")</f>
        <v>1021.6506429999999</v>
      </c>
      <c r="AR393">
        <f ca="1">IFERROR(IF(0=LEN(ReferenceData!$AR$393),"",ReferenceData!$AR$393),"")</f>
        <v>63.717344850000003</v>
      </c>
      <c r="AS393">
        <f ca="1">IFERROR(IF(0=LEN(ReferenceData!$AS$393),"",ReferenceData!$AS$393),"")</f>
        <v>59.331486089999999</v>
      </c>
      <c r="AT393">
        <f ca="1">IFERROR(IF(0=LEN(ReferenceData!$AT$393),"",ReferenceData!$AT$393),"")</f>
        <v>61.541381280000003</v>
      </c>
      <c r="AU393">
        <f ca="1">IFERROR(IF(0=LEN(ReferenceData!$AU$393),"",ReferenceData!$AU$393),"")</f>
        <v>74.214316650000001</v>
      </c>
      <c r="AV393">
        <f ca="1">IFERROR(IF(0=LEN(ReferenceData!$AV$393),"",ReferenceData!$AV$393),"")</f>
        <v>68.828030170000005</v>
      </c>
      <c r="AW393">
        <f ca="1">IFERROR(IF(0=LEN(ReferenceData!$AW$393),"",ReferenceData!$AW$393),"")</f>
        <v>49.27142911</v>
      </c>
      <c r="AX393">
        <f ca="1">IFERROR(IF(0=LEN(ReferenceData!$AX$393),"",ReferenceData!$AX$393),"")</f>
        <v>44.624526590000002</v>
      </c>
      <c r="AY393">
        <f ca="1">IFERROR(IF(0=LEN(ReferenceData!$AY$393),"",ReferenceData!$AY$393),"")</f>
        <v>53.647773469999997</v>
      </c>
      <c r="AZ393">
        <f ca="1">IFERROR(IF(0=LEN(ReferenceData!$AZ$393),"",ReferenceData!$AZ$393),"")</f>
        <v>62.598373729999999</v>
      </c>
      <c r="BA393">
        <f ca="1">IFERROR(IF(0=LEN(ReferenceData!$BA$393),"",ReferenceData!$BA$393),"")</f>
        <v>59.54753582</v>
      </c>
      <c r="BB393">
        <f ca="1">IFERROR(IF(0=LEN(ReferenceData!$BB$393),"",ReferenceData!$BB$393),"")</f>
        <v>60.55693582</v>
      </c>
      <c r="BC393">
        <f ca="1">IFERROR(IF(0=LEN(ReferenceData!$BC$393),"",ReferenceData!$BC$393),"")</f>
        <v>54.109933310000002</v>
      </c>
      <c r="BD393">
        <f ca="1">IFERROR(IF(0=LEN(ReferenceData!$BD$393),"",ReferenceData!$BD$393),"")</f>
        <v>64.434667059999995</v>
      </c>
      <c r="BE393">
        <f ca="1">IFERROR(IF(0=LEN(ReferenceData!$BE$393),"",ReferenceData!$BE$393),"")</f>
        <v>61.420163989999999</v>
      </c>
      <c r="BF393">
        <f ca="1">IFERROR(IF(0=LEN(ReferenceData!$BF$393),"",ReferenceData!$BF$393),"")</f>
        <v>63.357999720000002</v>
      </c>
      <c r="BG393">
        <f ca="1">IFERROR(IF(0=LEN(ReferenceData!$BG$393),"",ReferenceData!$BG$393),"")</f>
        <v>66.068894959999994</v>
      </c>
      <c r="BH393">
        <f ca="1">IFERROR(IF(0=LEN(ReferenceData!$BH$393),"",ReferenceData!$BH$393),"")</f>
        <v>66.956212780000001</v>
      </c>
      <c r="BI393" t="str">
        <f ca="1">IFERROR(IF(0=LEN(ReferenceData!$BI$393),"",ReferenceData!$BI$393),"")</f>
        <v/>
      </c>
      <c r="BJ393" t="str">
        <f ca="1">IFERROR(IF(0=LEN(ReferenceData!$BJ$393),"",ReferenceData!$BJ$393),"")</f>
        <v/>
      </c>
      <c r="BK393" t="str">
        <f ca="1">IFERROR(IF(0=LEN(ReferenceData!$BK$393),"",ReferenceData!$BK$393),"")</f>
        <v/>
      </c>
      <c r="BL393">
        <f ca="1">IFERROR(IF(0=LEN(ReferenceData!$BL$393),"",ReferenceData!$BL$393),"")</f>
        <v>64.341631250000006</v>
      </c>
      <c r="BM393" t="str">
        <f ca="1">IFERROR(IF(0=LEN(ReferenceData!$BM$393),"",ReferenceData!$BM$393),"")</f>
        <v/>
      </c>
    </row>
    <row r="394" spans="1:65">
      <c r="A394" t="str">
        <f>IFERROR(IF(0=LEN(ReferenceData!$A$394),"",ReferenceData!$A$394),"")</f>
        <v xml:space="preserve">    National Retail Properties Inc</v>
      </c>
      <c r="B394" t="str">
        <f>IFERROR(IF(0=LEN(ReferenceData!$B$394),"",ReferenceData!$B$394),"")</f>
        <v>NNN US Equity</v>
      </c>
      <c r="C394" t="str">
        <f>IFERROR(IF(0=LEN(ReferenceData!$C$394),"",ReferenceData!$C$394),"")</f>
        <v>RR106</v>
      </c>
      <c r="D394" t="str">
        <f>IFERROR(IF(0=LEN(ReferenceData!$D$394),"",ReferenceData!$D$394),"")</f>
        <v>FFO_PAYOUT_RATIO</v>
      </c>
      <c r="E394" t="str">
        <f>IFERROR(IF(0=LEN(ReferenceData!$E$394),"",ReferenceData!$E$394),"")</f>
        <v>动态</v>
      </c>
      <c r="F394" t="str">
        <f ca="1">IFERROR(IF(0=LEN(ReferenceData!$F$394),"",ReferenceData!$F$394),"")</f>
        <v/>
      </c>
      <c r="G394">
        <f ca="1">IFERROR(IF(0=LEN(ReferenceData!$G$394),"",ReferenceData!$G$394),"")</f>
        <v>75.682791519999995</v>
      </c>
      <c r="H394">
        <f ca="1">IFERROR(IF(0=LEN(ReferenceData!$H$394),"",ReferenceData!$H$394),"")</f>
        <v>72.289279870000001</v>
      </c>
      <c r="I394">
        <f ca="1">IFERROR(IF(0=LEN(ReferenceData!$I$394),"",ReferenceData!$I$394),"")</f>
        <v>76.987847619999997</v>
      </c>
      <c r="J394">
        <f ca="1">IFERROR(IF(0=LEN(ReferenceData!$J$394),"",ReferenceData!$J$394),"")</f>
        <v>85.324594020000006</v>
      </c>
      <c r="K394">
        <f ca="1">IFERROR(IF(0=LEN(ReferenceData!$K$394),"",ReferenceData!$K$394),"")</f>
        <v>73.943192310000001</v>
      </c>
      <c r="L394">
        <f ca="1">IFERROR(IF(0=LEN(ReferenceData!$L$394),"",ReferenceData!$L$394),"")</f>
        <v>82.087016469999995</v>
      </c>
      <c r="M394">
        <f ca="1">IFERROR(IF(0=LEN(ReferenceData!$M$394),"",ReferenceData!$M$394),"")</f>
        <v>77.575990959999999</v>
      </c>
      <c r="N394">
        <f ca="1">IFERROR(IF(0=LEN(ReferenceData!$N$394),"",ReferenceData!$N$394),"")</f>
        <v>76.345227100000002</v>
      </c>
      <c r="O394">
        <f ca="1">IFERROR(IF(0=LEN(ReferenceData!$O$394),"",ReferenceData!$O$394),"")</f>
        <v>88.597996109999997</v>
      </c>
      <c r="P394">
        <f ca="1">IFERROR(IF(0=LEN(ReferenceData!$P$394),"",ReferenceData!$P$394),"")</f>
        <v>74.72852666</v>
      </c>
      <c r="Q394">
        <f ca="1">IFERROR(IF(0=LEN(ReferenceData!$Q$394),"",ReferenceData!$Q$394),"")</f>
        <v>76.609266980000001</v>
      </c>
      <c r="R394">
        <f ca="1">IFERROR(IF(0=LEN(ReferenceData!$R$394),"",ReferenceData!$R$394),"")</f>
        <v>78.048849320000002</v>
      </c>
      <c r="S394">
        <f ca="1">IFERROR(IF(0=LEN(ReferenceData!$S$394),"",ReferenceData!$S$394),"")</f>
        <v>74.573432769999997</v>
      </c>
      <c r="T394">
        <f ca="1">IFERROR(IF(0=LEN(ReferenceData!$T$394),"",ReferenceData!$T$394),"")</f>
        <v>80.026782909999994</v>
      </c>
      <c r="U394">
        <f ca="1">IFERROR(IF(0=LEN(ReferenceData!$U$394),"",ReferenceData!$U$394),"")</f>
        <v>80.415908459999997</v>
      </c>
      <c r="V394">
        <f ca="1">IFERROR(IF(0=LEN(ReferenceData!$V$394),"",ReferenceData!$V$394),"")</f>
        <v>79.935432590000005</v>
      </c>
      <c r="W394">
        <f ca="1">IFERROR(IF(0=LEN(ReferenceData!$W$394),"",ReferenceData!$W$394),"")</f>
        <v>80.883801079999998</v>
      </c>
      <c r="X394">
        <f ca="1">IFERROR(IF(0=LEN(ReferenceData!$X$394),"",ReferenceData!$X$394),"")</f>
        <v>81.651819970000005</v>
      </c>
      <c r="Y394">
        <f ca="1">IFERROR(IF(0=LEN(ReferenceData!$Y$394),"",ReferenceData!$Y$394),"")</f>
        <v>85.726912429999999</v>
      </c>
      <c r="Z394">
        <f ca="1">IFERROR(IF(0=LEN(ReferenceData!$Z$394),"",ReferenceData!$Z$394),"")</f>
        <v>81.114568079999998</v>
      </c>
      <c r="AA394">
        <f ca="1">IFERROR(IF(0=LEN(ReferenceData!$AA$394),"",ReferenceData!$AA$394),"")</f>
        <v>86.850476360000002</v>
      </c>
      <c r="AB394">
        <f ca="1">IFERROR(IF(0=LEN(ReferenceData!$AB$394),"",ReferenceData!$AB$394),"")</f>
        <v>74.728279920000006</v>
      </c>
      <c r="AC394">
        <f ca="1">IFERROR(IF(0=LEN(ReferenceData!$AC$394),"",ReferenceData!$AC$394),"")</f>
        <v>93.935652050000002</v>
      </c>
      <c r="AD394">
        <f ca="1">IFERROR(IF(0=LEN(ReferenceData!$AD$394),"",ReferenceData!$AD$394),"")</f>
        <v>96.681013870000001</v>
      </c>
      <c r="AE394">
        <f ca="1">IFERROR(IF(0=LEN(ReferenceData!$AE$394),"",ReferenceData!$AE$394),"")</f>
        <v>91.568607139999997</v>
      </c>
      <c r="AF394">
        <f ca="1">IFERROR(IF(0=LEN(ReferenceData!$AF$394),"",ReferenceData!$AF$394),"")</f>
        <v>96.863707099999999</v>
      </c>
      <c r="AG394">
        <f ca="1">IFERROR(IF(0=LEN(ReferenceData!$AG$394),"",ReferenceData!$AG$394),"")</f>
        <v>100.9874717</v>
      </c>
      <c r="AH394">
        <f ca="1">IFERROR(IF(0=LEN(ReferenceData!$AH$394),"",ReferenceData!$AH$394),"")</f>
        <v>100.9078457</v>
      </c>
      <c r="AI394">
        <f ca="1">IFERROR(IF(0=LEN(ReferenceData!$AI$394),"",ReferenceData!$AI$394),"")</f>
        <v>131.3114631</v>
      </c>
      <c r="AJ394">
        <f ca="1">IFERROR(IF(0=LEN(ReferenceData!$AJ$394),"",ReferenceData!$AJ$394),"")</f>
        <v>106.149021</v>
      </c>
      <c r="AK394">
        <f ca="1">IFERROR(IF(0=LEN(ReferenceData!$AK$394),"",ReferenceData!$AK$394),"")</f>
        <v>105.3166378</v>
      </c>
      <c r="AL394">
        <f ca="1">IFERROR(IF(0=LEN(ReferenceData!$AL$394),"",ReferenceData!$AL$394),"")</f>
        <v>122.21501050000001</v>
      </c>
      <c r="AM394" t="str">
        <f ca="1">IFERROR(IF(0=LEN(ReferenceData!$AM$394),"",ReferenceData!$AM$394),"")</f>
        <v/>
      </c>
      <c r="AN394">
        <f ca="1">IFERROR(IF(0=LEN(ReferenceData!$AN$394),"",ReferenceData!$AN$394),"")</f>
        <v>95.949123439999994</v>
      </c>
      <c r="AO394">
        <f ca="1">IFERROR(IF(0=LEN(ReferenceData!$AO$394),"",ReferenceData!$AO$394),"")</f>
        <v>109.4380944</v>
      </c>
      <c r="AP394">
        <f ca="1">IFERROR(IF(0=LEN(ReferenceData!$AP$394),"",ReferenceData!$AP$394),"")</f>
        <v>84.938270430000003</v>
      </c>
      <c r="AQ394">
        <f ca="1">IFERROR(IF(0=LEN(ReferenceData!$AQ$394),"",ReferenceData!$AQ$394),"")</f>
        <v>81.139472810000001</v>
      </c>
      <c r="AR394">
        <f ca="1">IFERROR(IF(0=LEN(ReferenceData!$AR$394),"",ReferenceData!$AR$394),"")</f>
        <v>75.30964496</v>
      </c>
      <c r="AS394">
        <f ca="1">IFERROR(IF(0=LEN(ReferenceData!$AS$394),"",ReferenceData!$AS$394),"")</f>
        <v>0</v>
      </c>
      <c r="AT394">
        <f ca="1">IFERROR(IF(0=LEN(ReferenceData!$AT$394),"",ReferenceData!$AT$394),"")</f>
        <v>145.989476</v>
      </c>
      <c r="AU394">
        <f ca="1">IFERROR(IF(0=LEN(ReferenceData!$AU$394),"",ReferenceData!$AU$394),"")</f>
        <v>82.2397749</v>
      </c>
      <c r="AV394">
        <f ca="1">IFERROR(IF(0=LEN(ReferenceData!$AV$394),"",ReferenceData!$AV$394),"")</f>
        <v>76.80909226</v>
      </c>
      <c r="AW394">
        <f ca="1">IFERROR(IF(0=LEN(ReferenceData!$AW$394),"",ReferenceData!$AW$394),"")</f>
        <v>0</v>
      </c>
      <c r="AX394">
        <f ca="1">IFERROR(IF(0=LEN(ReferenceData!$AX$394),"",ReferenceData!$AX$394),"")</f>
        <v>144.66872480000001</v>
      </c>
      <c r="AY394">
        <f ca="1">IFERROR(IF(0=LEN(ReferenceData!$AY$394),"",ReferenceData!$AY$394),"")</f>
        <v>73.322869319999995</v>
      </c>
      <c r="AZ394">
        <f ca="1">IFERROR(IF(0=LEN(ReferenceData!$AZ$394),"",ReferenceData!$AZ$394),"")</f>
        <v>93.942946860000006</v>
      </c>
      <c r="BA394">
        <f ca="1">IFERROR(IF(0=LEN(ReferenceData!$BA$394),"",ReferenceData!$BA$394),"")</f>
        <v>75.943074699999997</v>
      </c>
      <c r="BB394">
        <f ca="1">IFERROR(IF(0=LEN(ReferenceData!$BB$394),"",ReferenceData!$BB$394),"")</f>
        <v>76.216366660000006</v>
      </c>
      <c r="BC394">
        <f ca="1">IFERROR(IF(0=LEN(ReferenceData!$BC$394),"",ReferenceData!$BC$394),"")</f>
        <v>144.92103259999999</v>
      </c>
      <c r="BD394">
        <f ca="1">IFERROR(IF(0=LEN(ReferenceData!$BD$394),"",ReferenceData!$BD$394),"")</f>
        <v>81.575797449999996</v>
      </c>
      <c r="BE394" t="str">
        <f ca="1">IFERROR(IF(0=LEN(ReferenceData!$BE$394),"",ReferenceData!$BE$394),"")</f>
        <v/>
      </c>
      <c r="BF394">
        <f ca="1">IFERROR(IF(0=LEN(ReferenceData!$BF$394),"",ReferenceData!$BF$394),"")</f>
        <v>86.023443299999997</v>
      </c>
      <c r="BG394">
        <f ca="1">IFERROR(IF(0=LEN(ReferenceData!$BG$394),"",ReferenceData!$BG$394),"")</f>
        <v>75.725414740000005</v>
      </c>
      <c r="BH394" t="str">
        <f ca="1">IFERROR(IF(0=LEN(ReferenceData!$BH$394),"",ReferenceData!$BH$394),"")</f>
        <v/>
      </c>
      <c r="BI394" t="str">
        <f ca="1">IFERROR(IF(0=LEN(ReferenceData!$BI$394),"",ReferenceData!$BI$394),"")</f>
        <v/>
      </c>
      <c r="BJ394" t="str">
        <f ca="1">IFERROR(IF(0=LEN(ReferenceData!$BJ$394),"",ReferenceData!$BJ$394),"")</f>
        <v/>
      </c>
      <c r="BK394">
        <f ca="1">IFERROR(IF(0=LEN(ReferenceData!$BK$394),"",ReferenceData!$BK$394),"")</f>
        <v>23.50144946</v>
      </c>
      <c r="BL394" t="str">
        <f ca="1">IFERROR(IF(0=LEN(ReferenceData!$BL$394),"",ReferenceData!$BL$394),"")</f>
        <v/>
      </c>
      <c r="BM394" t="str">
        <f ca="1">IFERROR(IF(0=LEN(ReferenceData!$BM$394),"",ReferenceData!$BM$394),"")</f>
        <v/>
      </c>
    </row>
    <row r="395" spans="1:65">
      <c r="A395" t="str">
        <f>IFERROR(IF(0=LEN(ReferenceData!$A$395),"",ReferenceData!$A$395),"")</f>
        <v xml:space="preserve">    Realty Income Corp</v>
      </c>
      <c r="B395" t="str">
        <f>IFERROR(IF(0=LEN(ReferenceData!$B$395),"",ReferenceData!$B$395),"")</f>
        <v>O US Equity</v>
      </c>
      <c r="C395" t="str">
        <f>IFERROR(IF(0=LEN(ReferenceData!$C$395),"",ReferenceData!$C$395),"")</f>
        <v>RR106</v>
      </c>
      <c r="D395" t="str">
        <f>IFERROR(IF(0=LEN(ReferenceData!$D$395),"",ReferenceData!$D$395),"")</f>
        <v>FFO_PAYOUT_RATIO</v>
      </c>
      <c r="E395" t="str">
        <f>IFERROR(IF(0=LEN(ReferenceData!$E$395),"",ReferenceData!$E$395),"")</f>
        <v>动态</v>
      </c>
      <c r="F395" t="str">
        <f ca="1">IFERROR(IF(0=LEN(ReferenceData!$F$395),"",ReferenceData!$F$395),"")</f>
        <v/>
      </c>
      <c r="G395">
        <f ca="1">IFERROR(IF(0=LEN(ReferenceData!$G$395),"",ReferenceData!$G$395),"")</f>
        <v>104.8646689</v>
      </c>
      <c r="H395">
        <f ca="1">IFERROR(IF(0=LEN(ReferenceData!$H$395),"",ReferenceData!$H$395),"")</f>
        <v>82.676900639999999</v>
      </c>
      <c r="I395">
        <f ca="1">IFERROR(IF(0=LEN(ReferenceData!$I$395),"",ReferenceData!$I$395),"")</f>
        <v>85.045653119999997</v>
      </c>
      <c r="J395">
        <f ca="1">IFERROR(IF(0=LEN(ReferenceData!$J$395),"",ReferenceData!$J$395),"")</f>
        <v>86.802732719999995</v>
      </c>
      <c r="K395">
        <f ca="1">IFERROR(IF(0=LEN(ReferenceData!$K$395),"",ReferenceData!$K$395),"")</f>
        <v>78.435994059999999</v>
      </c>
      <c r="L395">
        <f ca="1">IFERROR(IF(0=LEN(ReferenceData!$L$395),"",ReferenceData!$L$395),"")</f>
        <v>82.424609369999999</v>
      </c>
      <c r="M395">
        <f ca="1">IFERROR(IF(0=LEN(ReferenceData!$M$395),"",ReferenceData!$M$395),"")</f>
        <v>85.614329060000003</v>
      </c>
      <c r="N395">
        <f ca="1">IFERROR(IF(0=LEN(ReferenceData!$N$395),"",ReferenceData!$N$395),"")</f>
        <v>86.354019539999996</v>
      </c>
      <c r="O395">
        <f ca="1">IFERROR(IF(0=LEN(ReferenceData!$O$395),"",ReferenceData!$O$395),"")</f>
        <v>78.957101420000001</v>
      </c>
      <c r="P395">
        <f ca="1">IFERROR(IF(0=LEN(ReferenceData!$P$395),"",ReferenceData!$P$395),"")</f>
        <v>82.935989149999997</v>
      </c>
      <c r="Q395">
        <f ca="1">IFERROR(IF(0=LEN(ReferenceData!$Q$395),"",ReferenceData!$Q$395),"")</f>
        <v>82.520223240000007</v>
      </c>
      <c r="R395">
        <f ca="1">IFERROR(IF(0=LEN(ReferenceData!$R$395),"",ReferenceData!$R$395),"")</f>
        <v>82.852845000000002</v>
      </c>
      <c r="S395">
        <f ca="1">IFERROR(IF(0=LEN(ReferenceData!$S$395),"",ReferenceData!$S$395),"")</f>
        <v>85.258096390000006</v>
      </c>
      <c r="T395">
        <f ca="1">IFERROR(IF(0=LEN(ReferenceData!$T$395),"",ReferenceData!$T$395),"")</f>
        <v>85.823744020000007</v>
      </c>
      <c r="U395">
        <f ca="1">IFERROR(IF(0=LEN(ReferenceData!$U$395),"",ReferenceData!$U$395),"")</f>
        <v>85.127344480000005</v>
      </c>
      <c r="V395">
        <f ca="1">IFERROR(IF(0=LEN(ReferenceData!$V$395),"",ReferenceData!$V$395),"")</f>
        <v>84.310139759999998</v>
      </c>
      <c r="W395">
        <f ca="1">IFERROR(IF(0=LEN(ReferenceData!$W$395),"",ReferenceData!$W$395),"")</f>
        <v>88.805263580000002</v>
      </c>
      <c r="X395">
        <f ca="1">IFERROR(IF(0=LEN(ReferenceData!$X$395),"",ReferenceData!$X$395),"")</f>
        <v>92.017805179999996</v>
      </c>
      <c r="Y395">
        <f ca="1">IFERROR(IF(0=LEN(ReferenceData!$Y$395),"",ReferenceData!$Y$395),"")</f>
        <v>90.751499170000002</v>
      </c>
      <c r="Z395">
        <f ca="1">IFERROR(IF(0=LEN(ReferenceData!$Z$395),"",ReferenceData!$Z$395),"")</f>
        <v>81.9545174</v>
      </c>
      <c r="AA395">
        <f ca="1">IFERROR(IF(0=LEN(ReferenceData!$AA$395),"",ReferenceData!$AA$395),"")</f>
        <v>84.702217129999994</v>
      </c>
      <c r="AB395">
        <f ca="1">IFERROR(IF(0=LEN(ReferenceData!$AB$395),"",ReferenceData!$AB$395),"")</f>
        <v>93.293913590000003</v>
      </c>
      <c r="AC395">
        <f ca="1">IFERROR(IF(0=LEN(ReferenceData!$AC$395),"",ReferenceData!$AC$395),"")</f>
        <v>89.554529130000006</v>
      </c>
      <c r="AD395">
        <f ca="1">IFERROR(IF(0=LEN(ReferenceData!$AD$395),"",ReferenceData!$AD$395),"")</f>
        <v>95.876101820000002</v>
      </c>
      <c r="AE395">
        <f ca="1">IFERROR(IF(0=LEN(ReferenceData!$AE$395),"",ReferenceData!$AE$395),"")</f>
        <v>85.228491270000006</v>
      </c>
      <c r="AF395">
        <f ca="1">IFERROR(IF(0=LEN(ReferenceData!$AF$395),"",ReferenceData!$AF$395),"")</f>
        <v>86.741435179999996</v>
      </c>
      <c r="AG395">
        <f ca="1">IFERROR(IF(0=LEN(ReferenceData!$AG$395),"",ReferenceData!$AG$395),"")</f>
        <v>90.259910739999995</v>
      </c>
      <c r="AH395">
        <f ca="1">IFERROR(IF(0=LEN(ReferenceData!$AH$395),"",ReferenceData!$AH$395),"")</f>
        <v>90.008450999999994</v>
      </c>
      <c r="AI395">
        <f ca="1">IFERROR(IF(0=LEN(ReferenceData!$AI$395),"",ReferenceData!$AI$395),"")</f>
        <v>91.032013559999996</v>
      </c>
      <c r="AJ395">
        <f ca="1">IFERROR(IF(0=LEN(ReferenceData!$AJ$395),"",ReferenceData!$AJ$395),"")</f>
        <v>94.188770809999994</v>
      </c>
      <c r="AK395">
        <f ca="1">IFERROR(IF(0=LEN(ReferenceData!$AK$395),"",ReferenceData!$AK$395),"")</f>
        <v>95.979996150000005</v>
      </c>
      <c r="AL395">
        <f ca="1">IFERROR(IF(0=LEN(ReferenceData!$AL$395),"",ReferenceData!$AL$395),"")</f>
        <v>95.953013799999994</v>
      </c>
      <c r="AM395">
        <f ca="1">IFERROR(IF(0=LEN(ReferenceData!$AM$395),"",ReferenceData!$AM$395),"")</f>
        <v>92.281136950000004</v>
      </c>
      <c r="AN395">
        <f ca="1">IFERROR(IF(0=LEN(ReferenceData!$AN$395),"",ReferenceData!$AN$395),"")</f>
        <v>92.496988830000006</v>
      </c>
      <c r="AO395">
        <f ca="1">IFERROR(IF(0=LEN(ReferenceData!$AO$395),"",ReferenceData!$AO$395),"")</f>
        <v>94.243323439999998</v>
      </c>
      <c r="AP395">
        <f ca="1">IFERROR(IF(0=LEN(ReferenceData!$AP$395),"",ReferenceData!$AP$395),"")</f>
        <v>94.924466129999999</v>
      </c>
      <c r="AQ395">
        <f ca="1">IFERROR(IF(0=LEN(ReferenceData!$AQ$395),"",ReferenceData!$AQ$395),"")</f>
        <v>93.852467730000001</v>
      </c>
      <c r="AR395">
        <f ca="1">IFERROR(IF(0=LEN(ReferenceData!$AR$395),"",ReferenceData!$AR$395),"")</f>
        <v>91.372598120000006</v>
      </c>
      <c r="AS395">
        <f ca="1">IFERROR(IF(0=LEN(ReferenceData!$AS$395),"",ReferenceData!$AS$395),"")</f>
        <v>88.343386859999995</v>
      </c>
      <c r="AT395">
        <f ca="1">IFERROR(IF(0=LEN(ReferenceData!$AT$395),"",ReferenceData!$AT$395),"")</f>
        <v>89.557390130000002</v>
      </c>
      <c r="AU395">
        <f ca="1">IFERROR(IF(0=LEN(ReferenceData!$AU$395),"",ReferenceData!$AU$395),"")</f>
        <v>85.857061139999999</v>
      </c>
      <c r="AV395">
        <f ca="1">IFERROR(IF(0=LEN(ReferenceData!$AV$395),"",ReferenceData!$AV$395),"")</f>
        <v>84.018165240000002</v>
      </c>
      <c r="AW395">
        <f ca="1">IFERROR(IF(0=LEN(ReferenceData!$AW$395),"",ReferenceData!$AW$395),"")</f>
        <v>78.318827810000002</v>
      </c>
      <c r="AX395">
        <f ca="1">IFERROR(IF(0=LEN(ReferenceData!$AX$395),"",ReferenceData!$AX$395),"")</f>
        <v>81.589252909999999</v>
      </c>
      <c r="AY395">
        <f ca="1">IFERROR(IF(0=LEN(ReferenceData!$AY$395),"",ReferenceData!$AY$395),"")</f>
        <v>82.21193624</v>
      </c>
      <c r="AZ395">
        <f ca="1">IFERROR(IF(0=LEN(ReferenceData!$AZ$395),"",ReferenceData!$AZ$395),"")</f>
        <v>84.585543630000004</v>
      </c>
      <c r="BA395">
        <f ca="1">IFERROR(IF(0=LEN(ReferenceData!$BA$395),"",ReferenceData!$BA$395),"")</f>
        <v>82.297593019999994</v>
      </c>
      <c r="BB395">
        <f ca="1">IFERROR(IF(0=LEN(ReferenceData!$BB$395),"",ReferenceData!$BB$395),"")</f>
        <v>82.206856029999997</v>
      </c>
      <c r="BC395">
        <f ca="1">IFERROR(IF(0=LEN(ReferenceData!$BC$395),"",ReferenceData!$BC$395),"")</f>
        <v>78.319631020000003</v>
      </c>
      <c r="BD395">
        <f ca="1">IFERROR(IF(0=LEN(ReferenceData!$BD$395),"",ReferenceData!$BD$395),"")</f>
        <v>84.625807179999995</v>
      </c>
      <c r="BE395">
        <f ca="1">IFERROR(IF(0=LEN(ReferenceData!$BE$395),"",ReferenceData!$BE$395),"")</f>
        <v>85.561833210000003</v>
      </c>
      <c r="BF395">
        <f ca="1">IFERROR(IF(0=LEN(ReferenceData!$BF$395),"",ReferenceData!$BF$395),"")</f>
        <v>84.275397580000003</v>
      </c>
      <c r="BG395">
        <f ca="1">IFERROR(IF(0=LEN(ReferenceData!$BG$395),"",ReferenceData!$BG$395),"")</f>
        <v>63.003676400000003</v>
      </c>
      <c r="BH395">
        <f ca="1">IFERROR(IF(0=LEN(ReferenceData!$BH$395),"",ReferenceData!$BH$395),"")</f>
        <v>29.421941790000002</v>
      </c>
      <c r="BI395">
        <f ca="1">IFERROR(IF(0=LEN(ReferenceData!$BI$395),"",ReferenceData!$BI$395),"")</f>
        <v>79.501112989999996</v>
      </c>
      <c r="BJ395">
        <f ca="1">IFERROR(IF(0=LEN(ReferenceData!$BJ$395),"",ReferenceData!$BJ$395),"")</f>
        <v>74.470089130000005</v>
      </c>
      <c r="BK395">
        <f ca="1">IFERROR(IF(0=LEN(ReferenceData!$BK$395),"",ReferenceData!$BK$395),"")</f>
        <v>70.597560319999999</v>
      </c>
      <c r="BL395">
        <f ca="1">IFERROR(IF(0=LEN(ReferenceData!$BL$395),"",ReferenceData!$BL$395),"")</f>
        <v>82.884252110000006</v>
      </c>
      <c r="BM395">
        <f ca="1">IFERROR(IF(0=LEN(ReferenceData!$BM$395),"",ReferenceData!$BM$395),"")</f>
        <v>86.415932069999997</v>
      </c>
    </row>
    <row r="396" spans="1:65">
      <c r="A396" t="str">
        <f>IFERROR(IF(0=LEN(ReferenceData!$A$396),"",ReferenceData!$A$396),"")</f>
        <v xml:space="preserve">    Regency Centers Corp</v>
      </c>
      <c r="B396" t="str">
        <f>IFERROR(IF(0=LEN(ReferenceData!$B$396),"",ReferenceData!$B$396),"")</f>
        <v>REG US Equity</v>
      </c>
      <c r="C396" t="str">
        <f>IFERROR(IF(0=LEN(ReferenceData!$C$396),"",ReferenceData!$C$396),"")</f>
        <v>RR106</v>
      </c>
      <c r="D396" t="str">
        <f>IFERROR(IF(0=LEN(ReferenceData!$D$396),"",ReferenceData!$D$396),"")</f>
        <v>FFO_PAYOUT_RATIO</v>
      </c>
      <c r="E396" t="str">
        <f>IFERROR(IF(0=LEN(ReferenceData!$E$396),"",ReferenceData!$E$396),"")</f>
        <v>动态</v>
      </c>
      <c r="F396" t="str">
        <f ca="1">IFERROR(IF(0=LEN(ReferenceData!$F$396),"",ReferenceData!$F$396),"")</f>
        <v/>
      </c>
      <c r="G396">
        <f ca="1">IFERROR(IF(0=LEN(ReferenceData!$G$396),"",ReferenceData!$G$396),"")</f>
        <v>56.119753090000003</v>
      </c>
      <c r="H396">
        <f ca="1">IFERROR(IF(0=LEN(ReferenceData!$H$396),"",ReferenceData!$H$396),"")</f>
        <v>57.891166290000001</v>
      </c>
      <c r="I396">
        <f ca="1">IFERROR(IF(0=LEN(ReferenceData!$I$396),"",ReferenceData!$I$396),"")</f>
        <v>62.792828190000002</v>
      </c>
      <c r="J396">
        <f ca="1">IFERROR(IF(0=LEN(ReferenceData!$J$396),"",ReferenceData!$J$396),"")</f>
        <v>156.4125062</v>
      </c>
      <c r="K396">
        <f ca="1">IFERROR(IF(0=LEN(ReferenceData!$K$396),"",ReferenceData!$K$396),"")</f>
        <v>63.13817246</v>
      </c>
      <c r="L396">
        <f ca="1">IFERROR(IF(0=LEN(ReferenceData!$L$396),"",ReferenceData!$L$396),"")</f>
        <v>172.32638539999999</v>
      </c>
      <c r="M396">
        <f ca="1">IFERROR(IF(0=LEN(ReferenceData!$M$396),"",ReferenceData!$M$396),"")</f>
        <v>61.26844509</v>
      </c>
      <c r="N396">
        <f ca="1">IFERROR(IF(0=LEN(ReferenceData!$N$396),"",ReferenceData!$N$396),"")</f>
        <v>57.916251959999997</v>
      </c>
      <c r="O396">
        <f ca="1">IFERROR(IF(0=LEN(ReferenceData!$O$396),"",ReferenceData!$O$396),"")</f>
        <v>72.513983839999995</v>
      </c>
      <c r="P396">
        <f ca="1">IFERROR(IF(0=LEN(ReferenceData!$P$396),"",ReferenceData!$P$396),"")</f>
        <v>63.757947639999998</v>
      </c>
      <c r="Q396">
        <f ca="1">IFERROR(IF(0=LEN(ReferenceData!$Q$396),"",ReferenceData!$Q$396),"")</f>
        <v>64.266152419999997</v>
      </c>
      <c r="R396">
        <f ca="1">IFERROR(IF(0=LEN(ReferenceData!$R$396),"",ReferenceData!$R$396),"")</f>
        <v>65.363659859999999</v>
      </c>
      <c r="S396">
        <f ca="1">IFERROR(IF(0=LEN(ReferenceData!$S$396),"",ReferenceData!$S$396),"")</f>
        <v>60.239618190000002</v>
      </c>
      <c r="T396">
        <f ca="1">IFERROR(IF(0=LEN(ReferenceData!$T$396),"",ReferenceData!$T$396),"")</f>
        <v>66.839218110000004</v>
      </c>
      <c r="U396">
        <f ca="1">IFERROR(IF(0=LEN(ReferenceData!$U$396),"",ReferenceData!$U$396),"")</f>
        <v>65.936506489999999</v>
      </c>
      <c r="V396">
        <f ca="1">IFERROR(IF(0=LEN(ReferenceData!$V$396),"",ReferenceData!$V$396),"")</f>
        <v>66.392952890000004</v>
      </c>
      <c r="W396">
        <f ca="1">IFERROR(IF(0=LEN(ReferenceData!$W$396),"",ReferenceData!$W$396),"")</f>
        <v>70.99966311</v>
      </c>
      <c r="X396">
        <f ca="1">IFERROR(IF(0=LEN(ReferenceData!$X$396),"",ReferenceData!$X$396),"")</f>
        <v>66.517908989999995</v>
      </c>
      <c r="Y396">
        <f ca="1">IFERROR(IF(0=LEN(ReferenceData!$Y$396),"",ReferenceData!$Y$396),"")</f>
        <v>68.218988440000004</v>
      </c>
      <c r="Z396">
        <f ca="1">IFERROR(IF(0=LEN(ReferenceData!$Z$396),"",ReferenceData!$Z$396),"")</f>
        <v>72.228963699999994</v>
      </c>
      <c r="AA396">
        <f ca="1">IFERROR(IF(0=LEN(ReferenceData!$AA$396),"",ReferenceData!$AA$396),"")</f>
        <v>70.431830829999996</v>
      </c>
      <c r="AB396">
        <f ca="1">IFERROR(IF(0=LEN(ReferenceData!$AB$396),"",ReferenceData!$AB$396),"")</f>
        <v>79.826848839999997</v>
      </c>
      <c r="AC396">
        <f ca="1">IFERROR(IF(0=LEN(ReferenceData!$AC$396),"",ReferenceData!$AC$396),"")</f>
        <v>67.713004479999995</v>
      </c>
      <c r="AD396">
        <f ca="1">IFERROR(IF(0=LEN(ReferenceData!$AD$396),"",ReferenceData!$AD$396),"")</f>
        <v>83.273627439999999</v>
      </c>
      <c r="AE396">
        <f ca="1">IFERROR(IF(0=LEN(ReferenceData!$AE$396),"",ReferenceData!$AE$396),"")</f>
        <v>73.504469869999994</v>
      </c>
      <c r="AF396">
        <f ca="1">IFERROR(IF(0=LEN(ReferenceData!$AF$396),"",ReferenceData!$AF$396),"")</f>
        <v>74.125576039999999</v>
      </c>
      <c r="AG396">
        <f ca="1">IFERROR(IF(0=LEN(ReferenceData!$AG$396),"",ReferenceData!$AG$396),"")</f>
        <v>75.181961580000007</v>
      </c>
      <c r="AH396">
        <f ca="1">IFERROR(IF(0=LEN(ReferenceData!$AH$396),"",ReferenceData!$AH$396),"")</f>
        <v>71.649897100000004</v>
      </c>
      <c r="AI396">
        <f ca="1">IFERROR(IF(0=LEN(ReferenceData!$AI$396),"",ReferenceData!$AI$396),"")</f>
        <v>184.9855823</v>
      </c>
      <c r="AJ396">
        <f ca="1">IFERROR(IF(0=LEN(ReferenceData!$AJ$396),"",ReferenceData!$AJ$396),"")</f>
        <v>72.665944539999998</v>
      </c>
      <c r="AK396">
        <f ca="1">IFERROR(IF(0=LEN(ReferenceData!$AK$396),"",ReferenceData!$AK$396),"")</f>
        <v>78.428389030000005</v>
      </c>
      <c r="AL396">
        <f ca="1">IFERROR(IF(0=LEN(ReferenceData!$AL$396),"",ReferenceData!$AL$396),"")</f>
        <v>78.338013040000007</v>
      </c>
      <c r="AM396">
        <f ca="1">IFERROR(IF(0=LEN(ReferenceData!$AM$396),"",ReferenceData!$AM$396),"")</f>
        <v>65.419183520000004</v>
      </c>
      <c r="AN396" t="str">
        <f ca="1">IFERROR(IF(0=LEN(ReferenceData!$AN$396),"",ReferenceData!$AN$396),"")</f>
        <v/>
      </c>
      <c r="AO396">
        <f ca="1">IFERROR(IF(0=LEN(ReferenceData!$AO$396),"",ReferenceData!$AO$396),"")</f>
        <v>371.88151850000003</v>
      </c>
      <c r="AP396">
        <f ca="1">IFERROR(IF(0=LEN(ReferenceData!$AP$396),"",ReferenceData!$AP$396),"")</f>
        <v>92.273887549999998</v>
      </c>
      <c r="AQ396">
        <f ca="1">IFERROR(IF(0=LEN(ReferenceData!$AQ$396),"",ReferenceData!$AQ$396),"")</f>
        <v>99.866891559999999</v>
      </c>
      <c r="AR396">
        <f ca="1">IFERROR(IF(0=LEN(ReferenceData!$AR$396),"",ReferenceData!$AR$396),"")</f>
        <v>60.926144899999997</v>
      </c>
      <c r="AS396">
        <f ca="1">IFERROR(IF(0=LEN(ReferenceData!$AS$396),"",ReferenceData!$AS$396),"")</f>
        <v>74.626124250000004</v>
      </c>
      <c r="AT396">
        <f ca="1">IFERROR(IF(0=LEN(ReferenceData!$AT$396),"",ReferenceData!$AT$396),"")</f>
        <v>83.028899249999995</v>
      </c>
      <c r="AU396">
        <f ca="1">IFERROR(IF(0=LEN(ReferenceData!$AU$396),"",ReferenceData!$AU$396),"")</f>
        <v>56.428975370000003</v>
      </c>
      <c r="AV396">
        <f ca="1">IFERROR(IF(0=LEN(ReferenceData!$AV$396),"",ReferenceData!$AV$396),"")</f>
        <v>203.60229169999999</v>
      </c>
      <c r="AW396">
        <f ca="1">IFERROR(IF(0=LEN(ReferenceData!$AW$396),"",ReferenceData!$AW$396),"")</f>
        <v>138.8831495</v>
      </c>
      <c r="AX396">
        <f ca="1">IFERROR(IF(0=LEN(ReferenceData!$AX$396),"",ReferenceData!$AX$396),"")</f>
        <v>57.970741709999999</v>
      </c>
      <c r="AY396">
        <f ca="1">IFERROR(IF(0=LEN(ReferenceData!$AY$396),"",ReferenceData!$AY$396),"")</f>
        <v>54.887880039999999</v>
      </c>
      <c r="AZ396">
        <f ca="1">IFERROR(IF(0=LEN(ReferenceData!$AZ$396),"",ReferenceData!$AZ$396),"")</f>
        <v>58.605034099999997</v>
      </c>
      <c r="BA396">
        <f ca="1">IFERROR(IF(0=LEN(ReferenceData!$BA$396),"",ReferenceData!$BA$396),"")</f>
        <v>62.819900310000001</v>
      </c>
      <c r="BB396">
        <f ca="1">IFERROR(IF(0=LEN(ReferenceData!$BB$396),"",ReferenceData!$BB$396),"")</f>
        <v>68.613036339999994</v>
      </c>
      <c r="BC396">
        <f ca="1">IFERROR(IF(0=LEN(ReferenceData!$BC$396),"",ReferenceData!$BC$396),"")</f>
        <v>57.173969100000001</v>
      </c>
      <c r="BD396">
        <f ca="1">IFERROR(IF(0=LEN(ReferenceData!$BD$396),"",ReferenceData!$BD$396),"")</f>
        <v>66.474538210000006</v>
      </c>
      <c r="BE396">
        <f ca="1">IFERROR(IF(0=LEN(ReferenceData!$BE$396),"",ReferenceData!$BE$396),"")</f>
        <v>52.091370169999998</v>
      </c>
      <c r="BF396">
        <f ca="1">IFERROR(IF(0=LEN(ReferenceData!$BF$396),"",ReferenceData!$BF$396),"")</f>
        <v>59.850381380000002</v>
      </c>
      <c r="BG396">
        <f ca="1">IFERROR(IF(0=LEN(ReferenceData!$BG$396),"",ReferenceData!$BG$396),"")</f>
        <v>54.417614800000003</v>
      </c>
      <c r="BH396">
        <f ca="1">IFERROR(IF(0=LEN(ReferenceData!$BH$396),"",ReferenceData!$BH$396),"")</f>
        <v>62.874389100000002</v>
      </c>
      <c r="BI396">
        <f ca="1">IFERROR(IF(0=LEN(ReferenceData!$BI$396),"",ReferenceData!$BI$396),"")</f>
        <v>70.314243759999997</v>
      </c>
      <c r="BJ396">
        <f ca="1">IFERROR(IF(0=LEN(ReferenceData!$BJ$396),"",ReferenceData!$BJ$396),"")</f>
        <v>78.019766970000006</v>
      </c>
      <c r="BK396">
        <f ca="1">IFERROR(IF(0=LEN(ReferenceData!$BK$396),"",ReferenceData!$BK$396),"")</f>
        <v>55.706644850000004</v>
      </c>
      <c r="BL396">
        <f ca="1">IFERROR(IF(0=LEN(ReferenceData!$BL$396),"",ReferenceData!$BL$396),"")</f>
        <v>65.670706069999994</v>
      </c>
      <c r="BM396">
        <f ca="1">IFERROR(IF(0=LEN(ReferenceData!$BM$396),"",ReferenceData!$BM$396),"")</f>
        <v>75.73168441</v>
      </c>
    </row>
    <row r="397" spans="1:65">
      <c r="A397" t="str">
        <f>IFERROR(IF(0=LEN(ReferenceData!$A$397),"",ReferenceData!$A$397),"")</f>
        <v xml:space="preserve">    Retail Opportunity Investments</v>
      </c>
      <c r="B397" t="str">
        <f>IFERROR(IF(0=LEN(ReferenceData!$B$397),"",ReferenceData!$B$397),"")</f>
        <v>ROIC US Equity</v>
      </c>
      <c r="C397" t="str">
        <f>IFERROR(IF(0=LEN(ReferenceData!$C$397),"",ReferenceData!$C$397),"")</f>
        <v>RR106</v>
      </c>
      <c r="D397" t="str">
        <f>IFERROR(IF(0=LEN(ReferenceData!$D$397),"",ReferenceData!$D$397),"")</f>
        <v>FFO_PAYOUT_RATIO</v>
      </c>
      <c r="E397" t="str">
        <f>IFERROR(IF(0=LEN(ReferenceData!$E$397),"",ReferenceData!$E$397),"")</f>
        <v>动态</v>
      </c>
      <c r="F397" t="str">
        <f ca="1">IFERROR(IF(0=LEN(ReferenceData!$F$397),"",ReferenceData!$F$397),"")</f>
        <v/>
      </c>
      <c r="G397">
        <f ca="1">IFERROR(IF(0=LEN(ReferenceData!$G$397),"",ReferenceData!$G$397),"")</f>
        <v>55.60051567</v>
      </c>
      <c r="H397">
        <f ca="1">IFERROR(IF(0=LEN(ReferenceData!$H$397),"",ReferenceData!$H$397),"")</f>
        <v>58.950468290000003</v>
      </c>
      <c r="I397">
        <f ca="1">IFERROR(IF(0=LEN(ReferenceData!$I$397),"",ReferenceData!$I$397),"")</f>
        <v>62.382404389999998</v>
      </c>
      <c r="J397">
        <f ca="1">IFERROR(IF(0=LEN(ReferenceData!$J$397),"",ReferenceData!$J$397),"")</f>
        <v>59.692869760000001</v>
      </c>
      <c r="K397">
        <f ca="1">IFERROR(IF(0=LEN(ReferenceData!$K$397),"",ReferenceData!$K$397),"")</f>
        <v>59.107103000000002</v>
      </c>
      <c r="L397">
        <f ca="1">IFERROR(IF(0=LEN(ReferenceData!$L$397),"",ReferenceData!$L$397),"")</f>
        <v>61.92891522</v>
      </c>
      <c r="M397">
        <f ca="1">IFERROR(IF(0=LEN(ReferenceData!$M$397),"",ReferenceData!$M$397),"")</f>
        <v>59.194013200000001</v>
      </c>
      <c r="N397">
        <f ca="1">IFERROR(IF(0=LEN(ReferenceData!$N$397),"",ReferenceData!$N$397),"")</f>
        <v>59.930234980000002</v>
      </c>
      <c r="O397">
        <f ca="1">IFERROR(IF(0=LEN(ReferenceData!$O$397),"",ReferenceData!$O$397),"")</f>
        <v>65.172364450000003</v>
      </c>
      <c r="P397">
        <f ca="1">IFERROR(IF(0=LEN(ReferenceData!$P$397),"",ReferenceData!$P$397),"")</f>
        <v>63.495701109999999</v>
      </c>
      <c r="Q397">
        <f ca="1">IFERROR(IF(0=LEN(ReferenceData!$Q$397),"",ReferenceData!$Q$397),"")</f>
        <v>71.391912320000003</v>
      </c>
      <c r="R397">
        <f ca="1">IFERROR(IF(0=LEN(ReferenceData!$R$397),"",ReferenceData!$R$397),"")</f>
        <v>71.899858699999996</v>
      </c>
      <c r="S397">
        <f ca="1">IFERROR(IF(0=LEN(ReferenceData!$S$397),"",ReferenceData!$S$397),"")</f>
        <v>73.293765050000005</v>
      </c>
      <c r="T397">
        <f ca="1">IFERROR(IF(0=LEN(ReferenceData!$T$397),"",ReferenceData!$T$397),"")</f>
        <v>70.05786037</v>
      </c>
      <c r="U397">
        <f ca="1">IFERROR(IF(0=LEN(ReferenceData!$U$397),"",ReferenceData!$U$397),"")</f>
        <v>72.5135018</v>
      </c>
      <c r="V397">
        <f ca="1">IFERROR(IF(0=LEN(ReferenceData!$V$397),"",ReferenceData!$V$397),"")</f>
        <v>70.56823009</v>
      </c>
      <c r="W397">
        <f ca="1">IFERROR(IF(0=LEN(ReferenceData!$W$397),"",ReferenceData!$W$397),"")</f>
        <v>66.462448190000003</v>
      </c>
      <c r="X397">
        <f ca="1">IFERROR(IF(0=LEN(ReferenceData!$X$397),"",ReferenceData!$X$397),"")</f>
        <v>30.54319636</v>
      </c>
      <c r="Y397">
        <f ca="1">IFERROR(IF(0=LEN(ReferenceData!$Y$397),"",ReferenceData!$Y$397),"")</f>
        <v>85.336459529999999</v>
      </c>
      <c r="Z397">
        <f ca="1">IFERROR(IF(0=LEN(ReferenceData!$Z$397),"",ReferenceData!$Z$397),"")</f>
        <v>74.684924409999994</v>
      </c>
      <c r="AA397">
        <f ca="1">IFERROR(IF(0=LEN(ReferenceData!$AA$397),"",ReferenceData!$AA$397),"")</f>
        <v>86.807247619999998</v>
      </c>
      <c r="AB397">
        <f ca="1">IFERROR(IF(0=LEN(ReferenceData!$AB$397),"",ReferenceData!$AB$397),"")</f>
        <v>70.586890409999995</v>
      </c>
      <c r="AC397">
        <f ca="1">IFERROR(IF(0=LEN(ReferenceData!$AC$397),"",ReferenceData!$AC$397),"")</f>
        <v>54.375574540000002</v>
      </c>
      <c r="AD397">
        <f ca="1">IFERROR(IF(0=LEN(ReferenceData!$AD$397),"",ReferenceData!$AD$397),"")</f>
        <v>71.002091129999997</v>
      </c>
      <c r="AE397">
        <f ca="1">IFERROR(IF(0=LEN(ReferenceData!$AE$397),"",ReferenceData!$AE$397),"")</f>
        <v>68.168480130000006</v>
      </c>
      <c r="AF397">
        <f ca="1">IFERROR(IF(0=LEN(ReferenceData!$AF$397),"",ReferenceData!$AF$397),"")</f>
        <v>46.55370533</v>
      </c>
      <c r="AG397">
        <f ca="1">IFERROR(IF(0=LEN(ReferenceData!$AG$397),"",ReferenceData!$AG$397),"")</f>
        <v>66.531068250000004</v>
      </c>
      <c r="AH397">
        <f ca="1">IFERROR(IF(0=LEN(ReferenceData!$AH$397),"",ReferenceData!$AH$397),"")</f>
        <v>30.880886709999999</v>
      </c>
      <c r="AI397">
        <f ca="1">IFERROR(IF(0=LEN(ReferenceData!$AI$397),"",ReferenceData!$AI$397),"")</f>
        <v>44.457611800000002</v>
      </c>
      <c r="AJ397">
        <f ca="1">IFERROR(IF(0=LEN(ReferenceData!$AJ$397),"",ReferenceData!$AJ$397),"")</f>
        <v>162.43907350000001</v>
      </c>
      <c r="AK397" t="str">
        <f ca="1">IFERROR(IF(0=LEN(ReferenceData!$AK$397),"",ReferenceData!$AK$397),"")</f>
        <v/>
      </c>
      <c r="AL397">
        <f ca="1">IFERROR(IF(0=LEN(ReferenceData!$AL$397),"",ReferenceData!$AL$397),"")</f>
        <v>0</v>
      </c>
      <c r="AM397" t="str">
        <f ca="1">IFERROR(IF(0=LEN(ReferenceData!$AM$397),"",ReferenceData!$AM$397),"")</f>
        <v/>
      </c>
      <c r="AN397" t="str">
        <f ca="1">IFERROR(IF(0=LEN(ReferenceData!$AN$397),"",ReferenceData!$AN$397),"")</f>
        <v/>
      </c>
      <c r="AO397" t="str">
        <f ca="1">IFERROR(IF(0=LEN(ReferenceData!$AO$397),"",ReferenceData!$AO$397),"")</f>
        <v/>
      </c>
      <c r="AP397" t="str">
        <f ca="1">IFERROR(IF(0=LEN(ReferenceData!$AP$397),"",ReferenceData!$AP$397),"")</f>
        <v/>
      </c>
      <c r="AQ397" t="str">
        <f ca="1">IFERROR(IF(0=LEN(ReferenceData!$AQ$397),"",ReferenceData!$AQ$397),"")</f>
        <v/>
      </c>
      <c r="AR397" t="str">
        <f ca="1">IFERROR(IF(0=LEN(ReferenceData!$AR$397),"",ReferenceData!$AR$397),"")</f>
        <v/>
      </c>
      <c r="AS397" t="str">
        <f ca="1">IFERROR(IF(0=LEN(ReferenceData!$AS$397),"",ReferenceData!$AS$397),"")</f>
        <v/>
      </c>
      <c r="AT397" t="str">
        <f ca="1">IFERROR(IF(0=LEN(ReferenceData!$AT$397),"",ReferenceData!$AT$397),"")</f>
        <v/>
      </c>
      <c r="AU397" t="str">
        <f ca="1">IFERROR(IF(0=LEN(ReferenceData!$AU$397),"",ReferenceData!$AU$397),"")</f>
        <v/>
      </c>
      <c r="AV397" t="str">
        <f ca="1">IFERROR(IF(0=LEN(ReferenceData!$AV$397),"",ReferenceData!$AV$397),"")</f>
        <v/>
      </c>
      <c r="AW397" t="str">
        <f ca="1">IFERROR(IF(0=LEN(ReferenceData!$AW$397),"",ReferenceData!$AW$397),"")</f>
        <v/>
      </c>
      <c r="AX397" t="str">
        <f ca="1">IFERROR(IF(0=LEN(ReferenceData!$AX$397),"",ReferenceData!$AX$397),"")</f>
        <v/>
      </c>
      <c r="AY397" t="str">
        <f ca="1">IFERROR(IF(0=LEN(ReferenceData!$AY$397),"",ReferenceData!$AY$397),"")</f>
        <v/>
      </c>
      <c r="AZ397" t="str">
        <f ca="1">IFERROR(IF(0=LEN(ReferenceData!$AZ$397),"",ReferenceData!$AZ$397),"")</f>
        <v/>
      </c>
      <c r="BA397" t="str">
        <f ca="1">IFERROR(IF(0=LEN(ReferenceData!$BA$397),"",ReferenceData!$BA$397),"")</f>
        <v/>
      </c>
      <c r="BB397" t="str">
        <f ca="1">IFERROR(IF(0=LEN(ReferenceData!$BB$397),"",ReferenceData!$BB$397),"")</f>
        <v/>
      </c>
      <c r="BC397" t="str">
        <f ca="1">IFERROR(IF(0=LEN(ReferenceData!$BC$397),"",ReferenceData!$BC$397),"")</f>
        <v/>
      </c>
      <c r="BD397" t="str">
        <f ca="1">IFERROR(IF(0=LEN(ReferenceData!$BD$397),"",ReferenceData!$BD$397),"")</f>
        <v/>
      </c>
      <c r="BE397" t="str">
        <f ca="1">IFERROR(IF(0=LEN(ReferenceData!$BE$397),"",ReferenceData!$BE$397),"")</f>
        <v/>
      </c>
      <c r="BF397" t="str">
        <f ca="1">IFERROR(IF(0=LEN(ReferenceData!$BF$397),"",ReferenceData!$BF$397),"")</f>
        <v/>
      </c>
      <c r="BG397" t="str">
        <f ca="1">IFERROR(IF(0=LEN(ReferenceData!$BG$397),"",ReferenceData!$BG$397),"")</f>
        <v/>
      </c>
      <c r="BH397" t="str">
        <f ca="1">IFERROR(IF(0=LEN(ReferenceData!$BH$397),"",ReferenceData!$BH$397),"")</f>
        <v/>
      </c>
      <c r="BI397" t="str">
        <f ca="1">IFERROR(IF(0=LEN(ReferenceData!$BI$397),"",ReferenceData!$BI$397),"")</f>
        <v/>
      </c>
      <c r="BJ397" t="str">
        <f ca="1">IFERROR(IF(0=LEN(ReferenceData!$BJ$397),"",ReferenceData!$BJ$397),"")</f>
        <v/>
      </c>
      <c r="BK397" t="str">
        <f ca="1">IFERROR(IF(0=LEN(ReferenceData!$BK$397),"",ReferenceData!$BK$397),"")</f>
        <v/>
      </c>
      <c r="BL397" t="str">
        <f ca="1">IFERROR(IF(0=LEN(ReferenceData!$BL$397),"",ReferenceData!$BL$397),"")</f>
        <v/>
      </c>
      <c r="BM397" t="str">
        <f ca="1">IFERROR(IF(0=LEN(ReferenceData!$BM$397),"",ReferenceData!$BM$397),"")</f>
        <v/>
      </c>
    </row>
    <row r="398" spans="1:65">
      <c r="A398" t="str">
        <f>IFERROR(IF(0=LEN(ReferenceData!$A$398),"",ReferenceData!$A$398),"")</f>
        <v xml:space="preserve">    Retail Properties of America I</v>
      </c>
      <c r="B398" t="str">
        <f>IFERROR(IF(0=LEN(ReferenceData!$B$398),"",ReferenceData!$B$398),"")</f>
        <v>RPAI US Equity</v>
      </c>
      <c r="C398" t="str">
        <f>IFERROR(IF(0=LEN(ReferenceData!$C$398),"",ReferenceData!$C$398),"")</f>
        <v>RR106</v>
      </c>
      <c r="D398" t="str">
        <f>IFERROR(IF(0=LEN(ReferenceData!$D$398),"",ReferenceData!$D$398),"")</f>
        <v>FFO_PAYOUT_RATIO</v>
      </c>
      <c r="E398" t="str">
        <f>IFERROR(IF(0=LEN(ReferenceData!$E$398),"",ReferenceData!$E$398),"")</f>
        <v>动态</v>
      </c>
      <c r="F398" t="str">
        <f ca="1">IFERROR(IF(0=LEN(ReferenceData!$F$398),"",ReferenceData!$F$398),"")</f>
        <v/>
      </c>
      <c r="G398">
        <f ca="1">IFERROR(IF(0=LEN(ReferenceData!$G$398),"",ReferenceData!$G$398),"")</f>
        <v>73.200976850000004</v>
      </c>
      <c r="H398">
        <f ca="1">IFERROR(IF(0=LEN(ReferenceData!$H$398),"",ReferenceData!$H$398),"")</f>
        <v>66.514309089999998</v>
      </c>
      <c r="I398">
        <f ca="1">IFERROR(IF(0=LEN(ReferenceData!$I$398),"",ReferenceData!$I$398),"")</f>
        <v>63.109178649999997</v>
      </c>
      <c r="J398">
        <f ca="1">IFERROR(IF(0=LEN(ReferenceData!$J$398),"",ReferenceData!$J$398),"")</f>
        <v>8661.1479029999991</v>
      </c>
      <c r="K398">
        <f ca="1">IFERROR(IF(0=LEN(ReferenceData!$K$398),"",ReferenceData!$K$398),"")</f>
        <v>74.071528509999993</v>
      </c>
      <c r="L398">
        <f ca="1">IFERROR(IF(0=LEN(ReferenceData!$L$398),"",ReferenceData!$L$398),"")</f>
        <v>60.453176059999997</v>
      </c>
      <c r="M398">
        <f ca="1">IFERROR(IF(0=LEN(ReferenceData!$M$398),"",ReferenceData!$M$398),"")</f>
        <v>53.230086100000001</v>
      </c>
      <c r="N398">
        <f ca="1">IFERROR(IF(0=LEN(ReferenceData!$N$398),"",ReferenceData!$N$398),"")</f>
        <v>51.441395460000003</v>
      </c>
      <c r="O398">
        <f ca="1">IFERROR(IF(0=LEN(ReferenceData!$O$398),"",ReferenceData!$O$398),"")</f>
        <v>65.826055670000002</v>
      </c>
      <c r="P398">
        <f ca="1">IFERROR(IF(0=LEN(ReferenceData!$P$398),"",ReferenceData!$P$398),"")</f>
        <v>72.881966419999998</v>
      </c>
      <c r="Q398">
        <f ca="1">IFERROR(IF(0=LEN(ReferenceData!$Q$398),"",ReferenceData!$Q$398),"")</f>
        <v>72.296029790000006</v>
      </c>
      <c r="R398">
        <f ca="1">IFERROR(IF(0=LEN(ReferenceData!$R$398),"",ReferenceData!$R$398),"")</f>
        <v>64.886114000000006</v>
      </c>
      <c r="S398">
        <f ca="1">IFERROR(IF(0=LEN(ReferenceData!$S$398),"",ReferenceData!$S$398),"")</f>
        <v>63.9121849</v>
      </c>
      <c r="T398">
        <f ca="1">IFERROR(IF(0=LEN(ReferenceData!$T$398),"",ReferenceData!$T$398),"")</f>
        <v>60.178009009999997</v>
      </c>
      <c r="U398">
        <f ca="1">IFERROR(IF(0=LEN(ReferenceData!$U$398),"",ReferenceData!$U$398),"")</f>
        <v>61.357526040000003</v>
      </c>
      <c r="V398">
        <f ca="1">IFERROR(IF(0=LEN(ReferenceData!$V$398),"",ReferenceData!$V$398),"")</f>
        <v>59.592687230000003</v>
      </c>
      <c r="W398">
        <f ca="1">IFERROR(IF(0=LEN(ReferenceData!$W$398),"",ReferenceData!$W$398),"")</f>
        <v>54.451495719999997</v>
      </c>
      <c r="X398">
        <f ca="1">IFERROR(IF(0=LEN(ReferenceData!$X$398),"",ReferenceData!$X$398),"")</f>
        <v>61.661505220000002</v>
      </c>
      <c r="Y398">
        <f ca="1">IFERROR(IF(0=LEN(ReferenceData!$Y$398),"",ReferenceData!$Y$398),"")</f>
        <v>44.372625730000003</v>
      </c>
      <c r="Z398">
        <f ca="1">IFERROR(IF(0=LEN(ReferenceData!$Z$398),"",ReferenceData!$Z$398),"")</f>
        <v>88.457354469999999</v>
      </c>
      <c r="AA398">
        <f ca="1">IFERROR(IF(0=LEN(ReferenceData!$AA$398),"",ReferenceData!$AA$398),"")</f>
        <v>63.666052319999999</v>
      </c>
      <c r="AB398">
        <f ca="1">IFERROR(IF(0=LEN(ReferenceData!$AB$398),"",ReferenceData!$AB$398),"")</f>
        <v>66.726000429999999</v>
      </c>
      <c r="AC398">
        <f ca="1">IFERROR(IF(0=LEN(ReferenceData!$AC$398),"",ReferenceData!$AC$398),"")</f>
        <v>54.446978340000001</v>
      </c>
      <c r="AD398">
        <f ca="1">IFERROR(IF(0=LEN(ReferenceData!$AD$398),"",ReferenceData!$AD$398),"")</f>
        <v>66.467622629999994</v>
      </c>
      <c r="AE398">
        <f ca="1">IFERROR(IF(0=LEN(ReferenceData!$AE$398),"",ReferenceData!$AE$398),"")</f>
        <v>64.808366320000005</v>
      </c>
      <c r="AF398">
        <f ca="1">IFERROR(IF(0=LEN(ReferenceData!$AF$398),"",ReferenceData!$AF$398),"")</f>
        <v>0</v>
      </c>
      <c r="AG398">
        <f ca="1">IFERROR(IF(0=LEN(ReferenceData!$AG$398),"",ReferenceData!$AG$398),"")</f>
        <v>0</v>
      </c>
      <c r="AH398">
        <f ca="1">IFERROR(IF(0=LEN(ReferenceData!$AH$398),"",ReferenceData!$AH$398),"")</f>
        <v>0</v>
      </c>
      <c r="AI398">
        <f ca="1">IFERROR(IF(0=LEN(ReferenceData!$AI$398),"",ReferenceData!$AI$398),"")</f>
        <v>0</v>
      </c>
      <c r="AJ398" t="str">
        <f ca="1">IFERROR(IF(0=LEN(ReferenceData!$AJ$398),"",ReferenceData!$AJ$398),"")</f>
        <v/>
      </c>
      <c r="AK398" t="str">
        <f ca="1">IFERROR(IF(0=LEN(ReferenceData!$AK$398),"",ReferenceData!$AK$398),"")</f>
        <v/>
      </c>
      <c r="AL398" t="str">
        <f ca="1">IFERROR(IF(0=LEN(ReferenceData!$AL$398),"",ReferenceData!$AL$398),"")</f>
        <v/>
      </c>
      <c r="AM398" t="str">
        <f ca="1">IFERROR(IF(0=LEN(ReferenceData!$AM$398),"",ReferenceData!$AM$398),"")</f>
        <v/>
      </c>
      <c r="AN398">
        <f ca="1">IFERROR(IF(0=LEN(ReferenceData!$AN$398),"",ReferenceData!$AN$398),"")</f>
        <v>0</v>
      </c>
      <c r="AO398" t="str">
        <f ca="1">IFERROR(IF(0=LEN(ReferenceData!$AO$398),"",ReferenceData!$AO$398),"")</f>
        <v/>
      </c>
      <c r="AP398" t="str">
        <f ca="1">IFERROR(IF(0=LEN(ReferenceData!$AP$398),"",ReferenceData!$AP$398),"")</f>
        <v/>
      </c>
      <c r="AQ398" t="str">
        <f ca="1">IFERROR(IF(0=LEN(ReferenceData!$AQ$398),"",ReferenceData!$AQ$398),"")</f>
        <v/>
      </c>
      <c r="AR398" t="str">
        <f ca="1">IFERROR(IF(0=LEN(ReferenceData!$AR$398),"",ReferenceData!$AR$398),"")</f>
        <v/>
      </c>
      <c r="AS398" t="str">
        <f ca="1">IFERROR(IF(0=LEN(ReferenceData!$AS$398),"",ReferenceData!$AS$398),"")</f>
        <v/>
      </c>
      <c r="AT398" t="str">
        <f ca="1">IFERROR(IF(0=LEN(ReferenceData!$AT$398),"",ReferenceData!$AT$398),"")</f>
        <v/>
      </c>
      <c r="AU398" t="str">
        <f ca="1">IFERROR(IF(0=LEN(ReferenceData!$AU$398),"",ReferenceData!$AU$398),"")</f>
        <v/>
      </c>
      <c r="AV398" t="str">
        <f ca="1">IFERROR(IF(0=LEN(ReferenceData!$AV$398),"",ReferenceData!$AV$398),"")</f>
        <v/>
      </c>
      <c r="AW398" t="str">
        <f ca="1">IFERROR(IF(0=LEN(ReferenceData!$AW$398),"",ReferenceData!$AW$398),"")</f>
        <v/>
      </c>
      <c r="AX398" t="str">
        <f ca="1">IFERROR(IF(0=LEN(ReferenceData!$AX$398),"",ReferenceData!$AX$398),"")</f>
        <v/>
      </c>
      <c r="AY398" t="str">
        <f ca="1">IFERROR(IF(0=LEN(ReferenceData!$AY$398),"",ReferenceData!$AY$398),"")</f>
        <v/>
      </c>
      <c r="AZ398" t="str">
        <f ca="1">IFERROR(IF(0=LEN(ReferenceData!$AZ$398),"",ReferenceData!$AZ$398),"")</f>
        <v/>
      </c>
      <c r="BA398" t="str">
        <f ca="1">IFERROR(IF(0=LEN(ReferenceData!$BA$398),"",ReferenceData!$BA$398),"")</f>
        <v/>
      </c>
      <c r="BB398" t="str">
        <f ca="1">IFERROR(IF(0=LEN(ReferenceData!$BB$398),"",ReferenceData!$BB$398),"")</f>
        <v/>
      </c>
      <c r="BC398" t="str">
        <f ca="1">IFERROR(IF(0=LEN(ReferenceData!$BC$398),"",ReferenceData!$BC$398),"")</f>
        <v/>
      </c>
      <c r="BD398" t="str">
        <f ca="1">IFERROR(IF(0=LEN(ReferenceData!$BD$398),"",ReferenceData!$BD$398),"")</f>
        <v/>
      </c>
      <c r="BE398" t="str">
        <f ca="1">IFERROR(IF(0=LEN(ReferenceData!$BE$398),"",ReferenceData!$BE$398),"")</f>
        <v/>
      </c>
      <c r="BF398" t="str">
        <f ca="1">IFERROR(IF(0=LEN(ReferenceData!$BF$398),"",ReferenceData!$BF$398),"")</f>
        <v/>
      </c>
      <c r="BG398" t="str">
        <f ca="1">IFERROR(IF(0=LEN(ReferenceData!$BG$398),"",ReferenceData!$BG$398),"")</f>
        <v/>
      </c>
      <c r="BH398" t="str">
        <f ca="1">IFERROR(IF(0=LEN(ReferenceData!$BH$398),"",ReferenceData!$BH$398),"")</f>
        <v/>
      </c>
      <c r="BI398" t="str">
        <f ca="1">IFERROR(IF(0=LEN(ReferenceData!$BI$398),"",ReferenceData!$BI$398),"")</f>
        <v/>
      </c>
      <c r="BJ398" t="str">
        <f ca="1">IFERROR(IF(0=LEN(ReferenceData!$BJ$398),"",ReferenceData!$BJ$398),"")</f>
        <v/>
      </c>
      <c r="BK398" t="str">
        <f ca="1">IFERROR(IF(0=LEN(ReferenceData!$BK$398),"",ReferenceData!$BK$398),"")</f>
        <v/>
      </c>
      <c r="BL398" t="str">
        <f ca="1">IFERROR(IF(0=LEN(ReferenceData!$BL$398),"",ReferenceData!$BL$398),"")</f>
        <v/>
      </c>
      <c r="BM398" t="str">
        <f ca="1">IFERROR(IF(0=LEN(ReferenceData!$BM$398),"",ReferenceData!$BM$398),"")</f>
        <v/>
      </c>
    </row>
    <row r="399" spans="1:65">
      <c r="A399" t="str">
        <f>IFERROR(IF(0=LEN(ReferenceData!$A$399),"",ReferenceData!$A$399),"")</f>
        <v xml:space="preserve">    Simon Property Group Inc</v>
      </c>
      <c r="B399" t="str">
        <f>IFERROR(IF(0=LEN(ReferenceData!$B$399),"",ReferenceData!$B$399),"")</f>
        <v>SPG US Equity</v>
      </c>
      <c r="C399" t="str">
        <f>IFERROR(IF(0=LEN(ReferenceData!$C$399),"",ReferenceData!$C$399),"")</f>
        <v>RR106</v>
      </c>
      <c r="D399" t="str">
        <f>IFERROR(IF(0=LEN(ReferenceData!$D$399),"",ReferenceData!$D$399),"")</f>
        <v>FFO_PAYOUT_RATIO</v>
      </c>
      <c r="E399" t="str">
        <f>IFERROR(IF(0=LEN(ReferenceData!$E$399),"",ReferenceData!$E$399),"")</f>
        <v>动态</v>
      </c>
      <c r="F399" t="str">
        <f ca="1">IFERROR(IF(0=LEN(ReferenceData!$F$399),"",ReferenceData!$F$399),"")</f>
        <v/>
      </c>
      <c r="G399">
        <f ca="1">IFERROR(IF(0=LEN(ReferenceData!$G$399),"",ReferenceData!$G$399),"")</f>
        <v>51.284754769999999</v>
      </c>
      <c r="H399">
        <f ca="1">IFERROR(IF(0=LEN(ReferenceData!$H$399),"",ReferenceData!$H$399),"")</f>
        <v>54.037426879999998</v>
      </c>
      <c r="I399">
        <f ca="1">IFERROR(IF(0=LEN(ReferenceData!$I$399),"",ReferenceData!$I$399),"")</f>
        <v>61.62962315</v>
      </c>
      <c r="J399">
        <f ca="1">IFERROR(IF(0=LEN(ReferenceData!$J$399),"",ReferenceData!$J$399),"")</f>
        <v>55.574703659999997</v>
      </c>
      <c r="K399">
        <f ca="1">IFERROR(IF(0=LEN(ReferenceData!$K$399),"",ReferenceData!$K$399),"")</f>
        <v>56.73809808</v>
      </c>
      <c r="L399">
        <f ca="1">IFERROR(IF(0=LEN(ReferenceData!$L$399),"",ReferenceData!$L$399),"")</f>
        <v>53.122487239999998</v>
      </c>
      <c r="M399">
        <f ca="1">IFERROR(IF(0=LEN(ReferenceData!$M$399),"",ReferenceData!$M$399),"")</f>
        <v>52.624032759999999</v>
      </c>
      <c r="N399">
        <f ca="1">IFERROR(IF(0=LEN(ReferenceData!$N$399),"",ReferenceData!$N$399),"")</f>
        <v>52.011812999999997</v>
      </c>
      <c r="O399">
        <f ca="1">IFERROR(IF(0=LEN(ReferenceData!$O$399),"",ReferenceData!$O$399),"")</f>
        <v>45.352389709999997</v>
      </c>
      <c r="P399">
        <f ca="1">IFERROR(IF(0=LEN(ReferenceData!$P$399),"",ReferenceData!$P$399),"")</f>
        <v>52.204650110000003</v>
      </c>
      <c r="Q399">
        <f ca="1">IFERROR(IF(0=LEN(ReferenceData!$Q$399),"",ReferenceData!$Q$399),"")</f>
        <v>48.751303180000001</v>
      </c>
      <c r="R399">
        <f ca="1">IFERROR(IF(0=LEN(ReferenceData!$R$399),"",ReferenceData!$R$399),"")</f>
        <v>52.428742370000002</v>
      </c>
      <c r="S399">
        <f ca="1">IFERROR(IF(0=LEN(ReferenceData!$S$399),"",ReferenceData!$S$399),"")</f>
        <v>48.519494889999997</v>
      </c>
      <c r="T399">
        <f ca="1">IFERROR(IF(0=LEN(ReferenceData!$T$399),"",ReferenceData!$T$399),"")</f>
        <v>58.60382353</v>
      </c>
      <c r="U399">
        <f ca="1">IFERROR(IF(0=LEN(ReferenceData!$U$399),"",ReferenceData!$U$399),"")</f>
        <v>51.537280850000002</v>
      </c>
      <c r="V399">
        <f ca="1">IFERROR(IF(0=LEN(ReferenceData!$V$399),"",ReferenceData!$V$399),"")</f>
        <v>44.870380820000001</v>
      </c>
      <c r="W399">
        <f ca="1">IFERROR(IF(0=LEN(ReferenceData!$W$399),"",ReferenceData!$W$399),"")</f>
        <v>43.368188000000004</v>
      </c>
      <c r="X399">
        <f ca="1">IFERROR(IF(0=LEN(ReferenceData!$X$399),"",ReferenceData!$X$399),"")</f>
        <v>46.39044938</v>
      </c>
      <c r="Y399">
        <f ca="1">IFERROR(IF(0=LEN(ReferenceData!$Y$399),"",ReferenceData!$Y$399),"")</f>
        <v>46.56188556</v>
      </c>
      <c r="Z399">
        <f ca="1">IFERROR(IF(0=LEN(ReferenceData!$Z$399),"",ReferenceData!$Z$399),"")</f>
        <v>48.050983690000002</v>
      </c>
      <c r="AA399">
        <f ca="1">IFERROR(IF(0=LEN(ReferenceData!$AA$399),"",ReferenceData!$AA$399),"")</f>
        <v>41.133843820000003</v>
      </c>
      <c r="AB399">
        <f ca="1">IFERROR(IF(0=LEN(ReferenceData!$AB$399),"",ReferenceData!$AB$399),"")</f>
        <v>44.345806060000001</v>
      </c>
      <c r="AC399">
        <f ca="1">IFERROR(IF(0=LEN(ReferenceData!$AC$399),"",ReferenceData!$AC$399),"")</f>
        <v>46.229507230000003</v>
      </c>
      <c r="AD399">
        <f ca="1">IFERROR(IF(0=LEN(ReferenceData!$AD$399),"",ReferenceData!$AD$399),"")</f>
        <v>43.306540259999998</v>
      </c>
      <c r="AE399">
        <f ca="1">IFERROR(IF(0=LEN(ReferenceData!$AE$399),"",ReferenceData!$AE$399),"")</f>
        <v>47.607418629999998</v>
      </c>
      <c r="AF399">
        <f ca="1">IFERROR(IF(0=LEN(ReferenceData!$AF$399),"",ReferenceData!$AF$399),"")</f>
        <v>38.761953759999997</v>
      </c>
      <c r="AG399">
        <f ca="1">IFERROR(IF(0=LEN(ReferenceData!$AG$399),"",ReferenceData!$AG$399),"")</f>
        <v>40.258576689999998</v>
      </c>
      <c r="AH399">
        <f ca="1">IFERROR(IF(0=LEN(ReferenceData!$AH$399),"",ReferenceData!$AH$399),"")</f>
        <v>41.087714030000001</v>
      </c>
      <c r="AI399">
        <f ca="1">IFERROR(IF(0=LEN(ReferenceData!$AI$399),"",ReferenceData!$AI$399),"")</f>
        <v>37.163373399999998</v>
      </c>
      <c r="AJ399">
        <f ca="1">IFERROR(IF(0=LEN(ReferenceData!$AJ$399),"",ReferenceData!$AJ$399),"")</f>
        <v>55.160475820000002</v>
      </c>
      <c r="AK399">
        <f ca="1">IFERROR(IF(0=LEN(ReferenceData!$AK$399),"",ReferenceData!$AK$399),"")</f>
        <v>35.966362439999997</v>
      </c>
      <c r="AL399">
        <f ca="1">IFERROR(IF(0=LEN(ReferenceData!$AL$399),"",ReferenceData!$AL$399),"")</f>
        <v>52.732471199999999</v>
      </c>
      <c r="AM399">
        <f ca="1">IFERROR(IF(0=LEN(ReferenceData!$AM$399),"",ReferenceData!$AM$399),"")</f>
        <v>42.136439510000002</v>
      </c>
      <c r="AN399">
        <f ca="1">IFERROR(IF(0=LEN(ReferenceData!$AN$399),"",ReferenceData!$AN$399),"")</f>
        <v>35.69389984</v>
      </c>
      <c r="AO399">
        <f ca="1">IFERROR(IF(0=LEN(ReferenceData!$AO$399),"",ReferenceData!$AO$399),"")</f>
        <v>51.404835079999998</v>
      </c>
      <c r="AP399">
        <f ca="1">IFERROR(IF(0=LEN(ReferenceData!$AP$399),"",ReferenceData!$AP$399),"")</f>
        <v>4.4526729730000003</v>
      </c>
      <c r="AQ399">
        <f ca="1">IFERROR(IF(0=LEN(ReferenceData!$AQ$399),"",ReferenceData!$AQ$399),"")</f>
        <v>37.881696939999998</v>
      </c>
      <c r="AR399">
        <f ca="1">IFERROR(IF(0=LEN(ReferenceData!$AR$399),"",ReferenceData!$AR$399),"")</f>
        <v>87.442025540000003</v>
      </c>
      <c r="AS399">
        <f ca="1">IFERROR(IF(0=LEN(ReferenceData!$AS$399),"",ReferenceData!$AS$399),"")</f>
        <v>94.650891119999997</v>
      </c>
      <c r="AT399">
        <f ca="1">IFERROR(IF(0=LEN(ReferenceData!$AT$399),"",ReferenceData!$AT$399),"")</f>
        <v>47.877360539999998</v>
      </c>
      <c r="AU399">
        <f ca="1">IFERROR(IF(0=LEN(ReferenceData!$AU$399),"",ReferenceData!$AU$399),"")</f>
        <v>36.900564119999999</v>
      </c>
      <c r="AV399">
        <f ca="1">IFERROR(IF(0=LEN(ReferenceData!$AV$399),"",ReferenceData!$AV$399),"")</f>
        <v>44.758134210000001</v>
      </c>
      <c r="AW399">
        <f ca="1">IFERROR(IF(0=LEN(ReferenceData!$AW$399),"",ReferenceData!$AW$399),"")</f>
        <v>50.305173539999998</v>
      </c>
      <c r="AX399">
        <f ca="1">IFERROR(IF(0=LEN(ReferenceData!$AX$399),"",ReferenceData!$AX$399),"")</f>
        <v>47.617860489999998</v>
      </c>
      <c r="AY399">
        <f ca="1">IFERROR(IF(0=LEN(ReferenceData!$AY$399),"",ReferenceData!$AY$399),"")</f>
        <v>37.343128640000003</v>
      </c>
      <c r="AZ399">
        <f ca="1">IFERROR(IF(0=LEN(ReferenceData!$AZ$399),"",ReferenceData!$AZ$399),"")</f>
        <v>45.49601045</v>
      </c>
      <c r="BA399">
        <f ca="1">IFERROR(IF(0=LEN(ReferenceData!$BA$399),"",ReferenceData!$BA$399),"")</f>
        <v>46.856579340000003</v>
      </c>
      <c r="BB399">
        <f ca="1">IFERROR(IF(0=LEN(ReferenceData!$BB$399),"",ReferenceData!$BB$399),"")</f>
        <v>46.715307950000003</v>
      </c>
      <c r="BC399">
        <f ca="1">IFERROR(IF(0=LEN(ReferenceData!$BC$399),"",ReferenceData!$BC$399),"")</f>
        <v>36.734724569999997</v>
      </c>
      <c r="BD399">
        <f ca="1">IFERROR(IF(0=LEN(ReferenceData!$BD$399),"",ReferenceData!$BD$399),"")</f>
        <v>47.73098049</v>
      </c>
      <c r="BE399">
        <f ca="1">IFERROR(IF(0=LEN(ReferenceData!$BE$399),"",ReferenceData!$BE$399),"")</f>
        <v>45.994488179999998</v>
      </c>
      <c r="BF399">
        <f ca="1">IFERROR(IF(0=LEN(ReferenceData!$BF$399),"",ReferenceData!$BF$399),"")</f>
        <v>46.219051020000002</v>
      </c>
      <c r="BG399">
        <f ca="1">IFERROR(IF(0=LEN(ReferenceData!$BG$399),"",ReferenceData!$BG$399),"")</f>
        <v>37.0260818</v>
      </c>
      <c r="BH399">
        <f ca="1">IFERROR(IF(0=LEN(ReferenceData!$BH$399),"",ReferenceData!$BH$399),"")</f>
        <v>48.457888140000001</v>
      </c>
      <c r="BI399">
        <f ca="1">IFERROR(IF(0=LEN(ReferenceData!$BI$399),"",ReferenceData!$BI$399),"")</f>
        <v>64.063747179999993</v>
      </c>
      <c r="BJ399">
        <f ca="1">IFERROR(IF(0=LEN(ReferenceData!$BJ$399),"",ReferenceData!$BJ$399),"")</f>
        <v>67.554175369999996</v>
      </c>
      <c r="BK399">
        <f ca="1">IFERROR(IF(0=LEN(ReferenceData!$BK$399),"",ReferenceData!$BK$399),"")</f>
        <v>32.666055350000001</v>
      </c>
      <c r="BL399">
        <f ca="1">IFERROR(IF(0=LEN(ReferenceData!$BL$399),"",ReferenceData!$BL$399),"")</f>
        <v>63.285346680000004</v>
      </c>
      <c r="BM399">
        <f ca="1">IFERROR(IF(0=LEN(ReferenceData!$BM$399),"",ReferenceData!$BM$399),"")</f>
        <v>60.841684890000003</v>
      </c>
    </row>
    <row r="400" spans="1:65">
      <c r="A400" t="str">
        <f>IFERROR(IF(0=LEN(ReferenceData!$A$400),"",ReferenceData!$A$400),"")</f>
        <v xml:space="preserve">    Tanger Factory Outlet Centers</v>
      </c>
      <c r="B400" t="str">
        <f>IFERROR(IF(0=LEN(ReferenceData!$B$400),"",ReferenceData!$B$400),"")</f>
        <v>SKT US Equity</v>
      </c>
      <c r="C400" t="str">
        <f>IFERROR(IF(0=LEN(ReferenceData!$C$400),"",ReferenceData!$C$400),"")</f>
        <v>RR106</v>
      </c>
      <c r="D400" t="str">
        <f>IFERROR(IF(0=LEN(ReferenceData!$D$400),"",ReferenceData!$D$400),"")</f>
        <v>FFO_PAYOUT_RATIO</v>
      </c>
      <c r="E400" t="str">
        <f>IFERROR(IF(0=LEN(ReferenceData!$E$400),"",ReferenceData!$E$400),"")</f>
        <v>动态</v>
      </c>
      <c r="F400" t="str">
        <f ca="1">IFERROR(IF(0=LEN(ReferenceData!$F$400),"",ReferenceData!$F$400),"")</f>
        <v/>
      </c>
      <c r="G400">
        <f ca="1">IFERROR(IF(0=LEN(ReferenceData!$G$400),"",ReferenceData!$G$400),"")</f>
        <v>47.567695669999999</v>
      </c>
      <c r="H400">
        <f ca="1">IFERROR(IF(0=LEN(ReferenceData!$H$400),"",ReferenceData!$H$400),"")</f>
        <v>120.6625188</v>
      </c>
      <c r="I400">
        <f ca="1">IFERROR(IF(0=LEN(ReferenceData!$I$400),"",ReferenceData!$I$400),"")</f>
        <v>54.783050549999999</v>
      </c>
      <c r="J400">
        <f ca="1">IFERROR(IF(0=LEN(ReferenceData!$J$400),"",ReferenceData!$J$400),"")</f>
        <v>53.65217956</v>
      </c>
      <c r="K400">
        <f ca="1">IFERROR(IF(0=LEN(ReferenceData!$K$400),"",ReferenceData!$K$400),"")</f>
        <v>50.779616220000001</v>
      </c>
      <c r="L400">
        <f ca="1">IFERROR(IF(0=LEN(ReferenceData!$L$400),"",ReferenceData!$L$400),"")</f>
        <v>49.825513950000001</v>
      </c>
      <c r="M400">
        <f ca="1">IFERROR(IF(0=LEN(ReferenceData!$M$400),"",ReferenceData!$M$400),"")</f>
        <v>52.738418930000002</v>
      </c>
      <c r="N400">
        <f ca="1">IFERROR(IF(0=LEN(ReferenceData!$N$400),"",ReferenceData!$N$400),"")</f>
        <v>49.979874860000002</v>
      </c>
      <c r="O400">
        <f ca="1">IFERROR(IF(0=LEN(ReferenceData!$O$400),"",ReferenceData!$O$400),"")</f>
        <v>45.906924570000001</v>
      </c>
      <c r="P400">
        <f ca="1">IFERROR(IF(0=LEN(ReferenceData!$P$400),"",ReferenceData!$P$400),"")</f>
        <v>45.972154410000002</v>
      </c>
      <c r="Q400">
        <f ca="1">IFERROR(IF(0=LEN(ReferenceData!$Q$400),"",ReferenceData!$Q$400),"")</f>
        <v>50.429402529999997</v>
      </c>
      <c r="R400">
        <f ca="1">IFERROR(IF(0=LEN(ReferenceData!$R$400),"",ReferenceData!$R$400),"")</f>
        <v>46.125253659999998</v>
      </c>
      <c r="S400">
        <f ca="1">IFERROR(IF(0=LEN(ReferenceData!$S$400),"",ReferenceData!$S$400),"")</f>
        <v>58.409933469999999</v>
      </c>
      <c r="T400">
        <f ca="1">IFERROR(IF(0=LEN(ReferenceData!$T$400),"",ReferenceData!$T$400),"")</f>
        <v>44.520375569999999</v>
      </c>
      <c r="U400">
        <f ca="1">IFERROR(IF(0=LEN(ReferenceData!$U$400),"",ReferenceData!$U$400),"")</f>
        <v>49.874170169999999</v>
      </c>
      <c r="V400">
        <f ca="1">IFERROR(IF(0=LEN(ReferenceData!$V$400),"",ReferenceData!$V$400),"")</f>
        <v>50.087528880000001</v>
      </c>
      <c r="W400">
        <f ca="1">IFERROR(IF(0=LEN(ReferenceData!$W$400),"",ReferenceData!$W$400),"")</f>
        <v>40.20738077</v>
      </c>
      <c r="X400">
        <f ca="1">IFERROR(IF(0=LEN(ReferenceData!$X$400),"",ReferenceData!$X$400),"")</f>
        <v>37.383087760000002</v>
      </c>
      <c r="Y400">
        <f ca="1">IFERROR(IF(0=LEN(ReferenceData!$Y$400),"",ReferenceData!$Y$400),"")</f>
        <v>49.355947540000003</v>
      </c>
      <c r="Z400">
        <f ca="1">IFERROR(IF(0=LEN(ReferenceData!$Z$400),"",ReferenceData!$Z$400),"")</f>
        <v>47.686635940000002</v>
      </c>
      <c r="AA400">
        <f ca="1">IFERROR(IF(0=LEN(ReferenceData!$AA$400),"",ReferenceData!$AA$400),"")</f>
        <v>43.579459100000001</v>
      </c>
      <c r="AB400">
        <f ca="1">IFERROR(IF(0=LEN(ReferenceData!$AB$400),"",ReferenceData!$AB$400),"")</f>
        <v>46.4320752</v>
      </c>
      <c r="AC400">
        <f ca="1">IFERROR(IF(0=LEN(ReferenceData!$AC$400),"",ReferenceData!$AC$400),"")</f>
        <v>49.915953969999997</v>
      </c>
      <c r="AD400">
        <f ca="1">IFERROR(IF(0=LEN(ReferenceData!$AD$400),"",ReferenceData!$AD$400),"")</f>
        <v>50.320426490000003</v>
      </c>
      <c r="AE400">
        <f ca="1">IFERROR(IF(0=LEN(ReferenceData!$AE$400),"",ReferenceData!$AE$400),"")</f>
        <v>41.546424170000002</v>
      </c>
      <c r="AF400">
        <f ca="1">IFERROR(IF(0=LEN(ReferenceData!$AF$400),"",ReferenceData!$AF$400),"")</f>
        <v>44.949862779999997</v>
      </c>
      <c r="AG400">
        <f ca="1">IFERROR(IF(0=LEN(ReferenceData!$AG$400),"",ReferenceData!$AG$400),"")</f>
        <v>54.376731300000003</v>
      </c>
      <c r="AH400">
        <f ca="1">IFERROR(IF(0=LEN(ReferenceData!$AH$400),"",ReferenceData!$AH$400),"")</f>
        <v>53.16002701</v>
      </c>
      <c r="AI400">
        <f ca="1">IFERROR(IF(0=LEN(ReferenceData!$AI$400),"",ReferenceData!$AI$400),"")</f>
        <v>51.066174269999998</v>
      </c>
      <c r="AJ400">
        <f ca="1">IFERROR(IF(0=LEN(ReferenceData!$AJ$400),"",ReferenceData!$AJ$400),"")</f>
        <v>50.036698430000001</v>
      </c>
      <c r="AK400">
        <f ca="1">IFERROR(IF(0=LEN(ReferenceData!$AK$400),"",ReferenceData!$AK$400),"")</f>
        <v>70.297260919999999</v>
      </c>
      <c r="AL400">
        <f ca="1">IFERROR(IF(0=LEN(ReferenceData!$AL$400),"",ReferenceData!$AL$400),"")</f>
        <v>52.801068739999998</v>
      </c>
      <c r="AM400">
        <f ca="1">IFERROR(IF(0=LEN(ReferenceData!$AM$400),"",ReferenceData!$AM$400),"")</f>
        <v>46.614416859999999</v>
      </c>
      <c r="AN400">
        <f ca="1">IFERROR(IF(0=LEN(ReferenceData!$AN$400),"",ReferenceData!$AN$400),"")</f>
        <v>60.70590627</v>
      </c>
      <c r="AO400">
        <f ca="1">IFERROR(IF(0=LEN(ReferenceData!$AO$400),"",ReferenceData!$AO$400),"")</f>
        <v>40.332017180000001</v>
      </c>
      <c r="AP400">
        <f ca="1">IFERROR(IF(0=LEN(ReferenceData!$AP$400),"",ReferenceData!$AP$400),"")</f>
        <v>48.714731</v>
      </c>
      <c r="AQ400">
        <f ca="1">IFERROR(IF(0=LEN(ReferenceData!$AQ$400),"",ReferenceData!$AQ$400),"")</f>
        <v>44.76842225</v>
      </c>
      <c r="AR400">
        <f ca="1">IFERROR(IF(0=LEN(ReferenceData!$AR$400),"",ReferenceData!$AR$400),"")</f>
        <v>46.49406493</v>
      </c>
      <c r="AS400">
        <f ca="1">IFERROR(IF(0=LEN(ReferenceData!$AS$400),"",ReferenceData!$AS$400),"")</f>
        <v>82.714495900000003</v>
      </c>
      <c r="AT400">
        <f ca="1">IFERROR(IF(0=LEN(ReferenceData!$AT$400),"",ReferenceData!$AT$400),"")</f>
        <v>50.910435499999998</v>
      </c>
      <c r="AU400">
        <f ca="1">IFERROR(IF(0=LEN(ReferenceData!$AU$400),"",ReferenceData!$AU$400),"")</f>
        <v>42.195253460000004</v>
      </c>
      <c r="AV400">
        <f ca="1">IFERROR(IF(0=LEN(ReferenceData!$AV$400),"",ReferenceData!$AV$400),"")</f>
        <v>46.407789710000003</v>
      </c>
      <c r="AW400">
        <f ca="1">IFERROR(IF(0=LEN(ReferenceData!$AW$400),"",ReferenceData!$AW$400),"")</f>
        <v>50.106746139999998</v>
      </c>
      <c r="AX400">
        <f ca="1">IFERROR(IF(0=LEN(ReferenceData!$AX$400),"",ReferenceData!$AX$400),"")</f>
        <v>49.048003379999997</v>
      </c>
      <c r="AY400">
        <f ca="1">IFERROR(IF(0=LEN(ReferenceData!$AY$400),"",ReferenceData!$AY$400),"")</f>
        <v>46.377516419999999</v>
      </c>
      <c r="AZ400">
        <f ca="1">IFERROR(IF(0=LEN(ReferenceData!$AZ$400),"",ReferenceData!$AZ$400),"")</f>
        <v>49.210399430000002</v>
      </c>
      <c r="BA400">
        <f ca="1">IFERROR(IF(0=LEN(ReferenceData!$BA$400),"",ReferenceData!$BA$400),"")</f>
        <v>52.64777041</v>
      </c>
      <c r="BB400">
        <f ca="1">IFERROR(IF(0=LEN(ReferenceData!$BB$400),"",ReferenceData!$BB$400),"")</f>
        <v>52.12964581</v>
      </c>
      <c r="BC400">
        <f ca="1">IFERROR(IF(0=LEN(ReferenceData!$BC$400),"",ReferenceData!$BC$400),"")</f>
        <v>78.635254770000003</v>
      </c>
      <c r="BD400">
        <f ca="1">IFERROR(IF(0=LEN(ReferenceData!$BD$400),"",ReferenceData!$BD$400),"")</f>
        <v>52.689670059999997</v>
      </c>
      <c r="BE400">
        <f ca="1">IFERROR(IF(0=LEN(ReferenceData!$BE$400),"",ReferenceData!$BE$400),"")</f>
        <v>56.184375600000003</v>
      </c>
      <c r="BF400">
        <f ca="1">IFERROR(IF(0=LEN(ReferenceData!$BF$400),"",ReferenceData!$BF$400),"")</f>
        <v>58.723331039999998</v>
      </c>
      <c r="BG400">
        <f ca="1">IFERROR(IF(0=LEN(ReferenceData!$BG$400),"",ReferenceData!$BG$400),"")</f>
        <v>49.00463748</v>
      </c>
      <c r="BH400">
        <f ca="1">IFERROR(IF(0=LEN(ReferenceData!$BH$400),"",ReferenceData!$BH$400),"")</f>
        <v>53.719138729999997</v>
      </c>
      <c r="BI400">
        <f ca="1">IFERROR(IF(0=LEN(ReferenceData!$BI$400),"",ReferenceData!$BI$400),"")</f>
        <v>54.081763420000001</v>
      </c>
      <c r="BJ400">
        <f ca="1">IFERROR(IF(0=LEN(ReferenceData!$BJ$400),"",ReferenceData!$BJ$400),"")</f>
        <v>59.038760529999998</v>
      </c>
      <c r="BK400">
        <f ca="1">IFERROR(IF(0=LEN(ReferenceData!$BK$400),"",ReferenceData!$BK$400),"")</f>
        <v>48.642045359999997</v>
      </c>
      <c r="BL400">
        <f ca="1">IFERROR(IF(0=LEN(ReferenceData!$BL$400),"",ReferenceData!$BL$400),"")</f>
        <v>1982.45318</v>
      </c>
      <c r="BM400">
        <f ca="1">IFERROR(IF(0=LEN(ReferenceData!$BM$400),"",ReferenceData!$BM$400),"")</f>
        <v>53.670488669999997</v>
      </c>
    </row>
    <row r="401" spans="1:65">
      <c r="A401" t="str">
        <f>IFERROR(IF(0=LEN(ReferenceData!$A$401),"",ReferenceData!$A$401),"")</f>
        <v xml:space="preserve">    VEREIT Inc</v>
      </c>
      <c r="B401" t="str">
        <f>IFERROR(IF(0=LEN(ReferenceData!$B$401),"",ReferenceData!$B$401),"")</f>
        <v>VER US Equity</v>
      </c>
      <c r="C401" t="str">
        <f>IFERROR(IF(0=LEN(ReferenceData!$C$401),"",ReferenceData!$C$401),"")</f>
        <v>RR106</v>
      </c>
      <c r="D401" t="str">
        <f>IFERROR(IF(0=LEN(ReferenceData!$D$401),"",ReferenceData!$D$401),"")</f>
        <v>FFO_PAYOUT_RATIO</v>
      </c>
      <c r="E401" t="str">
        <f>IFERROR(IF(0=LEN(ReferenceData!$E$401),"",ReferenceData!$E$401),"")</f>
        <v>动态</v>
      </c>
      <c r="F401" t="str">
        <f ca="1">IFERROR(IF(0=LEN(ReferenceData!$F$401),"",ReferenceData!$F$401),"")</f>
        <v/>
      </c>
      <c r="G401">
        <f ca="1">IFERROR(IF(0=LEN(ReferenceData!$G$401),"",ReferenceData!$G$401),"")</f>
        <v>101.86933929999999</v>
      </c>
      <c r="H401">
        <f ca="1">IFERROR(IF(0=LEN(ReferenceData!$H$401),"",ReferenceData!$H$401),"")</f>
        <v>76.743621640000001</v>
      </c>
      <c r="I401">
        <f ca="1">IFERROR(IF(0=LEN(ReferenceData!$I$401),"",ReferenceData!$I$401),"")</f>
        <v>79.54972866</v>
      </c>
      <c r="J401">
        <f ca="1">IFERROR(IF(0=LEN(ReferenceData!$J$401),"",ReferenceData!$J$401),"")</f>
        <v>78.751653779999998</v>
      </c>
      <c r="K401">
        <f ca="1">IFERROR(IF(0=LEN(ReferenceData!$K$401),"",ReferenceData!$K$401),"")</f>
        <v>254.59997340000001</v>
      </c>
      <c r="L401">
        <f ca="1">IFERROR(IF(0=LEN(ReferenceData!$L$401),"",ReferenceData!$L$401),"")</f>
        <v>73.597677520000005</v>
      </c>
      <c r="M401">
        <f ca="1">IFERROR(IF(0=LEN(ReferenceData!$M$401),"",ReferenceData!$M$401),"")</f>
        <v>68.725788069999993</v>
      </c>
      <c r="N401">
        <f ca="1">IFERROR(IF(0=LEN(ReferenceData!$N$401),"",ReferenceData!$N$401),"")</f>
        <v>63.33671374</v>
      </c>
      <c r="O401">
        <f ca="1">IFERROR(IF(0=LEN(ReferenceData!$O$401),"",ReferenceData!$O$401),"")</f>
        <v>2736.5204899999999</v>
      </c>
      <c r="P401">
        <f ca="1">IFERROR(IF(0=LEN(ReferenceData!$P$401),"",ReferenceData!$P$401),"")</f>
        <v>66.028014540000001</v>
      </c>
      <c r="Q401">
        <f ca="1">IFERROR(IF(0=LEN(ReferenceData!$Q$401),"",ReferenceData!$Q$401),"")</f>
        <v>64.041501289999999</v>
      </c>
      <c r="R401">
        <f ca="1">IFERROR(IF(0=LEN(ReferenceData!$R$401),"",ReferenceData!$R$401),"")</f>
        <v>0</v>
      </c>
      <c r="S401" t="str">
        <f ca="1">IFERROR(IF(0=LEN(ReferenceData!$S$401),"",ReferenceData!$S$401),"")</f>
        <v/>
      </c>
      <c r="T401">
        <f ca="1">IFERROR(IF(0=LEN(ReferenceData!$T$401),"",ReferenceData!$T$401),"")</f>
        <v>115.18198630000001</v>
      </c>
      <c r="U401">
        <f ca="1">IFERROR(IF(0=LEN(ReferenceData!$U$401),"",ReferenceData!$U$401),"")</f>
        <v>129.86908199999999</v>
      </c>
      <c r="V401" t="str">
        <f ca="1">IFERROR(IF(0=LEN(ReferenceData!$V$401),"",ReferenceData!$V$401),"")</f>
        <v/>
      </c>
      <c r="W401" t="str">
        <f ca="1">IFERROR(IF(0=LEN(ReferenceData!$W$401),"",ReferenceData!$W$401),"")</f>
        <v/>
      </c>
      <c r="X401" t="str">
        <f ca="1">IFERROR(IF(0=LEN(ReferenceData!$X$401),"",ReferenceData!$X$401),"")</f>
        <v/>
      </c>
      <c r="Y401">
        <f ca="1">IFERROR(IF(0=LEN(ReferenceData!$Y$401),"",ReferenceData!$Y$401),"")</f>
        <v>330.35145269999998</v>
      </c>
      <c r="Z401" t="str">
        <f ca="1">IFERROR(IF(0=LEN(ReferenceData!$Z$401),"",ReferenceData!$Z$401),"")</f>
        <v/>
      </c>
      <c r="AA401" t="str">
        <f ca="1">IFERROR(IF(0=LEN(ReferenceData!$AA$401),"",ReferenceData!$AA$401),"")</f>
        <v/>
      </c>
      <c r="AB401">
        <f ca="1">IFERROR(IF(0=LEN(ReferenceData!$AB$401),"",ReferenceData!$AB$401),"")</f>
        <v>1659.658557</v>
      </c>
      <c r="AC401" t="str">
        <f ca="1">IFERROR(IF(0=LEN(ReferenceData!$AC$401),"",ReferenceData!$AC$401),"")</f>
        <v/>
      </c>
      <c r="AD401" t="str">
        <f ca="1">IFERROR(IF(0=LEN(ReferenceData!$AD$401),"",ReferenceData!$AD$401),"")</f>
        <v/>
      </c>
      <c r="AE401">
        <f ca="1">IFERROR(IF(0=LEN(ReferenceData!$AE$401),"",ReferenceData!$AE$401),"")</f>
        <v>166.41025640000001</v>
      </c>
      <c r="AF401" t="str">
        <f ca="1">IFERROR(IF(0=LEN(ReferenceData!$AF$401),"",ReferenceData!$AF$401),"")</f>
        <v/>
      </c>
      <c r="AG401" t="str">
        <f ca="1">IFERROR(IF(0=LEN(ReferenceData!$AG$401),"",ReferenceData!$AG$401),"")</f>
        <v/>
      </c>
      <c r="AH401">
        <f ca="1">IFERROR(IF(0=LEN(ReferenceData!$AH$401),"",ReferenceData!$AH$401),"")</f>
        <v>0</v>
      </c>
      <c r="AI401" t="str">
        <f ca="1">IFERROR(IF(0=LEN(ReferenceData!$AI$401),"",ReferenceData!$AI$401),"")</f>
        <v/>
      </c>
      <c r="AJ401" t="str">
        <f ca="1">IFERROR(IF(0=LEN(ReferenceData!$AJ$401),"",ReferenceData!$AJ$401),"")</f>
        <v/>
      </c>
      <c r="AK401" t="str">
        <f ca="1">IFERROR(IF(0=LEN(ReferenceData!$AK$401),"",ReferenceData!$AK$401),"")</f>
        <v/>
      </c>
      <c r="AL401" t="str">
        <f ca="1">IFERROR(IF(0=LEN(ReferenceData!$AL$401),"",ReferenceData!$AL$401),"")</f>
        <v/>
      </c>
      <c r="AM401" t="str">
        <f ca="1">IFERROR(IF(0=LEN(ReferenceData!$AM$401),"",ReferenceData!$AM$401),"")</f>
        <v/>
      </c>
      <c r="AN401" t="str">
        <f ca="1">IFERROR(IF(0=LEN(ReferenceData!$AN$401),"",ReferenceData!$AN$401),"")</f>
        <v/>
      </c>
      <c r="AO401" t="str">
        <f ca="1">IFERROR(IF(0=LEN(ReferenceData!$AO$401),"",ReferenceData!$AO$401),"")</f>
        <v/>
      </c>
      <c r="AP401" t="str">
        <f ca="1">IFERROR(IF(0=LEN(ReferenceData!$AP$401),"",ReferenceData!$AP$401),"")</f>
        <v/>
      </c>
      <c r="AQ401" t="str">
        <f ca="1">IFERROR(IF(0=LEN(ReferenceData!$AQ$401),"",ReferenceData!$AQ$401),"")</f>
        <v/>
      </c>
      <c r="AR401" t="str">
        <f ca="1">IFERROR(IF(0=LEN(ReferenceData!$AR$401),"",ReferenceData!$AR$401),"")</f>
        <v/>
      </c>
      <c r="AS401" t="str">
        <f ca="1">IFERROR(IF(0=LEN(ReferenceData!$AS$401),"",ReferenceData!$AS$401),"")</f>
        <v/>
      </c>
      <c r="AT401" t="str">
        <f ca="1">IFERROR(IF(0=LEN(ReferenceData!$AT$401),"",ReferenceData!$AT$401),"")</f>
        <v/>
      </c>
      <c r="AU401" t="str">
        <f ca="1">IFERROR(IF(0=LEN(ReferenceData!$AU$401),"",ReferenceData!$AU$401),"")</f>
        <v/>
      </c>
      <c r="AV401" t="str">
        <f ca="1">IFERROR(IF(0=LEN(ReferenceData!$AV$401),"",ReferenceData!$AV$401),"")</f>
        <v/>
      </c>
      <c r="AW401" t="str">
        <f ca="1">IFERROR(IF(0=LEN(ReferenceData!$AW$401),"",ReferenceData!$AW$401),"")</f>
        <v/>
      </c>
      <c r="AX401" t="str">
        <f ca="1">IFERROR(IF(0=LEN(ReferenceData!$AX$401),"",ReferenceData!$AX$401),"")</f>
        <v/>
      </c>
      <c r="AY401" t="str">
        <f ca="1">IFERROR(IF(0=LEN(ReferenceData!$AY$401),"",ReferenceData!$AY$401),"")</f>
        <v/>
      </c>
      <c r="AZ401" t="str">
        <f ca="1">IFERROR(IF(0=LEN(ReferenceData!$AZ$401),"",ReferenceData!$AZ$401),"")</f>
        <v/>
      </c>
      <c r="BA401" t="str">
        <f ca="1">IFERROR(IF(0=LEN(ReferenceData!$BA$401),"",ReferenceData!$BA$401),"")</f>
        <v/>
      </c>
      <c r="BB401" t="str">
        <f ca="1">IFERROR(IF(0=LEN(ReferenceData!$BB$401),"",ReferenceData!$BB$401),"")</f>
        <v/>
      </c>
      <c r="BC401" t="str">
        <f ca="1">IFERROR(IF(0=LEN(ReferenceData!$BC$401),"",ReferenceData!$BC$401),"")</f>
        <v/>
      </c>
      <c r="BD401" t="str">
        <f ca="1">IFERROR(IF(0=LEN(ReferenceData!$BD$401),"",ReferenceData!$BD$401),"")</f>
        <v/>
      </c>
      <c r="BE401" t="str">
        <f ca="1">IFERROR(IF(0=LEN(ReferenceData!$BE$401),"",ReferenceData!$BE$401),"")</f>
        <v/>
      </c>
      <c r="BF401" t="str">
        <f ca="1">IFERROR(IF(0=LEN(ReferenceData!$BF$401),"",ReferenceData!$BF$401),"")</f>
        <v/>
      </c>
      <c r="BG401" t="str">
        <f ca="1">IFERROR(IF(0=LEN(ReferenceData!$BG$401),"",ReferenceData!$BG$401),"")</f>
        <v/>
      </c>
      <c r="BH401" t="str">
        <f ca="1">IFERROR(IF(0=LEN(ReferenceData!$BH$401),"",ReferenceData!$BH$401),"")</f>
        <v/>
      </c>
      <c r="BI401" t="str">
        <f ca="1">IFERROR(IF(0=LEN(ReferenceData!$BI$401),"",ReferenceData!$BI$401),"")</f>
        <v/>
      </c>
      <c r="BJ401" t="str">
        <f ca="1">IFERROR(IF(0=LEN(ReferenceData!$BJ$401),"",ReferenceData!$BJ$401),"")</f>
        <v/>
      </c>
      <c r="BK401" t="str">
        <f ca="1">IFERROR(IF(0=LEN(ReferenceData!$BK$401),"",ReferenceData!$BK$401),"")</f>
        <v/>
      </c>
      <c r="BL401" t="str">
        <f ca="1">IFERROR(IF(0=LEN(ReferenceData!$BL$401),"",ReferenceData!$BL$401),"")</f>
        <v/>
      </c>
      <c r="BM401" t="str">
        <f ca="1">IFERROR(IF(0=LEN(ReferenceData!$BM$401),"",ReferenceData!$BM$401),"")</f>
        <v/>
      </c>
    </row>
    <row r="402" spans="1:65">
      <c r="A402" t="str">
        <f>IFERROR(IF(0=LEN(ReferenceData!$A$402),"",ReferenceData!$A$402),"")</f>
        <v xml:space="preserve">    Washington Prime Group Inc</v>
      </c>
      <c r="B402" t="str">
        <f>IFERROR(IF(0=LEN(ReferenceData!$B$402),"",ReferenceData!$B$402),"")</f>
        <v>WPG US Equity</v>
      </c>
      <c r="C402" t="str">
        <f>IFERROR(IF(0=LEN(ReferenceData!$C$402),"",ReferenceData!$C$402),"")</f>
        <v>RR106</v>
      </c>
      <c r="D402" t="str">
        <f>IFERROR(IF(0=LEN(ReferenceData!$D$402),"",ReferenceData!$D$402),"")</f>
        <v>FFO_PAYOUT_RATIO</v>
      </c>
      <c r="E402" t="str">
        <f>IFERROR(IF(0=LEN(ReferenceData!$E$402),"",ReferenceData!$E$402),"")</f>
        <v>动态</v>
      </c>
      <c r="F402" t="str">
        <f ca="1">IFERROR(IF(0=LEN(ReferenceData!$F$402),"",ReferenceData!$F$402),"")</f>
        <v/>
      </c>
      <c r="G402">
        <f ca="1">IFERROR(IF(0=LEN(ReferenceData!$G$402),"",ReferenceData!$G$402),"")</f>
        <v>27.985858799999999</v>
      </c>
      <c r="H402">
        <f ca="1">IFERROR(IF(0=LEN(ReferenceData!$H$402),"",ReferenceData!$H$402),"")</f>
        <v>68.014915169999995</v>
      </c>
      <c r="I402">
        <f ca="1">IFERROR(IF(0=LEN(ReferenceData!$I$402),"",ReferenceData!$I$402),"")</f>
        <v>42.224317290000002</v>
      </c>
      <c r="J402">
        <f ca="1">IFERROR(IF(0=LEN(ReferenceData!$J$402),"",ReferenceData!$J$402),"")</f>
        <v>49.523627640000001</v>
      </c>
      <c r="K402">
        <f ca="1">IFERROR(IF(0=LEN(ReferenceData!$K$402),"",ReferenceData!$K$402),"")</f>
        <v>42.246778599999999</v>
      </c>
      <c r="L402">
        <f ca="1">IFERROR(IF(0=LEN(ReferenceData!$L$402),"",ReferenceData!$L$402),"")</f>
        <v>54.488438850000001</v>
      </c>
      <c r="M402">
        <f ca="1">IFERROR(IF(0=LEN(ReferenceData!$M$402),"",ReferenceData!$M$402),"")</f>
        <v>47.213638979999999</v>
      </c>
      <c r="N402">
        <f ca="1">IFERROR(IF(0=LEN(ReferenceData!$N$402),"",ReferenceData!$N$402),"")</f>
        <v>50.519498419999998</v>
      </c>
      <c r="O402">
        <f ca="1">IFERROR(IF(0=LEN(ReferenceData!$O$402),"",ReferenceData!$O$402),"")</f>
        <v>43.7821243</v>
      </c>
      <c r="P402">
        <f ca="1">IFERROR(IF(0=LEN(ReferenceData!$P$402),"",ReferenceData!$P$402),"")</f>
        <v>55.751167520000003</v>
      </c>
      <c r="Q402">
        <f ca="1">IFERROR(IF(0=LEN(ReferenceData!$Q$402),"",ReferenceData!$Q$402),"")</f>
        <v>48.649997640000002</v>
      </c>
      <c r="R402">
        <f ca="1">IFERROR(IF(0=LEN(ReferenceData!$R$402),"",ReferenceData!$R$402),"")</f>
        <v>25.766973530000001</v>
      </c>
      <c r="S402">
        <f ca="1">IFERROR(IF(0=LEN(ReferenceData!$S$402),"",ReferenceData!$S$402),"")</f>
        <v>45.159084030000002</v>
      </c>
      <c r="T402">
        <f ca="1">IFERROR(IF(0=LEN(ReferenceData!$T$402),"",ReferenceData!$T$402),"")</f>
        <v>48.799407789999997</v>
      </c>
      <c r="U402">
        <f ca="1">IFERROR(IF(0=LEN(ReferenceData!$U$402),"",ReferenceData!$U$402),"")</f>
        <v>0</v>
      </c>
      <c r="V402">
        <f ca="1">IFERROR(IF(0=LEN(ReferenceData!$V$402),"",ReferenceData!$V$402),"")</f>
        <v>0</v>
      </c>
      <c r="W402" t="str">
        <f ca="1">IFERROR(IF(0=LEN(ReferenceData!$W$402),"",ReferenceData!$W$402),"")</f>
        <v/>
      </c>
      <c r="X402" t="str">
        <f ca="1">IFERROR(IF(0=LEN(ReferenceData!$X$402),"",ReferenceData!$X$402),"")</f>
        <v/>
      </c>
      <c r="Y402" t="str">
        <f ca="1">IFERROR(IF(0=LEN(ReferenceData!$Y$402),"",ReferenceData!$Y$402),"")</f>
        <v/>
      </c>
      <c r="Z402" t="str">
        <f ca="1">IFERROR(IF(0=LEN(ReferenceData!$Z$402),"",ReferenceData!$Z$402),"")</f>
        <v/>
      </c>
      <c r="AA402" t="str">
        <f ca="1">IFERROR(IF(0=LEN(ReferenceData!$AA$402),"",ReferenceData!$AA$402),"")</f>
        <v/>
      </c>
      <c r="AB402" t="str">
        <f ca="1">IFERROR(IF(0=LEN(ReferenceData!$AB$402),"",ReferenceData!$AB$402),"")</f>
        <v/>
      </c>
      <c r="AC402" t="str">
        <f ca="1">IFERROR(IF(0=LEN(ReferenceData!$AC$402),"",ReferenceData!$AC$402),"")</f>
        <v/>
      </c>
      <c r="AD402" t="str">
        <f ca="1">IFERROR(IF(0=LEN(ReferenceData!$AD$402),"",ReferenceData!$AD$402),"")</f>
        <v/>
      </c>
      <c r="AE402" t="str">
        <f ca="1">IFERROR(IF(0=LEN(ReferenceData!$AE$402),"",ReferenceData!$AE$402),"")</f>
        <v/>
      </c>
      <c r="AF402" t="str">
        <f ca="1">IFERROR(IF(0=LEN(ReferenceData!$AF$402),"",ReferenceData!$AF$402),"")</f>
        <v/>
      </c>
      <c r="AG402" t="str">
        <f ca="1">IFERROR(IF(0=LEN(ReferenceData!$AG$402),"",ReferenceData!$AG$402),"")</f>
        <v/>
      </c>
      <c r="AH402" t="str">
        <f ca="1">IFERROR(IF(0=LEN(ReferenceData!$AH$402),"",ReferenceData!$AH$402),"")</f>
        <v/>
      </c>
      <c r="AI402" t="str">
        <f ca="1">IFERROR(IF(0=LEN(ReferenceData!$AI$402),"",ReferenceData!$AI$402),"")</f>
        <v/>
      </c>
      <c r="AJ402" t="str">
        <f ca="1">IFERROR(IF(0=LEN(ReferenceData!$AJ$402),"",ReferenceData!$AJ$402),"")</f>
        <v/>
      </c>
      <c r="AK402" t="str">
        <f ca="1">IFERROR(IF(0=LEN(ReferenceData!$AK$402),"",ReferenceData!$AK$402),"")</f>
        <v/>
      </c>
      <c r="AL402" t="str">
        <f ca="1">IFERROR(IF(0=LEN(ReferenceData!$AL$402),"",ReferenceData!$AL$402),"")</f>
        <v/>
      </c>
      <c r="AM402" t="str">
        <f ca="1">IFERROR(IF(0=LEN(ReferenceData!$AM$402),"",ReferenceData!$AM$402),"")</f>
        <v/>
      </c>
      <c r="AN402" t="str">
        <f ca="1">IFERROR(IF(0=LEN(ReferenceData!$AN$402),"",ReferenceData!$AN$402),"")</f>
        <v/>
      </c>
      <c r="AO402" t="str">
        <f ca="1">IFERROR(IF(0=LEN(ReferenceData!$AO$402),"",ReferenceData!$AO$402),"")</f>
        <v/>
      </c>
      <c r="AP402" t="str">
        <f ca="1">IFERROR(IF(0=LEN(ReferenceData!$AP$402),"",ReferenceData!$AP$402),"")</f>
        <v/>
      </c>
      <c r="AQ402" t="str">
        <f ca="1">IFERROR(IF(0=LEN(ReferenceData!$AQ$402),"",ReferenceData!$AQ$402),"")</f>
        <v/>
      </c>
      <c r="AR402" t="str">
        <f ca="1">IFERROR(IF(0=LEN(ReferenceData!$AR$402),"",ReferenceData!$AR$402),"")</f>
        <v/>
      </c>
      <c r="AS402" t="str">
        <f ca="1">IFERROR(IF(0=LEN(ReferenceData!$AS$402),"",ReferenceData!$AS$402),"")</f>
        <v/>
      </c>
      <c r="AT402" t="str">
        <f ca="1">IFERROR(IF(0=LEN(ReferenceData!$AT$402),"",ReferenceData!$AT$402),"")</f>
        <v/>
      </c>
      <c r="AU402" t="str">
        <f ca="1">IFERROR(IF(0=LEN(ReferenceData!$AU$402),"",ReferenceData!$AU$402),"")</f>
        <v/>
      </c>
      <c r="AV402" t="str">
        <f ca="1">IFERROR(IF(0=LEN(ReferenceData!$AV$402),"",ReferenceData!$AV$402),"")</f>
        <v/>
      </c>
      <c r="AW402" t="str">
        <f ca="1">IFERROR(IF(0=LEN(ReferenceData!$AW$402),"",ReferenceData!$AW$402),"")</f>
        <v/>
      </c>
      <c r="AX402" t="str">
        <f ca="1">IFERROR(IF(0=LEN(ReferenceData!$AX$402),"",ReferenceData!$AX$402),"")</f>
        <v/>
      </c>
      <c r="AY402" t="str">
        <f ca="1">IFERROR(IF(0=LEN(ReferenceData!$AY$402),"",ReferenceData!$AY$402),"")</f>
        <v/>
      </c>
      <c r="AZ402" t="str">
        <f ca="1">IFERROR(IF(0=LEN(ReferenceData!$AZ$402),"",ReferenceData!$AZ$402),"")</f>
        <v/>
      </c>
      <c r="BA402" t="str">
        <f ca="1">IFERROR(IF(0=LEN(ReferenceData!$BA$402),"",ReferenceData!$BA$402),"")</f>
        <v/>
      </c>
      <c r="BB402" t="str">
        <f ca="1">IFERROR(IF(0=LEN(ReferenceData!$BB$402),"",ReferenceData!$BB$402),"")</f>
        <v/>
      </c>
      <c r="BC402" t="str">
        <f ca="1">IFERROR(IF(0=LEN(ReferenceData!$BC$402),"",ReferenceData!$BC$402),"")</f>
        <v/>
      </c>
      <c r="BD402" t="str">
        <f ca="1">IFERROR(IF(0=LEN(ReferenceData!$BD$402),"",ReferenceData!$BD$402),"")</f>
        <v/>
      </c>
      <c r="BE402" t="str">
        <f ca="1">IFERROR(IF(0=LEN(ReferenceData!$BE$402),"",ReferenceData!$BE$402),"")</f>
        <v/>
      </c>
      <c r="BF402" t="str">
        <f ca="1">IFERROR(IF(0=LEN(ReferenceData!$BF$402),"",ReferenceData!$BF$402),"")</f>
        <v/>
      </c>
      <c r="BG402" t="str">
        <f ca="1">IFERROR(IF(0=LEN(ReferenceData!$BG$402),"",ReferenceData!$BG$402),"")</f>
        <v/>
      </c>
      <c r="BH402" t="str">
        <f ca="1">IFERROR(IF(0=LEN(ReferenceData!$BH$402),"",ReferenceData!$BH$402),"")</f>
        <v/>
      </c>
      <c r="BI402" t="str">
        <f ca="1">IFERROR(IF(0=LEN(ReferenceData!$BI$402),"",ReferenceData!$BI$402),"")</f>
        <v/>
      </c>
      <c r="BJ402" t="str">
        <f ca="1">IFERROR(IF(0=LEN(ReferenceData!$BJ$402),"",ReferenceData!$BJ$402),"")</f>
        <v/>
      </c>
      <c r="BK402" t="str">
        <f ca="1">IFERROR(IF(0=LEN(ReferenceData!$BK$402),"",ReferenceData!$BK$402),"")</f>
        <v/>
      </c>
      <c r="BL402" t="str">
        <f ca="1">IFERROR(IF(0=LEN(ReferenceData!$BL$402),"",ReferenceData!$BL$402),"")</f>
        <v/>
      </c>
      <c r="BM402" t="str">
        <f ca="1">IFERROR(IF(0=LEN(ReferenceData!$BM$402),"",ReferenceData!$BM$402),"")</f>
        <v/>
      </c>
    </row>
    <row r="403" spans="1:65">
      <c r="A403" t="str">
        <f>IFERROR(IF(0=LEN(ReferenceData!$A$403),"",ReferenceData!$A$403),"")</f>
        <v xml:space="preserve">    Weingarten Realty Investors</v>
      </c>
      <c r="B403" t="str">
        <f>IFERROR(IF(0=LEN(ReferenceData!$B$403),"",ReferenceData!$B$403),"")</f>
        <v>WRI US Equity</v>
      </c>
      <c r="C403" t="str">
        <f>IFERROR(IF(0=LEN(ReferenceData!$C$403),"",ReferenceData!$C$403),"")</f>
        <v>RR106</v>
      </c>
      <c r="D403" t="str">
        <f>IFERROR(IF(0=LEN(ReferenceData!$D$403),"",ReferenceData!$D$403),"")</f>
        <v>FFO_PAYOUT_RATIO</v>
      </c>
      <c r="E403" t="str">
        <f>IFERROR(IF(0=LEN(ReferenceData!$E$403),"",ReferenceData!$E$403),"")</f>
        <v>动态</v>
      </c>
      <c r="F403" t="str">
        <f ca="1">IFERROR(IF(0=LEN(ReferenceData!$F$403),"",ReferenceData!$F$403),"")</f>
        <v/>
      </c>
      <c r="G403">
        <f ca="1">IFERROR(IF(0=LEN(ReferenceData!$G$403),"",ReferenceData!$G$403),"")</f>
        <v>65.215614340000002</v>
      </c>
      <c r="H403">
        <f ca="1">IFERROR(IF(0=LEN(ReferenceData!$H$403),"",ReferenceData!$H$403),"")</f>
        <v>62.376725700000001</v>
      </c>
      <c r="I403">
        <f ca="1">IFERROR(IF(0=LEN(ReferenceData!$I$403),"",ReferenceData!$I$403),"")</f>
        <v>61.982991910000003</v>
      </c>
      <c r="J403">
        <f ca="1">IFERROR(IF(0=LEN(ReferenceData!$J$403),"",ReferenceData!$J$403),"")</f>
        <v>66.39162512</v>
      </c>
      <c r="K403">
        <f ca="1">IFERROR(IF(0=LEN(ReferenceData!$K$403),"",ReferenceData!$K$403),"")</f>
        <v>58.944145329999998</v>
      </c>
      <c r="L403">
        <f ca="1">IFERROR(IF(0=LEN(ReferenceData!$L$403),"",ReferenceData!$L$403),"")</f>
        <v>63.550145659999998</v>
      </c>
      <c r="M403">
        <f ca="1">IFERROR(IF(0=LEN(ReferenceData!$M$403),"",ReferenceData!$M$403),"")</f>
        <v>60.964673619999999</v>
      </c>
      <c r="N403">
        <f ca="1">IFERROR(IF(0=LEN(ReferenceData!$N$403),"",ReferenceData!$N$403),"")</f>
        <v>68.457894580000001</v>
      </c>
      <c r="O403">
        <f ca="1">IFERROR(IF(0=LEN(ReferenceData!$O$403),"",ReferenceData!$O$403),"")</f>
        <v>60.025620590000003</v>
      </c>
      <c r="P403">
        <f ca="1">IFERROR(IF(0=LEN(ReferenceData!$P$403),"",ReferenceData!$P$403),"")</f>
        <v>61.232560650000003</v>
      </c>
      <c r="Q403">
        <f ca="1">IFERROR(IF(0=LEN(ReferenceData!$Q$403),"",ReferenceData!$Q$403),"")</f>
        <v>73.829710079999998</v>
      </c>
      <c r="R403">
        <f ca="1">IFERROR(IF(0=LEN(ReferenceData!$R$403),"",ReferenceData!$R$403),"")</f>
        <v>70.445800719999994</v>
      </c>
      <c r="S403">
        <f ca="1">IFERROR(IF(0=LEN(ReferenceData!$S$403),"",ReferenceData!$S$403),"")</f>
        <v>112.0412264</v>
      </c>
      <c r="T403">
        <f ca="1">IFERROR(IF(0=LEN(ReferenceData!$T$403),"",ReferenceData!$T$403),"")</f>
        <v>60.950661850000003</v>
      </c>
      <c r="U403">
        <f ca="1">IFERROR(IF(0=LEN(ReferenceData!$U$403),"",ReferenceData!$U$403),"")</f>
        <v>60.629740990000002</v>
      </c>
      <c r="V403">
        <f ca="1">IFERROR(IF(0=LEN(ReferenceData!$V$403),"",ReferenceData!$V$403),"")</f>
        <v>62.931731360000001</v>
      </c>
      <c r="W403">
        <f ca="1">IFERROR(IF(0=LEN(ReferenceData!$W$403),"",ReferenceData!$W$403),"")</f>
        <v>71.274524909999997</v>
      </c>
      <c r="X403">
        <f ca="1">IFERROR(IF(0=LEN(ReferenceData!$X$403),"",ReferenceData!$X$403),"")</f>
        <v>61.22247308</v>
      </c>
      <c r="Y403">
        <f ca="1">IFERROR(IF(0=LEN(ReferenceData!$Y$403),"",ReferenceData!$Y$403),"")</f>
        <v>81.506969400000003</v>
      </c>
      <c r="Z403">
        <f ca="1">IFERROR(IF(0=LEN(ReferenceData!$Z$403),"",ReferenceData!$Z$403),"")</f>
        <v>56.217255690000002</v>
      </c>
      <c r="AA403">
        <f ca="1">IFERROR(IF(0=LEN(ReferenceData!$AA$403),"",ReferenceData!$AA$403),"")</f>
        <v>61.808992310000001</v>
      </c>
      <c r="AB403">
        <f ca="1">IFERROR(IF(0=LEN(ReferenceData!$AB$403),"",ReferenceData!$AB$403),"")</f>
        <v>63.60838373</v>
      </c>
      <c r="AC403">
        <f ca="1">IFERROR(IF(0=LEN(ReferenceData!$AC$403),"",ReferenceData!$AC$403),"")</f>
        <v>64.25425371</v>
      </c>
      <c r="AD403">
        <f ca="1">IFERROR(IF(0=LEN(ReferenceData!$AD$403),"",ReferenceData!$AD$403),"")</f>
        <v>62.942452099999997</v>
      </c>
      <c r="AE403">
        <f ca="1">IFERROR(IF(0=LEN(ReferenceData!$AE$403),"",ReferenceData!$AE$403),"")</f>
        <v>56.986594850000003</v>
      </c>
      <c r="AF403">
        <f ca="1">IFERROR(IF(0=LEN(ReferenceData!$AF$403),"",ReferenceData!$AF$403),"")</f>
        <v>107.9145348</v>
      </c>
      <c r="AG403">
        <f ca="1">IFERROR(IF(0=LEN(ReferenceData!$AG$403),"",ReferenceData!$AG$403),"")</f>
        <v>96.917109019999998</v>
      </c>
      <c r="AH403">
        <f ca="1">IFERROR(IF(0=LEN(ReferenceData!$AH$403),"",ReferenceData!$AH$403),"")</f>
        <v>66.036383900000004</v>
      </c>
      <c r="AI403">
        <f ca="1">IFERROR(IF(0=LEN(ReferenceData!$AI$403),"",ReferenceData!$AI$403),"")</f>
        <v>79.96167346</v>
      </c>
      <c r="AJ403">
        <f ca="1">IFERROR(IF(0=LEN(ReferenceData!$AJ$403),"",ReferenceData!$AJ$403),"")</f>
        <v>64.33401155</v>
      </c>
      <c r="AK403">
        <f ca="1">IFERROR(IF(0=LEN(ReferenceData!$AK$403),"",ReferenceData!$AK$403),"")</f>
        <v>91.054683650000001</v>
      </c>
      <c r="AL403">
        <f ca="1">IFERROR(IF(0=LEN(ReferenceData!$AL$403),"",ReferenceData!$AL$403),"")</f>
        <v>63.897698210000001</v>
      </c>
      <c r="AM403">
        <f ca="1">IFERROR(IF(0=LEN(ReferenceData!$AM$403),"",ReferenceData!$AM$403),"")</f>
        <v>116.85308670000001</v>
      </c>
      <c r="AN403">
        <f ca="1">IFERROR(IF(0=LEN(ReferenceData!$AN$403),"",ReferenceData!$AN$403),"")</f>
        <v>100.7332907</v>
      </c>
      <c r="AO403">
        <f ca="1">IFERROR(IF(0=LEN(ReferenceData!$AO$403),"",ReferenceData!$AO$403),"")</f>
        <v>42.969927509999998</v>
      </c>
      <c r="AP403">
        <f ca="1">IFERROR(IF(0=LEN(ReferenceData!$AP$403),"",ReferenceData!$AP$403),"")</f>
        <v>68.269459650000002</v>
      </c>
      <c r="AQ403">
        <f ca="1">IFERROR(IF(0=LEN(ReferenceData!$AQ$403),"",ReferenceData!$AQ$403),"")</f>
        <v>716.56980859999999</v>
      </c>
      <c r="AR403">
        <f ca="1">IFERROR(IF(0=LEN(ReferenceData!$AR$403),"",ReferenceData!$AR$403),"")</f>
        <v>77.119104669999999</v>
      </c>
      <c r="AS403">
        <f ca="1">IFERROR(IF(0=LEN(ReferenceData!$AS$403),"",ReferenceData!$AS$403),"")</f>
        <v>65.851764459999998</v>
      </c>
      <c r="AT403">
        <f ca="1">IFERROR(IF(0=LEN(ReferenceData!$AT$403),"",ReferenceData!$AT$403),"")</f>
        <v>69.042469830000002</v>
      </c>
      <c r="AU403">
        <f ca="1">IFERROR(IF(0=LEN(ReferenceData!$AU$403),"",ReferenceData!$AU$403),"")</f>
        <v>57.05937729</v>
      </c>
      <c r="AV403">
        <f ca="1">IFERROR(IF(0=LEN(ReferenceData!$AV$403),"",ReferenceData!$AV$403),"")</f>
        <v>60.674396590000001</v>
      </c>
      <c r="AW403">
        <f ca="1">IFERROR(IF(0=LEN(ReferenceData!$AW$403),"",ReferenceData!$AW$403),"")</f>
        <v>67.311413290000004</v>
      </c>
      <c r="AX403">
        <f ca="1">IFERROR(IF(0=LEN(ReferenceData!$AX$403),"",ReferenceData!$AX$403),"")</f>
        <v>63.67977234</v>
      </c>
      <c r="AY403">
        <f ca="1">IFERROR(IF(0=LEN(ReferenceData!$AY$403),"",ReferenceData!$AY$403),"")</f>
        <v>60.901571820000001</v>
      </c>
      <c r="AZ403">
        <f ca="1">IFERROR(IF(0=LEN(ReferenceData!$AZ$403),"",ReferenceData!$AZ$403),"")</f>
        <v>61.931558379999998</v>
      </c>
      <c r="BA403">
        <f ca="1">IFERROR(IF(0=LEN(ReferenceData!$BA$403),"",ReferenceData!$BA$403),"")</f>
        <v>65.900949890000007</v>
      </c>
      <c r="BB403">
        <f ca="1">IFERROR(IF(0=LEN(ReferenceData!$BB$403),"",ReferenceData!$BB$403),"")</f>
        <v>61.910780420000002</v>
      </c>
      <c r="BC403">
        <f ca="1">IFERROR(IF(0=LEN(ReferenceData!$BC$403),"",ReferenceData!$BC$403),"")</f>
        <v>63.560514189999999</v>
      </c>
      <c r="BD403" t="str">
        <f ca="1">IFERROR(IF(0=LEN(ReferenceData!$BD$403),"",ReferenceData!$BD$403),"")</f>
        <v/>
      </c>
      <c r="BE403">
        <f ca="1">IFERROR(IF(0=LEN(ReferenceData!$BE$403),"",ReferenceData!$BE$403),"")</f>
        <v>60.733852370000001</v>
      </c>
      <c r="BF403">
        <f ca="1">IFERROR(IF(0=LEN(ReferenceData!$BF$403),"",ReferenceData!$BF$403),"")</f>
        <v>64.03801747</v>
      </c>
      <c r="BG403">
        <f ca="1">IFERROR(IF(0=LEN(ReferenceData!$BG$403),"",ReferenceData!$BG$403),"")</f>
        <v>62.9499262</v>
      </c>
      <c r="BH403" t="str">
        <f ca="1">IFERROR(IF(0=LEN(ReferenceData!$BH$403),"",ReferenceData!$BH$403),"")</f>
        <v/>
      </c>
      <c r="BI403">
        <f ca="1">IFERROR(IF(0=LEN(ReferenceData!$BI$403),"",ReferenceData!$BI$403),"")</f>
        <v>68.783035130000002</v>
      </c>
      <c r="BJ403">
        <f ca="1">IFERROR(IF(0=LEN(ReferenceData!$BJ$403),"",ReferenceData!$BJ$403),"")</f>
        <v>64.412793989999997</v>
      </c>
      <c r="BK403">
        <f ca="1">IFERROR(IF(0=LEN(ReferenceData!$BK$403),"",ReferenceData!$BK$403),"")</f>
        <v>65.613389290000001</v>
      </c>
      <c r="BL403">
        <f ca="1">IFERROR(IF(0=LEN(ReferenceData!$BL$403),"",ReferenceData!$BL$403),"")</f>
        <v>64.366020539999994</v>
      </c>
      <c r="BM403">
        <f ca="1">IFERROR(IF(0=LEN(ReferenceData!$BM$403),"",ReferenceData!$BM$403),"")</f>
        <v>70.079286909999993</v>
      </c>
    </row>
  </sheetData>
  <phoneticPr fontId="1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U854"/>
  <sheetViews>
    <sheetView workbookViewId="0"/>
  </sheetViews>
  <sheetFormatPr defaultRowHeight="13.5"/>
  <cols>
    <col min="1" max="1" width="56.375" customWidth="1"/>
    <col min="2" max="2" width="15.75" customWidth="1"/>
    <col min="3" max="125" width="9.125" bestFit="1" customWidth="1"/>
  </cols>
  <sheetData>
    <row r="1" spans="1:125" ht="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</row>
    <row r="2" spans="1:125" ht="15">
      <c r="A2" s="1" t="str">
        <f>"简述"</f>
        <v>简述</v>
      </c>
      <c r="B2" s="1" t="str">
        <f>"代码"</f>
        <v>代码</v>
      </c>
      <c r="C2" s="1" t="str">
        <f>"栏目ID"</f>
        <v>栏目ID</v>
      </c>
      <c r="D2" s="1" t="str">
        <f>"栏目助记符"</f>
        <v>栏目助记符</v>
      </c>
      <c r="E2" s="1" t="str">
        <f>"数据状态"</f>
        <v>数据状态</v>
      </c>
      <c r="F2" s="1" t="str">
        <f>ReferenceData!$C$845</f>
        <v>2018 Q1</v>
      </c>
      <c r="G2" s="1" t="str">
        <f>ReferenceData!$D$845</f>
        <v>2017 Q4</v>
      </c>
      <c r="H2" s="1" t="str">
        <f>ReferenceData!$E$845</f>
        <v>2017 Q3</v>
      </c>
      <c r="I2" s="1" t="str">
        <f>ReferenceData!$F$845</f>
        <v>2017 Q2</v>
      </c>
      <c r="J2" s="1" t="str">
        <f>ReferenceData!$G$845</f>
        <v>2017 Q1</v>
      </c>
      <c r="K2" s="1" t="str">
        <f>ReferenceData!$H$845</f>
        <v>2016 Q4</v>
      </c>
      <c r="L2" s="1" t="str">
        <f>ReferenceData!$I$845</f>
        <v>2016 Q3</v>
      </c>
      <c r="M2" s="1" t="str">
        <f>ReferenceData!$J$845</f>
        <v>2016 Q2</v>
      </c>
      <c r="N2" s="1" t="str">
        <f>ReferenceData!$K$845</f>
        <v>2016 Q1</v>
      </c>
      <c r="O2" s="1" t="str">
        <f>ReferenceData!$L$845</f>
        <v>2015 Q4</v>
      </c>
      <c r="P2" s="1" t="str">
        <f>ReferenceData!$M$845</f>
        <v>2015 Q3</v>
      </c>
      <c r="Q2" s="1" t="str">
        <f>ReferenceData!$N$845</f>
        <v>2015 Q2</v>
      </c>
      <c r="R2" s="1" t="str">
        <f>ReferenceData!$O$845</f>
        <v>2015 Q1</v>
      </c>
      <c r="S2" s="1" t="str">
        <f>ReferenceData!$P$845</f>
        <v>2014 Q4</v>
      </c>
      <c r="T2" s="1" t="str">
        <f>ReferenceData!$Q$845</f>
        <v>2014 Q3</v>
      </c>
      <c r="U2" s="1" t="str">
        <f>ReferenceData!$R$845</f>
        <v>2014 Q2</v>
      </c>
      <c r="V2" s="1" t="str">
        <f>ReferenceData!$S$845</f>
        <v>2014 Q1</v>
      </c>
      <c r="W2" s="1" t="str">
        <f>ReferenceData!$T$845</f>
        <v>2013 Q4</v>
      </c>
      <c r="X2" s="1" t="str">
        <f>ReferenceData!$U$845</f>
        <v>2013 Q3</v>
      </c>
      <c r="Y2" s="1" t="str">
        <f>ReferenceData!$V$845</f>
        <v>2013 Q2</v>
      </c>
      <c r="Z2" s="1" t="str">
        <f>ReferenceData!$W$845</f>
        <v>2013 Q1</v>
      </c>
      <c r="AA2" s="1" t="str">
        <f>ReferenceData!$X$845</f>
        <v>2012 Q4</v>
      </c>
      <c r="AB2" s="1" t="str">
        <f>ReferenceData!$Y$845</f>
        <v>2012 Q3</v>
      </c>
      <c r="AC2" s="1" t="str">
        <f>ReferenceData!$Z$845</f>
        <v>2012 Q2</v>
      </c>
      <c r="AD2" s="1" t="str">
        <f>ReferenceData!$AA$845</f>
        <v>2012 Q1</v>
      </c>
      <c r="AE2" s="1" t="str">
        <f>ReferenceData!$AB$845</f>
        <v>2011 Q4</v>
      </c>
      <c r="AF2" s="1" t="str">
        <f>ReferenceData!$AC$845</f>
        <v>2011 Q3</v>
      </c>
      <c r="AG2" s="1" t="str">
        <f>ReferenceData!$AD$845</f>
        <v>2011 Q2</v>
      </c>
      <c r="AH2" s="1" t="str">
        <f>ReferenceData!$AE$845</f>
        <v>2011 Q1</v>
      </c>
      <c r="AI2" s="1" t="str">
        <f>ReferenceData!$AF$845</f>
        <v>2010 Q4</v>
      </c>
      <c r="AJ2" s="1" t="str">
        <f>ReferenceData!$AG$845</f>
        <v>2010 Q3</v>
      </c>
      <c r="AK2" s="1" t="str">
        <f>ReferenceData!$AH$845</f>
        <v>2010 Q2</v>
      </c>
      <c r="AL2" s="1" t="str">
        <f>ReferenceData!$AI$845</f>
        <v>2010 Q1</v>
      </c>
      <c r="AM2" s="1" t="str">
        <f>ReferenceData!$AJ$845</f>
        <v>2009 Q4</v>
      </c>
      <c r="AN2" s="1" t="str">
        <f>ReferenceData!$AK$845</f>
        <v>2009 Q3</v>
      </c>
      <c r="AO2" s="1" t="str">
        <f>ReferenceData!$AL$845</f>
        <v>2009 Q2</v>
      </c>
      <c r="AP2" s="1" t="str">
        <f>ReferenceData!$AM$845</f>
        <v>2009 Q1</v>
      </c>
      <c r="AQ2" s="1" t="str">
        <f>ReferenceData!$AN$845</f>
        <v>2008 Q4</v>
      </c>
      <c r="AR2" s="1" t="str">
        <f>ReferenceData!$AO$845</f>
        <v>2008 Q3</v>
      </c>
      <c r="AS2" s="1" t="str">
        <f>ReferenceData!$AP$845</f>
        <v>2008 Q2</v>
      </c>
      <c r="AT2" s="1" t="str">
        <f>ReferenceData!$AQ$845</f>
        <v>2008 Q1</v>
      </c>
      <c r="AU2" s="1" t="str">
        <f>ReferenceData!$AR$845</f>
        <v>2007 Q4</v>
      </c>
      <c r="AV2" s="1" t="str">
        <f>ReferenceData!$AS$845</f>
        <v>2007 Q3</v>
      </c>
      <c r="AW2" s="1" t="str">
        <f>ReferenceData!$AT$845</f>
        <v>2007 Q2</v>
      </c>
      <c r="AX2" s="1" t="str">
        <f>ReferenceData!$AU$845</f>
        <v>2007 Q1</v>
      </c>
      <c r="AY2" s="1" t="str">
        <f>ReferenceData!$AV$845</f>
        <v>2006 Q4</v>
      </c>
      <c r="AZ2" s="1" t="str">
        <f>ReferenceData!$AW$845</f>
        <v>2006 Q3</v>
      </c>
      <c r="BA2" s="1" t="str">
        <f>ReferenceData!$AX$845</f>
        <v>2006 Q2</v>
      </c>
      <c r="BB2" s="1" t="str">
        <f>ReferenceData!$AY$845</f>
        <v>2006 Q1</v>
      </c>
      <c r="BC2" s="1" t="str">
        <f>ReferenceData!$AZ$845</f>
        <v>2005 Q4</v>
      </c>
      <c r="BD2" s="1" t="str">
        <f>ReferenceData!$BA$845</f>
        <v>2005 Q3</v>
      </c>
      <c r="BE2" s="1" t="str">
        <f>ReferenceData!$BB$845</f>
        <v>2005 Q2</v>
      </c>
      <c r="BF2" s="1" t="str">
        <f>ReferenceData!$BC$845</f>
        <v>2005 Q1</v>
      </c>
      <c r="BG2" s="1" t="str">
        <f>ReferenceData!$BD$845</f>
        <v>2004 Q4</v>
      </c>
      <c r="BH2" s="1" t="str">
        <f>ReferenceData!$BE$845</f>
        <v>2004 Q3</v>
      </c>
      <c r="BI2" s="1" t="str">
        <f>ReferenceData!$BF$845</f>
        <v>2004 Q2</v>
      </c>
      <c r="BJ2" s="1" t="str">
        <f>ReferenceData!$BG$845</f>
        <v>2004 Q1</v>
      </c>
      <c r="BK2" s="1" t="str">
        <f>ReferenceData!$BH$845</f>
        <v>2003 Q4</v>
      </c>
      <c r="BL2" s="1" t="str">
        <f>ReferenceData!$BI$845</f>
        <v>2003 Q3</v>
      </c>
      <c r="BM2" s="1" t="str">
        <f>ReferenceData!$BJ$845</f>
        <v>2003 Q2</v>
      </c>
      <c r="BN2" t="str">
        <f>$C$845</f>
        <v>2018 Q1</v>
      </c>
      <c r="BO2" t="str">
        <f>$D$845</f>
        <v>2017 Q4</v>
      </c>
      <c r="BP2" t="str">
        <f>$E$845</f>
        <v>2017 Q3</v>
      </c>
      <c r="BQ2" t="str">
        <f>$F$845</f>
        <v>2017 Q2</v>
      </c>
      <c r="BR2" t="str">
        <f>$G$845</f>
        <v>2017 Q1</v>
      </c>
      <c r="BS2" t="str">
        <f>$H$845</f>
        <v>2016 Q4</v>
      </c>
      <c r="BT2" t="str">
        <f>$I$845</f>
        <v>2016 Q3</v>
      </c>
      <c r="BU2" t="str">
        <f>$J$845</f>
        <v>2016 Q2</v>
      </c>
      <c r="BV2" t="str">
        <f>$K$845</f>
        <v>2016 Q1</v>
      </c>
      <c r="BW2" t="str">
        <f>$L$845</f>
        <v>2015 Q4</v>
      </c>
      <c r="BX2" t="str">
        <f>$M$845</f>
        <v>2015 Q3</v>
      </c>
      <c r="BY2" t="str">
        <f>$N$845</f>
        <v>2015 Q2</v>
      </c>
      <c r="BZ2" t="str">
        <f>$O$845</f>
        <v>2015 Q1</v>
      </c>
      <c r="CA2" t="str">
        <f>$P$845</f>
        <v>2014 Q4</v>
      </c>
      <c r="CB2" t="str">
        <f>$Q$845</f>
        <v>2014 Q3</v>
      </c>
      <c r="CC2" t="str">
        <f>$R$845</f>
        <v>2014 Q2</v>
      </c>
      <c r="CD2" t="str">
        <f>$S$845</f>
        <v>2014 Q1</v>
      </c>
      <c r="CE2" t="str">
        <f>$T$845</f>
        <v>2013 Q4</v>
      </c>
      <c r="CF2" t="str">
        <f>$U$845</f>
        <v>2013 Q3</v>
      </c>
      <c r="CG2" t="str">
        <f>$V$845</f>
        <v>2013 Q2</v>
      </c>
      <c r="CH2" t="str">
        <f>$W$845</f>
        <v>2013 Q1</v>
      </c>
      <c r="CI2" t="str">
        <f>$X$845</f>
        <v>2012 Q4</v>
      </c>
      <c r="CJ2" t="str">
        <f>$Y$845</f>
        <v>2012 Q3</v>
      </c>
      <c r="CK2" t="str">
        <f>$Z$845</f>
        <v>2012 Q2</v>
      </c>
      <c r="CL2" t="str">
        <f>$AA$845</f>
        <v>2012 Q1</v>
      </c>
      <c r="CM2" t="str">
        <f>$AB$845</f>
        <v>2011 Q4</v>
      </c>
      <c r="CN2" t="str">
        <f>$AC$845</f>
        <v>2011 Q3</v>
      </c>
      <c r="CO2" t="str">
        <f>$AD$845</f>
        <v>2011 Q2</v>
      </c>
      <c r="CP2" t="str">
        <f>$AE$845</f>
        <v>2011 Q1</v>
      </c>
      <c r="CQ2" t="str">
        <f>$AF$845</f>
        <v>2010 Q4</v>
      </c>
      <c r="CR2" t="str">
        <f>$AG$845</f>
        <v>2010 Q3</v>
      </c>
      <c r="CS2" t="str">
        <f>$AH$845</f>
        <v>2010 Q2</v>
      </c>
      <c r="CT2" t="str">
        <f>$AI$845</f>
        <v>2010 Q1</v>
      </c>
      <c r="CU2" t="str">
        <f>$AJ$845</f>
        <v>2009 Q4</v>
      </c>
      <c r="CV2" t="str">
        <f>$AK$845</f>
        <v>2009 Q3</v>
      </c>
      <c r="CW2" t="str">
        <f>$AL$845</f>
        <v>2009 Q2</v>
      </c>
      <c r="CX2" t="str">
        <f>$AM$845</f>
        <v>2009 Q1</v>
      </c>
      <c r="CY2" t="str">
        <f>$AN$845</f>
        <v>2008 Q4</v>
      </c>
      <c r="CZ2" t="str">
        <f>$AO$845</f>
        <v>2008 Q3</v>
      </c>
      <c r="DA2" t="str">
        <f>$AP$845</f>
        <v>2008 Q2</v>
      </c>
      <c r="DB2" t="str">
        <f>$AQ$845</f>
        <v>2008 Q1</v>
      </c>
      <c r="DC2" t="str">
        <f>$AR$845</f>
        <v>2007 Q4</v>
      </c>
      <c r="DD2" t="str">
        <f>$AS$845</f>
        <v>2007 Q3</v>
      </c>
      <c r="DE2" t="str">
        <f>$AT$845</f>
        <v>2007 Q2</v>
      </c>
      <c r="DF2" t="str">
        <f>$AU$845</f>
        <v>2007 Q1</v>
      </c>
      <c r="DG2" t="str">
        <f>$AV$845</f>
        <v>2006 Q4</v>
      </c>
      <c r="DH2" t="str">
        <f>$AW$845</f>
        <v>2006 Q3</v>
      </c>
      <c r="DI2" t="str">
        <f>$AX$845</f>
        <v>2006 Q2</v>
      </c>
      <c r="DJ2" t="str">
        <f>$AY$845</f>
        <v>2006 Q1</v>
      </c>
      <c r="DK2" t="str">
        <f>$AZ$845</f>
        <v>2005 Q4</v>
      </c>
      <c r="DL2" t="str">
        <f>$BA$845</f>
        <v>2005 Q3</v>
      </c>
      <c r="DM2" t="str">
        <f>$BB$845</f>
        <v>2005 Q2</v>
      </c>
      <c r="DN2" t="str">
        <f>$BC$845</f>
        <v>2005 Q1</v>
      </c>
      <c r="DO2" t="str">
        <f>$BD$845</f>
        <v>2004 Q4</v>
      </c>
      <c r="DP2" t="str">
        <f>$BE$845</f>
        <v>2004 Q3</v>
      </c>
      <c r="DQ2" t="str">
        <f>$BF$845</f>
        <v>2004 Q2</v>
      </c>
      <c r="DR2" t="str">
        <f>$BG$845</f>
        <v>2004 Q1</v>
      </c>
      <c r="DS2" t="str">
        <f>$BH$845</f>
        <v>2003 Q4</v>
      </c>
      <c r="DT2" t="str">
        <f>$BI$845</f>
        <v>2003 Q3</v>
      </c>
      <c r="DU2" t="str">
        <f>$BJ$845</f>
        <v>2003 Q2</v>
      </c>
    </row>
    <row r="3" spans="1:125">
      <c r="A3" t="str">
        <f>"盈利摘要"</f>
        <v>盈利摘要</v>
      </c>
      <c r="B3" t="str">
        <f>""</f>
        <v/>
      </c>
      <c r="E3" t="str">
        <f>"标题"</f>
        <v>标题</v>
      </c>
      <c r="BN3" t="str">
        <f>""</f>
        <v/>
      </c>
      <c r="BO3" t="str">
        <f>""</f>
        <v/>
      </c>
      <c r="BP3" t="str">
        <f>""</f>
        <v/>
      </c>
      <c r="BQ3" t="str">
        <f>""</f>
        <v/>
      </c>
      <c r="BR3" t="str">
        <f>""</f>
        <v/>
      </c>
      <c r="BS3" t="str">
        <f>""</f>
        <v/>
      </c>
      <c r="BT3" t="str">
        <f>""</f>
        <v/>
      </c>
      <c r="BU3" t="str">
        <f>""</f>
        <v/>
      </c>
      <c r="BV3" t="str">
        <f>""</f>
        <v/>
      </c>
      <c r="BW3" t="str">
        <f>""</f>
        <v/>
      </c>
      <c r="BX3" t="str">
        <f>""</f>
        <v/>
      </c>
      <c r="BY3" t="str">
        <f>""</f>
        <v/>
      </c>
      <c r="BZ3" t="str">
        <f>""</f>
        <v/>
      </c>
      <c r="CA3" t="str">
        <f>""</f>
        <v/>
      </c>
      <c r="CB3" t="str">
        <f>""</f>
        <v/>
      </c>
      <c r="CC3" t="str">
        <f>""</f>
        <v/>
      </c>
      <c r="CD3" t="str">
        <f>""</f>
        <v/>
      </c>
      <c r="CE3" t="str">
        <f>""</f>
        <v/>
      </c>
      <c r="CF3" t="str">
        <f>""</f>
        <v/>
      </c>
      <c r="CG3" t="str">
        <f>""</f>
        <v/>
      </c>
      <c r="CH3" t="str">
        <f>""</f>
        <v/>
      </c>
      <c r="CI3" t="str">
        <f>""</f>
        <v/>
      </c>
      <c r="CJ3" t="str">
        <f>""</f>
        <v/>
      </c>
      <c r="CK3" t="str">
        <f>""</f>
        <v/>
      </c>
      <c r="CL3" t="str">
        <f>""</f>
        <v/>
      </c>
      <c r="CM3" t="str">
        <f>""</f>
        <v/>
      </c>
      <c r="CN3" t="str">
        <f>""</f>
        <v/>
      </c>
      <c r="CO3" t="str">
        <f>""</f>
        <v/>
      </c>
      <c r="CP3" t="str">
        <f>""</f>
        <v/>
      </c>
      <c r="CQ3" t="str">
        <f>""</f>
        <v/>
      </c>
      <c r="CR3" t="str">
        <f>""</f>
        <v/>
      </c>
      <c r="CS3" t="str">
        <f>""</f>
        <v/>
      </c>
      <c r="CT3" t="str">
        <f>""</f>
        <v/>
      </c>
      <c r="CU3" t="str">
        <f>""</f>
        <v/>
      </c>
      <c r="CV3" t="str">
        <f>""</f>
        <v/>
      </c>
      <c r="CW3" t="str">
        <f>""</f>
        <v/>
      </c>
      <c r="CX3" t="str">
        <f>""</f>
        <v/>
      </c>
      <c r="CY3" t="str">
        <f>""</f>
        <v/>
      </c>
      <c r="CZ3" t="str">
        <f>""</f>
        <v/>
      </c>
      <c r="DA3" t="str">
        <f>""</f>
        <v/>
      </c>
      <c r="DB3" t="str">
        <f>""</f>
        <v/>
      </c>
      <c r="DC3" t="str">
        <f>""</f>
        <v/>
      </c>
      <c r="DD3" t="str">
        <f>""</f>
        <v/>
      </c>
      <c r="DE3" t="str">
        <f>""</f>
        <v/>
      </c>
      <c r="DF3" t="str">
        <f>""</f>
        <v/>
      </c>
      <c r="DG3" t="str">
        <f>""</f>
        <v/>
      </c>
      <c r="DH3" t="str">
        <f>""</f>
        <v/>
      </c>
      <c r="DI3" t="str">
        <f>""</f>
        <v/>
      </c>
      <c r="DJ3" t="str">
        <f>""</f>
        <v/>
      </c>
      <c r="DK3" t="str">
        <f>""</f>
        <v/>
      </c>
      <c r="DL3" t="str">
        <f>""</f>
        <v/>
      </c>
      <c r="DM3" t="str">
        <f>""</f>
        <v/>
      </c>
      <c r="DN3" t="str">
        <f>""</f>
        <v/>
      </c>
      <c r="DO3" t="str">
        <f>""</f>
        <v/>
      </c>
      <c r="DP3" t="str">
        <f>""</f>
        <v/>
      </c>
      <c r="DQ3" t="str">
        <f>""</f>
        <v/>
      </c>
      <c r="DR3" t="str">
        <f>""</f>
        <v/>
      </c>
      <c r="DS3" t="str">
        <f>""</f>
        <v/>
      </c>
      <c r="DT3" t="str">
        <f>""</f>
        <v/>
      </c>
      <c r="DU3" t="str">
        <f>""</f>
        <v/>
      </c>
    </row>
    <row r="4" spans="1:125">
      <c r="A4" t="str">
        <f>"租赁收入"</f>
        <v>租赁收入</v>
      </c>
      <c r="B4" t="str">
        <f>""</f>
        <v/>
      </c>
      <c r="E4" t="str">
        <f>"Median"</f>
        <v>Median</v>
      </c>
      <c r="F4" t="str">
        <f ca="1">IF(ISERROR(IF(MEDIAN($F$5:$F$19) = 0, "", MEDIAN($F$5:$F$19))), "", (IF(MEDIAN($F$5:$F$19) = 0, "", MEDIAN($F$5:$F$19))))</f>
        <v/>
      </c>
      <c r="G4">
        <f ca="1">IF(ISERROR(IF(MEDIAN($G$5:$G$19) = 0, "", MEDIAN($G$5:$G$19))), "", (IF(MEDIAN($G$5:$G$19) = 0, "", MEDIAN($G$5:$G$19))))</f>
        <v>220.72</v>
      </c>
      <c r="H4">
        <f ca="1">IF(ISERROR(IF(MEDIAN($H$5:$H$19) = 0, "", MEDIAN($H$5:$H$19))), "", (IF(MEDIAN($H$5:$H$19) = 0, "", MEDIAN($H$5:$H$19))))</f>
        <v>212.048</v>
      </c>
      <c r="I4">
        <f ca="1">IF(ISERROR(IF(MEDIAN($I$5:$I$19) = 0, "", MEDIAN($I$5:$I$19))), "", (IF(MEDIAN($I$5:$I$19) = 0, "", MEDIAN($I$5:$I$19))))</f>
        <v>222.07900000000001</v>
      </c>
      <c r="J4">
        <f ca="1">IF(ISERROR(IF(MEDIAN($J$5:$J$19) = 0, "", MEDIAN($J$5:$J$19))), "", (IF(MEDIAN($J$5:$J$19) = 0, "", MEDIAN($J$5:$J$19))))</f>
        <v>204.447</v>
      </c>
      <c r="K4">
        <f ca="1">IF(ISERROR(IF(MEDIAN($K$5:$K$19) = 0, "", MEDIAN($K$5:$K$19))), "", (IF(MEDIAN($K$5:$K$19) = 0, "", MEDIAN($K$5:$K$19))))</f>
        <v>217.785</v>
      </c>
      <c r="L4">
        <f ca="1">IF(ISERROR(IF(MEDIAN($L$5:$L$19) = 0, "", MEDIAN($L$5:$L$19))), "", (IF(MEDIAN($L$5:$L$19) = 0, "", MEDIAN($L$5:$L$19))))</f>
        <v>209.922</v>
      </c>
      <c r="M4">
        <f ca="1">IF(ISERROR(IF(MEDIAN($M$5:$M$19) = 0, "", MEDIAN($M$5:$M$19))), "", (IF(MEDIAN($M$5:$M$19) = 0, "", MEDIAN($M$5:$M$19))))</f>
        <v>205.738</v>
      </c>
      <c r="N4">
        <f ca="1">IF(ISERROR(IF(MEDIAN($N$5:$N$19) = 0, "", MEDIAN($N$5:$N$19))), "", (IF(MEDIAN($N$5:$N$19) = 0, "", MEDIAN($N$5:$N$19))))</f>
        <v>210.03100000000001</v>
      </c>
      <c r="O4">
        <f ca="1">IF(ISERROR(IF(MEDIAN($O$5:$O$19) = 0, "", MEDIAN($O$5:$O$19))), "", (IF(MEDIAN($O$5:$O$19) = 0, "", MEDIAN($O$5:$O$19))))</f>
        <v>229.37700000000001</v>
      </c>
      <c r="P4">
        <f ca="1">IF(ISERROR(IF(MEDIAN($P$5:$P$19) = 0, "", MEDIAN($P$5:$P$19))), "", (IF(MEDIAN($P$5:$P$19) = 0, "", MEDIAN($P$5:$P$19))))</f>
        <v>216.739</v>
      </c>
      <c r="Q4">
        <f ca="1">IF(ISERROR(IF(MEDIAN($Q$5:$Q$19) = 0, "", MEDIAN($Q$5:$Q$19))), "", (IF(MEDIAN($Q$5:$Q$19) = 0, "", MEDIAN($Q$5:$Q$19))))</f>
        <v>237.52799999999999</v>
      </c>
      <c r="R4">
        <f ca="1">IF(ISERROR(IF(MEDIAN($R$5:$R$19) = 0, "", MEDIAN($R$5:$R$19))), "", (IF(MEDIAN($R$5:$R$19) = 0, "", MEDIAN($R$5:$R$19))))</f>
        <v>237.71799999999999</v>
      </c>
      <c r="S4">
        <f ca="1">IF(ISERROR(IF(MEDIAN($S$5:$S$19) = 0, "", MEDIAN($S$5:$S$19))), "", (IF(MEDIAN($S$5:$S$19) = 0, "", MEDIAN($S$5:$S$19))))</f>
        <v>177.298</v>
      </c>
      <c r="T4">
        <f ca="1">IF(ISERROR(IF(MEDIAN($T$5:$T$19) = 0, "", MEDIAN($T$5:$T$19))), "", (IF(MEDIAN($T$5:$T$19) = 0, "", MEDIAN($T$5:$T$19))))</f>
        <v>167.684</v>
      </c>
      <c r="U4">
        <f ca="1">IF(ISERROR(IF(MEDIAN($U$5:$U$19) = 0, "", MEDIAN($U$5:$U$19))), "", (IF(MEDIAN($U$5:$U$19) = 0, "", MEDIAN($U$5:$U$19))))</f>
        <v>162.38300000000001</v>
      </c>
      <c r="V4">
        <f ca="1">IF(ISERROR(IF(MEDIAN($V$5:$V$19) = 0, "", MEDIAN($V$5:$V$19))), "", (IF(MEDIAN($V$5:$V$19) = 0, "", MEDIAN($V$5:$V$19))))</f>
        <v>166.19300000000001</v>
      </c>
      <c r="W4">
        <f ca="1">IF(ISERROR(IF(MEDIAN($W$5:$W$19) = 0, "", MEDIAN($W$5:$W$19))), "", (IF(MEDIAN($W$5:$W$19) = 0, "", MEDIAN($W$5:$W$19))))</f>
        <v>150.75049999999999</v>
      </c>
      <c r="X4">
        <f ca="1">IF(ISERROR(IF(MEDIAN($X$5:$X$19) = 0, "", MEDIAN($X$5:$X$19))), "", (IF(MEDIAN($X$5:$X$19) = 0, "", MEDIAN($X$5:$X$19))))</f>
        <v>144.21549999999999</v>
      </c>
      <c r="Y4">
        <f ca="1">IF(ISERROR(IF(MEDIAN($Y$5:$Y$19) = 0, "", MEDIAN($Y$5:$Y$19))), "", (IF(MEDIAN($Y$5:$Y$19) = 0, "", MEDIAN($Y$5:$Y$19))))</f>
        <v>141.58199999999999</v>
      </c>
      <c r="Z4">
        <f ca="1">IF(ISERROR(IF(MEDIAN($Z$5:$Z$19) = 0, "", MEDIAN($Z$5:$Z$19))), "", (IF(MEDIAN($Z$5:$Z$19) = 0, "", MEDIAN($Z$5:$Z$19))))</f>
        <v>141.1165</v>
      </c>
      <c r="AA4">
        <f ca="1">IF(ISERROR(IF(MEDIAN($AA$5:$AA$19) = 0, "", MEDIAN($AA$5:$AA$19))), "", (IF(MEDIAN($AA$5:$AA$19) = 0, "", MEDIAN($AA$5:$AA$19))))</f>
        <v>132.57849999999999</v>
      </c>
      <c r="AB4">
        <f ca="1">IF(ISERROR(IF(MEDIAN($AB$5:$AB$19) = 0, "", MEDIAN($AB$5:$AB$19))), "", (IF(MEDIAN($AB$5:$AB$19) = 0, "", MEDIAN($AB$5:$AB$19))))</f>
        <v>128.05099999999999</v>
      </c>
      <c r="AC4">
        <f ca="1">IF(ISERROR(IF(MEDIAN($AC$5:$AC$19) = 0, "", MEDIAN($AC$5:$AC$19))), "", (IF(MEDIAN($AC$5:$AC$19) = 0, "", MEDIAN($AC$5:$AC$19))))</f>
        <v>128.238</v>
      </c>
      <c r="AD4">
        <f ca="1">IF(ISERROR(IF(MEDIAN($AD$5:$AD$19) = 0, "", MEDIAN($AD$5:$AD$19))), "", (IF(MEDIAN($AD$5:$AD$19) = 0, "", MEDIAN($AD$5:$AD$19))))</f>
        <v>129.62049999999999</v>
      </c>
      <c r="AE4">
        <f ca="1">IF(ISERROR(IF(MEDIAN($AE$5:$AE$19) = 0, "", MEDIAN($AE$5:$AE$19))), "", (IF(MEDIAN($AE$5:$AE$19) = 0, "", MEDIAN($AE$5:$AE$19))))</f>
        <v>116.752</v>
      </c>
      <c r="AF4">
        <f ca="1">IF(ISERROR(IF(MEDIAN($AF$5:$AF$19) = 0, "", MEDIAN($AF$5:$AF$19))), "", (IF(MEDIAN($AF$5:$AF$19) = 0, "", MEDIAN($AF$5:$AF$19))))</f>
        <v>119.746</v>
      </c>
      <c r="AG4">
        <f ca="1">IF(ISERROR(IF(MEDIAN($AG$5:$AG$19) = 0, "", MEDIAN($AG$5:$AG$19))), "", (IF(MEDIAN($AG$5:$AG$19) = 0, "", MEDIAN($AG$5:$AG$19))))</f>
        <v>117.843</v>
      </c>
      <c r="AH4">
        <f ca="1">IF(ISERROR(IF(MEDIAN($AH$5:$AH$19) = 0, "", MEDIAN($AH$5:$AH$19))), "", (IF(MEDIAN($AH$5:$AH$19) = 0, "", MEDIAN($AH$5:$AH$19))))</f>
        <v>116.47</v>
      </c>
      <c r="AI4">
        <f ca="1">IF(ISERROR(IF(MEDIAN($AI$5:$AI$19) = 0, "", MEDIAN($AI$5:$AI$19))), "", (IF(MEDIAN($AI$5:$AI$19) = 0, "", MEDIAN($AI$5:$AI$19))))</f>
        <v>132.25450000000001</v>
      </c>
      <c r="AJ4">
        <f ca="1">IF(ISERROR(IF(MEDIAN($AJ$5:$AJ$19) = 0, "", MEDIAN($AJ$5:$AJ$19))), "", (IF(MEDIAN($AJ$5:$AJ$19) = 0, "", MEDIAN($AJ$5:$AJ$19))))</f>
        <v>129.6635</v>
      </c>
      <c r="AK4">
        <f ca="1">IF(ISERROR(IF(MEDIAN($AK$5:$AK$19) = 0, "", MEDIAN($AK$5:$AK$19))), "", (IF(MEDIAN($AK$5:$AK$19) = 0, "", MEDIAN($AK$5:$AK$19))))</f>
        <v>129.636</v>
      </c>
      <c r="AL4">
        <f ca="1">IF(ISERROR(IF(MEDIAN($AL$5:$AL$19) = 0, "", MEDIAN($AL$5:$AL$19))), "", (IF(MEDIAN($AL$5:$AL$19) = 0, "", MEDIAN($AL$5:$AL$19))))</f>
        <v>124.2475</v>
      </c>
      <c r="AM4">
        <f ca="1">IF(ISERROR(IF(MEDIAN($AM$5:$AM$19) = 0, "", MEDIAN($AM$5:$AM$19))), "", (IF(MEDIAN($AM$5:$AM$19) = 0, "", MEDIAN($AM$5:$AM$19))))</f>
        <v>135.01350000000002</v>
      </c>
      <c r="AN4">
        <f ca="1">IF(ISERROR(IF(MEDIAN($AN$5:$AN$19) = 0, "", MEDIAN($AN$5:$AN$19))), "", (IF(MEDIAN($AN$5:$AN$19) = 0, "", MEDIAN($AN$5:$AN$19))))</f>
        <v>138.17500000000001</v>
      </c>
      <c r="AO4">
        <f ca="1">IF(ISERROR(IF(MEDIAN($AO$5:$AO$19) = 0, "", MEDIAN($AO$5:$AO$19))), "", (IF(MEDIAN($AO$5:$AO$19) = 0, "", MEDIAN($AO$5:$AO$19))))</f>
        <v>132.578</v>
      </c>
      <c r="AP4">
        <f ca="1">IF(ISERROR(IF(MEDIAN($AP$5:$AP$19) = 0, "", MEDIAN($AP$5:$AP$19))), "", (IF(MEDIAN($AP$5:$AP$19) = 0, "", MEDIAN($AP$5:$AP$19))))</f>
        <v>133.773</v>
      </c>
      <c r="AQ4">
        <f ca="1">IF(ISERROR(IF(MEDIAN($AQ$5:$AQ$19) = 0, "", MEDIAN($AQ$5:$AQ$19))), "", (IF(MEDIAN($AQ$5:$AQ$19) = 0, "", MEDIAN($AQ$5:$AQ$19))))</f>
        <v>136.22899999999998</v>
      </c>
      <c r="AR4">
        <f ca="1">IF(ISERROR(IF(MEDIAN($AR$5:$AR$19) = 0, "", MEDIAN($AR$5:$AR$19))), "", (IF(MEDIAN($AR$5:$AR$19) = 0, "", MEDIAN($AR$5:$AR$19))))</f>
        <v>138.15949999999998</v>
      </c>
      <c r="AS4">
        <f ca="1">IF(ISERROR(IF(MEDIAN($AS$5:$AS$19) = 0, "", MEDIAN($AS$5:$AS$19))), "", (IF(MEDIAN($AS$5:$AS$19) = 0, "", MEDIAN($AS$5:$AS$19))))</f>
        <v>135.93049999999999</v>
      </c>
      <c r="AT4">
        <f ca="1">IF(ISERROR(IF(MEDIAN($AT$5:$AT$19) = 0, "", MEDIAN($AT$5:$AT$19))), "", (IF(MEDIAN($AT$5:$AT$19) = 0, "", MEDIAN($AT$5:$AT$19))))</f>
        <v>135.32599999999999</v>
      </c>
      <c r="AU4">
        <f ca="1">IF(ISERROR(IF(MEDIAN($AU$5:$AU$19) = 0, "", MEDIAN($AU$5:$AU$19))), "", (IF(MEDIAN($AU$5:$AU$19) = 0, "", MEDIAN($AU$5:$AU$19))))</f>
        <v>134.5205</v>
      </c>
      <c r="AV4">
        <f ca="1">IF(ISERROR(IF(MEDIAN($AV$5:$AV$19) = 0, "", MEDIAN($AV$5:$AV$19))), "", (IF(MEDIAN($AV$5:$AV$19) = 0, "", MEDIAN($AV$5:$AV$19))))</f>
        <v>133.09399999999999</v>
      </c>
      <c r="AW4">
        <f ca="1">IF(ISERROR(IF(MEDIAN($AW$5:$AW$19) = 0, "", MEDIAN($AW$5:$AW$19))), "", (IF(MEDIAN($AW$5:$AW$19) = 0, "", MEDIAN($AW$5:$AW$19))))</f>
        <v>127.167</v>
      </c>
      <c r="AX4">
        <f ca="1">IF(ISERROR(IF(MEDIAN($AX$5:$AX$19) = 0, "", MEDIAN($AX$5:$AX$19))), "", (IF(MEDIAN($AX$5:$AX$19) = 0, "", MEDIAN($AX$5:$AX$19))))</f>
        <v>126.21550000000001</v>
      </c>
      <c r="AY4">
        <f ca="1">IF(ISERROR(IF(MEDIAN($AY$5:$AY$19) = 0, "", MEDIAN($AY$5:$AY$19))), "", (IF(MEDIAN($AY$5:$AY$19) = 0, "", MEDIAN($AY$5:$AY$19))))</f>
        <v>120.28949999999999</v>
      </c>
      <c r="AZ4">
        <f ca="1">IF(ISERROR(IF(MEDIAN($AZ$5:$AZ$19) = 0, "", MEDIAN($AZ$5:$AZ$19))), "", (IF(MEDIAN($AZ$5:$AZ$19) = 0, "", MEDIAN($AZ$5:$AZ$19))))</f>
        <v>123.56</v>
      </c>
      <c r="BA4">
        <f ca="1">IF(ISERROR(IF(MEDIAN($BA$5:$BA$19) = 0, "", MEDIAN($BA$5:$BA$19))), "", (IF(MEDIAN($BA$5:$BA$19) = 0, "", MEDIAN($BA$5:$BA$19))))</f>
        <v>118.01849999999999</v>
      </c>
      <c r="BB4">
        <f ca="1">IF(ISERROR(IF(MEDIAN($BB$5:$BB$19) = 0, "", MEDIAN($BB$5:$BB$19))), "", (IF(MEDIAN($BB$5:$BB$19) = 0, "", MEDIAN($BB$5:$BB$19))))</f>
        <v>117.0245</v>
      </c>
      <c r="BC4">
        <f ca="1">IF(ISERROR(IF(MEDIAN($BC$5:$BC$19) = 0, "", MEDIAN($BC$5:$BC$19))), "", (IF(MEDIAN($BC$5:$BC$19) = 0, "", MEDIAN($BC$5:$BC$19))))</f>
        <v>109.22499999999999</v>
      </c>
      <c r="BD4">
        <f ca="1">IF(ISERROR(IF(MEDIAN($BD$5:$BD$19) = 0, "", MEDIAN($BD$5:$BD$19))), "", (IF(MEDIAN($BD$5:$BD$19) = 0, "", MEDIAN($BD$5:$BD$19))))</f>
        <v>113.76</v>
      </c>
      <c r="BE4">
        <f ca="1">IF(ISERROR(IF(MEDIAN($BE$5:$BE$19) = 0, "", MEDIAN($BE$5:$BE$19))), "", (IF(MEDIAN($BE$5:$BE$19) = 0, "", MEDIAN($BE$5:$BE$19))))</f>
        <v>110.79300000000001</v>
      </c>
      <c r="BF4">
        <f ca="1">IF(ISERROR(IF(MEDIAN($BF$5:$BF$19) = 0, "", MEDIAN($BF$5:$BF$19))), "", (IF(MEDIAN($BF$5:$BF$19) = 0, "", MEDIAN($BF$5:$BF$19))))</f>
        <v>113.51650000000001</v>
      </c>
      <c r="BG4">
        <f ca="1">IF(ISERROR(IF(MEDIAN($BG$5:$BG$19) = 0, "", MEDIAN($BG$5:$BG$19))), "", (IF(MEDIAN($BG$5:$BG$19) = 0, "", MEDIAN($BG$5:$BG$19))))</f>
        <v>110.30600000000001</v>
      </c>
      <c r="BH4">
        <f ca="1">IF(ISERROR(IF(MEDIAN($BH$5:$BH$19) = 0, "", MEDIAN($BH$5:$BH$19))), "", (IF(MEDIAN($BH$5:$BH$19) = 0, "", MEDIAN($BH$5:$BH$19))))</f>
        <v>108.967</v>
      </c>
      <c r="BI4">
        <f ca="1">IF(ISERROR(IF(MEDIAN($BI$5:$BI$19) = 0, "", MEDIAN($BI$5:$BI$19))), "", (IF(MEDIAN($BI$5:$BI$19) = 0, "", MEDIAN($BI$5:$BI$19))))</f>
        <v>105.9234998</v>
      </c>
      <c r="BJ4">
        <f ca="1">IF(ISERROR(IF(MEDIAN($BJ$5:$BJ$19) = 0, "", MEDIAN($BJ$5:$BJ$19))), "", (IF(MEDIAN($BJ$5:$BJ$19) = 0, "", MEDIAN($BJ$5:$BJ$19))))</f>
        <v>101.908502</v>
      </c>
      <c r="BK4">
        <f ca="1">IF(ISERROR(IF(MEDIAN($BK$5:$BK$19) = 0, "", MEDIAN($BK$5:$BK$19))), "", (IF(MEDIAN($BK$5:$BK$19) = 0, "", MEDIAN($BK$5:$BK$19))))</f>
        <v>100.5359995</v>
      </c>
      <c r="BL4">
        <f ca="1">IF(ISERROR(IF(MEDIAN($BL$5:$BL$19) = 0, "", MEDIAN($BL$5:$BL$19))), "", (IF(MEDIAN($BL$5:$BL$19) = 0, "", MEDIAN($BL$5:$BL$19))))</f>
        <v>94.974998499999998</v>
      </c>
      <c r="BM4">
        <f ca="1">IF(ISERROR(IF(MEDIAN($BM$5:$BM$19) = 0, "", MEDIAN($BM$5:$BM$19))), "", (IF(MEDIAN($BM$5:$BM$19) = 0, "", MEDIAN($BM$5:$BM$19))))</f>
        <v>93.577999000000005</v>
      </c>
      <c r="BN4" t="str">
        <f>""</f>
        <v/>
      </c>
      <c r="BO4">
        <f>220.72</f>
        <v>220.72</v>
      </c>
      <c r="BP4">
        <f>212.048</f>
        <v>212.048</v>
      </c>
      <c r="BQ4">
        <f>222.079</f>
        <v>222.07900000000001</v>
      </c>
      <c r="BR4">
        <f>204.447</f>
        <v>204.447</v>
      </c>
      <c r="BS4">
        <f>217.785</f>
        <v>217.785</v>
      </c>
      <c r="BT4">
        <f>209.922</f>
        <v>209.922</v>
      </c>
      <c r="BU4">
        <f>205.738</f>
        <v>205.738</v>
      </c>
      <c r="BV4">
        <f>210.031</f>
        <v>210.03100000000001</v>
      </c>
      <c r="BW4">
        <f>229.377</f>
        <v>229.37700000000001</v>
      </c>
      <c r="BX4">
        <f>216.739</f>
        <v>216.739</v>
      </c>
      <c r="BY4">
        <f>237.528</f>
        <v>237.52799999999999</v>
      </c>
      <c r="BZ4">
        <f>237.718</f>
        <v>237.71799999999999</v>
      </c>
      <c r="CA4">
        <f>177.298</f>
        <v>177.298</v>
      </c>
      <c r="CB4">
        <f>167.684</f>
        <v>167.684</v>
      </c>
      <c r="CC4">
        <f>162.383</f>
        <v>162.38300000000001</v>
      </c>
      <c r="CD4">
        <f>166.193</f>
        <v>166.19300000000001</v>
      </c>
      <c r="CE4">
        <f>150.7505</f>
        <v>150.75049999999999</v>
      </c>
      <c r="CF4">
        <f>144.2155</f>
        <v>144.21549999999999</v>
      </c>
      <c r="CG4">
        <f>141.582</f>
        <v>141.58199999999999</v>
      </c>
      <c r="CH4">
        <f>141.1165</f>
        <v>141.1165</v>
      </c>
      <c r="CI4">
        <f>132.5785</f>
        <v>132.57849999999999</v>
      </c>
      <c r="CJ4">
        <f>128.051</f>
        <v>128.05099999999999</v>
      </c>
      <c r="CK4">
        <f>128.238</f>
        <v>128.238</v>
      </c>
      <c r="CL4">
        <f>129.6205</f>
        <v>129.62049999999999</v>
      </c>
      <c r="CM4">
        <f>116.752</f>
        <v>116.752</v>
      </c>
      <c r="CN4">
        <f>119.746</f>
        <v>119.746</v>
      </c>
      <c r="CO4">
        <f>117.843</f>
        <v>117.843</v>
      </c>
      <c r="CP4">
        <f>116.47</f>
        <v>116.47</v>
      </c>
      <c r="CQ4">
        <f>132.2545</f>
        <v>132.25450000000001</v>
      </c>
      <c r="CR4">
        <f>129.6635</f>
        <v>129.6635</v>
      </c>
      <c r="CS4">
        <f>129.636</f>
        <v>129.636</v>
      </c>
      <c r="CT4">
        <f>124.2475</f>
        <v>124.2475</v>
      </c>
      <c r="CU4">
        <f>135.0135</f>
        <v>135.01349999999999</v>
      </c>
      <c r="CV4">
        <f>138.175</f>
        <v>138.17500000000001</v>
      </c>
      <c r="CW4">
        <f>132.578</f>
        <v>132.578</v>
      </c>
      <c r="CX4">
        <f>133.773</f>
        <v>133.773</v>
      </c>
      <c r="CY4">
        <f>136.229</f>
        <v>136.22900000000001</v>
      </c>
      <c r="CZ4">
        <f>138.1595</f>
        <v>138.15950000000001</v>
      </c>
      <c r="DA4">
        <f>135.9305</f>
        <v>135.93049999999999</v>
      </c>
      <c r="DB4">
        <f>135.326</f>
        <v>135.32599999999999</v>
      </c>
      <c r="DC4">
        <f>134.5205</f>
        <v>134.5205</v>
      </c>
      <c r="DD4">
        <f>133.094</f>
        <v>133.09399999999999</v>
      </c>
      <c r="DE4">
        <f>127.167</f>
        <v>127.167</v>
      </c>
      <c r="DF4">
        <f>126.2155</f>
        <v>126.21550000000001</v>
      </c>
      <c r="DG4">
        <f>120.2895</f>
        <v>120.2895</v>
      </c>
      <c r="DH4">
        <f>123.56</f>
        <v>123.56</v>
      </c>
      <c r="DI4">
        <f>118.0185</f>
        <v>118.0185</v>
      </c>
      <c r="DJ4">
        <f>117.0245</f>
        <v>117.0245</v>
      </c>
      <c r="DK4">
        <f>109.225</f>
        <v>109.22499999999999</v>
      </c>
      <c r="DL4">
        <f>113.76</f>
        <v>113.76</v>
      </c>
      <c r="DM4">
        <f>110.793</f>
        <v>110.79300000000001</v>
      </c>
      <c r="DN4">
        <f>113.5165</f>
        <v>113.51649999999999</v>
      </c>
      <c r="DO4">
        <f>110.306</f>
        <v>110.306</v>
      </c>
      <c r="DP4">
        <f>108.967</f>
        <v>108.967</v>
      </c>
      <c r="DQ4">
        <f>105.9234998</f>
        <v>105.9234998</v>
      </c>
      <c r="DR4">
        <f>101.908502</f>
        <v>101.908502</v>
      </c>
      <c r="DS4">
        <f>100.5359995</f>
        <v>100.5359995</v>
      </c>
      <c r="DT4">
        <f>94.9749985</f>
        <v>94.974998499999998</v>
      </c>
      <c r="DU4">
        <f>93.577999</f>
        <v>93.577999000000005</v>
      </c>
    </row>
    <row r="5" spans="1:125">
      <c r="A5" t="str">
        <f>"    Brixmor Property Group Inc"</f>
        <v xml:space="preserve">    Brixmor Property Group Inc</v>
      </c>
      <c r="B5" t="str">
        <f>"BRX US Equity"</f>
        <v>BRX US Equity</v>
      </c>
      <c r="C5" t="str">
        <f t="shared" ref="C5:C19" si="0">"IS030"</f>
        <v>IS030</v>
      </c>
      <c r="D5" t="str">
        <f t="shared" ref="D5:D19" si="1">"IS_RENT_INC"</f>
        <v>IS_RENT_INC</v>
      </c>
      <c r="E5" t="str">
        <f t="shared" ref="E5:E19" si="2">"动态"</f>
        <v>动态</v>
      </c>
      <c r="F5" t="str">
        <f ca="1">IF(AND(ISNUMBER($F$466),$B$419=1),$F$466,HLOOKUP(INDIRECT(ADDRESS(2,COLUMN())),OFFSET($BN$2,0,0,ROW()-1,60),ROW()-1,FALSE))</f>
        <v/>
      </c>
      <c r="G5">
        <f ca="1">IF(AND(ISNUMBER($G$466),$B$419=1),$G$466,HLOOKUP(INDIRECT(ADDRESS(2,COLUMN())),OFFSET($BN$2,0,0,ROW()-1,60),ROW()-1,FALSE))</f>
        <v>319.03100000000001</v>
      </c>
      <c r="H5">
        <f ca="1">IF(AND(ISNUMBER($H$466),$B$419=1),$H$466,HLOOKUP(INDIRECT(ADDRESS(2,COLUMN())),OFFSET($BN$2,0,0,ROW()-1,60),ROW()-1,FALSE))</f>
        <v>313.06700000000001</v>
      </c>
      <c r="I5">
        <f ca="1">IF(AND(ISNUMBER($I$466),$B$419=1),$I$466,HLOOKUP(INDIRECT(ADDRESS(2,COLUMN())),OFFSET($BN$2,0,0,ROW()-1,60),ROW()-1,FALSE))</f>
        <v>320.81599999999997</v>
      </c>
      <c r="J5">
        <f ca="1">IF(AND(ISNUMBER($J$466),$B$419=1),$J$466,HLOOKUP(INDIRECT(ADDRESS(2,COLUMN())),OFFSET($BN$2,0,0,ROW()-1,60),ROW()-1,FALSE))</f>
        <v>322.81099999999998</v>
      </c>
      <c r="K5">
        <f ca="1">IF(AND(ISNUMBER($K$466),$B$419=1),$K$466,HLOOKUP(INDIRECT(ADDRESS(2,COLUMN())),OFFSET($BN$2,0,0,ROW()-1,60),ROW()-1,FALSE))</f>
        <v>323.142</v>
      </c>
      <c r="L5">
        <f ca="1">IF(AND(ISNUMBER($L$466),$B$419=1),$L$466,HLOOKUP(INDIRECT(ADDRESS(2,COLUMN())),OFFSET($BN$2,0,0,ROW()-1,60),ROW()-1,FALSE))</f>
        <v>317.32799999999997</v>
      </c>
      <c r="M5">
        <f ca="1">IF(AND(ISNUMBER($M$466),$B$419=1),$M$466,HLOOKUP(INDIRECT(ADDRESS(2,COLUMN())),OFFSET($BN$2,0,0,ROW()-1,60),ROW()-1,FALSE))</f>
        <v>307.33800000000002</v>
      </c>
      <c r="N5">
        <f ca="1">IF(AND(ISNUMBER($N$466),$B$419=1),$N$466,HLOOKUP(INDIRECT(ADDRESS(2,COLUMN())),OFFSET($BN$2,0,0,ROW()-1,60),ROW()-1,FALSE))</f>
        <v>320.858</v>
      </c>
      <c r="O5">
        <f ca="1">IF(AND(ISNUMBER($O$466),$B$419=1),$O$466,HLOOKUP(INDIRECT(ADDRESS(2,COLUMN())),OFFSET($BN$2,0,0,ROW()-1,60),ROW()-1,FALSE))</f>
        <v>326.58100000000002</v>
      </c>
      <c r="P5">
        <f ca="1">IF(AND(ISNUMBER($P$466),$B$419=1),$P$466,HLOOKUP(INDIRECT(ADDRESS(2,COLUMN())),OFFSET($BN$2,0,0,ROW()-1,60),ROW()-1,FALSE))</f>
        <v>311.13299999999998</v>
      </c>
      <c r="Q5">
        <f ca="1">IF(AND(ISNUMBER($Q$466),$B$419=1),$Q$466,HLOOKUP(INDIRECT(ADDRESS(2,COLUMN())),OFFSET($BN$2,0,0,ROW()-1,60),ROW()-1,FALSE))</f>
        <v>309.54199999999997</v>
      </c>
      <c r="R5">
        <f ca="1">IF(AND(ISNUMBER($R$466),$B$419=1),$R$466,HLOOKUP(INDIRECT(ADDRESS(2,COLUMN())),OFFSET($BN$2,0,0,ROW()-1,60),ROW()-1,FALSE))</f>
        <v>313.32400000000001</v>
      </c>
      <c r="S5">
        <f ca="1">IF(AND(ISNUMBER($S$466),$B$419=1),$S$466,HLOOKUP(INDIRECT(ADDRESS(2,COLUMN())),OFFSET($BN$2,0,0,ROW()-1,60),ROW()-1,FALSE))</f>
        <v>313.04599999999999</v>
      </c>
      <c r="T5">
        <f ca="1">IF(AND(ISNUMBER($T$466),$B$419=1),$T$466,HLOOKUP(INDIRECT(ADDRESS(2,COLUMN())),OFFSET($BN$2,0,0,ROW()-1,60),ROW()-1,FALSE))</f>
        <v>304.29899999999998</v>
      </c>
      <c r="U5">
        <f ca="1">IF(AND(ISNUMBER($U$466),$B$419=1),$U$466,HLOOKUP(INDIRECT(ADDRESS(2,COLUMN())),OFFSET($BN$2,0,0,ROW()-1,60),ROW()-1,FALSE))</f>
        <v>305.642</v>
      </c>
      <c r="V5">
        <f ca="1">IF(AND(ISNUMBER($V$466),$B$419=1),$V$466,HLOOKUP(INDIRECT(ADDRESS(2,COLUMN())),OFFSET($BN$2,0,0,ROW()-1,60),ROW()-1,FALSE))</f>
        <v>305.762</v>
      </c>
      <c r="W5">
        <f ca="1">IF(AND(ISNUMBER($W$466),$B$419=1),$W$466,HLOOKUP(INDIRECT(ADDRESS(2,COLUMN())),OFFSET($BN$2,0,0,ROW()-1,60),ROW()-1,FALSE))</f>
        <v>297.01400000000001</v>
      </c>
      <c r="X5">
        <f ca="1">IF(AND(ISNUMBER($X$466),$B$419=1),$X$466,HLOOKUP(INDIRECT(ADDRESS(2,COLUMN())),OFFSET($BN$2,0,0,ROW()-1,60),ROW()-1,FALSE))</f>
        <v>283.84399999999999</v>
      </c>
      <c r="Y5">
        <f ca="1">IF(AND(ISNUMBER($Y$466),$B$419=1),$Y$466,HLOOKUP(INDIRECT(ADDRESS(2,COLUMN())),OFFSET($BN$2,0,0,ROW()-1,60),ROW()-1,FALSE))</f>
        <v>275.60700000000003</v>
      </c>
      <c r="Z5">
        <f ca="1">IF(AND(ISNUMBER($Z$466),$B$419=1),$Z$466,HLOOKUP(INDIRECT(ADDRESS(2,COLUMN())),OFFSET($BN$2,0,0,ROW()-1,60),ROW()-1,FALSE))</f>
        <v>274.161</v>
      </c>
      <c r="AA5">
        <f ca="1">IF(AND(ISNUMBER($AA$466),$B$419=1),$AA$466,HLOOKUP(INDIRECT(ADDRESS(2,COLUMN())),OFFSET($BN$2,0,0,ROW()-1,60),ROW()-1,FALSE))</f>
        <v>282.61200000000002</v>
      </c>
      <c r="AB5">
        <f ca="1">IF(AND(ISNUMBER($AB$466),$B$419=1),$AB$466,HLOOKUP(INDIRECT(ADDRESS(2,COLUMN())),OFFSET($BN$2,0,0,ROW()-1,60),ROW()-1,FALSE))</f>
        <v>277.99700000000001</v>
      </c>
      <c r="AC5">
        <f ca="1">IF(AND(ISNUMBER($AC$466),$B$419=1),$AC$466,HLOOKUP(INDIRECT(ADDRESS(2,COLUMN())),OFFSET($BN$2,0,0,ROW()-1,60),ROW()-1,FALSE))</f>
        <v>274.15100000000001</v>
      </c>
      <c r="AD5">
        <f ca="1">IF(AND(ISNUMBER($AD$466),$B$419=1),$AD$466,HLOOKUP(INDIRECT(ADDRESS(2,COLUMN())),OFFSET($BN$2,0,0,ROW()-1,60),ROW()-1,FALSE))</f>
        <v>277.048</v>
      </c>
      <c r="AE5" t="str">
        <f ca="1">IF(AND(ISNUMBER($AE$466),$B$419=1),$AE$466,HLOOKUP(INDIRECT(ADDRESS(2,COLUMN())),OFFSET($BN$2,0,0,ROW()-1,60),ROW()-1,FALSE))</f>
        <v/>
      </c>
      <c r="AF5" t="str">
        <f ca="1">IF(AND(ISNUMBER($AF$466),$B$419=1),$AF$466,HLOOKUP(INDIRECT(ADDRESS(2,COLUMN())),OFFSET($BN$2,0,0,ROW()-1,60),ROW()-1,FALSE))</f>
        <v/>
      </c>
      <c r="AG5" t="str">
        <f ca="1">IF(AND(ISNUMBER($AG$466),$B$419=1),$AG$466,HLOOKUP(INDIRECT(ADDRESS(2,COLUMN())),OFFSET($BN$2,0,0,ROW()-1,60),ROW()-1,FALSE))</f>
        <v/>
      </c>
      <c r="AH5" t="str">
        <f ca="1">IF(AND(ISNUMBER($AH$466),$B$419=1),$AH$466,HLOOKUP(INDIRECT(ADDRESS(2,COLUMN())),OFFSET($BN$2,0,0,ROW()-1,60),ROW()-1,FALSE))</f>
        <v/>
      </c>
      <c r="AI5" t="str">
        <f ca="1">IF(AND(ISNUMBER($AI$466),$B$419=1),$AI$466,HLOOKUP(INDIRECT(ADDRESS(2,COLUMN())),OFFSET($BN$2,0,0,ROW()-1,60),ROW()-1,FALSE))</f>
        <v/>
      </c>
      <c r="AJ5" t="str">
        <f ca="1">IF(AND(ISNUMBER($AJ$466),$B$419=1),$AJ$466,HLOOKUP(INDIRECT(ADDRESS(2,COLUMN())),OFFSET($BN$2,0,0,ROW()-1,60),ROW()-1,FALSE))</f>
        <v/>
      </c>
      <c r="AK5" t="str">
        <f ca="1">IF(AND(ISNUMBER($AK$466),$B$419=1),$AK$466,HLOOKUP(INDIRECT(ADDRESS(2,COLUMN())),OFFSET($BN$2,0,0,ROW()-1,60),ROW()-1,FALSE))</f>
        <v/>
      </c>
      <c r="AL5" t="str">
        <f ca="1">IF(AND(ISNUMBER($AL$466),$B$419=1),$AL$466,HLOOKUP(INDIRECT(ADDRESS(2,COLUMN())),OFFSET($BN$2,0,0,ROW()-1,60),ROW()-1,FALSE))</f>
        <v/>
      </c>
      <c r="AM5" t="str">
        <f ca="1">IF(AND(ISNUMBER($AM$466),$B$419=1),$AM$466,HLOOKUP(INDIRECT(ADDRESS(2,COLUMN())),OFFSET($BN$2,0,0,ROW()-1,60),ROW()-1,FALSE))</f>
        <v/>
      </c>
      <c r="AN5" t="str">
        <f ca="1">IF(AND(ISNUMBER($AN$466),$B$419=1),$AN$466,HLOOKUP(INDIRECT(ADDRESS(2,COLUMN())),OFFSET($BN$2,0,0,ROW()-1,60),ROW()-1,FALSE))</f>
        <v/>
      </c>
      <c r="AO5" t="str">
        <f ca="1">IF(AND(ISNUMBER($AO$466),$B$419=1),$AO$466,HLOOKUP(INDIRECT(ADDRESS(2,COLUMN())),OFFSET($BN$2,0,0,ROW()-1,60),ROW()-1,FALSE))</f>
        <v/>
      </c>
      <c r="AP5" t="str">
        <f ca="1">IF(AND(ISNUMBER($AP$466),$B$419=1),$AP$466,HLOOKUP(INDIRECT(ADDRESS(2,COLUMN())),OFFSET($BN$2,0,0,ROW()-1,60),ROW()-1,FALSE))</f>
        <v/>
      </c>
      <c r="AQ5" t="str">
        <f ca="1">IF(AND(ISNUMBER($AQ$466),$B$419=1),$AQ$466,HLOOKUP(INDIRECT(ADDRESS(2,COLUMN())),OFFSET($BN$2,0,0,ROW()-1,60),ROW()-1,FALSE))</f>
        <v/>
      </c>
      <c r="AR5" t="str">
        <f ca="1">IF(AND(ISNUMBER($AR$466),$B$419=1),$AR$466,HLOOKUP(INDIRECT(ADDRESS(2,COLUMN())),OFFSET($BN$2,0,0,ROW()-1,60),ROW()-1,FALSE))</f>
        <v/>
      </c>
      <c r="AS5" t="str">
        <f ca="1">IF(AND(ISNUMBER($AS$466),$B$419=1),$AS$466,HLOOKUP(INDIRECT(ADDRESS(2,COLUMN())),OFFSET($BN$2,0,0,ROW()-1,60),ROW()-1,FALSE))</f>
        <v/>
      </c>
      <c r="AT5" t="str">
        <f ca="1">IF(AND(ISNUMBER($AT$466),$B$419=1),$AT$466,HLOOKUP(INDIRECT(ADDRESS(2,COLUMN())),OFFSET($BN$2,0,0,ROW()-1,60),ROW()-1,FALSE))</f>
        <v/>
      </c>
      <c r="AU5" t="str">
        <f ca="1">IF(AND(ISNUMBER($AU$466),$B$419=1),$AU$466,HLOOKUP(INDIRECT(ADDRESS(2,COLUMN())),OFFSET($BN$2,0,0,ROW()-1,60),ROW()-1,FALSE))</f>
        <v/>
      </c>
      <c r="AV5" t="str">
        <f ca="1">IF(AND(ISNUMBER($AV$466),$B$419=1),$AV$466,HLOOKUP(INDIRECT(ADDRESS(2,COLUMN())),OFFSET($BN$2,0,0,ROW()-1,60),ROW()-1,FALSE))</f>
        <v/>
      </c>
      <c r="AW5" t="str">
        <f ca="1">IF(AND(ISNUMBER($AW$466),$B$419=1),$AW$466,HLOOKUP(INDIRECT(ADDRESS(2,COLUMN())),OFFSET($BN$2,0,0,ROW()-1,60),ROW()-1,FALSE))</f>
        <v/>
      </c>
      <c r="AX5" t="str">
        <f ca="1">IF(AND(ISNUMBER($AX$466),$B$419=1),$AX$466,HLOOKUP(INDIRECT(ADDRESS(2,COLUMN())),OFFSET($BN$2,0,0,ROW()-1,60),ROW()-1,FALSE))</f>
        <v/>
      </c>
      <c r="AY5" t="str">
        <f ca="1">IF(AND(ISNUMBER($AY$466),$B$419=1),$AY$466,HLOOKUP(INDIRECT(ADDRESS(2,COLUMN())),OFFSET($BN$2,0,0,ROW()-1,60),ROW()-1,FALSE))</f>
        <v/>
      </c>
      <c r="AZ5" t="str">
        <f ca="1">IF(AND(ISNUMBER($AZ$466),$B$419=1),$AZ$466,HLOOKUP(INDIRECT(ADDRESS(2,COLUMN())),OFFSET($BN$2,0,0,ROW()-1,60),ROW()-1,FALSE))</f>
        <v/>
      </c>
      <c r="BA5" t="str">
        <f ca="1">IF(AND(ISNUMBER($BA$466),$B$419=1),$BA$466,HLOOKUP(INDIRECT(ADDRESS(2,COLUMN())),OFFSET($BN$2,0,0,ROW()-1,60),ROW()-1,FALSE))</f>
        <v/>
      </c>
      <c r="BB5" t="str">
        <f ca="1">IF(AND(ISNUMBER($BB$466),$B$419=1),$BB$466,HLOOKUP(INDIRECT(ADDRESS(2,COLUMN())),OFFSET($BN$2,0,0,ROW()-1,60),ROW()-1,FALSE))</f>
        <v/>
      </c>
      <c r="BC5" t="str">
        <f ca="1">IF(AND(ISNUMBER($BC$466),$B$419=1),$BC$466,HLOOKUP(INDIRECT(ADDRESS(2,COLUMN())),OFFSET($BN$2,0,0,ROW()-1,60),ROW()-1,FALSE))</f>
        <v/>
      </c>
      <c r="BD5" t="str">
        <f ca="1">IF(AND(ISNUMBER($BD$466),$B$419=1),$BD$466,HLOOKUP(INDIRECT(ADDRESS(2,COLUMN())),OFFSET($BN$2,0,0,ROW()-1,60),ROW()-1,FALSE))</f>
        <v/>
      </c>
      <c r="BE5" t="str">
        <f ca="1">IF(AND(ISNUMBER($BE$466),$B$419=1),$BE$466,HLOOKUP(INDIRECT(ADDRESS(2,COLUMN())),OFFSET($BN$2,0,0,ROW()-1,60),ROW()-1,FALSE))</f>
        <v/>
      </c>
      <c r="BF5" t="str">
        <f ca="1">IF(AND(ISNUMBER($BF$466),$B$419=1),$BF$466,HLOOKUP(INDIRECT(ADDRESS(2,COLUMN())),OFFSET($BN$2,0,0,ROW()-1,60),ROW()-1,FALSE))</f>
        <v/>
      </c>
      <c r="BG5" t="str">
        <f ca="1">IF(AND(ISNUMBER($BG$466),$B$419=1),$BG$466,HLOOKUP(INDIRECT(ADDRESS(2,COLUMN())),OFFSET($BN$2,0,0,ROW()-1,60),ROW()-1,FALSE))</f>
        <v/>
      </c>
      <c r="BH5" t="str">
        <f ca="1">IF(AND(ISNUMBER($BH$466),$B$419=1),$BH$466,HLOOKUP(INDIRECT(ADDRESS(2,COLUMN())),OFFSET($BN$2,0,0,ROW()-1,60),ROW()-1,FALSE))</f>
        <v/>
      </c>
      <c r="BI5" t="str">
        <f ca="1">IF(AND(ISNUMBER($BI$466),$B$419=1),$BI$466,HLOOKUP(INDIRECT(ADDRESS(2,COLUMN())),OFFSET($BN$2,0,0,ROW()-1,60),ROW()-1,FALSE))</f>
        <v/>
      </c>
      <c r="BJ5" t="str">
        <f ca="1">IF(AND(ISNUMBER($BJ$466),$B$419=1),$BJ$466,HLOOKUP(INDIRECT(ADDRESS(2,COLUMN())),OFFSET($BN$2,0,0,ROW()-1,60),ROW()-1,FALSE))</f>
        <v/>
      </c>
      <c r="BK5" t="str">
        <f ca="1">IF(AND(ISNUMBER($BK$466),$B$419=1),$BK$466,HLOOKUP(INDIRECT(ADDRESS(2,COLUMN())),OFFSET($BN$2,0,0,ROW()-1,60),ROW()-1,FALSE))</f>
        <v/>
      </c>
      <c r="BL5" t="str">
        <f ca="1">IF(AND(ISNUMBER($BL$466),$B$419=1),$BL$466,HLOOKUP(INDIRECT(ADDRESS(2,COLUMN())),OFFSET($BN$2,0,0,ROW()-1,60),ROW()-1,FALSE))</f>
        <v/>
      </c>
      <c r="BM5" t="str">
        <f ca="1">IF(AND(ISNUMBER($BM$466),$B$419=1),$BM$466,HLOOKUP(INDIRECT(ADDRESS(2,COLUMN())),OFFSET($BN$2,0,0,ROW()-1,60),ROW()-1,FALSE))</f>
        <v/>
      </c>
      <c r="BN5" t="str">
        <f>""</f>
        <v/>
      </c>
      <c r="BO5">
        <f>319.031</f>
        <v>319.03100000000001</v>
      </c>
      <c r="BP5">
        <f>313.067</f>
        <v>313.06700000000001</v>
      </c>
      <c r="BQ5">
        <f>320.816</f>
        <v>320.81599999999997</v>
      </c>
      <c r="BR5">
        <f>322.811</f>
        <v>322.81099999999998</v>
      </c>
      <c r="BS5">
        <f>323.142</f>
        <v>323.142</v>
      </c>
      <c r="BT5">
        <f>317.328</f>
        <v>317.32799999999997</v>
      </c>
      <c r="BU5">
        <f>307.338</f>
        <v>307.33800000000002</v>
      </c>
      <c r="BV5">
        <f>320.858</f>
        <v>320.858</v>
      </c>
      <c r="BW5">
        <f>326.581</f>
        <v>326.58100000000002</v>
      </c>
      <c r="BX5">
        <f>311.133</f>
        <v>311.13299999999998</v>
      </c>
      <c r="BY5">
        <f>309.542</f>
        <v>309.54199999999997</v>
      </c>
      <c r="BZ5">
        <f>313.324</f>
        <v>313.32400000000001</v>
      </c>
      <c r="CA5">
        <f>313.046</f>
        <v>313.04599999999999</v>
      </c>
      <c r="CB5">
        <f>304.299</f>
        <v>304.29899999999998</v>
      </c>
      <c r="CC5">
        <f>305.642</f>
        <v>305.642</v>
      </c>
      <c r="CD5">
        <f>305.762</f>
        <v>305.762</v>
      </c>
      <c r="CE5">
        <f>297.014</f>
        <v>297.01400000000001</v>
      </c>
      <c r="CF5">
        <f>283.844</f>
        <v>283.84399999999999</v>
      </c>
      <c r="CG5">
        <f>275.607</f>
        <v>275.60700000000003</v>
      </c>
      <c r="CH5">
        <f>274.161</f>
        <v>274.161</v>
      </c>
      <c r="CI5">
        <f>282.612</f>
        <v>282.61200000000002</v>
      </c>
      <c r="CJ5">
        <f>277.997</f>
        <v>277.99700000000001</v>
      </c>
      <c r="CK5">
        <f>274.151</f>
        <v>274.15100000000001</v>
      </c>
      <c r="CL5">
        <f>277.048</f>
        <v>277.048</v>
      </c>
      <c r="CM5" t="str">
        <f>""</f>
        <v/>
      </c>
      <c r="CN5" t="str">
        <f>""</f>
        <v/>
      </c>
      <c r="CO5" t="str">
        <f>""</f>
        <v/>
      </c>
      <c r="CP5" t="str">
        <f>""</f>
        <v/>
      </c>
      <c r="CQ5" t="str">
        <f>""</f>
        <v/>
      </c>
      <c r="CR5" t="str">
        <f>""</f>
        <v/>
      </c>
      <c r="CS5" t="str">
        <f>""</f>
        <v/>
      </c>
      <c r="CT5" t="str">
        <f>""</f>
        <v/>
      </c>
      <c r="CU5" t="str">
        <f>""</f>
        <v/>
      </c>
      <c r="CV5" t="str">
        <f>""</f>
        <v/>
      </c>
      <c r="CW5" t="str">
        <f>""</f>
        <v/>
      </c>
      <c r="CX5" t="str">
        <f>""</f>
        <v/>
      </c>
      <c r="CY5" t="str">
        <f>""</f>
        <v/>
      </c>
      <c r="CZ5" t="str">
        <f>""</f>
        <v/>
      </c>
      <c r="DA5" t="str">
        <f>""</f>
        <v/>
      </c>
      <c r="DB5" t="str">
        <f>""</f>
        <v/>
      </c>
      <c r="DC5" t="str">
        <f>""</f>
        <v/>
      </c>
      <c r="DD5" t="str">
        <f>""</f>
        <v/>
      </c>
      <c r="DE5" t="str">
        <f>""</f>
        <v/>
      </c>
      <c r="DF5" t="str">
        <f>""</f>
        <v/>
      </c>
      <c r="DG5" t="str">
        <f>""</f>
        <v/>
      </c>
      <c r="DH5" t="str">
        <f>""</f>
        <v/>
      </c>
      <c r="DI5" t="str">
        <f>""</f>
        <v/>
      </c>
      <c r="DJ5" t="str">
        <f>""</f>
        <v/>
      </c>
      <c r="DK5" t="str">
        <f>""</f>
        <v/>
      </c>
      <c r="DL5" t="str">
        <f>""</f>
        <v/>
      </c>
      <c r="DM5" t="str">
        <f>""</f>
        <v/>
      </c>
      <c r="DN5" t="str">
        <f>""</f>
        <v/>
      </c>
      <c r="DO5" t="str">
        <f>""</f>
        <v/>
      </c>
      <c r="DP5" t="str">
        <f>""</f>
        <v/>
      </c>
      <c r="DQ5" t="str">
        <f>""</f>
        <v/>
      </c>
      <c r="DR5" t="str">
        <f>""</f>
        <v/>
      </c>
      <c r="DS5" t="str">
        <f>""</f>
        <v/>
      </c>
      <c r="DT5" t="str">
        <f>""</f>
        <v/>
      </c>
      <c r="DU5" t="str">
        <f>""</f>
        <v/>
      </c>
    </row>
    <row r="6" spans="1:125">
      <c r="A6" t="str">
        <f>"    CBL &amp; Associates Properties In"</f>
        <v xml:space="preserve">    CBL &amp; Associates Properties In</v>
      </c>
      <c r="B6" t="str">
        <f>"CBL US Equity"</f>
        <v>CBL US Equity</v>
      </c>
      <c r="C6" t="str">
        <f t="shared" si="0"/>
        <v>IS030</v>
      </c>
      <c r="D6" t="str">
        <f t="shared" si="1"/>
        <v>IS_RENT_INC</v>
      </c>
      <c r="E6" t="str">
        <f t="shared" si="2"/>
        <v>动态</v>
      </c>
      <c r="F6" t="str">
        <f ca="1">IF(AND(ISNUMBER($F$467),$B$419=1),$F$467,HLOOKUP(INDIRECT(ADDRESS(2,COLUMN())),OFFSET($BN$2,0,0,ROW()-1,60),ROW()-1,FALSE))</f>
        <v/>
      </c>
      <c r="G6">
        <f ca="1">IF(AND(ISNUMBER($G$467),$B$419=1),$G$467,HLOOKUP(INDIRECT(ADDRESS(2,COLUMN())),OFFSET($BN$2,0,0,ROW()-1,60),ROW()-1,FALSE))</f>
        <v>230.52500000000001</v>
      </c>
      <c r="H6">
        <f ca="1">IF(AND(ISNUMBER($H$467),$B$419=1),$H$467,HLOOKUP(INDIRECT(ADDRESS(2,COLUMN())),OFFSET($BN$2,0,0,ROW()-1,60),ROW()-1,FALSE))</f>
        <v>220.68100000000001</v>
      </c>
      <c r="I6">
        <f ca="1">IF(AND(ISNUMBER($I$467),$B$419=1),$I$467,HLOOKUP(INDIRECT(ADDRESS(2,COLUMN())),OFFSET($BN$2,0,0,ROW()-1,60),ROW()-1,FALSE))</f>
        <v>225.30699999999999</v>
      </c>
      <c r="J6">
        <f ca="1">IF(AND(ISNUMBER($J$467),$B$419=1),$J$467,HLOOKUP(INDIRECT(ADDRESS(2,COLUMN())),OFFSET($BN$2,0,0,ROW()-1,60),ROW()-1,FALSE))</f>
        <v>233.08199999999999</v>
      </c>
      <c r="K6">
        <f ca="1">IF(AND(ISNUMBER($K$467),$B$419=1),$K$467,HLOOKUP(INDIRECT(ADDRESS(2,COLUMN())),OFFSET($BN$2,0,0,ROW()-1,60),ROW()-1,FALSE))</f>
        <v>252.339</v>
      </c>
      <c r="L6">
        <f ca="1">IF(AND(ISNUMBER($L$467),$B$419=1),$L$467,HLOOKUP(INDIRECT(ADDRESS(2,COLUMN())),OFFSET($BN$2,0,0,ROW()-1,60),ROW()-1,FALSE))</f>
        <v>241.024</v>
      </c>
      <c r="M6">
        <f ca="1">IF(AND(ISNUMBER($M$467),$B$419=1),$M$467,HLOOKUP(INDIRECT(ADDRESS(2,COLUMN())),OFFSET($BN$2,0,0,ROW()-1,60),ROW()-1,FALSE))</f>
        <v>244.82300000000001</v>
      </c>
      <c r="N6">
        <f ca="1">IF(AND(ISNUMBER($N$467),$B$419=1),$N$467,HLOOKUP(INDIRECT(ADDRESS(2,COLUMN())),OFFSET($BN$2,0,0,ROW()-1,60),ROW()-1,FALSE))</f>
        <v>253.73</v>
      </c>
      <c r="O6">
        <f ca="1">IF(AND(ISNUMBER($O$467),$B$419=1),$O$467,HLOOKUP(INDIRECT(ADDRESS(2,COLUMN())),OFFSET($BN$2,0,0,ROW()-1,60),ROW()-1,FALSE))</f>
        <v>267.67</v>
      </c>
      <c r="P6">
        <f ca="1">IF(AND(ISNUMBER($P$467),$B$419=1),$P$467,HLOOKUP(INDIRECT(ADDRESS(2,COLUMN())),OFFSET($BN$2,0,0,ROW()-1,60),ROW()-1,FALSE))</f>
        <v>250.90799999999999</v>
      </c>
      <c r="Q6">
        <f ca="1">IF(AND(ISNUMBER($Q$467),$B$419=1),$Q$467,HLOOKUP(INDIRECT(ADDRESS(2,COLUMN())),OFFSET($BN$2,0,0,ROW()-1,60),ROW()-1,FALSE))</f>
        <v>243.48500000000001</v>
      </c>
      <c r="R6">
        <f ca="1">IF(AND(ISNUMBER($R$467),$B$419=1),$R$467,HLOOKUP(INDIRECT(ADDRESS(2,COLUMN())),OFFSET($BN$2,0,0,ROW()-1,60),ROW()-1,FALSE))</f>
        <v>250.52199999999999</v>
      </c>
      <c r="S6">
        <f ca="1">IF(AND(ISNUMBER($S$467),$B$419=1),$S$467,HLOOKUP(INDIRECT(ADDRESS(2,COLUMN())),OFFSET($BN$2,0,0,ROW()-1,60),ROW()-1,FALSE))</f>
        <v>269.81</v>
      </c>
      <c r="T6">
        <f ca="1">IF(AND(ISNUMBER($T$467),$B$419=1),$T$467,HLOOKUP(INDIRECT(ADDRESS(2,COLUMN())),OFFSET($BN$2,0,0,ROW()-1,60),ROW()-1,FALSE))</f>
        <v>247.3</v>
      </c>
      <c r="U6">
        <f ca="1">IF(AND(ISNUMBER($U$467),$B$419=1),$U$467,HLOOKUP(INDIRECT(ADDRESS(2,COLUMN())),OFFSET($BN$2,0,0,ROW()-1,60),ROW()-1,FALSE))</f>
        <v>244.84200000000001</v>
      </c>
      <c r="V6">
        <f ca="1">IF(AND(ISNUMBER($V$467),$B$419=1),$V$467,HLOOKUP(INDIRECT(ADDRESS(2,COLUMN())),OFFSET($BN$2,0,0,ROW()-1,60),ROW()-1,FALSE))</f>
        <v>250.38300000000001</v>
      </c>
      <c r="W6">
        <f ca="1">IF(AND(ISNUMBER($W$467),$B$419=1),$W$467,HLOOKUP(INDIRECT(ADDRESS(2,COLUMN())),OFFSET($BN$2,0,0,ROW()-1,60),ROW()-1,FALSE))</f>
        <v>271.00599999999997</v>
      </c>
      <c r="X6">
        <f ca="1">IF(AND(ISNUMBER($X$467),$B$419=1),$X$467,HLOOKUP(INDIRECT(ADDRESS(2,COLUMN())),OFFSET($BN$2,0,0,ROW()-1,60),ROW()-1,FALSE))</f>
        <v>244.91300000000001</v>
      </c>
      <c r="Y6">
        <f ca="1">IF(AND(ISNUMBER($Y$467),$B$419=1),$Y$467,HLOOKUP(INDIRECT(ADDRESS(2,COLUMN())),OFFSET($BN$2,0,0,ROW()-1,60),ROW()-1,FALSE))</f>
        <v>243.03399999999999</v>
      </c>
      <c r="Z6">
        <f ca="1">IF(AND(ISNUMBER($Z$467),$B$419=1),$Z$467,HLOOKUP(INDIRECT(ADDRESS(2,COLUMN())),OFFSET($BN$2,0,0,ROW()-1,60),ROW()-1,FALSE))</f>
        <v>247.56</v>
      </c>
      <c r="AA6">
        <f ca="1">IF(AND(ISNUMBER($AA$467),$B$419=1),$AA$467,HLOOKUP(INDIRECT(ADDRESS(2,COLUMN())),OFFSET($BN$2,0,0,ROW()-1,60),ROW()-1,FALSE))</f>
        <v>259.495</v>
      </c>
      <c r="AB6">
        <f ca="1">IF(AND(ISNUMBER($AB$467),$B$419=1),$AB$467,HLOOKUP(INDIRECT(ADDRESS(2,COLUMN())),OFFSET($BN$2,0,0,ROW()-1,60),ROW()-1,FALSE))</f>
        <v>238.15199999999999</v>
      </c>
      <c r="AC6">
        <f ca="1">IF(AND(ISNUMBER($AC$467),$B$419=1),$AC$467,HLOOKUP(INDIRECT(ADDRESS(2,COLUMN())),OFFSET($BN$2,0,0,ROW()-1,60),ROW()-1,FALSE))</f>
        <v>242.02699999999999</v>
      </c>
      <c r="AD6">
        <f ca="1">IF(AND(ISNUMBER($AD$467),$B$419=1),$AD$467,HLOOKUP(INDIRECT(ADDRESS(2,COLUMN())),OFFSET($BN$2,0,0,ROW()-1,60),ROW()-1,FALSE))</f>
        <v>235.94</v>
      </c>
      <c r="AE6">
        <f ca="1">IF(AND(ISNUMBER($AE$467),$B$419=1),$AE$467,HLOOKUP(INDIRECT(ADDRESS(2,COLUMN())),OFFSET($BN$2,0,0,ROW()-1,60),ROW()-1,FALSE))</f>
        <v>254.232</v>
      </c>
      <c r="AF6">
        <f ca="1">IF(AND(ISNUMBER($AF$467),$B$419=1),$AF$467,HLOOKUP(INDIRECT(ADDRESS(2,COLUMN())),OFFSET($BN$2,0,0,ROW()-1,60),ROW()-1,FALSE))</f>
        <v>256.94499999999999</v>
      </c>
      <c r="AG6">
        <f ca="1">IF(AND(ISNUMBER($AG$467),$B$419=1),$AG$467,HLOOKUP(INDIRECT(ADDRESS(2,COLUMN())),OFFSET($BN$2,0,0,ROW()-1,60),ROW()-1,FALSE))</f>
        <v>251.95400000000001</v>
      </c>
      <c r="AH6">
        <f ca="1">IF(AND(ISNUMBER($AH$467),$B$419=1),$AH$467,HLOOKUP(INDIRECT(ADDRESS(2,COLUMN())),OFFSET($BN$2,0,0,ROW()-1,60),ROW()-1,FALSE))</f>
        <v>256.47199999999998</v>
      </c>
      <c r="AI6">
        <f ca="1">IF(AND(ISNUMBER($AI$467),$B$419=1),$AI$467,HLOOKUP(INDIRECT(ADDRESS(2,COLUMN())),OFFSET($BN$2,0,0,ROW()-1,60),ROW()-1,FALSE))</f>
        <v>277.03500000000003</v>
      </c>
      <c r="AJ6">
        <f ca="1">IF(AND(ISNUMBER($AJ$467),$B$419=1),$AJ$467,HLOOKUP(INDIRECT(ADDRESS(2,COLUMN())),OFFSET($BN$2,0,0,ROW()-1,60),ROW()-1,FALSE))</f>
        <v>251.95</v>
      </c>
      <c r="AK6">
        <f ca="1">IF(AND(ISNUMBER($AK$467),$B$419=1),$AK$467,HLOOKUP(INDIRECT(ADDRESS(2,COLUMN())),OFFSET($BN$2,0,0,ROW()-1,60),ROW()-1,FALSE))</f>
        <v>248.81800000000001</v>
      </c>
      <c r="AL6">
        <f ca="1">IF(AND(ISNUMBER($AL$467),$B$419=1),$AL$467,HLOOKUP(INDIRECT(ADDRESS(2,COLUMN())),OFFSET($BN$2,0,0,ROW()-1,60),ROW()-1,FALSE))</f>
        <v>252.78700000000001</v>
      </c>
      <c r="AM6">
        <f ca="1">IF(AND(ISNUMBER($AM$467),$B$419=1),$AM$467,HLOOKUP(INDIRECT(ADDRESS(2,COLUMN())),OFFSET($BN$2,0,0,ROW()-1,60),ROW()-1,FALSE))</f>
        <v>277.428</v>
      </c>
      <c r="AN6">
        <f ca="1">IF(AND(ISNUMBER($AN$467),$B$419=1),$AN$467,HLOOKUP(INDIRECT(ADDRESS(2,COLUMN())),OFFSET($BN$2,0,0,ROW()-1,60),ROW()-1,FALSE))</f>
        <v>253.26599999999999</v>
      </c>
      <c r="AO6">
        <f ca="1">IF(AND(ISNUMBER($AO$467),$B$419=1),$AO$467,HLOOKUP(INDIRECT(ADDRESS(2,COLUMN())),OFFSET($BN$2,0,0,ROW()-1,60),ROW()-1,FALSE))</f>
        <v>257.93200000000002</v>
      </c>
      <c r="AP6">
        <f ca="1">IF(AND(ISNUMBER($AP$467),$B$419=1),$AP$467,HLOOKUP(INDIRECT(ADDRESS(2,COLUMN())),OFFSET($BN$2,0,0,ROW()-1,60),ROW()-1,FALSE))</f>
        <v>262.505</v>
      </c>
      <c r="AQ6">
        <f ca="1">IF(AND(ISNUMBER($AQ$467),$B$419=1),$AQ$467,HLOOKUP(INDIRECT(ADDRESS(2,COLUMN())),OFFSET($BN$2,0,0,ROW()-1,60),ROW()-1,FALSE))</f>
        <v>291.36399999999998</v>
      </c>
      <c r="AR6">
        <f ca="1">IF(AND(ISNUMBER($AR$467),$B$419=1),$AR$467,HLOOKUP(INDIRECT(ADDRESS(2,COLUMN())),OFFSET($BN$2,0,0,ROW()-1,60),ROW()-1,FALSE))</f>
        <v>267.96800000000002</v>
      </c>
      <c r="AS6">
        <f ca="1">IF(AND(ISNUMBER($AS$467),$B$419=1),$AS$467,HLOOKUP(INDIRECT(ADDRESS(2,COLUMN())),OFFSET($BN$2,0,0,ROW()-1,60),ROW()-1,FALSE))</f>
        <v>263.709</v>
      </c>
      <c r="AT6">
        <f ca="1">IF(AND(ISNUMBER($AT$467),$B$419=1),$AT$467,HLOOKUP(INDIRECT(ADDRESS(2,COLUMN())),OFFSET($BN$2,0,0,ROW()-1,60),ROW()-1,FALSE))</f>
        <v>270.964</v>
      </c>
      <c r="AU6">
        <f ca="1">IF(AND(ISNUMBER($AU$467),$B$419=1),$AU$467,HLOOKUP(INDIRECT(ADDRESS(2,COLUMN())),OFFSET($BN$2,0,0,ROW()-1,60),ROW()-1,FALSE))</f>
        <v>285.86700000000002</v>
      </c>
      <c r="AV6">
        <f ca="1">IF(AND(ISNUMBER($AV$467),$B$419=1),$AV$467,HLOOKUP(INDIRECT(ADDRESS(2,COLUMN())),OFFSET($BN$2,0,0,ROW()-1,60),ROW()-1,FALSE))</f>
        <v>245.77199999999999</v>
      </c>
      <c r="AW6">
        <f ca="1">IF(AND(ISNUMBER($AW$467),$B$419=1),$AW$467,HLOOKUP(INDIRECT(ADDRESS(2,COLUMN())),OFFSET($BN$2,0,0,ROW()-1,60),ROW()-1,FALSE))</f>
        <v>235.64500000000001</v>
      </c>
      <c r="AX6">
        <f ca="1">IF(AND(ISNUMBER($AX$467),$B$419=1),$AX$467,HLOOKUP(INDIRECT(ADDRESS(2,COLUMN())),OFFSET($BN$2,0,0,ROW()-1,60),ROW()-1,FALSE))</f>
        <v>242.81700000000001</v>
      </c>
      <c r="AY6">
        <f ca="1">IF(AND(ISNUMBER($AY$467),$B$419=1),$AY$467,HLOOKUP(INDIRECT(ADDRESS(2,COLUMN())),OFFSET($BN$2,0,0,ROW()-1,60),ROW()-1,FALSE))</f>
        <v>262.43299999999999</v>
      </c>
      <c r="AZ6">
        <f ca="1">IF(AND(ISNUMBER($AZ$467),$B$419=1),$AZ$467,HLOOKUP(INDIRECT(ADDRESS(2,COLUMN())),OFFSET($BN$2,0,0,ROW()-1,60),ROW()-1,FALSE))</f>
        <v>238.185</v>
      </c>
      <c r="BA6">
        <f ca="1">IF(AND(ISNUMBER($BA$467),$B$419=1),$BA$467,HLOOKUP(INDIRECT(ADDRESS(2,COLUMN())),OFFSET($BN$2,0,0,ROW()-1,60),ROW()-1,FALSE))</f>
        <v>228.07599999999999</v>
      </c>
      <c r="BB6">
        <f ca="1">IF(AND(ISNUMBER($BB$467),$B$419=1),$BB$467,HLOOKUP(INDIRECT(ADDRESS(2,COLUMN())),OFFSET($BN$2,0,0,ROW()-1,60),ROW()-1,FALSE))</f>
        <v>238.376</v>
      </c>
      <c r="BC6">
        <f ca="1">IF(AND(ISNUMBER($BC$467),$B$419=1),$BC$467,HLOOKUP(INDIRECT(ADDRESS(2,COLUMN())),OFFSET($BN$2,0,0,ROW()-1,60),ROW()-1,FALSE))</f>
        <v>253.333</v>
      </c>
      <c r="BD6">
        <f ca="1">IF(AND(ISNUMBER($BD$467),$B$419=1),$BD$467,HLOOKUP(INDIRECT(ADDRESS(2,COLUMN())),OFFSET($BN$2,0,0,ROW()-1,60),ROW()-1,FALSE))</f>
        <v>211.97900000000001</v>
      </c>
      <c r="BE6">
        <f ca="1">IF(AND(ISNUMBER($BE$467),$B$419=1),$BE$467,HLOOKUP(INDIRECT(ADDRESS(2,COLUMN())),OFFSET($BN$2,0,0,ROW()-1,60),ROW()-1,FALSE))</f>
        <v>195.10599999999999</v>
      </c>
      <c r="BF6">
        <f ca="1">IF(AND(ISNUMBER($BF$467),$B$419=1),$BF$467,HLOOKUP(INDIRECT(ADDRESS(2,COLUMN())),OFFSET($BN$2,0,0,ROW()-1,60),ROW()-1,FALSE))</f>
        <v>207.036</v>
      </c>
      <c r="BG6">
        <f ca="1">IF(AND(ISNUMBER($BG$467),$B$419=1),$BG$467,HLOOKUP(INDIRECT(ADDRESS(2,COLUMN())),OFFSET($BN$2,0,0,ROW()-1,60),ROW()-1,FALSE))</f>
        <v>217.77799999999999</v>
      </c>
      <c r="BH6">
        <f ca="1">IF(AND(ISNUMBER($BH$467),$B$419=1),$BH$467,HLOOKUP(INDIRECT(ADDRESS(2,COLUMN())),OFFSET($BN$2,0,0,ROW()-1,60),ROW()-1,FALSE))</f>
        <v>185.26499999999999</v>
      </c>
      <c r="BI6">
        <f ca="1">IF(AND(ISNUMBER($BI$467),$B$419=1),$BI$467,HLOOKUP(INDIRECT(ADDRESS(2,COLUMN())),OFFSET($BN$2,0,0,ROW()-1,60),ROW()-1,FALSE))</f>
        <v>167.93800400000001</v>
      </c>
      <c r="BJ6">
        <f ca="1">IF(AND(ISNUMBER($BJ$467),$B$419=1),$BJ$467,HLOOKUP(INDIRECT(ADDRESS(2,COLUMN())),OFFSET($BN$2,0,0,ROW()-1,60),ROW()-1,FALSE))</f>
        <v>166.73100299999999</v>
      </c>
      <c r="BK6">
        <f ca="1">IF(AND(ISNUMBER($BK$467),$B$419=1),$BK$467,HLOOKUP(INDIRECT(ADDRESS(2,COLUMN())),OFFSET($BN$2,0,0,ROW()-1,60),ROW()-1,FALSE))</f>
        <v>172.75900300000001</v>
      </c>
      <c r="BL6">
        <f ca="1">IF(AND(ISNUMBER($BL$467),$B$419=1),$BL$467,HLOOKUP(INDIRECT(ADDRESS(2,COLUMN())),OFFSET($BN$2,0,0,ROW()-1,60),ROW()-1,FALSE))</f>
        <v>158.04600500000001</v>
      </c>
      <c r="BM6">
        <f ca="1">IF(AND(ISNUMBER($BM$467),$B$419=1),$BM$467,HLOOKUP(INDIRECT(ADDRESS(2,COLUMN())),OFFSET($BN$2,0,0,ROW()-1,60),ROW()-1,FALSE))</f>
        <v>157.192993</v>
      </c>
      <c r="BN6" t="str">
        <f>""</f>
        <v/>
      </c>
      <c r="BO6">
        <f>230.525</f>
        <v>230.52500000000001</v>
      </c>
      <c r="BP6">
        <f>220.681</f>
        <v>220.68100000000001</v>
      </c>
      <c r="BQ6">
        <f>225.307</f>
        <v>225.30699999999999</v>
      </c>
      <c r="BR6">
        <f>233.082</f>
        <v>233.08199999999999</v>
      </c>
      <c r="BS6">
        <f>252.339</f>
        <v>252.339</v>
      </c>
      <c r="BT6">
        <f>241.024</f>
        <v>241.024</v>
      </c>
      <c r="BU6">
        <f>244.823</f>
        <v>244.82300000000001</v>
      </c>
      <c r="BV6">
        <f>253.73</f>
        <v>253.73</v>
      </c>
      <c r="BW6">
        <f>267.67</f>
        <v>267.67</v>
      </c>
      <c r="BX6">
        <f>250.908</f>
        <v>250.90799999999999</v>
      </c>
      <c r="BY6">
        <f>243.485</f>
        <v>243.48500000000001</v>
      </c>
      <c r="BZ6">
        <f>250.522</f>
        <v>250.52199999999999</v>
      </c>
      <c r="CA6">
        <f>269.81</f>
        <v>269.81</v>
      </c>
      <c r="CB6">
        <f>247.3</f>
        <v>247.3</v>
      </c>
      <c r="CC6">
        <f>244.842</f>
        <v>244.84200000000001</v>
      </c>
      <c r="CD6">
        <f>250.383</f>
        <v>250.38300000000001</v>
      </c>
      <c r="CE6">
        <f>271.006</f>
        <v>271.00599999999997</v>
      </c>
      <c r="CF6">
        <f>244.913</f>
        <v>244.91300000000001</v>
      </c>
      <c r="CG6">
        <f>243.034</f>
        <v>243.03399999999999</v>
      </c>
      <c r="CH6">
        <f>247.56</f>
        <v>247.56</v>
      </c>
      <c r="CI6">
        <f>259.495</f>
        <v>259.495</v>
      </c>
      <c r="CJ6">
        <f>238.152</f>
        <v>238.15199999999999</v>
      </c>
      <c r="CK6">
        <f>242.027</f>
        <v>242.02699999999999</v>
      </c>
      <c r="CL6">
        <f>235.94</f>
        <v>235.94</v>
      </c>
      <c r="CM6">
        <f>254.232</f>
        <v>254.232</v>
      </c>
      <c r="CN6">
        <f>256.945</f>
        <v>256.94499999999999</v>
      </c>
      <c r="CO6">
        <f>251.954</f>
        <v>251.95400000000001</v>
      </c>
      <c r="CP6">
        <f>256.472</f>
        <v>256.47199999999998</v>
      </c>
      <c r="CQ6">
        <f>277.035</f>
        <v>277.03500000000003</v>
      </c>
      <c r="CR6">
        <f>251.95</f>
        <v>251.95</v>
      </c>
      <c r="CS6">
        <f>248.818</f>
        <v>248.81800000000001</v>
      </c>
      <c r="CT6">
        <f>252.787</f>
        <v>252.78700000000001</v>
      </c>
      <c r="CU6">
        <f>277.428</f>
        <v>277.428</v>
      </c>
      <c r="CV6">
        <f>253.266</f>
        <v>253.26599999999999</v>
      </c>
      <c r="CW6">
        <f>257.932</f>
        <v>257.93200000000002</v>
      </c>
      <c r="CX6">
        <f>262.505</f>
        <v>262.505</v>
      </c>
      <c r="CY6">
        <f>291.364</f>
        <v>291.36399999999998</v>
      </c>
      <c r="CZ6">
        <f>267.968</f>
        <v>267.96800000000002</v>
      </c>
      <c r="DA6">
        <f>263.709</f>
        <v>263.709</v>
      </c>
      <c r="DB6">
        <f>270.964</f>
        <v>270.964</v>
      </c>
      <c r="DC6">
        <f>285.867</f>
        <v>285.86700000000002</v>
      </c>
      <c r="DD6">
        <f>245.772</f>
        <v>245.77199999999999</v>
      </c>
      <c r="DE6">
        <f>235.645</f>
        <v>235.64500000000001</v>
      </c>
      <c r="DF6">
        <f>242.817</f>
        <v>242.81700000000001</v>
      </c>
      <c r="DG6">
        <f>262.433</f>
        <v>262.43299999999999</v>
      </c>
      <c r="DH6">
        <f>238.185</f>
        <v>238.185</v>
      </c>
      <c r="DI6">
        <f>228.076</f>
        <v>228.07599999999999</v>
      </c>
      <c r="DJ6">
        <f>238.376</f>
        <v>238.376</v>
      </c>
      <c r="DK6">
        <f>253.333</f>
        <v>253.333</v>
      </c>
      <c r="DL6">
        <f>211.979</f>
        <v>211.97900000000001</v>
      </c>
      <c r="DM6">
        <f>195.106</f>
        <v>195.10599999999999</v>
      </c>
      <c r="DN6">
        <f>207.036</f>
        <v>207.036</v>
      </c>
      <c r="DO6">
        <f>217.778</f>
        <v>217.77799999999999</v>
      </c>
      <c r="DP6">
        <f>185.265</f>
        <v>185.26499999999999</v>
      </c>
      <c r="DQ6">
        <f>167.938004</f>
        <v>167.93800400000001</v>
      </c>
      <c r="DR6">
        <f>166.731003</f>
        <v>166.73100299999999</v>
      </c>
      <c r="DS6">
        <f>172.759003</f>
        <v>172.75900300000001</v>
      </c>
      <c r="DT6">
        <f>158.046005</f>
        <v>158.04600500000001</v>
      </c>
      <c r="DU6">
        <f>157.192993</f>
        <v>157.192993</v>
      </c>
    </row>
    <row r="7" spans="1:125">
      <c r="A7" t="str">
        <f>"    DDR Corp"</f>
        <v xml:space="preserve">    DDR Corp</v>
      </c>
      <c r="B7" t="str">
        <f>"DDR US Equity"</f>
        <v>DDR US Equity</v>
      </c>
      <c r="C7" t="str">
        <f t="shared" si="0"/>
        <v>IS030</v>
      </c>
      <c r="D7" t="str">
        <f t="shared" si="1"/>
        <v>IS_RENT_INC</v>
      </c>
      <c r="E7" t="str">
        <f t="shared" si="2"/>
        <v>动态</v>
      </c>
      <c r="F7" t="str">
        <f ca="1">IF(AND(ISNUMBER($F$468),$B$419=1),$F$468,HLOOKUP(INDIRECT(ADDRESS(2,COLUMN())),OFFSET($BN$2,0,0,ROW()-1,60),ROW()-1,FALSE))</f>
        <v/>
      </c>
      <c r="G7">
        <f ca="1">IF(AND(ISNUMBER($G$468),$B$419=1),$G$468,HLOOKUP(INDIRECT(ADDRESS(2,COLUMN())),OFFSET($BN$2,0,0,ROW()-1,60),ROW()-1,FALSE))</f>
        <v>197.161</v>
      </c>
      <c r="H7">
        <f ca="1">IF(AND(ISNUMBER($H$468),$B$419=1),$H$468,HLOOKUP(INDIRECT(ADDRESS(2,COLUMN())),OFFSET($BN$2,0,0,ROW()-1,60),ROW()-1,FALSE))</f>
        <v>206.309</v>
      </c>
      <c r="I7">
        <f ca="1">IF(AND(ISNUMBER($I$468),$B$419=1),$I$468,HLOOKUP(INDIRECT(ADDRESS(2,COLUMN())),OFFSET($BN$2,0,0,ROW()-1,60),ROW()-1,FALSE))</f>
        <v>222.07900000000001</v>
      </c>
      <c r="J7">
        <f ca="1">IF(AND(ISNUMBER($J$468),$B$419=1),$J$468,HLOOKUP(INDIRECT(ADDRESS(2,COLUMN())),OFFSET($BN$2,0,0,ROW()-1,60),ROW()-1,FALSE))</f>
        <v>226.404</v>
      </c>
      <c r="K7">
        <f ca="1">IF(AND(ISNUMBER($K$468),$B$419=1),$K$468,HLOOKUP(INDIRECT(ADDRESS(2,COLUMN())),OFFSET($BN$2,0,0,ROW()-1,60),ROW()-1,FALSE))</f>
        <v>226.46100000000001</v>
      </c>
      <c r="L7">
        <f ca="1">IF(AND(ISNUMBER($L$468),$B$419=1),$L$468,HLOOKUP(INDIRECT(ADDRESS(2,COLUMN())),OFFSET($BN$2,0,0,ROW()-1,60),ROW()-1,FALSE))</f>
        <v>238.78</v>
      </c>
      <c r="M7">
        <f ca="1">IF(AND(ISNUMBER($M$468),$B$419=1),$M$468,HLOOKUP(INDIRECT(ADDRESS(2,COLUMN())),OFFSET($BN$2,0,0,ROW()-1,60),ROW()-1,FALSE))</f>
        <v>241.09399999999999</v>
      </c>
      <c r="N7">
        <f ca="1">IF(AND(ISNUMBER($N$468),$B$419=1),$N$468,HLOOKUP(INDIRECT(ADDRESS(2,COLUMN())),OFFSET($BN$2,0,0,ROW()-1,60),ROW()-1,FALSE))</f>
        <v>240.90199999999999</v>
      </c>
      <c r="O7">
        <f ca="1">IF(AND(ISNUMBER($O$468),$B$419=1),$O$468,HLOOKUP(INDIRECT(ADDRESS(2,COLUMN())),OFFSET($BN$2,0,0,ROW()-1,60),ROW()-1,FALSE))</f>
        <v>240.53200000000001</v>
      </c>
      <c r="P7">
        <f ca="1">IF(AND(ISNUMBER($P$468),$B$419=1),$P$468,HLOOKUP(INDIRECT(ADDRESS(2,COLUMN())),OFFSET($BN$2,0,0,ROW()-1,60),ROW()-1,FALSE))</f>
        <v>243.273</v>
      </c>
      <c r="Q7">
        <f ca="1">IF(AND(ISNUMBER($Q$468),$B$419=1),$Q$468,HLOOKUP(INDIRECT(ADDRESS(2,COLUMN())),OFFSET($BN$2,0,0,ROW()-1,60),ROW()-1,FALSE))</f>
        <v>242.756</v>
      </c>
      <c r="R7">
        <f ca="1">IF(AND(ISNUMBER($R$468),$B$419=1),$R$468,HLOOKUP(INDIRECT(ADDRESS(2,COLUMN())),OFFSET($BN$2,0,0,ROW()-1,60),ROW()-1,FALSE))</f>
        <v>246.16200000000001</v>
      </c>
      <c r="S7">
        <f ca="1">IF(AND(ISNUMBER($S$468),$B$419=1),$S$468,HLOOKUP(INDIRECT(ADDRESS(2,COLUMN())),OFFSET($BN$2,0,0,ROW()-1,60),ROW()-1,FALSE))</f>
        <v>242.58</v>
      </c>
      <c r="T7">
        <f ca="1">IF(AND(ISNUMBER($T$468),$B$419=1),$T$468,HLOOKUP(INDIRECT(ADDRESS(2,COLUMN())),OFFSET($BN$2,0,0,ROW()-1,60),ROW()-1,FALSE))</f>
        <v>230.51599999999999</v>
      </c>
      <c r="U7">
        <f ca="1">IF(AND(ISNUMBER($U$468),$B$419=1),$U$468,HLOOKUP(INDIRECT(ADDRESS(2,COLUMN())),OFFSET($BN$2,0,0,ROW()-1,60),ROW()-1,FALSE))</f>
        <v>226.05</v>
      </c>
      <c r="V7">
        <f ca="1">IF(AND(ISNUMBER($V$468),$B$419=1),$V$468,HLOOKUP(INDIRECT(ADDRESS(2,COLUMN())),OFFSET($BN$2,0,0,ROW()-1,60),ROW()-1,FALSE))</f>
        <v>225.62799999999999</v>
      </c>
      <c r="W7">
        <f ca="1">IF(AND(ISNUMBER($W$468),$B$419=1),$W$468,HLOOKUP(INDIRECT(ADDRESS(2,COLUMN())),OFFSET($BN$2,0,0,ROW()-1,60),ROW()-1,FALSE))</f>
        <v>224.85400000000001</v>
      </c>
      <c r="X7">
        <f ca="1">IF(AND(ISNUMBER($X$468),$B$419=1),$X$468,HLOOKUP(INDIRECT(ADDRESS(2,COLUMN())),OFFSET($BN$2,0,0,ROW()-1,60),ROW()-1,FALSE))</f>
        <v>187.20599999999999</v>
      </c>
      <c r="Y7">
        <f ca="1">IF(AND(ISNUMBER($Y$468),$B$419=1),$Y$468,HLOOKUP(INDIRECT(ADDRESS(2,COLUMN())),OFFSET($BN$2,0,0,ROW()-1,60),ROW()-1,FALSE))</f>
        <v>185.2</v>
      </c>
      <c r="Z7">
        <f ca="1">IF(AND(ISNUMBER($Z$468),$B$419=1),$Z$468,HLOOKUP(INDIRECT(ADDRESS(2,COLUMN())),OFFSET($BN$2,0,0,ROW()-1,60),ROW()-1,FALSE))</f>
        <v>183.34700000000001</v>
      </c>
      <c r="AA7">
        <f ca="1">IF(AND(ISNUMBER($AA$468),$B$419=1),$AA$468,HLOOKUP(INDIRECT(ADDRESS(2,COLUMN())),OFFSET($BN$2,0,0,ROW()-1,60),ROW()-1,FALSE))</f>
        <v>183.91</v>
      </c>
      <c r="AB7">
        <f ca="1">IF(AND(ISNUMBER($AB$468),$B$419=1),$AB$468,HLOOKUP(INDIRECT(ADDRESS(2,COLUMN())),OFFSET($BN$2,0,0,ROW()-1,60),ROW()-1,FALSE))</f>
        <v>176.18100000000001</v>
      </c>
      <c r="AC7">
        <f ca="1">IF(AND(ISNUMBER($AC$468),$B$419=1),$AC$468,HLOOKUP(INDIRECT(ADDRESS(2,COLUMN())),OFFSET($BN$2,0,0,ROW()-1,60),ROW()-1,FALSE))</f>
        <v>172.7</v>
      </c>
      <c r="AD7">
        <f ca="1">IF(AND(ISNUMBER($AD$468),$B$419=1),$AD$468,HLOOKUP(INDIRECT(ADDRESS(2,COLUMN())),OFFSET($BN$2,0,0,ROW()-1,60),ROW()-1,FALSE))</f>
        <v>172.18899999999999</v>
      </c>
      <c r="AE7">
        <f ca="1">IF(AND(ISNUMBER($AE$468),$B$419=1),$AE$468,HLOOKUP(INDIRECT(ADDRESS(2,COLUMN())),OFFSET($BN$2,0,0,ROW()-1,60),ROW()-1,FALSE))</f>
        <v>167.095</v>
      </c>
      <c r="AF7">
        <f ca="1">IF(AND(ISNUMBER($AF$468),$B$419=1),$AF$468,HLOOKUP(INDIRECT(ADDRESS(2,COLUMN())),OFFSET($BN$2,0,0,ROW()-1,60),ROW()-1,FALSE))</f>
        <v>166.09899999999999</v>
      </c>
      <c r="AG7">
        <f ca="1">IF(AND(ISNUMBER($AG$468),$B$419=1),$AG$468,HLOOKUP(INDIRECT(ADDRESS(2,COLUMN())),OFFSET($BN$2,0,0,ROW()-1,60),ROW()-1,FALSE))</f>
        <v>167.19399999999999</v>
      </c>
      <c r="AH7">
        <f ca="1">IF(AND(ISNUMBER($AH$468),$B$419=1),$AH$468,HLOOKUP(INDIRECT(ADDRESS(2,COLUMN())),OFFSET($BN$2,0,0,ROW()-1,60),ROW()-1,FALSE))</f>
        <v>172.50200000000001</v>
      </c>
      <c r="AI7">
        <f ca="1">IF(AND(ISNUMBER($AI$468),$B$419=1),$AI$468,HLOOKUP(INDIRECT(ADDRESS(2,COLUMN())),OFFSET($BN$2,0,0,ROW()-1,60),ROW()-1,FALSE))</f>
        <v>169.655</v>
      </c>
      <c r="AJ7">
        <f ca="1">IF(AND(ISNUMBER($AJ$468),$B$419=1),$AJ$468,HLOOKUP(INDIRECT(ADDRESS(2,COLUMN())),OFFSET($BN$2,0,0,ROW()-1,60),ROW()-1,FALSE))</f>
        <v>173.346</v>
      </c>
      <c r="AK7">
        <f ca="1">IF(AND(ISNUMBER($AK$468),$B$419=1),$AK$468,HLOOKUP(INDIRECT(ADDRESS(2,COLUMN())),OFFSET($BN$2,0,0,ROW()-1,60),ROW()-1,FALSE))</f>
        <v>174.273</v>
      </c>
      <c r="AL7">
        <f ca="1">IF(AND(ISNUMBER($AL$468),$B$419=1),$AL$468,HLOOKUP(INDIRECT(ADDRESS(2,COLUMN())),OFFSET($BN$2,0,0,ROW()-1,60),ROW()-1,FALSE))</f>
        <v>182.15700000000001</v>
      </c>
      <c r="AM7">
        <f ca="1">IF(AND(ISNUMBER($AM$468),$B$419=1),$AM$468,HLOOKUP(INDIRECT(ADDRESS(2,COLUMN())),OFFSET($BN$2,0,0,ROW()-1,60),ROW()-1,FALSE))</f>
        <v>181.06700000000001</v>
      </c>
      <c r="AN7">
        <f ca="1">IF(AND(ISNUMBER($AN$468),$B$419=1),$AN$468,HLOOKUP(INDIRECT(ADDRESS(2,COLUMN())),OFFSET($BN$2,0,0,ROW()-1,60),ROW()-1,FALSE))</f>
        <v>180.68</v>
      </c>
      <c r="AO7">
        <f ca="1">IF(AND(ISNUMBER($AO$468),$B$419=1),$AO$468,HLOOKUP(INDIRECT(ADDRESS(2,COLUMN())),OFFSET($BN$2,0,0,ROW()-1,60),ROW()-1,FALSE))</f>
        <v>176.81800000000001</v>
      </c>
      <c r="AP7">
        <f ca="1">IF(AND(ISNUMBER($AP$468),$B$419=1),$AP$468,HLOOKUP(INDIRECT(ADDRESS(2,COLUMN())),OFFSET($BN$2,0,0,ROW()-1,60),ROW()-1,FALSE))</f>
        <v>185.035</v>
      </c>
      <c r="AQ7">
        <f ca="1">IF(AND(ISNUMBER($AQ$468),$B$419=1),$AQ$468,HLOOKUP(INDIRECT(ADDRESS(2,COLUMN())),OFFSET($BN$2,0,0,ROW()-1,60),ROW()-1,FALSE))</f>
        <v>195.39400000000001</v>
      </c>
      <c r="AR7">
        <f ca="1">IF(AND(ISNUMBER($AR$468),$B$419=1),$AR$468,HLOOKUP(INDIRECT(ADDRESS(2,COLUMN())),OFFSET($BN$2,0,0,ROW()-1,60),ROW()-1,FALSE))</f>
        <v>199.93700000000001</v>
      </c>
      <c r="AS7">
        <f ca="1">IF(AND(ISNUMBER($AS$468),$B$419=1),$AS$468,HLOOKUP(INDIRECT(ADDRESS(2,COLUMN())),OFFSET($BN$2,0,0,ROW()-1,60),ROW()-1,FALSE))</f>
        <v>199.05</v>
      </c>
      <c r="AT7">
        <f ca="1">IF(AND(ISNUMBER($AT$468),$B$419=1),$AT$468,HLOOKUP(INDIRECT(ADDRESS(2,COLUMN())),OFFSET($BN$2,0,0,ROW()-1,60),ROW()-1,FALSE))</f>
        <v>211.70500000000001</v>
      </c>
      <c r="AU7">
        <f ca="1">IF(AND(ISNUMBER($AU$468),$B$419=1),$AU$468,HLOOKUP(INDIRECT(ADDRESS(2,COLUMN())),OFFSET($BN$2,0,0,ROW()-1,60),ROW()-1,FALSE))</f>
        <v>213.94499999999999</v>
      </c>
      <c r="AV7">
        <f ca="1">IF(AND(ISNUMBER($AV$468),$B$419=1),$AV$468,HLOOKUP(INDIRECT(ADDRESS(2,COLUMN())),OFFSET($BN$2,0,0,ROW()-1,60),ROW()-1,FALSE))</f>
        <v>210.5</v>
      </c>
      <c r="AW7">
        <f ca="1">IF(AND(ISNUMBER($AW$468),$B$419=1),$AW$468,HLOOKUP(INDIRECT(ADDRESS(2,COLUMN())),OFFSET($BN$2,0,0,ROW()-1,60),ROW()-1,FALSE))</f>
        <v>232.14</v>
      </c>
      <c r="AX7">
        <f ca="1">IF(AND(ISNUMBER($AX$468),$B$419=1),$AX$468,HLOOKUP(INDIRECT(ADDRESS(2,COLUMN())),OFFSET($BN$2,0,0,ROW()-1,60),ROW()-1,FALSE))</f>
        <v>197.55199999999999</v>
      </c>
      <c r="AY7">
        <f ca="1">IF(AND(ISNUMBER($AY$468),$B$419=1),$AY$468,HLOOKUP(INDIRECT(ADDRESS(2,COLUMN())),OFFSET($BN$2,0,0,ROW()-1,60),ROW()-1,FALSE))</f>
        <v>172.72200000000001</v>
      </c>
      <c r="AZ7">
        <f ca="1">IF(AND(ISNUMBER($AZ$468),$B$419=1),$AZ$468,HLOOKUP(INDIRECT(ADDRESS(2,COLUMN())),OFFSET($BN$2,0,0,ROW()-1,60),ROW()-1,FALSE))</f>
        <v>180.06299999999999</v>
      </c>
      <c r="BA7">
        <f ca="1">IF(AND(ISNUMBER($BA$468),$B$419=1),$BA$468,HLOOKUP(INDIRECT(ADDRESS(2,COLUMN())),OFFSET($BN$2,0,0,ROW()-1,60),ROW()-1,FALSE))</f>
        <v>176.71700000000001</v>
      </c>
      <c r="BB7">
        <f ca="1">IF(AND(ISNUMBER($BB$468),$B$419=1),$BB$468,HLOOKUP(INDIRECT(ADDRESS(2,COLUMN())),OFFSET($BN$2,0,0,ROW()-1,60),ROW()-1,FALSE))</f>
        <v>181.11500000000001</v>
      </c>
      <c r="BC7">
        <f ca="1">IF(AND(ISNUMBER($BC$468),$B$419=1),$BC$468,HLOOKUP(INDIRECT(ADDRESS(2,COLUMN())),OFFSET($BN$2,0,0,ROW()-1,60),ROW()-1,FALSE))</f>
        <v>178.292</v>
      </c>
      <c r="BD7">
        <f ca="1">IF(AND(ISNUMBER($BD$468),$B$419=1),$BD$468,HLOOKUP(INDIRECT(ADDRESS(2,COLUMN())),OFFSET($BN$2,0,0,ROW()-1,60),ROW()-1,FALSE))</f>
        <v>166.14599999999999</v>
      </c>
      <c r="BE7">
        <f ca="1">IF(AND(ISNUMBER($BE$468),$B$419=1),$BE$468,HLOOKUP(INDIRECT(ADDRESS(2,COLUMN())),OFFSET($BN$2,0,0,ROW()-1,60),ROW()-1,FALSE))</f>
        <v>166.375</v>
      </c>
      <c r="BF7">
        <f ca="1">IF(AND(ISNUMBER($BF$468),$B$419=1),$BF$468,HLOOKUP(INDIRECT(ADDRESS(2,COLUMN())),OFFSET($BN$2,0,0,ROW()-1,60),ROW()-1,FALSE))</f>
        <v>162.166</v>
      </c>
      <c r="BG7">
        <f ca="1">IF(AND(ISNUMBER($BG$468),$B$419=1),$BG$468,HLOOKUP(INDIRECT(ADDRESS(2,COLUMN())),OFFSET($BN$2,0,0,ROW()-1,60),ROW()-1,FALSE))</f>
        <v>149.79599999999999</v>
      </c>
      <c r="BH7">
        <f ca="1">IF(AND(ISNUMBER($BH$468),$B$419=1),$BH$468,HLOOKUP(INDIRECT(ADDRESS(2,COLUMN())),OFFSET($BN$2,0,0,ROW()-1,60),ROW()-1,FALSE))</f>
        <v>148.143</v>
      </c>
      <c r="BI7">
        <f ca="1">IF(AND(ISNUMBER($BI$468),$B$419=1),$BI$468,HLOOKUP(INDIRECT(ADDRESS(2,COLUMN())),OFFSET($BN$2,0,0,ROW()-1,60),ROW()-1,FALSE))</f>
        <v>137.40700000000001</v>
      </c>
      <c r="BJ7">
        <f ca="1">IF(AND(ISNUMBER($BJ$468),$B$419=1),$BJ$468,HLOOKUP(INDIRECT(ADDRESS(2,COLUMN())),OFFSET($BN$2,0,0,ROW()-1,60),ROW()-1,FALSE))</f>
        <v>117.384</v>
      </c>
      <c r="BK7">
        <f ca="1">IF(AND(ISNUMBER($BK$468),$B$419=1),$BK$468,HLOOKUP(INDIRECT(ADDRESS(2,COLUMN())),OFFSET($BN$2,0,0,ROW()-1,60),ROW()-1,FALSE))</f>
        <v>115.875</v>
      </c>
      <c r="BL7">
        <f ca="1">IF(AND(ISNUMBER($BL$468),$B$419=1),$BL$468,HLOOKUP(INDIRECT(ADDRESS(2,COLUMN())),OFFSET($BN$2,0,0,ROW()-1,60),ROW()-1,FALSE))</f>
        <v>114.92400000000001</v>
      </c>
      <c r="BM7">
        <f ca="1">IF(AND(ISNUMBER($BM$468),$B$419=1),$BM$468,HLOOKUP(INDIRECT(ADDRESS(2,COLUMN())),OFFSET($BN$2,0,0,ROW()-1,60),ROW()-1,FALSE))</f>
        <v>115.863</v>
      </c>
      <c r="BN7" t="str">
        <f>""</f>
        <v/>
      </c>
      <c r="BO7">
        <f>197.161</f>
        <v>197.161</v>
      </c>
      <c r="BP7">
        <f>206.309</f>
        <v>206.309</v>
      </c>
      <c r="BQ7">
        <f>222.079</f>
        <v>222.07900000000001</v>
      </c>
      <c r="BR7">
        <f>226.404</f>
        <v>226.404</v>
      </c>
      <c r="BS7">
        <f>226.461</f>
        <v>226.46100000000001</v>
      </c>
      <c r="BT7">
        <f>238.78</f>
        <v>238.78</v>
      </c>
      <c r="BU7">
        <f>241.094</f>
        <v>241.09399999999999</v>
      </c>
      <c r="BV7">
        <f>240.902</f>
        <v>240.90199999999999</v>
      </c>
      <c r="BW7">
        <f>240.532</f>
        <v>240.53200000000001</v>
      </c>
      <c r="BX7">
        <f>243.273</f>
        <v>243.273</v>
      </c>
      <c r="BY7">
        <f>242.756</f>
        <v>242.756</v>
      </c>
      <c r="BZ7">
        <f>246.162</f>
        <v>246.16200000000001</v>
      </c>
      <c r="CA7">
        <f>242.58</f>
        <v>242.58</v>
      </c>
      <c r="CB7">
        <f>230.516</f>
        <v>230.51599999999999</v>
      </c>
      <c r="CC7">
        <f>226.05</f>
        <v>226.05</v>
      </c>
      <c r="CD7">
        <f>225.628</f>
        <v>225.62799999999999</v>
      </c>
      <c r="CE7">
        <f>224.854</f>
        <v>224.85400000000001</v>
      </c>
      <c r="CF7">
        <f>187.206</f>
        <v>187.20599999999999</v>
      </c>
      <c r="CG7">
        <f>185.2</f>
        <v>185.2</v>
      </c>
      <c r="CH7">
        <f>183.347</f>
        <v>183.34700000000001</v>
      </c>
      <c r="CI7">
        <f>183.91</f>
        <v>183.91</v>
      </c>
      <c r="CJ7">
        <f>176.181</f>
        <v>176.18100000000001</v>
      </c>
      <c r="CK7">
        <f>172.7</f>
        <v>172.7</v>
      </c>
      <c r="CL7">
        <f>172.189</f>
        <v>172.18899999999999</v>
      </c>
      <c r="CM7">
        <f>167.095</f>
        <v>167.095</v>
      </c>
      <c r="CN7">
        <f>166.099</f>
        <v>166.09899999999999</v>
      </c>
      <c r="CO7">
        <f>167.194</f>
        <v>167.19399999999999</v>
      </c>
      <c r="CP7">
        <f>172.502</f>
        <v>172.50200000000001</v>
      </c>
      <c r="CQ7">
        <f>169.655</f>
        <v>169.655</v>
      </c>
      <c r="CR7">
        <f>173.346</f>
        <v>173.346</v>
      </c>
      <c r="CS7">
        <f>174.273</f>
        <v>174.273</v>
      </c>
      <c r="CT7">
        <f>182.157</f>
        <v>182.15700000000001</v>
      </c>
      <c r="CU7">
        <f>181.067</f>
        <v>181.06700000000001</v>
      </c>
      <c r="CV7">
        <f>180.68</f>
        <v>180.68</v>
      </c>
      <c r="CW7">
        <f>176.818</f>
        <v>176.81800000000001</v>
      </c>
      <c r="CX7">
        <f>185.035</f>
        <v>185.035</v>
      </c>
      <c r="CY7">
        <f>195.394</f>
        <v>195.39400000000001</v>
      </c>
      <c r="CZ7">
        <f>199.937</f>
        <v>199.93700000000001</v>
      </c>
      <c r="DA7">
        <f>199.05</f>
        <v>199.05</v>
      </c>
      <c r="DB7">
        <f>211.705</f>
        <v>211.70500000000001</v>
      </c>
      <c r="DC7">
        <f>213.945</f>
        <v>213.94499999999999</v>
      </c>
      <c r="DD7">
        <f>210.5</f>
        <v>210.5</v>
      </c>
      <c r="DE7">
        <f>232.14</f>
        <v>232.14</v>
      </c>
      <c r="DF7">
        <f>197.552</f>
        <v>197.55199999999999</v>
      </c>
      <c r="DG7">
        <f>172.722</f>
        <v>172.72200000000001</v>
      </c>
      <c r="DH7">
        <f>180.063</f>
        <v>180.06299999999999</v>
      </c>
      <c r="DI7">
        <f>176.717</f>
        <v>176.71700000000001</v>
      </c>
      <c r="DJ7">
        <f>181.115</f>
        <v>181.11500000000001</v>
      </c>
      <c r="DK7">
        <f>178.292</f>
        <v>178.292</v>
      </c>
      <c r="DL7">
        <f>166.146</f>
        <v>166.14599999999999</v>
      </c>
      <c r="DM7">
        <f>166.375</f>
        <v>166.375</v>
      </c>
      <c r="DN7">
        <f>162.166</f>
        <v>162.166</v>
      </c>
      <c r="DO7">
        <f>149.796</f>
        <v>149.79599999999999</v>
      </c>
      <c r="DP7">
        <f>148.143</f>
        <v>148.143</v>
      </c>
      <c r="DQ7">
        <f>137.407</f>
        <v>137.40700000000001</v>
      </c>
      <c r="DR7">
        <f>117.384</f>
        <v>117.384</v>
      </c>
      <c r="DS7">
        <f>115.875</f>
        <v>115.875</v>
      </c>
      <c r="DT7">
        <f>114.924</f>
        <v>114.92400000000001</v>
      </c>
      <c r="DU7">
        <f>115.863</f>
        <v>115.863</v>
      </c>
    </row>
    <row r="8" spans="1:125">
      <c r="A8" t="str">
        <f>"    Federal Realty Investment Trus"</f>
        <v xml:space="preserve">    Federal Realty Investment Trus</v>
      </c>
      <c r="B8" t="str">
        <f>"FRT US Equity"</f>
        <v>FRT US Equity</v>
      </c>
      <c r="C8" t="str">
        <f t="shared" si="0"/>
        <v>IS030</v>
      </c>
      <c r="D8" t="str">
        <f t="shared" si="1"/>
        <v>IS_RENT_INC</v>
      </c>
      <c r="E8" t="str">
        <f t="shared" si="2"/>
        <v>动态</v>
      </c>
      <c r="F8" t="str">
        <f ca="1">IF(AND(ISNUMBER($F$469),$B$419=1),$F$469,HLOOKUP(INDIRECT(ADDRESS(2,COLUMN())),OFFSET($BN$2,0,0,ROW()-1,60),ROW()-1,FALSE))</f>
        <v/>
      </c>
      <c r="G8">
        <f ca="1">IF(AND(ISNUMBER($G$469),$B$419=1),$G$469,HLOOKUP(INDIRECT(ADDRESS(2,COLUMN())),OFFSET($BN$2,0,0,ROW()-1,60),ROW()-1,FALSE))</f>
        <v>220.72</v>
      </c>
      <c r="H8">
        <f ca="1">IF(AND(ISNUMBER($H$469),$B$419=1),$H$469,HLOOKUP(INDIRECT(ADDRESS(2,COLUMN())),OFFSET($BN$2,0,0,ROW()-1,60),ROW()-1,FALSE))</f>
        <v>212.048</v>
      </c>
      <c r="I8">
        <f ca="1">IF(AND(ISNUMBER($I$469),$B$419=1),$I$469,HLOOKUP(INDIRECT(ADDRESS(2,COLUMN())),OFFSET($BN$2,0,0,ROW()-1,60),ROW()-1,FALSE))</f>
        <v>204.24600000000001</v>
      </c>
      <c r="J8">
        <f ca="1">IF(AND(ISNUMBER($J$469),$B$419=1),$J$469,HLOOKUP(INDIRECT(ADDRESS(2,COLUMN())),OFFSET($BN$2,0,0,ROW()-1,60),ROW()-1,FALSE))</f>
        <v>204.447</v>
      </c>
      <c r="K8">
        <f ca="1">IF(AND(ISNUMBER($K$469),$B$419=1),$K$469,HLOOKUP(INDIRECT(ADDRESS(2,COLUMN())),OFFSET($BN$2,0,0,ROW()-1,60),ROW()-1,FALSE))</f>
        <v>200.87100000000001</v>
      </c>
      <c r="L8">
        <f ca="1">IF(AND(ISNUMBER($L$469),$B$419=1),$L$469,HLOOKUP(INDIRECT(ADDRESS(2,COLUMN())),OFFSET($BN$2,0,0,ROW()-1,60),ROW()-1,FALSE))</f>
        <v>197.46899999999999</v>
      </c>
      <c r="M8">
        <f ca="1">IF(AND(ISNUMBER($M$469),$B$419=1),$M$469,HLOOKUP(INDIRECT(ADDRESS(2,COLUMN())),OFFSET($BN$2,0,0,ROW()-1,60),ROW()-1,FALSE))</f>
        <v>192.935</v>
      </c>
      <c r="N8">
        <f ca="1">IF(AND(ISNUMBER($N$469),$B$419=1),$N$469,HLOOKUP(INDIRECT(ADDRESS(2,COLUMN())),OFFSET($BN$2,0,0,ROW()-1,60),ROW()-1,FALSE))</f>
        <v>195.30799999999999</v>
      </c>
      <c r="O8">
        <f ca="1">IF(AND(ISNUMBER($O$469),$B$419=1),$O$469,HLOOKUP(INDIRECT(ADDRESS(2,COLUMN())),OFFSET($BN$2,0,0,ROW()-1,60),ROW()-1,FALSE))</f>
        <v>189.2</v>
      </c>
      <c r="P8">
        <f ca="1">IF(AND(ISNUMBER($P$469),$B$419=1),$P$469,HLOOKUP(INDIRECT(ADDRESS(2,COLUMN())),OFFSET($BN$2,0,0,ROW()-1,60),ROW()-1,FALSE))</f>
        <v>181.56200000000001</v>
      </c>
      <c r="Q8">
        <f ca="1">IF(AND(ISNUMBER($Q$469),$B$419=1),$Q$469,HLOOKUP(INDIRECT(ADDRESS(2,COLUMN())),OFFSET($BN$2,0,0,ROW()-1,60),ROW()-1,FALSE))</f>
        <v>175.88399999999999</v>
      </c>
      <c r="R8">
        <f ca="1">IF(AND(ISNUMBER($R$469),$B$419=1),$R$469,HLOOKUP(INDIRECT(ADDRESS(2,COLUMN())),OFFSET($BN$2,0,0,ROW()-1,60),ROW()-1,FALSE))</f>
        <v>181.166</v>
      </c>
      <c r="S8">
        <f ca="1">IF(AND(ISNUMBER($S$469),$B$419=1),$S$469,HLOOKUP(INDIRECT(ADDRESS(2,COLUMN())),OFFSET($BN$2,0,0,ROW()-1,60),ROW()-1,FALSE))</f>
        <v>171.63399999999999</v>
      </c>
      <c r="T8">
        <f ca="1">IF(AND(ISNUMBER($T$469),$B$419=1),$T$469,HLOOKUP(INDIRECT(ADDRESS(2,COLUMN())),OFFSET($BN$2,0,0,ROW()-1,60),ROW()-1,FALSE))</f>
        <v>166.11199999999999</v>
      </c>
      <c r="U8">
        <f ca="1">IF(AND(ISNUMBER($U$469),$B$419=1),$U$469,HLOOKUP(INDIRECT(ADDRESS(2,COLUMN())),OFFSET($BN$2,0,0,ROW()-1,60),ROW()-1,FALSE))</f>
        <v>162.38300000000001</v>
      </c>
      <c r="V8">
        <f ca="1">IF(AND(ISNUMBER($V$469),$B$419=1),$V$469,HLOOKUP(INDIRECT(ADDRESS(2,COLUMN())),OFFSET($BN$2,0,0,ROW()-1,60),ROW()-1,FALSE))</f>
        <v>166.19300000000001</v>
      </c>
      <c r="W8">
        <f ca="1">IF(AND(ISNUMBER($W$469),$B$419=1),$W$469,HLOOKUP(INDIRECT(ADDRESS(2,COLUMN())),OFFSET($BN$2,0,0,ROW()-1,60),ROW()-1,FALSE))</f>
        <v>159.953</v>
      </c>
      <c r="X8">
        <f ca="1">IF(AND(ISNUMBER($X$469),$B$419=1),$X$469,HLOOKUP(INDIRECT(ADDRESS(2,COLUMN())),OFFSET($BN$2,0,0,ROW()-1,60),ROW()-1,FALSE))</f>
        <v>154.30799999999999</v>
      </c>
      <c r="Y8">
        <f ca="1">IF(AND(ISNUMBER($Y$469),$B$419=1),$Y$469,HLOOKUP(INDIRECT(ADDRESS(2,COLUMN())),OFFSET($BN$2,0,0,ROW()-1,60),ROW()-1,FALSE))</f>
        <v>153.21199999999999</v>
      </c>
      <c r="Z8">
        <f ca="1">IF(AND(ISNUMBER($Z$469),$B$419=1),$Z$469,HLOOKUP(INDIRECT(ADDRESS(2,COLUMN())),OFFSET($BN$2,0,0,ROW()-1,60),ROW()-1,FALSE))</f>
        <v>152.61600000000001</v>
      </c>
      <c r="AA8">
        <f ca="1">IF(AND(ISNUMBER($AA$469),$B$419=1),$AA$469,HLOOKUP(INDIRECT(ADDRESS(2,COLUMN())),OFFSET($BN$2,0,0,ROW()-1,60),ROW()-1,FALSE))</f>
        <v>151.78399999999999</v>
      </c>
      <c r="AB8">
        <f ca="1">IF(AND(ISNUMBER($AB$469),$B$419=1),$AB$469,HLOOKUP(INDIRECT(ADDRESS(2,COLUMN())),OFFSET($BN$2,0,0,ROW()-1,60),ROW()-1,FALSE))</f>
        <v>147.51499999999999</v>
      </c>
      <c r="AC8">
        <f ca="1">IF(AND(ISNUMBER($AC$469),$B$419=1),$AC$469,HLOOKUP(INDIRECT(ADDRESS(2,COLUMN())),OFFSET($BN$2,0,0,ROW()-1,60),ROW()-1,FALSE))</f>
        <v>141.79599999999999</v>
      </c>
      <c r="AD8">
        <f ca="1">IF(AND(ISNUMBER($AD$469),$B$419=1),$AD$469,HLOOKUP(INDIRECT(ADDRESS(2,COLUMN())),OFFSET($BN$2,0,0,ROW()-1,60),ROW()-1,FALSE))</f>
        <v>140.661</v>
      </c>
      <c r="AE8">
        <f ca="1">IF(AND(ISNUMBER($AE$469),$B$419=1),$AE$469,HLOOKUP(INDIRECT(ADDRESS(2,COLUMN())),OFFSET($BN$2,0,0,ROW()-1,60),ROW()-1,FALSE))</f>
        <v>137.249</v>
      </c>
      <c r="AF8">
        <f ca="1">IF(AND(ISNUMBER($AF$469),$B$419=1),$AF$469,HLOOKUP(INDIRECT(ADDRESS(2,COLUMN())),OFFSET($BN$2,0,0,ROW()-1,60),ROW()-1,FALSE))</f>
        <v>134.01400000000001</v>
      </c>
      <c r="AG8">
        <f ca="1">IF(AND(ISNUMBER($AG$469),$B$419=1),$AG$469,HLOOKUP(INDIRECT(ADDRESS(2,COLUMN())),OFFSET($BN$2,0,0,ROW()-1,60),ROW()-1,FALSE))</f>
        <v>133</v>
      </c>
      <c r="AH8">
        <f ca="1">IF(AND(ISNUMBER($AH$469),$B$419=1),$AH$469,HLOOKUP(INDIRECT(ADDRESS(2,COLUMN())),OFFSET($BN$2,0,0,ROW()-1,60),ROW()-1,FALSE))</f>
        <v>134.43799999999999</v>
      </c>
      <c r="AI8">
        <f ca="1">IF(AND(ISNUMBER($AI$469),$B$419=1),$AI$469,HLOOKUP(INDIRECT(ADDRESS(2,COLUMN())),OFFSET($BN$2,0,0,ROW()-1,60),ROW()-1,FALSE))</f>
        <v>132.66300000000001</v>
      </c>
      <c r="AJ8">
        <f ca="1">IF(AND(ISNUMBER($AJ$469),$B$419=1),$AJ$469,HLOOKUP(INDIRECT(ADDRESS(2,COLUMN())),OFFSET($BN$2,0,0,ROW()-1,60),ROW()-1,FALSE))</f>
        <v>129.52699999999999</v>
      </c>
      <c r="AK8">
        <f ca="1">IF(AND(ISNUMBER($AK$469),$B$419=1),$AK$469,HLOOKUP(INDIRECT(ADDRESS(2,COLUMN())),OFFSET($BN$2,0,0,ROW()-1,60),ROW()-1,FALSE))</f>
        <v>129.636</v>
      </c>
      <c r="AL8">
        <f ca="1">IF(AND(ISNUMBER($AL$469),$B$419=1),$AL$469,HLOOKUP(INDIRECT(ADDRESS(2,COLUMN())),OFFSET($BN$2,0,0,ROW()-1,60),ROW()-1,FALSE))</f>
        <v>131.34800000000001</v>
      </c>
      <c r="AM8">
        <f ca="1">IF(AND(ISNUMBER($AM$469),$B$419=1),$AM$469,HLOOKUP(INDIRECT(ADDRESS(2,COLUMN())),OFFSET($BN$2,0,0,ROW()-1,60),ROW()-1,FALSE))</f>
        <v>133.57300000000001</v>
      </c>
      <c r="AN8">
        <f ca="1">IF(AND(ISNUMBER($AN$469),$B$419=1),$AN$469,HLOOKUP(INDIRECT(ADDRESS(2,COLUMN())),OFFSET($BN$2,0,0,ROW()-1,60),ROW()-1,FALSE))</f>
        <v>126.169</v>
      </c>
      <c r="AO8">
        <f ca="1">IF(AND(ISNUMBER($AO$469),$B$419=1),$AO$469,HLOOKUP(INDIRECT(ADDRESS(2,COLUMN())),OFFSET($BN$2,0,0,ROW()-1,60),ROW()-1,FALSE))</f>
        <v>126.09</v>
      </c>
      <c r="AP8">
        <f ca="1">IF(AND(ISNUMBER($AP$469),$B$419=1),$AP$469,HLOOKUP(INDIRECT(ADDRESS(2,COLUMN())),OFFSET($BN$2,0,0,ROW()-1,60),ROW()-1,FALSE))</f>
        <v>127.206</v>
      </c>
      <c r="AQ8">
        <f ca="1">IF(AND(ISNUMBER($AQ$469),$B$419=1),$AQ$469,HLOOKUP(INDIRECT(ADDRESS(2,COLUMN())),OFFSET($BN$2,0,0,ROW()-1,60),ROW()-1,FALSE))</f>
        <v>130.32300000000001</v>
      </c>
      <c r="AR8">
        <f ca="1">IF(AND(ISNUMBER($AR$469),$B$419=1),$AR$469,HLOOKUP(INDIRECT(ADDRESS(2,COLUMN())),OFFSET($BN$2,0,0,ROW()-1,60),ROW()-1,FALSE))</f>
        <v>126.59399999999999</v>
      </c>
      <c r="AS8">
        <f ca="1">IF(AND(ISNUMBER($AS$469),$B$419=1),$AS$469,HLOOKUP(INDIRECT(ADDRESS(2,COLUMN())),OFFSET($BN$2,0,0,ROW()-1,60),ROW()-1,FALSE))</f>
        <v>122.97</v>
      </c>
      <c r="AT8">
        <f ca="1">IF(AND(ISNUMBER($AT$469),$B$419=1),$AT$469,HLOOKUP(INDIRECT(ADDRESS(2,COLUMN())),OFFSET($BN$2,0,0,ROW()-1,60),ROW()-1,FALSE))</f>
        <v>121.867</v>
      </c>
      <c r="AU8">
        <f ca="1">IF(AND(ISNUMBER($AU$469),$B$419=1),$AU$469,HLOOKUP(INDIRECT(ADDRESS(2,COLUMN())),OFFSET($BN$2,0,0,ROW()-1,60),ROW()-1,FALSE))</f>
        <v>122.128</v>
      </c>
      <c r="AV8">
        <f ca="1">IF(AND(ISNUMBER($AV$469),$B$419=1),$AV$469,HLOOKUP(INDIRECT(ADDRESS(2,COLUMN())),OFFSET($BN$2,0,0,ROW()-1,60),ROW()-1,FALSE))</f>
        <v>117.801</v>
      </c>
      <c r="AW8">
        <f ca="1">IF(AND(ISNUMBER($AW$469),$B$419=1),$AW$469,HLOOKUP(INDIRECT(ADDRESS(2,COLUMN())),OFFSET($BN$2,0,0,ROW()-1,60),ROW()-1,FALSE))</f>
        <v>115.28100000000001</v>
      </c>
      <c r="AX8">
        <f ca="1">IF(AND(ISNUMBER($AX$469),$B$419=1),$AX$469,HLOOKUP(INDIRECT(ADDRESS(2,COLUMN())),OFFSET($BN$2,0,0,ROW()-1,60),ROW()-1,FALSE))</f>
        <v>111.76300000000001</v>
      </c>
      <c r="AY8">
        <f ca="1">IF(AND(ISNUMBER($AY$469),$B$419=1),$AY$469,HLOOKUP(INDIRECT(ADDRESS(2,COLUMN())),OFFSET($BN$2,0,0,ROW()-1,60),ROW()-1,FALSE))</f>
        <v>95.314999999999998</v>
      </c>
      <c r="AZ8">
        <f ca="1">IF(AND(ISNUMBER($AZ$469),$B$419=1),$AZ$469,HLOOKUP(INDIRECT(ADDRESS(2,COLUMN())),OFFSET($BN$2,0,0,ROW()-1,60),ROW()-1,FALSE))</f>
        <v>109.371</v>
      </c>
      <c r="BA8">
        <f ca="1">IF(AND(ISNUMBER($BA$469),$B$419=1),$BA$469,HLOOKUP(INDIRECT(ADDRESS(2,COLUMN())),OFFSET($BN$2,0,0,ROW()-1,60),ROW()-1,FALSE))</f>
        <v>105.32899999999999</v>
      </c>
      <c r="BB8">
        <f ca="1">IF(AND(ISNUMBER($BB$469),$B$419=1),$BB$469,HLOOKUP(INDIRECT(ADDRESS(2,COLUMN())),OFFSET($BN$2,0,0,ROW()-1,60),ROW()-1,FALSE))</f>
        <v>104.964</v>
      </c>
      <c r="BC8">
        <f ca="1">IF(AND(ISNUMBER($BC$469),$B$419=1),$BC$469,HLOOKUP(INDIRECT(ADDRESS(2,COLUMN())),OFFSET($BN$2,0,0,ROW()-1,60),ROW()-1,FALSE))</f>
        <v>100.27</v>
      </c>
      <c r="BD8">
        <f ca="1">IF(AND(ISNUMBER($BD$469),$B$419=1),$BD$469,HLOOKUP(INDIRECT(ADDRESS(2,COLUMN())),OFFSET($BN$2,0,0,ROW()-1,60),ROW()-1,FALSE))</f>
        <v>99.209000000000003</v>
      </c>
      <c r="BE8">
        <f ca="1">IF(AND(ISNUMBER($BE$469),$B$419=1),$BE$469,HLOOKUP(INDIRECT(ADDRESS(2,COLUMN())),OFFSET($BN$2,0,0,ROW()-1,60),ROW()-1,FALSE))</f>
        <v>95.762</v>
      </c>
      <c r="BF8">
        <f ca="1">IF(AND(ISNUMBER($BF$469),$B$419=1),$BF$469,HLOOKUP(INDIRECT(ADDRESS(2,COLUMN())),OFFSET($BN$2,0,0,ROW()-1,60),ROW()-1,FALSE))</f>
        <v>98.307000000000002</v>
      </c>
      <c r="BG8">
        <f ca="1">IF(AND(ISNUMBER($BG$469),$B$419=1),$BG$469,HLOOKUP(INDIRECT(ADDRESS(2,COLUMN())),OFFSET($BN$2,0,0,ROW()-1,60),ROW()-1,FALSE))</f>
        <v>94.547996519999998</v>
      </c>
      <c r="BH8">
        <f ca="1">IF(AND(ISNUMBER($BH$469),$B$419=1),$BH$469,HLOOKUP(INDIRECT(ADDRESS(2,COLUMN())),OFFSET($BN$2,0,0,ROW()-1,60),ROW()-1,FALSE))</f>
        <v>97.603999999999999</v>
      </c>
      <c r="BI8">
        <f ca="1">IF(AND(ISNUMBER($BI$469),$B$419=1),$BI$469,HLOOKUP(INDIRECT(ADDRESS(2,COLUMN())),OFFSET($BN$2,0,0,ROW()-1,60),ROW()-1,FALSE))</f>
        <v>92.144996640000002</v>
      </c>
      <c r="BJ8">
        <f ca="1">IF(AND(ISNUMBER($BJ$469),$B$419=1),$BJ$469,HLOOKUP(INDIRECT(ADDRESS(2,COLUMN())),OFFSET($BN$2,0,0,ROW()-1,60),ROW()-1,FALSE))</f>
        <v>89.643000000000001</v>
      </c>
      <c r="BK8">
        <f ca="1">IF(AND(ISNUMBER($BK$469),$B$419=1),$BK$469,HLOOKUP(INDIRECT(ADDRESS(2,COLUMN())),OFFSET($BN$2,0,0,ROW()-1,60),ROW()-1,FALSE))</f>
        <v>92.75</v>
      </c>
      <c r="BL8">
        <f ca="1">IF(AND(ISNUMBER($BL$469),$B$419=1),$BL$469,HLOOKUP(INDIRECT(ADDRESS(2,COLUMN())),OFFSET($BN$2,0,0,ROW()-1,60),ROW()-1,FALSE))</f>
        <v>81.387</v>
      </c>
      <c r="BM8">
        <f ca="1">IF(AND(ISNUMBER($BM$469),$B$419=1),$BM$469,HLOOKUP(INDIRECT(ADDRESS(2,COLUMN())),OFFSET($BN$2,0,0,ROW()-1,60),ROW()-1,FALSE))</f>
        <v>80.563999999999993</v>
      </c>
      <c r="BN8" t="str">
        <f>""</f>
        <v/>
      </c>
      <c r="BO8">
        <f>220.72</f>
        <v>220.72</v>
      </c>
      <c r="BP8">
        <f>212.048</f>
        <v>212.048</v>
      </c>
      <c r="BQ8">
        <f>204.246</f>
        <v>204.24600000000001</v>
      </c>
      <c r="BR8">
        <f>204.447</f>
        <v>204.447</v>
      </c>
      <c r="BS8">
        <f>200.871</f>
        <v>200.87100000000001</v>
      </c>
      <c r="BT8">
        <f>197.469</f>
        <v>197.46899999999999</v>
      </c>
      <c r="BU8">
        <f>192.935</f>
        <v>192.935</v>
      </c>
      <c r="BV8">
        <f>195.308</f>
        <v>195.30799999999999</v>
      </c>
      <c r="BW8">
        <f>189.2</f>
        <v>189.2</v>
      </c>
      <c r="BX8">
        <f>181.562</f>
        <v>181.56200000000001</v>
      </c>
      <c r="BY8">
        <f>175.884</f>
        <v>175.88399999999999</v>
      </c>
      <c r="BZ8">
        <f>181.166</f>
        <v>181.166</v>
      </c>
      <c r="CA8">
        <f>171.634</f>
        <v>171.63399999999999</v>
      </c>
      <c r="CB8">
        <f>166.112</f>
        <v>166.11199999999999</v>
      </c>
      <c r="CC8">
        <f>162.383</f>
        <v>162.38300000000001</v>
      </c>
      <c r="CD8">
        <f>166.193</f>
        <v>166.19300000000001</v>
      </c>
      <c r="CE8">
        <f>159.953</f>
        <v>159.953</v>
      </c>
      <c r="CF8">
        <f>154.308</f>
        <v>154.30799999999999</v>
      </c>
      <c r="CG8">
        <f>153.212</f>
        <v>153.21199999999999</v>
      </c>
      <c r="CH8">
        <f>152.616</f>
        <v>152.61600000000001</v>
      </c>
      <c r="CI8">
        <f>151.784</f>
        <v>151.78399999999999</v>
      </c>
      <c r="CJ8">
        <f>147.515</f>
        <v>147.51499999999999</v>
      </c>
      <c r="CK8">
        <f>141.796</f>
        <v>141.79599999999999</v>
      </c>
      <c r="CL8">
        <f>140.661</f>
        <v>140.661</v>
      </c>
      <c r="CM8">
        <f>137.249</f>
        <v>137.249</v>
      </c>
      <c r="CN8">
        <f>134.014</f>
        <v>134.01400000000001</v>
      </c>
      <c r="CO8">
        <f>133</f>
        <v>133</v>
      </c>
      <c r="CP8">
        <f>134.438</f>
        <v>134.43799999999999</v>
      </c>
      <c r="CQ8">
        <f>132.663</f>
        <v>132.66300000000001</v>
      </c>
      <c r="CR8">
        <f>129.527</f>
        <v>129.52699999999999</v>
      </c>
      <c r="CS8">
        <f>129.636</f>
        <v>129.636</v>
      </c>
      <c r="CT8">
        <f>131.348</f>
        <v>131.34800000000001</v>
      </c>
      <c r="CU8">
        <f>133.573</f>
        <v>133.57300000000001</v>
      </c>
      <c r="CV8">
        <f>126.169</f>
        <v>126.169</v>
      </c>
      <c r="CW8">
        <f>126.09</f>
        <v>126.09</v>
      </c>
      <c r="CX8">
        <f>127.206</f>
        <v>127.206</v>
      </c>
      <c r="CY8">
        <f>130.323</f>
        <v>130.32300000000001</v>
      </c>
      <c r="CZ8">
        <f>126.594</f>
        <v>126.59399999999999</v>
      </c>
      <c r="DA8">
        <f>122.97</f>
        <v>122.97</v>
      </c>
      <c r="DB8">
        <f>121.867</f>
        <v>121.867</v>
      </c>
      <c r="DC8">
        <f>122.128</f>
        <v>122.128</v>
      </c>
      <c r="DD8">
        <f>117.801</f>
        <v>117.801</v>
      </c>
      <c r="DE8">
        <f>115.281</f>
        <v>115.28100000000001</v>
      </c>
      <c r="DF8">
        <f>111.763</f>
        <v>111.76300000000001</v>
      </c>
      <c r="DG8">
        <f>95.315</f>
        <v>95.314999999999998</v>
      </c>
      <c r="DH8">
        <f>109.371</f>
        <v>109.371</v>
      </c>
      <c r="DI8">
        <f>105.329</f>
        <v>105.32899999999999</v>
      </c>
      <c r="DJ8">
        <f>104.964</f>
        <v>104.964</v>
      </c>
      <c r="DK8">
        <f>100.27</f>
        <v>100.27</v>
      </c>
      <c r="DL8">
        <f>99.209</f>
        <v>99.209000000000003</v>
      </c>
      <c r="DM8">
        <f>95.762</f>
        <v>95.762</v>
      </c>
      <c r="DN8">
        <f>98.307</f>
        <v>98.307000000000002</v>
      </c>
      <c r="DO8">
        <f>94.54799652</f>
        <v>94.547996519999998</v>
      </c>
      <c r="DP8">
        <f>97.604</f>
        <v>97.603999999999999</v>
      </c>
      <c r="DQ8">
        <f>92.14499664</f>
        <v>92.144996640000002</v>
      </c>
      <c r="DR8">
        <f>89.643</f>
        <v>89.643000000000001</v>
      </c>
      <c r="DS8">
        <f>92.75</f>
        <v>92.75</v>
      </c>
      <c r="DT8">
        <f>81.387</f>
        <v>81.387</v>
      </c>
      <c r="DU8">
        <f>80.564</f>
        <v>80.563999999999993</v>
      </c>
    </row>
    <row r="9" spans="1:125">
      <c r="A9" t="str">
        <f>"    Kimco Realty Corp"</f>
        <v xml:space="preserve">    Kimco Realty Corp</v>
      </c>
      <c r="B9" t="str">
        <f>"KIM US Equity"</f>
        <v>KIM US Equity</v>
      </c>
      <c r="C9" t="str">
        <f t="shared" si="0"/>
        <v>IS030</v>
      </c>
      <c r="D9" t="str">
        <f t="shared" si="1"/>
        <v>IS_RENT_INC</v>
      </c>
      <c r="E9" t="str">
        <f t="shared" si="2"/>
        <v>动态</v>
      </c>
      <c r="F9" t="str">
        <f ca="1">IF(AND(ISNUMBER($F$470),$B$419=1),$F$470,HLOOKUP(INDIRECT(ADDRESS(2,COLUMN())),OFFSET($BN$2,0,0,ROW()-1,60),ROW()-1,FALSE))</f>
        <v/>
      </c>
      <c r="G9">
        <f ca="1">IF(AND(ISNUMBER($G$470),$B$419=1),$G$470,HLOOKUP(INDIRECT(ADDRESS(2,COLUMN())),OFFSET($BN$2,0,0,ROW()-1,60),ROW()-1,FALSE))</f>
        <v>310.63200000000001</v>
      </c>
      <c r="H9">
        <f ca="1">IF(AND(ISNUMBER($H$470),$B$419=1),$H$470,HLOOKUP(INDIRECT(ADDRESS(2,COLUMN())),OFFSET($BN$2,0,0,ROW()-1,60),ROW()-1,FALSE))</f>
        <v>290.91899999999998</v>
      </c>
      <c r="I9">
        <f ca="1">IF(AND(ISNUMBER($I$470),$B$419=1),$I$470,HLOOKUP(INDIRECT(ADDRESS(2,COLUMN())),OFFSET($BN$2,0,0,ROW()-1,60),ROW()-1,FALSE))</f>
        <v>292.84300000000002</v>
      </c>
      <c r="J9">
        <f ca="1">IF(AND(ISNUMBER($J$470),$B$419=1),$J$470,HLOOKUP(INDIRECT(ADDRESS(2,COLUMN())),OFFSET($BN$2,0,0,ROW()-1,60),ROW()-1,FALSE))</f>
        <v>289.39100000000002</v>
      </c>
      <c r="K9">
        <f ca="1">IF(AND(ISNUMBER($K$470),$B$419=1),$K$470,HLOOKUP(INDIRECT(ADDRESS(2,COLUMN())),OFFSET($BN$2,0,0,ROW()-1,60),ROW()-1,FALSE))</f>
        <v>292.90899999999999</v>
      </c>
      <c r="L9">
        <f ca="1">IF(AND(ISNUMBER($L$470),$B$419=1),$L$470,HLOOKUP(INDIRECT(ADDRESS(2,COLUMN())),OFFSET($BN$2,0,0,ROW()-1,60),ROW()-1,FALSE))</f>
        <v>279.286</v>
      </c>
      <c r="M9">
        <f ca="1">IF(AND(ISNUMBER($M$470),$B$419=1),$M$470,HLOOKUP(INDIRECT(ADDRESS(2,COLUMN())),OFFSET($BN$2,0,0,ROW()-1,60),ROW()-1,FALSE))</f>
        <v>287.11500000000001</v>
      </c>
      <c r="N9">
        <f ca="1">IF(AND(ISNUMBER($N$470),$B$419=1),$N$470,HLOOKUP(INDIRECT(ADDRESS(2,COLUMN())),OFFSET($BN$2,0,0,ROW()-1,60),ROW()-1,FALSE))</f>
        <v>293.09100000000001</v>
      </c>
      <c r="O9">
        <f ca="1">IF(AND(ISNUMBER($O$470),$B$419=1),$O$470,HLOOKUP(INDIRECT(ADDRESS(2,COLUMN())),OFFSET($BN$2,0,0,ROW()-1,60),ROW()-1,FALSE))</f>
        <v>296.50099999999998</v>
      </c>
      <c r="P9">
        <f ca="1">IF(AND(ISNUMBER($P$470),$B$419=1),$P$470,HLOOKUP(INDIRECT(ADDRESS(2,COLUMN())),OFFSET($BN$2,0,0,ROW()-1,60),ROW()-1,FALSE))</f>
        <v>283.387</v>
      </c>
      <c r="Q9">
        <f ca="1">IF(AND(ISNUMBER($Q$470),$B$419=1),$Q$470,HLOOKUP(INDIRECT(ADDRESS(2,COLUMN())),OFFSET($BN$2,0,0,ROW()-1,60),ROW()-1,FALSE))</f>
        <v>289.08</v>
      </c>
      <c r="R9">
        <f ca="1">IF(AND(ISNUMBER($R$470),$B$419=1),$R$470,HLOOKUP(INDIRECT(ADDRESS(2,COLUMN())),OFFSET($BN$2,0,0,ROW()-1,60),ROW()-1,FALSE))</f>
        <v>275.50599999999997</v>
      </c>
      <c r="S9">
        <f ca="1">IF(AND(ISNUMBER($S$470),$B$419=1),$S$470,HLOOKUP(INDIRECT(ADDRESS(2,COLUMN())),OFFSET($BN$2,0,0,ROW()-1,60),ROW()-1,FALSE))</f>
        <v>255.74799999999999</v>
      </c>
      <c r="T9">
        <f ca="1">IF(AND(ISNUMBER($T$470),$B$419=1),$T$470,HLOOKUP(INDIRECT(ADDRESS(2,COLUMN())),OFFSET($BN$2,0,0,ROW()-1,60),ROW()-1,FALSE))</f>
        <v>246.55500000000001</v>
      </c>
      <c r="U9">
        <f ca="1">IF(AND(ISNUMBER($U$470),$B$419=1),$U$470,HLOOKUP(INDIRECT(ADDRESS(2,COLUMN())),OFFSET($BN$2,0,0,ROW()-1,60),ROW()-1,FALSE))</f>
        <v>237.43199999999999</v>
      </c>
      <c r="V9">
        <f ca="1">IF(AND(ISNUMBER($V$470),$B$419=1),$V$470,HLOOKUP(INDIRECT(ADDRESS(2,COLUMN())),OFFSET($BN$2,0,0,ROW()-1,60),ROW()-1,FALSE))</f>
        <v>219.15199999999999</v>
      </c>
      <c r="W9">
        <f ca="1">IF(AND(ISNUMBER($W$470),$B$419=1),$W$470,HLOOKUP(INDIRECT(ADDRESS(2,COLUMN())),OFFSET($BN$2,0,0,ROW()-1,60),ROW()-1,FALSE))</f>
        <v>217.36199999999999</v>
      </c>
      <c r="X9">
        <f ca="1">IF(AND(ISNUMBER($X$470),$B$419=1),$X$470,HLOOKUP(INDIRECT(ADDRESS(2,COLUMN())),OFFSET($BN$2,0,0,ROW()-1,60),ROW()-1,FALSE))</f>
        <v>212.15299999999999</v>
      </c>
      <c r="Y9">
        <f ca="1">IF(AND(ISNUMBER($Y$470),$B$419=1),$Y$470,HLOOKUP(INDIRECT(ADDRESS(2,COLUMN())),OFFSET($BN$2,0,0,ROW()-1,60),ROW()-1,FALSE))</f>
        <v>237.07900000000001</v>
      </c>
      <c r="Z9">
        <f ca="1">IF(AND(ISNUMBER($Z$470),$B$419=1),$Z$470,HLOOKUP(INDIRECT(ADDRESS(2,COLUMN())),OFFSET($BN$2,0,0,ROW()-1,60),ROW()-1,FALSE))</f>
        <v>218.62200000000001</v>
      </c>
      <c r="AA9">
        <f ca="1">IF(AND(ISNUMBER($AA$470),$B$419=1),$AA$470,HLOOKUP(INDIRECT(ADDRESS(2,COLUMN())),OFFSET($BN$2,0,0,ROW()-1,60),ROW()-1,FALSE))</f>
        <v>216.89599999999999</v>
      </c>
      <c r="AB9">
        <f ca="1">IF(AND(ISNUMBER($AB$470),$B$419=1),$AB$470,HLOOKUP(INDIRECT(ADDRESS(2,COLUMN())),OFFSET($BN$2,0,0,ROW()-1,60),ROW()-1,FALSE))</f>
        <v>213.946</v>
      </c>
      <c r="AC9">
        <f ca="1">IF(AND(ISNUMBER($AC$470),$B$419=1),$AC$470,HLOOKUP(INDIRECT(ADDRESS(2,COLUMN())),OFFSET($BN$2,0,0,ROW()-1,60),ROW()-1,FALSE))</f>
        <v>217.809</v>
      </c>
      <c r="AD9">
        <f ca="1">IF(AND(ISNUMBER($AD$470),$B$419=1),$AD$470,HLOOKUP(INDIRECT(ADDRESS(2,COLUMN())),OFFSET($BN$2,0,0,ROW()-1,60),ROW()-1,FALSE))</f>
        <v>214.56399999999999</v>
      </c>
      <c r="AE9">
        <f ca="1">IF(AND(ISNUMBER($AE$470),$B$419=1),$AE$470,HLOOKUP(INDIRECT(ADDRESS(2,COLUMN())),OFFSET($BN$2,0,0,ROW()-1,60),ROW()-1,FALSE))</f>
        <v>212.46299999999999</v>
      </c>
      <c r="AF9">
        <f ca="1">IF(AND(ISNUMBER($AF$470),$B$419=1),$AF$470,HLOOKUP(INDIRECT(ADDRESS(2,COLUMN())),OFFSET($BN$2,0,0,ROW()-1,60),ROW()-1,FALSE))</f>
        <v>204.297</v>
      </c>
      <c r="AG9">
        <f ca="1">IF(AND(ISNUMBER($AG$470),$B$419=1),$AG$470,HLOOKUP(INDIRECT(ADDRESS(2,COLUMN())),OFFSET($BN$2,0,0,ROW()-1,60),ROW()-1,FALSE))</f>
        <v>211.637</v>
      </c>
      <c r="AH9">
        <f ca="1">IF(AND(ISNUMBER($AH$470),$B$419=1),$AH$470,HLOOKUP(INDIRECT(ADDRESS(2,COLUMN())),OFFSET($BN$2,0,0,ROW()-1,60),ROW()-1,FALSE))</f>
        <v>215.47300000000001</v>
      </c>
      <c r="AI9">
        <f ca="1">IF(AND(ISNUMBER($AI$470),$B$419=1),$AI$470,HLOOKUP(INDIRECT(ADDRESS(2,COLUMN())),OFFSET($BN$2,0,0,ROW()-1,60),ROW()-1,FALSE))</f>
        <v>210.58500000000001</v>
      </c>
      <c r="AJ9">
        <f ca="1">IF(AND(ISNUMBER($AJ$470),$B$419=1),$AJ$470,HLOOKUP(INDIRECT(ADDRESS(2,COLUMN())),OFFSET($BN$2,0,0,ROW()-1,60),ROW()-1,FALSE))</f>
        <v>207.23099999999999</v>
      </c>
      <c r="AK9">
        <f ca="1">IF(AND(ISNUMBER($AK$470),$B$419=1),$AK$470,HLOOKUP(INDIRECT(ADDRESS(2,COLUMN())),OFFSET($BN$2,0,0,ROW()-1,60),ROW()-1,FALSE))</f>
        <v>208.322</v>
      </c>
      <c r="AL9">
        <f ca="1">IF(AND(ISNUMBER($AL$470),$B$419=1),$AL$470,HLOOKUP(INDIRECT(ADDRESS(2,COLUMN())),OFFSET($BN$2,0,0,ROW()-1,60),ROW()-1,FALSE))</f>
        <v>213.35</v>
      </c>
      <c r="AM9">
        <f ca="1">IF(AND(ISNUMBER($AM$470),$B$419=1),$AM$470,HLOOKUP(INDIRECT(ADDRESS(2,COLUMN())),OFFSET($BN$2,0,0,ROW()-1,60),ROW()-1,FALSE))</f>
        <v>203.465</v>
      </c>
      <c r="AN9">
        <f ca="1">IF(AND(ISNUMBER($AN$470),$B$419=1),$AN$470,HLOOKUP(INDIRECT(ADDRESS(2,COLUMN())),OFFSET($BN$2,0,0,ROW()-1,60),ROW()-1,FALSE))</f>
        <v>190.09200000000001</v>
      </c>
      <c r="AO9">
        <f ca="1">IF(AND(ISNUMBER($AO$470),$B$419=1),$AO$470,HLOOKUP(INDIRECT(ADDRESS(2,COLUMN())),OFFSET($BN$2,0,0,ROW()-1,60),ROW()-1,FALSE))</f>
        <v>188.095</v>
      </c>
      <c r="AP9">
        <f ca="1">IF(AND(ISNUMBER($AP$470),$B$419=1),$AP$470,HLOOKUP(INDIRECT(ADDRESS(2,COLUMN())),OFFSET($BN$2,0,0,ROW()-1,60),ROW()-1,FALSE))</f>
        <v>193.626</v>
      </c>
      <c r="AQ9">
        <f ca="1">IF(AND(ISNUMBER($AQ$470),$B$419=1),$AQ$470,HLOOKUP(INDIRECT(ADDRESS(2,COLUMN())),OFFSET($BN$2,0,0,ROW()-1,60),ROW()-1,FALSE))</f>
        <v>196.989</v>
      </c>
      <c r="AR9">
        <f ca="1">IF(AND(ISNUMBER($AR$470),$B$419=1),$AR$470,HLOOKUP(INDIRECT(ADDRESS(2,COLUMN())),OFFSET($BN$2,0,0,ROW()-1,60),ROW()-1,FALSE))</f>
        <v>189.952</v>
      </c>
      <c r="AS9">
        <f ca="1">IF(AND(ISNUMBER($AS$470),$B$419=1),$AS$470,HLOOKUP(INDIRECT(ADDRESS(2,COLUMN())),OFFSET($BN$2,0,0,ROW()-1,60),ROW()-1,FALSE))</f>
        <v>182.97</v>
      </c>
      <c r="AT9">
        <f ca="1">IF(AND(ISNUMBER($AT$470),$B$419=1),$AT$470,HLOOKUP(INDIRECT(ADDRESS(2,COLUMN())),OFFSET($BN$2,0,0,ROW()-1,60),ROW()-1,FALSE))</f>
        <v>188.79400000000001</v>
      </c>
      <c r="AU9">
        <f ca="1">IF(AND(ISNUMBER($AU$470),$B$419=1),$AU$470,HLOOKUP(INDIRECT(ADDRESS(2,COLUMN())),OFFSET($BN$2,0,0,ROW()-1,60),ROW()-1,FALSE))</f>
        <v>174.76400000000001</v>
      </c>
      <c r="AV9">
        <f ca="1">IF(AND(ISNUMBER($AV$470),$B$419=1),$AV$470,HLOOKUP(INDIRECT(ADDRESS(2,COLUMN())),OFFSET($BN$2,0,0,ROW()-1,60),ROW()-1,FALSE))</f>
        <v>172.23699999999999</v>
      </c>
      <c r="AW9">
        <f ca="1">IF(AND(ISNUMBER($AW$470),$B$419=1),$AW$470,HLOOKUP(INDIRECT(ADDRESS(2,COLUMN())),OFFSET($BN$2,0,0,ROW()-1,60),ROW()-1,FALSE))</f>
        <v>169.256</v>
      </c>
      <c r="AX9">
        <f ca="1">IF(AND(ISNUMBER($AX$470),$B$419=1),$AX$470,HLOOKUP(INDIRECT(ADDRESS(2,COLUMN())),OFFSET($BN$2,0,0,ROW()-1,60),ROW()-1,FALSE))</f>
        <v>158.27699999999999</v>
      </c>
      <c r="AY9">
        <f ca="1">IF(AND(ISNUMBER($AY$470),$B$419=1),$AY$470,HLOOKUP(INDIRECT(ADDRESS(2,COLUMN())),OFFSET($BN$2,0,0,ROW()-1,60),ROW()-1,FALSE))</f>
        <v>155.28100000000001</v>
      </c>
      <c r="AZ9">
        <f ca="1">IF(AND(ISNUMBER($AZ$470),$B$419=1),$AZ$470,HLOOKUP(INDIRECT(ADDRESS(2,COLUMN())),OFFSET($BN$2,0,0,ROW()-1,60),ROW()-1,FALSE))</f>
        <v>149.124</v>
      </c>
      <c r="BA9">
        <f ca="1">IF(AND(ISNUMBER($BA$470),$B$419=1),$BA$470,HLOOKUP(INDIRECT(ADDRESS(2,COLUMN())),OFFSET($BN$2,0,0,ROW()-1,60),ROW()-1,FALSE))</f>
        <v>145.98599999999999</v>
      </c>
      <c r="BB9">
        <f ca="1">IF(AND(ISNUMBER($BB$470),$B$419=1),$BB$470,HLOOKUP(INDIRECT(ADDRESS(2,COLUMN())),OFFSET($BN$2,0,0,ROW()-1,60),ROW()-1,FALSE))</f>
        <v>137.15600000000001</v>
      </c>
      <c r="BC9">
        <f ca="1">IF(AND(ISNUMBER($BC$470),$B$419=1),$BC$470,HLOOKUP(INDIRECT(ADDRESS(2,COLUMN())),OFFSET($BN$2,0,0,ROW()-1,60),ROW()-1,FALSE))</f>
        <v>122.108</v>
      </c>
      <c r="BD9">
        <f ca="1">IF(AND(ISNUMBER($BD$470),$B$419=1),$BD$470,HLOOKUP(INDIRECT(ADDRESS(2,COLUMN())),OFFSET($BN$2,0,0,ROW()-1,60),ROW()-1,FALSE))</f>
        <v>128.31100000000001</v>
      </c>
      <c r="BE9">
        <f ca="1">IF(AND(ISNUMBER($BE$470),$B$419=1),$BE$470,HLOOKUP(INDIRECT(ADDRESS(2,COLUMN())),OFFSET($BN$2,0,0,ROW()-1,60),ROW()-1,FALSE))</f>
        <v>125.824</v>
      </c>
      <c r="BF9">
        <f ca="1">IF(AND(ISNUMBER($BF$470),$B$419=1),$BF$470,HLOOKUP(INDIRECT(ADDRESS(2,COLUMN())),OFFSET($BN$2,0,0,ROW()-1,60),ROW()-1,FALSE))</f>
        <v>129.31399999999999</v>
      </c>
      <c r="BG9">
        <f ca="1">IF(AND(ISNUMBER($BG$470),$B$419=1),$BG$470,HLOOKUP(INDIRECT(ADDRESS(2,COLUMN())),OFFSET($BN$2,0,0,ROW()-1,60),ROW()-1,FALSE))</f>
        <v>122.26300000000001</v>
      </c>
      <c r="BH9">
        <f ca="1">IF(AND(ISNUMBER($BH$470),$B$419=1),$BH$470,HLOOKUP(INDIRECT(ADDRESS(2,COLUMN())),OFFSET($BN$2,0,0,ROW()-1,60),ROW()-1,FALSE))</f>
        <v>120.33</v>
      </c>
      <c r="BI9">
        <f ca="1">IF(AND(ISNUMBER($BI$470),$B$419=1),$BI$470,HLOOKUP(INDIRECT(ADDRESS(2,COLUMN())),OFFSET($BN$2,0,0,ROW()-1,60),ROW()-1,FALSE))</f>
        <v>131.02600000000001</v>
      </c>
      <c r="BJ9">
        <f ca="1">IF(AND(ISNUMBER($BJ$470),$B$419=1),$BJ$470,HLOOKUP(INDIRECT(ADDRESS(2,COLUMN())),OFFSET($BN$2,0,0,ROW()-1,60),ROW()-1,FALSE))</f>
        <v>139.92699999999999</v>
      </c>
      <c r="BK9">
        <f ca="1">IF(AND(ISNUMBER($BK$470),$B$419=1),$BK$470,HLOOKUP(INDIRECT(ADDRESS(2,COLUMN())),OFFSET($BN$2,0,0,ROW()-1,60),ROW()-1,FALSE))</f>
        <v>124.96899999999999</v>
      </c>
      <c r="BL9">
        <f ca="1">IF(AND(ISNUMBER($BL$470),$B$419=1),$BL$470,HLOOKUP(INDIRECT(ADDRESS(2,COLUMN())),OFFSET($BN$2,0,0,ROW()-1,60),ROW()-1,FALSE))</f>
        <v>117.40899659999999</v>
      </c>
      <c r="BM9">
        <f ca="1">IF(AND(ISNUMBER($BM$470),$B$419=1),$BM$470,HLOOKUP(INDIRECT(ADDRESS(2,COLUMN())),OFFSET($BN$2,0,0,ROW()-1,60),ROW()-1,FALSE))</f>
        <v>114.645</v>
      </c>
      <c r="BN9" t="str">
        <f>""</f>
        <v/>
      </c>
      <c r="BO9">
        <f>310.632</f>
        <v>310.63200000000001</v>
      </c>
      <c r="BP9">
        <f>290.919</f>
        <v>290.91899999999998</v>
      </c>
      <c r="BQ9">
        <f>292.843</f>
        <v>292.84300000000002</v>
      </c>
      <c r="BR9">
        <f>289.391</f>
        <v>289.39100000000002</v>
      </c>
      <c r="BS9">
        <f>292.909</f>
        <v>292.90899999999999</v>
      </c>
      <c r="BT9">
        <f>279.286</f>
        <v>279.286</v>
      </c>
      <c r="BU9">
        <f>287.115</f>
        <v>287.11500000000001</v>
      </c>
      <c r="BV9">
        <f>293.091</f>
        <v>293.09100000000001</v>
      </c>
      <c r="BW9">
        <f>296.501</f>
        <v>296.50099999999998</v>
      </c>
      <c r="BX9">
        <f>283.387</f>
        <v>283.387</v>
      </c>
      <c r="BY9">
        <f>289.08</f>
        <v>289.08</v>
      </c>
      <c r="BZ9">
        <f>275.506</f>
        <v>275.50599999999997</v>
      </c>
      <c r="CA9">
        <f>255.748</f>
        <v>255.74799999999999</v>
      </c>
      <c r="CB9">
        <f>246.555</f>
        <v>246.55500000000001</v>
      </c>
      <c r="CC9">
        <f>237.432</f>
        <v>237.43199999999999</v>
      </c>
      <c r="CD9">
        <f>219.152</f>
        <v>219.15199999999999</v>
      </c>
      <c r="CE9">
        <f>217.362</f>
        <v>217.36199999999999</v>
      </c>
      <c r="CF9">
        <f>212.153</f>
        <v>212.15299999999999</v>
      </c>
      <c r="CG9">
        <f>237.079</f>
        <v>237.07900000000001</v>
      </c>
      <c r="CH9">
        <f>218.622</f>
        <v>218.62200000000001</v>
      </c>
      <c r="CI9">
        <f>216.896</f>
        <v>216.89599999999999</v>
      </c>
      <c r="CJ9">
        <f>213.946</f>
        <v>213.946</v>
      </c>
      <c r="CK9">
        <f>217.809</f>
        <v>217.809</v>
      </c>
      <c r="CL9">
        <f>214.564</f>
        <v>214.56399999999999</v>
      </c>
      <c r="CM9">
        <f>212.463</f>
        <v>212.46299999999999</v>
      </c>
      <c r="CN9">
        <f>204.297</f>
        <v>204.297</v>
      </c>
      <c r="CO9">
        <f>211.637</f>
        <v>211.637</v>
      </c>
      <c r="CP9">
        <f>215.473</f>
        <v>215.47300000000001</v>
      </c>
      <c r="CQ9">
        <f>210.585</f>
        <v>210.58500000000001</v>
      </c>
      <c r="CR9">
        <f>207.231</f>
        <v>207.23099999999999</v>
      </c>
      <c r="CS9">
        <f>208.322</f>
        <v>208.322</v>
      </c>
      <c r="CT9">
        <f>213.35</f>
        <v>213.35</v>
      </c>
      <c r="CU9">
        <f>203.465</f>
        <v>203.465</v>
      </c>
      <c r="CV9">
        <f>190.092</f>
        <v>190.09200000000001</v>
      </c>
      <c r="CW9">
        <f>188.095</f>
        <v>188.095</v>
      </c>
      <c r="CX9">
        <f>193.626</f>
        <v>193.626</v>
      </c>
      <c r="CY9">
        <f>196.989</f>
        <v>196.989</v>
      </c>
      <c r="CZ9">
        <f>189.952</f>
        <v>189.952</v>
      </c>
      <c r="DA9">
        <f>182.97</f>
        <v>182.97</v>
      </c>
      <c r="DB9">
        <f>188.794</f>
        <v>188.79400000000001</v>
      </c>
      <c r="DC9">
        <f>174.764</f>
        <v>174.76400000000001</v>
      </c>
      <c r="DD9">
        <f>172.237</f>
        <v>172.23699999999999</v>
      </c>
      <c r="DE9">
        <f>169.256</f>
        <v>169.256</v>
      </c>
      <c r="DF9">
        <f>158.277</f>
        <v>158.27699999999999</v>
      </c>
      <c r="DG9">
        <f>155.281</f>
        <v>155.28100000000001</v>
      </c>
      <c r="DH9">
        <f>149.124</f>
        <v>149.124</v>
      </c>
      <c r="DI9">
        <f>145.986</f>
        <v>145.98599999999999</v>
      </c>
      <c r="DJ9">
        <f>137.156</f>
        <v>137.15600000000001</v>
      </c>
      <c r="DK9">
        <f>122.108</f>
        <v>122.108</v>
      </c>
      <c r="DL9">
        <f>128.311</f>
        <v>128.31100000000001</v>
      </c>
      <c r="DM9">
        <f>125.824</f>
        <v>125.824</v>
      </c>
      <c r="DN9">
        <f>129.314</f>
        <v>129.31399999999999</v>
      </c>
      <c r="DO9">
        <f>122.263</f>
        <v>122.26300000000001</v>
      </c>
      <c r="DP9">
        <f>120.33</f>
        <v>120.33</v>
      </c>
      <c r="DQ9">
        <f>131.026</f>
        <v>131.02600000000001</v>
      </c>
      <c r="DR9">
        <f>139.927</f>
        <v>139.92699999999999</v>
      </c>
      <c r="DS9">
        <f>124.969</f>
        <v>124.96899999999999</v>
      </c>
      <c r="DT9">
        <f>117.4089966</f>
        <v>117.40899659999999</v>
      </c>
      <c r="DU9">
        <f>114.645</f>
        <v>114.645</v>
      </c>
    </row>
    <row r="10" spans="1:125">
      <c r="A10" t="str">
        <f>"    National Retail Properties Inc"</f>
        <v xml:space="preserve">    National Retail Properties Inc</v>
      </c>
      <c r="B10" t="str">
        <f>"NNN US Equity"</f>
        <v>NNN US Equity</v>
      </c>
      <c r="C10" t="str">
        <f t="shared" si="0"/>
        <v>IS030</v>
      </c>
      <c r="D10" t="str">
        <f t="shared" si="1"/>
        <v>IS_RENT_INC</v>
      </c>
      <c r="E10" t="str">
        <f t="shared" si="2"/>
        <v>动态</v>
      </c>
      <c r="F10" t="str">
        <f ca="1">IF(AND(ISNUMBER($F$471),$B$419=1),$F$471,HLOOKUP(INDIRECT(ADDRESS(2,COLUMN())),OFFSET($BN$2,0,0,ROW()-1,60),ROW()-1,FALSE))</f>
        <v/>
      </c>
      <c r="G10">
        <f ca="1">IF(AND(ISNUMBER($G$471),$B$419=1),$G$471,HLOOKUP(INDIRECT(ADDRESS(2,COLUMN())),OFFSET($BN$2,0,0,ROW()-1,60),ROW()-1,FALSE))</f>
        <v>149.52500000000001</v>
      </c>
      <c r="H10">
        <f ca="1">IF(AND(ISNUMBER($H$471),$B$419=1),$H$471,HLOOKUP(INDIRECT(ADDRESS(2,COLUMN())),OFFSET($BN$2,0,0,ROW()-1,60),ROW()-1,FALSE))</f>
        <v>147.22900000000001</v>
      </c>
      <c r="I10">
        <f ca="1">IF(AND(ISNUMBER($I$471),$B$419=1),$I$471,HLOOKUP(INDIRECT(ADDRESS(2,COLUMN())),OFFSET($BN$2,0,0,ROW()-1,60),ROW()-1,FALSE))</f>
        <v>145.196</v>
      </c>
      <c r="J10">
        <f ca="1">IF(AND(ISNUMBER($J$471),$B$419=1),$J$471,HLOOKUP(INDIRECT(ADDRESS(2,COLUMN())),OFFSET($BN$2,0,0,ROW()-1,60),ROW()-1,FALSE))</f>
        <v>140.90100000000001</v>
      </c>
      <c r="K10">
        <f ca="1">IF(AND(ISNUMBER($K$471),$B$419=1),$K$471,HLOOKUP(INDIRECT(ADDRESS(2,COLUMN())),OFFSET($BN$2,0,0,ROW()-1,60),ROW()-1,FALSE))</f>
        <v>140.679</v>
      </c>
      <c r="L10">
        <f ca="1">IF(AND(ISNUMBER($L$471),$B$419=1),$L$471,HLOOKUP(INDIRECT(ADDRESS(2,COLUMN())),OFFSET($BN$2,0,0,ROW()-1,60),ROW()-1,FALSE))</f>
        <v>133.678</v>
      </c>
      <c r="M10">
        <f ca="1">IF(AND(ISNUMBER($M$471),$B$419=1),$M$471,HLOOKUP(INDIRECT(ADDRESS(2,COLUMN())),OFFSET($BN$2,0,0,ROW()-1,60),ROW()-1,FALSE))</f>
        <v>129.83000000000001</v>
      </c>
      <c r="N10">
        <f ca="1">IF(AND(ISNUMBER($N$471),$B$419=1),$N$471,HLOOKUP(INDIRECT(ADDRESS(2,COLUMN())),OFFSET($BN$2,0,0,ROW()-1,60),ROW()-1,FALSE))</f>
        <v>125.709</v>
      </c>
      <c r="O10">
        <f ca="1">IF(AND(ISNUMBER($O$471),$B$419=1),$O$471,HLOOKUP(INDIRECT(ADDRESS(2,COLUMN())),OFFSET($BN$2,0,0,ROW()-1,60),ROW()-1,FALSE))</f>
        <v>125.667</v>
      </c>
      <c r="P10">
        <f ca="1">IF(AND(ISNUMBER($P$471),$B$419=1),$P$471,HLOOKUP(INDIRECT(ADDRESS(2,COLUMN())),OFFSET($BN$2,0,0,ROW()-1,60),ROW()-1,FALSE))</f>
        <v>122.018</v>
      </c>
      <c r="Q10">
        <f ca="1">IF(AND(ISNUMBER($Q$471),$B$419=1),$Q$471,HLOOKUP(INDIRECT(ADDRESS(2,COLUMN())),OFFSET($BN$2,0,0,ROW()-1,60),ROW()-1,FALSE))</f>
        <v>116.151</v>
      </c>
      <c r="R10">
        <f ca="1">IF(AND(ISNUMBER($R$471),$B$419=1),$R$471,HLOOKUP(INDIRECT(ADDRESS(2,COLUMN())),OFFSET($BN$2,0,0,ROW()-1,60),ROW()-1,FALSE))</f>
        <v>115.17400000000001</v>
      </c>
      <c r="S10">
        <f ca="1">IF(AND(ISNUMBER($S$471),$B$419=1),$S$471,HLOOKUP(INDIRECT(ADDRESS(2,COLUMN())),OFFSET($BN$2,0,0,ROW()-1,60),ROW()-1,FALSE))</f>
        <v>114.34099999999999</v>
      </c>
      <c r="T10">
        <f ca="1">IF(AND(ISNUMBER($T$471),$B$419=1),$T$471,HLOOKUP(INDIRECT(ADDRESS(2,COLUMN())),OFFSET($BN$2,0,0,ROW()-1,60),ROW()-1,FALSE))</f>
        <v>108.51300000000001</v>
      </c>
      <c r="U10">
        <f ca="1">IF(AND(ISNUMBER($U$471),$B$419=1),$U$471,HLOOKUP(INDIRECT(ADDRESS(2,COLUMN())),OFFSET($BN$2,0,0,ROW()-1,60),ROW()-1,FALSE))</f>
        <v>104.181</v>
      </c>
      <c r="V10">
        <f ca="1">IF(AND(ISNUMBER($V$471),$B$419=1),$V$471,HLOOKUP(INDIRECT(ADDRESS(2,COLUMN())),OFFSET($BN$2,0,0,ROW()-1,60),ROW()-1,FALSE))</f>
        <v>102.377</v>
      </c>
      <c r="W10">
        <f ca="1">IF(AND(ISNUMBER($W$471),$B$419=1),$W$471,HLOOKUP(INDIRECT(ADDRESS(2,COLUMN())),OFFSET($BN$2,0,0,ROW()-1,60),ROW()-1,FALSE))</f>
        <v>103.11799999999999</v>
      </c>
      <c r="X10">
        <f ca="1">IF(AND(ISNUMBER($X$471),$B$419=1),$X$471,HLOOKUP(INDIRECT(ADDRESS(2,COLUMN())),OFFSET($BN$2,0,0,ROW()-1,60),ROW()-1,FALSE))</f>
        <v>99.152000000000001</v>
      </c>
      <c r="Y10">
        <f ca="1">IF(AND(ISNUMBER($Y$471),$B$419=1),$Y$471,HLOOKUP(INDIRECT(ADDRESS(2,COLUMN())),OFFSET($BN$2,0,0,ROW()-1,60),ROW()-1,FALSE))</f>
        <v>94.837000000000003</v>
      </c>
      <c r="Z10">
        <f ca="1">IF(AND(ISNUMBER($Z$471),$B$419=1),$Z$471,HLOOKUP(INDIRECT(ADDRESS(2,COLUMN())),OFFSET($BN$2,0,0,ROW()-1,60),ROW()-1,FALSE))</f>
        <v>90.965999999999994</v>
      </c>
      <c r="AA10">
        <f ca="1">IF(AND(ISNUMBER($AA$471),$B$419=1),$AA$471,HLOOKUP(INDIRECT(ADDRESS(2,COLUMN())),OFFSET($BN$2,0,0,ROW()-1,60),ROW()-1,FALSE))</f>
        <v>88.022000000000006</v>
      </c>
      <c r="AB10">
        <f ca="1">IF(AND(ISNUMBER($AB$471),$B$419=1),$AB$471,HLOOKUP(INDIRECT(ADDRESS(2,COLUMN())),OFFSET($BN$2,0,0,ROW()-1,60),ROW()-1,FALSE))</f>
        <v>82.715000000000003</v>
      </c>
      <c r="AC10">
        <f ca="1">IF(AND(ISNUMBER($AC$471),$B$419=1),$AC$471,HLOOKUP(INDIRECT(ADDRESS(2,COLUMN())),OFFSET($BN$2,0,0,ROW()-1,60),ROW()-1,FALSE))</f>
        <v>79.302000000000007</v>
      </c>
      <c r="AD10">
        <f ca="1">IF(AND(ISNUMBER($AD$471),$B$419=1),$AD$471,HLOOKUP(INDIRECT(ADDRESS(2,COLUMN())),OFFSET($BN$2,0,0,ROW()-1,60),ROW()-1,FALSE))</f>
        <v>75.295000000000002</v>
      </c>
      <c r="AE10">
        <f ca="1">IF(AND(ISNUMBER($AE$471),$B$419=1),$AE$471,HLOOKUP(INDIRECT(ADDRESS(2,COLUMN())),OFFSET($BN$2,0,0,ROW()-1,60),ROW()-1,FALSE))</f>
        <v>71.596999999999994</v>
      </c>
      <c r="AF10">
        <f ca="1">IF(AND(ISNUMBER($AF$471),$B$419=1),$AF$471,HLOOKUP(INDIRECT(ADDRESS(2,COLUMN())),OFFSET($BN$2,0,0,ROW()-1,60),ROW()-1,FALSE))</f>
        <v>64.823999999999998</v>
      </c>
      <c r="AG10">
        <f ca="1">IF(AND(ISNUMBER($AG$471),$B$419=1),$AG$471,HLOOKUP(INDIRECT(ADDRESS(2,COLUMN())),OFFSET($BN$2,0,0,ROW()-1,60),ROW()-1,FALSE))</f>
        <v>59.851999999999997</v>
      </c>
      <c r="AH10">
        <f ca="1">IF(AND(ISNUMBER($AH$471),$B$419=1),$AH$471,HLOOKUP(INDIRECT(ADDRESS(2,COLUMN())),OFFSET($BN$2,0,0,ROW()-1,60),ROW()-1,FALSE))</f>
        <v>59.402000000000001</v>
      </c>
      <c r="AI10">
        <f ca="1">IF(AND(ISNUMBER($AI$471),$B$419=1),$AI$471,HLOOKUP(INDIRECT(ADDRESS(2,COLUMN())),OFFSET($BN$2,0,0,ROW()-1,60),ROW()-1,FALSE))</f>
        <v>58.262999999999998</v>
      </c>
      <c r="AJ10">
        <f ca="1">IF(AND(ISNUMBER($AJ$471),$B$419=1),$AJ$471,HLOOKUP(INDIRECT(ADDRESS(2,COLUMN())),OFFSET($BN$2,0,0,ROW()-1,60),ROW()-1,FALSE))</f>
        <v>54.158000000000001</v>
      </c>
      <c r="AK10">
        <f ca="1">IF(AND(ISNUMBER($AK$471),$B$419=1),$AK$471,HLOOKUP(INDIRECT(ADDRESS(2,COLUMN())),OFFSET($BN$2,0,0,ROW()-1,60),ROW()-1,FALSE))</f>
        <v>53.826000000000001</v>
      </c>
      <c r="AL10">
        <f ca="1">IF(AND(ISNUMBER($AL$471),$B$419=1),$AL$471,HLOOKUP(INDIRECT(ADDRESS(2,COLUMN())),OFFSET($BN$2,0,0,ROW()-1,60),ROW()-1,FALSE))</f>
        <v>53.731000000000002</v>
      </c>
      <c r="AM10">
        <f ca="1">IF(AND(ISNUMBER($AM$471),$B$419=1),$AM$471,HLOOKUP(INDIRECT(ADDRESS(2,COLUMN())),OFFSET($BN$2,0,0,ROW()-1,60),ROW()-1,FALSE))</f>
        <v>55.38</v>
      </c>
      <c r="AN10">
        <f ca="1">IF(AND(ISNUMBER($AN$471),$B$419=1),$AN$471,HLOOKUP(INDIRECT(ADDRESS(2,COLUMN())),OFFSET($BN$2,0,0,ROW()-1,60),ROW()-1,FALSE))</f>
        <v>54.176000000000002</v>
      </c>
      <c r="AO10">
        <f ca="1">IF(AND(ISNUMBER($AO$471),$B$419=1),$AO$471,HLOOKUP(INDIRECT(ADDRESS(2,COLUMN())),OFFSET($BN$2,0,0,ROW()-1,60),ROW()-1,FALSE))</f>
        <v>55.113999999999997</v>
      </c>
      <c r="AP10">
        <f ca="1">IF(AND(ISNUMBER($AP$471),$B$419=1),$AP$471,HLOOKUP(INDIRECT(ADDRESS(2,COLUMN())),OFFSET($BN$2,0,0,ROW()-1,60),ROW()-1,FALSE))</f>
        <v>55.25</v>
      </c>
      <c r="AQ10">
        <f ca="1">IF(AND(ISNUMBER($AQ$471),$B$419=1),$AQ$471,HLOOKUP(INDIRECT(ADDRESS(2,COLUMN())),OFFSET($BN$2,0,0,ROW()-1,60),ROW()-1,FALSE))</f>
        <v>55.499000000000002</v>
      </c>
      <c r="AR10">
        <f ca="1">IF(AND(ISNUMBER($AR$471),$B$419=1),$AR$471,HLOOKUP(INDIRECT(ADDRESS(2,COLUMN())),OFFSET($BN$2,0,0,ROW()-1,60),ROW()-1,FALSE))</f>
        <v>56.058999999999997</v>
      </c>
      <c r="AS10">
        <f ca="1">IF(AND(ISNUMBER($AS$471),$B$419=1),$AS$471,HLOOKUP(INDIRECT(ADDRESS(2,COLUMN())),OFFSET($BN$2,0,0,ROW()-1,60),ROW()-1,FALSE))</f>
        <v>53.011000000000003</v>
      </c>
      <c r="AT10">
        <f ca="1">IF(AND(ISNUMBER($AT$471),$B$419=1),$AT$471,HLOOKUP(INDIRECT(ADDRESS(2,COLUMN())),OFFSET($BN$2,0,0,ROW()-1,60),ROW()-1,FALSE))</f>
        <v>51.417999999999999</v>
      </c>
      <c r="AU10">
        <f ca="1">IF(AND(ISNUMBER($AU$471),$B$419=1),$AU$471,HLOOKUP(INDIRECT(ADDRESS(2,COLUMN())),OFFSET($BN$2,0,0,ROW()-1,60),ROW()-1,FALSE))</f>
        <v>45.738</v>
      </c>
      <c r="AV10">
        <f ca="1">IF(AND(ISNUMBER($AV$471),$B$419=1),$AV$471,HLOOKUP(INDIRECT(ADDRESS(2,COLUMN())),OFFSET($BN$2,0,0,ROW()-1,60),ROW()-1,FALSE))</f>
        <v>43.238</v>
      </c>
      <c r="AW10">
        <f ca="1">IF(AND(ISNUMBER($AW$471),$B$419=1),$AW$471,HLOOKUP(INDIRECT(ADDRESS(2,COLUMN())),OFFSET($BN$2,0,0,ROW()-1,60),ROW()-1,FALSE))</f>
        <v>42.088001249999998</v>
      </c>
      <c r="AX10">
        <f ca="1">IF(AND(ISNUMBER($AX$471),$B$419=1),$AX$471,HLOOKUP(INDIRECT(ADDRESS(2,COLUMN())),OFFSET($BN$2,0,0,ROW()-1,60),ROW()-1,FALSE))</f>
        <v>36.874000000000002</v>
      </c>
      <c r="AY10">
        <f ca="1">IF(AND(ISNUMBER($AY$471),$B$419=1),$AY$471,HLOOKUP(INDIRECT(ADDRESS(2,COLUMN())),OFFSET($BN$2,0,0,ROW()-1,60),ROW()-1,FALSE))</f>
        <v>34.268001560000002</v>
      </c>
      <c r="AZ10">
        <f ca="1">IF(AND(ISNUMBER($AZ$471),$B$419=1),$AZ$471,HLOOKUP(INDIRECT(ADDRESS(2,COLUMN())),OFFSET($BN$2,0,0,ROW()-1,60),ROW()-1,FALSE))</f>
        <v>31.82</v>
      </c>
      <c r="BA10">
        <f ca="1">IF(AND(ISNUMBER($BA$471),$B$419=1),$BA$471,HLOOKUP(INDIRECT(ADDRESS(2,COLUMN())),OFFSET($BN$2,0,0,ROW()-1,60),ROW()-1,FALSE))</f>
        <v>29.916000369999999</v>
      </c>
      <c r="BB10">
        <f ca="1">IF(AND(ISNUMBER($BB$471),$B$419=1),$BB$471,HLOOKUP(INDIRECT(ADDRESS(2,COLUMN())),OFFSET($BN$2,0,0,ROW()-1,60),ROW()-1,FALSE))</f>
        <v>29.978999999999999</v>
      </c>
      <c r="BC10">
        <f ca="1">IF(AND(ISNUMBER($BC$471),$B$419=1),$BC$471,HLOOKUP(INDIRECT(ADDRESS(2,COLUMN())),OFFSET($BN$2,0,0,ROW()-1,60),ROW()-1,FALSE))</f>
        <v>25.12199974</v>
      </c>
      <c r="BD10">
        <f ca="1">IF(AND(ISNUMBER($BD$471),$B$419=1),$BD$471,HLOOKUP(INDIRECT(ADDRESS(2,COLUMN())),OFFSET($BN$2,0,0,ROW()-1,60),ROW()-1,FALSE))</f>
        <v>25.033000950000002</v>
      </c>
      <c r="BE10">
        <f ca="1">IF(AND(ISNUMBER($BE$471),$B$419=1),$BE$471,HLOOKUP(INDIRECT(ADDRESS(2,COLUMN())),OFFSET($BN$2,0,0,ROW()-1,60),ROW()-1,FALSE))</f>
        <v>23.915000920000001</v>
      </c>
      <c r="BF10">
        <f ca="1">IF(AND(ISNUMBER($BF$471),$B$419=1),$BF$471,HLOOKUP(INDIRECT(ADDRESS(2,COLUMN())),OFFSET($BN$2,0,0,ROW()-1,60),ROW()-1,FALSE))</f>
        <v>23.181999999999999</v>
      </c>
      <c r="BG10">
        <f ca="1">IF(AND(ISNUMBER($BG$471),$B$419=1),$BG$471,HLOOKUP(INDIRECT(ADDRESS(2,COLUMN())),OFFSET($BN$2,0,0,ROW()-1,60),ROW()-1,FALSE))</f>
        <v>29.571999999999999</v>
      </c>
      <c r="BH10">
        <f ca="1">IF(AND(ISNUMBER($BH$471),$B$419=1),$BH$471,HLOOKUP(INDIRECT(ADDRESS(2,COLUMN())),OFFSET($BN$2,0,0,ROW()-1,60),ROW()-1,FALSE))</f>
        <v>28.428999999999998</v>
      </c>
      <c r="BI10">
        <f ca="1">IF(AND(ISNUMBER($BI$471),$B$419=1),$BI$471,HLOOKUP(INDIRECT(ADDRESS(2,COLUMN())),OFFSET($BN$2,0,0,ROW()-1,60),ROW()-1,FALSE))</f>
        <v>29.728000000000002</v>
      </c>
      <c r="BJ10">
        <f ca="1">IF(AND(ISNUMBER($BJ$471),$B$419=1),$BJ$471,HLOOKUP(INDIRECT(ADDRESS(2,COLUMN())),OFFSET($BN$2,0,0,ROW()-1,60),ROW()-1,FALSE))</f>
        <v>29.59</v>
      </c>
      <c r="BK10">
        <f ca="1">IF(AND(ISNUMBER($BK$471),$B$419=1),$BK$471,HLOOKUP(INDIRECT(ADDRESS(2,COLUMN())),OFFSET($BN$2,0,0,ROW()-1,60),ROW()-1,FALSE))</f>
        <v>22.95</v>
      </c>
      <c r="BL10">
        <f ca="1">IF(AND(ISNUMBER($BL$471),$B$419=1),$BL$471,HLOOKUP(INDIRECT(ADDRESS(2,COLUMN())),OFFSET($BN$2,0,0,ROW()-1,60),ROW()-1,FALSE))</f>
        <v>24.318000789999999</v>
      </c>
      <c r="BM10">
        <f ca="1">IF(AND(ISNUMBER($BM$471),$B$419=1),$BM$471,HLOOKUP(INDIRECT(ADDRESS(2,COLUMN())),OFFSET($BN$2,0,0,ROW()-1,60),ROW()-1,FALSE))</f>
        <v>21.491</v>
      </c>
      <c r="BN10" t="str">
        <f>""</f>
        <v/>
      </c>
      <c r="BO10">
        <f>149.525</f>
        <v>149.52500000000001</v>
      </c>
      <c r="BP10">
        <f>147.229</f>
        <v>147.22900000000001</v>
      </c>
      <c r="BQ10">
        <f>145.196</f>
        <v>145.196</v>
      </c>
      <c r="BR10">
        <f>140.901</f>
        <v>140.90100000000001</v>
      </c>
      <c r="BS10">
        <f>140.679</f>
        <v>140.679</v>
      </c>
      <c r="BT10">
        <f>133.678</f>
        <v>133.678</v>
      </c>
      <c r="BU10">
        <f>129.83</f>
        <v>129.83000000000001</v>
      </c>
      <c r="BV10">
        <f>125.709</f>
        <v>125.709</v>
      </c>
      <c r="BW10">
        <f>125.667</f>
        <v>125.667</v>
      </c>
      <c r="BX10">
        <f>122.018</f>
        <v>122.018</v>
      </c>
      <c r="BY10">
        <f>116.151</f>
        <v>116.151</v>
      </c>
      <c r="BZ10">
        <f>115.174</f>
        <v>115.17400000000001</v>
      </c>
      <c r="CA10">
        <f>114.341</f>
        <v>114.34099999999999</v>
      </c>
      <c r="CB10">
        <f>108.513</f>
        <v>108.51300000000001</v>
      </c>
      <c r="CC10">
        <f>104.181</f>
        <v>104.181</v>
      </c>
      <c r="CD10">
        <f>102.377</f>
        <v>102.377</v>
      </c>
      <c r="CE10">
        <f>103.118</f>
        <v>103.11799999999999</v>
      </c>
      <c r="CF10">
        <f>99.152</f>
        <v>99.152000000000001</v>
      </c>
      <c r="CG10">
        <f>94.837</f>
        <v>94.837000000000003</v>
      </c>
      <c r="CH10">
        <f>90.966</f>
        <v>90.965999999999994</v>
      </c>
      <c r="CI10">
        <f>88.022</f>
        <v>88.022000000000006</v>
      </c>
      <c r="CJ10">
        <f>82.715</f>
        <v>82.715000000000003</v>
      </c>
      <c r="CK10">
        <f>79.302</f>
        <v>79.302000000000007</v>
      </c>
      <c r="CL10">
        <f>75.295</f>
        <v>75.295000000000002</v>
      </c>
      <c r="CM10">
        <f>71.597</f>
        <v>71.596999999999994</v>
      </c>
      <c r="CN10">
        <f>64.824</f>
        <v>64.823999999999998</v>
      </c>
      <c r="CO10">
        <f>59.852</f>
        <v>59.851999999999997</v>
      </c>
      <c r="CP10">
        <f>59.402</f>
        <v>59.402000000000001</v>
      </c>
      <c r="CQ10">
        <f>58.263</f>
        <v>58.262999999999998</v>
      </c>
      <c r="CR10">
        <f>54.158</f>
        <v>54.158000000000001</v>
      </c>
      <c r="CS10">
        <f>53.826</f>
        <v>53.826000000000001</v>
      </c>
      <c r="CT10">
        <f>53.731</f>
        <v>53.731000000000002</v>
      </c>
      <c r="CU10">
        <f>55.38</f>
        <v>55.38</v>
      </c>
      <c r="CV10">
        <f>54.176</f>
        <v>54.176000000000002</v>
      </c>
      <c r="CW10">
        <f>55.114</f>
        <v>55.113999999999997</v>
      </c>
      <c r="CX10">
        <f>55.25</f>
        <v>55.25</v>
      </c>
      <c r="CY10">
        <f>55.499</f>
        <v>55.499000000000002</v>
      </c>
      <c r="CZ10">
        <f>56.059</f>
        <v>56.058999999999997</v>
      </c>
      <c r="DA10">
        <f>53.011</f>
        <v>53.011000000000003</v>
      </c>
      <c r="DB10">
        <f>51.418</f>
        <v>51.417999999999999</v>
      </c>
      <c r="DC10">
        <f>45.738</f>
        <v>45.738</v>
      </c>
      <c r="DD10">
        <f>43.238</f>
        <v>43.238</v>
      </c>
      <c r="DE10">
        <f>42.08800125</f>
        <v>42.088001249999998</v>
      </c>
      <c r="DF10">
        <f>36.874</f>
        <v>36.874000000000002</v>
      </c>
      <c r="DG10">
        <f>34.26800156</f>
        <v>34.268001560000002</v>
      </c>
      <c r="DH10">
        <f>31.82</f>
        <v>31.82</v>
      </c>
      <c r="DI10">
        <f>29.91600037</f>
        <v>29.916000369999999</v>
      </c>
      <c r="DJ10">
        <f>29.979</f>
        <v>29.978999999999999</v>
      </c>
      <c r="DK10">
        <f>25.12199974</f>
        <v>25.12199974</v>
      </c>
      <c r="DL10">
        <f>25.03300095</f>
        <v>25.033000950000002</v>
      </c>
      <c r="DM10">
        <f>23.91500092</f>
        <v>23.915000920000001</v>
      </c>
      <c r="DN10">
        <f>23.182</f>
        <v>23.181999999999999</v>
      </c>
      <c r="DO10">
        <f>29.572</f>
        <v>29.571999999999999</v>
      </c>
      <c r="DP10">
        <f>28.429</f>
        <v>28.428999999999998</v>
      </c>
      <c r="DQ10">
        <f>29.728</f>
        <v>29.728000000000002</v>
      </c>
      <c r="DR10">
        <f>29.59</f>
        <v>29.59</v>
      </c>
      <c r="DS10">
        <f>22.95</f>
        <v>22.95</v>
      </c>
      <c r="DT10">
        <f>24.31800079</f>
        <v>24.318000789999999</v>
      </c>
      <c r="DU10">
        <f>21.491</f>
        <v>21.491</v>
      </c>
    </row>
    <row r="11" spans="1:125">
      <c r="A11" t="str">
        <f>"    Realty Income Corp"</f>
        <v xml:space="preserve">    Realty Income Corp</v>
      </c>
      <c r="B11" t="str">
        <f>"O US Equity"</f>
        <v>O US Equity</v>
      </c>
      <c r="C11" t="str">
        <f t="shared" si="0"/>
        <v>IS030</v>
      </c>
      <c r="D11" t="str">
        <f t="shared" si="1"/>
        <v>IS_RENT_INC</v>
      </c>
      <c r="E11" t="str">
        <f t="shared" si="2"/>
        <v>动态</v>
      </c>
      <c r="F11" t="str">
        <f ca="1">IF(AND(ISNUMBER($F$472),$B$419=1),$F$472,HLOOKUP(INDIRECT(ADDRESS(2,COLUMN())),OFFSET($BN$2,0,0,ROW()-1,60),ROW()-1,FALSE))</f>
        <v/>
      </c>
      <c r="G11">
        <f ca="1">IF(AND(ISNUMBER($G$472),$B$419=1),$G$472,HLOOKUP(INDIRECT(ADDRESS(2,COLUMN())),OFFSET($BN$2,0,0,ROW()-1,60),ROW()-1,FALSE))</f>
        <v>310.06400000000002</v>
      </c>
      <c r="H11">
        <f ca="1">IF(AND(ISNUMBER($H$472),$B$419=1),$H$472,HLOOKUP(INDIRECT(ADDRESS(2,COLUMN())),OFFSET($BN$2,0,0,ROW()-1,60),ROW()-1,FALSE))</f>
        <v>305.38799999999998</v>
      </c>
      <c r="I11">
        <f ca="1">IF(AND(ISNUMBER($I$472),$B$419=1),$I$472,HLOOKUP(INDIRECT(ADDRESS(2,COLUMN())),OFFSET($BN$2,0,0,ROW()-1,60),ROW()-1,FALSE))</f>
        <v>299.80500000000001</v>
      </c>
      <c r="J11">
        <f ca="1">IF(AND(ISNUMBER($J$472),$B$419=1),$J$472,HLOOKUP(INDIRECT(ADDRESS(2,COLUMN())),OFFSET($BN$2,0,0,ROW()-1,60),ROW()-1,FALSE))</f>
        <v>297.05</v>
      </c>
      <c r="K11">
        <f ca="1">IF(AND(ISNUMBER($K$472),$B$419=1),$K$472,HLOOKUP(INDIRECT(ADDRESS(2,COLUMN())),OFFSET($BN$2,0,0,ROW()-1,60),ROW()-1,FALSE))</f>
        <v>286.58699999999999</v>
      </c>
      <c r="L11">
        <f ca="1">IF(AND(ISNUMBER($L$472),$B$419=1),$L$472,HLOOKUP(INDIRECT(ADDRESS(2,COLUMN())),OFFSET($BN$2,0,0,ROW()-1,60),ROW()-1,FALSE))</f>
        <v>276.85599999999999</v>
      </c>
      <c r="M11">
        <f ca="1">IF(AND(ISNUMBER($M$472),$B$419=1),$M$472,HLOOKUP(INDIRECT(ADDRESS(2,COLUMN())),OFFSET($BN$2,0,0,ROW()-1,60),ROW()-1,FALSE))</f>
        <v>271.16800000000001</v>
      </c>
      <c r="N11">
        <f ca="1">IF(AND(ISNUMBER($N$472),$B$419=1),$N$472,HLOOKUP(INDIRECT(ADDRESS(2,COLUMN())),OFFSET($BN$2,0,0,ROW()-1,60),ROW()-1,FALSE))</f>
        <v>265.90600000000001</v>
      </c>
      <c r="O11">
        <f ca="1">IF(AND(ISNUMBER($O$472),$B$419=1),$O$472,HLOOKUP(INDIRECT(ADDRESS(2,COLUMN())),OFFSET($BN$2,0,0,ROW()-1,60),ROW()-1,FALSE))</f>
        <v>262.99200000000002</v>
      </c>
      <c r="P11">
        <f ca="1">IF(AND(ISNUMBER($P$472),$B$419=1),$P$472,HLOOKUP(INDIRECT(ADDRESS(2,COLUMN())),OFFSET($BN$2,0,0,ROW()-1,60),ROW()-1,FALSE))</f>
        <v>257.76499999999999</v>
      </c>
      <c r="Q11">
        <f ca="1">IF(AND(ISNUMBER($Q$472),$B$419=1),$Q$472,HLOOKUP(INDIRECT(ADDRESS(2,COLUMN())),OFFSET($BN$2,0,0,ROW()-1,60),ROW()-1,FALSE))</f>
        <v>253.03800000000001</v>
      </c>
      <c r="R11">
        <f ca="1">IF(AND(ISNUMBER($R$472),$B$419=1),$R$472,HLOOKUP(INDIRECT(ADDRESS(2,COLUMN())),OFFSET($BN$2,0,0,ROW()-1,60),ROW()-1,FALSE))</f>
        <v>245.08500000000001</v>
      </c>
      <c r="S11">
        <f ca="1">IF(AND(ISNUMBER($S$472),$B$419=1),$S$472,HLOOKUP(INDIRECT(ADDRESS(2,COLUMN())),OFFSET($BN$2,0,0,ROW()-1,60),ROW()-1,FALSE))</f>
        <v>246.881</v>
      </c>
      <c r="T11">
        <f ca="1">IF(AND(ISNUMBER($T$472),$B$419=1),$T$472,HLOOKUP(INDIRECT(ADDRESS(2,COLUMN())),OFFSET($BN$2,0,0,ROW()-1,60),ROW()-1,FALSE))</f>
        <v>235.107</v>
      </c>
      <c r="U11">
        <f ca="1">IF(AND(ISNUMBER($U$472),$B$419=1),$U$472,HLOOKUP(INDIRECT(ADDRESS(2,COLUMN())),OFFSET($BN$2,0,0,ROW()-1,60),ROW()-1,FALSE))</f>
        <v>228.03700000000001</v>
      </c>
      <c r="V11">
        <f ca="1">IF(AND(ISNUMBER($V$472),$B$419=1),$V$472,HLOOKUP(INDIRECT(ADDRESS(2,COLUMN())),OFFSET($BN$2,0,0,ROW()-1,60),ROW()-1,FALSE))</f>
        <v>220.54900000000001</v>
      </c>
      <c r="W11">
        <f ca="1">IF(AND(ISNUMBER($W$472),$B$419=1),$W$472,HLOOKUP(INDIRECT(ADDRESS(2,COLUMN())),OFFSET($BN$2,0,0,ROW()-1,60),ROW()-1,FALSE))</f>
        <v>214.32300000000001</v>
      </c>
      <c r="X11">
        <f ca="1">IF(AND(ISNUMBER($X$472),$B$419=1),$X$472,HLOOKUP(INDIRECT(ADDRESS(2,COLUMN())),OFFSET($BN$2,0,0,ROW()-1,60),ROW()-1,FALSE))</f>
        <v>200.43899999999999</v>
      </c>
      <c r="Y11">
        <f ca="1">IF(AND(ISNUMBER($Y$472),$B$419=1),$Y$472,HLOOKUP(INDIRECT(ADDRESS(2,COLUMN())),OFFSET($BN$2,0,0,ROW()-1,60),ROW()-1,FALSE))</f>
        <v>184.57400000000001</v>
      </c>
      <c r="Z11">
        <f ca="1">IF(AND(ISNUMBER($Z$472),$B$419=1),$Z$472,HLOOKUP(INDIRECT(ADDRESS(2,COLUMN())),OFFSET($BN$2,0,0,ROW()-1,60),ROW()-1,FALSE))</f>
        <v>173.82499999999999</v>
      </c>
      <c r="AA11">
        <f ca="1">IF(AND(ISNUMBER($AA$472),$B$419=1),$AA$472,HLOOKUP(INDIRECT(ADDRESS(2,COLUMN())),OFFSET($BN$2,0,0,ROW()-1,60),ROW()-1,FALSE))</f>
        <v>132.28399999999999</v>
      </c>
      <c r="AB11">
        <f ca="1">IF(AND(ISNUMBER($AB$472),$B$419=1),$AB$472,HLOOKUP(INDIRECT(ADDRESS(2,COLUMN())),OFFSET($BN$2,0,0,ROW()-1,60),ROW()-1,FALSE))</f>
        <v>116.795</v>
      </c>
      <c r="AC11">
        <f ca="1">IF(AND(ISNUMBER($AC$472),$B$419=1),$AC$472,HLOOKUP(INDIRECT(ADDRESS(2,COLUMN())),OFFSET($BN$2,0,0,ROW()-1,60),ROW()-1,FALSE))</f>
        <v>112.52800000000001</v>
      </c>
      <c r="AD11">
        <f ca="1">IF(AND(ISNUMBER($AD$472),$B$419=1),$AD$472,HLOOKUP(INDIRECT(ADDRESS(2,COLUMN())),OFFSET($BN$2,0,0,ROW()-1,60),ROW()-1,FALSE))</f>
        <v>112.053</v>
      </c>
      <c r="AE11">
        <f ca="1">IF(AND(ISNUMBER($AE$472),$B$419=1),$AE$472,HLOOKUP(INDIRECT(ADDRESS(2,COLUMN())),OFFSET($BN$2,0,0,ROW()-1,60),ROW()-1,FALSE))</f>
        <v>110.97799999999999</v>
      </c>
      <c r="AF11">
        <f ca="1">IF(AND(ISNUMBER($AF$472),$B$419=1),$AF$472,HLOOKUP(INDIRECT(ADDRESS(2,COLUMN())),OFFSET($BN$2,0,0,ROW()-1,60),ROW()-1,FALSE))</f>
        <v>105.742</v>
      </c>
      <c r="AG11">
        <f ca="1">IF(AND(ISNUMBER($AG$472),$B$419=1),$AG$472,HLOOKUP(INDIRECT(ADDRESS(2,COLUMN())),OFFSET($BN$2,0,0,ROW()-1,60),ROW()-1,FALSE))</f>
        <v>101.361</v>
      </c>
      <c r="AH11">
        <f ca="1">IF(AND(ISNUMBER($AH$472),$B$419=1),$AH$472,HLOOKUP(INDIRECT(ADDRESS(2,COLUMN())),OFFSET($BN$2,0,0,ROW()-1,60),ROW()-1,FALSE))</f>
        <v>97.144999999999996</v>
      </c>
      <c r="AI11">
        <f ca="1">IF(AND(ISNUMBER($AI$472),$B$419=1),$AI$472,HLOOKUP(INDIRECT(ADDRESS(2,COLUMN())),OFFSET($BN$2,0,0,ROW()-1,60),ROW()-1,FALSE))</f>
        <v>91.974000000000004</v>
      </c>
      <c r="AJ11">
        <f ca="1">IF(AND(ISNUMBER($AJ$472),$B$419=1),$AJ$472,HLOOKUP(INDIRECT(ADDRESS(2,COLUMN())),OFFSET($BN$2,0,0,ROW()-1,60),ROW()-1,FALSE))</f>
        <v>86.748999999999995</v>
      </c>
      <c r="AK11">
        <f ca="1">IF(AND(ISNUMBER($AK$472),$B$419=1),$AK$472,HLOOKUP(INDIRECT(ADDRESS(2,COLUMN())),OFFSET($BN$2,0,0,ROW()-1,60),ROW()-1,FALSE))</f>
        <v>82.201999999999998</v>
      </c>
      <c r="AL11">
        <f ca="1">IF(AND(ISNUMBER($AL$472),$B$419=1),$AL$472,HLOOKUP(INDIRECT(ADDRESS(2,COLUMN())),OFFSET($BN$2,0,0,ROW()-1,60),ROW()-1,FALSE))</f>
        <v>82.512</v>
      </c>
      <c r="AM11">
        <f ca="1">IF(AND(ISNUMBER($AM$472),$B$419=1),$AM$472,HLOOKUP(INDIRECT(ADDRESS(2,COLUMN())),OFFSET($BN$2,0,0,ROW()-1,60),ROW()-1,FALSE))</f>
        <v>81.116</v>
      </c>
      <c r="AN11">
        <f ca="1">IF(AND(ISNUMBER($AN$472),$B$419=1),$AN$472,HLOOKUP(INDIRECT(ADDRESS(2,COLUMN())),OFFSET($BN$2,0,0,ROW()-1,60),ROW()-1,FALSE))</f>
        <v>81.036000000000001</v>
      </c>
      <c r="AO11">
        <f ca="1">IF(AND(ISNUMBER($AO$472),$B$419=1),$AO$472,HLOOKUP(INDIRECT(ADDRESS(2,COLUMN())),OFFSET($BN$2,0,0,ROW()-1,60),ROW()-1,FALSE))</f>
        <v>81.215999999999994</v>
      </c>
      <c r="AP11">
        <f ca="1">IF(AND(ISNUMBER($AP$472),$B$419=1),$AP$472,HLOOKUP(INDIRECT(ADDRESS(2,COLUMN())),OFFSET($BN$2,0,0,ROW()-1,60),ROW()-1,FALSE))</f>
        <v>81.778000000000006</v>
      </c>
      <c r="AQ11">
        <f ca="1">IF(AND(ISNUMBER($AQ$472),$B$419=1),$AQ$472,HLOOKUP(INDIRECT(ADDRESS(2,COLUMN())),OFFSET($BN$2,0,0,ROW()-1,60),ROW()-1,FALSE))</f>
        <v>82.125</v>
      </c>
      <c r="AR11">
        <f ca="1">IF(AND(ISNUMBER($AR$472),$B$419=1),$AR$472,HLOOKUP(INDIRECT(ADDRESS(2,COLUMN())),OFFSET($BN$2,0,0,ROW()-1,60),ROW()-1,FALSE))</f>
        <v>81.950999999999993</v>
      </c>
      <c r="AS11">
        <f ca="1">IF(AND(ISNUMBER($AS$472),$B$419=1),$AS$472,HLOOKUP(INDIRECT(ADDRESS(2,COLUMN())),OFFSET($BN$2,0,0,ROW()-1,60),ROW()-1,FALSE))</f>
        <v>81.981999999999999</v>
      </c>
      <c r="AT11">
        <f ca="1">IF(AND(ISNUMBER($AT$472),$B$419=1),$AT$472,HLOOKUP(INDIRECT(ADDRESS(2,COLUMN())),OFFSET($BN$2,0,0,ROW()-1,60),ROW()-1,FALSE))</f>
        <v>81.241</v>
      </c>
      <c r="AU11">
        <f ca="1">IF(AND(ISNUMBER($AU$472),$B$419=1),$AU$472,HLOOKUP(INDIRECT(ADDRESS(2,COLUMN())),OFFSET($BN$2,0,0,ROW()-1,60),ROW()-1,FALSE))</f>
        <v>77.421000000000006</v>
      </c>
      <c r="AV11">
        <f ca="1">IF(AND(ISNUMBER($AV$472),$B$419=1),$AV$472,HLOOKUP(INDIRECT(ADDRESS(2,COLUMN())),OFFSET($BN$2,0,0,ROW()-1,60),ROW()-1,FALSE))</f>
        <v>72.228996280000004</v>
      </c>
      <c r="AW11">
        <f ca="1">IF(AND(ISNUMBER($AW$472),$B$419=1),$AW$472,HLOOKUP(INDIRECT(ADDRESS(2,COLUMN())),OFFSET($BN$2,0,0,ROW()-1,60),ROW()-1,FALSE))</f>
        <v>70.111999510000004</v>
      </c>
      <c r="AX11">
        <f ca="1">IF(AND(ISNUMBER($AX$472),$B$419=1),$AX$472,HLOOKUP(INDIRECT(ADDRESS(2,COLUMN())),OFFSET($BN$2,0,0,ROW()-1,60),ROW()-1,FALSE))</f>
        <v>69.177999999999997</v>
      </c>
      <c r="AY11">
        <f ca="1">IF(AND(ISNUMBER($AY$472),$B$419=1),$AY$472,HLOOKUP(INDIRECT(ADDRESS(2,COLUMN())),OFFSET($BN$2,0,0,ROW()-1,60),ROW()-1,FALSE))</f>
        <v>67.831999999999994</v>
      </c>
      <c r="AZ11">
        <f ca="1">IF(AND(ISNUMBER($AZ$472),$B$419=1),$AZ$472,HLOOKUP(INDIRECT(ADDRESS(2,COLUMN())),OFFSET($BN$2,0,0,ROW()-1,60),ROW()-1,FALSE))</f>
        <v>58.918999999999997</v>
      </c>
      <c r="BA11">
        <f ca="1">IF(AND(ISNUMBER($BA$472),$B$419=1),$BA$472,HLOOKUP(INDIRECT(ADDRESS(2,COLUMN())),OFFSET($BN$2,0,0,ROW()-1,60),ROW()-1,FALSE))</f>
        <v>55.703998570000003</v>
      </c>
      <c r="BB11">
        <f ca="1">IF(AND(ISNUMBER($BB$472),$B$419=1),$BB$472,HLOOKUP(INDIRECT(ADDRESS(2,COLUMN())),OFFSET($BN$2,0,0,ROW()-1,60),ROW()-1,FALSE))</f>
        <v>55.031999999999996</v>
      </c>
      <c r="BC11">
        <f ca="1">IF(AND(ISNUMBER($BC$472),$B$419=1),$BC$472,HLOOKUP(INDIRECT(ADDRESS(2,COLUMN())),OFFSET($BN$2,0,0,ROW()-1,60),ROW()-1,FALSE))</f>
        <v>53.319000000000003</v>
      </c>
      <c r="BD11">
        <f ca="1">IF(AND(ISNUMBER($BD$472),$B$419=1),$BD$472,HLOOKUP(INDIRECT(ADDRESS(2,COLUMN())),OFFSET($BN$2,0,0,ROW()-1,60),ROW()-1,FALSE))</f>
        <v>48.750999450000002</v>
      </c>
      <c r="BE11">
        <f ca="1">IF(AND(ISNUMBER($BE$472),$B$419=1),$BE$472,HLOOKUP(INDIRECT(ADDRESS(2,COLUMN())),OFFSET($BN$2,0,0,ROW()-1,60),ROW()-1,FALSE))</f>
        <v>47.08000183</v>
      </c>
      <c r="BF11">
        <f ca="1">IF(AND(ISNUMBER($BF$472),$B$419=1),$BF$472,HLOOKUP(INDIRECT(ADDRESS(2,COLUMN())),OFFSET($BN$2,0,0,ROW()-1,60),ROW()-1,FALSE))</f>
        <v>46.515998840000002</v>
      </c>
      <c r="BG11">
        <f ca="1">IF(AND(ISNUMBER($BG$472),$B$419=1),$BG$472,HLOOKUP(INDIRECT(ADDRESS(2,COLUMN())),OFFSET($BN$2,0,0,ROW()-1,60),ROW()-1,FALSE))</f>
        <v>42.902999999999999</v>
      </c>
      <c r="BH11">
        <f ca="1">IF(AND(ISNUMBER($BH$472),$B$419=1),$BH$472,HLOOKUP(INDIRECT(ADDRESS(2,COLUMN())),OFFSET($BN$2,0,0,ROW()-1,60),ROW()-1,FALSE))</f>
        <v>43.636000000000003</v>
      </c>
      <c r="BI11">
        <f ca="1">IF(AND(ISNUMBER($BI$472),$B$419=1),$BI$472,HLOOKUP(INDIRECT(ADDRESS(2,COLUMN())),OFFSET($BN$2,0,0,ROW()-1,60),ROW()-1,FALSE))</f>
        <v>43.534999999999997</v>
      </c>
      <c r="BJ11">
        <f ca="1">IF(AND(ISNUMBER($BJ$472),$B$419=1),$BJ$472,HLOOKUP(INDIRECT(ADDRESS(2,COLUMN())),OFFSET($BN$2,0,0,ROW()-1,60),ROW()-1,FALSE))</f>
        <v>41.932998660000003</v>
      </c>
      <c r="BK11">
        <f ca="1">IF(AND(ISNUMBER($BK$472),$B$419=1),$BK$472,HLOOKUP(INDIRECT(ADDRESS(2,COLUMN())),OFFSET($BN$2,0,0,ROW()-1,60),ROW()-1,FALSE))</f>
        <v>39.710998539999999</v>
      </c>
      <c r="BL11">
        <f ca="1">IF(AND(ISNUMBER($BL$472),$B$419=1),$BL$472,HLOOKUP(INDIRECT(ADDRESS(2,COLUMN())),OFFSET($BN$2,0,0,ROW()-1,60),ROW()-1,FALSE))</f>
        <v>36.051998140000002</v>
      </c>
      <c r="BM11">
        <f ca="1">IF(AND(ISNUMBER($BM$472),$B$419=1),$BM$472,HLOOKUP(INDIRECT(ADDRESS(2,COLUMN())),OFFSET($BN$2,0,0,ROW()-1,60),ROW()-1,FALSE))</f>
        <v>35.395000459999999</v>
      </c>
      <c r="BN11" t="str">
        <f>""</f>
        <v/>
      </c>
      <c r="BO11">
        <f>310.064</f>
        <v>310.06400000000002</v>
      </c>
      <c r="BP11">
        <f>305.388</f>
        <v>305.38799999999998</v>
      </c>
      <c r="BQ11">
        <f>299.805</f>
        <v>299.80500000000001</v>
      </c>
      <c r="BR11">
        <f>297.05</f>
        <v>297.05</v>
      </c>
      <c r="BS11">
        <f>286.587</f>
        <v>286.58699999999999</v>
      </c>
      <c r="BT11">
        <f>276.856</f>
        <v>276.85599999999999</v>
      </c>
      <c r="BU11">
        <f>271.168</f>
        <v>271.16800000000001</v>
      </c>
      <c r="BV11">
        <f>265.906</f>
        <v>265.90600000000001</v>
      </c>
      <c r="BW11">
        <f>262.992</f>
        <v>262.99200000000002</v>
      </c>
      <c r="BX11">
        <f>257.765</f>
        <v>257.76499999999999</v>
      </c>
      <c r="BY11">
        <f>253.038</f>
        <v>253.03800000000001</v>
      </c>
      <c r="BZ11">
        <f>245.085</f>
        <v>245.08500000000001</v>
      </c>
      <c r="CA11">
        <f>246.881</f>
        <v>246.881</v>
      </c>
      <c r="CB11">
        <f>235.107</f>
        <v>235.107</v>
      </c>
      <c r="CC11">
        <f>228.037</f>
        <v>228.03700000000001</v>
      </c>
      <c r="CD11">
        <f>220.549</f>
        <v>220.54900000000001</v>
      </c>
      <c r="CE11">
        <f>214.323</f>
        <v>214.32300000000001</v>
      </c>
      <c r="CF11">
        <f>200.439</f>
        <v>200.43899999999999</v>
      </c>
      <c r="CG11">
        <f>184.574</f>
        <v>184.57400000000001</v>
      </c>
      <c r="CH11">
        <f>173.825</f>
        <v>173.82499999999999</v>
      </c>
      <c r="CI11">
        <f>132.284</f>
        <v>132.28399999999999</v>
      </c>
      <c r="CJ11">
        <f>116.795</f>
        <v>116.795</v>
      </c>
      <c r="CK11">
        <f>112.528</f>
        <v>112.52800000000001</v>
      </c>
      <c r="CL11">
        <f>112.053</f>
        <v>112.053</v>
      </c>
      <c r="CM11">
        <f>110.978</f>
        <v>110.97799999999999</v>
      </c>
      <c r="CN11">
        <f>105.742</f>
        <v>105.742</v>
      </c>
      <c r="CO11">
        <f>101.361</f>
        <v>101.361</v>
      </c>
      <c r="CP11">
        <f>97.145</f>
        <v>97.144999999999996</v>
      </c>
      <c r="CQ11">
        <f>91.974</f>
        <v>91.974000000000004</v>
      </c>
      <c r="CR11">
        <f>86.749</f>
        <v>86.748999999999995</v>
      </c>
      <c r="CS11">
        <f>82.202</f>
        <v>82.201999999999998</v>
      </c>
      <c r="CT11">
        <f>82.512</f>
        <v>82.512</v>
      </c>
      <c r="CU11">
        <f>81.116</f>
        <v>81.116</v>
      </c>
      <c r="CV11">
        <f>81.036</f>
        <v>81.036000000000001</v>
      </c>
      <c r="CW11">
        <f>81.216</f>
        <v>81.215999999999994</v>
      </c>
      <c r="CX11">
        <f>81.778</f>
        <v>81.778000000000006</v>
      </c>
      <c r="CY11">
        <f>82.125</f>
        <v>82.125</v>
      </c>
      <c r="CZ11">
        <f>81.951</f>
        <v>81.950999999999993</v>
      </c>
      <c r="DA11">
        <f>81.982</f>
        <v>81.981999999999999</v>
      </c>
      <c r="DB11">
        <f>81.241</f>
        <v>81.241</v>
      </c>
      <c r="DC11">
        <f>77.421</f>
        <v>77.421000000000006</v>
      </c>
      <c r="DD11">
        <f>72.22899628</f>
        <v>72.228996280000004</v>
      </c>
      <c r="DE11">
        <f>70.11199951</f>
        <v>70.111999510000004</v>
      </c>
      <c r="DF11">
        <f>69.178</f>
        <v>69.177999999999997</v>
      </c>
      <c r="DG11">
        <f>67.832</f>
        <v>67.831999999999994</v>
      </c>
      <c r="DH11">
        <f>58.919</f>
        <v>58.918999999999997</v>
      </c>
      <c r="DI11">
        <f>55.70399857</f>
        <v>55.703998570000003</v>
      </c>
      <c r="DJ11">
        <f>55.032</f>
        <v>55.031999999999996</v>
      </c>
      <c r="DK11">
        <f>53.319</f>
        <v>53.319000000000003</v>
      </c>
      <c r="DL11">
        <f>48.75099945</f>
        <v>48.750999450000002</v>
      </c>
      <c r="DM11">
        <f>47.08000183</f>
        <v>47.08000183</v>
      </c>
      <c r="DN11">
        <f>46.51599884</f>
        <v>46.515998840000002</v>
      </c>
      <c r="DO11">
        <f>42.903</f>
        <v>42.902999999999999</v>
      </c>
      <c r="DP11">
        <f>43.636</f>
        <v>43.636000000000003</v>
      </c>
      <c r="DQ11">
        <f>43.535</f>
        <v>43.534999999999997</v>
      </c>
      <c r="DR11">
        <f>41.93299866</f>
        <v>41.932998660000003</v>
      </c>
      <c r="DS11">
        <f>39.71099854</f>
        <v>39.710998539999999</v>
      </c>
      <c r="DT11">
        <f>36.05199814</f>
        <v>36.051998140000002</v>
      </c>
      <c r="DU11">
        <f>35.39500046</f>
        <v>35.395000459999999</v>
      </c>
    </row>
    <row r="12" spans="1:125">
      <c r="A12" t="str">
        <f>"    Regency Centers Corp"</f>
        <v xml:space="preserve">    Regency Centers Corp</v>
      </c>
      <c r="B12" t="str">
        <f>"REG US Equity"</f>
        <v>REG US Equity</v>
      </c>
      <c r="C12" t="str">
        <f t="shared" si="0"/>
        <v>IS030</v>
      </c>
      <c r="D12" t="str">
        <f t="shared" si="1"/>
        <v>IS_RENT_INC</v>
      </c>
      <c r="E12" t="str">
        <f t="shared" si="2"/>
        <v>动态</v>
      </c>
      <c r="F12" t="str">
        <f ca="1">IF(AND(ISNUMBER($F$473),$B$419=1),$F$473,HLOOKUP(INDIRECT(ADDRESS(2,COLUMN())),OFFSET($BN$2,0,0,ROW()-1,60),ROW()-1,FALSE))</f>
        <v/>
      </c>
      <c r="G12">
        <f ca="1">IF(AND(ISNUMBER($G$473),$B$419=1),$G$473,HLOOKUP(INDIRECT(ADDRESS(2,COLUMN())),OFFSET($BN$2,0,0,ROW()-1,60),ROW()-1,FALSE))</f>
        <v>257.94499999999999</v>
      </c>
      <c r="H12">
        <f ca="1">IF(AND(ISNUMBER($H$473),$B$419=1),$H$473,HLOOKUP(INDIRECT(ADDRESS(2,COLUMN())),OFFSET($BN$2,0,0,ROW()-1,60),ROW()-1,FALSE))</f>
        <v>256.09399999999999</v>
      </c>
      <c r="I12">
        <f ca="1">IF(AND(ISNUMBER($I$473),$B$419=1),$I$473,HLOOKUP(INDIRECT(ADDRESS(2,COLUMN())),OFFSET($BN$2,0,0,ROW()-1,60),ROW()-1,FALSE))</f>
        <v>254.70400000000001</v>
      </c>
      <c r="J12">
        <f ca="1">IF(AND(ISNUMBER($J$473),$B$419=1),$J$473,HLOOKUP(INDIRECT(ADDRESS(2,COLUMN())),OFFSET($BN$2,0,0,ROW()-1,60),ROW()-1,FALSE))</f>
        <v>189.42500000000001</v>
      </c>
      <c r="K12">
        <f ca="1">IF(AND(ISNUMBER($K$473),$B$419=1),$K$473,HLOOKUP(INDIRECT(ADDRESS(2,COLUMN())),OFFSET($BN$2,0,0,ROW()-1,60),ROW()-1,FALSE))</f>
        <v>152.99299999999999</v>
      </c>
      <c r="L12">
        <f ca="1">IF(AND(ISNUMBER($L$473),$B$419=1),$L$473,HLOOKUP(INDIRECT(ADDRESS(2,COLUMN())),OFFSET($BN$2,0,0,ROW()-1,60),ROW()-1,FALSE))</f>
        <v>146.91300000000001</v>
      </c>
      <c r="M12">
        <f ca="1">IF(AND(ISNUMBER($M$473),$B$419=1),$M$473,HLOOKUP(INDIRECT(ADDRESS(2,COLUMN())),OFFSET($BN$2,0,0,ROW()-1,60),ROW()-1,FALSE))</f>
        <v>146.27199999999999</v>
      </c>
      <c r="N12">
        <f ca="1">IF(AND(ISNUMBER($N$473),$B$419=1),$N$473,HLOOKUP(INDIRECT(ADDRESS(2,COLUMN())),OFFSET($BN$2,0,0,ROW()-1,60),ROW()-1,FALSE))</f>
        <v>142.864</v>
      </c>
      <c r="O12">
        <f ca="1">IF(AND(ISNUMBER($O$473),$B$419=1),$O$473,HLOOKUP(INDIRECT(ADDRESS(2,COLUMN())),OFFSET($BN$2,0,0,ROW()-1,60),ROW()-1,FALSE))</f>
        <v>138.637</v>
      </c>
      <c r="P12">
        <f ca="1">IF(AND(ISNUMBER($P$473),$B$419=1),$P$473,HLOOKUP(INDIRECT(ADDRESS(2,COLUMN())),OFFSET($BN$2,0,0,ROW()-1,60),ROW()-1,FALSE))</f>
        <v>136.28200000000001</v>
      </c>
      <c r="Q12">
        <f ca="1">IF(AND(ISNUMBER($Q$473),$B$419=1),$Q$473,HLOOKUP(INDIRECT(ADDRESS(2,COLUMN())),OFFSET($BN$2,0,0,ROW()-1,60),ROW()-1,FALSE))</f>
        <v>135.12100000000001</v>
      </c>
      <c r="R12">
        <f ca="1">IF(AND(ISNUMBER($R$473),$B$419=1),$R$473,HLOOKUP(INDIRECT(ADDRESS(2,COLUMN())),OFFSET($BN$2,0,0,ROW()-1,60),ROW()-1,FALSE))</f>
        <v>134.161</v>
      </c>
      <c r="S12">
        <f ca="1">IF(AND(ISNUMBER($S$473),$B$419=1),$S$473,HLOOKUP(INDIRECT(ADDRESS(2,COLUMN())),OFFSET($BN$2,0,0,ROW()-1,60),ROW()-1,FALSE))</f>
        <v>130.423</v>
      </c>
      <c r="T12">
        <f ca="1">IF(AND(ISNUMBER($T$473),$B$419=1),$T$473,HLOOKUP(INDIRECT(ADDRESS(2,COLUMN())),OFFSET($BN$2,0,0,ROW()-1,60),ROW()-1,FALSE))</f>
        <v>127.77800000000001</v>
      </c>
      <c r="U12">
        <f ca="1">IF(AND(ISNUMBER($U$473),$B$419=1),$U$473,HLOOKUP(INDIRECT(ADDRESS(2,COLUMN())),OFFSET($BN$2,0,0,ROW()-1,60),ROW()-1,FALSE))</f>
        <v>128.63900000000001</v>
      </c>
      <c r="V12">
        <f ca="1">IF(AND(ISNUMBER($V$473),$B$419=1),$V$473,HLOOKUP(INDIRECT(ADDRESS(2,COLUMN())),OFFSET($BN$2,0,0,ROW()-1,60),ROW()-1,FALSE))</f>
        <v>126.961</v>
      </c>
      <c r="W12">
        <f ca="1">IF(AND(ISNUMBER($W$473),$B$419=1),$W$473,HLOOKUP(INDIRECT(ADDRESS(2,COLUMN())),OFFSET($BN$2,0,0,ROW()-1,60),ROW()-1,FALSE))</f>
        <v>120.104</v>
      </c>
      <c r="X12">
        <f ca="1">IF(AND(ISNUMBER($X$473),$B$419=1),$X$473,HLOOKUP(INDIRECT(ADDRESS(2,COLUMN())),OFFSET($BN$2,0,0,ROW()-1,60),ROW()-1,FALSE))</f>
        <v>114.624</v>
      </c>
      <c r="Y12">
        <f ca="1">IF(AND(ISNUMBER($Y$473),$B$419=1),$Y$473,HLOOKUP(INDIRECT(ADDRESS(2,COLUMN())),OFFSET($BN$2,0,0,ROW()-1,60),ROW()-1,FALSE))</f>
        <v>115.566</v>
      </c>
      <c r="Z12">
        <f ca="1">IF(AND(ISNUMBER($Z$473),$B$419=1),$Z$473,HLOOKUP(INDIRECT(ADDRESS(2,COLUMN())),OFFSET($BN$2,0,0,ROW()-1,60),ROW()-1,FALSE))</f>
        <v>113.617</v>
      </c>
      <c r="AA12">
        <f ca="1">IF(AND(ISNUMBER($AA$473),$B$419=1),$AA$473,HLOOKUP(INDIRECT(ADDRESS(2,COLUMN())),OFFSET($BN$2,0,0,ROW()-1,60),ROW()-1,FALSE))</f>
        <v>109.779</v>
      </c>
      <c r="AB12">
        <f ca="1">IF(AND(ISNUMBER($AB$473),$B$419=1),$AB$473,HLOOKUP(INDIRECT(ADDRESS(2,COLUMN())),OFFSET($BN$2,0,0,ROW()-1,60),ROW()-1,FALSE))</f>
        <v>109.148</v>
      </c>
      <c r="AC12">
        <f ca="1">IF(AND(ISNUMBER($AC$473),$B$419=1),$AC$473,HLOOKUP(INDIRECT(ADDRESS(2,COLUMN())),OFFSET($BN$2,0,0,ROW()-1,60),ROW()-1,FALSE))</f>
        <v>120.29600000000001</v>
      </c>
      <c r="AD12">
        <f ca="1">IF(AND(ISNUMBER($AD$473),$B$419=1),$AD$473,HLOOKUP(INDIRECT(ADDRESS(2,COLUMN())),OFFSET($BN$2,0,0,ROW()-1,60),ROW()-1,FALSE))</f>
        <v>119.093</v>
      </c>
      <c r="AE12">
        <f ca="1">IF(AND(ISNUMBER($AE$473),$B$419=1),$AE$473,HLOOKUP(INDIRECT(ADDRESS(2,COLUMN())),OFFSET($BN$2,0,0,ROW()-1,60),ROW()-1,FALSE))</f>
        <v>116.61</v>
      </c>
      <c r="AF12">
        <f ca="1">IF(AND(ISNUMBER($AF$473),$B$419=1),$AF$473,HLOOKUP(INDIRECT(ADDRESS(2,COLUMN())),OFFSET($BN$2,0,0,ROW()-1,60),ROW()-1,FALSE))</f>
        <v>116.08</v>
      </c>
      <c r="AG12">
        <f ca="1">IF(AND(ISNUMBER($AG$473),$B$419=1),$AG$473,HLOOKUP(INDIRECT(ADDRESS(2,COLUMN())),OFFSET($BN$2,0,0,ROW()-1,60),ROW()-1,FALSE))</f>
        <v>112.45</v>
      </c>
      <c r="AH12">
        <f ca="1">IF(AND(ISNUMBER($AH$473),$B$419=1),$AH$473,HLOOKUP(INDIRECT(ADDRESS(2,COLUMN())),OFFSET($BN$2,0,0,ROW()-1,60),ROW()-1,FALSE))</f>
        <v>116.47</v>
      </c>
      <c r="AI12">
        <f ca="1">IF(AND(ISNUMBER($AI$473),$B$419=1),$AI$473,HLOOKUP(INDIRECT(ADDRESS(2,COLUMN())),OFFSET($BN$2,0,0,ROW()-1,60),ROW()-1,FALSE))</f>
        <v>111.15921</v>
      </c>
      <c r="AJ12">
        <f ca="1">IF(AND(ISNUMBER($AJ$473),$B$419=1),$AJ$473,HLOOKUP(INDIRECT(ADDRESS(2,COLUMN())),OFFSET($BN$2,0,0,ROW()-1,60),ROW()-1,FALSE))</f>
        <v>114.26900000000001</v>
      </c>
      <c r="AK12">
        <f ca="1">IF(AND(ISNUMBER($AK$473),$B$419=1),$AK$473,HLOOKUP(INDIRECT(ADDRESS(2,COLUMN())),OFFSET($BN$2,0,0,ROW()-1,60),ROW()-1,FALSE))</f>
        <v>111.733</v>
      </c>
      <c r="AL12">
        <f ca="1">IF(AND(ISNUMBER($AL$473),$B$419=1),$AL$473,HLOOKUP(INDIRECT(ADDRESS(2,COLUMN())),OFFSET($BN$2,0,0,ROW()-1,60),ROW()-1,FALSE))</f>
        <v>117.14700000000001</v>
      </c>
      <c r="AM12">
        <f ca="1">IF(AND(ISNUMBER($AM$473),$B$419=1),$AM$473,HLOOKUP(INDIRECT(ADDRESS(2,COLUMN())),OFFSET($BN$2,0,0,ROW()-1,60),ROW()-1,FALSE))</f>
        <v>113.313671</v>
      </c>
      <c r="AN12">
        <f ca="1">IF(AND(ISNUMBER($AN$473),$B$419=1),$AN$473,HLOOKUP(INDIRECT(ADDRESS(2,COLUMN())),OFFSET($BN$2,0,0,ROW()-1,60),ROW()-1,FALSE))</f>
        <v>116.715</v>
      </c>
      <c r="AO12">
        <f ca="1">IF(AND(ISNUMBER($AO$473),$B$419=1),$AO$473,HLOOKUP(INDIRECT(ADDRESS(2,COLUMN())),OFFSET($BN$2,0,0,ROW()-1,60),ROW()-1,FALSE))</f>
        <v>108.396</v>
      </c>
      <c r="AP12">
        <f ca="1">IF(AND(ISNUMBER($AP$473),$B$419=1),$AP$473,HLOOKUP(INDIRECT(ADDRESS(2,COLUMN())),OFFSET($BN$2,0,0,ROW()-1,60),ROW()-1,FALSE))</f>
        <v>111.95699999999999</v>
      </c>
      <c r="AQ12">
        <f ca="1">IF(AND(ISNUMBER($AQ$473),$B$419=1),$AQ$473,HLOOKUP(INDIRECT(ADDRESS(2,COLUMN())),OFFSET($BN$2,0,0,ROW()-1,60),ROW()-1,FALSE))</f>
        <v>112.77685</v>
      </c>
      <c r="AR12">
        <f ca="1">IF(AND(ISNUMBER($AR$473),$B$419=1),$AR$473,HLOOKUP(INDIRECT(ADDRESS(2,COLUMN())),OFFSET($BN$2,0,0,ROW()-1,60),ROW()-1,FALSE))</f>
        <v>113.545</v>
      </c>
      <c r="AS12">
        <f ca="1">IF(AND(ISNUMBER($AS$473),$B$419=1),$AS$473,HLOOKUP(INDIRECT(ADDRESS(2,COLUMN())),OFFSET($BN$2,0,0,ROW()-1,60),ROW()-1,FALSE))</f>
        <v>108.95399999999999</v>
      </c>
      <c r="AT12">
        <f ca="1">IF(AND(ISNUMBER($AT$473),$B$419=1),$AT$473,HLOOKUP(INDIRECT(ADDRESS(2,COLUMN())),OFFSET($BN$2,0,0,ROW()-1,60),ROW()-1,FALSE))</f>
        <v>107.05800000000001</v>
      </c>
      <c r="AU12">
        <f ca="1">IF(AND(ISNUMBER($AU$473),$B$419=1),$AU$473,HLOOKUP(INDIRECT(ADDRESS(2,COLUMN())),OFFSET($BN$2,0,0,ROW()-1,60),ROW()-1,FALSE))</f>
        <v>99.231999999999999</v>
      </c>
      <c r="AV12">
        <f ca="1">IF(AND(ISNUMBER($AV$473),$B$419=1),$AV$473,HLOOKUP(INDIRECT(ADDRESS(2,COLUMN())),OFFSET($BN$2,0,0,ROW()-1,60),ROW()-1,FALSE))</f>
        <v>103.911</v>
      </c>
      <c r="AW12">
        <f ca="1">IF(AND(ISNUMBER($AW$473),$B$419=1),$AW$473,HLOOKUP(INDIRECT(ADDRESS(2,COLUMN())),OFFSET($BN$2,0,0,ROW()-1,60),ROW()-1,FALSE))</f>
        <v>100.343</v>
      </c>
      <c r="AX12">
        <f ca="1">IF(AND(ISNUMBER($AX$473),$B$419=1),$AX$473,HLOOKUP(INDIRECT(ADDRESS(2,COLUMN())),OFFSET($BN$2,0,0,ROW()-1,60),ROW()-1,FALSE))</f>
        <v>100.032</v>
      </c>
      <c r="AY12">
        <f ca="1">IF(AND(ISNUMBER($AY$473),$B$419=1),$AY$473,HLOOKUP(INDIRECT(ADDRESS(2,COLUMN())),OFFSET($BN$2,0,0,ROW()-1,60),ROW()-1,FALSE))</f>
        <v>102.06399999999999</v>
      </c>
      <c r="AZ12">
        <f ca="1">IF(AND(ISNUMBER($AZ$473),$B$419=1),$AZ$473,HLOOKUP(INDIRECT(ADDRESS(2,COLUMN())),OFFSET($BN$2,0,0,ROW()-1,60),ROW()-1,FALSE))</f>
        <v>97.29</v>
      </c>
      <c r="BA12">
        <f ca="1">IF(AND(ISNUMBER($BA$473),$B$419=1),$BA$473,HLOOKUP(INDIRECT(ADDRESS(2,COLUMN())),OFFSET($BN$2,0,0,ROW()-1,60),ROW()-1,FALSE))</f>
        <v>93.259</v>
      </c>
      <c r="BB12">
        <f ca="1">IF(AND(ISNUMBER($BB$473),$B$419=1),$BB$473,HLOOKUP(INDIRECT(ADDRESS(2,COLUMN())),OFFSET($BN$2,0,0,ROW()-1,60),ROW()-1,FALSE))</f>
        <v>92.55</v>
      </c>
      <c r="BC12">
        <f ca="1">IF(AND(ISNUMBER($BC$473),$B$419=1),$BC$473,HLOOKUP(INDIRECT(ADDRESS(2,COLUMN())),OFFSET($BN$2,0,0,ROW()-1,60),ROW()-1,FALSE))</f>
        <v>84.316999999999993</v>
      </c>
      <c r="BD12">
        <f ca="1">IF(AND(ISNUMBER($BD$473),$B$419=1),$BD$473,HLOOKUP(INDIRECT(ADDRESS(2,COLUMN())),OFFSET($BN$2,0,0,ROW()-1,60),ROW()-1,FALSE))</f>
        <v>90.936999999999998</v>
      </c>
      <c r="BE12">
        <f ca="1">IF(AND(ISNUMBER($BE$473),$B$419=1),$BE$473,HLOOKUP(INDIRECT(ADDRESS(2,COLUMN())),OFFSET($BN$2,0,0,ROW()-1,60),ROW()-1,FALSE))</f>
        <v>90.04</v>
      </c>
      <c r="BF12">
        <f ca="1">IF(AND(ISNUMBER($BF$473),$B$419=1),$BF$473,HLOOKUP(INDIRECT(ADDRESS(2,COLUMN())),OFFSET($BN$2,0,0,ROW()-1,60),ROW()-1,FALSE))</f>
        <v>90.230999999999995</v>
      </c>
      <c r="BG12">
        <f ca="1">IF(AND(ISNUMBER($BG$473),$B$419=1),$BG$473,HLOOKUP(INDIRECT(ADDRESS(2,COLUMN())),OFFSET($BN$2,0,0,ROW()-1,60),ROW()-1,FALSE))</f>
        <v>98.349000000000004</v>
      </c>
      <c r="BH12">
        <f ca="1">IF(AND(ISNUMBER($BH$473),$B$419=1),$BH$473,HLOOKUP(INDIRECT(ADDRESS(2,COLUMN())),OFFSET($BN$2,0,0,ROW()-1,60),ROW()-1,FALSE))</f>
        <v>90.581000000000003</v>
      </c>
      <c r="BI12">
        <f ca="1">IF(AND(ISNUMBER($BI$473),$B$419=1),$BI$473,HLOOKUP(INDIRECT(ADDRESS(2,COLUMN())),OFFSET($BN$2,0,0,ROW()-1,60),ROW()-1,FALSE))</f>
        <v>92.224997999999999</v>
      </c>
      <c r="BJ12">
        <f ca="1">IF(AND(ISNUMBER($BJ$473),$B$419=1),$BJ$473,HLOOKUP(INDIRECT(ADDRESS(2,COLUMN())),OFFSET($BN$2,0,0,ROW()-1,60),ROW()-1,FALSE))</f>
        <v>88.097999999999999</v>
      </c>
      <c r="BK12">
        <f ca="1">IF(AND(ISNUMBER($BK$473),$B$419=1),$BK$473,HLOOKUP(INDIRECT(ADDRESS(2,COLUMN())),OFFSET($BN$2,0,0,ROW()-1,60),ROW()-1,FALSE))</f>
        <v>88.84500122</v>
      </c>
      <c r="BL12">
        <f ca="1">IF(AND(ISNUMBER($BL$473),$B$419=1),$BL$473,HLOOKUP(INDIRECT(ADDRESS(2,COLUMN())),OFFSET($BN$2,0,0,ROW()-1,60),ROW()-1,FALSE))</f>
        <v>87.168998999999999</v>
      </c>
      <c r="BM12">
        <f ca="1">IF(AND(ISNUMBER($BM$473),$B$419=1),$BM$473,HLOOKUP(INDIRECT(ADDRESS(2,COLUMN())),OFFSET($BN$2,0,0,ROW()-1,60),ROW()-1,FALSE))</f>
        <v>87.330001999999993</v>
      </c>
      <c r="BN12" t="str">
        <f>""</f>
        <v/>
      </c>
      <c r="BO12">
        <f>257.945</f>
        <v>257.94499999999999</v>
      </c>
      <c r="BP12">
        <f>256.094</f>
        <v>256.09399999999999</v>
      </c>
      <c r="BQ12">
        <f>254.704</f>
        <v>254.70400000000001</v>
      </c>
      <c r="BR12">
        <f>189.425</f>
        <v>189.42500000000001</v>
      </c>
      <c r="BS12">
        <f>152.993</f>
        <v>152.99299999999999</v>
      </c>
      <c r="BT12">
        <f>146.913</f>
        <v>146.91300000000001</v>
      </c>
      <c r="BU12">
        <f>146.272</f>
        <v>146.27199999999999</v>
      </c>
      <c r="BV12">
        <f>142.864</f>
        <v>142.864</v>
      </c>
      <c r="BW12">
        <f>138.637</f>
        <v>138.637</v>
      </c>
      <c r="BX12">
        <f>136.282</f>
        <v>136.28200000000001</v>
      </c>
      <c r="BY12">
        <f>135.121</f>
        <v>135.12100000000001</v>
      </c>
      <c r="BZ12">
        <f>134.161</f>
        <v>134.161</v>
      </c>
      <c r="CA12">
        <f>130.423</f>
        <v>130.423</v>
      </c>
      <c r="CB12">
        <f>127.778</f>
        <v>127.77800000000001</v>
      </c>
      <c r="CC12">
        <f>128.639</f>
        <v>128.63900000000001</v>
      </c>
      <c r="CD12">
        <f>126.961</f>
        <v>126.961</v>
      </c>
      <c r="CE12">
        <f>120.104</f>
        <v>120.104</v>
      </c>
      <c r="CF12">
        <f>114.624</f>
        <v>114.624</v>
      </c>
      <c r="CG12">
        <f>115.566</f>
        <v>115.566</v>
      </c>
      <c r="CH12">
        <f>113.617</f>
        <v>113.617</v>
      </c>
      <c r="CI12">
        <f>109.779</f>
        <v>109.779</v>
      </c>
      <c r="CJ12">
        <f>109.148</f>
        <v>109.148</v>
      </c>
      <c r="CK12">
        <f>120.296</f>
        <v>120.29600000000001</v>
      </c>
      <c r="CL12">
        <f>119.093</f>
        <v>119.093</v>
      </c>
      <c r="CM12">
        <f>116.61</f>
        <v>116.61</v>
      </c>
      <c r="CN12">
        <f>116.08</f>
        <v>116.08</v>
      </c>
      <c r="CO12">
        <f>112.45</f>
        <v>112.45</v>
      </c>
      <c r="CP12">
        <f>116.47</f>
        <v>116.47</v>
      </c>
      <c r="CQ12">
        <f>111.15921</f>
        <v>111.15921</v>
      </c>
      <c r="CR12">
        <f>114.269</f>
        <v>114.26900000000001</v>
      </c>
      <c r="CS12">
        <f>111.733</f>
        <v>111.733</v>
      </c>
      <c r="CT12">
        <f>117.147</f>
        <v>117.14700000000001</v>
      </c>
      <c r="CU12">
        <f>113.313671</f>
        <v>113.313671</v>
      </c>
      <c r="CV12">
        <f>116.715</f>
        <v>116.715</v>
      </c>
      <c r="CW12">
        <f>108.396</f>
        <v>108.396</v>
      </c>
      <c r="CX12">
        <f>111.957</f>
        <v>111.95699999999999</v>
      </c>
      <c r="CY12">
        <f>112.77685</f>
        <v>112.77685</v>
      </c>
      <c r="CZ12">
        <f>113.545</f>
        <v>113.545</v>
      </c>
      <c r="DA12">
        <f>108.954</f>
        <v>108.95399999999999</v>
      </c>
      <c r="DB12">
        <f>107.058</f>
        <v>107.05800000000001</v>
      </c>
      <c r="DC12">
        <f>99.232</f>
        <v>99.231999999999999</v>
      </c>
      <c r="DD12">
        <f>103.911</f>
        <v>103.911</v>
      </c>
      <c r="DE12">
        <f>100.343</f>
        <v>100.343</v>
      </c>
      <c r="DF12">
        <f>100.032</f>
        <v>100.032</v>
      </c>
      <c r="DG12">
        <f>102.064</f>
        <v>102.06399999999999</v>
      </c>
      <c r="DH12">
        <f>97.29</f>
        <v>97.29</v>
      </c>
      <c r="DI12">
        <f>93.259</f>
        <v>93.259</v>
      </c>
      <c r="DJ12">
        <f>92.55</f>
        <v>92.55</v>
      </c>
      <c r="DK12">
        <f>84.317</f>
        <v>84.316999999999993</v>
      </c>
      <c r="DL12">
        <f>90.937</f>
        <v>90.936999999999998</v>
      </c>
      <c r="DM12">
        <f>90.04</f>
        <v>90.04</v>
      </c>
      <c r="DN12">
        <f>90.231</f>
        <v>90.230999999999995</v>
      </c>
      <c r="DO12">
        <f>98.349</f>
        <v>98.349000000000004</v>
      </c>
      <c r="DP12">
        <f>90.581</f>
        <v>90.581000000000003</v>
      </c>
      <c r="DQ12">
        <f>92.224998</f>
        <v>92.224997999999999</v>
      </c>
      <c r="DR12">
        <f>88.098</f>
        <v>88.097999999999999</v>
      </c>
      <c r="DS12">
        <f>88.84500122</f>
        <v>88.84500122</v>
      </c>
      <c r="DT12">
        <f>87.168999</f>
        <v>87.168998999999999</v>
      </c>
      <c r="DU12">
        <f>87.330002</f>
        <v>87.330001999999993</v>
      </c>
    </row>
    <row r="13" spans="1:125">
      <c r="A13" t="str">
        <f>"    Retail Opportunity Investments"</f>
        <v xml:space="preserve">    Retail Opportunity Investments</v>
      </c>
      <c r="B13" t="str">
        <f>"ROIC US Equity"</f>
        <v>ROIC US Equity</v>
      </c>
      <c r="C13" t="str">
        <f t="shared" si="0"/>
        <v>IS030</v>
      </c>
      <c r="D13" t="str">
        <f t="shared" si="1"/>
        <v>IS_RENT_INC</v>
      </c>
      <c r="E13" t="str">
        <f t="shared" si="2"/>
        <v>动态</v>
      </c>
      <c r="F13" t="str">
        <f ca="1">IF(AND(ISNUMBER($F$474),$B$419=1),$F$474,HLOOKUP(INDIRECT(ADDRESS(2,COLUMN())),OFFSET($BN$2,0,0,ROW()-1,60),ROW()-1,FALSE))</f>
        <v/>
      </c>
      <c r="G13">
        <f ca="1">IF(AND(ISNUMBER($G$474),$B$419=1),$G$474,HLOOKUP(INDIRECT(ADDRESS(2,COLUMN())),OFFSET($BN$2,0,0,ROW()-1,60),ROW()-1,FALSE))</f>
        <v>71.403999999999996</v>
      </c>
      <c r="H13">
        <f ca="1">IF(AND(ISNUMBER($H$474),$B$419=1),$H$474,HLOOKUP(INDIRECT(ADDRESS(2,COLUMN())),OFFSET($BN$2,0,0,ROW()-1,60),ROW()-1,FALSE))</f>
        <v>67.081000000000003</v>
      </c>
      <c r="I13">
        <f ca="1">IF(AND(ISNUMBER($I$474),$B$419=1),$I$474,HLOOKUP(INDIRECT(ADDRESS(2,COLUMN())),OFFSET($BN$2,0,0,ROW()-1,60),ROW()-1,FALSE))</f>
        <v>65.75</v>
      </c>
      <c r="J13">
        <f ca="1">IF(AND(ISNUMBER($J$474),$B$419=1),$J$474,HLOOKUP(INDIRECT(ADDRESS(2,COLUMN())),OFFSET($BN$2,0,0,ROW()-1,60),ROW()-1,FALSE))</f>
        <v>65.147000000000006</v>
      </c>
      <c r="K13">
        <f ca="1">IF(AND(ISNUMBER($K$474),$B$419=1),$K$474,HLOOKUP(INDIRECT(ADDRESS(2,COLUMN())),OFFSET($BN$2,0,0,ROW()-1,60),ROW()-1,FALSE))</f>
        <v>62.213000000000001</v>
      </c>
      <c r="L13">
        <f ca="1">IF(AND(ISNUMBER($L$474),$B$419=1),$L$474,HLOOKUP(INDIRECT(ADDRESS(2,COLUMN())),OFFSET($BN$2,0,0,ROW()-1,60),ROW()-1,FALSE))</f>
        <v>58.7</v>
      </c>
      <c r="M13">
        <f ca="1">IF(AND(ISNUMBER($M$474),$B$419=1),$M$474,HLOOKUP(INDIRECT(ADDRESS(2,COLUMN())),OFFSET($BN$2,0,0,ROW()-1,60),ROW()-1,FALSE))</f>
        <v>58.162999999999997</v>
      </c>
      <c r="N13">
        <f ca="1">IF(AND(ISNUMBER($N$474),$B$419=1),$N$474,HLOOKUP(INDIRECT(ADDRESS(2,COLUMN())),OFFSET($BN$2,0,0,ROW()-1,60),ROW()-1,FALSE))</f>
        <v>55.707999999999998</v>
      </c>
      <c r="O13">
        <f ca="1">IF(AND(ISNUMBER($O$474),$B$419=1),$O$474,HLOOKUP(INDIRECT(ADDRESS(2,COLUMN())),OFFSET($BN$2,0,0,ROW()-1,60),ROW()-1,FALSE))</f>
        <v>50.491</v>
      </c>
      <c r="P13">
        <f ca="1">IF(AND(ISNUMBER($P$474),$B$419=1),$P$474,HLOOKUP(INDIRECT(ADDRESS(2,COLUMN())),OFFSET($BN$2,0,0,ROW()-1,60),ROW()-1,FALSE))</f>
        <v>47.933</v>
      </c>
      <c r="Q13">
        <f ca="1">IF(AND(ISNUMBER($Q$474),$B$419=1),$Q$474,HLOOKUP(INDIRECT(ADDRESS(2,COLUMN())),OFFSET($BN$2,0,0,ROW()-1,60),ROW()-1,FALSE))</f>
        <v>45.869</v>
      </c>
      <c r="R13">
        <f ca="1">IF(AND(ISNUMBER($R$474),$B$419=1),$R$474,HLOOKUP(INDIRECT(ADDRESS(2,COLUMN())),OFFSET($BN$2,0,0,ROW()-1,60),ROW()-1,FALSE))</f>
        <v>44.890999999999998</v>
      </c>
      <c r="S13">
        <f ca="1">IF(AND(ISNUMBER($S$474),$B$419=1),$S$474,HLOOKUP(INDIRECT(ADDRESS(2,COLUMN())),OFFSET($BN$2,0,0,ROW()-1,60),ROW()-1,FALSE))</f>
        <v>41.419696999999999</v>
      </c>
      <c r="T13">
        <f ca="1">IF(AND(ISNUMBER($T$474),$B$419=1),$T$474,HLOOKUP(INDIRECT(ADDRESS(2,COLUMN())),OFFSET($BN$2,0,0,ROW()-1,60),ROW()-1,FALSE))</f>
        <v>39.701728000000003</v>
      </c>
      <c r="U13">
        <f ca="1">IF(AND(ISNUMBER($U$474),$B$419=1),$U$474,HLOOKUP(INDIRECT(ADDRESS(2,COLUMN())),OFFSET($BN$2,0,0,ROW()-1,60),ROW()-1,FALSE))</f>
        <v>36.514774000000003</v>
      </c>
      <c r="V13">
        <f ca="1">IF(AND(ISNUMBER($V$474),$B$419=1),$V$474,HLOOKUP(INDIRECT(ADDRESS(2,COLUMN())),OFFSET($BN$2,0,0,ROW()-1,60),ROW()-1,FALSE))</f>
        <v>35.151000000000003</v>
      </c>
      <c r="W13">
        <f ca="1">IF(AND(ISNUMBER($W$474),$B$419=1),$W$474,HLOOKUP(INDIRECT(ADDRESS(2,COLUMN())),OFFSET($BN$2,0,0,ROW()-1,60),ROW()-1,FALSE))</f>
        <v>32.944949999999999</v>
      </c>
      <c r="X13">
        <f ca="1">IF(AND(ISNUMBER($X$474),$B$419=1),$X$474,HLOOKUP(INDIRECT(ADDRESS(2,COLUMN())),OFFSET($BN$2,0,0,ROW()-1,60),ROW()-1,FALSE))</f>
        <v>26.017026999999999</v>
      </c>
      <c r="Y13">
        <f ca="1">IF(AND(ISNUMBER($Y$474),$B$419=1),$Y$474,HLOOKUP(INDIRECT(ADDRESS(2,COLUMN())),OFFSET($BN$2,0,0,ROW()-1,60),ROW()-1,FALSE))</f>
        <v>25.635429999999999</v>
      </c>
      <c r="Z13">
        <f ca="1">IF(AND(ISNUMBER($Z$474),$B$419=1),$Z$474,HLOOKUP(INDIRECT(ADDRESS(2,COLUMN())),OFFSET($BN$2,0,0,ROW()-1,60),ROW()-1,FALSE))</f>
        <v>24.180389999999999</v>
      </c>
      <c r="AA13">
        <f ca="1">IF(AND(ISNUMBER($AA$474),$B$419=1),$AA$474,HLOOKUP(INDIRECT(ADDRESS(2,COLUMN())),OFFSET($BN$2,0,0,ROW()-1,60),ROW()-1,FALSE))</f>
        <v>21.235913</v>
      </c>
      <c r="AB13">
        <f ca="1">IF(AND(ISNUMBER($AB$474),$B$419=1),$AB$474,HLOOKUP(INDIRECT(ADDRESS(2,COLUMN())),OFFSET($BN$2,0,0,ROW()-1,60),ROW()-1,FALSE))</f>
        <v>18.699279000000001</v>
      </c>
      <c r="AC13">
        <f ca="1">IF(AND(ISNUMBER($AC$474),$B$419=1),$AC$474,HLOOKUP(INDIRECT(ADDRESS(2,COLUMN())),OFFSET($BN$2,0,0,ROW()-1,60),ROW()-1,FALSE))</f>
        <v>17.608944000000001</v>
      </c>
      <c r="AD13">
        <f ca="1">IF(AND(ISNUMBER($AD$474),$B$419=1),$AD$474,HLOOKUP(INDIRECT(ADDRESS(2,COLUMN())),OFFSET($BN$2,0,0,ROW()-1,60),ROW()-1,FALSE))</f>
        <v>16.445461999999999</v>
      </c>
      <c r="AE13">
        <f ca="1">IF(AND(ISNUMBER($AE$474),$B$419=1),$AE$474,HLOOKUP(INDIRECT(ADDRESS(2,COLUMN())),OFFSET($BN$2,0,0,ROW()-1,60),ROW()-1,FALSE))</f>
        <v>16.44275</v>
      </c>
      <c r="AF13">
        <f ca="1">IF(AND(ISNUMBER($AF$474),$B$419=1),$AF$474,HLOOKUP(INDIRECT(ADDRESS(2,COLUMN())),OFFSET($BN$2,0,0,ROW()-1,60),ROW()-1,FALSE))</f>
        <v>13.125278</v>
      </c>
      <c r="AG13">
        <f ca="1">IF(AND(ISNUMBER($AG$474),$B$419=1),$AG$474,HLOOKUP(INDIRECT(ADDRESS(2,COLUMN())),OFFSET($BN$2,0,0,ROW()-1,60),ROW()-1,FALSE))</f>
        <v>11.174416000000001</v>
      </c>
      <c r="AH13">
        <f ca="1">IF(AND(ISNUMBER($AH$474),$B$419=1),$AH$474,HLOOKUP(INDIRECT(ADDRESS(2,COLUMN())),OFFSET($BN$2,0,0,ROW()-1,60),ROW()-1,FALSE))</f>
        <v>9.0864130000000003</v>
      </c>
      <c r="AI13">
        <f ca="1">IF(AND(ISNUMBER($AI$474),$B$419=1),$AI$474,HLOOKUP(INDIRECT(ADDRESS(2,COLUMN())),OFFSET($BN$2,0,0,ROW()-1,60),ROW()-1,FALSE))</f>
        <v>6.538303</v>
      </c>
      <c r="AJ13">
        <f ca="1">IF(AND(ISNUMBER($AJ$474),$B$419=1),$AJ$474,HLOOKUP(INDIRECT(ADDRESS(2,COLUMN())),OFFSET($BN$2,0,0,ROW()-1,60),ROW()-1,FALSE))</f>
        <v>4.4581530000000003</v>
      </c>
      <c r="AK13">
        <f ca="1">IF(AND(ISNUMBER($AK$474),$B$419=1),$AK$474,HLOOKUP(INDIRECT(ADDRESS(2,COLUMN())),OFFSET($BN$2,0,0,ROW()-1,60),ROW()-1,FALSE))</f>
        <v>2.8942209999999999</v>
      </c>
      <c r="AL13">
        <f ca="1">IF(AND(ISNUMBER($AL$474),$B$419=1),$AL$474,HLOOKUP(INDIRECT(ADDRESS(2,COLUMN())),OFFSET($BN$2,0,0,ROW()-1,60),ROW()-1,FALSE))</f>
        <v>1.369332</v>
      </c>
      <c r="AM13" t="str">
        <f ca="1">IF(AND(ISNUMBER($AM$474),$B$419=1),$AM$474,HLOOKUP(INDIRECT(ADDRESS(2,COLUMN())),OFFSET($BN$2,0,0,ROW()-1,60),ROW()-1,FALSE))</f>
        <v/>
      </c>
      <c r="AN13" t="str">
        <f ca="1">IF(AND(ISNUMBER($AN$474),$B$419=1),$AN$474,HLOOKUP(INDIRECT(ADDRESS(2,COLUMN())),OFFSET($BN$2,0,0,ROW()-1,60),ROW()-1,FALSE))</f>
        <v/>
      </c>
      <c r="AO13" t="str">
        <f ca="1">IF(AND(ISNUMBER($AO$474),$B$419=1),$AO$474,HLOOKUP(INDIRECT(ADDRESS(2,COLUMN())),OFFSET($BN$2,0,0,ROW()-1,60),ROW()-1,FALSE))</f>
        <v/>
      </c>
      <c r="AP13" t="str">
        <f ca="1">IF(AND(ISNUMBER($AP$474),$B$419=1),$AP$474,HLOOKUP(INDIRECT(ADDRESS(2,COLUMN())),OFFSET($BN$2,0,0,ROW()-1,60),ROW()-1,FALSE))</f>
        <v/>
      </c>
      <c r="AQ13" t="str">
        <f ca="1">IF(AND(ISNUMBER($AQ$474),$B$419=1),$AQ$474,HLOOKUP(INDIRECT(ADDRESS(2,COLUMN())),OFFSET($BN$2,0,0,ROW()-1,60),ROW()-1,FALSE))</f>
        <v/>
      </c>
      <c r="AR13" t="str">
        <f ca="1">IF(AND(ISNUMBER($AR$474),$B$419=1),$AR$474,HLOOKUP(INDIRECT(ADDRESS(2,COLUMN())),OFFSET($BN$2,0,0,ROW()-1,60),ROW()-1,FALSE))</f>
        <v/>
      </c>
      <c r="AS13" t="str">
        <f ca="1">IF(AND(ISNUMBER($AS$474),$B$419=1),$AS$474,HLOOKUP(INDIRECT(ADDRESS(2,COLUMN())),OFFSET($BN$2,0,0,ROW()-1,60),ROW()-1,FALSE))</f>
        <v/>
      </c>
      <c r="AT13" t="str">
        <f ca="1">IF(AND(ISNUMBER($AT$474),$B$419=1),$AT$474,HLOOKUP(INDIRECT(ADDRESS(2,COLUMN())),OFFSET($BN$2,0,0,ROW()-1,60),ROW()-1,FALSE))</f>
        <v/>
      </c>
      <c r="AU13" t="str">
        <f ca="1">IF(AND(ISNUMBER($AU$474),$B$419=1),$AU$474,HLOOKUP(INDIRECT(ADDRESS(2,COLUMN())),OFFSET($BN$2,0,0,ROW()-1,60),ROW()-1,FALSE))</f>
        <v/>
      </c>
      <c r="AV13" t="str">
        <f ca="1">IF(AND(ISNUMBER($AV$474),$B$419=1),$AV$474,HLOOKUP(INDIRECT(ADDRESS(2,COLUMN())),OFFSET($BN$2,0,0,ROW()-1,60),ROW()-1,FALSE))</f>
        <v/>
      </c>
      <c r="AW13" t="str">
        <f ca="1">IF(AND(ISNUMBER($AW$474),$B$419=1),$AW$474,HLOOKUP(INDIRECT(ADDRESS(2,COLUMN())),OFFSET($BN$2,0,0,ROW()-1,60),ROW()-1,FALSE))</f>
        <v/>
      </c>
      <c r="AX13" t="str">
        <f ca="1">IF(AND(ISNUMBER($AX$474),$B$419=1),$AX$474,HLOOKUP(INDIRECT(ADDRESS(2,COLUMN())),OFFSET($BN$2,0,0,ROW()-1,60),ROW()-1,FALSE))</f>
        <v/>
      </c>
      <c r="AY13" t="str">
        <f ca="1">IF(AND(ISNUMBER($AY$474),$B$419=1),$AY$474,HLOOKUP(INDIRECT(ADDRESS(2,COLUMN())),OFFSET($BN$2,0,0,ROW()-1,60),ROW()-1,FALSE))</f>
        <v/>
      </c>
      <c r="AZ13" t="str">
        <f ca="1">IF(AND(ISNUMBER($AZ$474),$B$419=1),$AZ$474,HLOOKUP(INDIRECT(ADDRESS(2,COLUMN())),OFFSET($BN$2,0,0,ROW()-1,60),ROW()-1,FALSE))</f>
        <v/>
      </c>
      <c r="BA13" t="str">
        <f ca="1">IF(AND(ISNUMBER($BA$474),$B$419=1),$BA$474,HLOOKUP(INDIRECT(ADDRESS(2,COLUMN())),OFFSET($BN$2,0,0,ROW()-1,60),ROW()-1,FALSE))</f>
        <v/>
      </c>
      <c r="BB13" t="str">
        <f ca="1">IF(AND(ISNUMBER($BB$474),$B$419=1),$BB$474,HLOOKUP(INDIRECT(ADDRESS(2,COLUMN())),OFFSET($BN$2,0,0,ROW()-1,60),ROW()-1,FALSE))</f>
        <v/>
      </c>
      <c r="BC13" t="str">
        <f ca="1">IF(AND(ISNUMBER($BC$474),$B$419=1),$BC$474,HLOOKUP(INDIRECT(ADDRESS(2,COLUMN())),OFFSET($BN$2,0,0,ROW()-1,60),ROW()-1,FALSE))</f>
        <v/>
      </c>
      <c r="BD13" t="str">
        <f ca="1">IF(AND(ISNUMBER($BD$474),$B$419=1),$BD$474,HLOOKUP(INDIRECT(ADDRESS(2,COLUMN())),OFFSET($BN$2,0,0,ROW()-1,60),ROW()-1,FALSE))</f>
        <v/>
      </c>
      <c r="BE13" t="str">
        <f ca="1">IF(AND(ISNUMBER($BE$474),$B$419=1),$BE$474,HLOOKUP(INDIRECT(ADDRESS(2,COLUMN())),OFFSET($BN$2,0,0,ROW()-1,60),ROW()-1,FALSE))</f>
        <v/>
      </c>
      <c r="BF13" t="str">
        <f ca="1">IF(AND(ISNUMBER($BF$474),$B$419=1),$BF$474,HLOOKUP(INDIRECT(ADDRESS(2,COLUMN())),OFFSET($BN$2,0,0,ROW()-1,60),ROW()-1,FALSE))</f>
        <v/>
      </c>
      <c r="BG13" t="str">
        <f ca="1">IF(AND(ISNUMBER($BG$474),$B$419=1),$BG$474,HLOOKUP(INDIRECT(ADDRESS(2,COLUMN())),OFFSET($BN$2,0,0,ROW()-1,60),ROW()-1,FALSE))</f>
        <v/>
      </c>
      <c r="BH13" t="str">
        <f ca="1">IF(AND(ISNUMBER($BH$474),$B$419=1),$BH$474,HLOOKUP(INDIRECT(ADDRESS(2,COLUMN())),OFFSET($BN$2,0,0,ROW()-1,60),ROW()-1,FALSE))</f>
        <v/>
      </c>
      <c r="BI13" t="str">
        <f ca="1">IF(AND(ISNUMBER($BI$474),$B$419=1),$BI$474,HLOOKUP(INDIRECT(ADDRESS(2,COLUMN())),OFFSET($BN$2,0,0,ROW()-1,60),ROW()-1,FALSE))</f>
        <v/>
      </c>
      <c r="BJ13" t="str">
        <f ca="1">IF(AND(ISNUMBER($BJ$474),$B$419=1),$BJ$474,HLOOKUP(INDIRECT(ADDRESS(2,COLUMN())),OFFSET($BN$2,0,0,ROW()-1,60),ROW()-1,FALSE))</f>
        <v/>
      </c>
      <c r="BK13" t="str">
        <f ca="1">IF(AND(ISNUMBER($BK$474),$B$419=1),$BK$474,HLOOKUP(INDIRECT(ADDRESS(2,COLUMN())),OFFSET($BN$2,0,0,ROW()-1,60),ROW()-1,FALSE))</f>
        <v/>
      </c>
      <c r="BL13" t="str">
        <f ca="1">IF(AND(ISNUMBER($BL$474),$B$419=1),$BL$474,HLOOKUP(INDIRECT(ADDRESS(2,COLUMN())),OFFSET($BN$2,0,0,ROW()-1,60),ROW()-1,FALSE))</f>
        <v/>
      </c>
      <c r="BM13" t="str">
        <f ca="1">IF(AND(ISNUMBER($BM$474),$B$419=1),$BM$474,HLOOKUP(INDIRECT(ADDRESS(2,COLUMN())),OFFSET($BN$2,0,0,ROW()-1,60),ROW()-1,FALSE))</f>
        <v/>
      </c>
      <c r="BN13" t="str">
        <f>""</f>
        <v/>
      </c>
      <c r="BO13">
        <f>71.404</f>
        <v>71.403999999999996</v>
      </c>
      <c r="BP13">
        <f>67.081</f>
        <v>67.081000000000003</v>
      </c>
      <c r="BQ13">
        <f>65.75</f>
        <v>65.75</v>
      </c>
      <c r="BR13">
        <f>65.147</f>
        <v>65.147000000000006</v>
      </c>
      <c r="BS13">
        <f>62.213</f>
        <v>62.213000000000001</v>
      </c>
      <c r="BT13">
        <f>58.7</f>
        <v>58.7</v>
      </c>
      <c r="BU13">
        <f>58.163</f>
        <v>58.162999999999997</v>
      </c>
      <c r="BV13">
        <f>55.708</f>
        <v>55.707999999999998</v>
      </c>
      <c r="BW13">
        <f>50.491</f>
        <v>50.491</v>
      </c>
      <c r="BX13">
        <f>47.933</f>
        <v>47.933</v>
      </c>
      <c r="BY13">
        <f>45.869</f>
        <v>45.869</v>
      </c>
      <c r="BZ13">
        <f>44.891</f>
        <v>44.890999999999998</v>
      </c>
      <c r="CA13">
        <f>41.419697</f>
        <v>41.419696999999999</v>
      </c>
      <c r="CB13">
        <f>39.701728</f>
        <v>39.701728000000003</v>
      </c>
      <c r="CC13">
        <f>36.514774</f>
        <v>36.514774000000003</v>
      </c>
      <c r="CD13">
        <f>35.151</f>
        <v>35.151000000000003</v>
      </c>
      <c r="CE13">
        <f>32.94495</f>
        <v>32.944949999999999</v>
      </c>
      <c r="CF13">
        <f>26.017027</f>
        <v>26.017026999999999</v>
      </c>
      <c r="CG13">
        <f>25.63543</f>
        <v>25.635429999999999</v>
      </c>
      <c r="CH13">
        <f>24.18039</f>
        <v>24.180389999999999</v>
      </c>
      <c r="CI13">
        <f>21.235913</f>
        <v>21.235913</v>
      </c>
      <c r="CJ13">
        <f>18.699279</f>
        <v>18.699279000000001</v>
      </c>
      <c r="CK13">
        <f>17.608944</f>
        <v>17.608944000000001</v>
      </c>
      <c r="CL13">
        <f>16.445462</f>
        <v>16.445461999999999</v>
      </c>
      <c r="CM13">
        <f>16.44275</f>
        <v>16.44275</v>
      </c>
      <c r="CN13">
        <f>13.125278</f>
        <v>13.125278</v>
      </c>
      <c r="CO13">
        <f>11.174416</f>
        <v>11.174416000000001</v>
      </c>
      <c r="CP13">
        <f>9.086413</f>
        <v>9.0864130000000003</v>
      </c>
      <c r="CQ13">
        <f>6.538303</f>
        <v>6.538303</v>
      </c>
      <c r="CR13">
        <f>4.458153</f>
        <v>4.4581530000000003</v>
      </c>
      <c r="CS13">
        <f>2.894221</f>
        <v>2.8942209999999999</v>
      </c>
      <c r="CT13">
        <f>1.369332</f>
        <v>1.369332</v>
      </c>
      <c r="CU13" t="str">
        <f>""</f>
        <v/>
      </c>
      <c r="CV13" t="str">
        <f>""</f>
        <v/>
      </c>
      <c r="CW13" t="str">
        <f>""</f>
        <v/>
      </c>
      <c r="CX13" t="str">
        <f>""</f>
        <v/>
      </c>
      <c r="CY13" t="str">
        <f>""</f>
        <v/>
      </c>
      <c r="CZ13" t="str">
        <f>""</f>
        <v/>
      </c>
      <c r="DA13" t="str">
        <f>""</f>
        <v/>
      </c>
      <c r="DB13" t="str">
        <f>""</f>
        <v/>
      </c>
      <c r="DC13" t="str">
        <f>""</f>
        <v/>
      </c>
      <c r="DD13" t="str">
        <f>""</f>
        <v/>
      </c>
      <c r="DE13" t="str">
        <f>""</f>
        <v/>
      </c>
      <c r="DF13" t="str">
        <f>""</f>
        <v/>
      </c>
      <c r="DG13" t="str">
        <f>""</f>
        <v/>
      </c>
      <c r="DH13" t="str">
        <f>""</f>
        <v/>
      </c>
      <c r="DI13" t="str">
        <f>""</f>
        <v/>
      </c>
      <c r="DJ13" t="str">
        <f>""</f>
        <v/>
      </c>
      <c r="DK13" t="str">
        <f>""</f>
        <v/>
      </c>
      <c r="DL13" t="str">
        <f>""</f>
        <v/>
      </c>
      <c r="DM13" t="str">
        <f>""</f>
        <v/>
      </c>
      <c r="DN13" t="str">
        <f>""</f>
        <v/>
      </c>
      <c r="DO13" t="str">
        <f>""</f>
        <v/>
      </c>
      <c r="DP13" t="str">
        <f>""</f>
        <v/>
      </c>
      <c r="DQ13" t="str">
        <f>""</f>
        <v/>
      </c>
      <c r="DR13" t="str">
        <f>""</f>
        <v/>
      </c>
      <c r="DS13" t="str">
        <f>""</f>
        <v/>
      </c>
      <c r="DT13" t="str">
        <f>""</f>
        <v/>
      </c>
      <c r="DU13" t="str">
        <f>""</f>
        <v/>
      </c>
    </row>
    <row r="14" spans="1:125">
      <c r="A14" t="str">
        <f>"    Retail Properties of America I"</f>
        <v xml:space="preserve">    Retail Properties of America I</v>
      </c>
      <c r="B14" t="str">
        <f>"RPAI US Equity"</f>
        <v>RPAI US Equity</v>
      </c>
      <c r="C14" t="str">
        <f t="shared" si="0"/>
        <v>IS030</v>
      </c>
      <c r="D14" t="str">
        <f t="shared" si="1"/>
        <v>IS_RENT_INC</v>
      </c>
      <c r="E14" t="str">
        <f t="shared" si="2"/>
        <v>动态</v>
      </c>
      <c r="F14" t="str">
        <f ca="1">IF(AND(ISNUMBER($F$475),$B$419=1),$F$475,HLOOKUP(INDIRECT(ADDRESS(2,COLUMN())),OFFSET($BN$2,0,0,ROW()-1,60),ROW()-1,FALSE))</f>
        <v/>
      </c>
      <c r="G14">
        <f ca="1">IF(AND(ISNUMBER($G$475),$B$419=1),$G$475,HLOOKUP(INDIRECT(ADDRESS(2,COLUMN())),OFFSET($BN$2,0,0,ROW()-1,60),ROW()-1,FALSE))</f>
        <v>125.446</v>
      </c>
      <c r="H14">
        <f ca="1">IF(AND(ISNUMBER($H$475),$B$419=1),$H$475,HLOOKUP(INDIRECT(ADDRESS(2,COLUMN())),OFFSET($BN$2,0,0,ROW()-1,60),ROW()-1,FALSE))</f>
        <v>129.001</v>
      </c>
      <c r="I14">
        <f ca="1">IF(AND(ISNUMBER($I$475),$B$419=1),$I$475,HLOOKUP(INDIRECT(ADDRESS(2,COLUMN())),OFFSET($BN$2,0,0,ROW()-1,60),ROW()-1,FALSE))</f>
        <v>135.541</v>
      </c>
      <c r="J14">
        <f ca="1">IF(AND(ISNUMBER($J$475),$B$419=1),$J$475,HLOOKUP(INDIRECT(ADDRESS(2,COLUMN())),OFFSET($BN$2,0,0,ROW()-1,60),ROW()-1,FALSE))</f>
        <v>140.76</v>
      </c>
      <c r="K14">
        <f ca="1">IF(AND(ISNUMBER($K$475),$B$419=1),$K$475,HLOOKUP(INDIRECT(ADDRESS(2,COLUMN())),OFFSET($BN$2,0,0,ROW()-1,60),ROW()-1,FALSE))</f>
        <v>141.006</v>
      </c>
      <c r="L14">
        <f ca="1">IF(AND(ISNUMBER($L$475),$B$419=1),$L$475,HLOOKUP(INDIRECT(ADDRESS(2,COLUMN())),OFFSET($BN$2,0,0,ROW()-1,60),ROW()-1,FALSE))</f>
        <v>142.75700000000001</v>
      </c>
      <c r="M14">
        <f ca="1">IF(AND(ISNUMBER($M$475),$B$419=1),$M$475,HLOOKUP(INDIRECT(ADDRESS(2,COLUMN())),OFFSET($BN$2,0,0,ROW()-1,60),ROW()-1,FALSE))</f>
        <v>144.84800000000001</v>
      </c>
      <c r="N14">
        <f ca="1">IF(AND(ISNUMBER($N$475),$B$419=1),$N$475,HLOOKUP(INDIRECT(ADDRESS(2,COLUMN())),OFFSET($BN$2,0,0,ROW()-1,60),ROW()-1,FALSE))</f>
        <v>145.61600000000001</v>
      </c>
      <c r="O14">
        <f ca="1">IF(AND(ISNUMBER($O$475),$B$419=1),$O$475,HLOOKUP(INDIRECT(ADDRESS(2,COLUMN())),OFFSET($BN$2,0,0,ROW()-1,60),ROW()-1,FALSE))</f>
        <v>146.738</v>
      </c>
      <c r="P14">
        <f ca="1">IF(AND(ISNUMBER($P$475),$B$419=1),$P$475,HLOOKUP(INDIRECT(ADDRESS(2,COLUMN())),OFFSET($BN$2,0,0,ROW()-1,60),ROW()-1,FALSE))</f>
        <v>145.61600000000001</v>
      </c>
      <c r="Q14">
        <f ca="1">IF(AND(ISNUMBER($Q$475),$B$419=1),$Q$475,HLOOKUP(INDIRECT(ADDRESS(2,COLUMN())),OFFSET($BN$2,0,0,ROW()-1,60),ROW()-1,FALSE))</f>
        <v>148.43799999999999</v>
      </c>
      <c r="R14">
        <f ca="1">IF(AND(ISNUMBER($R$475),$B$419=1),$R$475,HLOOKUP(INDIRECT(ADDRESS(2,COLUMN())),OFFSET($BN$2,0,0,ROW()-1,60),ROW()-1,FALSE))</f>
        <v>151.08799999999999</v>
      </c>
      <c r="S14">
        <f ca="1">IF(AND(ISNUMBER($S$475),$B$419=1),$S$475,HLOOKUP(INDIRECT(ADDRESS(2,COLUMN())),OFFSET($BN$2,0,0,ROW()-1,60),ROW()-1,FALSE))</f>
        <v>149.22499999999999</v>
      </c>
      <c r="T14">
        <f ca="1">IF(AND(ISNUMBER($T$475),$B$419=1),$T$475,HLOOKUP(INDIRECT(ADDRESS(2,COLUMN())),OFFSET($BN$2,0,0,ROW()-1,60),ROW()-1,FALSE))</f>
        <v>149.37299999999999</v>
      </c>
      <c r="U14">
        <f ca="1">IF(AND(ISNUMBER($U$475),$B$419=1),$U$475,HLOOKUP(INDIRECT(ADDRESS(2,COLUMN())),OFFSET($BN$2,0,0,ROW()-1,60),ROW()-1,FALSE))</f>
        <v>144.52699999999999</v>
      </c>
      <c r="V14">
        <f ca="1">IF(AND(ISNUMBER($V$475),$B$419=1),$V$475,HLOOKUP(INDIRECT(ADDRESS(2,COLUMN())),OFFSET($BN$2,0,0,ROW()-1,60),ROW()-1,FALSE))</f>
        <v>147.279</v>
      </c>
      <c r="W14">
        <f ca="1">IF(AND(ISNUMBER($W$475),$B$419=1),$W$475,HLOOKUP(INDIRECT(ADDRESS(2,COLUMN())),OFFSET($BN$2,0,0,ROW()-1,60),ROW()-1,FALSE))</f>
        <v>141.548</v>
      </c>
      <c r="X14">
        <f ca="1">IF(AND(ISNUMBER($X$475),$B$419=1),$X$475,HLOOKUP(INDIRECT(ADDRESS(2,COLUMN())),OFFSET($BN$2,0,0,ROW()-1,60),ROW()-1,FALSE))</f>
        <v>134.12299999999999</v>
      </c>
      <c r="Y14">
        <f ca="1">IF(AND(ISNUMBER($Y$475),$B$419=1),$Y$475,HLOOKUP(INDIRECT(ADDRESS(2,COLUMN())),OFFSET($BN$2,0,0,ROW()-1,60),ROW()-1,FALSE))</f>
        <v>129.952</v>
      </c>
      <c r="Z14">
        <f ca="1">IF(AND(ISNUMBER($Z$475),$B$419=1),$Z$475,HLOOKUP(INDIRECT(ADDRESS(2,COLUMN())),OFFSET($BN$2,0,0,ROW()-1,60),ROW()-1,FALSE))</f>
        <v>129.61699999999999</v>
      </c>
      <c r="AA14">
        <f ca="1">IF(AND(ISNUMBER($AA$475),$B$419=1),$AA$475,HLOOKUP(INDIRECT(ADDRESS(2,COLUMN())),OFFSET($BN$2,0,0,ROW()-1,60),ROW()-1,FALSE))</f>
        <v>132.87299999999999</v>
      </c>
      <c r="AB14">
        <f ca="1">IF(AND(ISNUMBER($AB$475),$B$419=1),$AB$475,HLOOKUP(INDIRECT(ADDRESS(2,COLUMN())),OFFSET($BN$2,0,0,ROW()-1,60),ROW()-1,FALSE))</f>
        <v>136.89099999999999</v>
      </c>
      <c r="AC14">
        <f ca="1">IF(AND(ISNUMBER($AC$475),$B$419=1),$AC$475,HLOOKUP(INDIRECT(ADDRESS(2,COLUMN())),OFFSET($BN$2,0,0,ROW()-1,60),ROW()-1,FALSE))</f>
        <v>136.18</v>
      </c>
      <c r="AD14">
        <f ca="1">IF(AND(ISNUMBER($AD$475),$B$419=1),$AD$475,HLOOKUP(INDIRECT(ADDRESS(2,COLUMN())),OFFSET($BN$2,0,0,ROW()-1,60),ROW()-1,FALSE))</f>
        <v>140.148</v>
      </c>
      <c r="AE14">
        <f ca="1">IF(AND(ISNUMBER($AE$475),$B$419=1),$AE$475,HLOOKUP(INDIRECT(ADDRESS(2,COLUMN())),OFFSET($BN$2,0,0,ROW()-1,60),ROW()-1,FALSE))</f>
        <v>140.624</v>
      </c>
      <c r="AF14">
        <f ca="1">IF(AND(ISNUMBER($AF$475),$B$419=1),$AF$475,HLOOKUP(INDIRECT(ADDRESS(2,COLUMN())),OFFSET($BN$2,0,0,ROW()-1,60),ROW()-1,FALSE))</f>
        <v>143.76499999999999</v>
      </c>
      <c r="AG14">
        <f ca="1">IF(AND(ISNUMBER($AG$475),$B$419=1),$AG$475,HLOOKUP(INDIRECT(ADDRESS(2,COLUMN())),OFFSET($BN$2,0,0,ROW()-1,60),ROW()-1,FALSE))</f>
        <v>144.58000000000001</v>
      </c>
      <c r="AH14">
        <f ca="1">IF(AND(ISNUMBER($AH$475),$B$419=1),$AH$475,HLOOKUP(INDIRECT(ADDRESS(2,COLUMN())),OFFSET($BN$2,0,0,ROW()-1,60),ROW()-1,FALSE))</f>
        <v>149.50700000000001</v>
      </c>
      <c r="AI14">
        <f ca="1">IF(AND(ISNUMBER($AI$475),$B$419=1),$AI$475,HLOOKUP(INDIRECT(ADDRESS(2,COLUMN())),OFFSET($BN$2,0,0,ROW()-1,60),ROW()-1,FALSE))</f>
        <v>135.70099999999999</v>
      </c>
      <c r="AJ14">
        <f ca="1">IF(AND(ISNUMBER($AJ$475),$B$419=1),$AJ$475,HLOOKUP(INDIRECT(ADDRESS(2,COLUMN())),OFFSET($BN$2,0,0,ROW()-1,60),ROW()-1,FALSE))</f>
        <v>160.066</v>
      </c>
      <c r="AK14" t="str">
        <f ca="1">IF(AND(ISNUMBER($AK$475),$B$419=1),$AK$475,HLOOKUP(INDIRECT(ADDRESS(2,COLUMN())),OFFSET($BN$2,0,0,ROW()-1,60),ROW()-1,FALSE))</f>
        <v/>
      </c>
      <c r="AL14" t="str">
        <f ca="1">IF(AND(ISNUMBER($AL$475),$B$419=1),$AL$475,HLOOKUP(INDIRECT(ADDRESS(2,COLUMN())),OFFSET($BN$2,0,0,ROW()-1,60),ROW()-1,FALSE))</f>
        <v/>
      </c>
      <c r="AM14" t="str">
        <f ca="1">IF(AND(ISNUMBER($AM$475),$B$419=1),$AM$475,HLOOKUP(INDIRECT(ADDRESS(2,COLUMN())),OFFSET($BN$2,0,0,ROW()-1,60),ROW()-1,FALSE))</f>
        <v/>
      </c>
      <c r="AN14">
        <f ca="1">IF(AND(ISNUMBER($AN$475),$B$419=1),$AN$475,HLOOKUP(INDIRECT(ADDRESS(2,COLUMN())),OFFSET($BN$2,0,0,ROW()-1,60),ROW()-1,FALSE))</f>
        <v>160.55099999999999</v>
      </c>
      <c r="AO14" t="str">
        <f ca="1">IF(AND(ISNUMBER($AO$475),$B$419=1),$AO$475,HLOOKUP(INDIRECT(ADDRESS(2,COLUMN())),OFFSET($BN$2,0,0,ROW()-1,60),ROW()-1,FALSE))</f>
        <v/>
      </c>
      <c r="AP14" t="str">
        <f ca="1">IF(AND(ISNUMBER($AP$475),$B$419=1),$AP$475,HLOOKUP(INDIRECT(ADDRESS(2,COLUMN())),OFFSET($BN$2,0,0,ROW()-1,60),ROW()-1,FALSE))</f>
        <v/>
      </c>
      <c r="AQ14" t="str">
        <f ca="1">IF(AND(ISNUMBER($AQ$475),$B$419=1),$AQ$475,HLOOKUP(INDIRECT(ADDRESS(2,COLUMN())),OFFSET($BN$2,0,0,ROW()-1,60),ROW()-1,FALSE))</f>
        <v/>
      </c>
      <c r="AR14" t="str">
        <f ca="1">IF(AND(ISNUMBER($AR$475),$B$419=1),$AR$475,HLOOKUP(INDIRECT(ADDRESS(2,COLUMN())),OFFSET($BN$2,0,0,ROW()-1,60),ROW()-1,FALSE))</f>
        <v/>
      </c>
      <c r="AS14" t="str">
        <f ca="1">IF(AND(ISNUMBER($AS$475),$B$419=1),$AS$475,HLOOKUP(INDIRECT(ADDRESS(2,COLUMN())),OFFSET($BN$2,0,0,ROW()-1,60),ROW()-1,FALSE))</f>
        <v/>
      </c>
      <c r="AT14" t="str">
        <f ca="1">IF(AND(ISNUMBER($AT$475),$B$419=1),$AT$475,HLOOKUP(INDIRECT(ADDRESS(2,COLUMN())),OFFSET($BN$2,0,0,ROW()-1,60),ROW()-1,FALSE))</f>
        <v/>
      </c>
      <c r="AU14" t="str">
        <f ca="1">IF(AND(ISNUMBER($AU$475),$B$419=1),$AU$475,HLOOKUP(INDIRECT(ADDRESS(2,COLUMN())),OFFSET($BN$2,0,0,ROW()-1,60),ROW()-1,FALSE))</f>
        <v/>
      </c>
      <c r="AV14" t="str">
        <f ca="1">IF(AND(ISNUMBER($AV$475),$B$419=1),$AV$475,HLOOKUP(INDIRECT(ADDRESS(2,COLUMN())),OFFSET($BN$2,0,0,ROW()-1,60),ROW()-1,FALSE))</f>
        <v/>
      </c>
      <c r="AW14" t="str">
        <f ca="1">IF(AND(ISNUMBER($AW$475),$B$419=1),$AW$475,HLOOKUP(INDIRECT(ADDRESS(2,COLUMN())),OFFSET($BN$2,0,0,ROW()-1,60),ROW()-1,FALSE))</f>
        <v/>
      </c>
      <c r="AX14" t="str">
        <f ca="1">IF(AND(ISNUMBER($AX$475),$B$419=1),$AX$475,HLOOKUP(INDIRECT(ADDRESS(2,COLUMN())),OFFSET($BN$2,0,0,ROW()-1,60),ROW()-1,FALSE))</f>
        <v/>
      </c>
      <c r="AY14" t="str">
        <f ca="1">IF(AND(ISNUMBER($AY$475),$B$419=1),$AY$475,HLOOKUP(INDIRECT(ADDRESS(2,COLUMN())),OFFSET($BN$2,0,0,ROW()-1,60),ROW()-1,FALSE))</f>
        <v/>
      </c>
      <c r="AZ14" t="str">
        <f ca="1">IF(AND(ISNUMBER($AZ$475),$B$419=1),$AZ$475,HLOOKUP(INDIRECT(ADDRESS(2,COLUMN())),OFFSET($BN$2,0,0,ROW()-1,60),ROW()-1,FALSE))</f>
        <v/>
      </c>
      <c r="BA14" t="str">
        <f ca="1">IF(AND(ISNUMBER($BA$475),$B$419=1),$BA$475,HLOOKUP(INDIRECT(ADDRESS(2,COLUMN())),OFFSET($BN$2,0,0,ROW()-1,60),ROW()-1,FALSE))</f>
        <v/>
      </c>
      <c r="BB14" t="str">
        <f ca="1">IF(AND(ISNUMBER($BB$475),$B$419=1),$BB$475,HLOOKUP(INDIRECT(ADDRESS(2,COLUMN())),OFFSET($BN$2,0,0,ROW()-1,60),ROW()-1,FALSE))</f>
        <v/>
      </c>
      <c r="BC14" t="str">
        <f ca="1">IF(AND(ISNUMBER($BC$475),$B$419=1),$BC$475,HLOOKUP(INDIRECT(ADDRESS(2,COLUMN())),OFFSET($BN$2,0,0,ROW()-1,60),ROW()-1,FALSE))</f>
        <v/>
      </c>
      <c r="BD14" t="str">
        <f ca="1">IF(AND(ISNUMBER($BD$475),$B$419=1),$BD$475,HLOOKUP(INDIRECT(ADDRESS(2,COLUMN())),OFFSET($BN$2,0,0,ROW()-1,60),ROW()-1,FALSE))</f>
        <v/>
      </c>
      <c r="BE14" t="str">
        <f ca="1">IF(AND(ISNUMBER($BE$475),$B$419=1),$BE$475,HLOOKUP(INDIRECT(ADDRESS(2,COLUMN())),OFFSET($BN$2,0,0,ROW()-1,60),ROW()-1,FALSE))</f>
        <v/>
      </c>
      <c r="BF14" t="str">
        <f ca="1">IF(AND(ISNUMBER($BF$475),$B$419=1),$BF$475,HLOOKUP(INDIRECT(ADDRESS(2,COLUMN())),OFFSET($BN$2,0,0,ROW()-1,60),ROW()-1,FALSE))</f>
        <v/>
      </c>
      <c r="BG14" t="str">
        <f ca="1">IF(AND(ISNUMBER($BG$475),$B$419=1),$BG$475,HLOOKUP(INDIRECT(ADDRESS(2,COLUMN())),OFFSET($BN$2,0,0,ROW()-1,60),ROW()-1,FALSE))</f>
        <v/>
      </c>
      <c r="BH14" t="str">
        <f ca="1">IF(AND(ISNUMBER($BH$475),$B$419=1),$BH$475,HLOOKUP(INDIRECT(ADDRESS(2,COLUMN())),OFFSET($BN$2,0,0,ROW()-1,60),ROW()-1,FALSE))</f>
        <v/>
      </c>
      <c r="BI14" t="str">
        <f ca="1">IF(AND(ISNUMBER($BI$475),$B$419=1),$BI$475,HLOOKUP(INDIRECT(ADDRESS(2,COLUMN())),OFFSET($BN$2,0,0,ROW()-1,60),ROW()-1,FALSE))</f>
        <v/>
      </c>
      <c r="BJ14" t="str">
        <f ca="1">IF(AND(ISNUMBER($BJ$475),$B$419=1),$BJ$475,HLOOKUP(INDIRECT(ADDRESS(2,COLUMN())),OFFSET($BN$2,0,0,ROW()-1,60),ROW()-1,FALSE))</f>
        <v/>
      </c>
      <c r="BK14" t="str">
        <f ca="1">IF(AND(ISNUMBER($BK$475),$B$419=1),$BK$475,HLOOKUP(INDIRECT(ADDRESS(2,COLUMN())),OFFSET($BN$2,0,0,ROW()-1,60),ROW()-1,FALSE))</f>
        <v/>
      </c>
      <c r="BL14" t="str">
        <f ca="1">IF(AND(ISNUMBER($BL$475),$B$419=1),$BL$475,HLOOKUP(INDIRECT(ADDRESS(2,COLUMN())),OFFSET($BN$2,0,0,ROW()-1,60),ROW()-1,FALSE))</f>
        <v/>
      </c>
      <c r="BM14" t="str">
        <f ca="1">IF(AND(ISNUMBER($BM$475),$B$419=1),$BM$475,HLOOKUP(INDIRECT(ADDRESS(2,COLUMN())),OFFSET($BN$2,0,0,ROW()-1,60),ROW()-1,FALSE))</f>
        <v/>
      </c>
      <c r="BN14" t="str">
        <f>""</f>
        <v/>
      </c>
      <c r="BO14">
        <f>125.446</f>
        <v>125.446</v>
      </c>
      <c r="BP14">
        <f>129.001</f>
        <v>129.001</v>
      </c>
      <c r="BQ14">
        <f>135.541</f>
        <v>135.541</v>
      </c>
      <c r="BR14">
        <f>140.76</f>
        <v>140.76</v>
      </c>
      <c r="BS14">
        <f>141.006</f>
        <v>141.006</v>
      </c>
      <c r="BT14">
        <f>142.757</f>
        <v>142.75700000000001</v>
      </c>
      <c r="BU14">
        <f>144.848</f>
        <v>144.84800000000001</v>
      </c>
      <c r="BV14">
        <f>145.616</f>
        <v>145.61600000000001</v>
      </c>
      <c r="BW14">
        <f>146.738</f>
        <v>146.738</v>
      </c>
      <c r="BX14">
        <f>145.616</f>
        <v>145.61600000000001</v>
      </c>
      <c r="BY14">
        <f>148.438</f>
        <v>148.43799999999999</v>
      </c>
      <c r="BZ14">
        <f>151.088</f>
        <v>151.08799999999999</v>
      </c>
      <c r="CA14">
        <f>149.225</f>
        <v>149.22499999999999</v>
      </c>
      <c r="CB14">
        <f>149.373</f>
        <v>149.37299999999999</v>
      </c>
      <c r="CC14">
        <f>144.527</f>
        <v>144.52699999999999</v>
      </c>
      <c r="CD14">
        <f>147.279</f>
        <v>147.279</v>
      </c>
      <c r="CE14">
        <f>141.548</f>
        <v>141.548</v>
      </c>
      <c r="CF14">
        <f>134.123</f>
        <v>134.12299999999999</v>
      </c>
      <c r="CG14">
        <f>129.952</f>
        <v>129.952</v>
      </c>
      <c r="CH14">
        <f>129.617</f>
        <v>129.61699999999999</v>
      </c>
      <c r="CI14">
        <f>132.873</f>
        <v>132.87299999999999</v>
      </c>
      <c r="CJ14">
        <f>136.891</f>
        <v>136.89099999999999</v>
      </c>
      <c r="CK14">
        <f>136.18</f>
        <v>136.18</v>
      </c>
      <c r="CL14">
        <f>140.148</f>
        <v>140.148</v>
      </c>
      <c r="CM14">
        <f>140.624</f>
        <v>140.624</v>
      </c>
      <c r="CN14">
        <f>143.765</f>
        <v>143.76499999999999</v>
      </c>
      <c r="CO14">
        <f>144.58</f>
        <v>144.58000000000001</v>
      </c>
      <c r="CP14">
        <f>149.507</f>
        <v>149.50700000000001</v>
      </c>
      <c r="CQ14">
        <f>135.701</f>
        <v>135.70099999999999</v>
      </c>
      <c r="CR14">
        <f>160.066</f>
        <v>160.066</v>
      </c>
      <c r="CS14" t="str">
        <f>""</f>
        <v/>
      </c>
      <c r="CT14" t="str">
        <f>""</f>
        <v/>
      </c>
      <c r="CU14" t="str">
        <f>""</f>
        <v/>
      </c>
      <c r="CV14">
        <f>160.551</f>
        <v>160.55099999999999</v>
      </c>
      <c r="CW14" t="str">
        <f>""</f>
        <v/>
      </c>
      <c r="CX14" t="str">
        <f>""</f>
        <v/>
      </c>
      <c r="CY14" t="str">
        <f>""</f>
        <v/>
      </c>
      <c r="CZ14" t="str">
        <f>""</f>
        <v/>
      </c>
      <c r="DA14" t="str">
        <f>""</f>
        <v/>
      </c>
      <c r="DB14" t="str">
        <f>""</f>
        <v/>
      </c>
      <c r="DC14" t="str">
        <f>""</f>
        <v/>
      </c>
      <c r="DD14" t="str">
        <f>""</f>
        <v/>
      </c>
      <c r="DE14" t="str">
        <f>""</f>
        <v/>
      </c>
      <c r="DF14" t="str">
        <f>""</f>
        <v/>
      </c>
      <c r="DG14" t="str">
        <f>""</f>
        <v/>
      </c>
      <c r="DH14" t="str">
        <f>""</f>
        <v/>
      </c>
      <c r="DI14" t="str">
        <f>""</f>
        <v/>
      </c>
      <c r="DJ14" t="str">
        <f>""</f>
        <v/>
      </c>
      <c r="DK14" t="str">
        <f>""</f>
        <v/>
      </c>
      <c r="DL14" t="str">
        <f>""</f>
        <v/>
      </c>
      <c r="DM14" t="str">
        <f>""</f>
        <v/>
      </c>
      <c r="DN14" t="str">
        <f>""</f>
        <v/>
      </c>
      <c r="DO14" t="str">
        <f>""</f>
        <v/>
      </c>
      <c r="DP14" t="str">
        <f>""</f>
        <v/>
      </c>
      <c r="DQ14" t="str">
        <f>""</f>
        <v/>
      </c>
      <c r="DR14" t="str">
        <f>""</f>
        <v/>
      </c>
      <c r="DS14" t="str">
        <f>""</f>
        <v/>
      </c>
      <c r="DT14" t="str">
        <f>""</f>
        <v/>
      </c>
      <c r="DU14" t="str">
        <f>""</f>
        <v/>
      </c>
    </row>
    <row r="15" spans="1:125">
      <c r="A15" t="str">
        <f>"    Simon Property Group Inc"</f>
        <v xml:space="preserve">    Simon Property Group Inc</v>
      </c>
      <c r="B15" t="str">
        <f>"SPG US Equity"</f>
        <v>SPG US Equity</v>
      </c>
      <c r="C15" t="str">
        <f t="shared" si="0"/>
        <v>IS030</v>
      </c>
      <c r="D15" t="str">
        <f t="shared" si="1"/>
        <v>IS_RENT_INC</v>
      </c>
      <c r="E15" t="str">
        <f t="shared" si="2"/>
        <v>动态</v>
      </c>
      <c r="F15" t="str">
        <f ca="1">IF(AND(ISNUMBER($F$476),$B$419=1),$F$476,HLOOKUP(INDIRECT(ADDRESS(2,COLUMN())),OFFSET($BN$2,0,0,ROW()-1,60),ROW()-1,FALSE))</f>
        <v/>
      </c>
      <c r="G15">
        <f ca="1">IF(AND(ISNUMBER($G$476),$B$419=1),$G$476,HLOOKUP(INDIRECT(ADDRESS(2,COLUMN())),OFFSET($BN$2,0,0,ROW()-1,60),ROW()-1,FALSE))</f>
        <v>1320.1120000000001</v>
      </c>
      <c r="H15">
        <f ca="1">IF(AND(ISNUMBER($H$476),$B$419=1),$H$476,HLOOKUP(INDIRECT(ADDRESS(2,COLUMN())),OFFSET($BN$2,0,0,ROW()-1,60),ROW()-1,FALSE))</f>
        <v>1284.5309999999999</v>
      </c>
      <c r="I15">
        <f ca="1">IF(AND(ISNUMBER($I$476),$B$419=1),$I$476,HLOOKUP(INDIRECT(ADDRESS(2,COLUMN())),OFFSET($BN$2,0,0,ROW()-1,60),ROW()-1,FALSE))</f>
        <v>1261.8430000000001</v>
      </c>
      <c r="J15">
        <f ca="1">IF(AND(ISNUMBER($J$476),$B$419=1),$J$476,HLOOKUP(INDIRECT(ADDRESS(2,COLUMN())),OFFSET($BN$2,0,0,ROW()-1,60),ROW()-1,FALSE))</f>
        <v>1253.9169999999999</v>
      </c>
      <c r="K15">
        <f ca="1">IF(AND(ISNUMBER($K$476),$B$419=1),$K$476,HLOOKUP(INDIRECT(ADDRESS(2,COLUMN())),OFFSET($BN$2,0,0,ROW()-1,60),ROW()-1,FALSE))</f>
        <v>1314.1310000000001</v>
      </c>
      <c r="L15">
        <f ca="1">IF(AND(ISNUMBER($L$476),$B$419=1),$L$476,HLOOKUP(INDIRECT(ADDRESS(2,COLUMN())),OFFSET($BN$2,0,0,ROW()-1,60),ROW()-1,FALSE))</f>
        <v>1261.077</v>
      </c>
      <c r="M15">
        <f ca="1">IF(AND(ISNUMBER($M$476),$B$419=1),$M$476,HLOOKUP(INDIRECT(ADDRESS(2,COLUMN())),OFFSET($BN$2,0,0,ROW()-1,60),ROW()-1,FALSE))</f>
        <v>1220.5360000000001</v>
      </c>
      <c r="N15">
        <f ca="1">IF(AND(ISNUMBER($N$476),$B$419=1),$N$476,HLOOKUP(INDIRECT(ADDRESS(2,COLUMN())),OFFSET($BN$2,0,0,ROW()-1,60),ROW()-1,FALSE))</f>
        <v>1219.0650000000001</v>
      </c>
      <c r="O15">
        <f ca="1">IF(AND(ISNUMBER($O$476),$B$419=1),$O$476,HLOOKUP(INDIRECT(ADDRESS(2,COLUMN())),OFFSET($BN$2,0,0,ROW()-1,60),ROW()-1,FALSE))</f>
        <v>1270.9680000000001</v>
      </c>
      <c r="P15">
        <f ca="1">IF(AND(ISNUMBER($P$476),$B$419=1),$P$476,HLOOKUP(INDIRECT(ADDRESS(2,COLUMN())),OFFSET($BN$2,0,0,ROW()-1,60),ROW()-1,FALSE))</f>
        <v>1209.0239999999999</v>
      </c>
      <c r="Q15">
        <f ca="1">IF(AND(ISNUMBER($Q$476),$B$419=1),$Q$476,HLOOKUP(INDIRECT(ADDRESS(2,COLUMN())),OFFSET($BN$2,0,0,ROW()-1,60),ROW()-1,FALSE))</f>
        <v>1169.4760000000001</v>
      </c>
      <c r="R15">
        <f ca="1">IF(AND(ISNUMBER($R$476),$B$419=1),$R$476,HLOOKUP(INDIRECT(ADDRESS(2,COLUMN())),OFFSET($BN$2,0,0,ROW()-1,60),ROW()-1,FALSE))</f>
        <v>1132.5719999999999</v>
      </c>
      <c r="S15">
        <f ca="1">IF(AND(ISNUMBER($S$476),$B$419=1),$S$476,HLOOKUP(INDIRECT(ADDRESS(2,COLUMN())),OFFSET($BN$2,0,0,ROW()-1,60),ROW()-1,FALSE))</f>
        <v>1199.1769999999999</v>
      </c>
      <c r="T15">
        <f ca="1">IF(AND(ISNUMBER($T$476),$B$419=1),$T$476,HLOOKUP(INDIRECT(ADDRESS(2,COLUMN())),OFFSET($BN$2,0,0,ROW()-1,60),ROW()-1,FALSE))</f>
        <v>1143.3109999999999</v>
      </c>
      <c r="U15">
        <f ca="1">IF(AND(ISNUMBER($U$476),$B$419=1),$U$476,HLOOKUP(INDIRECT(ADDRESS(2,COLUMN())),OFFSET($BN$2,0,0,ROW()-1,60),ROW()-1,FALSE))</f>
        <v>1109.896</v>
      </c>
      <c r="V15">
        <f ca="1">IF(AND(ISNUMBER($V$476),$B$419=1),$V$476,HLOOKUP(INDIRECT(ADDRESS(2,COLUMN())),OFFSET($BN$2,0,0,ROW()-1,60),ROW()-1,FALSE))</f>
        <v>1079.4280000000001</v>
      </c>
      <c r="W15">
        <f ca="1">IF(AND(ISNUMBER($W$476),$B$419=1),$W$476,HLOOKUP(INDIRECT(ADDRESS(2,COLUMN())),OFFSET($BN$2,0,0,ROW()-1,60),ROW()-1,FALSE))</f>
        <v>1159.761</v>
      </c>
      <c r="X15">
        <f ca="1">IF(AND(ISNUMBER($X$476),$B$419=1),$X$476,HLOOKUP(INDIRECT(ADDRESS(2,COLUMN())),OFFSET($BN$2,0,0,ROW()-1,60),ROW()-1,FALSE))</f>
        <v>1066.1980000000001</v>
      </c>
      <c r="Y15">
        <f ca="1">IF(AND(ISNUMBER($Y$476),$B$419=1),$Y$476,HLOOKUP(INDIRECT(ADDRESS(2,COLUMN())),OFFSET($BN$2,0,0,ROW()-1,60),ROW()-1,FALSE))</f>
        <v>1021.09</v>
      </c>
      <c r="Z15">
        <f ca="1">IF(AND(ISNUMBER($Z$476),$B$419=1),$Z$476,HLOOKUP(INDIRECT(ADDRESS(2,COLUMN())),OFFSET($BN$2,0,0,ROW()-1,60),ROW()-1,FALSE))</f>
        <v>1154.575</v>
      </c>
      <c r="AA15">
        <f ca="1">IF(AND(ISNUMBER($AA$476),$B$419=1),$AA$476,HLOOKUP(INDIRECT(ADDRESS(2,COLUMN())),OFFSET($BN$2,0,0,ROW()-1,60),ROW()-1,FALSE))</f>
        <v>1254.9880000000001</v>
      </c>
      <c r="AB15">
        <f ca="1">IF(AND(ISNUMBER($AB$476),$B$419=1),$AB$476,HLOOKUP(INDIRECT(ADDRESS(2,COLUMN())),OFFSET($BN$2,0,0,ROW()-1,60),ROW()-1,FALSE))</f>
        <v>1152.652</v>
      </c>
      <c r="AC15">
        <f ca="1">IF(AND(ISNUMBER($AC$476),$B$419=1),$AC$476,HLOOKUP(INDIRECT(ADDRESS(2,COLUMN())),OFFSET($BN$2,0,0,ROW()-1,60),ROW()-1,FALSE))</f>
        <v>1108.095</v>
      </c>
      <c r="AD15">
        <f ca="1">IF(AND(ISNUMBER($AD$476),$B$419=1),$AD$476,HLOOKUP(INDIRECT(ADDRESS(2,COLUMN())),OFFSET($BN$2,0,0,ROW()-1,60),ROW()-1,FALSE))</f>
        <v>1036.1659999999999</v>
      </c>
      <c r="AE15">
        <f ca="1">IF(AND(ISNUMBER($AE$476),$B$419=1),$AE$476,HLOOKUP(INDIRECT(ADDRESS(2,COLUMN())),OFFSET($BN$2,0,0,ROW()-1,60),ROW()-1,FALSE))</f>
        <v>1087.0830000000001</v>
      </c>
      <c r="AF15">
        <f ca="1">IF(AND(ISNUMBER($AF$476),$B$419=1),$AF$476,HLOOKUP(INDIRECT(ADDRESS(2,COLUMN())),OFFSET($BN$2,0,0,ROW()-1,60),ROW()-1,FALSE))</f>
        <v>995.68200000000002</v>
      </c>
      <c r="AG15">
        <f ca="1">IF(AND(ISNUMBER($AG$476),$B$419=1),$AG$476,HLOOKUP(INDIRECT(ADDRESS(2,COLUMN())),OFFSET($BN$2,0,0,ROW()-1,60),ROW()-1,FALSE))</f>
        <v>957.173</v>
      </c>
      <c r="AH15">
        <f ca="1">IF(AND(ISNUMBER($AH$476),$B$419=1),$AH$476,HLOOKUP(INDIRECT(ADDRESS(2,COLUMN())),OFFSET($BN$2,0,0,ROW()-1,60),ROW()-1,FALSE))</f>
        <v>942.899</v>
      </c>
      <c r="AI15">
        <f ca="1">IF(AND(ISNUMBER($AI$476),$B$419=1),$AI$476,HLOOKUP(INDIRECT(ADDRESS(2,COLUMN())),OFFSET($BN$2,0,0,ROW()-1,60),ROW()-1,FALSE))</f>
        <v>1027.42</v>
      </c>
      <c r="AJ15">
        <f ca="1">IF(AND(ISNUMBER($AJ$476),$B$419=1),$AJ$476,HLOOKUP(INDIRECT(ADDRESS(2,COLUMN())),OFFSET($BN$2,0,0,ROW()-1,60),ROW()-1,FALSE))</f>
        <v>905.42399999999998</v>
      </c>
      <c r="AK15">
        <f ca="1">IF(AND(ISNUMBER($AK$476),$B$419=1),$AK$476,HLOOKUP(INDIRECT(ADDRESS(2,COLUMN())),OFFSET($BN$2,0,0,ROW()-1,60),ROW()-1,FALSE))</f>
        <v>850.327</v>
      </c>
      <c r="AL15">
        <f ca="1">IF(AND(ISNUMBER($AL$476),$B$419=1),$AL$476,HLOOKUP(INDIRECT(ADDRESS(2,COLUMN())),OFFSET($BN$2,0,0,ROW()-1,60),ROW()-1,FALSE))</f>
        <v>840.74900000000002</v>
      </c>
      <c r="AM15">
        <f ca="1">IF(AND(ISNUMBER($AM$476),$B$419=1),$AM$476,HLOOKUP(INDIRECT(ADDRESS(2,COLUMN())),OFFSET($BN$2,0,0,ROW()-1,60),ROW()-1,FALSE))</f>
        <v>924.13599999999997</v>
      </c>
      <c r="AN15">
        <f ca="1">IF(AND(ISNUMBER($AN$476),$B$419=1),$AN$476,HLOOKUP(INDIRECT(ADDRESS(2,COLUMN())),OFFSET($BN$2,0,0,ROW()-1,60),ROW()-1,FALSE))</f>
        <v>858.51700000000005</v>
      </c>
      <c r="AO15">
        <f ca="1">IF(AND(ISNUMBER($AO$476),$B$419=1),$AO$476,HLOOKUP(INDIRECT(ADDRESS(2,COLUMN())),OFFSET($BN$2,0,0,ROW()-1,60),ROW()-1,FALSE))</f>
        <v>838.65800000000002</v>
      </c>
      <c r="AP15">
        <f ca="1">IF(AND(ISNUMBER($AP$476),$B$419=1),$AP$476,HLOOKUP(INDIRECT(ADDRESS(2,COLUMN())),OFFSET($BN$2,0,0,ROW()-1,60),ROW()-1,FALSE))</f>
        <v>842.67600000000004</v>
      </c>
      <c r="AQ15">
        <f ca="1">IF(AND(ISNUMBER($AQ$476),$B$419=1),$AQ$476,HLOOKUP(INDIRECT(ADDRESS(2,COLUMN())),OFFSET($BN$2,0,0,ROW()-1,60),ROW()-1,FALSE))</f>
        <v>935.83</v>
      </c>
      <c r="AR15">
        <f ca="1">IF(AND(ISNUMBER($AR$476),$B$419=1),$AR$476,HLOOKUP(INDIRECT(ADDRESS(2,COLUMN())),OFFSET($BN$2,0,0,ROW()-1,60),ROW()-1,FALSE))</f>
        <v>860.84900000000005</v>
      </c>
      <c r="AS15">
        <f ca="1">IF(AND(ISNUMBER($AS$476),$B$419=1),$AS$476,HLOOKUP(INDIRECT(ADDRESS(2,COLUMN())),OFFSET($BN$2,0,0,ROW()-1,60),ROW()-1,FALSE))</f>
        <v>843.83799999999997</v>
      </c>
      <c r="AT15">
        <f ca="1">IF(AND(ISNUMBER($AT$476),$B$419=1),$AT$476,HLOOKUP(INDIRECT(ADDRESS(2,COLUMN())),OFFSET($BN$2,0,0,ROW()-1,60),ROW()-1,FALSE))</f>
        <v>817.58100000000002</v>
      </c>
      <c r="AU15">
        <f ca="1">IF(AND(ISNUMBER($AU$476),$B$419=1),$AU$476,HLOOKUP(INDIRECT(ADDRESS(2,COLUMN())),OFFSET($BN$2,0,0,ROW()-1,60),ROW()-1,FALSE))</f>
        <v>924.197</v>
      </c>
      <c r="AV15">
        <f ca="1">IF(AND(ISNUMBER($AV$476),$B$419=1),$AV$476,HLOOKUP(INDIRECT(ADDRESS(2,COLUMN())),OFFSET($BN$2,0,0,ROW()-1,60),ROW()-1,FALSE))</f>
        <v>825.60900000000004</v>
      </c>
      <c r="AW15">
        <f ca="1">IF(AND(ISNUMBER($AW$476),$B$419=1),$AW$476,HLOOKUP(INDIRECT(ADDRESS(2,COLUMN())),OFFSET($BN$2,0,0,ROW()-1,60),ROW()-1,FALSE))</f>
        <v>778.70399999999995</v>
      </c>
      <c r="AX15">
        <f ca="1">IF(AND(ISNUMBER($AX$476),$B$419=1),$AX$476,HLOOKUP(INDIRECT(ADDRESS(2,COLUMN())),OFFSET($BN$2,0,0,ROW()-1,60),ROW()-1,FALSE))</f>
        <v>759.37</v>
      </c>
      <c r="AY15">
        <f ca="1">IF(AND(ISNUMBER($AY$476),$B$419=1),$AY$476,HLOOKUP(INDIRECT(ADDRESS(2,COLUMN())),OFFSET($BN$2,0,0,ROW()-1,60),ROW()-1,FALSE))</f>
        <v>854.29700000000003</v>
      </c>
      <c r="AZ15">
        <f ca="1">IF(AND(ISNUMBER($AZ$476),$B$419=1),$AZ$476,HLOOKUP(INDIRECT(ADDRESS(2,COLUMN())),OFFSET($BN$2,0,0,ROW()-1,60),ROW()-1,FALSE))</f>
        <v>755.798</v>
      </c>
      <c r="BA15">
        <f ca="1">IF(AND(ISNUMBER($BA$476),$B$419=1),$BA$476,HLOOKUP(INDIRECT(ADDRESS(2,COLUMN())),OFFSET($BN$2,0,0,ROW()-1,60),ROW()-1,FALSE))</f>
        <v>727.9</v>
      </c>
      <c r="BB15">
        <f ca="1">IF(AND(ISNUMBER($BB$476),$B$419=1),$BB$476,HLOOKUP(INDIRECT(ADDRESS(2,COLUMN())),OFFSET($BN$2,0,0,ROW()-1,60),ROW()-1,FALSE))</f>
        <v>725.18200000000002</v>
      </c>
      <c r="BC15">
        <f ca="1">IF(AND(ISNUMBER($BC$476),$B$419=1),$BC$476,HLOOKUP(INDIRECT(ADDRESS(2,COLUMN())),OFFSET($BN$2,0,0,ROW()-1,60),ROW()-1,FALSE))</f>
        <v>818.43100000000004</v>
      </c>
      <c r="BD15">
        <f ca="1">IF(AND(ISNUMBER($BD$476),$B$419=1),$BD$476,HLOOKUP(INDIRECT(ADDRESS(2,COLUMN())),OFFSET($BN$2,0,0,ROW()-1,60),ROW()-1,FALSE))</f>
        <v>720.36900000000003</v>
      </c>
      <c r="BE15">
        <f ca="1">IF(AND(ISNUMBER($BE$476),$B$419=1),$BE$476,HLOOKUP(INDIRECT(ADDRESS(2,COLUMN())),OFFSET($BN$2,0,0,ROW()-1,60),ROW()-1,FALSE))</f>
        <v>694.56500000000005</v>
      </c>
      <c r="BF15">
        <f ca="1">IF(AND(ISNUMBER($BF$476),$B$419=1),$BF$476,HLOOKUP(INDIRECT(ADDRESS(2,COLUMN())),OFFSET($BN$2,0,0,ROW()-1,60),ROW()-1,FALSE))</f>
        <v>686.72900000000004</v>
      </c>
      <c r="BG15">
        <f ca="1">IF(AND(ISNUMBER($BG$476),$B$419=1),$BG$476,HLOOKUP(INDIRECT(ADDRESS(2,COLUMN())),OFFSET($BN$2,0,0,ROW()-1,60),ROW()-1,FALSE))</f>
        <v>741.00599999999997</v>
      </c>
      <c r="BH15">
        <f ca="1">IF(AND(ISNUMBER($BH$476),$B$419=1),$BH$476,HLOOKUP(INDIRECT(ADDRESS(2,COLUMN())),OFFSET($BN$2,0,0,ROW()-1,60),ROW()-1,FALSE))</f>
        <v>561.80999999999995</v>
      </c>
      <c r="BI15">
        <f ca="1">IF(AND(ISNUMBER($BI$476),$B$419=1),$BI$476,HLOOKUP(INDIRECT(ADDRESS(2,COLUMN())),OFFSET($BN$2,0,0,ROW()-1,60),ROW()-1,FALSE))</f>
        <v>548.63</v>
      </c>
      <c r="BJ15">
        <f ca="1">IF(AND(ISNUMBER($BJ$476),$B$419=1),$BJ$476,HLOOKUP(INDIRECT(ADDRESS(2,COLUMN())),OFFSET($BN$2,0,0,ROW()-1,60),ROW()-1,FALSE))</f>
        <v>539.18100000000004</v>
      </c>
      <c r="BK15">
        <f ca="1">IF(AND(ISNUMBER($BK$476),$B$419=1),$BK$476,HLOOKUP(INDIRECT(ADDRESS(2,COLUMN())),OFFSET($BN$2,0,0,ROW()-1,60),ROW()-1,FALSE))</f>
        <v>555.03300000000002</v>
      </c>
      <c r="BL15">
        <f ca="1">IF(AND(ISNUMBER($BL$476),$B$419=1),$BL$476,HLOOKUP(INDIRECT(ADDRESS(2,COLUMN())),OFFSET($BN$2,0,0,ROW()-1,60),ROW()-1,FALSE))</f>
        <v>515.41600000000005</v>
      </c>
      <c r="BM15">
        <f ca="1">IF(AND(ISNUMBER($BM$476),$B$419=1),$BM$476,HLOOKUP(INDIRECT(ADDRESS(2,COLUMN())),OFFSET($BN$2,0,0,ROW()-1,60),ROW()-1,FALSE))</f>
        <v>504.73899999999998</v>
      </c>
      <c r="BN15" t="str">
        <f>""</f>
        <v/>
      </c>
      <c r="BO15">
        <f>1320.112</f>
        <v>1320.1120000000001</v>
      </c>
      <c r="BP15">
        <f>1284.531</f>
        <v>1284.5309999999999</v>
      </c>
      <c r="BQ15">
        <f>1261.843</f>
        <v>1261.8430000000001</v>
      </c>
      <c r="BR15">
        <f>1253.917</f>
        <v>1253.9169999999999</v>
      </c>
      <c r="BS15">
        <f>1314.131</f>
        <v>1314.1310000000001</v>
      </c>
      <c r="BT15">
        <f>1261.077</f>
        <v>1261.077</v>
      </c>
      <c r="BU15">
        <f>1220.536</f>
        <v>1220.5360000000001</v>
      </c>
      <c r="BV15">
        <f>1219.065</f>
        <v>1219.0650000000001</v>
      </c>
      <c r="BW15">
        <f>1270.968</f>
        <v>1270.9680000000001</v>
      </c>
      <c r="BX15">
        <f>1209.024</f>
        <v>1209.0239999999999</v>
      </c>
      <c r="BY15">
        <f>1169.476</f>
        <v>1169.4760000000001</v>
      </c>
      <c r="BZ15">
        <f>1132.572</f>
        <v>1132.5719999999999</v>
      </c>
      <c r="CA15">
        <f>1199.177</f>
        <v>1199.1769999999999</v>
      </c>
      <c r="CB15">
        <f>1143.311</f>
        <v>1143.3109999999999</v>
      </c>
      <c r="CC15">
        <f>1109.896</f>
        <v>1109.896</v>
      </c>
      <c r="CD15">
        <f>1079.428</f>
        <v>1079.4280000000001</v>
      </c>
      <c r="CE15">
        <f>1159.761</f>
        <v>1159.761</v>
      </c>
      <c r="CF15">
        <f>1066.198</f>
        <v>1066.1980000000001</v>
      </c>
      <c r="CG15">
        <f>1021.09</f>
        <v>1021.09</v>
      </c>
      <c r="CH15">
        <f>1154.575</f>
        <v>1154.575</v>
      </c>
      <c r="CI15">
        <f>1254.988</f>
        <v>1254.9880000000001</v>
      </c>
      <c r="CJ15">
        <f>1152.652</f>
        <v>1152.652</v>
      </c>
      <c r="CK15">
        <f>1108.095</f>
        <v>1108.095</v>
      </c>
      <c r="CL15">
        <f>1036.166</f>
        <v>1036.1659999999999</v>
      </c>
      <c r="CM15">
        <f>1087.083</f>
        <v>1087.0830000000001</v>
      </c>
      <c r="CN15">
        <f>995.682</f>
        <v>995.68200000000002</v>
      </c>
      <c r="CO15">
        <f>957.173</f>
        <v>957.173</v>
      </c>
      <c r="CP15">
        <f>942.899</f>
        <v>942.899</v>
      </c>
      <c r="CQ15">
        <f>1027.42</f>
        <v>1027.42</v>
      </c>
      <c r="CR15">
        <f>905.424</f>
        <v>905.42399999999998</v>
      </c>
      <c r="CS15">
        <f>850.327</f>
        <v>850.327</v>
      </c>
      <c r="CT15">
        <f>840.749</f>
        <v>840.74900000000002</v>
      </c>
      <c r="CU15">
        <f>924.136</f>
        <v>924.13599999999997</v>
      </c>
      <c r="CV15">
        <f>858.517</f>
        <v>858.51700000000005</v>
      </c>
      <c r="CW15">
        <f>838.658</f>
        <v>838.65800000000002</v>
      </c>
      <c r="CX15">
        <f>842.676</f>
        <v>842.67600000000004</v>
      </c>
      <c r="CY15">
        <f>935.83</f>
        <v>935.83</v>
      </c>
      <c r="CZ15">
        <f>860.849</f>
        <v>860.84900000000005</v>
      </c>
      <c r="DA15">
        <f>843.838</f>
        <v>843.83799999999997</v>
      </c>
      <c r="DB15">
        <f>817.581</f>
        <v>817.58100000000002</v>
      </c>
      <c r="DC15">
        <f>924.197</f>
        <v>924.197</v>
      </c>
      <c r="DD15">
        <f>825.609</f>
        <v>825.60900000000004</v>
      </c>
      <c r="DE15">
        <f>778.704</f>
        <v>778.70399999999995</v>
      </c>
      <c r="DF15">
        <f>759.37</f>
        <v>759.37</v>
      </c>
      <c r="DG15">
        <f>854.297</f>
        <v>854.29700000000003</v>
      </c>
      <c r="DH15">
        <f>755.798</f>
        <v>755.798</v>
      </c>
      <c r="DI15">
        <f>727.9</f>
        <v>727.9</v>
      </c>
      <c r="DJ15">
        <f>725.182</f>
        <v>725.18200000000002</v>
      </c>
      <c r="DK15">
        <f>818.431</f>
        <v>818.43100000000004</v>
      </c>
      <c r="DL15">
        <f>720.369</f>
        <v>720.36900000000003</v>
      </c>
      <c r="DM15">
        <f>694.565</f>
        <v>694.56500000000005</v>
      </c>
      <c r="DN15">
        <f>686.729</f>
        <v>686.72900000000004</v>
      </c>
      <c r="DO15">
        <f>741.006</f>
        <v>741.00599999999997</v>
      </c>
      <c r="DP15">
        <f>561.81</f>
        <v>561.80999999999995</v>
      </c>
      <c r="DQ15">
        <f>548.63</f>
        <v>548.63</v>
      </c>
      <c r="DR15">
        <f>539.181</f>
        <v>539.18100000000004</v>
      </c>
      <c r="DS15">
        <f>555.033</f>
        <v>555.03300000000002</v>
      </c>
      <c r="DT15">
        <f>515.416</f>
        <v>515.41600000000005</v>
      </c>
      <c r="DU15">
        <f>504.739</f>
        <v>504.73899999999998</v>
      </c>
    </row>
    <row r="16" spans="1:125">
      <c r="A16" t="str">
        <f>"    Tanger Factory Outlet Centers"</f>
        <v xml:space="preserve">    Tanger Factory Outlet Centers</v>
      </c>
      <c r="B16" t="str">
        <f>"SKT US Equity"</f>
        <v>SKT US Equity</v>
      </c>
      <c r="C16" t="str">
        <f t="shared" si="0"/>
        <v>IS030</v>
      </c>
      <c r="D16" t="str">
        <f t="shared" si="1"/>
        <v>IS_RENT_INC</v>
      </c>
      <c r="E16" t="str">
        <f t="shared" si="2"/>
        <v>动态</v>
      </c>
      <c r="F16" t="str">
        <f ca="1">IF(AND(ISNUMBER($F$477),$B$419=1),$F$477,HLOOKUP(INDIRECT(ADDRESS(2,COLUMN())),OFFSET($BN$2,0,0,ROW()-1,60),ROW()-1,FALSE))</f>
        <v/>
      </c>
      <c r="G16">
        <f ca="1">IF(AND(ISNUMBER($G$477),$B$419=1),$G$477,HLOOKUP(INDIRECT(ADDRESS(2,COLUMN())),OFFSET($BN$2,0,0,ROW()-1,60),ROW()-1,FALSE))</f>
        <v>123.589</v>
      </c>
      <c r="H16">
        <f ca="1">IF(AND(ISNUMBER($H$477),$B$419=1),$H$477,HLOOKUP(INDIRECT(ADDRESS(2,COLUMN())),OFFSET($BN$2,0,0,ROW()-1,60),ROW()-1,FALSE))</f>
        <v>117.667</v>
      </c>
      <c r="I16">
        <f ca="1">IF(AND(ISNUMBER($I$477),$B$419=1),$I$477,HLOOKUP(INDIRECT(ADDRESS(2,COLUMN())),OFFSET($BN$2,0,0,ROW()-1,60),ROW()-1,FALSE))</f>
        <v>116.616</v>
      </c>
      <c r="J16">
        <f ca="1">IF(AND(ISNUMBER($J$477),$B$419=1),$J$477,HLOOKUP(INDIRECT(ADDRESS(2,COLUMN())),OFFSET($BN$2,0,0,ROW()-1,60),ROW()-1,FALSE))</f>
        <v>118.783</v>
      </c>
      <c r="K16">
        <f ca="1">IF(AND(ISNUMBER($K$477),$B$419=1),$K$477,HLOOKUP(INDIRECT(ADDRESS(2,COLUMN())),OFFSET($BN$2,0,0,ROW()-1,60),ROW()-1,FALSE))</f>
        <v>121.605</v>
      </c>
      <c r="L16">
        <f ca="1">IF(AND(ISNUMBER($L$477),$B$419=1),$L$477,HLOOKUP(INDIRECT(ADDRESS(2,COLUMN())),OFFSET($BN$2,0,0,ROW()-1,60),ROW()-1,FALSE))</f>
        <v>115.68899999999999</v>
      </c>
      <c r="M16">
        <f ca="1">IF(AND(ISNUMBER($M$477),$B$419=1),$M$477,HLOOKUP(INDIRECT(ADDRESS(2,COLUMN())),OFFSET($BN$2,0,0,ROW()-1,60),ROW()-1,FALSE))</f>
        <v>108.083</v>
      </c>
      <c r="N16">
        <f ca="1">IF(AND(ISNUMBER($N$477),$B$419=1),$N$477,HLOOKUP(INDIRECT(ADDRESS(2,COLUMN())),OFFSET($BN$2,0,0,ROW()-1,60),ROW()-1,FALSE))</f>
        <v>108.015</v>
      </c>
      <c r="O16">
        <f ca="1">IF(AND(ISNUMBER($O$477),$B$419=1),$O$477,HLOOKUP(INDIRECT(ADDRESS(2,COLUMN())),OFFSET($BN$2,0,0,ROW()-1,60),ROW()-1,FALSE))</f>
        <v>109.803</v>
      </c>
      <c r="P16">
        <f ca="1">IF(AND(ISNUMBER($P$477),$B$419=1),$P$477,HLOOKUP(INDIRECT(ADDRESS(2,COLUMN())),OFFSET($BN$2,0,0,ROW()-1,60),ROW()-1,FALSE))</f>
        <v>109.008</v>
      </c>
      <c r="Q16">
        <f ca="1">IF(AND(ISNUMBER($Q$477),$B$419=1),$Q$477,HLOOKUP(INDIRECT(ADDRESS(2,COLUMN())),OFFSET($BN$2,0,0,ROW()-1,60),ROW()-1,FALSE))</f>
        <v>104.28</v>
      </c>
      <c r="R16">
        <f ca="1">IF(AND(ISNUMBER($R$477),$B$419=1),$R$477,HLOOKUP(INDIRECT(ADDRESS(2,COLUMN())),OFFSET($BN$2,0,0,ROW()-1,60),ROW()-1,FALSE))</f>
        <v>103.22199999999999</v>
      </c>
      <c r="S16">
        <f ca="1">IF(AND(ISNUMBER($S$477),$B$419=1),$S$477,HLOOKUP(INDIRECT(ADDRESS(2,COLUMN())),OFFSET($BN$2,0,0,ROW()-1,60),ROW()-1,FALSE))</f>
        <v>105.482</v>
      </c>
      <c r="T16">
        <f ca="1">IF(AND(ISNUMBER($T$477),$B$419=1),$T$477,HLOOKUP(INDIRECT(ADDRESS(2,COLUMN())),OFFSET($BN$2,0,0,ROW()-1,60),ROW()-1,FALSE))</f>
        <v>101.709</v>
      </c>
      <c r="U16">
        <f ca="1">IF(AND(ISNUMBER($U$477),$B$419=1),$U$477,HLOOKUP(INDIRECT(ADDRESS(2,COLUMN())),OFFSET($BN$2,0,0,ROW()-1,60),ROW()-1,FALSE))</f>
        <v>99.527000000000001</v>
      </c>
      <c r="V16">
        <f ca="1">IF(AND(ISNUMBER($V$477),$B$419=1),$V$477,HLOOKUP(INDIRECT(ADDRESS(2,COLUMN())),OFFSET($BN$2,0,0,ROW()-1,60),ROW()-1,FALSE))</f>
        <v>100.601</v>
      </c>
      <c r="W16">
        <f ca="1">IF(AND(ISNUMBER($W$477),$B$419=1),$W$477,HLOOKUP(INDIRECT(ADDRESS(2,COLUMN())),OFFSET($BN$2,0,0,ROW()-1,60),ROW()-1,FALSE))</f>
        <v>104.21599999999999</v>
      </c>
      <c r="X16">
        <f ca="1">IF(AND(ISNUMBER($X$477),$B$419=1),$X$477,HLOOKUP(INDIRECT(ADDRESS(2,COLUMN())),OFFSET($BN$2,0,0,ROW()-1,60),ROW()-1,FALSE))</f>
        <v>94.799000000000007</v>
      </c>
      <c r="Y16">
        <f ca="1">IF(AND(ISNUMBER($Y$477),$B$419=1),$Y$477,HLOOKUP(INDIRECT(ADDRESS(2,COLUMN())),OFFSET($BN$2,0,0,ROW()-1,60),ROW()-1,FALSE))</f>
        <v>88.724999999999994</v>
      </c>
      <c r="Z16">
        <f ca="1">IF(AND(ISNUMBER($Z$477),$B$419=1),$Z$477,HLOOKUP(INDIRECT(ADDRESS(2,COLUMN())),OFFSET($BN$2,0,0,ROW()-1,60),ROW()-1,FALSE))</f>
        <v>86.566999999999993</v>
      </c>
      <c r="AA16">
        <f ca="1">IF(AND(ISNUMBER($AA$477),$B$419=1),$AA$477,HLOOKUP(INDIRECT(ADDRESS(2,COLUMN())),OFFSET($BN$2,0,0,ROW()-1,60),ROW()-1,FALSE))</f>
        <v>91.731999999999999</v>
      </c>
      <c r="AB16">
        <f ca="1">IF(AND(ISNUMBER($AB$477),$B$419=1),$AB$477,HLOOKUP(INDIRECT(ADDRESS(2,COLUMN())),OFFSET($BN$2,0,0,ROW()-1,60),ROW()-1,FALSE))</f>
        <v>87.488</v>
      </c>
      <c r="AC16">
        <f ca="1">IF(AND(ISNUMBER($AC$477),$B$419=1),$AC$477,HLOOKUP(INDIRECT(ADDRESS(2,COLUMN())),OFFSET($BN$2,0,0,ROW()-1,60),ROW()-1,FALSE))</f>
        <v>85.19</v>
      </c>
      <c r="AD16">
        <f ca="1">IF(AND(ISNUMBER($AD$477),$B$419=1),$AD$477,HLOOKUP(INDIRECT(ADDRESS(2,COLUMN())),OFFSET($BN$2,0,0,ROW()-1,60),ROW()-1,FALSE))</f>
        <v>82.438999999999993</v>
      </c>
      <c r="AE16">
        <f ca="1">IF(AND(ISNUMBER($AE$477),$B$419=1),$AE$477,HLOOKUP(INDIRECT(ADDRESS(2,COLUMN())),OFFSET($BN$2,0,0,ROW()-1,60),ROW()-1,FALSE))</f>
        <v>86.704999999999998</v>
      </c>
      <c r="AF16">
        <f ca="1">IF(AND(ISNUMBER($AF$477),$B$419=1),$AF$477,HLOOKUP(INDIRECT(ADDRESS(2,COLUMN())),OFFSET($BN$2,0,0,ROW()-1,60),ROW()-1,FALSE))</f>
        <v>80.674999999999997</v>
      </c>
      <c r="AG16">
        <f ca="1">IF(AND(ISNUMBER($AG$477),$B$419=1),$AG$477,HLOOKUP(INDIRECT(ADDRESS(2,COLUMN())),OFFSET($BN$2,0,0,ROW()-1,60),ROW()-1,FALSE))</f>
        <v>70.146000000000001</v>
      </c>
      <c r="AH16">
        <f ca="1">IF(AND(ISNUMBER($AH$477),$B$419=1),$AH$477,HLOOKUP(INDIRECT(ADDRESS(2,COLUMN())),OFFSET($BN$2,0,0,ROW()-1,60),ROW()-1,FALSE))</f>
        <v>68.814999999999998</v>
      </c>
      <c r="AI16">
        <f ca="1">IF(AND(ISNUMBER($AI$477),$B$419=1),$AI$477,HLOOKUP(INDIRECT(ADDRESS(2,COLUMN())),OFFSET($BN$2,0,0,ROW()-1,60),ROW()-1,FALSE))</f>
        <v>72.844999999999999</v>
      </c>
      <c r="AJ16">
        <f ca="1">IF(AND(ISNUMBER($AJ$477),$B$419=1),$AJ$477,HLOOKUP(INDIRECT(ADDRESS(2,COLUMN())),OFFSET($BN$2,0,0,ROW()-1,60),ROW()-1,FALSE))</f>
        <v>66.906000000000006</v>
      </c>
      <c r="AK16">
        <f ca="1">IF(AND(ISNUMBER($AK$477),$B$419=1),$AK$477,HLOOKUP(INDIRECT(ADDRESS(2,COLUMN())),OFFSET($BN$2,0,0,ROW()-1,60),ROW()-1,FALSE))</f>
        <v>63.445</v>
      </c>
      <c r="AL16">
        <f ca="1">IF(AND(ISNUMBER($AL$477),$B$419=1),$AL$477,HLOOKUP(INDIRECT(ADDRESS(2,COLUMN())),OFFSET($BN$2,0,0,ROW()-1,60),ROW()-1,FALSE))</f>
        <v>64.320999999999998</v>
      </c>
      <c r="AM16">
        <f ca="1">IF(AND(ISNUMBER($AM$477),$B$419=1),$AM$477,HLOOKUP(INDIRECT(ADDRESS(2,COLUMN())),OFFSET($BN$2,0,0,ROW()-1,60),ROW()-1,FALSE))</f>
        <v>69.304000000000002</v>
      </c>
      <c r="AN16">
        <f ca="1">IF(AND(ISNUMBER($AN$477),$B$419=1),$AN$477,HLOOKUP(INDIRECT(ADDRESS(2,COLUMN())),OFFSET($BN$2,0,0,ROW()-1,60),ROW()-1,FALSE))</f>
        <v>64.41</v>
      </c>
      <c r="AO16">
        <f ca="1">IF(AND(ISNUMBER($AO$477),$B$419=1),$AO$477,HLOOKUP(INDIRECT(ADDRESS(2,COLUMN())),OFFSET($BN$2,0,0,ROW()-1,60),ROW()-1,FALSE))</f>
        <v>62.478999999999999</v>
      </c>
      <c r="AP16">
        <f ca="1">IF(AND(ISNUMBER($AP$477),$B$419=1),$AP$477,HLOOKUP(INDIRECT(ADDRESS(2,COLUMN())),OFFSET($BN$2,0,0,ROW()-1,60),ROW()-1,FALSE))</f>
        <v>63.454000000000001</v>
      </c>
      <c r="AQ16">
        <f ca="1">IF(AND(ISNUMBER($AQ$477),$B$419=1),$AQ$477,HLOOKUP(INDIRECT(ADDRESS(2,COLUMN())),OFFSET($BN$2,0,0,ROW()-1,60),ROW()-1,FALSE))</f>
        <v>66.2</v>
      </c>
      <c r="AR16">
        <f ca="1">IF(AND(ISNUMBER($AR$477),$B$419=1),$AR$477,HLOOKUP(INDIRECT(ADDRESS(2,COLUMN())),OFFSET($BN$2,0,0,ROW()-1,60),ROW()-1,FALSE))</f>
        <v>60.606999999999999</v>
      </c>
      <c r="AS16">
        <f ca="1">IF(AND(ISNUMBER($AS$477),$B$419=1),$AS$477,HLOOKUP(INDIRECT(ADDRESS(2,COLUMN())),OFFSET($BN$2,0,0,ROW()-1,60),ROW()-1,FALSE))</f>
        <v>55.435000000000002</v>
      </c>
      <c r="AT16">
        <f ca="1">IF(AND(ISNUMBER($AT$477),$B$419=1),$AT$477,HLOOKUP(INDIRECT(ADDRESS(2,COLUMN())),OFFSET($BN$2,0,0,ROW()-1,60),ROW()-1,FALSE))</f>
        <v>55.887999999999998</v>
      </c>
      <c r="AU16">
        <f ca="1">IF(AND(ISNUMBER($AU$477),$B$419=1),$AU$477,HLOOKUP(INDIRECT(ADDRESS(2,COLUMN())),OFFSET($BN$2,0,0,ROW()-1,60),ROW()-1,FALSE))</f>
        <v>60.015000000000001</v>
      </c>
      <c r="AV16">
        <f ca="1">IF(AND(ISNUMBER($AV$477),$B$419=1),$AV$477,HLOOKUP(INDIRECT(ADDRESS(2,COLUMN())),OFFSET($BN$2,0,0,ROW()-1,60),ROW()-1,FALSE))</f>
        <v>56.231000000000002</v>
      </c>
      <c r="AW16">
        <f ca="1">IF(AND(ISNUMBER($AW$477),$B$419=1),$AW$477,HLOOKUP(INDIRECT(ADDRESS(2,COLUMN())),OFFSET($BN$2,0,0,ROW()-1,60),ROW()-1,FALSE))</f>
        <v>53.744</v>
      </c>
      <c r="AX16">
        <f ca="1">IF(AND(ISNUMBER($AX$477),$B$419=1),$AX$477,HLOOKUP(INDIRECT(ADDRESS(2,COLUMN())),OFFSET($BN$2,0,0,ROW()-1,60),ROW()-1,FALSE))</f>
        <v>51.569000000000003</v>
      </c>
      <c r="AY16">
        <f ca="1">IF(AND(ISNUMBER($AY$477),$B$419=1),$AY$477,HLOOKUP(INDIRECT(ADDRESS(2,COLUMN())),OFFSET($BN$2,0,0,ROW()-1,60),ROW()-1,FALSE))</f>
        <v>56.311999999999998</v>
      </c>
      <c r="AZ16">
        <f ca="1">IF(AND(ISNUMBER($AZ$477),$B$419=1),$AZ$477,HLOOKUP(INDIRECT(ADDRESS(2,COLUMN())),OFFSET($BN$2,0,0,ROW()-1,60),ROW()-1,FALSE))</f>
        <v>51.862000000000002</v>
      </c>
      <c r="BA16">
        <f ca="1">IF(AND(ISNUMBER($BA$477),$B$419=1),$BA$477,HLOOKUP(INDIRECT(ADDRESS(2,COLUMN())),OFFSET($BN$2,0,0,ROW()-1,60),ROW()-1,FALSE))</f>
        <v>49.024000000000001</v>
      </c>
      <c r="BB16">
        <f ca="1">IF(AND(ISNUMBER($BB$477),$B$419=1),$BB$477,HLOOKUP(INDIRECT(ADDRESS(2,COLUMN())),OFFSET($BN$2,0,0,ROW()-1,60),ROW()-1,FALSE))</f>
        <v>46.843000000000004</v>
      </c>
      <c r="BC16">
        <f ca="1">IF(AND(ISNUMBER($BC$477),$B$419=1),$BC$477,HLOOKUP(INDIRECT(ADDRESS(2,COLUMN())),OFFSET($BN$2,0,0,ROW()-1,60),ROW()-1,FALSE))</f>
        <v>51.527999999999999</v>
      </c>
      <c r="BD16">
        <f ca="1">IF(AND(ISNUMBER($BD$477),$B$419=1),$BD$477,HLOOKUP(INDIRECT(ADDRESS(2,COLUMN())),OFFSET($BN$2,0,0,ROW()-1,60),ROW()-1,FALSE))</f>
        <v>49.03</v>
      </c>
      <c r="BE16">
        <f ca="1">IF(AND(ISNUMBER($BE$477),$B$419=1),$BE$477,HLOOKUP(INDIRECT(ADDRESS(2,COLUMN())),OFFSET($BN$2,0,0,ROW()-1,60),ROW()-1,FALSE))</f>
        <v>46.395000000000003</v>
      </c>
      <c r="BF16">
        <f ca="1">IF(AND(ISNUMBER($BF$477),$B$419=1),$BF$477,HLOOKUP(INDIRECT(ADDRESS(2,COLUMN())),OFFSET($BN$2,0,0,ROW()-1,60),ROW()-1,FALSE))</f>
        <v>46.034999999999997</v>
      </c>
      <c r="BG16">
        <f ca="1">IF(AND(ISNUMBER($BG$477),$B$419=1),$BG$477,HLOOKUP(INDIRECT(ADDRESS(2,COLUMN())),OFFSET($BN$2,0,0,ROW()-1,60),ROW()-1,FALSE))</f>
        <v>50.127000000000002</v>
      </c>
      <c r="BH16">
        <f ca="1">IF(AND(ISNUMBER($BH$477),$B$419=1),$BH$477,HLOOKUP(INDIRECT(ADDRESS(2,COLUMN())),OFFSET($BN$2,0,0,ROW()-1,60),ROW()-1,FALSE))</f>
        <v>47.228000000000002</v>
      </c>
      <c r="BI16">
        <f ca="1">IF(AND(ISNUMBER($BI$477),$B$419=1),$BI$477,HLOOKUP(INDIRECT(ADDRESS(2,COLUMN())),OFFSET($BN$2,0,0,ROW()-1,60),ROW()-1,FALSE))</f>
        <v>46.57</v>
      </c>
      <c r="BJ16">
        <f ca="1">IF(AND(ISNUMBER($BJ$477),$B$419=1),$BJ$477,HLOOKUP(INDIRECT(ADDRESS(2,COLUMN())),OFFSET($BN$2,0,0,ROW()-1,60),ROW()-1,FALSE))</f>
        <v>44.92</v>
      </c>
      <c r="BK16">
        <f ca="1">IF(AND(ISNUMBER($BK$477),$B$419=1),$BK$477,HLOOKUP(INDIRECT(ADDRESS(2,COLUMN())),OFFSET($BN$2,0,0,ROW()-1,60),ROW()-1,FALSE))</f>
        <v>33.122001650000001</v>
      </c>
      <c r="BL16">
        <f ca="1">IF(AND(ISNUMBER($BL$477),$B$419=1),$BL$477,HLOOKUP(INDIRECT(ADDRESS(2,COLUMN())),OFFSET($BN$2,0,0,ROW()-1,60),ROW()-1,FALSE))</f>
        <v>27.925999999999998</v>
      </c>
      <c r="BM16">
        <f ca="1">IF(AND(ISNUMBER($BM$477),$B$419=1),$BM$477,HLOOKUP(INDIRECT(ADDRESS(2,COLUMN())),OFFSET($BN$2,0,0,ROW()-1,60),ROW()-1,FALSE))</f>
        <v>28.081</v>
      </c>
      <c r="BN16" t="str">
        <f>""</f>
        <v/>
      </c>
      <c r="BO16">
        <f>123.589</f>
        <v>123.589</v>
      </c>
      <c r="BP16">
        <f>117.667</f>
        <v>117.667</v>
      </c>
      <c r="BQ16">
        <f>116.616</f>
        <v>116.616</v>
      </c>
      <c r="BR16">
        <f>118.783</f>
        <v>118.783</v>
      </c>
      <c r="BS16">
        <f>121.605</f>
        <v>121.605</v>
      </c>
      <c r="BT16">
        <f>115.689</f>
        <v>115.68899999999999</v>
      </c>
      <c r="BU16">
        <f>108.083</f>
        <v>108.083</v>
      </c>
      <c r="BV16">
        <f>108.015</f>
        <v>108.015</v>
      </c>
      <c r="BW16">
        <f>109.803</f>
        <v>109.803</v>
      </c>
      <c r="BX16">
        <f>109.008</f>
        <v>109.008</v>
      </c>
      <c r="BY16">
        <f>104.28</f>
        <v>104.28</v>
      </c>
      <c r="BZ16">
        <f>103.222</f>
        <v>103.22199999999999</v>
      </c>
      <c r="CA16">
        <f>105.482</f>
        <v>105.482</v>
      </c>
      <c r="CB16">
        <f>101.709</f>
        <v>101.709</v>
      </c>
      <c r="CC16">
        <f>99.527</f>
        <v>99.527000000000001</v>
      </c>
      <c r="CD16">
        <f>100.601</f>
        <v>100.601</v>
      </c>
      <c r="CE16">
        <f>104.216</f>
        <v>104.21599999999999</v>
      </c>
      <c r="CF16">
        <f>94.799</f>
        <v>94.799000000000007</v>
      </c>
      <c r="CG16">
        <f>88.725</f>
        <v>88.724999999999994</v>
      </c>
      <c r="CH16">
        <f>86.567</f>
        <v>86.566999999999993</v>
      </c>
      <c r="CI16">
        <f>91.732</f>
        <v>91.731999999999999</v>
      </c>
      <c r="CJ16">
        <f>87.488</f>
        <v>87.488</v>
      </c>
      <c r="CK16">
        <f>85.19</f>
        <v>85.19</v>
      </c>
      <c r="CL16">
        <f>82.439</f>
        <v>82.438999999999993</v>
      </c>
      <c r="CM16">
        <f>86.705</f>
        <v>86.704999999999998</v>
      </c>
      <c r="CN16">
        <f>80.675</f>
        <v>80.674999999999997</v>
      </c>
      <c r="CO16">
        <f>70.146</f>
        <v>70.146000000000001</v>
      </c>
      <c r="CP16">
        <f>68.815</f>
        <v>68.814999999999998</v>
      </c>
      <c r="CQ16">
        <f>72.845</f>
        <v>72.844999999999999</v>
      </c>
      <c r="CR16">
        <f>66.906</f>
        <v>66.906000000000006</v>
      </c>
      <c r="CS16">
        <f>63.445</f>
        <v>63.445</v>
      </c>
      <c r="CT16">
        <f>64.321</f>
        <v>64.320999999999998</v>
      </c>
      <c r="CU16">
        <f>69.304</f>
        <v>69.304000000000002</v>
      </c>
      <c r="CV16">
        <f>64.41</f>
        <v>64.41</v>
      </c>
      <c r="CW16">
        <f>62.479</f>
        <v>62.478999999999999</v>
      </c>
      <c r="CX16">
        <f>63.454</f>
        <v>63.454000000000001</v>
      </c>
      <c r="CY16">
        <f>66.2</f>
        <v>66.2</v>
      </c>
      <c r="CZ16">
        <f>60.607</f>
        <v>60.606999999999999</v>
      </c>
      <c r="DA16">
        <f>55.435</f>
        <v>55.435000000000002</v>
      </c>
      <c r="DB16">
        <f>55.888</f>
        <v>55.887999999999998</v>
      </c>
      <c r="DC16">
        <f>60.015</f>
        <v>60.015000000000001</v>
      </c>
      <c r="DD16">
        <f>56.231</f>
        <v>56.231000000000002</v>
      </c>
      <c r="DE16">
        <f>53.744</f>
        <v>53.744</v>
      </c>
      <c r="DF16">
        <f>51.569</f>
        <v>51.569000000000003</v>
      </c>
      <c r="DG16">
        <f>56.312</f>
        <v>56.311999999999998</v>
      </c>
      <c r="DH16">
        <f>51.862</f>
        <v>51.862000000000002</v>
      </c>
      <c r="DI16">
        <f>49.024</f>
        <v>49.024000000000001</v>
      </c>
      <c r="DJ16">
        <f>46.843</f>
        <v>46.843000000000004</v>
      </c>
      <c r="DK16">
        <f>51.528</f>
        <v>51.527999999999999</v>
      </c>
      <c r="DL16">
        <f>49.03</f>
        <v>49.03</v>
      </c>
      <c r="DM16">
        <f>46.395</f>
        <v>46.395000000000003</v>
      </c>
      <c r="DN16">
        <f>46.035</f>
        <v>46.034999999999997</v>
      </c>
      <c r="DO16">
        <f>50.127</f>
        <v>50.127000000000002</v>
      </c>
      <c r="DP16">
        <f>47.228</f>
        <v>47.228000000000002</v>
      </c>
      <c r="DQ16">
        <f>46.57</f>
        <v>46.57</v>
      </c>
      <c r="DR16">
        <f>44.92</f>
        <v>44.92</v>
      </c>
      <c r="DS16">
        <f>33.12200165</f>
        <v>33.122001650000001</v>
      </c>
      <c r="DT16">
        <f>27.926</f>
        <v>27.925999999999998</v>
      </c>
      <c r="DU16">
        <f>28.081</f>
        <v>28.081</v>
      </c>
    </row>
    <row r="17" spans="1:125">
      <c r="A17" t="str">
        <f>"    VEREIT Inc"</f>
        <v xml:space="preserve">    VEREIT Inc</v>
      </c>
      <c r="B17" t="str">
        <f>"VER US Equity"</f>
        <v>VER US Equity</v>
      </c>
      <c r="C17" t="str">
        <f t="shared" si="0"/>
        <v>IS030</v>
      </c>
      <c r="D17" t="str">
        <f t="shared" si="1"/>
        <v>IS_RENT_INC</v>
      </c>
      <c r="E17" t="str">
        <f t="shared" si="2"/>
        <v>动态</v>
      </c>
      <c r="F17" t="str">
        <f ca="1">IF(AND(ISNUMBER($F$478),$B$419=1),$F$478,HLOOKUP(INDIRECT(ADDRESS(2,COLUMN())),OFFSET($BN$2,0,0,ROW()-1,60),ROW()-1,FALSE))</f>
        <v/>
      </c>
      <c r="G17">
        <f ca="1">IF(AND(ISNUMBER($G$478),$B$419=1),$G$478,HLOOKUP(INDIRECT(ADDRESS(2,COLUMN())),OFFSET($BN$2,0,0,ROW()-1,60),ROW()-1,FALSE))</f>
        <v>290.56400000000002</v>
      </c>
      <c r="H17">
        <f ca="1">IF(AND(ISNUMBER($H$478),$B$419=1),$H$478,HLOOKUP(INDIRECT(ADDRESS(2,COLUMN())),OFFSET($BN$2,0,0,ROW()-1,60),ROW()-1,FALSE))</f>
        <v>282.34100000000001</v>
      </c>
      <c r="I17">
        <f ca="1">IF(AND(ISNUMBER($I$478),$B$419=1),$I$478,HLOOKUP(INDIRECT(ADDRESS(2,COLUMN())),OFFSET($BN$2,0,0,ROW()-1,60),ROW()-1,FALSE))</f>
        <v>286.291</v>
      </c>
      <c r="J17">
        <f ca="1">IF(AND(ISNUMBER($J$478),$B$419=1),$J$478,HLOOKUP(INDIRECT(ADDRESS(2,COLUMN())),OFFSET($BN$2,0,0,ROW()-1,60),ROW()-1,FALSE))</f>
        <v>293.73899999999998</v>
      </c>
      <c r="K17">
        <f ca="1">IF(AND(ISNUMBER($K$478),$B$419=1),$K$478,HLOOKUP(INDIRECT(ADDRESS(2,COLUMN())),OFFSET($BN$2,0,0,ROW()-1,60),ROW()-1,FALSE))</f>
        <v>299.23099999999999</v>
      </c>
      <c r="L17">
        <f ca="1">IF(AND(ISNUMBER($L$478),$B$419=1),$L$478,HLOOKUP(INDIRECT(ADDRESS(2,COLUMN())),OFFSET($BN$2,0,0,ROW()-1,60),ROW()-1,FALSE))</f>
        <v>303.38299999999998</v>
      </c>
      <c r="M17">
        <f ca="1">IF(AND(ISNUMBER($M$478),$B$419=1),$M$478,HLOOKUP(INDIRECT(ADDRESS(2,COLUMN())),OFFSET($BN$2,0,0,ROW()-1,60),ROW()-1,FALSE))</f>
        <v>311.35199999999998</v>
      </c>
      <c r="N17">
        <f ca="1">IF(AND(ISNUMBER($N$478),$B$419=1),$N$478,HLOOKUP(INDIRECT(ADDRESS(2,COLUMN())),OFFSET($BN$2,0,0,ROW()-1,60),ROW()-1,FALSE))</f>
        <v>313.971</v>
      </c>
      <c r="O17">
        <f ca="1">IF(AND(ISNUMBER($O$478),$B$419=1),$O$478,HLOOKUP(INDIRECT(ADDRESS(2,COLUMN())),OFFSET($BN$2,0,0,ROW()-1,60),ROW()-1,FALSE))</f>
        <v>322.07900000000001</v>
      </c>
      <c r="P17">
        <f ca="1">IF(AND(ISNUMBER($P$478),$B$419=1),$P$478,HLOOKUP(INDIRECT(ADDRESS(2,COLUMN())),OFFSET($BN$2,0,0,ROW()-1,60),ROW()-1,FALSE))</f>
        <v>333.76600000000002</v>
      </c>
      <c r="Q17">
        <f ca="1">IF(AND(ISNUMBER($Q$478),$B$419=1),$Q$478,HLOOKUP(INDIRECT(ADDRESS(2,COLUMN())),OFFSET($BN$2,0,0,ROW()-1,60),ROW()-1,FALSE))</f>
        <v>341.18299999999999</v>
      </c>
      <c r="R17">
        <f ca="1">IF(AND(ISNUMBER($R$478),$B$419=1),$R$478,HLOOKUP(INDIRECT(ADDRESS(2,COLUMN())),OFFSET($BN$2,0,0,ROW()-1,60),ROW()-1,FALSE))</f>
        <v>342.75900000000001</v>
      </c>
      <c r="S17">
        <f ca="1">IF(AND(ISNUMBER($S$478),$B$419=1),$S$478,HLOOKUP(INDIRECT(ADDRESS(2,COLUMN())),OFFSET($BN$2,0,0,ROW()-1,60),ROW()-1,FALSE))</f>
        <v>346.928</v>
      </c>
      <c r="T17">
        <f ca="1">IF(AND(ISNUMBER($T$478),$B$419=1),$T$478,HLOOKUP(INDIRECT(ADDRESS(2,COLUMN())),OFFSET($BN$2,0,0,ROW()-1,60),ROW()-1,FALSE))</f>
        <v>365.71199999999999</v>
      </c>
      <c r="U17">
        <f ca="1">IF(AND(ISNUMBER($U$478),$B$419=1),$U$478,HLOOKUP(INDIRECT(ADDRESS(2,COLUMN())),OFFSET($BN$2,0,0,ROW()-1,60),ROW()-1,FALSE))</f>
        <v>314.51900000000001</v>
      </c>
      <c r="V17">
        <f ca="1">IF(AND(ISNUMBER($V$478),$B$419=1),$V$478,HLOOKUP(INDIRECT(ADDRESS(2,COLUMN())),OFFSET($BN$2,0,0,ROW()-1,60),ROW()-1,FALSE))</f>
        <v>244.41499999999999</v>
      </c>
      <c r="W17">
        <f ca="1">IF(AND(ISNUMBER($W$478),$B$419=1),$W$478,HLOOKUP(INDIRECT(ADDRESS(2,COLUMN())),OFFSET($BN$2,0,0,ROW()-1,60),ROW()-1,FALSE))</f>
        <v>85.256</v>
      </c>
      <c r="X17">
        <f ca="1">IF(AND(ISNUMBER($X$478),$B$419=1),$X$478,HLOOKUP(INDIRECT(ADDRESS(2,COLUMN())),OFFSET($BN$2,0,0,ROW()-1,60),ROW()-1,FALSE))</f>
        <v>89.728999999999999</v>
      </c>
      <c r="Y17">
        <f ca="1">IF(AND(ISNUMBER($Y$478),$B$419=1),$Y$478,HLOOKUP(INDIRECT(ADDRESS(2,COLUMN())),OFFSET($BN$2,0,0,ROW()-1,60),ROW()-1,FALSE))</f>
        <v>52.664000000000001</v>
      </c>
      <c r="Z17">
        <f ca="1">IF(AND(ISNUMBER($Z$478),$B$419=1),$Z$478,HLOOKUP(INDIRECT(ADDRESS(2,COLUMN())),OFFSET($BN$2,0,0,ROW()-1,60),ROW()-1,FALSE))</f>
        <v>40.987000000000002</v>
      </c>
      <c r="AA17">
        <f ca="1">IF(AND(ISNUMBER($AA$478),$B$419=1),$AA$478,HLOOKUP(INDIRECT(ADDRESS(2,COLUMN())),OFFSET($BN$2,0,0,ROW()-1,60),ROW()-1,FALSE))</f>
        <v>28.846</v>
      </c>
      <c r="AB17">
        <f ca="1">IF(AND(ISNUMBER($AB$478),$B$419=1),$AB$478,HLOOKUP(INDIRECT(ADDRESS(2,COLUMN())),OFFSET($BN$2,0,0,ROW()-1,60),ROW()-1,FALSE))</f>
        <v>18.300999999999998</v>
      </c>
      <c r="AC17">
        <f ca="1">IF(AND(ISNUMBER($AC$478),$B$419=1),$AC$478,HLOOKUP(INDIRECT(ADDRESS(2,COLUMN())),OFFSET($BN$2,0,0,ROW()-1,60),ROW()-1,FALSE))</f>
        <v>11.329000000000001</v>
      </c>
      <c r="AD17">
        <f ca="1">IF(AND(ISNUMBER($AD$478),$B$419=1),$AD$478,HLOOKUP(INDIRECT(ADDRESS(2,COLUMN())),OFFSET($BN$2,0,0,ROW()-1,60),ROW()-1,FALSE))</f>
        <v>6.0830000000000002</v>
      </c>
      <c r="AE17">
        <f ca="1">IF(AND(ISNUMBER($AE$478),$B$419=1),$AE$478,HLOOKUP(INDIRECT(ADDRESS(2,COLUMN())),OFFSET($BN$2,0,0,ROW()-1,60),ROW()-1,FALSE))</f>
        <v>0.75083599999999995</v>
      </c>
      <c r="AF17">
        <f ca="1">IF(AND(ISNUMBER($AF$478),$B$419=1),$AF$478,HLOOKUP(INDIRECT(ADDRESS(2,COLUMN())),OFFSET($BN$2,0,0,ROW()-1,60),ROW()-1,FALSE))</f>
        <v>0.57599999999999996</v>
      </c>
      <c r="AG17">
        <f ca="1">IF(AND(ISNUMBER($AG$478),$B$419=1),$AG$478,HLOOKUP(INDIRECT(ADDRESS(2,COLUMN())),OFFSET($BN$2,0,0,ROW()-1,60),ROW()-1,FALSE))</f>
        <v>0</v>
      </c>
      <c r="AH17">
        <f ca="1">IF(AND(ISNUMBER($AH$478),$B$419=1),$AH$478,HLOOKUP(INDIRECT(ADDRESS(2,COLUMN())),OFFSET($BN$2,0,0,ROW()-1,60),ROW()-1,FALSE))</f>
        <v>1.6951639999999999</v>
      </c>
      <c r="AI17" t="str">
        <f ca="1">IF(AND(ISNUMBER($AI$478),$B$419=1),$AI$478,HLOOKUP(INDIRECT(ADDRESS(2,COLUMN())),OFFSET($BN$2,0,0,ROW()-1,60),ROW()-1,FALSE))</f>
        <v/>
      </c>
      <c r="AJ17" t="str">
        <f ca="1">IF(AND(ISNUMBER($AJ$478),$B$419=1),$AJ$478,HLOOKUP(INDIRECT(ADDRESS(2,COLUMN())),OFFSET($BN$2,0,0,ROW()-1,60),ROW()-1,FALSE))</f>
        <v/>
      </c>
      <c r="AK17" t="str">
        <f ca="1">IF(AND(ISNUMBER($AK$478),$B$419=1),$AK$478,HLOOKUP(INDIRECT(ADDRESS(2,COLUMN())),OFFSET($BN$2,0,0,ROW()-1,60),ROW()-1,FALSE))</f>
        <v/>
      </c>
      <c r="AL17">
        <f ca="1">IF(AND(ISNUMBER($AL$478),$B$419=1),$AL$478,HLOOKUP(INDIRECT(ADDRESS(2,COLUMN())),OFFSET($BN$2,0,0,ROW()-1,60),ROW()-1,FALSE))</f>
        <v>1.749868</v>
      </c>
      <c r="AM17" t="str">
        <f ca="1">IF(AND(ISNUMBER($AM$478),$B$419=1),$AM$478,HLOOKUP(INDIRECT(ADDRESS(2,COLUMN())),OFFSET($BN$2,0,0,ROW()-1,60),ROW()-1,FALSE))</f>
        <v/>
      </c>
      <c r="AN17" t="str">
        <f ca="1">IF(AND(ISNUMBER($AN$478),$B$419=1),$AN$478,HLOOKUP(INDIRECT(ADDRESS(2,COLUMN())),OFFSET($BN$2,0,0,ROW()-1,60),ROW()-1,FALSE))</f>
        <v/>
      </c>
      <c r="AO17" t="str">
        <f ca="1">IF(AND(ISNUMBER($AO$478),$B$419=1),$AO$478,HLOOKUP(INDIRECT(ADDRESS(2,COLUMN())),OFFSET($BN$2,0,0,ROW()-1,60),ROW()-1,FALSE))</f>
        <v/>
      </c>
      <c r="AP17" t="str">
        <f ca="1">IF(AND(ISNUMBER($AP$478),$B$419=1),$AP$478,HLOOKUP(INDIRECT(ADDRESS(2,COLUMN())),OFFSET($BN$2,0,0,ROW()-1,60),ROW()-1,FALSE))</f>
        <v/>
      </c>
      <c r="AQ17" t="str">
        <f ca="1">IF(AND(ISNUMBER($AQ$478),$B$419=1),$AQ$478,HLOOKUP(INDIRECT(ADDRESS(2,COLUMN())),OFFSET($BN$2,0,0,ROW()-1,60),ROW()-1,FALSE))</f>
        <v/>
      </c>
      <c r="AR17" t="str">
        <f ca="1">IF(AND(ISNUMBER($AR$478),$B$419=1),$AR$478,HLOOKUP(INDIRECT(ADDRESS(2,COLUMN())),OFFSET($BN$2,0,0,ROW()-1,60),ROW()-1,FALSE))</f>
        <v/>
      </c>
      <c r="AS17" t="str">
        <f ca="1">IF(AND(ISNUMBER($AS$478),$B$419=1),$AS$478,HLOOKUP(INDIRECT(ADDRESS(2,COLUMN())),OFFSET($BN$2,0,0,ROW()-1,60),ROW()-1,FALSE))</f>
        <v/>
      </c>
      <c r="AT17" t="str">
        <f ca="1">IF(AND(ISNUMBER($AT$478),$B$419=1),$AT$478,HLOOKUP(INDIRECT(ADDRESS(2,COLUMN())),OFFSET($BN$2,0,0,ROW()-1,60),ROW()-1,FALSE))</f>
        <v/>
      </c>
      <c r="AU17" t="str">
        <f ca="1">IF(AND(ISNUMBER($AU$478),$B$419=1),$AU$478,HLOOKUP(INDIRECT(ADDRESS(2,COLUMN())),OFFSET($BN$2,0,0,ROW()-1,60),ROW()-1,FALSE))</f>
        <v/>
      </c>
      <c r="AV17" t="str">
        <f ca="1">IF(AND(ISNUMBER($AV$478),$B$419=1),$AV$478,HLOOKUP(INDIRECT(ADDRESS(2,COLUMN())),OFFSET($BN$2,0,0,ROW()-1,60),ROW()-1,FALSE))</f>
        <v/>
      </c>
      <c r="AW17" t="str">
        <f ca="1">IF(AND(ISNUMBER($AW$478),$B$419=1),$AW$478,HLOOKUP(INDIRECT(ADDRESS(2,COLUMN())),OFFSET($BN$2,0,0,ROW()-1,60),ROW()-1,FALSE))</f>
        <v/>
      </c>
      <c r="AX17" t="str">
        <f ca="1">IF(AND(ISNUMBER($AX$478),$B$419=1),$AX$478,HLOOKUP(INDIRECT(ADDRESS(2,COLUMN())),OFFSET($BN$2,0,0,ROW()-1,60),ROW()-1,FALSE))</f>
        <v/>
      </c>
      <c r="AY17" t="str">
        <f ca="1">IF(AND(ISNUMBER($AY$478),$B$419=1),$AY$478,HLOOKUP(INDIRECT(ADDRESS(2,COLUMN())),OFFSET($BN$2,0,0,ROW()-1,60),ROW()-1,FALSE))</f>
        <v/>
      </c>
      <c r="AZ17" t="str">
        <f ca="1">IF(AND(ISNUMBER($AZ$478),$B$419=1),$AZ$478,HLOOKUP(INDIRECT(ADDRESS(2,COLUMN())),OFFSET($BN$2,0,0,ROW()-1,60),ROW()-1,FALSE))</f>
        <v/>
      </c>
      <c r="BA17" t="str">
        <f ca="1">IF(AND(ISNUMBER($BA$478),$B$419=1),$BA$478,HLOOKUP(INDIRECT(ADDRESS(2,COLUMN())),OFFSET($BN$2,0,0,ROW()-1,60),ROW()-1,FALSE))</f>
        <v/>
      </c>
      <c r="BB17" t="str">
        <f ca="1">IF(AND(ISNUMBER($BB$478),$B$419=1),$BB$478,HLOOKUP(INDIRECT(ADDRESS(2,COLUMN())),OFFSET($BN$2,0,0,ROW()-1,60),ROW()-1,FALSE))</f>
        <v/>
      </c>
      <c r="BC17" t="str">
        <f ca="1">IF(AND(ISNUMBER($BC$478),$B$419=1),$BC$478,HLOOKUP(INDIRECT(ADDRESS(2,COLUMN())),OFFSET($BN$2,0,0,ROW()-1,60),ROW()-1,FALSE))</f>
        <v/>
      </c>
      <c r="BD17" t="str">
        <f ca="1">IF(AND(ISNUMBER($BD$478),$B$419=1),$BD$478,HLOOKUP(INDIRECT(ADDRESS(2,COLUMN())),OFFSET($BN$2,0,0,ROW()-1,60),ROW()-1,FALSE))</f>
        <v/>
      </c>
      <c r="BE17" t="str">
        <f ca="1">IF(AND(ISNUMBER($BE$478),$B$419=1),$BE$478,HLOOKUP(INDIRECT(ADDRESS(2,COLUMN())),OFFSET($BN$2,0,0,ROW()-1,60),ROW()-1,FALSE))</f>
        <v/>
      </c>
      <c r="BF17" t="str">
        <f ca="1">IF(AND(ISNUMBER($BF$478),$B$419=1),$BF$478,HLOOKUP(INDIRECT(ADDRESS(2,COLUMN())),OFFSET($BN$2,0,0,ROW()-1,60),ROW()-1,FALSE))</f>
        <v/>
      </c>
      <c r="BG17" t="str">
        <f ca="1">IF(AND(ISNUMBER($BG$478),$B$419=1),$BG$478,HLOOKUP(INDIRECT(ADDRESS(2,COLUMN())),OFFSET($BN$2,0,0,ROW()-1,60),ROW()-1,FALSE))</f>
        <v/>
      </c>
      <c r="BH17" t="str">
        <f ca="1">IF(AND(ISNUMBER($BH$478),$B$419=1),$BH$478,HLOOKUP(INDIRECT(ADDRESS(2,COLUMN())),OFFSET($BN$2,0,0,ROW()-1,60),ROW()-1,FALSE))</f>
        <v/>
      </c>
      <c r="BI17" t="str">
        <f ca="1">IF(AND(ISNUMBER($BI$478),$B$419=1),$BI$478,HLOOKUP(INDIRECT(ADDRESS(2,COLUMN())),OFFSET($BN$2,0,0,ROW()-1,60),ROW()-1,FALSE))</f>
        <v/>
      </c>
      <c r="BJ17" t="str">
        <f ca="1">IF(AND(ISNUMBER($BJ$478),$B$419=1),$BJ$478,HLOOKUP(INDIRECT(ADDRESS(2,COLUMN())),OFFSET($BN$2,0,0,ROW()-1,60),ROW()-1,FALSE))</f>
        <v/>
      </c>
      <c r="BK17" t="str">
        <f ca="1">IF(AND(ISNUMBER($BK$478),$B$419=1),$BK$478,HLOOKUP(INDIRECT(ADDRESS(2,COLUMN())),OFFSET($BN$2,0,0,ROW()-1,60),ROW()-1,FALSE))</f>
        <v/>
      </c>
      <c r="BL17" t="str">
        <f ca="1">IF(AND(ISNUMBER($BL$478),$B$419=1),$BL$478,HLOOKUP(INDIRECT(ADDRESS(2,COLUMN())),OFFSET($BN$2,0,0,ROW()-1,60),ROW()-1,FALSE))</f>
        <v/>
      </c>
      <c r="BM17" t="str">
        <f ca="1">IF(AND(ISNUMBER($BM$478),$B$419=1),$BM$478,HLOOKUP(INDIRECT(ADDRESS(2,COLUMN())),OFFSET($BN$2,0,0,ROW()-1,60),ROW()-1,FALSE))</f>
        <v/>
      </c>
      <c r="BN17" t="str">
        <f>""</f>
        <v/>
      </c>
      <c r="BO17">
        <f>290.564</f>
        <v>290.56400000000002</v>
      </c>
      <c r="BP17">
        <f>282.341</f>
        <v>282.34100000000001</v>
      </c>
      <c r="BQ17">
        <f>286.291</f>
        <v>286.291</v>
      </c>
      <c r="BR17">
        <f>293.739</f>
        <v>293.73899999999998</v>
      </c>
      <c r="BS17">
        <f>299.231</f>
        <v>299.23099999999999</v>
      </c>
      <c r="BT17">
        <f>303.383</f>
        <v>303.38299999999998</v>
      </c>
      <c r="BU17">
        <f>311.352</f>
        <v>311.35199999999998</v>
      </c>
      <c r="BV17">
        <f>313.971</f>
        <v>313.971</v>
      </c>
      <c r="BW17">
        <f>322.079</f>
        <v>322.07900000000001</v>
      </c>
      <c r="BX17">
        <f>333.766</f>
        <v>333.76600000000002</v>
      </c>
      <c r="BY17">
        <f>341.183</f>
        <v>341.18299999999999</v>
      </c>
      <c r="BZ17">
        <f>342.759</f>
        <v>342.75900000000001</v>
      </c>
      <c r="CA17">
        <f>346.928</f>
        <v>346.928</v>
      </c>
      <c r="CB17">
        <f>365.712</f>
        <v>365.71199999999999</v>
      </c>
      <c r="CC17">
        <f>314.519</f>
        <v>314.51900000000001</v>
      </c>
      <c r="CD17">
        <f>244.415</f>
        <v>244.41499999999999</v>
      </c>
      <c r="CE17">
        <f>85.256</f>
        <v>85.256</v>
      </c>
      <c r="CF17">
        <f>89.729</f>
        <v>89.728999999999999</v>
      </c>
      <c r="CG17">
        <f>52.664</f>
        <v>52.664000000000001</v>
      </c>
      <c r="CH17">
        <f>40.987</f>
        <v>40.987000000000002</v>
      </c>
      <c r="CI17">
        <f>28.846</f>
        <v>28.846</v>
      </c>
      <c r="CJ17">
        <f>18.301</f>
        <v>18.300999999999998</v>
      </c>
      <c r="CK17">
        <f>11.329</f>
        <v>11.329000000000001</v>
      </c>
      <c r="CL17">
        <f>6.083</f>
        <v>6.0830000000000002</v>
      </c>
      <c r="CM17">
        <f>0.750836</f>
        <v>0.75083599999999995</v>
      </c>
      <c r="CN17">
        <f>0.576</f>
        <v>0.57599999999999996</v>
      </c>
      <c r="CO17">
        <f>0</f>
        <v>0</v>
      </c>
      <c r="CP17">
        <f>1.695164</f>
        <v>1.6951639999999999</v>
      </c>
      <c r="CQ17" t="str">
        <f>""</f>
        <v/>
      </c>
      <c r="CR17" t="str">
        <f>""</f>
        <v/>
      </c>
      <c r="CS17" t="str">
        <f>""</f>
        <v/>
      </c>
      <c r="CT17">
        <f>1.749868</f>
        <v>1.749868</v>
      </c>
      <c r="CU17" t="str">
        <f>""</f>
        <v/>
      </c>
      <c r="CV17" t="str">
        <f>""</f>
        <v/>
      </c>
      <c r="CW17" t="str">
        <f>""</f>
        <v/>
      </c>
      <c r="CX17" t="str">
        <f>""</f>
        <v/>
      </c>
      <c r="CY17" t="str">
        <f>""</f>
        <v/>
      </c>
      <c r="CZ17" t="str">
        <f>""</f>
        <v/>
      </c>
      <c r="DA17" t="str">
        <f>""</f>
        <v/>
      </c>
      <c r="DB17" t="str">
        <f>""</f>
        <v/>
      </c>
      <c r="DC17" t="str">
        <f>""</f>
        <v/>
      </c>
      <c r="DD17" t="str">
        <f>""</f>
        <v/>
      </c>
      <c r="DE17" t="str">
        <f>""</f>
        <v/>
      </c>
      <c r="DF17" t="str">
        <f>""</f>
        <v/>
      </c>
      <c r="DG17" t="str">
        <f>""</f>
        <v/>
      </c>
      <c r="DH17" t="str">
        <f>""</f>
        <v/>
      </c>
      <c r="DI17" t="str">
        <f>""</f>
        <v/>
      </c>
      <c r="DJ17" t="str">
        <f>""</f>
        <v/>
      </c>
      <c r="DK17" t="str">
        <f>""</f>
        <v/>
      </c>
      <c r="DL17" t="str">
        <f>""</f>
        <v/>
      </c>
      <c r="DM17" t="str">
        <f>""</f>
        <v/>
      </c>
      <c r="DN17" t="str">
        <f>""</f>
        <v/>
      </c>
      <c r="DO17" t="str">
        <f>""</f>
        <v/>
      </c>
      <c r="DP17" t="str">
        <f>""</f>
        <v/>
      </c>
      <c r="DQ17" t="str">
        <f>""</f>
        <v/>
      </c>
      <c r="DR17" t="str">
        <f>""</f>
        <v/>
      </c>
      <c r="DS17" t="str">
        <f>""</f>
        <v/>
      </c>
      <c r="DT17" t="str">
        <f>""</f>
        <v/>
      </c>
      <c r="DU17" t="str">
        <f>""</f>
        <v/>
      </c>
    </row>
    <row r="18" spans="1:125">
      <c r="A18" t="str">
        <f>"    Washington Prime Group Inc"</f>
        <v xml:space="preserve">    Washington Prime Group Inc</v>
      </c>
      <c r="B18" t="str">
        <f>"WPG US Equity"</f>
        <v>WPG US Equity</v>
      </c>
      <c r="C18" t="str">
        <f t="shared" si="0"/>
        <v>IS030</v>
      </c>
      <c r="D18" t="str">
        <f t="shared" si="1"/>
        <v>IS_RENT_INC</v>
      </c>
      <c r="E18" t="str">
        <f t="shared" si="2"/>
        <v>动态</v>
      </c>
      <c r="F18" t="str">
        <f ca="1">IF(AND(ISNUMBER($F$479),$B$419=1),$F$479,HLOOKUP(INDIRECT(ADDRESS(2,COLUMN())),OFFSET($BN$2,0,0,ROW()-1,60),ROW()-1,FALSE))</f>
        <v/>
      </c>
      <c r="G18">
        <f ca="1">IF(AND(ISNUMBER($G$479),$B$419=1),$G$479,HLOOKUP(INDIRECT(ADDRESS(2,COLUMN())),OFFSET($BN$2,0,0,ROW()-1,60),ROW()-1,FALSE))</f>
        <v>187.23699999999999</v>
      </c>
      <c r="H18">
        <f ca="1">IF(AND(ISNUMBER($H$479),$B$419=1),$H$479,HLOOKUP(INDIRECT(ADDRESS(2,COLUMN())),OFFSET($BN$2,0,0,ROW()-1,60),ROW()-1,FALSE))</f>
        <v>179.32</v>
      </c>
      <c r="I18">
        <f ca="1">IF(AND(ISNUMBER($I$479),$B$419=1),$I$479,HLOOKUP(INDIRECT(ADDRESS(2,COLUMN())),OFFSET($BN$2,0,0,ROW()-1,60),ROW()-1,FALSE))</f>
        <v>189.17099999999999</v>
      </c>
      <c r="J18">
        <f ca="1">IF(AND(ISNUMBER($J$479),$B$419=1),$J$479,HLOOKUP(INDIRECT(ADDRESS(2,COLUMN())),OFFSET($BN$2,0,0,ROW()-1,60),ROW()-1,FALSE))</f>
        <v>202.39400000000001</v>
      </c>
      <c r="K18">
        <f ca="1">IF(AND(ISNUMBER($K$479),$B$419=1),$K$479,HLOOKUP(INDIRECT(ADDRESS(2,COLUMN())),OFFSET($BN$2,0,0,ROW()-1,60),ROW()-1,FALSE))</f>
        <v>217.785</v>
      </c>
      <c r="L18">
        <f ca="1">IF(AND(ISNUMBER($L$479),$B$419=1),$L$479,HLOOKUP(INDIRECT(ADDRESS(2,COLUMN())),OFFSET($BN$2,0,0,ROW()-1,60),ROW()-1,FALSE))</f>
        <v>209.922</v>
      </c>
      <c r="M18">
        <f ca="1">IF(AND(ISNUMBER($M$479),$B$419=1),$M$479,HLOOKUP(INDIRECT(ADDRESS(2,COLUMN())),OFFSET($BN$2,0,0,ROW()-1,60),ROW()-1,FALSE))</f>
        <v>205.738</v>
      </c>
      <c r="N18">
        <f ca="1">IF(AND(ISNUMBER($N$479),$B$419=1),$N$479,HLOOKUP(INDIRECT(ADDRESS(2,COLUMN())),OFFSET($BN$2,0,0,ROW()-1,60),ROW()-1,FALSE))</f>
        <v>210.03100000000001</v>
      </c>
      <c r="O18">
        <f ca="1">IF(AND(ISNUMBER($O$479),$B$419=1),$O$479,HLOOKUP(INDIRECT(ADDRESS(2,COLUMN())),OFFSET($BN$2,0,0,ROW()-1,60),ROW()-1,FALSE))</f>
        <v>229.37700000000001</v>
      </c>
      <c r="P18">
        <f ca="1">IF(AND(ISNUMBER($P$479),$B$419=1),$P$479,HLOOKUP(INDIRECT(ADDRESS(2,COLUMN())),OFFSET($BN$2,0,0,ROW()-1,60),ROW()-1,FALSE))</f>
        <v>216.739</v>
      </c>
      <c r="Q18">
        <f ca="1">IF(AND(ISNUMBER($Q$479),$B$419=1),$Q$479,HLOOKUP(INDIRECT(ADDRESS(2,COLUMN())),OFFSET($BN$2,0,0,ROW()-1,60),ROW()-1,FALSE))</f>
        <v>237.52799999999999</v>
      </c>
      <c r="R18">
        <f ca="1">IF(AND(ISNUMBER($R$479),$B$419=1),$R$479,HLOOKUP(INDIRECT(ADDRESS(2,COLUMN())),OFFSET($BN$2,0,0,ROW()-1,60),ROW()-1,FALSE))</f>
        <v>237.71799999999999</v>
      </c>
      <c r="S18">
        <f ca="1">IF(AND(ISNUMBER($S$479),$B$419=1),$S$479,HLOOKUP(INDIRECT(ADDRESS(2,COLUMN())),OFFSET($BN$2,0,0,ROW()-1,60),ROW()-1,FALSE))</f>
        <v>177.298</v>
      </c>
      <c r="T18">
        <f ca="1">IF(AND(ISNUMBER($T$479),$B$419=1),$T$479,HLOOKUP(INDIRECT(ADDRESS(2,COLUMN())),OFFSET($BN$2,0,0,ROW()-1,60),ROW()-1,FALSE))</f>
        <v>167.684</v>
      </c>
      <c r="U18">
        <f ca="1">IF(AND(ISNUMBER($U$479),$B$419=1),$U$479,HLOOKUP(INDIRECT(ADDRESS(2,COLUMN())),OFFSET($BN$2,0,0,ROW()-1,60),ROW()-1,FALSE))</f>
        <v>158.17500000000001</v>
      </c>
      <c r="V18">
        <f ca="1">IF(AND(ISNUMBER($V$479),$B$419=1),$V$479,HLOOKUP(INDIRECT(ADDRESS(2,COLUMN())),OFFSET($BN$2,0,0,ROW()-1,60),ROW()-1,FALSE))</f>
        <v>157.96899999999999</v>
      </c>
      <c r="W18" t="str">
        <f ca="1">IF(AND(ISNUMBER($W$479),$B$419=1),$W$479,HLOOKUP(INDIRECT(ADDRESS(2,COLUMN())),OFFSET($BN$2,0,0,ROW()-1,60),ROW()-1,FALSE))</f>
        <v/>
      </c>
      <c r="X18" t="str">
        <f ca="1">IF(AND(ISNUMBER($X$479),$B$419=1),$X$479,HLOOKUP(INDIRECT(ADDRESS(2,COLUMN())),OFFSET($BN$2,0,0,ROW()-1,60),ROW()-1,FALSE))</f>
        <v/>
      </c>
      <c r="Y18" t="str">
        <f ca="1">IF(AND(ISNUMBER($Y$479),$B$419=1),$Y$479,HLOOKUP(INDIRECT(ADDRESS(2,COLUMN())),OFFSET($BN$2,0,0,ROW()-1,60),ROW()-1,FALSE))</f>
        <v/>
      </c>
      <c r="Z18" t="str">
        <f ca="1">IF(AND(ISNUMBER($Z$479),$B$419=1),$Z$479,HLOOKUP(INDIRECT(ADDRESS(2,COLUMN())),OFFSET($BN$2,0,0,ROW()-1,60),ROW()-1,FALSE))</f>
        <v/>
      </c>
      <c r="AA18" t="str">
        <f ca="1">IF(AND(ISNUMBER($AA$479),$B$419=1),$AA$479,HLOOKUP(INDIRECT(ADDRESS(2,COLUMN())),OFFSET($BN$2,0,0,ROW()-1,60),ROW()-1,FALSE))</f>
        <v/>
      </c>
      <c r="AB18" t="str">
        <f ca="1">IF(AND(ISNUMBER($AB$479),$B$419=1),$AB$479,HLOOKUP(INDIRECT(ADDRESS(2,COLUMN())),OFFSET($BN$2,0,0,ROW()-1,60),ROW()-1,FALSE))</f>
        <v/>
      </c>
      <c r="AC18" t="str">
        <f ca="1">IF(AND(ISNUMBER($AC$479),$B$419=1),$AC$479,HLOOKUP(INDIRECT(ADDRESS(2,COLUMN())),OFFSET($BN$2,0,0,ROW()-1,60),ROW()-1,FALSE))</f>
        <v/>
      </c>
      <c r="AD18" t="str">
        <f ca="1">IF(AND(ISNUMBER($AD$479),$B$419=1),$AD$479,HLOOKUP(INDIRECT(ADDRESS(2,COLUMN())),OFFSET($BN$2,0,0,ROW()-1,60),ROW()-1,FALSE))</f>
        <v/>
      </c>
      <c r="AE18" t="str">
        <f ca="1">IF(AND(ISNUMBER($AE$479),$B$419=1),$AE$479,HLOOKUP(INDIRECT(ADDRESS(2,COLUMN())),OFFSET($BN$2,0,0,ROW()-1,60),ROW()-1,FALSE))</f>
        <v/>
      </c>
      <c r="AF18" t="str">
        <f ca="1">IF(AND(ISNUMBER($AF$479),$B$419=1),$AF$479,HLOOKUP(INDIRECT(ADDRESS(2,COLUMN())),OFFSET($BN$2,0,0,ROW()-1,60),ROW()-1,FALSE))</f>
        <v/>
      </c>
      <c r="AG18" t="str">
        <f ca="1">IF(AND(ISNUMBER($AG$479),$B$419=1),$AG$479,HLOOKUP(INDIRECT(ADDRESS(2,COLUMN())),OFFSET($BN$2,0,0,ROW()-1,60),ROW()-1,FALSE))</f>
        <v/>
      </c>
      <c r="AH18" t="str">
        <f ca="1">IF(AND(ISNUMBER($AH$479),$B$419=1),$AH$479,HLOOKUP(INDIRECT(ADDRESS(2,COLUMN())),OFFSET($BN$2,0,0,ROW()-1,60),ROW()-1,FALSE))</f>
        <v/>
      </c>
      <c r="AI18" t="str">
        <f ca="1">IF(AND(ISNUMBER($AI$479),$B$419=1),$AI$479,HLOOKUP(INDIRECT(ADDRESS(2,COLUMN())),OFFSET($BN$2,0,0,ROW()-1,60),ROW()-1,FALSE))</f>
        <v/>
      </c>
      <c r="AJ18" t="str">
        <f ca="1">IF(AND(ISNUMBER($AJ$479),$B$419=1),$AJ$479,HLOOKUP(INDIRECT(ADDRESS(2,COLUMN())),OFFSET($BN$2,0,0,ROW()-1,60),ROW()-1,FALSE))</f>
        <v/>
      </c>
      <c r="AK18" t="str">
        <f ca="1">IF(AND(ISNUMBER($AK$479),$B$419=1),$AK$479,HLOOKUP(INDIRECT(ADDRESS(2,COLUMN())),OFFSET($BN$2,0,0,ROW()-1,60),ROW()-1,FALSE))</f>
        <v/>
      </c>
      <c r="AL18" t="str">
        <f ca="1">IF(AND(ISNUMBER($AL$479),$B$419=1),$AL$479,HLOOKUP(INDIRECT(ADDRESS(2,COLUMN())),OFFSET($BN$2,0,0,ROW()-1,60),ROW()-1,FALSE))</f>
        <v/>
      </c>
      <c r="AM18" t="str">
        <f ca="1">IF(AND(ISNUMBER($AM$479),$B$419=1),$AM$479,HLOOKUP(INDIRECT(ADDRESS(2,COLUMN())),OFFSET($BN$2,0,0,ROW()-1,60),ROW()-1,FALSE))</f>
        <v/>
      </c>
      <c r="AN18" t="str">
        <f ca="1">IF(AND(ISNUMBER($AN$479),$B$419=1),$AN$479,HLOOKUP(INDIRECT(ADDRESS(2,COLUMN())),OFFSET($BN$2,0,0,ROW()-1,60),ROW()-1,FALSE))</f>
        <v/>
      </c>
      <c r="AO18" t="str">
        <f ca="1">IF(AND(ISNUMBER($AO$479),$B$419=1),$AO$479,HLOOKUP(INDIRECT(ADDRESS(2,COLUMN())),OFFSET($BN$2,0,0,ROW()-1,60),ROW()-1,FALSE))</f>
        <v/>
      </c>
      <c r="AP18" t="str">
        <f ca="1">IF(AND(ISNUMBER($AP$479),$B$419=1),$AP$479,HLOOKUP(INDIRECT(ADDRESS(2,COLUMN())),OFFSET($BN$2,0,0,ROW()-1,60),ROW()-1,FALSE))</f>
        <v/>
      </c>
      <c r="AQ18" t="str">
        <f ca="1">IF(AND(ISNUMBER($AQ$479),$B$419=1),$AQ$479,HLOOKUP(INDIRECT(ADDRESS(2,COLUMN())),OFFSET($BN$2,0,0,ROW()-1,60),ROW()-1,FALSE))</f>
        <v/>
      </c>
      <c r="AR18" t="str">
        <f ca="1">IF(AND(ISNUMBER($AR$479),$B$419=1),$AR$479,HLOOKUP(INDIRECT(ADDRESS(2,COLUMN())),OFFSET($BN$2,0,0,ROW()-1,60),ROW()-1,FALSE))</f>
        <v/>
      </c>
      <c r="AS18" t="str">
        <f ca="1">IF(AND(ISNUMBER($AS$479),$B$419=1),$AS$479,HLOOKUP(INDIRECT(ADDRESS(2,COLUMN())),OFFSET($BN$2,0,0,ROW()-1,60),ROW()-1,FALSE))</f>
        <v/>
      </c>
      <c r="AT18" t="str">
        <f ca="1">IF(AND(ISNUMBER($AT$479),$B$419=1),$AT$479,HLOOKUP(INDIRECT(ADDRESS(2,COLUMN())),OFFSET($BN$2,0,0,ROW()-1,60),ROW()-1,FALSE))</f>
        <v/>
      </c>
      <c r="AU18" t="str">
        <f ca="1">IF(AND(ISNUMBER($AU$479),$B$419=1),$AU$479,HLOOKUP(INDIRECT(ADDRESS(2,COLUMN())),OFFSET($BN$2,0,0,ROW()-1,60),ROW()-1,FALSE))</f>
        <v/>
      </c>
      <c r="AV18" t="str">
        <f ca="1">IF(AND(ISNUMBER($AV$479),$B$419=1),$AV$479,HLOOKUP(INDIRECT(ADDRESS(2,COLUMN())),OFFSET($BN$2,0,0,ROW()-1,60),ROW()-1,FALSE))</f>
        <v/>
      </c>
      <c r="AW18" t="str">
        <f ca="1">IF(AND(ISNUMBER($AW$479),$B$419=1),$AW$479,HLOOKUP(INDIRECT(ADDRESS(2,COLUMN())),OFFSET($BN$2,0,0,ROW()-1,60),ROW()-1,FALSE))</f>
        <v/>
      </c>
      <c r="AX18" t="str">
        <f ca="1">IF(AND(ISNUMBER($AX$479),$B$419=1),$AX$479,HLOOKUP(INDIRECT(ADDRESS(2,COLUMN())),OFFSET($BN$2,0,0,ROW()-1,60),ROW()-1,FALSE))</f>
        <v/>
      </c>
      <c r="AY18" t="str">
        <f ca="1">IF(AND(ISNUMBER($AY$479),$B$419=1),$AY$479,HLOOKUP(INDIRECT(ADDRESS(2,COLUMN())),OFFSET($BN$2,0,0,ROW()-1,60),ROW()-1,FALSE))</f>
        <v/>
      </c>
      <c r="AZ18" t="str">
        <f ca="1">IF(AND(ISNUMBER($AZ$479),$B$419=1),$AZ$479,HLOOKUP(INDIRECT(ADDRESS(2,COLUMN())),OFFSET($BN$2,0,0,ROW()-1,60),ROW()-1,FALSE))</f>
        <v/>
      </c>
      <c r="BA18" t="str">
        <f ca="1">IF(AND(ISNUMBER($BA$479),$B$419=1),$BA$479,HLOOKUP(INDIRECT(ADDRESS(2,COLUMN())),OFFSET($BN$2,0,0,ROW()-1,60),ROW()-1,FALSE))</f>
        <v/>
      </c>
      <c r="BB18" t="str">
        <f ca="1">IF(AND(ISNUMBER($BB$479),$B$419=1),$BB$479,HLOOKUP(INDIRECT(ADDRESS(2,COLUMN())),OFFSET($BN$2,0,0,ROW()-1,60),ROW()-1,FALSE))</f>
        <v/>
      </c>
      <c r="BC18" t="str">
        <f ca="1">IF(AND(ISNUMBER($BC$479),$B$419=1),$BC$479,HLOOKUP(INDIRECT(ADDRESS(2,COLUMN())),OFFSET($BN$2,0,0,ROW()-1,60),ROW()-1,FALSE))</f>
        <v/>
      </c>
      <c r="BD18" t="str">
        <f ca="1">IF(AND(ISNUMBER($BD$479),$B$419=1),$BD$479,HLOOKUP(INDIRECT(ADDRESS(2,COLUMN())),OFFSET($BN$2,0,0,ROW()-1,60),ROW()-1,FALSE))</f>
        <v/>
      </c>
      <c r="BE18" t="str">
        <f ca="1">IF(AND(ISNUMBER($BE$479),$B$419=1),$BE$479,HLOOKUP(INDIRECT(ADDRESS(2,COLUMN())),OFFSET($BN$2,0,0,ROW()-1,60),ROW()-1,FALSE))</f>
        <v/>
      </c>
      <c r="BF18" t="str">
        <f ca="1">IF(AND(ISNUMBER($BF$479),$B$419=1),$BF$479,HLOOKUP(INDIRECT(ADDRESS(2,COLUMN())),OFFSET($BN$2,0,0,ROW()-1,60),ROW()-1,FALSE))</f>
        <v/>
      </c>
      <c r="BG18" t="str">
        <f ca="1">IF(AND(ISNUMBER($BG$479),$B$419=1),$BG$479,HLOOKUP(INDIRECT(ADDRESS(2,COLUMN())),OFFSET($BN$2,0,0,ROW()-1,60),ROW()-1,FALSE))</f>
        <v/>
      </c>
      <c r="BH18" t="str">
        <f ca="1">IF(AND(ISNUMBER($BH$479),$B$419=1),$BH$479,HLOOKUP(INDIRECT(ADDRESS(2,COLUMN())),OFFSET($BN$2,0,0,ROW()-1,60),ROW()-1,FALSE))</f>
        <v/>
      </c>
      <c r="BI18" t="str">
        <f ca="1">IF(AND(ISNUMBER($BI$479),$B$419=1),$BI$479,HLOOKUP(INDIRECT(ADDRESS(2,COLUMN())),OFFSET($BN$2,0,0,ROW()-1,60),ROW()-1,FALSE))</f>
        <v/>
      </c>
      <c r="BJ18" t="str">
        <f ca="1">IF(AND(ISNUMBER($BJ$479),$B$419=1),$BJ$479,HLOOKUP(INDIRECT(ADDRESS(2,COLUMN())),OFFSET($BN$2,0,0,ROW()-1,60),ROW()-1,FALSE))</f>
        <v/>
      </c>
      <c r="BK18" t="str">
        <f ca="1">IF(AND(ISNUMBER($BK$479),$B$419=1),$BK$479,HLOOKUP(INDIRECT(ADDRESS(2,COLUMN())),OFFSET($BN$2,0,0,ROW()-1,60),ROW()-1,FALSE))</f>
        <v/>
      </c>
      <c r="BL18" t="str">
        <f ca="1">IF(AND(ISNUMBER($BL$479),$B$419=1),$BL$479,HLOOKUP(INDIRECT(ADDRESS(2,COLUMN())),OFFSET($BN$2,0,0,ROW()-1,60),ROW()-1,FALSE))</f>
        <v/>
      </c>
      <c r="BM18" t="str">
        <f ca="1">IF(AND(ISNUMBER($BM$479),$B$419=1),$BM$479,HLOOKUP(INDIRECT(ADDRESS(2,COLUMN())),OFFSET($BN$2,0,0,ROW()-1,60),ROW()-1,FALSE))</f>
        <v/>
      </c>
      <c r="BN18" t="str">
        <f>""</f>
        <v/>
      </c>
      <c r="BO18">
        <f>187.237</f>
        <v>187.23699999999999</v>
      </c>
      <c r="BP18">
        <f>179.32</f>
        <v>179.32</v>
      </c>
      <c r="BQ18">
        <f>189.171</f>
        <v>189.17099999999999</v>
      </c>
      <c r="BR18">
        <f>202.394</f>
        <v>202.39400000000001</v>
      </c>
      <c r="BS18">
        <f>217.785</f>
        <v>217.785</v>
      </c>
      <c r="BT18">
        <f>209.922</f>
        <v>209.922</v>
      </c>
      <c r="BU18">
        <f>205.738</f>
        <v>205.738</v>
      </c>
      <c r="BV18">
        <f>210.031</f>
        <v>210.03100000000001</v>
      </c>
      <c r="BW18">
        <f>229.377</f>
        <v>229.37700000000001</v>
      </c>
      <c r="BX18">
        <f>216.739</f>
        <v>216.739</v>
      </c>
      <c r="BY18">
        <f>237.528</f>
        <v>237.52799999999999</v>
      </c>
      <c r="BZ18">
        <f>237.718</f>
        <v>237.71799999999999</v>
      </c>
      <c r="CA18">
        <f>177.298</f>
        <v>177.298</v>
      </c>
      <c r="CB18">
        <f>167.684</f>
        <v>167.684</v>
      </c>
      <c r="CC18">
        <f>158.175</f>
        <v>158.17500000000001</v>
      </c>
      <c r="CD18">
        <f>157.969</f>
        <v>157.96899999999999</v>
      </c>
      <c r="CE18" t="str">
        <f>""</f>
        <v/>
      </c>
      <c r="CF18" t="str">
        <f>""</f>
        <v/>
      </c>
      <c r="CG18" t="str">
        <f>""</f>
        <v/>
      </c>
      <c r="CH18" t="str">
        <f>""</f>
        <v/>
      </c>
      <c r="CI18" t="str">
        <f>""</f>
        <v/>
      </c>
      <c r="CJ18" t="str">
        <f>""</f>
        <v/>
      </c>
      <c r="CK18" t="str">
        <f>""</f>
        <v/>
      </c>
      <c r="CL18" t="str">
        <f>""</f>
        <v/>
      </c>
      <c r="CM18" t="str">
        <f>""</f>
        <v/>
      </c>
      <c r="CN18" t="str">
        <f>""</f>
        <v/>
      </c>
      <c r="CO18" t="str">
        <f>""</f>
        <v/>
      </c>
      <c r="CP18" t="str">
        <f>""</f>
        <v/>
      </c>
      <c r="CQ18" t="str">
        <f>""</f>
        <v/>
      </c>
      <c r="CR18" t="str">
        <f>""</f>
        <v/>
      </c>
      <c r="CS18" t="str">
        <f>""</f>
        <v/>
      </c>
      <c r="CT18" t="str">
        <f>""</f>
        <v/>
      </c>
      <c r="CU18" t="str">
        <f>""</f>
        <v/>
      </c>
      <c r="CV18" t="str">
        <f>""</f>
        <v/>
      </c>
      <c r="CW18" t="str">
        <f>""</f>
        <v/>
      </c>
      <c r="CX18" t="str">
        <f>""</f>
        <v/>
      </c>
      <c r="CY18" t="str">
        <f>""</f>
        <v/>
      </c>
      <c r="CZ18" t="str">
        <f>""</f>
        <v/>
      </c>
      <c r="DA18" t="str">
        <f>""</f>
        <v/>
      </c>
      <c r="DB18" t="str">
        <f>""</f>
        <v/>
      </c>
      <c r="DC18" t="str">
        <f>""</f>
        <v/>
      </c>
      <c r="DD18" t="str">
        <f>""</f>
        <v/>
      </c>
      <c r="DE18" t="str">
        <f>""</f>
        <v/>
      </c>
      <c r="DF18" t="str">
        <f>""</f>
        <v/>
      </c>
      <c r="DG18" t="str">
        <f>""</f>
        <v/>
      </c>
      <c r="DH18" t="str">
        <f>""</f>
        <v/>
      </c>
      <c r="DI18" t="str">
        <f>""</f>
        <v/>
      </c>
      <c r="DJ18" t="str">
        <f>""</f>
        <v/>
      </c>
      <c r="DK18" t="str">
        <f>""</f>
        <v/>
      </c>
      <c r="DL18" t="str">
        <f>""</f>
        <v/>
      </c>
      <c r="DM18" t="str">
        <f>""</f>
        <v/>
      </c>
      <c r="DN18" t="str">
        <f>""</f>
        <v/>
      </c>
      <c r="DO18" t="str">
        <f>""</f>
        <v/>
      </c>
      <c r="DP18" t="str">
        <f>""</f>
        <v/>
      </c>
      <c r="DQ18" t="str">
        <f>""</f>
        <v/>
      </c>
      <c r="DR18" t="str">
        <f>""</f>
        <v/>
      </c>
      <c r="DS18" t="str">
        <f>""</f>
        <v/>
      </c>
      <c r="DT18" t="str">
        <f>""</f>
        <v/>
      </c>
      <c r="DU18" t="str">
        <f>""</f>
        <v/>
      </c>
    </row>
    <row r="19" spans="1:125">
      <c r="A19" t="str">
        <f>"    Weingarten Realty Investors"</f>
        <v xml:space="preserve">    Weingarten Realty Investors</v>
      </c>
      <c r="B19" t="str">
        <f>"WRI US Equity"</f>
        <v>WRI US Equity</v>
      </c>
      <c r="C19" t="str">
        <f t="shared" si="0"/>
        <v>IS030</v>
      </c>
      <c r="D19" t="str">
        <f t="shared" si="1"/>
        <v>IS_RENT_INC</v>
      </c>
      <c r="E19" t="str">
        <f t="shared" si="2"/>
        <v>动态</v>
      </c>
      <c r="F19" t="str">
        <f ca="1">IF(AND(ISNUMBER($F$480),$B$419=1),$F$480,HLOOKUP(INDIRECT(ADDRESS(2,COLUMN())),OFFSET($BN$2,0,0,ROW()-1,60),ROW()-1,FALSE))</f>
        <v/>
      </c>
      <c r="G19">
        <f ca="1">IF(AND(ISNUMBER($G$480),$B$419=1),$G$480,HLOOKUP(INDIRECT(ADDRESS(2,COLUMN())),OFFSET($BN$2,0,0,ROW()-1,60),ROW()-1,FALSE))</f>
        <v>135.798</v>
      </c>
      <c r="H19">
        <f ca="1">IF(AND(ISNUMBER($H$480),$B$419=1),$H$480,HLOOKUP(INDIRECT(ADDRESS(2,COLUMN())),OFFSET($BN$2,0,0,ROW()-1,60),ROW()-1,FALSE))</f>
        <v>141.06399999999999</v>
      </c>
      <c r="I19">
        <f ca="1">IF(AND(ISNUMBER($I$480),$B$419=1),$I$480,HLOOKUP(INDIRECT(ADDRESS(2,COLUMN())),OFFSET($BN$2,0,0,ROW()-1,60),ROW()-1,FALSE))</f>
        <v>142.96299999999999</v>
      </c>
      <c r="J19">
        <f ca="1">IF(AND(ISNUMBER($J$480),$B$419=1),$J$480,HLOOKUP(INDIRECT(ADDRESS(2,COLUMN())),OFFSET($BN$2,0,0,ROW()-1,60),ROW()-1,FALSE))</f>
        <v>140.81800000000001</v>
      </c>
      <c r="K19">
        <f ca="1">IF(AND(ISNUMBER($K$480),$B$419=1),$K$480,HLOOKUP(INDIRECT(ADDRESS(2,COLUMN())),OFFSET($BN$2,0,0,ROW()-1,60),ROW()-1,FALSE))</f>
        <v>139.50700000000001</v>
      </c>
      <c r="L19">
        <f ca="1">IF(AND(ISNUMBER($L$480),$B$419=1),$L$480,HLOOKUP(INDIRECT(ADDRESS(2,COLUMN())),OFFSET($BN$2,0,0,ROW()-1,60),ROW()-1,FALSE))</f>
        <v>136.435</v>
      </c>
      <c r="M19">
        <f ca="1">IF(AND(ISNUMBER($M$480),$B$419=1),$M$480,HLOOKUP(INDIRECT(ADDRESS(2,COLUMN())),OFFSET($BN$2,0,0,ROW()-1,60),ROW()-1,FALSE))</f>
        <v>132.81399999999999</v>
      </c>
      <c r="N19">
        <f ca="1">IF(AND(ISNUMBER($N$480),$B$419=1),$N$480,HLOOKUP(INDIRECT(ADDRESS(2,COLUMN())),OFFSET($BN$2,0,0,ROW()-1,60),ROW()-1,FALSE))</f>
        <v>128.50899999999999</v>
      </c>
      <c r="O19">
        <f ca="1">IF(AND(ISNUMBER($O$480),$B$419=1),$O$480,HLOOKUP(INDIRECT(ADDRESS(2,COLUMN())),OFFSET($BN$2,0,0,ROW()-1,60),ROW()-1,FALSE))</f>
        <v>127.242</v>
      </c>
      <c r="P19">
        <f ca="1">IF(AND(ISNUMBER($P$480),$B$419=1),$P$480,HLOOKUP(INDIRECT(ADDRESS(2,COLUMN())),OFFSET($BN$2,0,0,ROW()-1,60),ROW()-1,FALSE))</f>
        <v>128.25399999999999</v>
      </c>
      <c r="Q19">
        <f ca="1">IF(AND(ISNUMBER($Q$480),$B$419=1),$Q$480,HLOOKUP(INDIRECT(ADDRESS(2,COLUMN())),OFFSET($BN$2,0,0,ROW()-1,60),ROW()-1,FALSE))</f>
        <v>124.31</v>
      </c>
      <c r="R19">
        <f ca="1">IF(AND(ISNUMBER($R$480),$B$419=1),$R$480,HLOOKUP(INDIRECT(ADDRESS(2,COLUMN())),OFFSET($BN$2,0,0,ROW()-1,60),ROW()-1,FALSE))</f>
        <v>122.658</v>
      </c>
      <c r="S19">
        <f ca="1">IF(AND(ISNUMBER($S$480),$B$419=1),$S$480,HLOOKUP(INDIRECT(ADDRESS(2,COLUMN())),OFFSET($BN$2,0,0,ROW()-1,60),ROW()-1,FALSE))</f>
        <v>122.73</v>
      </c>
      <c r="T19">
        <f ca="1">IF(AND(ISNUMBER($T$480),$B$419=1),$T$480,HLOOKUP(INDIRECT(ADDRESS(2,COLUMN())),OFFSET($BN$2,0,0,ROW()-1,60),ROW()-1,FALSE))</f>
        <v>127.974</v>
      </c>
      <c r="U19">
        <f ca="1">IF(AND(ISNUMBER($U$480),$B$419=1),$U$480,HLOOKUP(INDIRECT(ADDRESS(2,COLUMN())),OFFSET($BN$2,0,0,ROW()-1,60),ROW()-1,FALSE))</f>
        <v>127.791</v>
      </c>
      <c r="V19">
        <f ca="1">IF(AND(ISNUMBER($V$480),$B$419=1),$V$480,HLOOKUP(INDIRECT(ADDRESS(2,COLUMN())),OFFSET($BN$2,0,0,ROW()-1,60),ROW()-1,FALSE))</f>
        <v>124.633</v>
      </c>
      <c r="W19">
        <f ca="1">IF(AND(ISNUMBER($W$480),$B$419=1),$W$480,HLOOKUP(INDIRECT(ADDRESS(2,COLUMN())),OFFSET($BN$2,0,0,ROW()-1,60),ROW()-1,FALSE))</f>
        <v>123.46</v>
      </c>
      <c r="X19">
        <f ca="1">IF(AND(ISNUMBER($X$480),$B$419=1),$X$480,HLOOKUP(INDIRECT(ADDRESS(2,COLUMN())),OFFSET($BN$2,0,0,ROW()-1,60),ROW()-1,FALSE))</f>
        <v>120.361</v>
      </c>
      <c r="Y19">
        <f ca="1">IF(AND(ISNUMBER($Y$480),$B$419=1),$Y$480,HLOOKUP(INDIRECT(ADDRESS(2,COLUMN())),OFFSET($BN$2,0,0,ROW()-1,60),ROW()-1,FALSE))</f>
        <v>118.292</v>
      </c>
      <c r="Z19">
        <f ca="1">IF(AND(ISNUMBER($Z$480),$B$419=1),$Z$480,HLOOKUP(INDIRECT(ADDRESS(2,COLUMN())),OFFSET($BN$2,0,0,ROW()-1,60),ROW()-1,FALSE))</f>
        <v>115.227</v>
      </c>
      <c r="AA19">
        <f ca="1">IF(AND(ISNUMBER($AA$480),$B$419=1),$AA$480,HLOOKUP(INDIRECT(ADDRESS(2,COLUMN())),OFFSET($BN$2,0,0,ROW()-1,60),ROW()-1,FALSE))</f>
        <v>116.578</v>
      </c>
      <c r="AB19">
        <f ca="1">IF(AND(ISNUMBER($AB$480),$B$419=1),$AB$480,HLOOKUP(INDIRECT(ADDRESS(2,COLUMN())),OFFSET($BN$2,0,0,ROW()-1,60),ROW()-1,FALSE))</f>
        <v>119.211</v>
      </c>
      <c r="AC19">
        <f ca="1">IF(AND(ISNUMBER($AC$480),$B$419=1),$AC$480,HLOOKUP(INDIRECT(ADDRESS(2,COLUMN())),OFFSET($BN$2,0,0,ROW()-1,60),ROW()-1,FALSE))</f>
        <v>116.01300000000001</v>
      </c>
      <c r="AD19">
        <f ca="1">IF(AND(ISNUMBER($AD$480),$B$419=1),$AD$480,HLOOKUP(INDIRECT(ADDRESS(2,COLUMN())),OFFSET($BN$2,0,0,ROW()-1,60),ROW()-1,FALSE))</f>
        <v>116.10299999999999</v>
      </c>
      <c r="AE19">
        <f ca="1">IF(AND(ISNUMBER($AE$480),$B$419=1),$AE$480,HLOOKUP(INDIRECT(ADDRESS(2,COLUMN())),OFFSET($BN$2,0,0,ROW()-1,60),ROW()-1,FALSE))</f>
        <v>116.752</v>
      </c>
      <c r="AF19">
        <f ca="1">IF(AND(ISNUMBER($AF$480),$B$419=1),$AF$480,HLOOKUP(INDIRECT(ADDRESS(2,COLUMN())),OFFSET($BN$2,0,0,ROW()-1,60),ROW()-1,FALSE))</f>
        <v>119.746</v>
      </c>
      <c r="AG19">
        <f ca="1">IF(AND(ISNUMBER($AG$480),$B$419=1),$AG$480,HLOOKUP(INDIRECT(ADDRESS(2,COLUMN())),OFFSET($BN$2,0,0,ROW()-1,60),ROW()-1,FALSE))</f>
        <v>117.843</v>
      </c>
      <c r="AH19">
        <f ca="1">IF(AND(ISNUMBER($AH$480),$B$419=1),$AH$480,HLOOKUP(INDIRECT(ADDRESS(2,COLUMN())),OFFSET($BN$2,0,0,ROW()-1,60),ROW()-1,FALSE))</f>
        <v>115.56100000000001</v>
      </c>
      <c r="AI19">
        <f ca="1">IF(AND(ISNUMBER($AI$480),$B$419=1),$AI$480,HLOOKUP(INDIRECT(ADDRESS(2,COLUMN())),OFFSET($BN$2,0,0,ROW()-1,60),ROW()-1,FALSE))</f>
        <v>131.846</v>
      </c>
      <c r="AJ19">
        <f ca="1">IF(AND(ISNUMBER($AJ$480),$B$419=1),$AJ$480,HLOOKUP(INDIRECT(ADDRESS(2,COLUMN())),OFFSET($BN$2,0,0,ROW()-1,60),ROW()-1,FALSE))</f>
        <v>129.80000000000001</v>
      </c>
      <c r="AK19">
        <f ca="1">IF(AND(ISNUMBER($AK$480),$B$419=1),$AK$480,HLOOKUP(INDIRECT(ADDRESS(2,COLUMN())),OFFSET($BN$2,0,0,ROW()-1,60),ROW()-1,FALSE))</f>
        <v>134.32</v>
      </c>
      <c r="AL19">
        <f ca="1">IF(AND(ISNUMBER($AL$480),$B$419=1),$AL$480,HLOOKUP(INDIRECT(ADDRESS(2,COLUMN())),OFFSET($BN$2,0,0,ROW()-1,60),ROW()-1,FALSE))</f>
        <v>134.08799999999999</v>
      </c>
      <c r="AM19">
        <f ca="1">IF(AND(ISNUMBER($AM$480),$B$419=1),$AM$480,HLOOKUP(INDIRECT(ADDRESS(2,COLUMN())),OFFSET($BN$2,0,0,ROW()-1,60),ROW()-1,FALSE))</f>
        <v>136.45400000000001</v>
      </c>
      <c r="AN19">
        <f ca="1">IF(AND(ISNUMBER($AN$480),$B$419=1),$AN$480,HLOOKUP(INDIRECT(ADDRESS(2,COLUMN())),OFFSET($BN$2,0,0,ROW()-1,60),ROW()-1,FALSE))</f>
        <v>138.17500000000001</v>
      </c>
      <c r="AO19">
        <f ca="1">IF(AND(ISNUMBER($AO$480),$B$419=1),$AO$480,HLOOKUP(INDIRECT(ADDRESS(2,COLUMN())),OFFSET($BN$2,0,0,ROW()-1,60),ROW()-1,FALSE))</f>
        <v>139.066</v>
      </c>
      <c r="AP19">
        <f ca="1">IF(AND(ISNUMBER($AP$480),$B$419=1),$AP$480,HLOOKUP(INDIRECT(ADDRESS(2,COLUMN())),OFFSET($BN$2,0,0,ROW()-1,60),ROW()-1,FALSE))</f>
        <v>140.34</v>
      </c>
      <c r="AQ19">
        <f ca="1">IF(AND(ISNUMBER($AQ$480),$B$419=1),$AQ$480,HLOOKUP(INDIRECT(ADDRESS(2,COLUMN())),OFFSET($BN$2,0,0,ROW()-1,60),ROW()-1,FALSE))</f>
        <v>142.13499999999999</v>
      </c>
      <c r="AR19">
        <f ca="1">IF(AND(ISNUMBER($AR$480),$B$419=1),$AR$480,HLOOKUP(INDIRECT(ADDRESS(2,COLUMN())),OFFSET($BN$2,0,0,ROW()-1,60),ROW()-1,FALSE))</f>
        <v>149.72499999999999</v>
      </c>
      <c r="AS19">
        <f ca="1">IF(AND(ISNUMBER($AS$480),$B$419=1),$AS$480,HLOOKUP(INDIRECT(ADDRESS(2,COLUMN())),OFFSET($BN$2,0,0,ROW()-1,60),ROW()-1,FALSE))</f>
        <v>148.89099999999999</v>
      </c>
      <c r="AT19">
        <f ca="1">IF(AND(ISNUMBER($AT$480),$B$419=1),$AT$480,HLOOKUP(INDIRECT(ADDRESS(2,COLUMN())),OFFSET($BN$2,0,0,ROW()-1,60),ROW()-1,FALSE))</f>
        <v>148.785</v>
      </c>
      <c r="AU19">
        <f ca="1">IF(AND(ISNUMBER($AU$480),$B$419=1),$AU$480,HLOOKUP(INDIRECT(ADDRESS(2,COLUMN())),OFFSET($BN$2,0,0,ROW()-1,60),ROW()-1,FALSE))</f>
        <v>146.91300000000001</v>
      </c>
      <c r="AV19">
        <f ca="1">IF(AND(ISNUMBER($AV$480),$B$419=1),$AV$480,HLOOKUP(INDIRECT(ADDRESS(2,COLUMN())),OFFSET($BN$2,0,0,ROW()-1,60),ROW()-1,FALSE))</f>
        <v>148.387</v>
      </c>
      <c r="AW19">
        <f ca="1">IF(AND(ISNUMBER($AW$480),$B$419=1),$AW$480,HLOOKUP(INDIRECT(ADDRESS(2,COLUMN())),OFFSET($BN$2,0,0,ROW()-1,60),ROW()-1,FALSE))</f>
        <v>139.053</v>
      </c>
      <c r="AX19">
        <f ca="1">IF(AND(ISNUMBER($AX$480),$B$419=1),$AX$480,HLOOKUP(INDIRECT(ADDRESS(2,COLUMN())),OFFSET($BN$2,0,0,ROW()-1,60),ROW()-1,FALSE))</f>
        <v>140.66800000000001</v>
      </c>
      <c r="AY19">
        <f ca="1">IF(AND(ISNUMBER($AY$480),$B$419=1),$AY$480,HLOOKUP(INDIRECT(ADDRESS(2,COLUMN())),OFFSET($BN$2,0,0,ROW()-1,60),ROW()-1,FALSE))</f>
        <v>138.51499999999999</v>
      </c>
      <c r="AZ19">
        <f ca="1">IF(AND(ISNUMBER($AZ$480),$B$419=1),$AZ$480,HLOOKUP(INDIRECT(ADDRESS(2,COLUMN())),OFFSET($BN$2,0,0,ROW()-1,60),ROW()-1,FALSE))</f>
        <v>137.749</v>
      </c>
      <c r="BA19">
        <f ca="1">IF(AND(ISNUMBER($BA$480),$B$419=1),$BA$480,HLOOKUP(INDIRECT(ADDRESS(2,COLUMN())),OFFSET($BN$2,0,0,ROW()-1,60),ROW()-1,FALSE))</f>
        <v>130.708</v>
      </c>
      <c r="BB19">
        <f ca="1">IF(AND(ISNUMBER($BB$480),$B$419=1),$BB$480,HLOOKUP(INDIRECT(ADDRESS(2,COLUMN())),OFFSET($BN$2,0,0,ROW()-1,60),ROW()-1,FALSE))</f>
        <v>129.08500000000001</v>
      </c>
      <c r="BC19">
        <f ca="1">IF(AND(ISNUMBER($BC$480),$B$419=1),$BC$480,HLOOKUP(INDIRECT(ADDRESS(2,COLUMN())),OFFSET($BN$2,0,0,ROW()-1,60),ROW()-1,FALSE))</f>
        <v>118.18</v>
      </c>
      <c r="BD19">
        <f ca="1">IF(AND(ISNUMBER($BD$480),$B$419=1),$BD$480,HLOOKUP(INDIRECT(ADDRESS(2,COLUMN())),OFFSET($BN$2,0,0,ROW()-1,60),ROW()-1,FALSE))</f>
        <v>129.273</v>
      </c>
      <c r="BE19">
        <f ca="1">IF(AND(ISNUMBER($BE$480),$B$419=1),$BE$480,HLOOKUP(INDIRECT(ADDRESS(2,COLUMN())),OFFSET($BN$2,0,0,ROW()-1,60),ROW()-1,FALSE))</f>
        <v>127.855</v>
      </c>
      <c r="BF19">
        <f ca="1">IF(AND(ISNUMBER($BF$480),$B$419=1),$BF$480,HLOOKUP(INDIRECT(ADDRESS(2,COLUMN())),OFFSET($BN$2,0,0,ROW()-1,60),ROW()-1,FALSE))</f>
        <v>128.726</v>
      </c>
      <c r="BG19">
        <f ca="1">IF(AND(ISNUMBER($BG$480),$B$419=1),$BG$480,HLOOKUP(INDIRECT(ADDRESS(2,COLUMN())),OFFSET($BN$2,0,0,ROW()-1,60),ROW()-1,FALSE))</f>
        <v>125.80800000000001</v>
      </c>
      <c r="BH19">
        <f ca="1">IF(AND(ISNUMBER($BH$480),$B$419=1),$BH$480,HLOOKUP(INDIRECT(ADDRESS(2,COLUMN())),OFFSET($BN$2,0,0,ROW()-1,60),ROW()-1,FALSE))</f>
        <v>125.654</v>
      </c>
      <c r="BI19">
        <f ca="1">IF(AND(ISNUMBER($BI$480),$B$419=1),$BI$480,HLOOKUP(INDIRECT(ADDRESS(2,COLUMN())),OFFSET($BN$2,0,0,ROW()-1,60),ROW()-1,FALSE))</f>
        <v>119.6220016</v>
      </c>
      <c r="BJ19">
        <f ca="1">IF(AND(ISNUMBER($BJ$480),$B$419=1),$BJ$480,HLOOKUP(INDIRECT(ADDRESS(2,COLUMN())),OFFSET($BN$2,0,0,ROW()-1,60),ROW()-1,FALSE))</f>
        <v>114.174004</v>
      </c>
      <c r="BK19">
        <f ca="1">IF(AND(ISNUMBER($BK$480),$B$419=1),$BK$480,HLOOKUP(INDIRECT(ADDRESS(2,COLUMN())),OFFSET($BN$2,0,0,ROW()-1,60),ROW()-1,FALSE))</f>
        <v>108.32199900000001</v>
      </c>
      <c r="BL19">
        <f ca="1">IF(AND(ISNUMBER($BL$480),$B$419=1),$BL$480,HLOOKUP(INDIRECT(ADDRESS(2,COLUMN())),OFFSET($BN$2,0,0,ROW()-1,60),ROW()-1,FALSE))</f>
        <v>102.780998</v>
      </c>
      <c r="BM19">
        <f ca="1">IF(AND(ISNUMBER($BM$480),$B$419=1),$BM$480,HLOOKUP(INDIRECT(ADDRESS(2,COLUMN())),OFFSET($BN$2,0,0,ROW()-1,60),ROW()-1,FALSE))</f>
        <v>99.825996000000004</v>
      </c>
      <c r="BN19" t="str">
        <f>""</f>
        <v/>
      </c>
      <c r="BO19">
        <f>135.798</f>
        <v>135.798</v>
      </c>
      <c r="BP19">
        <f>141.064</f>
        <v>141.06399999999999</v>
      </c>
      <c r="BQ19">
        <f>142.963</f>
        <v>142.96299999999999</v>
      </c>
      <c r="BR19">
        <f>140.818</f>
        <v>140.81800000000001</v>
      </c>
      <c r="BS19">
        <f>139.507</f>
        <v>139.50700000000001</v>
      </c>
      <c r="BT19">
        <f>136.435</f>
        <v>136.435</v>
      </c>
      <c r="BU19">
        <f>132.814</f>
        <v>132.81399999999999</v>
      </c>
      <c r="BV19">
        <f>128.509</f>
        <v>128.50899999999999</v>
      </c>
      <c r="BW19">
        <f>127.242</f>
        <v>127.242</v>
      </c>
      <c r="BX19">
        <f>128.254</f>
        <v>128.25399999999999</v>
      </c>
      <c r="BY19">
        <f>124.31</f>
        <v>124.31</v>
      </c>
      <c r="BZ19">
        <f>122.658</f>
        <v>122.658</v>
      </c>
      <c r="CA19">
        <f>122.73</f>
        <v>122.73</v>
      </c>
      <c r="CB19">
        <f>127.974</f>
        <v>127.974</v>
      </c>
      <c r="CC19">
        <f>127.791</f>
        <v>127.791</v>
      </c>
      <c r="CD19">
        <f>124.633</f>
        <v>124.633</v>
      </c>
      <c r="CE19">
        <f>123.46</f>
        <v>123.46</v>
      </c>
      <c r="CF19">
        <f>120.361</f>
        <v>120.361</v>
      </c>
      <c r="CG19">
        <f>118.292</f>
        <v>118.292</v>
      </c>
      <c r="CH19">
        <f>115.227</f>
        <v>115.227</v>
      </c>
      <c r="CI19">
        <f>116.578</f>
        <v>116.578</v>
      </c>
      <c r="CJ19">
        <f>119.211</f>
        <v>119.211</v>
      </c>
      <c r="CK19">
        <f>116.013</f>
        <v>116.01300000000001</v>
      </c>
      <c r="CL19">
        <f>116.103</f>
        <v>116.10299999999999</v>
      </c>
      <c r="CM19">
        <f>116.752</f>
        <v>116.752</v>
      </c>
      <c r="CN19">
        <f>119.746</f>
        <v>119.746</v>
      </c>
      <c r="CO19">
        <f>117.843</f>
        <v>117.843</v>
      </c>
      <c r="CP19">
        <f>115.561</f>
        <v>115.56100000000001</v>
      </c>
      <c r="CQ19">
        <f>131.846</f>
        <v>131.846</v>
      </c>
      <c r="CR19">
        <f>129.8</f>
        <v>129.80000000000001</v>
      </c>
      <c r="CS19">
        <f>134.32</f>
        <v>134.32</v>
      </c>
      <c r="CT19">
        <f>134.088</f>
        <v>134.08799999999999</v>
      </c>
      <c r="CU19">
        <f>136.454</f>
        <v>136.45400000000001</v>
      </c>
      <c r="CV19">
        <f>138.175</f>
        <v>138.17500000000001</v>
      </c>
      <c r="CW19">
        <f>139.066</f>
        <v>139.066</v>
      </c>
      <c r="CX19">
        <f>140.34</f>
        <v>140.34</v>
      </c>
      <c r="CY19">
        <f>142.135</f>
        <v>142.13499999999999</v>
      </c>
      <c r="CZ19">
        <f>149.725</f>
        <v>149.72499999999999</v>
      </c>
      <c r="DA19">
        <f>148.891</f>
        <v>148.89099999999999</v>
      </c>
      <c r="DB19">
        <f>148.785</f>
        <v>148.785</v>
      </c>
      <c r="DC19">
        <f>146.913</f>
        <v>146.91300000000001</v>
      </c>
      <c r="DD19">
        <f>148.387</f>
        <v>148.387</v>
      </c>
      <c r="DE19">
        <f>139.053</f>
        <v>139.053</v>
      </c>
      <c r="DF19">
        <f>140.668</f>
        <v>140.66800000000001</v>
      </c>
      <c r="DG19">
        <f>138.515</f>
        <v>138.51499999999999</v>
      </c>
      <c r="DH19">
        <f>137.749</f>
        <v>137.749</v>
      </c>
      <c r="DI19">
        <f>130.708</f>
        <v>130.708</v>
      </c>
      <c r="DJ19">
        <f>129.085</f>
        <v>129.08500000000001</v>
      </c>
      <c r="DK19">
        <f>118.18</f>
        <v>118.18</v>
      </c>
      <c r="DL19">
        <f>129.273</f>
        <v>129.273</v>
      </c>
      <c r="DM19">
        <f>127.855</f>
        <v>127.855</v>
      </c>
      <c r="DN19">
        <f>128.726</f>
        <v>128.726</v>
      </c>
      <c r="DO19">
        <f>125.808</f>
        <v>125.80800000000001</v>
      </c>
      <c r="DP19">
        <f>125.654</f>
        <v>125.654</v>
      </c>
      <c r="DQ19">
        <f>119.6220016</f>
        <v>119.6220016</v>
      </c>
      <c r="DR19">
        <f>114.174004</f>
        <v>114.174004</v>
      </c>
      <c r="DS19">
        <f>108.321999</f>
        <v>108.32199900000001</v>
      </c>
      <c r="DT19">
        <f>102.780998</f>
        <v>102.780998</v>
      </c>
      <c r="DU19">
        <f>99.825996</f>
        <v>99.825996000000004</v>
      </c>
    </row>
    <row r="20" spans="1:125">
      <c r="A20" t="str">
        <f>"其他租赁收入"</f>
        <v>其他租赁收入</v>
      </c>
      <c r="B20" t="str">
        <f>""</f>
        <v/>
      </c>
      <c r="E20" t="str">
        <f>"Median"</f>
        <v>Median</v>
      </c>
      <c r="F20" t="str">
        <f ca="1">IF(ISERROR(IF(MEDIAN($F$21:$F$35) = 0, "", MEDIAN($F$21:$F$35))), "", (IF(MEDIAN($F$21:$F$35) = 0, "", MEDIAN($F$21:$F$35))))</f>
        <v/>
      </c>
      <c r="G20">
        <f ca="1">IF(ISERROR(IF(MEDIAN($G$21:$G$35) = 0, "", MEDIAN($G$21:$G$35))), "", (IF(MEDIAN($G$21:$G$35) = 0, "", MEDIAN($G$21:$G$35))))</f>
        <v>11.202</v>
      </c>
      <c r="H20">
        <f ca="1">IF(ISERROR(IF(MEDIAN($H$21:$H$35) = 0, "", MEDIAN($H$21:$H$35))), "", (IF(MEDIAN($H$21:$H$35) = 0, "", MEDIAN($H$21:$H$35))))</f>
        <v>6.1390000000000002</v>
      </c>
      <c r="I20">
        <f ca="1">IF(ISERROR(IF(MEDIAN($I$21:$I$35) = 0, "", MEDIAN($I$21:$I$35))), "", (IF(MEDIAN($I$21:$I$35) = 0, "", MEDIAN($I$21:$I$35))))</f>
        <v>7.617</v>
      </c>
      <c r="J20">
        <f ca="1">IF(ISERROR(IF(MEDIAN($J$21:$J$35) = 0, "", MEDIAN($J$21:$J$35))), "", (IF(MEDIAN($J$21:$J$35) = 0, "", MEDIAN($J$21:$J$35))))</f>
        <v>8.4879999999999995</v>
      </c>
      <c r="K20">
        <f ca="1">IF(ISERROR(IF(MEDIAN($K$21:$K$35) = 0, "", MEDIAN($K$21:$K$35))), "", (IF(MEDIAN($K$21:$K$35) = 0, "", MEDIAN($K$21:$K$35))))</f>
        <v>13.038</v>
      </c>
      <c r="L20">
        <f ca="1">IF(ISERROR(IF(MEDIAN($L$21:$L$35) = 0, "", MEDIAN($L$21:$L$35))), "", (IF(MEDIAN($L$21:$L$35) = 0, "", MEDIAN($L$21:$L$35))))</f>
        <v>7.1050000000000004</v>
      </c>
      <c r="M20">
        <f ca="1">IF(ISERROR(IF(MEDIAN($M$21:$M$35) = 0, "", MEDIAN($M$21:$M$35))), "", (IF(MEDIAN($M$21:$M$35) = 0, "", MEDIAN($M$21:$M$35))))</f>
        <v>5.0709999999999997</v>
      </c>
      <c r="N20">
        <f ca="1">IF(ISERROR(IF(MEDIAN($N$21:$N$35) = 0, "", MEDIAN($N$21:$N$35))), "", (IF(MEDIAN($N$21:$N$35) = 0, "", MEDIAN($N$21:$N$35))))</f>
        <v>8.9700000000000006</v>
      </c>
      <c r="O20">
        <f ca="1">IF(ISERROR(IF(MEDIAN($O$21:$O$35) = 0, "", MEDIAN($O$21:$O$35))), "", (IF(MEDIAN($O$21:$O$35) = 0, "", MEDIAN($O$21:$O$35))))</f>
        <v>12.432</v>
      </c>
      <c r="P20">
        <f ca="1">IF(ISERROR(IF(MEDIAN($P$21:$P$35) = 0, "", MEDIAN($P$21:$P$35))), "", (IF(MEDIAN($P$21:$P$35) = 0, "", MEDIAN($P$21:$P$35))))</f>
        <v>10.231</v>
      </c>
      <c r="Q20">
        <f ca="1">IF(ISERROR(IF(MEDIAN($Q$21:$Q$35) = 0, "", MEDIAN($Q$21:$Q$35))), "", (IF(MEDIAN($Q$21:$Q$35) = 0, "", MEDIAN($Q$21:$Q$35))))</f>
        <v>8.3960000000000008</v>
      </c>
      <c r="R20">
        <f ca="1">IF(ISERROR(IF(MEDIAN($R$21:$R$35) = 0, "", MEDIAN($R$21:$R$35))), "", (IF(MEDIAN($R$21:$R$35) = 0, "", MEDIAN($R$21:$R$35))))</f>
        <v>7.5670000000000002</v>
      </c>
      <c r="S20">
        <f ca="1">IF(ISERROR(IF(MEDIAN($S$21:$S$35) = 0, "", MEDIAN($S$21:$S$35))), "", (IF(MEDIAN($S$21:$S$35) = 0, "", MEDIAN($S$21:$S$35))))</f>
        <v>8.6059999999999999</v>
      </c>
      <c r="T20">
        <f ca="1">IF(ISERROR(IF(MEDIAN($T$21:$T$35) = 0, "", MEDIAN($T$21:$T$35))), "", (IF(MEDIAN($T$21:$T$35) = 0, "", MEDIAN($T$21:$T$35))))</f>
        <v>3.8130000000000002</v>
      </c>
      <c r="U20">
        <f ca="1">IF(ISERROR(IF(MEDIAN($U$21:$U$35) = 0, "", MEDIAN($U$21:$U$35))), "", (IF(MEDIAN($U$21:$U$35) = 0, "", MEDIAN($U$21:$U$35))))</f>
        <v>4.6130000000000004</v>
      </c>
      <c r="V20">
        <f ca="1">IF(ISERROR(IF(MEDIAN($V$21:$V$35) = 0, "", MEDIAN($V$21:$V$35))), "", (IF(MEDIAN($V$21:$V$35) = 0, "", MEDIAN($V$21:$V$35))))</f>
        <v>5.282</v>
      </c>
      <c r="W20">
        <f ca="1">IF(ISERROR(IF(MEDIAN($W$21:$W$35) = 0, "", MEDIAN($W$21:$W$35))), "", (IF(MEDIAN($W$21:$W$35) = 0, "", MEDIAN($W$21:$W$35))))</f>
        <v>22.147500000000001</v>
      </c>
      <c r="X20">
        <f ca="1">IF(ISERROR(IF(MEDIAN($X$21:$X$35) = 0, "", MEDIAN($X$21:$X$35))), "", (IF(MEDIAN($X$21:$X$35) = 0, "", MEDIAN($X$21:$X$35))))</f>
        <v>18.554500000000001</v>
      </c>
      <c r="Y20">
        <f ca="1">IF(ISERROR(IF(MEDIAN($Y$21:$Y$35) = 0, "", MEDIAN($Y$21:$Y$35))), "", (IF(MEDIAN($Y$21:$Y$35) = 0, "", MEDIAN($Y$21:$Y$35))))</f>
        <v>17.955500000000001</v>
      </c>
      <c r="Z20">
        <f ca="1">IF(ISERROR(IF(MEDIAN($Z$21:$Z$35) = 0, "", MEDIAN($Z$21:$Z$35))), "", (IF(MEDIAN($Z$21:$Z$35) = 0, "", MEDIAN($Z$21:$Z$35))))</f>
        <v>19.214500000000001</v>
      </c>
      <c r="AA20">
        <f ca="1">IF(ISERROR(IF(MEDIAN($AA$21:$AA$35) = 0, "", MEDIAN($AA$21:$AA$35))), "", (IF(MEDIAN($AA$21:$AA$35) = 0, "", MEDIAN($AA$21:$AA$35))))</f>
        <v>20.721499999999999</v>
      </c>
      <c r="AB20">
        <f ca="1">IF(ISERROR(IF(MEDIAN($AB$21:$AB$35) = 0, "", MEDIAN($AB$21:$AB$35))), "", (IF(MEDIAN($AB$21:$AB$35) = 0, "", MEDIAN($AB$21:$AB$35))))</f>
        <v>3.653</v>
      </c>
      <c r="AC20">
        <f ca="1">IF(ISERROR(IF(MEDIAN($AC$21:$AC$35) = 0, "", MEDIAN($AC$21:$AC$35))), "", (IF(MEDIAN($AC$21:$AC$35) = 0, "", MEDIAN($AC$21:$AC$35))))</f>
        <v>4.6639999999999997</v>
      </c>
      <c r="AD20">
        <f ca="1">IF(ISERROR(IF(MEDIAN($AD$21:$AD$35) = 0, "", MEDIAN($AD$21:$AD$35))), "", (IF(MEDIAN($AD$21:$AD$35) = 0, "", MEDIAN($AD$21:$AD$35))))</f>
        <v>5.2859999999999996</v>
      </c>
      <c r="AE20">
        <f ca="1">IF(ISERROR(IF(MEDIAN($AE$21:$AE$35) = 0, "", MEDIAN($AE$21:$AE$35))), "", (IF(MEDIAN($AE$21:$AE$35) = 0, "", MEDIAN($AE$21:$AE$35))))</f>
        <v>4.9205000000000005</v>
      </c>
      <c r="AF20">
        <f ca="1">IF(ISERROR(IF(MEDIAN($AF$21:$AF$35) = 0, "", MEDIAN($AF$21:$AF$35))), "", (IF(MEDIAN($AF$21:$AF$35) = 0, "", MEDIAN($AF$21:$AF$35))))</f>
        <v>2.5714999999999999</v>
      </c>
      <c r="AG20">
        <f ca="1">IF(ISERROR(IF(MEDIAN($AG$21:$AG$35) = 0, "", MEDIAN($AG$21:$AG$35))), "", (IF(MEDIAN($AG$21:$AG$35) = 0, "", MEDIAN($AG$21:$AG$35))))</f>
        <v>2.7484999999999999</v>
      </c>
      <c r="AH20">
        <f ca="1">IF(ISERROR(IF(MEDIAN($AH$21:$AH$35) = 0, "", MEDIAN($AH$21:$AH$35))), "", (IF(MEDIAN($AH$21:$AH$35) = 0, "", MEDIAN($AH$21:$AH$35))))</f>
        <v>3.621</v>
      </c>
      <c r="AI20">
        <f ca="1">IF(ISERROR(IF(MEDIAN($AI$21:$AI$35) = 0, "", MEDIAN($AI$21:$AI$35))), "", (IF(MEDIAN($AI$21:$AI$35) = 0, "", MEDIAN($AI$21:$AI$35))))</f>
        <v>5.3379999999999992</v>
      </c>
      <c r="AJ20">
        <f ca="1">IF(ISERROR(IF(MEDIAN($AJ$21:$AJ$35) = 0, "", MEDIAN($AJ$21:$AJ$35))), "", (IF(MEDIAN($AJ$21:$AJ$35) = 0, "", MEDIAN($AJ$21:$AJ$35))))</f>
        <v>3.0415000000000001</v>
      </c>
      <c r="AK20">
        <f ca="1">IF(ISERROR(IF(MEDIAN($AK$21:$AK$35) = 0, "", MEDIAN($AK$21:$AK$35))), "", (IF(MEDIAN($AK$21:$AK$35) = 0, "", MEDIAN($AK$21:$AK$35))))</f>
        <v>2.2349999999999999</v>
      </c>
      <c r="AL20">
        <f ca="1">IF(ISERROR(IF(MEDIAN($AL$21:$AL$35) = 0, "", MEDIAN($AL$21:$AL$35))), "", (IF(MEDIAN($AL$21:$AL$35) = 0, "", MEDIAN($AL$21:$AL$35))))</f>
        <v>3.0459999999999998</v>
      </c>
      <c r="AM20">
        <f ca="1">IF(ISERROR(IF(MEDIAN($AM$21:$AM$35) = 0, "", MEDIAN($AM$21:$AM$35))), "", (IF(MEDIAN($AM$21:$AM$35) = 0, "", MEDIAN($AM$21:$AM$35))))</f>
        <v>8.9410000000000007</v>
      </c>
      <c r="AN20">
        <f ca="1">IF(ISERROR(IF(MEDIAN($AN$21:$AN$35) = 0, "", MEDIAN($AN$21:$AN$35))), "", (IF(MEDIAN($AN$21:$AN$35) = 0, "", MEDIAN($AN$21:$AN$35))))</f>
        <v>11.5915</v>
      </c>
      <c r="AO20">
        <f ca="1">IF(ISERROR(IF(MEDIAN($AO$21:$AO$35) = 0, "", MEDIAN($AO$21:$AO$35))), "", (IF(MEDIAN($AO$21:$AO$35) = 0, "", MEDIAN($AO$21:$AO$35))))</f>
        <v>4.1420000000000003</v>
      </c>
      <c r="AP20">
        <f ca="1">IF(ISERROR(IF(MEDIAN($AP$21:$AP$35) = 0, "", MEDIAN($AP$21:$AP$35))), "", (IF(MEDIAN($AP$21:$AP$35) = 0, "", MEDIAN($AP$21:$AP$35))))</f>
        <v>4.28</v>
      </c>
      <c r="AQ20" t="str">
        <f ca="1">IF(ISERROR(IF(MEDIAN($AQ$21:$AQ$35) = 0, "", MEDIAN($AQ$21:$AQ$35))), "", (IF(MEDIAN($AQ$21:$AQ$35) = 0, "", MEDIAN($AQ$21:$AQ$35))))</f>
        <v/>
      </c>
      <c r="AR20" t="str">
        <f ca="1">IF(ISERROR(IF(MEDIAN($AR$21:$AR$35) = 0, "", MEDIAN($AR$21:$AR$35))), "", (IF(MEDIAN($AR$21:$AR$35) = 0, "", MEDIAN($AR$21:$AR$35))))</f>
        <v/>
      </c>
      <c r="AS20" t="str">
        <f ca="1">IF(ISERROR(IF(MEDIAN($AS$21:$AS$35) = 0, "", MEDIAN($AS$21:$AS$35))), "", (IF(MEDIAN($AS$21:$AS$35) = 0, "", MEDIAN($AS$21:$AS$35))))</f>
        <v/>
      </c>
      <c r="AT20" t="str">
        <f ca="1">IF(ISERROR(IF(MEDIAN($AT$21:$AT$35) = 0, "", MEDIAN($AT$21:$AT$35))), "", (IF(MEDIAN($AT$21:$AT$35) = 0, "", MEDIAN($AT$21:$AT$35))))</f>
        <v/>
      </c>
      <c r="AU20" t="str">
        <f ca="1">IF(ISERROR(IF(MEDIAN($AU$21:$AU$35) = 0, "", MEDIAN($AU$21:$AU$35))), "", (IF(MEDIAN($AU$21:$AU$35) = 0, "", MEDIAN($AU$21:$AU$35))))</f>
        <v/>
      </c>
      <c r="AV20" t="str">
        <f ca="1">IF(ISERROR(IF(MEDIAN($AV$21:$AV$35) = 0, "", MEDIAN($AV$21:$AV$35))), "", (IF(MEDIAN($AV$21:$AV$35) = 0, "", MEDIAN($AV$21:$AV$35))))</f>
        <v/>
      </c>
      <c r="AW20" t="str">
        <f ca="1">IF(ISERROR(IF(MEDIAN($AW$21:$AW$35) = 0, "", MEDIAN($AW$21:$AW$35))), "", (IF(MEDIAN($AW$21:$AW$35) = 0, "", MEDIAN($AW$21:$AW$35))))</f>
        <v/>
      </c>
      <c r="AX20" t="str">
        <f ca="1">IF(ISERROR(IF(MEDIAN($AX$21:$AX$35) = 0, "", MEDIAN($AX$21:$AX$35))), "", (IF(MEDIAN($AX$21:$AX$35) = 0, "", MEDIAN($AX$21:$AX$35))))</f>
        <v/>
      </c>
      <c r="AY20" t="str">
        <f ca="1">IF(ISERROR(IF(MEDIAN($AY$21:$AY$35) = 0, "", MEDIAN($AY$21:$AY$35))), "", (IF(MEDIAN($AY$21:$AY$35) = 0, "", MEDIAN($AY$21:$AY$35))))</f>
        <v/>
      </c>
      <c r="AZ20" t="str">
        <f ca="1">IF(ISERROR(IF(MEDIAN($AZ$21:$AZ$35) = 0, "", MEDIAN($AZ$21:$AZ$35))), "", (IF(MEDIAN($AZ$21:$AZ$35) = 0, "", MEDIAN($AZ$21:$AZ$35))))</f>
        <v/>
      </c>
      <c r="BA20" t="str">
        <f ca="1">IF(ISERROR(IF(MEDIAN($BA$21:$BA$35) = 0, "", MEDIAN($BA$21:$BA$35))), "", (IF(MEDIAN($BA$21:$BA$35) = 0, "", MEDIAN($BA$21:$BA$35))))</f>
        <v/>
      </c>
      <c r="BB20" t="str">
        <f ca="1">IF(ISERROR(IF(MEDIAN($BB$21:$BB$35) = 0, "", MEDIAN($BB$21:$BB$35))), "", (IF(MEDIAN($BB$21:$BB$35) = 0, "", MEDIAN($BB$21:$BB$35))))</f>
        <v/>
      </c>
      <c r="BC20" t="str">
        <f ca="1">IF(ISERROR(IF(MEDIAN($BC$21:$BC$35) = 0, "", MEDIAN($BC$21:$BC$35))), "", (IF(MEDIAN($BC$21:$BC$35) = 0, "", MEDIAN($BC$21:$BC$35))))</f>
        <v/>
      </c>
      <c r="BD20" t="str">
        <f ca="1">IF(ISERROR(IF(MEDIAN($BD$21:$BD$35) = 0, "", MEDIAN($BD$21:$BD$35))), "", (IF(MEDIAN($BD$21:$BD$35) = 0, "", MEDIAN($BD$21:$BD$35))))</f>
        <v/>
      </c>
      <c r="BE20" t="str">
        <f ca="1">IF(ISERROR(IF(MEDIAN($BE$21:$BE$35) = 0, "", MEDIAN($BE$21:$BE$35))), "", (IF(MEDIAN($BE$21:$BE$35) = 0, "", MEDIAN($BE$21:$BE$35))))</f>
        <v/>
      </c>
      <c r="BF20" t="str">
        <f ca="1">IF(ISERROR(IF(MEDIAN($BF$21:$BF$35) = 0, "", MEDIAN($BF$21:$BF$35))), "", (IF(MEDIAN($BF$21:$BF$35) = 0, "", MEDIAN($BF$21:$BF$35))))</f>
        <v/>
      </c>
      <c r="BG20" t="str">
        <f ca="1">IF(ISERROR(IF(MEDIAN($BG$21:$BG$35) = 0, "", MEDIAN($BG$21:$BG$35))), "", (IF(MEDIAN($BG$21:$BG$35) = 0, "", MEDIAN($BG$21:$BG$35))))</f>
        <v/>
      </c>
      <c r="BH20" t="str">
        <f ca="1">IF(ISERROR(IF(MEDIAN($BH$21:$BH$35) = 0, "", MEDIAN($BH$21:$BH$35))), "", (IF(MEDIAN($BH$21:$BH$35) = 0, "", MEDIAN($BH$21:$BH$35))))</f>
        <v/>
      </c>
      <c r="BI20" t="str">
        <f ca="1">IF(ISERROR(IF(MEDIAN($BI$21:$BI$35) = 0, "", MEDIAN($BI$21:$BI$35))), "", (IF(MEDIAN($BI$21:$BI$35) = 0, "", MEDIAN($BI$21:$BI$35))))</f>
        <v/>
      </c>
      <c r="BJ20" t="str">
        <f ca="1">IF(ISERROR(IF(MEDIAN($BJ$21:$BJ$35) = 0, "", MEDIAN($BJ$21:$BJ$35))), "", (IF(MEDIAN($BJ$21:$BJ$35) = 0, "", MEDIAN($BJ$21:$BJ$35))))</f>
        <v/>
      </c>
      <c r="BK20" t="str">
        <f ca="1">IF(ISERROR(IF(MEDIAN($BK$21:$BK$35) = 0, "", MEDIAN($BK$21:$BK$35))), "", (IF(MEDIAN($BK$21:$BK$35) = 0, "", MEDIAN($BK$21:$BK$35))))</f>
        <v/>
      </c>
      <c r="BL20" t="str">
        <f ca="1">IF(ISERROR(IF(MEDIAN($BL$21:$BL$35) = 0, "", MEDIAN($BL$21:$BL$35))), "", (IF(MEDIAN($BL$21:$BL$35) = 0, "", MEDIAN($BL$21:$BL$35))))</f>
        <v/>
      </c>
      <c r="BM20" t="str">
        <f ca="1">IF(ISERROR(IF(MEDIAN($BM$21:$BM$35) = 0, "", MEDIAN($BM$21:$BM$35))), "", (IF(MEDIAN($BM$21:$BM$35) = 0, "", MEDIAN($BM$21:$BM$35))))</f>
        <v/>
      </c>
      <c r="BN20" t="str">
        <f>""</f>
        <v/>
      </c>
      <c r="BO20">
        <f>11.202</f>
        <v>11.202</v>
      </c>
      <c r="BP20">
        <f>6.139</f>
        <v>6.1390000000000002</v>
      </c>
      <c r="BQ20">
        <f>7.617</f>
        <v>7.617</v>
      </c>
      <c r="BR20">
        <f>8.488</f>
        <v>8.4879999999999995</v>
      </c>
      <c r="BS20">
        <f>13.038</f>
        <v>13.038</v>
      </c>
      <c r="BT20">
        <f>7.105</f>
        <v>7.1050000000000004</v>
      </c>
      <c r="BU20">
        <f>5.071</f>
        <v>5.0709999999999997</v>
      </c>
      <c r="BV20">
        <f>8.97</f>
        <v>8.9700000000000006</v>
      </c>
      <c r="BW20">
        <f>12.432</f>
        <v>12.432</v>
      </c>
      <c r="BX20">
        <f>10.231</f>
        <v>10.231</v>
      </c>
      <c r="BY20">
        <f>8.396</f>
        <v>8.3960000000000008</v>
      </c>
      <c r="BZ20">
        <f>7.567</f>
        <v>7.5670000000000002</v>
      </c>
      <c r="CA20">
        <f>8.606</f>
        <v>8.6059999999999999</v>
      </c>
      <c r="CB20">
        <f>3.813</f>
        <v>3.8130000000000002</v>
      </c>
      <c r="CC20">
        <f>4.613</f>
        <v>4.6130000000000004</v>
      </c>
      <c r="CD20">
        <f>5.282</f>
        <v>5.282</v>
      </c>
      <c r="CE20">
        <f>22.1475</f>
        <v>22.147500000000001</v>
      </c>
      <c r="CF20">
        <f>18.5545</f>
        <v>18.554500000000001</v>
      </c>
      <c r="CG20">
        <f>17.9555</f>
        <v>17.955500000000001</v>
      </c>
      <c r="CH20">
        <f>19.2145</f>
        <v>19.214500000000001</v>
      </c>
      <c r="CI20">
        <f>20.7215</f>
        <v>20.721499999999999</v>
      </c>
      <c r="CJ20">
        <f>3.653</f>
        <v>3.653</v>
      </c>
      <c r="CK20">
        <f>4.664</f>
        <v>4.6639999999999997</v>
      </c>
      <c r="CL20">
        <f>5.286</f>
        <v>5.2859999999999996</v>
      </c>
      <c r="CM20">
        <f>4.9205</f>
        <v>4.9204999999999997</v>
      </c>
      <c r="CN20">
        <f>2.5715</f>
        <v>2.5714999999999999</v>
      </c>
      <c r="CO20">
        <f>2.7485</f>
        <v>2.7484999999999999</v>
      </c>
      <c r="CP20">
        <f>3.621</f>
        <v>3.621</v>
      </c>
      <c r="CQ20">
        <f>5.338</f>
        <v>5.3380000000000001</v>
      </c>
      <c r="CR20">
        <f>3.0415</f>
        <v>3.0415000000000001</v>
      </c>
      <c r="CS20">
        <f>2.235</f>
        <v>2.2349999999999999</v>
      </c>
      <c r="CT20">
        <f>3.046</f>
        <v>3.0459999999999998</v>
      </c>
      <c r="CU20">
        <f>8.941</f>
        <v>8.9410000000000007</v>
      </c>
      <c r="CV20">
        <f>11.5915</f>
        <v>11.5915</v>
      </c>
      <c r="CW20">
        <f>4.142</f>
        <v>4.1420000000000003</v>
      </c>
      <c r="CX20">
        <f>4.28</f>
        <v>4.28</v>
      </c>
      <c r="CY20" t="str">
        <f>""</f>
        <v/>
      </c>
      <c r="CZ20" t="str">
        <f>""</f>
        <v/>
      </c>
      <c r="DA20" t="str">
        <f>""</f>
        <v/>
      </c>
      <c r="DB20" t="str">
        <f>""</f>
        <v/>
      </c>
      <c r="DC20" t="str">
        <f>""</f>
        <v/>
      </c>
      <c r="DD20" t="str">
        <f>""</f>
        <v/>
      </c>
      <c r="DE20" t="str">
        <f>""</f>
        <v/>
      </c>
      <c r="DF20" t="str">
        <f>""</f>
        <v/>
      </c>
      <c r="DG20" t="str">
        <f>""</f>
        <v/>
      </c>
      <c r="DH20" t="str">
        <f>""</f>
        <v/>
      </c>
      <c r="DI20" t="str">
        <f>""</f>
        <v/>
      </c>
      <c r="DJ20" t="str">
        <f>""</f>
        <v/>
      </c>
      <c r="DK20" t="str">
        <f>""</f>
        <v/>
      </c>
      <c r="DL20" t="str">
        <f>""</f>
        <v/>
      </c>
      <c r="DM20" t="str">
        <f>""</f>
        <v/>
      </c>
      <c r="DN20" t="str">
        <f>""</f>
        <v/>
      </c>
      <c r="DO20" t="str">
        <f>""</f>
        <v/>
      </c>
      <c r="DP20" t="str">
        <f>""</f>
        <v/>
      </c>
      <c r="DQ20" t="str">
        <f>""</f>
        <v/>
      </c>
      <c r="DR20" t="str">
        <f>""</f>
        <v/>
      </c>
      <c r="DS20" t="str">
        <f>""</f>
        <v/>
      </c>
      <c r="DT20" t="str">
        <f>""</f>
        <v/>
      </c>
      <c r="DU20" t="str">
        <f>""</f>
        <v/>
      </c>
    </row>
    <row r="21" spans="1:125">
      <c r="A21" t="str">
        <f>"    Brixmor Property Group Inc"</f>
        <v xml:space="preserve">    Brixmor Property Group Inc</v>
      </c>
      <c r="B21" t="str">
        <f>"BRX US Equity"</f>
        <v>BRX US Equity</v>
      </c>
      <c r="C21" t="str">
        <f t="shared" ref="C21:C35" si="3">"IM275"</f>
        <v>IM275</v>
      </c>
      <c r="D21" t="str">
        <f t="shared" ref="D21:D35" si="4">"IS_OTHER_RENTAL_INCOME"</f>
        <v>IS_OTHER_RENTAL_INCOME</v>
      </c>
      <c r="E21" t="str">
        <f t="shared" ref="E21:E35" si="5">"动态"</f>
        <v>动态</v>
      </c>
      <c r="F21" t="str">
        <f ca="1">IF(AND(ISNUMBER($F$481),$B$419=1),$F$481,HLOOKUP(INDIRECT(ADDRESS(2,COLUMN())),OFFSET($BN$2,0,0,ROW()-1,60),ROW()-1,FALSE))</f>
        <v/>
      </c>
      <c r="G21">
        <f ca="1">IF(AND(ISNUMBER($G$481),$B$419=1),$G$481,HLOOKUP(INDIRECT(ADDRESS(2,COLUMN())),OFFSET($BN$2,0,0,ROW()-1,60),ROW()-1,FALSE))</f>
        <v>247.113</v>
      </c>
      <c r="H21">
        <f ca="1">IF(AND(ISNUMBER($H$481),$B$419=1),$H$481,HLOOKUP(INDIRECT(ADDRESS(2,COLUMN())),OFFSET($BN$2,0,0,ROW()-1,60),ROW()-1,FALSE))</f>
        <v>246.578</v>
      </c>
      <c r="I21">
        <f ca="1">IF(AND(ISNUMBER($I$481),$B$419=1),$I$481,HLOOKUP(INDIRECT(ADDRESS(2,COLUMN())),OFFSET($BN$2,0,0,ROW()-1,60),ROW()-1,FALSE))</f>
        <v>253.77699999999999</v>
      </c>
      <c r="J21">
        <f ca="1">IF(AND(ISNUMBER($J$481),$B$419=1),$J$481,HLOOKUP(INDIRECT(ADDRESS(2,COLUMN())),OFFSET($BN$2,0,0,ROW()-1,60),ROW()-1,FALSE))</f>
        <v>249.62100000000001</v>
      </c>
      <c r="K21">
        <f ca="1">IF(AND(ISNUMBER($K$481),$B$419=1),$K$481,HLOOKUP(INDIRECT(ADDRESS(2,COLUMN())),OFFSET($BN$2,0,0,ROW()-1,60),ROW()-1,FALSE))</f>
        <v>253.53800000000001</v>
      </c>
      <c r="L21">
        <f ca="1">IF(AND(ISNUMBER($L$481),$B$419=1),$L$481,HLOOKUP(INDIRECT(ADDRESS(2,COLUMN())),OFFSET($BN$2,0,0,ROW()-1,60),ROW()-1,FALSE))</f>
        <v>247.85900000000001</v>
      </c>
      <c r="M21">
        <f ca="1">IF(AND(ISNUMBER($M$481),$B$419=1),$M$481,HLOOKUP(INDIRECT(ADDRESS(2,COLUMN())),OFFSET($BN$2,0,0,ROW()-1,60),ROW()-1,FALSE))</f>
        <v>245.57499999999999</v>
      </c>
      <c r="N21">
        <f ca="1">IF(AND(ISNUMBER($N$481),$B$419=1),$N$481,HLOOKUP(INDIRECT(ADDRESS(2,COLUMN())),OFFSET($BN$2,0,0,ROW()-1,60),ROW()-1,FALSE))</f>
        <v>251.14599999999999</v>
      </c>
      <c r="O21">
        <f ca="1">IF(AND(ISNUMBER($O$481),$B$419=1),$O$481,HLOOKUP(INDIRECT(ADDRESS(2,COLUMN())),OFFSET($BN$2,0,0,ROW()-1,60),ROW()-1,FALSE))</f>
        <v>251.119</v>
      </c>
      <c r="P21">
        <f ca="1">IF(AND(ISNUMBER($P$481),$B$419=1),$P$481,HLOOKUP(INDIRECT(ADDRESS(2,COLUMN())),OFFSET($BN$2,0,0,ROW()-1,60),ROW()-1,FALSE))</f>
        <v>245.82900000000001</v>
      </c>
      <c r="Q21">
        <f ca="1">IF(AND(ISNUMBER($Q$481),$B$419=1),$Q$481,HLOOKUP(INDIRECT(ADDRESS(2,COLUMN())),OFFSET($BN$2,0,0,ROW()-1,60),ROW()-1,FALSE))</f>
        <v>244.03</v>
      </c>
      <c r="R21">
        <f ca="1">IF(AND(ISNUMBER($R$481),$B$419=1),$R$481,HLOOKUP(INDIRECT(ADDRESS(2,COLUMN())),OFFSET($BN$2,0,0,ROW()-1,60),ROW()-1,FALSE))</f>
        <v>243.57</v>
      </c>
      <c r="S21">
        <f ca="1">IF(AND(ISNUMBER($S$481),$B$419=1),$S$481,HLOOKUP(INDIRECT(ADDRESS(2,COLUMN())),OFFSET($BN$2,0,0,ROW()-1,60),ROW()-1,FALSE))</f>
        <v>242.74</v>
      </c>
      <c r="T21">
        <f ca="1">IF(AND(ISNUMBER($T$481),$B$419=1),$T$481,HLOOKUP(INDIRECT(ADDRESS(2,COLUMN())),OFFSET($BN$2,0,0,ROW()-1,60),ROW()-1,FALSE))</f>
        <v>240.82</v>
      </c>
      <c r="U21">
        <f ca="1">IF(AND(ISNUMBER($U$481),$B$419=1),$U$481,HLOOKUP(INDIRECT(ADDRESS(2,COLUMN())),OFFSET($BN$2,0,0,ROW()-1,60),ROW()-1,FALSE))</f>
        <v>239.98699999999999</v>
      </c>
      <c r="V21">
        <f ca="1">IF(AND(ISNUMBER($V$481),$B$419=1),$V$481,HLOOKUP(INDIRECT(ADDRESS(2,COLUMN())),OFFSET($BN$2,0,0,ROW()-1,60),ROW()-1,FALSE))</f>
        <v>237.16800000000001</v>
      </c>
      <c r="W21">
        <f ca="1">IF(AND(ISNUMBER($W$481),$B$419=1),$W$481,HLOOKUP(INDIRECT(ADDRESS(2,COLUMN())),OFFSET($BN$2,0,0,ROW()-1,60),ROW()-1,FALSE))</f>
        <v>233.643</v>
      </c>
      <c r="X21">
        <f ca="1">IF(AND(ISNUMBER($X$481),$B$419=1),$X$481,HLOOKUP(INDIRECT(ADDRESS(2,COLUMN())),OFFSET($BN$2,0,0,ROW()-1,60),ROW()-1,FALSE))</f>
        <v>223.22499999999999</v>
      </c>
      <c r="Y21">
        <f ca="1">IF(AND(ISNUMBER($Y$481),$B$419=1),$Y$481,HLOOKUP(INDIRECT(ADDRESS(2,COLUMN())),OFFSET($BN$2,0,0,ROW()-1,60),ROW()-1,FALSE))</f>
        <v>216.29599999999999</v>
      </c>
      <c r="Z21">
        <f ca="1">IF(AND(ISNUMBER($Z$481),$B$419=1),$Z$481,HLOOKUP(INDIRECT(ADDRESS(2,COLUMN())),OFFSET($BN$2,0,0,ROW()-1,60),ROW()-1,FALSE))</f>
        <v>214.55799999999999</v>
      </c>
      <c r="AA21">
        <f ca="1">IF(AND(ISNUMBER($AA$481),$B$419=1),$AA$481,HLOOKUP(INDIRECT(ADDRESS(2,COLUMN())),OFFSET($BN$2,0,0,ROW()-1,60),ROW()-1,FALSE))</f>
        <v>222.01900000000001</v>
      </c>
      <c r="AB21">
        <f ca="1">IF(AND(ISNUMBER($AB$481),$B$419=1),$AB$481,HLOOKUP(INDIRECT(ADDRESS(2,COLUMN())),OFFSET($BN$2,0,0,ROW()-1,60),ROW()-1,FALSE))</f>
        <v>220.24299999999999</v>
      </c>
      <c r="AC21">
        <f ca="1">IF(AND(ISNUMBER($AC$481),$B$419=1),$AC$481,HLOOKUP(INDIRECT(ADDRESS(2,COLUMN())),OFFSET($BN$2,0,0,ROW()-1,60),ROW()-1,FALSE))</f>
        <v>217.066</v>
      </c>
      <c r="AD21">
        <f ca="1">IF(AND(ISNUMBER($AD$481),$B$419=1),$AD$481,HLOOKUP(INDIRECT(ADDRESS(2,COLUMN())),OFFSET($BN$2,0,0,ROW()-1,60),ROW()-1,FALSE))</f>
        <v>218.27</v>
      </c>
      <c r="AE21" t="str">
        <f ca="1">IF(AND(ISNUMBER($AE$481),$B$419=1),$AE$481,HLOOKUP(INDIRECT(ADDRESS(2,COLUMN())),OFFSET($BN$2,0,0,ROW()-1,60),ROW()-1,FALSE))</f>
        <v/>
      </c>
      <c r="AF21" t="str">
        <f ca="1">IF(AND(ISNUMBER($AF$481),$B$419=1),$AF$481,HLOOKUP(INDIRECT(ADDRESS(2,COLUMN())),OFFSET($BN$2,0,0,ROW()-1,60),ROW()-1,FALSE))</f>
        <v/>
      </c>
      <c r="AG21" t="str">
        <f ca="1">IF(AND(ISNUMBER($AG$481),$B$419=1),$AG$481,HLOOKUP(INDIRECT(ADDRESS(2,COLUMN())),OFFSET($BN$2,0,0,ROW()-1,60),ROW()-1,FALSE))</f>
        <v/>
      </c>
      <c r="AH21" t="str">
        <f ca="1">IF(AND(ISNUMBER($AH$481),$B$419=1),$AH$481,HLOOKUP(INDIRECT(ADDRESS(2,COLUMN())),OFFSET($BN$2,0,0,ROW()-1,60),ROW()-1,FALSE))</f>
        <v/>
      </c>
      <c r="AI21" t="str">
        <f ca="1">IF(AND(ISNUMBER($AI$481),$B$419=1),$AI$481,HLOOKUP(INDIRECT(ADDRESS(2,COLUMN())),OFFSET($BN$2,0,0,ROW()-1,60),ROW()-1,FALSE))</f>
        <v/>
      </c>
      <c r="AJ21" t="str">
        <f ca="1">IF(AND(ISNUMBER($AJ$481),$B$419=1),$AJ$481,HLOOKUP(INDIRECT(ADDRESS(2,COLUMN())),OFFSET($BN$2,0,0,ROW()-1,60),ROW()-1,FALSE))</f>
        <v/>
      </c>
      <c r="AK21" t="str">
        <f ca="1">IF(AND(ISNUMBER($AK$481),$B$419=1),$AK$481,HLOOKUP(INDIRECT(ADDRESS(2,COLUMN())),OFFSET($BN$2,0,0,ROW()-1,60),ROW()-1,FALSE))</f>
        <v/>
      </c>
      <c r="AL21" t="str">
        <f ca="1">IF(AND(ISNUMBER($AL$481),$B$419=1),$AL$481,HLOOKUP(INDIRECT(ADDRESS(2,COLUMN())),OFFSET($BN$2,0,0,ROW()-1,60),ROW()-1,FALSE))</f>
        <v/>
      </c>
      <c r="AM21" t="str">
        <f ca="1">IF(AND(ISNUMBER($AM$481),$B$419=1),$AM$481,HLOOKUP(INDIRECT(ADDRESS(2,COLUMN())),OFFSET($BN$2,0,0,ROW()-1,60),ROW()-1,FALSE))</f>
        <v/>
      </c>
      <c r="AN21" t="str">
        <f ca="1">IF(AND(ISNUMBER($AN$481),$B$419=1),$AN$481,HLOOKUP(INDIRECT(ADDRESS(2,COLUMN())),OFFSET($BN$2,0,0,ROW()-1,60),ROW()-1,FALSE))</f>
        <v/>
      </c>
      <c r="AO21" t="str">
        <f ca="1">IF(AND(ISNUMBER($AO$481),$B$419=1),$AO$481,HLOOKUP(INDIRECT(ADDRESS(2,COLUMN())),OFFSET($BN$2,0,0,ROW()-1,60),ROW()-1,FALSE))</f>
        <v/>
      </c>
      <c r="AP21" t="str">
        <f ca="1">IF(AND(ISNUMBER($AP$481),$B$419=1),$AP$481,HLOOKUP(INDIRECT(ADDRESS(2,COLUMN())),OFFSET($BN$2,0,0,ROW()-1,60),ROW()-1,FALSE))</f>
        <v/>
      </c>
      <c r="AQ21" t="str">
        <f ca="1">IF(AND(ISNUMBER($AQ$481),$B$419=1),$AQ$481,HLOOKUP(INDIRECT(ADDRESS(2,COLUMN())),OFFSET($BN$2,0,0,ROW()-1,60),ROW()-1,FALSE))</f>
        <v/>
      </c>
      <c r="AR21" t="str">
        <f ca="1">IF(AND(ISNUMBER($AR$481),$B$419=1),$AR$481,HLOOKUP(INDIRECT(ADDRESS(2,COLUMN())),OFFSET($BN$2,0,0,ROW()-1,60),ROW()-1,FALSE))</f>
        <v/>
      </c>
      <c r="AS21" t="str">
        <f ca="1">IF(AND(ISNUMBER($AS$481),$B$419=1),$AS$481,HLOOKUP(INDIRECT(ADDRESS(2,COLUMN())),OFFSET($BN$2,0,0,ROW()-1,60),ROW()-1,FALSE))</f>
        <v/>
      </c>
      <c r="AT21" t="str">
        <f ca="1">IF(AND(ISNUMBER($AT$481),$B$419=1),$AT$481,HLOOKUP(INDIRECT(ADDRESS(2,COLUMN())),OFFSET($BN$2,0,0,ROW()-1,60),ROW()-1,FALSE))</f>
        <v/>
      </c>
      <c r="AU21" t="str">
        <f ca="1">IF(AND(ISNUMBER($AU$481),$B$419=1),$AU$481,HLOOKUP(INDIRECT(ADDRESS(2,COLUMN())),OFFSET($BN$2,0,0,ROW()-1,60),ROW()-1,FALSE))</f>
        <v/>
      </c>
      <c r="AV21" t="str">
        <f ca="1">IF(AND(ISNUMBER($AV$481),$B$419=1),$AV$481,HLOOKUP(INDIRECT(ADDRESS(2,COLUMN())),OFFSET($BN$2,0,0,ROW()-1,60),ROW()-1,FALSE))</f>
        <v/>
      </c>
      <c r="AW21" t="str">
        <f ca="1">IF(AND(ISNUMBER($AW$481),$B$419=1),$AW$481,HLOOKUP(INDIRECT(ADDRESS(2,COLUMN())),OFFSET($BN$2,0,0,ROW()-1,60),ROW()-1,FALSE))</f>
        <v/>
      </c>
      <c r="AX21" t="str">
        <f ca="1">IF(AND(ISNUMBER($AX$481),$B$419=1),$AX$481,HLOOKUP(INDIRECT(ADDRESS(2,COLUMN())),OFFSET($BN$2,0,0,ROW()-1,60),ROW()-1,FALSE))</f>
        <v/>
      </c>
      <c r="AY21" t="str">
        <f ca="1">IF(AND(ISNUMBER($AY$481),$B$419=1),$AY$481,HLOOKUP(INDIRECT(ADDRESS(2,COLUMN())),OFFSET($BN$2,0,0,ROW()-1,60),ROW()-1,FALSE))</f>
        <v/>
      </c>
      <c r="AZ21" t="str">
        <f ca="1">IF(AND(ISNUMBER($AZ$481),$B$419=1),$AZ$481,HLOOKUP(INDIRECT(ADDRESS(2,COLUMN())),OFFSET($BN$2,0,0,ROW()-1,60),ROW()-1,FALSE))</f>
        <v/>
      </c>
      <c r="BA21" t="str">
        <f ca="1">IF(AND(ISNUMBER($BA$481),$B$419=1),$BA$481,HLOOKUP(INDIRECT(ADDRESS(2,COLUMN())),OFFSET($BN$2,0,0,ROW()-1,60),ROW()-1,FALSE))</f>
        <v/>
      </c>
      <c r="BB21" t="str">
        <f ca="1">IF(AND(ISNUMBER($BB$481),$B$419=1),$BB$481,HLOOKUP(INDIRECT(ADDRESS(2,COLUMN())),OFFSET($BN$2,0,0,ROW()-1,60),ROW()-1,FALSE))</f>
        <v/>
      </c>
      <c r="BC21" t="str">
        <f ca="1">IF(AND(ISNUMBER($BC$481),$B$419=1),$BC$481,HLOOKUP(INDIRECT(ADDRESS(2,COLUMN())),OFFSET($BN$2,0,0,ROW()-1,60),ROW()-1,FALSE))</f>
        <v/>
      </c>
      <c r="BD21" t="str">
        <f ca="1">IF(AND(ISNUMBER($BD$481),$B$419=1),$BD$481,HLOOKUP(INDIRECT(ADDRESS(2,COLUMN())),OFFSET($BN$2,0,0,ROW()-1,60),ROW()-1,FALSE))</f>
        <v/>
      </c>
      <c r="BE21" t="str">
        <f ca="1">IF(AND(ISNUMBER($BE$481),$B$419=1),$BE$481,HLOOKUP(INDIRECT(ADDRESS(2,COLUMN())),OFFSET($BN$2,0,0,ROW()-1,60),ROW()-1,FALSE))</f>
        <v/>
      </c>
      <c r="BF21" t="str">
        <f ca="1">IF(AND(ISNUMBER($BF$481),$B$419=1),$BF$481,HLOOKUP(INDIRECT(ADDRESS(2,COLUMN())),OFFSET($BN$2,0,0,ROW()-1,60),ROW()-1,FALSE))</f>
        <v/>
      </c>
      <c r="BG21" t="str">
        <f ca="1">IF(AND(ISNUMBER($BG$481),$B$419=1),$BG$481,HLOOKUP(INDIRECT(ADDRESS(2,COLUMN())),OFFSET($BN$2,0,0,ROW()-1,60),ROW()-1,FALSE))</f>
        <v/>
      </c>
      <c r="BH21" t="str">
        <f ca="1">IF(AND(ISNUMBER($BH$481),$B$419=1),$BH$481,HLOOKUP(INDIRECT(ADDRESS(2,COLUMN())),OFFSET($BN$2,0,0,ROW()-1,60),ROW()-1,FALSE))</f>
        <v/>
      </c>
      <c r="BI21" t="str">
        <f ca="1">IF(AND(ISNUMBER($BI$481),$B$419=1),$BI$481,HLOOKUP(INDIRECT(ADDRESS(2,COLUMN())),OFFSET($BN$2,0,0,ROW()-1,60),ROW()-1,FALSE))</f>
        <v/>
      </c>
      <c r="BJ21" t="str">
        <f ca="1">IF(AND(ISNUMBER($BJ$481),$B$419=1),$BJ$481,HLOOKUP(INDIRECT(ADDRESS(2,COLUMN())),OFFSET($BN$2,0,0,ROW()-1,60),ROW()-1,FALSE))</f>
        <v/>
      </c>
      <c r="BK21" t="str">
        <f ca="1">IF(AND(ISNUMBER($BK$481),$B$419=1),$BK$481,HLOOKUP(INDIRECT(ADDRESS(2,COLUMN())),OFFSET($BN$2,0,0,ROW()-1,60),ROW()-1,FALSE))</f>
        <v/>
      </c>
      <c r="BL21" t="str">
        <f ca="1">IF(AND(ISNUMBER($BL$481),$B$419=1),$BL$481,HLOOKUP(INDIRECT(ADDRESS(2,COLUMN())),OFFSET($BN$2,0,0,ROW()-1,60),ROW()-1,FALSE))</f>
        <v/>
      </c>
      <c r="BM21" t="str">
        <f ca="1">IF(AND(ISNUMBER($BM$481),$B$419=1),$BM$481,HLOOKUP(INDIRECT(ADDRESS(2,COLUMN())),OFFSET($BN$2,0,0,ROW()-1,60),ROW()-1,FALSE))</f>
        <v/>
      </c>
      <c r="BN21" t="str">
        <f>""</f>
        <v/>
      </c>
      <c r="BO21">
        <f>247.113</f>
        <v>247.113</v>
      </c>
      <c r="BP21">
        <f>246.578</f>
        <v>246.578</v>
      </c>
      <c r="BQ21">
        <f>253.777</f>
        <v>253.77699999999999</v>
      </c>
      <c r="BR21">
        <f>249.621</f>
        <v>249.62100000000001</v>
      </c>
      <c r="BS21">
        <f>253.538</f>
        <v>253.53800000000001</v>
      </c>
      <c r="BT21">
        <f>247.859</f>
        <v>247.85900000000001</v>
      </c>
      <c r="BU21">
        <f>245.575</f>
        <v>245.57499999999999</v>
      </c>
      <c r="BV21">
        <f>251.146</f>
        <v>251.14599999999999</v>
      </c>
      <c r="BW21">
        <f>251.119</f>
        <v>251.119</v>
      </c>
      <c r="BX21">
        <f>245.829</f>
        <v>245.82900000000001</v>
      </c>
      <c r="BY21">
        <f>244.03</f>
        <v>244.03</v>
      </c>
      <c r="BZ21">
        <f>243.57</f>
        <v>243.57</v>
      </c>
      <c r="CA21">
        <f>242.74</f>
        <v>242.74</v>
      </c>
      <c r="CB21">
        <f>240.82</f>
        <v>240.82</v>
      </c>
      <c r="CC21">
        <f>239.987</f>
        <v>239.98699999999999</v>
      </c>
      <c r="CD21">
        <f>237.168</f>
        <v>237.16800000000001</v>
      </c>
      <c r="CE21">
        <f>233.643</f>
        <v>233.643</v>
      </c>
      <c r="CF21">
        <f>223.225</f>
        <v>223.22499999999999</v>
      </c>
      <c r="CG21">
        <f>216.296</f>
        <v>216.29599999999999</v>
      </c>
      <c r="CH21">
        <f>214.558</f>
        <v>214.55799999999999</v>
      </c>
      <c r="CI21">
        <f>222.019</f>
        <v>222.01900000000001</v>
      </c>
      <c r="CJ21">
        <f>220.243</f>
        <v>220.24299999999999</v>
      </c>
      <c r="CK21">
        <f>217.066</f>
        <v>217.066</v>
      </c>
      <c r="CL21">
        <f>218.27</f>
        <v>218.27</v>
      </c>
      <c r="CM21" t="str">
        <f>""</f>
        <v/>
      </c>
      <c r="CN21" t="str">
        <f>""</f>
        <v/>
      </c>
      <c r="CO21" t="str">
        <f>""</f>
        <v/>
      </c>
      <c r="CP21" t="str">
        <f>""</f>
        <v/>
      </c>
      <c r="CQ21" t="str">
        <f>""</f>
        <v/>
      </c>
      <c r="CR21" t="str">
        <f>""</f>
        <v/>
      </c>
      <c r="CS21" t="str">
        <f>""</f>
        <v/>
      </c>
      <c r="CT21" t="str">
        <f>""</f>
        <v/>
      </c>
      <c r="CU21" t="str">
        <f>""</f>
        <v/>
      </c>
      <c r="CV21" t="str">
        <f>""</f>
        <v/>
      </c>
      <c r="CW21" t="str">
        <f>""</f>
        <v/>
      </c>
      <c r="CX21" t="str">
        <f>""</f>
        <v/>
      </c>
      <c r="CY21" t="str">
        <f>""</f>
        <v/>
      </c>
      <c r="CZ21" t="str">
        <f>""</f>
        <v/>
      </c>
      <c r="DA21" t="str">
        <f>""</f>
        <v/>
      </c>
      <c r="DB21" t="str">
        <f>""</f>
        <v/>
      </c>
      <c r="DC21" t="str">
        <f>""</f>
        <v/>
      </c>
      <c r="DD21" t="str">
        <f>""</f>
        <v/>
      </c>
      <c r="DE21" t="str">
        <f>""</f>
        <v/>
      </c>
      <c r="DF21" t="str">
        <f>""</f>
        <v/>
      </c>
      <c r="DG21" t="str">
        <f>""</f>
        <v/>
      </c>
      <c r="DH21" t="str">
        <f>""</f>
        <v/>
      </c>
      <c r="DI21" t="str">
        <f>""</f>
        <v/>
      </c>
      <c r="DJ21" t="str">
        <f>""</f>
        <v/>
      </c>
      <c r="DK21" t="str">
        <f>""</f>
        <v/>
      </c>
      <c r="DL21" t="str">
        <f>""</f>
        <v/>
      </c>
      <c r="DM21" t="str">
        <f>""</f>
        <v/>
      </c>
      <c r="DN21" t="str">
        <f>""</f>
        <v/>
      </c>
      <c r="DO21" t="str">
        <f>""</f>
        <v/>
      </c>
      <c r="DP21" t="str">
        <f>""</f>
        <v/>
      </c>
      <c r="DQ21" t="str">
        <f>""</f>
        <v/>
      </c>
      <c r="DR21" t="str">
        <f>""</f>
        <v/>
      </c>
      <c r="DS21" t="str">
        <f>""</f>
        <v/>
      </c>
      <c r="DT21" t="str">
        <f>""</f>
        <v/>
      </c>
      <c r="DU21" t="str">
        <f>""</f>
        <v/>
      </c>
    </row>
    <row r="22" spans="1:125">
      <c r="A22" t="str">
        <f>"    CBL &amp; Associates Properties In"</f>
        <v xml:space="preserve">    CBL &amp; Associates Properties In</v>
      </c>
      <c r="B22" t="str">
        <f>"CBL US Equity"</f>
        <v>CBL US Equity</v>
      </c>
      <c r="C22" t="str">
        <f t="shared" si="3"/>
        <v>IM275</v>
      </c>
      <c r="D22" t="str">
        <f t="shared" si="4"/>
        <v>IS_OTHER_RENTAL_INCOME</v>
      </c>
      <c r="E22" t="str">
        <f t="shared" si="5"/>
        <v>动态</v>
      </c>
      <c r="F22" t="str">
        <f ca="1">IF(AND(ISNUMBER($F$482),$B$419=1),$F$482,HLOOKUP(INDIRECT(ADDRESS(2,COLUMN())),OFFSET($BN$2,0,0,ROW()-1,60),ROW()-1,FALSE))</f>
        <v/>
      </c>
      <c r="G22">
        <f ca="1">IF(AND(ISNUMBER($G$482),$B$419=1),$G$482,HLOOKUP(INDIRECT(ADDRESS(2,COLUMN())),OFFSET($BN$2,0,0,ROW()-1,60),ROW()-1,FALSE))</f>
        <v>7.8369999999999997</v>
      </c>
      <c r="H22">
        <f ca="1">IF(AND(ISNUMBER($H$482),$B$419=1),$H$482,HLOOKUP(INDIRECT(ADDRESS(2,COLUMN())),OFFSET($BN$2,0,0,ROW()-1,60),ROW()-1,FALSE))</f>
        <v>3.79</v>
      </c>
      <c r="I22">
        <f ca="1">IF(AND(ISNUMBER($I$482),$B$419=1),$I$482,HLOOKUP(INDIRECT(ADDRESS(2,COLUMN())),OFFSET($BN$2,0,0,ROW()-1,60),ROW()-1,FALSE))</f>
        <v>3.7290000000000001</v>
      </c>
      <c r="J22">
        <f ca="1">IF(AND(ISNUMBER($J$482),$B$419=1),$J$482,HLOOKUP(INDIRECT(ADDRESS(2,COLUMN())),OFFSET($BN$2,0,0,ROW()-1,60),ROW()-1,FALSE))</f>
        <v>3.6520000000000001</v>
      </c>
      <c r="K22">
        <f ca="1">IF(AND(ISNUMBER($K$482),$B$419=1),$K$482,HLOOKUP(INDIRECT(ADDRESS(2,COLUMN())),OFFSET($BN$2,0,0,ROW()-1,60),ROW()-1,FALSE))</f>
        <v>9.3629999999999995</v>
      </c>
      <c r="L22">
        <f ca="1">IF(AND(ISNUMBER($L$482),$B$419=1),$L$482,HLOOKUP(INDIRECT(ADDRESS(2,COLUMN())),OFFSET($BN$2,0,0,ROW()-1,60),ROW()-1,FALSE))</f>
        <v>3.8660000000000001</v>
      </c>
      <c r="M22">
        <f ca="1">IF(AND(ISNUMBER($M$482),$B$419=1),$M$482,HLOOKUP(INDIRECT(ADDRESS(2,COLUMN())),OFFSET($BN$2,0,0,ROW()-1,60),ROW()-1,FALSE))</f>
        <v>4.819</v>
      </c>
      <c r="N22">
        <f ca="1">IF(AND(ISNUMBER($N$482),$B$419=1),$N$482,HLOOKUP(INDIRECT(ADDRESS(2,COLUMN())),OFFSET($BN$2,0,0,ROW()-1,60),ROW()-1,FALSE))</f>
        <v>5.0620000000000003</v>
      </c>
      <c r="O22">
        <f ca="1">IF(AND(ISNUMBER($O$482),$B$419=1),$O$482,HLOOKUP(INDIRECT(ADDRESS(2,COLUMN())),OFFSET($BN$2,0,0,ROW()-1,60),ROW()-1,FALSE))</f>
        <v>8.1859999999999999</v>
      </c>
      <c r="P22">
        <f ca="1">IF(AND(ISNUMBER($P$482),$B$419=1),$P$482,HLOOKUP(INDIRECT(ADDRESS(2,COLUMN())),OFFSET($BN$2,0,0,ROW()-1,60),ROW()-1,FALSE))</f>
        <v>4.1559999999999997</v>
      </c>
      <c r="Q22">
        <f ca="1">IF(AND(ISNUMBER($Q$482),$B$419=1),$Q$482,HLOOKUP(INDIRECT(ADDRESS(2,COLUMN())),OFFSET($BN$2,0,0,ROW()-1,60),ROW()-1,FALSE))</f>
        <v>4.4210000000000003</v>
      </c>
      <c r="R22">
        <f ca="1">IF(AND(ISNUMBER($R$482),$B$419=1),$R$482,HLOOKUP(INDIRECT(ADDRESS(2,COLUMN())),OFFSET($BN$2,0,0,ROW()-1,60),ROW()-1,FALSE))</f>
        <v>5.1710000000000003</v>
      </c>
      <c r="S22">
        <f ca="1">IF(AND(ISNUMBER($S$482),$B$419=1),$S$482,HLOOKUP(INDIRECT(ADDRESS(2,COLUMN())),OFFSET($BN$2,0,0,ROW()-1,60),ROW()-1,FALSE))</f>
        <v>8.6059999999999999</v>
      </c>
      <c r="T22">
        <f ca="1">IF(AND(ISNUMBER($T$482),$B$419=1),$T$482,HLOOKUP(INDIRECT(ADDRESS(2,COLUMN())),OFFSET($BN$2,0,0,ROW()-1,60),ROW()-1,FALSE))</f>
        <v>3.8130000000000002</v>
      </c>
      <c r="U22">
        <f ca="1">IF(AND(ISNUMBER($U$482),$B$419=1),$U$482,HLOOKUP(INDIRECT(ADDRESS(2,COLUMN())),OFFSET($BN$2,0,0,ROW()-1,60),ROW()-1,FALSE))</f>
        <v>4.6130000000000004</v>
      </c>
      <c r="V22">
        <f ca="1">IF(AND(ISNUMBER($V$482),$B$419=1),$V$482,HLOOKUP(INDIRECT(ADDRESS(2,COLUMN())),OFFSET($BN$2,0,0,ROW()-1,60),ROW()-1,FALSE))</f>
        <v>5.282</v>
      </c>
      <c r="W22">
        <f ca="1">IF(AND(ISNUMBER($W$482),$B$419=1),$W$482,HLOOKUP(INDIRECT(ADDRESS(2,COLUMN())),OFFSET($BN$2,0,0,ROW()-1,60),ROW()-1,FALSE))</f>
        <v>8.4719999999999995</v>
      </c>
      <c r="X22">
        <f ca="1">IF(AND(ISNUMBER($X$482),$B$419=1),$X$482,HLOOKUP(INDIRECT(ADDRESS(2,COLUMN())),OFFSET($BN$2,0,0,ROW()-1,60),ROW()-1,FALSE))</f>
        <v>3.8370000000000002</v>
      </c>
      <c r="Y22">
        <f ca="1">IF(AND(ISNUMBER($Y$482),$B$419=1),$Y$482,HLOOKUP(INDIRECT(ADDRESS(2,COLUMN())),OFFSET($BN$2,0,0,ROW()-1,60),ROW()-1,FALSE))</f>
        <v>4.5209999999999999</v>
      </c>
      <c r="Z22">
        <f ca="1">IF(AND(ISNUMBER($Z$482),$B$419=1),$Z$482,HLOOKUP(INDIRECT(ADDRESS(2,COLUMN())),OFFSET($BN$2,0,0,ROW()-1,60),ROW()-1,FALSE))</f>
        <v>5.1440000000000001</v>
      </c>
      <c r="AA22">
        <f ca="1">IF(AND(ISNUMBER($AA$482),$B$419=1),$AA$482,HLOOKUP(INDIRECT(ADDRESS(2,COLUMN())),OFFSET($BN$2,0,0,ROW()-1,60),ROW()-1,FALSE))</f>
        <v>8.673</v>
      </c>
      <c r="AB22">
        <f ca="1">IF(AND(ISNUMBER($AB$482),$B$419=1),$AB$482,HLOOKUP(INDIRECT(ADDRESS(2,COLUMN())),OFFSET($BN$2,0,0,ROW()-1,60),ROW()-1,FALSE))</f>
        <v>3.653</v>
      </c>
      <c r="AC22">
        <f ca="1">IF(AND(ISNUMBER($AC$482),$B$419=1),$AC$482,HLOOKUP(INDIRECT(ADDRESS(2,COLUMN())),OFFSET($BN$2,0,0,ROW()-1,60),ROW()-1,FALSE))</f>
        <v>4.6639999999999997</v>
      </c>
      <c r="AD22">
        <f ca="1">IF(AND(ISNUMBER($AD$482),$B$419=1),$AD$482,HLOOKUP(INDIRECT(ADDRESS(2,COLUMN())),OFFSET($BN$2,0,0,ROW()-1,60),ROW()-1,FALSE))</f>
        <v>5.2859999999999996</v>
      </c>
      <c r="AE22">
        <f ca="1">IF(AND(ISNUMBER($AE$482),$B$419=1),$AE$482,HLOOKUP(INDIRECT(ADDRESS(2,COLUMN())),OFFSET($BN$2,0,0,ROW()-1,60),ROW()-1,FALSE))</f>
        <v>8.7430000000000003</v>
      </c>
      <c r="AF22">
        <f ca="1">IF(AND(ISNUMBER($AF$482),$B$419=1),$AF$482,HLOOKUP(INDIRECT(ADDRESS(2,COLUMN())),OFFSET($BN$2,0,0,ROW()-1,60),ROW()-1,FALSE))</f>
        <v>4.1749999999999998</v>
      </c>
      <c r="AG22">
        <f ca="1">IF(AND(ISNUMBER($AG$482),$B$419=1),$AG$482,HLOOKUP(INDIRECT(ADDRESS(2,COLUMN())),OFFSET($BN$2,0,0,ROW()-1,60),ROW()-1,FALSE))</f>
        <v>4.5819999999999999</v>
      </c>
      <c r="AH22">
        <f ca="1">IF(AND(ISNUMBER($AH$482),$B$419=1),$AH$482,HLOOKUP(INDIRECT(ADDRESS(2,COLUMN())),OFFSET($BN$2,0,0,ROW()-1,60),ROW()-1,FALSE))</f>
        <v>5.008</v>
      </c>
      <c r="AI22">
        <f ca="1">IF(AND(ISNUMBER($AI$482),$B$419=1),$AI$482,HLOOKUP(INDIRECT(ADDRESS(2,COLUMN())),OFFSET($BN$2,0,0,ROW()-1,60),ROW()-1,FALSE))</f>
        <v>9.35</v>
      </c>
      <c r="AJ22">
        <f ca="1">IF(AND(ISNUMBER($AJ$482),$B$419=1),$AJ$482,HLOOKUP(INDIRECT(ADDRESS(2,COLUMN())),OFFSET($BN$2,0,0,ROW()-1,60),ROW()-1,FALSE))</f>
        <v>4.2359999999999998</v>
      </c>
      <c r="AK22">
        <f ca="1">IF(AND(ISNUMBER($AK$482),$B$419=1),$AK$482,HLOOKUP(INDIRECT(ADDRESS(2,COLUMN())),OFFSET($BN$2,0,0,ROW()-1,60),ROW()-1,FALSE))</f>
        <v>4.5460000000000003</v>
      </c>
      <c r="AL22">
        <f ca="1">IF(AND(ISNUMBER($AL$482),$B$419=1),$AL$482,HLOOKUP(INDIRECT(ADDRESS(2,COLUMN())),OFFSET($BN$2,0,0,ROW()-1,60),ROW()-1,FALSE))</f>
        <v>4.5389999999999997</v>
      </c>
      <c r="AM22">
        <f ca="1">IF(AND(ISNUMBER($AM$482),$B$419=1),$AM$482,HLOOKUP(INDIRECT(ADDRESS(2,COLUMN())),OFFSET($BN$2,0,0,ROW()-1,60),ROW()-1,FALSE))</f>
        <v>8.9410000000000007</v>
      </c>
      <c r="AN22">
        <f ca="1">IF(AND(ISNUMBER($AN$482),$B$419=1),$AN$482,HLOOKUP(INDIRECT(ADDRESS(2,COLUMN())),OFFSET($BN$2,0,0,ROW()-1,60),ROW()-1,FALSE))</f>
        <v>3.3769999999999998</v>
      </c>
      <c r="AO22">
        <f ca="1">IF(AND(ISNUMBER($AO$482),$B$419=1),$AO$482,HLOOKUP(INDIRECT(ADDRESS(2,COLUMN())),OFFSET($BN$2,0,0,ROW()-1,60),ROW()-1,FALSE))</f>
        <v>4.1420000000000003</v>
      </c>
      <c r="AP22">
        <f ca="1">IF(AND(ISNUMBER($AP$482),$B$419=1),$AP$482,HLOOKUP(INDIRECT(ADDRESS(2,COLUMN())),OFFSET($BN$2,0,0,ROW()-1,60),ROW()-1,FALSE))</f>
        <v>4.28</v>
      </c>
      <c r="AQ22" t="str">
        <f ca="1">IF(AND(ISNUMBER($AQ$482),$B$419=1),$AQ$482,HLOOKUP(INDIRECT(ADDRESS(2,COLUMN())),OFFSET($BN$2,0,0,ROW()-1,60),ROW()-1,FALSE))</f>
        <v/>
      </c>
      <c r="AR22" t="str">
        <f ca="1">IF(AND(ISNUMBER($AR$482),$B$419=1),$AR$482,HLOOKUP(INDIRECT(ADDRESS(2,COLUMN())),OFFSET($BN$2,0,0,ROW()-1,60),ROW()-1,FALSE))</f>
        <v/>
      </c>
      <c r="AS22" t="str">
        <f ca="1">IF(AND(ISNUMBER($AS$482),$B$419=1),$AS$482,HLOOKUP(INDIRECT(ADDRESS(2,COLUMN())),OFFSET($BN$2,0,0,ROW()-1,60),ROW()-1,FALSE))</f>
        <v/>
      </c>
      <c r="AT22" t="str">
        <f ca="1">IF(AND(ISNUMBER($AT$482),$B$419=1),$AT$482,HLOOKUP(INDIRECT(ADDRESS(2,COLUMN())),OFFSET($BN$2,0,0,ROW()-1,60),ROW()-1,FALSE))</f>
        <v/>
      </c>
      <c r="AU22" t="str">
        <f ca="1">IF(AND(ISNUMBER($AU$482),$B$419=1),$AU$482,HLOOKUP(INDIRECT(ADDRESS(2,COLUMN())),OFFSET($BN$2,0,0,ROW()-1,60),ROW()-1,FALSE))</f>
        <v/>
      </c>
      <c r="AV22" t="str">
        <f ca="1">IF(AND(ISNUMBER($AV$482),$B$419=1),$AV$482,HLOOKUP(INDIRECT(ADDRESS(2,COLUMN())),OFFSET($BN$2,0,0,ROW()-1,60),ROW()-1,FALSE))</f>
        <v/>
      </c>
      <c r="AW22" t="str">
        <f ca="1">IF(AND(ISNUMBER($AW$482),$B$419=1),$AW$482,HLOOKUP(INDIRECT(ADDRESS(2,COLUMN())),OFFSET($BN$2,0,0,ROW()-1,60),ROW()-1,FALSE))</f>
        <v/>
      </c>
      <c r="AX22" t="str">
        <f ca="1">IF(AND(ISNUMBER($AX$482),$B$419=1),$AX$482,HLOOKUP(INDIRECT(ADDRESS(2,COLUMN())),OFFSET($BN$2,0,0,ROW()-1,60),ROW()-1,FALSE))</f>
        <v/>
      </c>
      <c r="AY22" t="str">
        <f ca="1">IF(AND(ISNUMBER($AY$482),$B$419=1),$AY$482,HLOOKUP(INDIRECT(ADDRESS(2,COLUMN())),OFFSET($BN$2,0,0,ROW()-1,60),ROW()-1,FALSE))</f>
        <v/>
      </c>
      <c r="AZ22" t="str">
        <f ca="1">IF(AND(ISNUMBER($AZ$482),$B$419=1),$AZ$482,HLOOKUP(INDIRECT(ADDRESS(2,COLUMN())),OFFSET($BN$2,0,0,ROW()-1,60),ROW()-1,FALSE))</f>
        <v/>
      </c>
      <c r="BA22" t="str">
        <f ca="1">IF(AND(ISNUMBER($BA$482),$B$419=1),$BA$482,HLOOKUP(INDIRECT(ADDRESS(2,COLUMN())),OFFSET($BN$2,0,0,ROW()-1,60),ROW()-1,FALSE))</f>
        <v/>
      </c>
      <c r="BB22" t="str">
        <f ca="1">IF(AND(ISNUMBER($BB$482),$B$419=1),$BB$482,HLOOKUP(INDIRECT(ADDRESS(2,COLUMN())),OFFSET($BN$2,0,0,ROW()-1,60),ROW()-1,FALSE))</f>
        <v/>
      </c>
      <c r="BC22" t="str">
        <f ca="1">IF(AND(ISNUMBER($BC$482),$B$419=1),$BC$482,HLOOKUP(INDIRECT(ADDRESS(2,COLUMN())),OFFSET($BN$2,0,0,ROW()-1,60),ROW()-1,FALSE))</f>
        <v/>
      </c>
      <c r="BD22" t="str">
        <f ca="1">IF(AND(ISNUMBER($BD$482),$B$419=1),$BD$482,HLOOKUP(INDIRECT(ADDRESS(2,COLUMN())),OFFSET($BN$2,0,0,ROW()-1,60),ROW()-1,FALSE))</f>
        <v/>
      </c>
      <c r="BE22" t="str">
        <f ca="1">IF(AND(ISNUMBER($BE$482),$B$419=1),$BE$482,HLOOKUP(INDIRECT(ADDRESS(2,COLUMN())),OFFSET($BN$2,0,0,ROW()-1,60),ROW()-1,FALSE))</f>
        <v/>
      </c>
      <c r="BF22" t="str">
        <f ca="1">IF(AND(ISNUMBER($BF$482),$B$419=1),$BF$482,HLOOKUP(INDIRECT(ADDRESS(2,COLUMN())),OFFSET($BN$2,0,0,ROW()-1,60),ROW()-1,FALSE))</f>
        <v/>
      </c>
      <c r="BG22" t="str">
        <f ca="1">IF(AND(ISNUMBER($BG$482),$B$419=1),$BG$482,HLOOKUP(INDIRECT(ADDRESS(2,COLUMN())),OFFSET($BN$2,0,0,ROW()-1,60),ROW()-1,FALSE))</f>
        <v/>
      </c>
      <c r="BH22" t="str">
        <f ca="1">IF(AND(ISNUMBER($BH$482),$B$419=1),$BH$482,HLOOKUP(INDIRECT(ADDRESS(2,COLUMN())),OFFSET($BN$2,0,0,ROW()-1,60),ROW()-1,FALSE))</f>
        <v/>
      </c>
      <c r="BI22" t="str">
        <f ca="1">IF(AND(ISNUMBER($BI$482),$B$419=1),$BI$482,HLOOKUP(INDIRECT(ADDRESS(2,COLUMN())),OFFSET($BN$2,0,0,ROW()-1,60),ROW()-1,FALSE))</f>
        <v/>
      </c>
      <c r="BJ22" t="str">
        <f ca="1">IF(AND(ISNUMBER($BJ$482),$B$419=1),$BJ$482,HLOOKUP(INDIRECT(ADDRESS(2,COLUMN())),OFFSET($BN$2,0,0,ROW()-1,60),ROW()-1,FALSE))</f>
        <v/>
      </c>
      <c r="BK22" t="str">
        <f ca="1">IF(AND(ISNUMBER($BK$482),$B$419=1),$BK$482,HLOOKUP(INDIRECT(ADDRESS(2,COLUMN())),OFFSET($BN$2,0,0,ROW()-1,60),ROW()-1,FALSE))</f>
        <v/>
      </c>
      <c r="BL22" t="str">
        <f ca="1">IF(AND(ISNUMBER($BL$482),$B$419=1),$BL$482,HLOOKUP(INDIRECT(ADDRESS(2,COLUMN())),OFFSET($BN$2,0,0,ROW()-1,60),ROW()-1,FALSE))</f>
        <v/>
      </c>
      <c r="BM22" t="str">
        <f ca="1">IF(AND(ISNUMBER($BM$482),$B$419=1),$BM$482,HLOOKUP(INDIRECT(ADDRESS(2,COLUMN())),OFFSET($BN$2,0,0,ROW()-1,60),ROW()-1,FALSE))</f>
        <v/>
      </c>
      <c r="BN22" t="str">
        <f>""</f>
        <v/>
      </c>
      <c r="BO22">
        <f>7.837</f>
        <v>7.8369999999999997</v>
      </c>
      <c r="BP22">
        <f>3.79</f>
        <v>3.79</v>
      </c>
      <c r="BQ22">
        <f>3.729</f>
        <v>3.7290000000000001</v>
      </c>
      <c r="BR22">
        <f>3.652</f>
        <v>3.6520000000000001</v>
      </c>
      <c r="BS22">
        <f>9.363</f>
        <v>9.3629999999999995</v>
      </c>
      <c r="BT22">
        <f>3.866</f>
        <v>3.8660000000000001</v>
      </c>
      <c r="BU22">
        <f>4.819</f>
        <v>4.819</v>
      </c>
      <c r="BV22">
        <f>5.062</f>
        <v>5.0620000000000003</v>
      </c>
      <c r="BW22">
        <f>8.186</f>
        <v>8.1859999999999999</v>
      </c>
      <c r="BX22">
        <f>4.156</f>
        <v>4.1559999999999997</v>
      </c>
      <c r="BY22">
        <f>4.421</f>
        <v>4.4210000000000003</v>
      </c>
      <c r="BZ22">
        <f>5.171</f>
        <v>5.1710000000000003</v>
      </c>
      <c r="CA22">
        <f>8.606</f>
        <v>8.6059999999999999</v>
      </c>
      <c r="CB22">
        <f>3.813</f>
        <v>3.8130000000000002</v>
      </c>
      <c r="CC22">
        <f>4.613</f>
        <v>4.6130000000000004</v>
      </c>
      <c r="CD22">
        <f>5.282</f>
        <v>5.282</v>
      </c>
      <c r="CE22">
        <f>8.472</f>
        <v>8.4719999999999995</v>
      </c>
      <c r="CF22">
        <f>3.837</f>
        <v>3.8370000000000002</v>
      </c>
      <c r="CG22">
        <f>4.521</f>
        <v>4.5209999999999999</v>
      </c>
      <c r="CH22">
        <f>5.144</f>
        <v>5.1440000000000001</v>
      </c>
      <c r="CI22">
        <f>8.673</f>
        <v>8.673</v>
      </c>
      <c r="CJ22">
        <f>3.653</f>
        <v>3.653</v>
      </c>
      <c r="CK22">
        <f>4.664</f>
        <v>4.6639999999999997</v>
      </c>
      <c r="CL22">
        <f>5.286</f>
        <v>5.2859999999999996</v>
      </c>
      <c r="CM22">
        <f>8.743</f>
        <v>8.7430000000000003</v>
      </c>
      <c r="CN22">
        <f>4.175</f>
        <v>4.1749999999999998</v>
      </c>
      <c r="CO22">
        <f>4.582</f>
        <v>4.5819999999999999</v>
      </c>
      <c r="CP22">
        <f>5.008</f>
        <v>5.008</v>
      </c>
      <c r="CQ22">
        <f>9.35</f>
        <v>9.35</v>
      </c>
      <c r="CR22">
        <f>4.236</f>
        <v>4.2359999999999998</v>
      </c>
      <c r="CS22">
        <f>4.546</f>
        <v>4.5460000000000003</v>
      </c>
      <c r="CT22">
        <f>4.539</f>
        <v>4.5389999999999997</v>
      </c>
      <c r="CU22">
        <f>8.941</f>
        <v>8.9410000000000007</v>
      </c>
      <c r="CV22">
        <f>3.377</f>
        <v>3.3769999999999998</v>
      </c>
      <c r="CW22">
        <f>4.142</f>
        <v>4.1420000000000003</v>
      </c>
      <c r="CX22">
        <f>4.28</f>
        <v>4.28</v>
      </c>
      <c r="CY22" t="str">
        <f>""</f>
        <v/>
      </c>
      <c r="CZ22" t="str">
        <f>""</f>
        <v/>
      </c>
      <c r="DA22" t="str">
        <f>""</f>
        <v/>
      </c>
      <c r="DB22" t="str">
        <f>""</f>
        <v/>
      </c>
      <c r="DC22" t="str">
        <f>""</f>
        <v/>
      </c>
      <c r="DD22" t="str">
        <f>""</f>
        <v/>
      </c>
      <c r="DE22" t="str">
        <f>""</f>
        <v/>
      </c>
      <c r="DF22" t="str">
        <f>""</f>
        <v/>
      </c>
      <c r="DG22" t="str">
        <f>""</f>
        <v/>
      </c>
      <c r="DH22" t="str">
        <f>""</f>
        <v/>
      </c>
      <c r="DI22" t="str">
        <f>""</f>
        <v/>
      </c>
      <c r="DJ22" t="str">
        <f>""</f>
        <v/>
      </c>
      <c r="DK22" t="str">
        <f>""</f>
        <v/>
      </c>
      <c r="DL22" t="str">
        <f>""</f>
        <v/>
      </c>
      <c r="DM22" t="str">
        <f>""</f>
        <v/>
      </c>
      <c r="DN22" t="str">
        <f>""</f>
        <v/>
      </c>
      <c r="DO22" t="str">
        <f>""</f>
        <v/>
      </c>
      <c r="DP22" t="str">
        <f>""</f>
        <v/>
      </c>
      <c r="DQ22" t="str">
        <f>""</f>
        <v/>
      </c>
      <c r="DR22" t="str">
        <f>""</f>
        <v/>
      </c>
      <c r="DS22" t="str">
        <f>""</f>
        <v/>
      </c>
      <c r="DT22" t="str">
        <f>""</f>
        <v/>
      </c>
      <c r="DU22" t="str">
        <f>""</f>
        <v/>
      </c>
    </row>
    <row r="23" spans="1:125">
      <c r="A23" t="str">
        <f>"    DDR Corp"</f>
        <v xml:space="preserve">    DDR Corp</v>
      </c>
      <c r="B23" t="str">
        <f>"DDR US Equity"</f>
        <v>DDR US Equity</v>
      </c>
      <c r="C23" t="str">
        <f t="shared" si="3"/>
        <v>IM275</v>
      </c>
      <c r="D23" t="str">
        <f t="shared" si="4"/>
        <v>IS_OTHER_RENTAL_INCOME</v>
      </c>
      <c r="E23" t="str">
        <f t="shared" si="5"/>
        <v>动态</v>
      </c>
      <c r="F23" t="str">
        <f ca="1">IF(AND(ISNUMBER($F$483),$B$419=1),$F$483,HLOOKUP(INDIRECT(ADDRESS(2,COLUMN())),OFFSET($BN$2,0,0,ROW()-1,60),ROW()-1,FALSE))</f>
        <v/>
      </c>
      <c r="G23">
        <f ca="1">IF(AND(ISNUMBER($G$483),$B$419=1),$G$483,HLOOKUP(INDIRECT(ADDRESS(2,COLUMN())),OFFSET($BN$2,0,0,ROW()-1,60),ROW()-1,FALSE))</f>
        <v>0</v>
      </c>
      <c r="H23">
        <f ca="1">IF(AND(ISNUMBER($H$483),$B$419=1),$H$483,HLOOKUP(INDIRECT(ADDRESS(2,COLUMN())),OFFSET($BN$2,0,0,ROW()-1,60),ROW()-1,FALSE))</f>
        <v>0</v>
      </c>
      <c r="I23">
        <f ca="1">IF(AND(ISNUMBER($I$483),$B$419=1),$I$483,HLOOKUP(INDIRECT(ADDRESS(2,COLUMN())),OFFSET($BN$2,0,0,ROW()-1,60),ROW()-1,FALSE))</f>
        <v>0</v>
      </c>
      <c r="J23">
        <f ca="1">IF(AND(ISNUMBER($J$483),$B$419=1),$J$483,HLOOKUP(INDIRECT(ADDRESS(2,COLUMN())),OFFSET($BN$2,0,0,ROW()-1,60),ROW()-1,FALSE))</f>
        <v>0</v>
      </c>
      <c r="K23">
        <f ca="1">IF(AND(ISNUMBER($K$483),$B$419=1),$K$483,HLOOKUP(INDIRECT(ADDRESS(2,COLUMN())),OFFSET($BN$2,0,0,ROW()-1,60),ROW()-1,FALSE))</f>
        <v>0</v>
      </c>
      <c r="L23">
        <f ca="1">IF(AND(ISNUMBER($L$483),$B$419=1),$L$483,HLOOKUP(INDIRECT(ADDRESS(2,COLUMN())),OFFSET($BN$2,0,0,ROW()-1,60),ROW()-1,FALSE))</f>
        <v>0</v>
      </c>
      <c r="M23">
        <f ca="1">IF(AND(ISNUMBER($M$483),$B$419=1),$M$483,HLOOKUP(INDIRECT(ADDRESS(2,COLUMN())),OFFSET($BN$2,0,0,ROW()-1,60),ROW()-1,FALSE))</f>
        <v>0</v>
      </c>
      <c r="N23">
        <f ca="1">IF(AND(ISNUMBER($N$483),$B$419=1),$N$483,HLOOKUP(INDIRECT(ADDRESS(2,COLUMN())),OFFSET($BN$2,0,0,ROW()-1,60),ROW()-1,FALSE))</f>
        <v>0</v>
      </c>
      <c r="O23">
        <f ca="1">IF(AND(ISNUMBER($O$483),$B$419=1),$O$483,HLOOKUP(INDIRECT(ADDRESS(2,COLUMN())),OFFSET($BN$2,0,0,ROW()-1,60),ROW()-1,FALSE))</f>
        <v>0</v>
      </c>
      <c r="P23">
        <f ca="1">IF(AND(ISNUMBER($P$483),$B$419=1),$P$483,HLOOKUP(INDIRECT(ADDRESS(2,COLUMN())),OFFSET($BN$2,0,0,ROW()-1,60),ROW()-1,FALSE))</f>
        <v>0</v>
      </c>
      <c r="Q23">
        <f ca="1">IF(AND(ISNUMBER($Q$483),$B$419=1),$Q$483,HLOOKUP(INDIRECT(ADDRESS(2,COLUMN())),OFFSET($BN$2,0,0,ROW()-1,60),ROW()-1,FALSE))</f>
        <v>0</v>
      </c>
      <c r="R23">
        <f ca="1">IF(AND(ISNUMBER($R$483),$B$419=1),$R$483,HLOOKUP(INDIRECT(ADDRESS(2,COLUMN())),OFFSET($BN$2,0,0,ROW()-1,60),ROW()-1,FALSE))</f>
        <v>0</v>
      </c>
      <c r="S23">
        <f ca="1">IF(AND(ISNUMBER($S$483),$B$419=1),$S$483,HLOOKUP(INDIRECT(ADDRESS(2,COLUMN())),OFFSET($BN$2,0,0,ROW()-1,60),ROW()-1,FALSE))</f>
        <v>0</v>
      </c>
      <c r="T23">
        <f ca="1">IF(AND(ISNUMBER($T$483),$B$419=1),$T$483,HLOOKUP(INDIRECT(ADDRESS(2,COLUMN())),OFFSET($BN$2,0,0,ROW()-1,60),ROW()-1,FALSE))</f>
        <v>0</v>
      </c>
      <c r="U23">
        <f ca="1">IF(AND(ISNUMBER($U$483),$B$419=1),$U$483,HLOOKUP(INDIRECT(ADDRESS(2,COLUMN())),OFFSET($BN$2,0,0,ROW()-1,60),ROW()-1,FALSE))</f>
        <v>0</v>
      </c>
      <c r="V23">
        <f ca="1">IF(AND(ISNUMBER($V$483),$B$419=1),$V$483,HLOOKUP(INDIRECT(ADDRESS(2,COLUMN())),OFFSET($BN$2,0,0,ROW()-1,60),ROW()-1,FALSE))</f>
        <v>0</v>
      </c>
      <c r="W23">
        <f ca="1">IF(AND(ISNUMBER($W$483),$B$419=1),$W$483,HLOOKUP(INDIRECT(ADDRESS(2,COLUMN())),OFFSET($BN$2,0,0,ROW()-1,60),ROW()-1,FALSE))</f>
        <v>0</v>
      </c>
      <c r="X23">
        <f ca="1">IF(AND(ISNUMBER($X$483),$B$419=1),$X$483,HLOOKUP(INDIRECT(ADDRESS(2,COLUMN())),OFFSET($BN$2,0,0,ROW()-1,60),ROW()-1,FALSE))</f>
        <v>0</v>
      </c>
      <c r="Y23">
        <f ca="1">IF(AND(ISNUMBER($Y$483),$B$419=1),$Y$483,HLOOKUP(INDIRECT(ADDRESS(2,COLUMN())),OFFSET($BN$2,0,0,ROW()-1,60),ROW()-1,FALSE))</f>
        <v>0</v>
      </c>
      <c r="Z23">
        <f ca="1">IF(AND(ISNUMBER($Z$483),$B$419=1),$Z$483,HLOOKUP(INDIRECT(ADDRESS(2,COLUMN())),OFFSET($BN$2,0,0,ROW()-1,60),ROW()-1,FALSE))</f>
        <v>0</v>
      </c>
      <c r="AA23">
        <f ca="1">IF(AND(ISNUMBER($AA$483),$B$419=1),$AA$483,HLOOKUP(INDIRECT(ADDRESS(2,COLUMN())),OFFSET($BN$2,0,0,ROW()-1,60),ROW()-1,FALSE))</f>
        <v>0</v>
      </c>
      <c r="AB23">
        <f ca="1">IF(AND(ISNUMBER($AB$483),$B$419=1),$AB$483,HLOOKUP(INDIRECT(ADDRESS(2,COLUMN())),OFFSET($BN$2,0,0,ROW()-1,60),ROW()-1,FALSE))</f>
        <v>0</v>
      </c>
      <c r="AC23">
        <f ca="1">IF(AND(ISNUMBER($AC$483),$B$419=1),$AC$483,HLOOKUP(INDIRECT(ADDRESS(2,COLUMN())),OFFSET($BN$2,0,0,ROW()-1,60),ROW()-1,FALSE))</f>
        <v>0</v>
      </c>
      <c r="AD23">
        <f ca="1">IF(AND(ISNUMBER($AD$483),$B$419=1),$AD$483,HLOOKUP(INDIRECT(ADDRESS(2,COLUMN())),OFFSET($BN$2,0,0,ROW()-1,60),ROW()-1,FALSE))</f>
        <v>0</v>
      </c>
      <c r="AE23">
        <f ca="1">IF(AND(ISNUMBER($AE$483),$B$419=1),$AE$483,HLOOKUP(INDIRECT(ADDRESS(2,COLUMN())),OFFSET($BN$2,0,0,ROW()-1,60),ROW()-1,FALSE))</f>
        <v>0</v>
      </c>
      <c r="AF23">
        <f ca="1">IF(AND(ISNUMBER($AF$483),$B$419=1),$AF$483,HLOOKUP(INDIRECT(ADDRESS(2,COLUMN())),OFFSET($BN$2,0,0,ROW()-1,60),ROW()-1,FALSE))</f>
        <v>0</v>
      </c>
      <c r="AG23">
        <f ca="1">IF(AND(ISNUMBER($AG$483),$B$419=1),$AG$483,HLOOKUP(INDIRECT(ADDRESS(2,COLUMN())),OFFSET($BN$2,0,0,ROW()-1,60),ROW()-1,FALSE))</f>
        <v>0</v>
      </c>
      <c r="AH23">
        <f ca="1">IF(AND(ISNUMBER($AH$483),$B$419=1),$AH$483,HLOOKUP(INDIRECT(ADDRESS(2,COLUMN())),OFFSET($BN$2,0,0,ROW()-1,60),ROW()-1,FALSE))</f>
        <v>0</v>
      </c>
      <c r="AI23">
        <f ca="1">IF(AND(ISNUMBER($AI$483),$B$419=1),$AI$483,HLOOKUP(INDIRECT(ADDRESS(2,COLUMN())),OFFSET($BN$2,0,0,ROW()-1,60),ROW()-1,FALSE))</f>
        <v>0</v>
      </c>
      <c r="AJ23">
        <f ca="1">IF(AND(ISNUMBER($AJ$483),$B$419=1),$AJ$483,HLOOKUP(INDIRECT(ADDRESS(2,COLUMN())),OFFSET($BN$2,0,0,ROW()-1,60),ROW()-1,FALSE))</f>
        <v>0</v>
      </c>
      <c r="AK23">
        <f ca="1">IF(AND(ISNUMBER($AK$483),$B$419=1),$AK$483,HLOOKUP(INDIRECT(ADDRESS(2,COLUMN())),OFFSET($BN$2,0,0,ROW()-1,60),ROW()-1,FALSE))</f>
        <v>0</v>
      </c>
      <c r="AL23">
        <f ca="1">IF(AND(ISNUMBER($AL$483),$B$419=1),$AL$483,HLOOKUP(INDIRECT(ADDRESS(2,COLUMN())),OFFSET($BN$2,0,0,ROW()-1,60),ROW()-1,FALSE))</f>
        <v>0</v>
      </c>
      <c r="AM23">
        <f ca="1">IF(AND(ISNUMBER($AM$483),$B$419=1),$AM$483,HLOOKUP(INDIRECT(ADDRESS(2,COLUMN())),OFFSET($BN$2,0,0,ROW()-1,60),ROW()-1,FALSE))</f>
        <v>0</v>
      </c>
      <c r="AN23">
        <f ca="1">IF(AND(ISNUMBER($AN$483),$B$419=1),$AN$483,HLOOKUP(INDIRECT(ADDRESS(2,COLUMN())),OFFSET($BN$2,0,0,ROW()-1,60),ROW()-1,FALSE))</f>
        <v>0</v>
      </c>
      <c r="AO23">
        <f ca="1">IF(AND(ISNUMBER($AO$483),$B$419=1),$AO$483,HLOOKUP(INDIRECT(ADDRESS(2,COLUMN())),OFFSET($BN$2,0,0,ROW()-1,60),ROW()-1,FALSE))</f>
        <v>0</v>
      </c>
      <c r="AP23">
        <f ca="1">IF(AND(ISNUMBER($AP$483),$B$419=1),$AP$483,HLOOKUP(INDIRECT(ADDRESS(2,COLUMN())),OFFSET($BN$2,0,0,ROW()-1,60),ROW()-1,FALSE))</f>
        <v>0</v>
      </c>
      <c r="AQ23" t="str">
        <f ca="1">IF(AND(ISNUMBER($AQ$483),$B$419=1),$AQ$483,HLOOKUP(INDIRECT(ADDRESS(2,COLUMN())),OFFSET($BN$2,0,0,ROW()-1,60),ROW()-1,FALSE))</f>
        <v/>
      </c>
      <c r="AR23" t="str">
        <f ca="1">IF(AND(ISNUMBER($AR$483),$B$419=1),$AR$483,HLOOKUP(INDIRECT(ADDRESS(2,COLUMN())),OFFSET($BN$2,0,0,ROW()-1,60),ROW()-1,FALSE))</f>
        <v/>
      </c>
      <c r="AS23" t="str">
        <f ca="1">IF(AND(ISNUMBER($AS$483),$B$419=1),$AS$483,HLOOKUP(INDIRECT(ADDRESS(2,COLUMN())),OFFSET($BN$2,0,0,ROW()-1,60),ROW()-1,FALSE))</f>
        <v/>
      </c>
      <c r="AT23" t="str">
        <f ca="1">IF(AND(ISNUMBER($AT$483),$B$419=1),$AT$483,HLOOKUP(INDIRECT(ADDRESS(2,COLUMN())),OFFSET($BN$2,0,0,ROW()-1,60),ROW()-1,FALSE))</f>
        <v/>
      </c>
      <c r="AU23" t="str">
        <f ca="1">IF(AND(ISNUMBER($AU$483),$B$419=1),$AU$483,HLOOKUP(INDIRECT(ADDRESS(2,COLUMN())),OFFSET($BN$2,0,0,ROW()-1,60),ROW()-1,FALSE))</f>
        <v/>
      </c>
      <c r="AV23" t="str">
        <f ca="1">IF(AND(ISNUMBER($AV$483),$B$419=1),$AV$483,HLOOKUP(INDIRECT(ADDRESS(2,COLUMN())),OFFSET($BN$2,0,0,ROW()-1,60),ROW()-1,FALSE))</f>
        <v/>
      </c>
      <c r="AW23" t="str">
        <f ca="1">IF(AND(ISNUMBER($AW$483),$B$419=1),$AW$483,HLOOKUP(INDIRECT(ADDRESS(2,COLUMN())),OFFSET($BN$2,0,0,ROW()-1,60),ROW()-1,FALSE))</f>
        <v/>
      </c>
      <c r="AX23" t="str">
        <f ca="1">IF(AND(ISNUMBER($AX$483),$B$419=1),$AX$483,HLOOKUP(INDIRECT(ADDRESS(2,COLUMN())),OFFSET($BN$2,0,0,ROW()-1,60),ROW()-1,FALSE))</f>
        <v/>
      </c>
      <c r="AY23" t="str">
        <f ca="1">IF(AND(ISNUMBER($AY$483),$B$419=1),$AY$483,HLOOKUP(INDIRECT(ADDRESS(2,COLUMN())),OFFSET($BN$2,0,0,ROW()-1,60),ROW()-1,FALSE))</f>
        <v/>
      </c>
      <c r="AZ23" t="str">
        <f ca="1">IF(AND(ISNUMBER($AZ$483),$B$419=1),$AZ$483,HLOOKUP(INDIRECT(ADDRESS(2,COLUMN())),OFFSET($BN$2,0,0,ROW()-1,60),ROW()-1,FALSE))</f>
        <v/>
      </c>
      <c r="BA23" t="str">
        <f ca="1">IF(AND(ISNUMBER($BA$483),$B$419=1),$BA$483,HLOOKUP(INDIRECT(ADDRESS(2,COLUMN())),OFFSET($BN$2,0,0,ROW()-1,60),ROW()-1,FALSE))</f>
        <v/>
      </c>
      <c r="BB23" t="str">
        <f ca="1">IF(AND(ISNUMBER($BB$483),$B$419=1),$BB$483,HLOOKUP(INDIRECT(ADDRESS(2,COLUMN())),OFFSET($BN$2,0,0,ROW()-1,60),ROW()-1,FALSE))</f>
        <v/>
      </c>
      <c r="BC23" t="str">
        <f ca="1">IF(AND(ISNUMBER($BC$483),$B$419=1),$BC$483,HLOOKUP(INDIRECT(ADDRESS(2,COLUMN())),OFFSET($BN$2,0,0,ROW()-1,60),ROW()-1,FALSE))</f>
        <v/>
      </c>
      <c r="BD23" t="str">
        <f ca="1">IF(AND(ISNUMBER($BD$483),$B$419=1),$BD$483,HLOOKUP(INDIRECT(ADDRESS(2,COLUMN())),OFFSET($BN$2,0,0,ROW()-1,60),ROW()-1,FALSE))</f>
        <v/>
      </c>
      <c r="BE23" t="str">
        <f ca="1">IF(AND(ISNUMBER($BE$483),$B$419=1),$BE$483,HLOOKUP(INDIRECT(ADDRESS(2,COLUMN())),OFFSET($BN$2,0,0,ROW()-1,60),ROW()-1,FALSE))</f>
        <v/>
      </c>
      <c r="BF23" t="str">
        <f ca="1">IF(AND(ISNUMBER($BF$483),$B$419=1),$BF$483,HLOOKUP(INDIRECT(ADDRESS(2,COLUMN())),OFFSET($BN$2,0,0,ROW()-1,60),ROW()-1,FALSE))</f>
        <v/>
      </c>
      <c r="BG23" t="str">
        <f ca="1">IF(AND(ISNUMBER($BG$483),$B$419=1),$BG$483,HLOOKUP(INDIRECT(ADDRESS(2,COLUMN())),OFFSET($BN$2,0,0,ROW()-1,60),ROW()-1,FALSE))</f>
        <v/>
      </c>
      <c r="BH23" t="str">
        <f ca="1">IF(AND(ISNUMBER($BH$483),$B$419=1),$BH$483,HLOOKUP(INDIRECT(ADDRESS(2,COLUMN())),OFFSET($BN$2,0,0,ROW()-1,60),ROW()-1,FALSE))</f>
        <v/>
      </c>
      <c r="BI23" t="str">
        <f ca="1">IF(AND(ISNUMBER($BI$483),$B$419=1),$BI$483,HLOOKUP(INDIRECT(ADDRESS(2,COLUMN())),OFFSET($BN$2,0,0,ROW()-1,60),ROW()-1,FALSE))</f>
        <v/>
      </c>
      <c r="BJ23" t="str">
        <f ca="1">IF(AND(ISNUMBER($BJ$483),$B$419=1),$BJ$483,HLOOKUP(INDIRECT(ADDRESS(2,COLUMN())),OFFSET($BN$2,0,0,ROW()-1,60),ROW()-1,FALSE))</f>
        <v/>
      </c>
      <c r="BK23" t="str">
        <f ca="1">IF(AND(ISNUMBER($BK$483),$B$419=1),$BK$483,HLOOKUP(INDIRECT(ADDRESS(2,COLUMN())),OFFSET($BN$2,0,0,ROW()-1,60),ROW()-1,FALSE))</f>
        <v/>
      </c>
      <c r="BL23" t="str">
        <f ca="1">IF(AND(ISNUMBER($BL$483),$B$419=1),$BL$483,HLOOKUP(INDIRECT(ADDRESS(2,COLUMN())),OFFSET($BN$2,0,0,ROW()-1,60),ROW()-1,FALSE))</f>
        <v/>
      </c>
      <c r="BM23" t="str">
        <f ca="1">IF(AND(ISNUMBER($BM$483),$B$419=1),$BM$483,HLOOKUP(INDIRECT(ADDRESS(2,COLUMN())),OFFSET($BN$2,0,0,ROW()-1,60),ROW()-1,FALSE))</f>
        <v/>
      </c>
      <c r="BN23" t="str">
        <f>""</f>
        <v/>
      </c>
      <c r="BO23">
        <f>0</f>
        <v>0</v>
      </c>
      <c r="BP23">
        <f>0</f>
        <v>0</v>
      </c>
      <c r="BQ23">
        <f>0</f>
        <v>0</v>
      </c>
      <c r="BR23">
        <f>0</f>
        <v>0</v>
      </c>
      <c r="BS23">
        <f>0</f>
        <v>0</v>
      </c>
      <c r="BT23">
        <f>0</f>
        <v>0</v>
      </c>
      <c r="BU23">
        <f>0</f>
        <v>0</v>
      </c>
      <c r="BV23">
        <f>0</f>
        <v>0</v>
      </c>
      <c r="BW23">
        <f>0</f>
        <v>0</v>
      </c>
      <c r="BX23">
        <f>0</f>
        <v>0</v>
      </c>
      <c r="BY23">
        <f>0</f>
        <v>0</v>
      </c>
      <c r="BZ23">
        <f>0</f>
        <v>0</v>
      </c>
      <c r="CA23">
        <f>0</f>
        <v>0</v>
      </c>
      <c r="CB23">
        <f>0</f>
        <v>0</v>
      </c>
      <c r="CC23">
        <f>0</f>
        <v>0</v>
      </c>
      <c r="CD23">
        <f>0</f>
        <v>0</v>
      </c>
      <c r="CE23">
        <f>0</f>
        <v>0</v>
      </c>
      <c r="CF23">
        <f>0</f>
        <v>0</v>
      </c>
      <c r="CG23">
        <f>0</f>
        <v>0</v>
      </c>
      <c r="CH23">
        <f>0</f>
        <v>0</v>
      </c>
      <c r="CI23">
        <f>0</f>
        <v>0</v>
      </c>
      <c r="CJ23">
        <f>0</f>
        <v>0</v>
      </c>
      <c r="CK23">
        <f>0</f>
        <v>0</v>
      </c>
      <c r="CL23">
        <f>0</f>
        <v>0</v>
      </c>
      <c r="CM23">
        <f>0</f>
        <v>0</v>
      </c>
      <c r="CN23">
        <f>0</f>
        <v>0</v>
      </c>
      <c r="CO23">
        <f>0</f>
        <v>0</v>
      </c>
      <c r="CP23">
        <f>0</f>
        <v>0</v>
      </c>
      <c r="CQ23">
        <f>0</f>
        <v>0</v>
      </c>
      <c r="CR23">
        <f>0</f>
        <v>0</v>
      </c>
      <c r="CS23">
        <f>0</f>
        <v>0</v>
      </c>
      <c r="CT23">
        <f>0</f>
        <v>0</v>
      </c>
      <c r="CU23">
        <f>0</f>
        <v>0</v>
      </c>
      <c r="CV23">
        <f>0</f>
        <v>0</v>
      </c>
      <c r="CW23">
        <f>0</f>
        <v>0</v>
      </c>
      <c r="CX23">
        <f>0</f>
        <v>0</v>
      </c>
      <c r="CY23" t="str">
        <f>""</f>
        <v/>
      </c>
      <c r="CZ23" t="str">
        <f>""</f>
        <v/>
      </c>
      <c r="DA23" t="str">
        <f>""</f>
        <v/>
      </c>
      <c r="DB23" t="str">
        <f>""</f>
        <v/>
      </c>
      <c r="DC23" t="str">
        <f>""</f>
        <v/>
      </c>
      <c r="DD23" t="str">
        <f>""</f>
        <v/>
      </c>
      <c r="DE23" t="str">
        <f>""</f>
        <v/>
      </c>
      <c r="DF23" t="str">
        <f>""</f>
        <v/>
      </c>
      <c r="DG23" t="str">
        <f>""</f>
        <v/>
      </c>
      <c r="DH23" t="str">
        <f>""</f>
        <v/>
      </c>
      <c r="DI23" t="str">
        <f>""</f>
        <v/>
      </c>
      <c r="DJ23" t="str">
        <f>""</f>
        <v/>
      </c>
      <c r="DK23" t="str">
        <f>""</f>
        <v/>
      </c>
      <c r="DL23" t="str">
        <f>""</f>
        <v/>
      </c>
      <c r="DM23" t="str">
        <f>""</f>
        <v/>
      </c>
      <c r="DN23" t="str">
        <f>""</f>
        <v/>
      </c>
      <c r="DO23" t="str">
        <f>""</f>
        <v/>
      </c>
      <c r="DP23" t="str">
        <f>""</f>
        <v/>
      </c>
      <c r="DQ23" t="str">
        <f>""</f>
        <v/>
      </c>
      <c r="DR23" t="str">
        <f>""</f>
        <v/>
      </c>
      <c r="DS23" t="str">
        <f>""</f>
        <v/>
      </c>
      <c r="DT23" t="str">
        <f>""</f>
        <v/>
      </c>
      <c r="DU23" t="str">
        <f>""</f>
        <v/>
      </c>
    </row>
    <row r="24" spans="1:125">
      <c r="A24" t="str">
        <f>"    Federal Realty Investment Trus"</f>
        <v xml:space="preserve">    Federal Realty Investment Trus</v>
      </c>
      <c r="B24" t="str">
        <f>"FRT US Equity"</f>
        <v>FRT US Equity</v>
      </c>
      <c r="C24" t="str">
        <f t="shared" si="3"/>
        <v>IM275</v>
      </c>
      <c r="D24" t="str">
        <f t="shared" si="4"/>
        <v>IS_OTHER_RENTAL_INCOME</v>
      </c>
      <c r="E24" t="str">
        <f t="shared" si="5"/>
        <v>动态</v>
      </c>
      <c r="F24" t="str">
        <f ca="1">IF(AND(ISNUMBER($F$484),$B$419=1),$F$484,HLOOKUP(INDIRECT(ADDRESS(2,COLUMN())),OFFSET($BN$2,0,0,ROW()-1,60),ROW()-1,FALSE))</f>
        <v/>
      </c>
      <c r="G24">
        <f ca="1">IF(AND(ISNUMBER($G$484),$B$419=1),$G$484,HLOOKUP(INDIRECT(ADDRESS(2,COLUMN())),OFFSET($BN$2,0,0,ROW()-1,60),ROW()-1,FALSE))</f>
        <v>51.673000000000002</v>
      </c>
      <c r="H24">
        <f ca="1">IF(AND(ISNUMBER($H$484),$B$419=1),$H$484,HLOOKUP(INDIRECT(ADDRESS(2,COLUMN())),OFFSET($BN$2,0,0,ROW()-1,60),ROW()-1,FALSE))</f>
        <v>47.936</v>
      </c>
      <c r="I24">
        <f ca="1">IF(AND(ISNUMBER($I$484),$B$419=1),$I$484,HLOOKUP(INDIRECT(ADDRESS(2,COLUMN())),OFFSET($BN$2,0,0,ROW()-1,60),ROW()-1,FALSE))</f>
        <v>44.131999999999998</v>
      </c>
      <c r="J24">
        <f ca="1">IF(AND(ISNUMBER($J$484),$B$419=1),$J$484,HLOOKUP(INDIRECT(ADDRESS(2,COLUMN())),OFFSET($BN$2,0,0,ROW()-1,60),ROW()-1,FALSE))</f>
        <v>45.978000000000002</v>
      </c>
      <c r="K24">
        <f ca="1">IF(AND(ISNUMBER($K$484),$B$419=1),$K$484,HLOOKUP(INDIRECT(ADDRESS(2,COLUMN())),OFFSET($BN$2,0,0,ROW()-1,60),ROW()-1,FALSE))</f>
        <v>44.246000000000002</v>
      </c>
      <c r="L24">
        <f ca="1">IF(AND(ISNUMBER($L$484),$B$419=1),$L$484,HLOOKUP(INDIRECT(ADDRESS(2,COLUMN())),OFFSET($BN$2,0,0,ROW()-1,60),ROW()-1,FALSE))</f>
        <v>45.259</v>
      </c>
      <c r="M24">
        <f ca="1">IF(AND(ISNUMBER($M$484),$B$419=1),$M$484,HLOOKUP(INDIRECT(ADDRESS(2,COLUMN())),OFFSET($BN$2,0,0,ROW()-1,60),ROW()-1,FALSE))</f>
        <v>40.880000000000003</v>
      </c>
      <c r="N24">
        <f ca="1">IF(AND(ISNUMBER($N$484),$B$419=1),$N$484,HLOOKUP(INDIRECT(ADDRESS(2,COLUMN())),OFFSET($BN$2,0,0,ROW()-1,60),ROW()-1,FALSE))</f>
        <v>46.204000000000001</v>
      </c>
      <c r="O24">
        <f ca="1">IF(AND(ISNUMBER($O$484),$B$419=1),$O$484,HLOOKUP(INDIRECT(ADDRESS(2,COLUMN())),OFFSET($BN$2,0,0,ROW()-1,60),ROW()-1,FALSE))</f>
        <v>42.566000000000003</v>
      </c>
      <c r="P24">
        <f ca="1">IF(AND(ISNUMBER($P$484),$B$419=1),$P$484,HLOOKUP(INDIRECT(ADDRESS(2,COLUMN())),OFFSET($BN$2,0,0,ROW()-1,60),ROW()-1,FALSE))</f>
        <v>39.872</v>
      </c>
      <c r="Q24">
        <f ca="1">IF(AND(ISNUMBER($Q$484),$B$419=1),$Q$484,HLOOKUP(INDIRECT(ADDRESS(2,COLUMN())),OFFSET($BN$2,0,0,ROW()-1,60),ROW()-1,FALSE))</f>
        <v>37.139000000000003</v>
      </c>
      <c r="R24">
        <f ca="1">IF(AND(ISNUMBER($R$484),$B$419=1),$R$484,HLOOKUP(INDIRECT(ADDRESS(2,COLUMN())),OFFSET($BN$2,0,0,ROW()-1,60),ROW()-1,FALSE))</f>
        <v>43.701999999999998</v>
      </c>
      <c r="S24">
        <f ca="1">IF(AND(ISNUMBER($S$484),$B$419=1),$S$484,HLOOKUP(INDIRECT(ADDRESS(2,COLUMN())),OFFSET($BN$2,0,0,ROW()-1,60),ROW()-1,FALSE))</f>
        <v>36.606000000000002</v>
      </c>
      <c r="T24">
        <f ca="1">IF(AND(ISNUMBER($T$484),$B$419=1),$T$484,HLOOKUP(INDIRECT(ADDRESS(2,COLUMN())),OFFSET($BN$2,0,0,ROW()-1,60),ROW()-1,FALSE))</f>
        <v>35.697000000000003</v>
      </c>
      <c r="U24">
        <f ca="1">IF(AND(ISNUMBER($U$484),$B$419=1),$U$484,HLOOKUP(INDIRECT(ADDRESS(2,COLUMN())),OFFSET($BN$2,0,0,ROW()-1,60),ROW()-1,FALSE))</f>
        <v>34.966000000000001</v>
      </c>
      <c r="V24">
        <f ca="1">IF(AND(ISNUMBER($V$484),$B$419=1),$V$484,HLOOKUP(INDIRECT(ADDRESS(2,COLUMN())),OFFSET($BN$2,0,0,ROW()-1,60),ROW()-1,FALSE))</f>
        <v>40.183</v>
      </c>
      <c r="W24">
        <f ca="1">IF(AND(ISNUMBER($W$484),$B$419=1),$W$484,HLOOKUP(INDIRECT(ADDRESS(2,COLUMN())),OFFSET($BN$2,0,0,ROW()-1,60),ROW()-1,FALSE))</f>
        <v>35.823</v>
      </c>
      <c r="X24">
        <f ca="1">IF(AND(ISNUMBER($X$484),$B$419=1),$X$484,HLOOKUP(INDIRECT(ADDRESS(2,COLUMN())),OFFSET($BN$2,0,0,ROW()-1,60),ROW()-1,FALSE))</f>
        <v>33.271999999999998</v>
      </c>
      <c r="Y24">
        <f ca="1">IF(AND(ISNUMBER($Y$484),$B$419=1),$Y$484,HLOOKUP(INDIRECT(ADDRESS(2,COLUMN())),OFFSET($BN$2,0,0,ROW()-1,60),ROW()-1,FALSE))</f>
        <v>31.39</v>
      </c>
      <c r="Z24">
        <f ca="1">IF(AND(ISNUMBER($Z$484),$B$419=1),$Z$484,HLOOKUP(INDIRECT(ADDRESS(2,COLUMN())),OFFSET($BN$2,0,0,ROW()-1,60),ROW()-1,FALSE))</f>
        <v>33.284999999999997</v>
      </c>
      <c r="AA24">
        <f ca="1">IF(AND(ISNUMBER($AA$484),$B$419=1),$AA$484,HLOOKUP(INDIRECT(ADDRESS(2,COLUMN())),OFFSET($BN$2,0,0,ROW()-1,60),ROW()-1,FALSE))</f>
        <v>32.770000000000003</v>
      </c>
      <c r="AB24">
        <f ca="1">IF(AND(ISNUMBER($AB$484),$B$419=1),$AB$484,HLOOKUP(INDIRECT(ADDRESS(2,COLUMN())),OFFSET($BN$2,0,0,ROW()-1,60),ROW()-1,FALSE))</f>
        <v>32.387999999999998</v>
      </c>
      <c r="AC24">
        <f ca="1">IF(AND(ISNUMBER($AC$484),$B$419=1),$AC$484,HLOOKUP(INDIRECT(ADDRESS(2,COLUMN())),OFFSET($BN$2,0,0,ROW()-1,60),ROW()-1,FALSE))</f>
        <v>28.856999999999999</v>
      </c>
      <c r="AD24">
        <f ca="1">IF(AND(ISNUMBER($AD$484),$B$419=1),$AD$484,HLOOKUP(INDIRECT(ADDRESS(2,COLUMN())),OFFSET($BN$2,0,0,ROW()-1,60),ROW()-1,FALSE))</f>
        <v>29.158999999999999</v>
      </c>
      <c r="AE24">
        <f ca="1">IF(AND(ISNUMBER($AE$484),$B$419=1),$AE$484,HLOOKUP(INDIRECT(ADDRESS(2,COLUMN())),OFFSET($BN$2,0,0,ROW()-1,60),ROW()-1,FALSE))</f>
        <v>29.093</v>
      </c>
      <c r="AF24">
        <f ca="1">IF(AND(ISNUMBER($AF$484),$B$419=1),$AF$484,HLOOKUP(INDIRECT(ADDRESS(2,COLUMN())),OFFSET($BN$2,0,0,ROW()-1,60),ROW()-1,FALSE))</f>
        <v>27.940999999999999</v>
      </c>
      <c r="AG24">
        <f ca="1">IF(AND(ISNUMBER($AG$484),$B$419=1),$AG$484,HLOOKUP(INDIRECT(ADDRESS(2,COLUMN())),OFFSET($BN$2,0,0,ROW()-1,60),ROW()-1,FALSE))</f>
        <v>27.550999999999998</v>
      </c>
      <c r="AH24">
        <f ca="1">IF(AND(ISNUMBER($AH$484),$B$419=1),$AH$484,HLOOKUP(INDIRECT(ADDRESS(2,COLUMN())),OFFSET($BN$2,0,0,ROW()-1,60),ROW()-1,FALSE))</f>
        <v>30.782</v>
      </c>
      <c r="AI24">
        <f ca="1">IF(AND(ISNUMBER($AI$484),$B$419=1),$AI$484,HLOOKUP(INDIRECT(ADDRESS(2,COLUMN())),OFFSET($BN$2,0,0,ROW()-1,60),ROW()-1,FALSE))</f>
        <v>28.6</v>
      </c>
      <c r="AJ24">
        <f ca="1">IF(AND(ISNUMBER($AJ$484),$B$419=1),$AJ$484,HLOOKUP(INDIRECT(ADDRESS(2,COLUMN())),OFFSET($BN$2,0,0,ROW()-1,60),ROW()-1,FALSE))</f>
        <v>28.189</v>
      </c>
      <c r="AK24">
        <f ca="1">IF(AND(ISNUMBER($AK$484),$B$419=1),$AK$484,HLOOKUP(INDIRECT(ADDRESS(2,COLUMN())),OFFSET($BN$2,0,0,ROW()-1,60),ROW()-1,FALSE))</f>
        <v>28.507999999999999</v>
      </c>
      <c r="AL24">
        <f ca="1">IF(AND(ISNUMBER($AL$484),$B$419=1),$AL$484,HLOOKUP(INDIRECT(ADDRESS(2,COLUMN())),OFFSET($BN$2,0,0,ROW()-1,60),ROW()-1,FALSE))</f>
        <v>30.751000000000001</v>
      </c>
      <c r="AM24">
        <f ca="1">IF(AND(ISNUMBER($AM$484),$B$419=1),$AM$484,HLOOKUP(INDIRECT(ADDRESS(2,COLUMN())),OFFSET($BN$2,0,0,ROW()-1,60),ROW()-1,FALSE))</f>
        <v>31.995000000000001</v>
      </c>
      <c r="AN24">
        <f ca="1">IF(AND(ISNUMBER($AN$484),$B$419=1),$AN$484,HLOOKUP(INDIRECT(ADDRESS(2,COLUMN())),OFFSET($BN$2,0,0,ROW()-1,60),ROW()-1,FALSE))</f>
        <v>26.391999999999999</v>
      </c>
      <c r="AO24">
        <f ca="1">IF(AND(ISNUMBER($AO$484),$B$419=1),$AO$484,HLOOKUP(INDIRECT(ADDRESS(2,COLUMN())),OFFSET($BN$2,0,0,ROW()-1,60),ROW()-1,FALSE))</f>
        <v>26.343</v>
      </c>
      <c r="AP24">
        <f ca="1">IF(AND(ISNUMBER($AP$484),$B$419=1),$AP$484,HLOOKUP(INDIRECT(ADDRESS(2,COLUMN())),OFFSET($BN$2,0,0,ROW()-1,60),ROW()-1,FALSE))</f>
        <v>26.916</v>
      </c>
      <c r="AQ24" t="str">
        <f ca="1">IF(AND(ISNUMBER($AQ$484),$B$419=1),$AQ$484,HLOOKUP(INDIRECT(ADDRESS(2,COLUMN())),OFFSET($BN$2,0,0,ROW()-1,60),ROW()-1,FALSE))</f>
        <v/>
      </c>
      <c r="AR24" t="str">
        <f ca="1">IF(AND(ISNUMBER($AR$484),$B$419=1),$AR$484,HLOOKUP(INDIRECT(ADDRESS(2,COLUMN())),OFFSET($BN$2,0,0,ROW()-1,60),ROW()-1,FALSE))</f>
        <v/>
      </c>
      <c r="AS24" t="str">
        <f ca="1">IF(AND(ISNUMBER($AS$484),$B$419=1),$AS$484,HLOOKUP(INDIRECT(ADDRESS(2,COLUMN())),OFFSET($BN$2,0,0,ROW()-1,60),ROW()-1,FALSE))</f>
        <v/>
      </c>
      <c r="AT24" t="str">
        <f ca="1">IF(AND(ISNUMBER($AT$484),$B$419=1),$AT$484,HLOOKUP(INDIRECT(ADDRESS(2,COLUMN())),OFFSET($BN$2,0,0,ROW()-1,60),ROW()-1,FALSE))</f>
        <v/>
      </c>
      <c r="AU24" t="str">
        <f ca="1">IF(AND(ISNUMBER($AU$484),$B$419=1),$AU$484,HLOOKUP(INDIRECT(ADDRESS(2,COLUMN())),OFFSET($BN$2,0,0,ROW()-1,60),ROW()-1,FALSE))</f>
        <v/>
      </c>
      <c r="AV24" t="str">
        <f ca="1">IF(AND(ISNUMBER($AV$484),$B$419=1),$AV$484,HLOOKUP(INDIRECT(ADDRESS(2,COLUMN())),OFFSET($BN$2,0,0,ROW()-1,60),ROW()-1,FALSE))</f>
        <v/>
      </c>
      <c r="AW24" t="str">
        <f ca="1">IF(AND(ISNUMBER($AW$484),$B$419=1),$AW$484,HLOOKUP(INDIRECT(ADDRESS(2,COLUMN())),OFFSET($BN$2,0,0,ROW()-1,60),ROW()-1,FALSE))</f>
        <v/>
      </c>
      <c r="AX24" t="str">
        <f ca="1">IF(AND(ISNUMBER($AX$484),$B$419=1),$AX$484,HLOOKUP(INDIRECT(ADDRESS(2,COLUMN())),OFFSET($BN$2,0,0,ROW()-1,60),ROW()-1,FALSE))</f>
        <v/>
      </c>
      <c r="AY24" t="str">
        <f ca="1">IF(AND(ISNUMBER($AY$484),$B$419=1),$AY$484,HLOOKUP(INDIRECT(ADDRESS(2,COLUMN())),OFFSET($BN$2,0,0,ROW()-1,60),ROW()-1,FALSE))</f>
        <v/>
      </c>
      <c r="AZ24" t="str">
        <f ca="1">IF(AND(ISNUMBER($AZ$484),$B$419=1),$AZ$484,HLOOKUP(INDIRECT(ADDRESS(2,COLUMN())),OFFSET($BN$2,0,0,ROW()-1,60),ROW()-1,FALSE))</f>
        <v/>
      </c>
      <c r="BA24" t="str">
        <f ca="1">IF(AND(ISNUMBER($BA$484),$B$419=1),$BA$484,HLOOKUP(INDIRECT(ADDRESS(2,COLUMN())),OFFSET($BN$2,0,0,ROW()-1,60),ROW()-1,FALSE))</f>
        <v/>
      </c>
      <c r="BB24" t="str">
        <f ca="1">IF(AND(ISNUMBER($BB$484),$B$419=1),$BB$484,HLOOKUP(INDIRECT(ADDRESS(2,COLUMN())),OFFSET($BN$2,0,0,ROW()-1,60),ROW()-1,FALSE))</f>
        <v/>
      </c>
      <c r="BC24" t="str">
        <f ca="1">IF(AND(ISNUMBER($BC$484),$B$419=1),$BC$484,HLOOKUP(INDIRECT(ADDRESS(2,COLUMN())),OFFSET($BN$2,0,0,ROW()-1,60),ROW()-1,FALSE))</f>
        <v/>
      </c>
      <c r="BD24" t="str">
        <f ca="1">IF(AND(ISNUMBER($BD$484),$B$419=1),$BD$484,HLOOKUP(INDIRECT(ADDRESS(2,COLUMN())),OFFSET($BN$2,0,0,ROW()-1,60),ROW()-1,FALSE))</f>
        <v/>
      </c>
      <c r="BE24" t="str">
        <f ca="1">IF(AND(ISNUMBER($BE$484),$B$419=1),$BE$484,HLOOKUP(INDIRECT(ADDRESS(2,COLUMN())),OFFSET($BN$2,0,0,ROW()-1,60),ROW()-1,FALSE))</f>
        <v/>
      </c>
      <c r="BF24" t="str">
        <f ca="1">IF(AND(ISNUMBER($BF$484),$B$419=1),$BF$484,HLOOKUP(INDIRECT(ADDRESS(2,COLUMN())),OFFSET($BN$2,0,0,ROW()-1,60),ROW()-1,FALSE))</f>
        <v/>
      </c>
      <c r="BG24" t="str">
        <f ca="1">IF(AND(ISNUMBER($BG$484),$B$419=1),$BG$484,HLOOKUP(INDIRECT(ADDRESS(2,COLUMN())),OFFSET($BN$2,0,0,ROW()-1,60),ROW()-1,FALSE))</f>
        <v/>
      </c>
      <c r="BH24" t="str">
        <f ca="1">IF(AND(ISNUMBER($BH$484),$B$419=1),$BH$484,HLOOKUP(INDIRECT(ADDRESS(2,COLUMN())),OFFSET($BN$2,0,0,ROW()-1,60),ROW()-1,FALSE))</f>
        <v/>
      </c>
      <c r="BI24" t="str">
        <f ca="1">IF(AND(ISNUMBER($BI$484),$B$419=1),$BI$484,HLOOKUP(INDIRECT(ADDRESS(2,COLUMN())),OFFSET($BN$2,0,0,ROW()-1,60),ROW()-1,FALSE))</f>
        <v/>
      </c>
      <c r="BJ24" t="str">
        <f ca="1">IF(AND(ISNUMBER($BJ$484),$B$419=1),$BJ$484,HLOOKUP(INDIRECT(ADDRESS(2,COLUMN())),OFFSET($BN$2,0,0,ROW()-1,60),ROW()-1,FALSE))</f>
        <v/>
      </c>
      <c r="BK24" t="str">
        <f ca="1">IF(AND(ISNUMBER($BK$484),$B$419=1),$BK$484,HLOOKUP(INDIRECT(ADDRESS(2,COLUMN())),OFFSET($BN$2,0,0,ROW()-1,60),ROW()-1,FALSE))</f>
        <v/>
      </c>
      <c r="BL24" t="str">
        <f ca="1">IF(AND(ISNUMBER($BL$484),$B$419=1),$BL$484,HLOOKUP(INDIRECT(ADDRESS(2,COLUMN())),OFFSET($BN$2,0,0,ROW()-1,60),ROW()-1,FALSE))</f>
        <v/>
      </c>
      <c r="BM24" t="str">
        <f ca="1">IF(AND(ISNUMBER($BM$484),$B$419=1),$BM$484,HLOOKUP(INDIRECT(ADDRESS(2,COLUMN())),OFFSET($BN$2,0,0,ROW()-1,60),ROW()-1,FALSE))</f>
        <v/>
      </c>
      <c r="BN24" t="str">
        <f>""</f>
        <v/>
      </c>
      <c r="BO24">
        <f>51.673</f>
        <v>51.673000000000002</v>
      </c>
      <c r="BP24">
        <f>47.936</f>
        <v>47.936</v>
      </c>
      <c r="BQ24">
        <f>44.132</f>
        <v>44.131999999999998</v>
      </c>
      <c r="BR24">
        <f>45.978</f>
        <v>45.978000000000002</v>
      </c>
      <c r="BS24">
        <f>44.246</f>
        <v>44.246000000000002</v>
      </c>
      <c r="BT24">
        <f>45.259</f>
        <v>45.259</v>
      </c>
      <c r="BU24">
        <f>40.88</f>
        <v>40.880000000000003</v>
      </c>
      <c r="BV24">
        <f>46.204</f>
        <v>46.204000000000001</v>
      </c>
      <c r="BW24">
        <f>42.566</f>
        <v>42.566000000000003</v>
      </c>
      <c r="BX24">
        <f>39.872</f>
        <v>39.872</v>
      </c>
      <c r="BY24">
        <f>37.139</f>
        <v>37.139000000000003</v>
      </c>
      <c r="BZ24">
        <f>43.702</f>
        <v>43.701999999999998</v>
      </c>
      <c r="CA24">
        <f>36.606</f>
        <v>36.606000000000002</v>
      </c>
      <c r="CB24">
        <f>35.697</f>
        <v>35.697000000000003</v>
      </c>
      <c r="CC24">
        <f>34.966</f>
        <v>34.966000000000001</v>
      </c>
      <c r="CD24">
        <f>40.183</f>
        <v>40.183</v>
      </c>
      <c r="CE24">
        <f>35.823</f>
        <v>35.823</v>
      </c>
      <c r="CF24">
        <f>33.272</f>
        <v>33.271999999999998</v>
      </c>
      <c r="CG24">
        <f>31.39</f>
        <v>31.39</v>
      </c>
      <c r="CH24">
        <f>33.285</f>
        <v>33.284999999999997</v>
      </c>
      <c r="CI24">
        <f>32.77</f>
        <v>32.770000000000003</v>
      </c>
      <c r="CJ24">
        <f>32.388</f>
        <v>32.387999999999998</v>
      </c>
      <c r="CK24">
        <f>28.857</f>
        <v>28.856999999999999</v>
      </c>
      <c r="CL24">
        <f>29.159</f>
        <v>29.158999999999999</v>
      </c>
      <c r="CM24">
        <f>29.093</f>
        <v>29.093</v>
      </c>
      <c r="CN24">
        <f>27.941</f>
        <v>27.940999999999999</v>
      </c>
      <c r="CO24">
        <f>27.551</f>
        <v>27.550999999999998</v>
      </c>
      <c r="CP24">
        <f>30.782</f>
        <v>30.782</v>
      </c>
      <c r="CQ24">
        <f>28.6</f>
        <v>28.6</v>
      </c>
      <c r="CR24">
        <f>28.189</f>
        <v>28.189</v>
      </c>
      <c r="CS24">
        <f>28.508</f>
        <v>28.507999999999999</v>
      </c>
      <c r="CT24">
        <f>30.751</f>
        <v>30.751000000000001</v>
      </c>
      <c r="CU24">
        <f>31.995</f>
        <v>31.995000000000001</v>
      </c>
      <c r="CV24">
        <f>26.392</f>
        <v>26.391999999999999</v>
      </c>
      <c r="CW24">
        <f>26.343</f>
        <v>26.343</v>
      </c>
      <c r="CX24">
        <f>26.916</f>
        <v>26.916</v>
      </c>
      <c r="CY24" t="str">
        <f>""</f>
        <v/>
      </c>
      <c r="CZ24" t="str">
        <f>""</f>
        <v/>
      </c>
      <c r="DA24" t="str">
        <f>""</f>
        <v/>
      </c>
      <c r="DB24" t="str">
        <f>""</f>
        <v/>
      </c>
      <c r="DC24" t="str">
        <f>""</f>
        <v/>
      </c>
      <c r="DD24" t="str">
        <f>""</f>
        <v/>
      </c>
      <c r="DE24" t="str">
        <f>""</f>
        <v/>
      </c>
      <c r="DF24" t="str">
        <f>""</f>
        <v/>
      </c>
      <c r="DG24" t="str">
        <f>""</f>
        <v/>
      </c>
      <c r="DH24" t="str">
        <f>""</f>
        <v/>
      </c>
      <c r="DI24" t="str">
        <f>""</f>
        <v/>
      </c>
      <c r="DJ24" t="str">
        <f>""</f>
        <v/>
      </c>
      <c r="DK24" t="str">
        <f>""</f>
        <v/>
      </c>
      <c r="DL24" t="str">
        <f>""</f>
        <v/>
      </c>
      <c r="DM24" t="str">
        <f>""</f>
        <v/>
      </c>
      <c r="DN24" t="str">
        <f>""</f>
        <v/>
      </c>
      <c r="DO24" t="str">
        <f>""</f>
        <v/>
      </c>
      <c r="DP24" t="str">
        <f>""</f>
        <v/>
      </c>
      <c r="DQ24" t="str">
        <f>""</f>
        <v/>
      </c>
      <c r="DR24" t="str">
        <f>""</f>
        <v/>
      </c>
      <c r="DS24" t="str">
        <f>""</f>
        <v/>
      </c>
      <c r="DT24" t="str">
        <f>""</f>
        <v/>
      </c>
      <c r="DU24" t="str">
        <f>""</f>
        <v/>
      </c>
    </row>
    <row r="25" spans="1:125">
      <c r="A25" t="str">
        <f>"    Kimco Realty Corp"</f>
        <v xml:space="preserve">    Kimco Realty Corp</v>
      </c>
      <c r="B25" t="str">
        <f>"KIM US Equity"</f>
        <v>KIM US Equity</v>
      </c>
      <c r="C25" t="str">
        <f t="shared" si="3"/>
        <v>IM275</v>
      </c>
      <c r="D25" t="str">
        <f t="shared" si="4"/>
        <v>IS_OTHER_RENTAL_INCOME</v>
      </c>
      <c r="E25" t="str">
        <f t="shared" si="5"/>
        <v>动态</v>
      </c>
      <c r="F25" t="str">
        <f ca="1">IF(AND(ISNUMBER($F$485),$B$419=1),$F$485,HLOOKUP(INDIRECT(ADDRESS(2,COLUMN())),OFFSET($BN$2,0,0,ROW()-1,60),ROW()-1,FALSE))</f>
        <v/>
      </c>
      <c r="G25" t="str">
        <f ca="1">IF(AND(ISNUMBER($G$485),$B$419=1),$G$485,HLOOKUP(INDIRECT(ADDRESS(2,COLUMN())),OFFSET($BN$2,0,0,ROW()-1,60),ROW()-1,FALSE))</f>
        <v/>
      </c>
      <c r="H25" t="str">
        <f ca="1">IF(AND(ISNUMBER($H$485),$B$419=1),$H$485,HLOOKUP(INDIRECT(ADDRESS(2,COLUMN())),OFFSET($BN$2,0,0,ROW()-1,60),ROW()-1,FALSE))</f>
        <v/>
      </c>
      <c r="I25" t="str">
        <f ca="1">IF(AND(ISNUMBER($I$485),$B$419=1),$I$485,HLOOKUP(INDIRECT(ADDRESS(2,COLUMN())),OFFSET($BN$2,0,0,ROW()-1,60),ROW()-1,FALSE))</f>
        <v/>
      </c>
      <c r="J25" t="str">
        <f ca="1">IF(AND(ISNUMBER($J$485),$B$419=1),$J$485,HLOOKUP(INDIRECT(ADDRESS(2,COLUMN())),OFFSET($BN$2,0,0,ROW()-1,60),ROW()-1,FALSE))</f>
        <v/>
      </c>
      <c r="K25" t="str">
        <f ca="1">IF(AND(ISNUMBER($K$485),$B$419=1),$K$485,HLOOKUP(INDIRECT(ADDRESS(2,COLUMN())),OFFSET($BN$2,0,0,ROW()-1,60),ROW()-1,FALSE))</f>
        <v/>
      </c>
      <c r="L25" t="str">
        <f ca="1">IF(AND(ISNUMBER($L$485),$B$419=1),$L$485,HLOOKUP(INDIRECT(ADDRESS(2,COLUMN())),OFFSET($BN$2,0,0,ROW()-1,60),ROW()-1,FALSE))</f>
        <v/>
      </c>
      <c r="M25" t="str">
        <f ca="1">IF(AND(ISNUMBER($M$485),$B$419=1),$M$485,HLOOKUP(INDIRECT(ADDRESS(2,COLUMN())),OFFSET($BN$2,0,0,ROW()-1,60),ROW()-1,FALSE))</f>
        <v/>
      </c>
      <c r="N25" t="str">
        <f ca="1">IF(AND(ISNUMBER($N$485),$B$419=1),$N$485,HLOOKUP(INDIRECT(ADDRESS(2,COLUMN())),OFFSET($BN$2,0,0,ROW()-1,60),ROW()-1,FALSE))</f>
        <v/>
      </c>
      <c r="O25" t="str">
        <f ca="1">IF(AND(ISNUMBER($O$485),$B$419=1),$O$485,HLOOKUP(INDIRECT(ADDRESS(2,COLUMN())),OFFSET($BN$2,0,0,ROW()-1,60),ROW()-1,FALSE))</f>
        <v/>
      </c>
      <c r="P25" t="str">
        <f ca="1">IF(AND(ISNUMBER($P$485),$B$419=1),$P$485,HLOOKUP(INDIRECT(ADDRESS(2,COLUMN())),OFFSET($BN$2,0,0,ROW()-1,60),ROW()-1,FALSE))</f>
        <v/>
      </c>
      <c r="Q25" t="str">
        <f ca="1">IF(AND(ISNUMBER($Q$485),$B$419=1),$Q$485,HLOOKUP(INDIRECT(ADDRESS(2,COLUMN())),OFFSET($BN$2,0,0,ROW()-1,60),ROW()-1,FALSE))</f>
        <v/>
      </c>
      <c r="R25" t="str">
        <f ca="1">IF(AND(ISNUMBER($R$485),$B$419=1),$R$485,HLOOKUP(INDIRECT(ADDRESS(2,COLUMN())),OFFSET($BN$2,0,0,ROW()-1,60),ROW()-1,FALSE))</f>
        <v/>
      </c>
      <c r="S25" t="str">
        <f ca="1">IF(AND(ISNUMBER($S$485),$B$419=1),$S$485,HLOOKUP(INDIRECT(ADDRESS(2,COLUMN())),OFFSET($BN$2,0,0,ROW()-1,60),ROW()-1,FALSE))</f>
        <v/>
      </c>
      <c r="T25" t="str">
        <f ca="1">IF(AND(ISNUMBER($T$485),$B$419=1),$T$485,HLOOKUP(INDIRECT(ADDRESS(2,COLUMN())),OFFSET($BN$2,0,0,ROW()-1,60),ROW()-1,FALSE))</f>
        <v/>
      </c>
      <c r="U25" t="str">
        <f ca="1">IF(AND(ISNUMBER($U$485),$B$419=1),$U$485,HLOOKUP(INDIRECT(ADDRESS(2,COLUMN())),OFFSET($BN$2,0,0,ROW()-1,60),ROW()-1,FALSE))</f>
        <v/>
      </c>
      <c r="V25" t="str">
        <f ca="1">IF(AND(ISNUMBER($V$485),$B$419=1),$V$485,HLOOKUP(INDIRECT(ADDRESS(2,COLUMN())),OFFSET($BN$2,0,0,ROW()-1,60),ROW()-1,FALSE))</f>
        <v/>
      </c>
      <c r="W25" t="str">
        <f ca="1">IF(AND(ISNUMBER($W$485),$B$419=1),$W$485,HLOOKUP(INDIRECT(ADDRESS(2,COLUMN())),OFFSET($BN$2,0,0,ROW()-1,60),ROW()-1,FALSE))</f>
        <v/>
      </c>
      <c r="X25" t="str">
        <f ca="1">IF(AND(ISNUMBER($X$485),$B$419=1),$X$485,HLOOKUP(INDIRECT(ADDRESS(2,COLUMN())),OFFSET($BN$2,0,0,ROW()-1,60),ROW()-1,FALSE))</f>
        <v/>
      </c>
      <c r="Y25" t="str">
        <f ca="1">IF(AND(ISNUMBER($Y$485),$B$419=1),$Y$485,HLOOKUP(INDIRECT(ADDRESS(2,COLUMN())),OFFSET($BN$2,0,0,ROW()-1,60),ROW()-1,FALSE))</f>
        <v/>
      </c>
      <c r="Z25" t="str">
        <f ca="1">IF(AND(ISNUMBER($Z$485),$B$419=1),$Z$485,HLOOKUP(INDIRECT(ADDRESS(2,COLUMN())),OFFSET($BN$2,0,0,ROW()-1,60),ROW()-1,FALSE))</f>
        <v/>
      </c>
      <c r="AA25" t="str">
        <f ca="1">IF(AND(ISNUMBER($AA$485),$B$419=1),$AA$485,HLOOKUP(INDIRECT(ADDRESS(2,COLUMN())),OFFSET($BN$2,0,0,ROW()-1,60),ROW()-1,FALSE))</f>
        <v/>
      </c>
      <c r="AB25" t="str">
        <f ca="1">IF(AND(ISNUMBER($AB$485),$B$419=1),$AB$485,HLOOKUP(INDIRECT(ADDRESS(2,COLUMN())),OFFSET($BN$2,0,0,ROW()-1,60),ROW()-1,FALSE))</f>
        <v/>
      </c>
      <c r="AC25" t="str">
        <f ca="1">IF(AND(ISNUMBER($AC$485),$B$419=1),$AC$485,HLOOKUP(INDIRECT(ADDRESS(2,COLUMN())),OFFSET($BN$2,0,0,ROW()-1,60),ROW()-1,FALSE))</f>
        <v/>
      </c>
      <c r="AD25" t="str">
        <f ca="1">IF(AND(ISNUMBER($AD$485),$B$419=1),$AD$485,HLOOKUP(INDIRECT(ADDRESS(2,COLUMN())),OFFSET($BN$2,0,0,ROW()-1,60),ROW()-1,FALSE))</f>
        <v/>
      </c>
      <c r="AE25" t="str">
        <f ca="1">IF(AND(ISNUMBER($AE$485),$B$419=1),$AE$485,HLOOKUP(INDIRECT(ADDRESS(2,COLUMN())),OFFSET($BN$2,0,0,ROW()-1,60),ROW()-1,FALSE))</f>
        <v/>
      </c>
      <c r="AF25" t="str">
        <f ca="1">IF(AND(ISNUMBER($AF$485),$B$419=1),$AF$485,HLOOKUP(INDIRECT(ADDRESS(2,COLUMN())),OFFSET($BN$2,0,0,ROW()-1,60),ROW()-1,FALSE))</f>
        <v/>
      </c>
      <c r="AG25" t="str">
        <f ca="1">IF(AND(ISNUMBER($AG$485),$B$419=1),$AG$485,HLOOKUP(INDIRECT(ADDRESS(2,COLUMN())),OFFSET($BN$2,0,0,ROW()-1,60),ROW()-1,FALSE))</f>
        <v/>
      </c>
      <c r="AH25" t="str">
        <f ca="1">IF(AND(ISNUMBER($AH$485),$B$419=1),$AH$485,HLOOKUP(INDIRECT(ADDRESS(2,COLUMN())),OFFSET($BN$2,0,0,ROW()-1,60),ROW()-1,FALSE))</f>
        <v/>
      </c>
      <c r="AI25" t="str">
        <f ca="1">IF(AND(ISNUMBER($AI$485),$B$419=1),$AI$485,HLOOKUP(INDIRECT(ADDRESS(2,COLUMN())),OFFSET($BN$2,0,0,ROW()-1,60),ROW()-1,FALSE))</f>
        <v/>
      </c>
      <c r="AJ25" t="str">
        <f ca="1">IF(AND(ISNUMBER($AJ$485),$B$419=1),$AJ$485,HLOOKUP(INDIRECT(ADDRESS(2,COLUMN())),OFFSET($BN$2,0,0,ROW()-1,60),ROW()-1,FALSE))</f>
        <v/>
      </c>
      <c r="AK25" t="str">
        <f ca="1">IF(AND(ISNUMBER($AK$485),$B$419=1),$AK$485,HLOOKUP(INDIRECT(ADDRESS(2,COLUMN())),OFFSET($BN$2,0,0,ROW()-1,60),ROW()-1,FALSE))</f>
        <v/>
      </c>
      <c r="AL25" t="str">
        <f ca="1">IF(AND(ISNUMBER($AL$485),$B$419=1),$AL$485,HLOOKUP(INDIRECT(ADDRESS(2,COLUMN())),OFFSET($BN$2,0,0,ROW()-1,60),ROW()-1,FALSE))</f>
        <v/>
      </c>
      <c r="AM25" t="str">
        <f ca="1">IF(AND(ISNUMBER($AM$485),$B$419=1),$AM$485,HLOOKUP(INDIRECT(ADDRESS(2,COLUMN())),OFFSET($BN$2,0,0,ROW()-1,60),ROW()-1,FALSE))</f>
        <v/>
      </c>
      <c r="AN25" t="str">
        <f ca="1">IF(AND(ISNUMBER($AN$485),$B$419=1),$AN$485,HLOOKUP(INDIRECT(ADDRESS(2,COLUMN())),OFFSET($BN$2,0,0,ROW()-1,60),ROW()-1,FALSE))</f>
        <v/>
      </c>
      <c r="AO25" t="str">
        <f ca="1">IF(AND(ISNUMBER($AO$485),$B$419=1),$AO$485,HLOOKUP(INDIRECT(ADDRESS(2,COLUMN())),OFFSET($BN$2,0,0,ROW()-1,60),ROW()-1,FALSE))</f>
        <v/>
      </c>
      <c r="AP25" t="str">
        <f ca="1">IF(AND(ISNUMBER($AP$485),$B$419=1),$AP$485,HLOOKUP(INDIRECT(ADDRESS(2,COLUMN())),OFFSET($BN$2,0,0,ROW()-1,60),ROW()-1,FALSE))</f>
        <v/>
      </c>
      <c r="AQ25" t="str">
        <f ca="1">IF(AND(ISNUMBER($AQ$485),$B$419=1),$AQ$485,HLOOKUP(INDIRECT(ADDRESS(2,COLUMN())),OFFSET($BN$2,0,0,ROW()-1,60),ROW()-1,FALSE))</f>
        <v/>
      </c>
      <c r="AR25" t="str">
        <f ca="1">IF(AND(ISNUMBER($AR$485),$B$419=1),$AR$485,HLOOKUP(INDIRECT(ADDRESS(2,COLUMN())),OFFSET($BN$2,0,0,ROW()-1,60),ROW()-1,FALSE))</f>
        <v/>
      </c>
      <c r="AS25" t="str">
        <f ca="1">IF(AND(ISNUMBER($AS$485),$B$419=1),$AS$485,HLOOKUP(INDIRECT(ADDRESS(2,COLUMN())),OFFSET($BN$2,0,0,ROW()-1,60),ROW()-1,FALSE))</f>
        <v/>
      </c>
      <c r="AT25" t="str">
        <f ca="1">IF(AND(ISNUMBER($AT$485),$B$419=1),$AT$485,HLOOKUP(INDIRECT(ADDRESS(2,COLUMN())),OFFSET($BN$2,0,0,ROW()-1,60),ROW()-1,FALSE))</f>
        <v/>
      </c>
      <c r="AU25" t="str">
        <f ca="1">IF(AND(ISNUMBER($AU$485),$B$419=1),$AU$485,HLOOKUP(INDIRECT(ADDRESS(2,COLUMN())),OFFSET($BN$2,0,0,ROW()-1,60),ROW()-1,FALSE))</f>
        <v/>
      </c>
      <c r="AV25" t="str">
        <f ca="1">IF(AND(ISNUMBER($AV$485),$B$419=1),$AV$485,HLOOKUP(INDIRECT(ADDRESS(2,COLUMN())),OFFSET($BN$2,0,0,ROW()-1,60),ROW()-1,FALSE))</f>
        <v/>
      </c>
      <c r="AW25" t="str">
        <f ca="1">IF(AND(ISNUMBER($AW$485),$B$419=1),$AW$485,HLOOKUP(INDIRECT(ADDRESS(2,COLUMN())),OFFSET($BN$2,0,0,ROW()-1,60),ROW()-1,FALSE))</f>
        <v/>
      </c>
      <c r="AX25" t="str">
        <f ca="1">IF(AND(ISNUMBER($AX$485),$B$419=1),$AX$485,HLOOKUP(INDIRECT(ADDRESS(2,COLUMN())),OFFSET($BN$2,0,0,ROW()-1,60),ROW()-1,FALSE))</f>
        <v/>
      </c>
      <c r="AY25" t="str">
        <f ca="1">IF(AND(ISNUMBER($AY$485),$B$419=1),$AY$485,HLOOKUP(INDIRECT(ADDRESS(2,COLUMN())),OFFSET($BN$2,0,0,ROW()-1,60),ROW()-1,FALSE))</f>
        <v/>
      </c>
      <c r="AZ25" t="str">
        <f ca="1">IF(AND(ISNUMBER($AZ$485),$B$419=1),$AZ$485,HLOOKUP(INDIRECT(ADDRESS(2,COLUMN())),OFFSET($BN$2,0,0,ROW()-1,60),ROW()-1,FALSE))</f>
        <v/>
      </c>
      <c r="BA25" t="str">
        <f ca="1">IF(AND(ISNUMBER($BA$485),$B$419=1),$BA$485,HLOOKUP(INDIRECT(ADDRESS(2,COLUMN())),OFFSET($BN$2,0,0,ROW()-1,60),ROW()-1,FALSE))</f>
        <v/>
      </c>
      <c r="BB25" t="str">
        <f ca="1">IF(AND(ISNUMBER($BB$485),$B$419=1),$BB$485,HLOOKUP(INDIRECT(ADDRESS(2,COLUMN())),OFFSET($BN$2,0,0,ROW()-1,60),ROW()-1,FALSE))</f>
        <v/>
      </c>
      <c r="BC25" t="str">
        <f ca="1">IF(AND(ISNUMBER($BC$485),$B$419=1),$BC$485,HLOOKUP(INDIRECT(ADDRESS(2,COLUMN())),OFFSET($BN$2,0,0,ROW()-1,60),ROW()-1,FALSE))</f>
        <v/>
      </c>
      <c r="BD25" t="str">
        <f ca="1">IF(AND(ISNUMBER($BD$485),$B$419=1),$BD$485,HLOOKUP(INDIRECT(ADDRESS(2,COLUMN())),OFFSET($BN$2,0,0,ROW()-1,60),ROW()-1,FALSE))</f>
        <v/>
      </c>
      <c r="BE25" t="str">
        <f ca="1">IF(AND(ISNUMBER($BE$485),$B$419=1),$BE$485,HLOOKUP(INDIRECT(ADDRESS(2,COLUMN())),OFFSET($BN$2,0,0,ROW()-1,60),ROW()-1,FALSE))</f>
        <v/>
      </c>
      <c r="BF25" t="str">
        <f ca="1">IF(AND(ISNUMBER($BF$485),$B$419=1),$BF$485,HLOOKUP(INDIRECT(ADDRESS(2,COLUMN())),OFFSET($BN$2,0,0,ROW()-1,60),ROW()-1,FALSE))</f>
        <v/>
      </c>
      <c r="BG25" t="str">
        <f ca="1">IF(AND(ISNUMBER($BG$485),$B$419=1),$BG$485,HLOOKUP(INDIRECT(ADDRESS(2,COLUMN())),OFFSET($BN$2,0,0,ROW()-1,60),ROW()-1,FALSE))</f>
        <v/>
      </c>
      <c r="BH25" t="str">
        <f ca="1">IF(AND(ISNUMBER($BH$485),$B$419=1),$BH$485,HLOOKUP(INDIRECT(ADDRESS(2,COLUMN())),OFFSET($BN$2,0,0,ROW()-1,60),ROW()-1,FALSE))</f>
        <v/>
      </c>
      <c r="BI25" t="str">
        <f ca="1">IF(AND(ISNUMBER($BI$485),$B$419=1),$BI$485,HLOOKUP(INDIRECT(ADDRESS(2,COLUMN())),OFFSET($BN$2,0,0,ROW()-1,60),ROW()-1,FALSE))</f>
        <v/>
      </c>
      <c r="BJ25" t="str">
        <f ca="1">IF(AND(ISNUMBER($BJ$485),$B$419=1),$BJ$485,HLOOKUP(INDIRECT(ADDRESS(2,COLUMN())),OFFSET($BN$2,0,0,ROW()-1,60),ROW()-1,FALSE))</f>
        <v/>
      </c>
      <c r="BK25" t="str">
        <f ca="1">IF(AND(ISNUMBER($BK$485),$B$419=1),$BK$485,HLOOKUP(INDIRECT(ADDRESS(2,COLUMN())),OFFSET($BN$2,0,0,ROW()-1,60),ROW()-1,FALSE))</f>
        <v/>
      </c>
      <c r="BL25" t="str">
        <f ca="1">IF(AND(ISNUMBER($BL$485),$B$419=1),$BL$485,HLOOKUP(INDIRECT(ADDRESS(2,COLUMN())),OFFSET($BN$2,0,0,ROW()-1,60),ROW()-1,FALSE))</f>
        <v/>
      </c>
      <c r="BM25" t="str">
        <f ca="1">IF(AND(ISNUMBER($BM$485),$B$419=1),$BM$485,HLOOKUP(INDIRECT(ADDRESS(2,COLUMN())),OFFSET($BN$2,0,0,ROW()-1,60),ROW()-1,FALSE))</f>
        <v/>
      </c>
      <c r="BN25" t="str">
        <f>""</f>
        <v/>
      </c>
      <c r="BO25" t="str">
        <f>""</f>
        <v/>
      </c>
      <c r="BP25" t="str">
        <f>""</f>
        <v/>
      </c>
      <c r="BQ25" t="str">
        <f>""</f>
        <v/>
      </c>
      <c r="BR25" t="str">
        <f>""</f>
        <v/>
      </c>
      <c r="BS25" t="str">
        <f>""</f>
        <v/>
      </c>
      <c r="BT25" t="str">
        <f>""</f>
        <v/>
      </c>
      <c r="BU25" t="str">
        <f>""</f>
        <v/>
      </c>
      <c r="BV25" t="str">
        <f>""</f>
        <v/>
      </c>
      <c r="BW25" t="str">
        <f>""</f>
        <v/>
      </c>
      <c r="BX25" t="str">
        <f>""</f>
        <v/>
      </c>
      <c r="BY25" t="str">
        <f>""</f>
        <v/>
      </c>
      <c r="BZ25" t="str">
        <f>""</f>
        <v/>
      </c>
      <c r="CA25" t="str">
        <f>""</f>
        <v/>
      </c>
      <c r="CB25" t="str">
        <f>""</f>
        <v/>
      </c>
      <c r="CC25" t="str">
        <f>""</f>
        <v/>
      </c>
      <c r="CD25" t="str">
        <f>""</f>
        <v/>
      </c>
      <c r="CE25" t="str">
        <f>""</f>
        <v/>
      </c>
      <c r="CF25" t="str">
        <f>""</f>
        <v/>
      </c>
      <c r="CG25" t="str">
        <f>""</f>
        <v/>
      </c>
      <c r="CH25" t="str">
        <f>""</f>
        <v/>
      </c>
      <c r="CI25" t="str">
        <f>""</f>
        <v/>
      </c>
      <c r="CJ25" t="str">
        <f>""</f>
        <v/>
      </c>
      <c r="CK25" t="str">
        <f>""</f>
        <v/>
      </c>
      <c r="CL25" t="str">
        <f>""</f>
        <v/>
      </c>
      <c r="CM25" t="str">
        <f>""</f>
        <v/>
      </c>
      <c r="CN25" t="str">
        <f>""</f>
        <v/>
      </c>
      <c r="CO25" t="str">
        <f>""</f>
        <v/>
      </c>
      <c r="CP25" t="str">
        <f>""</f>
        <v/>
      </c>
      <c r="CQ25" t="str">
        <f>""</f>
        <v/>
      </c>
      <c r="CR25" t="str">
        <f>""</f>
        <v/>
      </c>
      <c r="CS25" t="str">
        <f>""</f>
        <v/>
      </c>
      <c r="CT25" t="str">
        <f>""</f>
        <v/>
      </c>
      <c r="CU25" t="str">
        <f>""</f>
        <v/>
      </c>
      <c r="CV25" t="str">
        <f>""</f>
        <v/>
      </c>
      <c r="CW25" t="str">
        <f>""</f>
        <v/>
      </c>
      <c r="CX25" t="str">
        <f>""</f>
        <v/>
      </c>
      <c r="CY25" t="str">
        <f>""</f>
        <v/>
      </c>
      <c r="CZ25" t="str">
        <f>""</f>
        <v/>
      </c>
      <c r="DA25" t="str">
        <f>""</f>
        <v/>
      </c>
      <c r="DB25" t="str">
        <f>""</f>
        <v/>
      </c>
      <c r="DC25" t="str">
        <f>""</f>
        <v/>
      </c>
      <c r="DD25" t="str">
        <f>""</f>
        <v/>
      </c>
      <c r="DE25" t="str">
        <f>""</f>
        <v/>
      </c>
      <c r="DF25" t="str">
        <f>""</f>
        <v/>
      </c>
      <c r="DG25" t="str">
        <f>""</f>
        <v/>
      </c>
      <c r="DH25" t="str">
        <f>""</f>
        <v/>
      </c>
      <c r="DI25" t="str">
        <f>""</f>
        <v/>
      </c>
      <c r="DJ25" t="str">
        <f>""</f>
        <v/>
      </c>
      <c r="DK25" t="str">
        <f>""</f>
        <v/>
      </c>
      <c r="DL25" t="str">
        <f>""</f>
        <v/>
      </c>
      <c r="DM25" t="str">
        <f>""</f>
        <v/>
      </c>
      <c r="DN25" t="str">
        <f>""</f>
        <v/>
      </c>
      <c r="DO25" t="str">
        <f>""</f>
        <v/>
      </c>
      <c r="DP25" t="str">
        <f>""</f>
        <v/>
      </c>
      <c r="DQ25" t="str">
        <f>""</f>
        <v/>
      </c>
      <c r="DR25" t="str">
        <f>""</f>
        <v/>
      </c>
      <c r="DS25" t="str">
        <f>""</f>
        <v/>
      </c>
      <c r="DT25" t="str">
        <f>""</f>
        <v/>
      </c>
      <c r="DU25" t="str">
        <f>""</f>
        <v/>
      </c>
    </row>
    <row r="26" spans="1:125">
      <c r="A26" t="str">
        <f>"    National Retail Properties Inc"</f>
        <v xml:space="preserve">    National Retail Properties Inc</v>
      </c>
      <c r="B26" t="str">
        <f>"NNN US Equity"</f>
        <v>NNN US Equity</v>
      </c>
      <c r="C26" t="str">
        <f t="shared" si="3"/>
        <v>IM275</v>
      </c>
      <c r="D26" t="str">
        <f t="shared" si="4"/>
        <v>IS_OTHER_RENTAL_INCOME</v>
      </c>
      <c r="E26" t="str">
        <f t="shared" si="5"/>
        <v>动态</v>
      </c>
      <c r="F26" t="str">
        <f ca="1">IF(AND(ISNUMBER($F$486),$B$419=1),$F$486,HLOOKUP(INDIRECT(ADDRESS(2,COLUMN())),OFFSET($BN$2,0,0,ROW()-1,60),ROW()-1,FALSE))</f>
        <v/>
      </c>
      <c r="G26">
        <f ca="1">IF(AND(ISNUMBER($G$486),$B$419=1),$G$486,HLOOKUP(INDIRECT(ADDRESS(2,COLUMN())),OFFSET($BN$2,0,0,ROW()-1,60),ROW()-1,FALSE))</f>
        <v>145.18700000000001</v>
      </c>
      <c r="H26">
        <f ca="1">IF(AND(ISNUMBER($H$486),$B$419=1),$H$486,HLOOKUP(INDIRECT(ADDRESS(2,COLUMN())),OFFSET($BN$2,0,0,ROW()-1,60),ROW()-1,FALSE))</f>
        <v>143.376</v>
      </c>
      <c r="I26">
        <f ca="1">IF(AND(ISNUMBER($I$486),$B$419=1),$I$486,HLOOKUP(INDIRECT(ADDRESS(2,COLUMN())),OFFSET($BN$2,0,0,ROW()-1,60),ROW()-1,FALSE))</f>
        <v>141.298</v>
      </c>
      <c r="J26">
        <f ca="1">IF(AND(ISNUMBER($J$486),$B$419=1),$J$486,HLOOKUP(INDIRECT(ADDRESS(2,COLUMN())),OFFSET($BN$2,0,0,ROW()-1,60),ROW()-1,FALSE))</f>
        <v>136.49299999999999</v>
      </c>
      <c r="K26">
        <f ca="1">IF(AND(ISNUMBER($K$486),$B$419=1),$K$486,HLOOKUP(INDIRECT(ADDRESS(2,COLUMN())),OFFSET($BN$2,0,0,ROW()-1,60),ROW()-1,FALSE))</f>
        <v>135.947</v>
      </c>
      <c r="L26">
        <f ca="1">IF(AND(ISNUMBER($L$486),$B$419=1),$L$486,HLOOKUP(INDIRECT(ADDRESS(2,COLUMN())),OFFSET($BN$2,0,0,ROW()-1,60),ROW()-1,FALSE))</f>
        <v>129.94399999999999</v>
      </c>
      <c r="M26">
        <f ca="1">IF(AND(ISNUMBER($M$486),$B$419=1),$M$486,HLOOKUP(INDIRECT(ADDRESS(2,COLUMN())),OFFSET($BN$2,0,0,ROW()-1,60),ROW()-1,FALSE))</f>
        <v>126.41800000000001</v>
      </c>
      <c r="N26">
        <f ca="1">IF(AND(ISNUMBER($N$486),$B$419=1),$N$486,HLOOKUP(INDIRECT(ADDRESS(2,COLUMN())),OFFSET($BN$2,0,0,ROW()-1,60),ROW()-1,FALSE))</f>
        <v>121.645</v>
      </c>
      <c r="O26">
        <f ca="1">IF(AND(ISNUMBER($O$486),$B$419=1),$O$486,HLOOKUP(INDIRECT(ADDRESS(2,COLUMN())),OFFSET($BN$2,0,0,ROW()-1,60),ROW()-1,FALSE))</f>
        <v>121.10599999999999</v>
      </c>
      <c r="P26">
        <f ca="1">IF(AND(ISNUMBER($P$486),$B$419=1),$P$486,HLOOKUP(INDIRECT(ADDRESS(2,COLUMN())),OFFSET($BN$2,0,0,ROW()-1,60),ROW()-1,FALSE))</f>
        <v>118.218</v>
      </c>
      <c r="Q26">
        <f ca="1">IF(AND(ISNUMBER($Q$486),$B$419=1),$Q$486,HLOOKUP(INDIRECT(ADDRESS(2,COLUMN())),OFFSET($BN$2,0,0,ROW()-1,60),ROW()-1,FALSE))</f>
        <v>112.715</v>
      </c>
      <c r="R26">
        <f ca="1">IF(AND(ISNUMBER($R$486),$B$419=1),$R$486,HLOOKUP(INDIRECT(ADDRESS(2,COLUMN())),OFFSET($BN$2,0,0,ROW()-1,60),ROW()-1,FALSE))</f>
        <v>111.474</v>
      </c>
      <c r="S26">
        <f ca="1">IF(AND(ISNUMBER($S$486),$B$419=1),$S$486,HLOOKUP(INDIRECT(ADDRESS(2,COLUMN())),OFFSET($BN$2,0,0,ROW()-1,60),ROW()-1,FALSE))</f>
        <v>110.248</v>
      </c>
      <c r="T26">
        <f ca="1">IF(AND(ISNUMBER($T$486),$B$419=1),$T$486,HLOOKUP(INDIRECT(ADDRESS(2,COLUMN())),OFFSET($BN$2,0,0,ROW()-1,60),ROW()-1,FALSE))</f>
        <v>105.01300000000001</v>
      </c>
      <c r="U26">
        <f ca="1">IF(AND(ISNUMBER($U$486),$B$419=1),$U$486,HLOOKUP(INDIRECT(ADDRESS(2,COLUMN())),OFFSET($BN$2,0,0,ROW()-1,60),ROW()-1,FALSE))</f>
        <v>100.73</v>
      </c>
      <c r="V26">
        <f ca="1">IF(AND(ISNUMBER($V$486),$B$419=1),$V$486,HLOOKUP(INDIRECT(ADDRESS(2,COLUMN())),OFFSET($BN$2,0,0,ROW()-1,60),ROW()-1,FALSE))</f>
        <v>99.055000000000007</v>
      </c>
      <c r="W26">
        <f ca="1">IF(AND(ISNUMBER($W$486),$B$419=1),$W$486,HLOOKUP(INDIRECT(ADDRESS(2,COLUMN())),OFFSET($BN$2,0,0,ROW()-1,60),ROW()-1,FALSE))</f>
        <v>99.12</v>
      </c>
      <c r="X26">
        <f ca="1">IF(AND(ISNUMBER($X$486),$B$419=1),$X$486,HLOOKUP(INDIRECT(ADDRESS(2,COLUMN())),OFFSET($BN$2,0,0,ROW()-1,60),ROW()-1,FALSE))</f>
        <v>95.772000000000006</v>
      </c>
      <c r="Y26">
        <f ca="1">IF(AND(ISNUMBER($Y$486),$B$419=1),$Y$486,HLOOKUP(INDIRECT(ADDRESS(2,COLUMN())),OFFSET($BN$2,0,0,ROW()-1,60),ROW()-1,FALSE))</f>
        <v>91.491</v>
      </c>
      <c r="Z26">
        <f ca="1">IF(AND(ISNUMBER($Z$486),$B$419=1),$Z$486,HLOOKUP(INDIRECT(ADDRESS(2,COLUMN())),OFFSET($BN$2,0,0,ROW()-1,60),ROW()-1,FALSE))</f>
        <v>87.596999999999994</v>
      </c>
      <c r="AA26">
        <f ca="1">IF(AND(ISNUMBER($AA$486),$B$419=1),$AA$486,HLOOKUP(INDIRECT(ADDRESS(2,COLUMN())),OFFSET($BN$2,0,0,ROW()-1,60),ROW()-1,FALSE))</f>
        <v>84.457999999999998</v>
      </c>
      <c r="AB26">
        <f ca="1">IF(AND(ISNUMBER($AB$486),$B$419=1),$AB$486,HLOOKUP(INDIRECT(ADDRESS(2,COLUMN())),OFFSET($BN$2,0,0,ROW()-1,60),ROW()-1,FALSE))</f>
        <v>79.814999999999998</v>
      </c>
      <c r="AC26">
        <f ca="1">IF(AND(ISNUMBER($AC$486),$B$419=1),$AC$486,HLOOKUP(INDIRECT(ADDRESS(2,COLUMN())),OFFSET($BN$2,0,0,ROW()-1,60),ROW()-1,FALSE))</f>
        <v>76.525000000000006</v>
      </c>
      <c r="AD26">
        <f ca="1">IF(AND(ISNUMBER($AD$486),$B$419=1),$AD$486,HLOOKUP(INDIRECT(ADDRESS(2,COLUMN())),OFFSET($BN$2,0,0,ROW()-1,60),ROW()-1,FALSE))</f>
        <v>72.334999999999994</v>
      </c>
      <c r="AE26">
        <f ca="1">IF(AND(ISNUMBER($AE$486),$B$419=1),$AE$486,HLOOKUP(INDIRECT(ADDRESS(2,COLUMN())),OFFSET($BN$2,0,0,ROW()-1,60),ROW()-1,FALSE))</f>
        <v>68.542000000000002</v>
      </c>
      <c r="AF26">
        <f ca="1">IF(AND(ISNUMBER($AF$486),$B$419=1),$AF$486,HLOOKUP(INDIRECT(ADDRESS(2,COLUMN())),OFFSET($BN$2,0,0,ROW()-1,60),ROW()-1,FALSE))</f>
        <v>62.158000000000001</v>
      </c>
      <c r="AG26">
        <f ca="1">IF(AND(ISNUMBER($AG$486),$B$419=1),$AG$486,HLOOKUP(INDIRECT(ADDRESS(2,COLUMN())),OFFSET($BN$2,0,0,ROW()-1,60),ROW()-1,FALSE))</f>
        <v>57.578000000000003</v>
      </c>
      <c r="AH26">
        <f ca="1">IF(AND(ISNUMBER($AH$486),$B$419=1),$AH$486,HLOOKUP(INDIRECT(ADDRESS(2,COLUMN())),OFFSET($BN$2,0,0,ROW()-1,60),ROW()-1,FALSE))</f>
        <v>57.006999999999998</v>
      </c>
      <c r="AI26">
        <f ca="1">IF(AND(ISNUMBER($AI$486),$B$419=1),$AI$486,HLOOKUP(INDIRECT(ADDRESS(2,COLUMN())),OFFSET($BN$2,0,0,ROW()-1,60),ROW()-1,FALSE))</f>
        <v>55.93</v>
      </c>
      <c r="AJ26">
        <f ca="1">IF(AND(ISNUMBER($AJ$486),$B$419=1),$AJ$486,HLOOKUP(INDIRECT(ADDRESS(2,COLUMN())),OFFSET($BN$2,0,0,ROW()-1,60),ROW()-1,FALSE))</f>
        <v>52.341999999999999</v>
      </c>
      <c r="AK26">
        <f ca="1">IF(AND(ISNUMBER($AK$486),$B$419=1),$AK$486,HLOOKUP(INDIRECT(ADDRESS(2,COLUMN())),OFFSET($BN$2,0,0,ROW()-1,60),ROW()-1,FALSE))</f>
        <v>52.106000000000002</v>
      </c>
      <c r="AL26">
        <f ca="1">IF(AND(ISNUMBER($AL$486),$B$419=1),$AL$486,HLOOKUP(INDIRECT(ADDRESS(2,COLUMN())),OFFSET($BN$2,0,0,ROW()-1,60),ROW()-1,FALSE))</f>
        <v>51.918999999999997</v>
      </c>
      <c r="AM26">
        <f ca="1">IF(AND(ISNUMBER($AM$486),$B$419=1),$AM$486,HLOOKUP(INDIRECT(ADDRESS(2,COLUMN())),OFFSET($BN$2,0,0,ROW()-1,60),ROW()-1,FALSE))</f>
        <v>53.283000000000001</v>
      </c>
      <c r="AN26">
        <f ca="1">IF(AND(ISNUMBER($AN$486),$B$419=1),$AN$486,HLOOKUP(INDIRECT(ADDRESS(2,COLUMN())),OFFSET($BN$2,0,0,ROW()-1,60),ROW()-1,FALSE))</f>
        <v>51.978000000000002</v>
      </c>
      <c r="AO26">
        <f ca="1">IF(AND(ISNUMBER($AO$486),$B$419=1),$AO$486,HLOOKUP(INDIRECT(ADDRESS(2,COLUMN())),OFFSET($BN$2,0,0,ROW()-1,60),ROW()-1,FALSE))</f>
        <v>52.933999999999997</v>
      </c>
      <c r="AP26">
        <f ca="1">IF(AND(ISNUMBER($AP$486),$B$419=1),$AP$486,HLOOKUP(INDIRECT(ADDRESS(2,COLUMN())),OFFSET($BN$2,0,0,ROW()-1,60),ROW()-1,FALSE))</f>
        <v>52.761000000000003</v>
      </c>
      <c r="AQ26" t="str">
        <f ca="1">IF(AND(ISNUMBER($AQ$486),$B$419=1),$AQ$486,HLOOKUP(INDIRECT(ADDRESS(2,COLUMN())),OFFSET($BN$2,0,0,ROW()-1,60),ROW()-1,FALSE))</f>
        <v/>
      </c>
      <c r="AR26" t="str">
        <f ca="1">IF(AND(ISNUMBER($AR$486),$B$419=1),$AR$486,HLOOKUP(INDIRECT(ADDRESS(2,COLUMN())),OFFSET($BN$2,0,0,ROW()-1,60),ROW()-1,FALSE))</f>
        <v/>
      </c>
      <c r="AS26" t="str">
        <f ca="1">IF(AND(ISNUMBER($AS$486),$B$419=1),$AS$486,HLOOKUP(INDIRECT(ADDRESS(2,COLUMN())),OFFSET($BN$2,0,0,ROW()-1,60),ROW()-1,FALSE))</f>
        <v/>
      </c>
      <c r="AT26" t="str">
        <f ca="1">IF(AND(ISNUMBER($AT$486),$B$419=1),$AT$486,HLOOKUP(INDIRECT(ADDRESS(2,COLUMN())),OFFSET($BN$2,0,0,ROW()-1,60),ROW()-1,FALSE))</f>
        <v/>
      </c>
      <c r="AU26" t="str">
        <f ca="1">IF(AND(ISNUMBER($AU$486),$B$419=1),$AU$486,HLOOKUP(INDIRECT(ADDRESS(2,COLUMN())),OFFSET($BN$2,0,0,ROW()-1,60),ROW()-1,FALSE))</f>
        <v/>
      </c>
      <c r="AV26" t="str">
        <f ca="1">IF(AND(ISNUMBER($AV$486),$B$419=1),$AV$486,HLOOKUP(INDIRECT(ADDRESS(2,COLUMN())),OFFSET($BN$2,0,0,ROW()-1,60),ROW()-1,FALSE))</f>
        <v/>
      </c>
      <c r="AW26" t="str">
        <f ca="1">IF(AND(ISNUMBER($AW$486),$B$419=1),$AW$486,HLOOKUP(INDIRECT(ADDRESS(2,COLUMN())),OFFSET($BN$2,0,0,ROW()-1,60),ROW()-1,FALSE))</f>
        <v/>
      </c>
      <c r="AX26" t="str">
        <f ca="1">IF(AND(ISNUMBER($AX$486),$B$419=1),$AX$486,HLOOKUP(INDIRECT(ADDRESS(2,COLUMN())),OFFSET($BN$2,0,0,ROW()-1,60),ROW()-1,FALSE))</f>
        <v/>
      </c>
      <c r="AY26" t="str">
        <f ca="1">IF(AND(ISNUMBER($AY$486),$B$419=1),$AY$486,HLOOKUP(INDIRECT(ADDRESS(2,COLUMN())),OFFSET($BN$2,0,0,ROW()-1,60),ROW()-1,FALSE))</f>
        <v/>
      </c>
      <c r="AZ26" t="str">
        <f ca="1">IF(AND(ISNUMBER($AZ$486),$B$419=1),$AZ$486,HLOOKUP(INDIRECT(ADDRESS(2,COLUMN())),OFFSET($BN$2,0,0,ROW()-1,60),ROW()-1,FALSE))</f>
        <v/>
      </c>
      <c r="BA26" t="str">
        <f ca="1">IF(AND(ISNUMBER($BA$486),$B$419=1),$BA$486,HLOOKUP(INDIRECT(ADDRESS(2,COLUMN())),OFFSET($BN$2,0,0,ROW()-1,60),ROW()-1,FALSE))</f>
        <v/>
      </c>
      <c r="BB26" t="str">
        <f ca="1">IF(AND(ISNUMBER($BB$486),$B$419=1),$BB$486,HLOOKUP(INDIRECT(ADDRESS(2,COLUMN())),OFFSET($BN$2,0,0,ROW()-1,60),ROW()-1,FALSE))</f>
        <v/>
      </c>
      <c r="BC26" t="str">
        <f ca="1">IF(AND(ISNUMBER($BC$486),$B$419=1),$BC$486,HLOOKUP(INDIRECT(ADDRESS(2,COLUMN())),OFFSET($BN$2,0,0,ROW()-1,60),ROW()-1,FALSE))</f>
        <v/>
      </c>
      <c r="BD26" t="str">
        <f ca="1">IF(AND(ISNUMBER($BD$486),$B$419=1),$BD$486,HLOOKUP(INDIRECT(ADDRESS(2,COLUMN())),OFFSET($BN$2,0,0,ROW()-1,60),ROW()-1,FALSE))</f>
        <v/>
      </c>
      <c r="BE26" t="str">
        <f ca="1">IF(AND(ISNUMBER($BE$486),$B$419=1),$BE$486,HLOOKUP(INDIRECT(ADDRESS(2,COLUMN())),OFFSET($BN$2,0,0,ROW()-1,60),ROW()-1,FALSE))</f>
        <v/>
      </c>
      <c r="BF26" t="str">
        <f ca="1">IF(AND(ISNUMBER($BF$486),$B$419=1),$BF$486,HLOOKUP(INDIRECT(ADDRESS(2,COLUMN())),OFFSET($BN$2,0,0,ROW()-1,60),ROW()-1,FALSE))</f>
        <v/>
      </c>
      <c r="BG26" t="str">
        <f ca="1">IF(AND(ISNUMBER($BG$486),$B$419=1),$BG$486,HLOOKUP(INDIRECT(ADDRESS(2,COLUMN())),OFFSET($BN$2,0,0,ROW()-1,60),ROW()-1,FALSE))</f>
        <v/>
      </c>
      <c r="BH26" t="str">
        <f ca="1">IF(AND(ISNUMBER($BH$486),$B$419=1),$BH$486,HLOOKUP(INDIRECT(ADDRESS(2,COLUMN())),OFFSET($BN$2,0,0,ROW()-1,60),ROW()-1,FALSE))</f>
        <v/>
      </c>
      <c r="BI26" t="str">
        <f ca="1">IF(AND(ISNUMBER($BI$486),$B$419=1),$BI$486,HLOOKUP(INDIRECT(ADDRESS(2,COLUMN())),OFFSET($BN$2,0,0,ROW()-1,60),ROW()-1,FALSE))</f>
        <v/>
      </c>
      <c r="BJ26" t="str">
        <f ca="1">IF(AND(ISNUMBER($BJ$486),$B$419=1),$BJ$486,HLOOKUP(INDIRECT(ADDRESS(2,COLUMN())),OFFSET($BN$2,0,0,ROW()-1,60),ROW()-1,FALSE))</f>
        <v/>
      </c>
      <c r="BK26" t="str">
        <f ca="1">IF(AND(ISNUMBER($BK$486),$B$419=1),$BK$486,HLOOKUP(INDIRECT(ADDRESS(2,COLUMN())),OFFSET($BN$2,0,0,ROW()-1,60),ROW()-1,FALSE))</f>
        <v/>
      </c>
      <c r="BL26" t="str">
        <f ca="1">IF(AND(ISNUMBER($BL$486),$B$419=1),$BL$486,HLOOKUP(INDIRECT(ADDRESS(2,COLUMN())),OFFSET($BN$2,0,0,ROW()-1,60),ROW()-1,FALSE))</f>
        <v/>
      </c>
      <c r="BM26" t="str">
        <f ca="1">IF(AND(ISNUMBER($BM$486),$B$419=1),$BM$486,HLOOKUP(INDIRECT(ADDRESS(2,COLUMN())),OFFSET($BN$2,0,0,ROW()-1,60),ROW()-1,FALSE))</f>
        <v/>
      </c>
      <c r="BN26" t="str">
        <f>""</f>
        <v/>
      </c>
      <c r="BO26">
        <f>145.187</f>
        <v>145.18700000000001</v>
      </c>
      <c r="BP26">
        <f>143.376</f>
        <v>143.376</v>
      </c>
      <c r="BQ26">
        <f>141.298</f>
        <v>141.298</v>
      </c>
      <c r="BR26">
        <f>136.493</f>
        <v>136.49299999999999</v>
      </c>
      <c r="BS26">
        <f>135.947</f>
        <v>135.947</v>
      </c>
      <c r="BT26">
        <f>129.944</f>
        <v>129.94399999999999</v>
      </c>
      <c r="BU26">
        <f>126.418</f>
        <v>126.41800000000001</v>
      </c>
      <c r="BV26">
        <f>121.645</f>
        <v>121.645</v>
      </c>
      <c r="BW26">
        <f>121.106</f>
        <v>121.10599999999999</v>
      </c>
      <c r="BX26">
        <f>118.218</f>
        <v>118.218</v>
      </c>
      <c r="BY26">
        <f>112.715</f>
        <v>112.715</v>
      </c>
      <c r="BZ26">
        <f>111.474</f>
        <v>111.474</v>
      </c>
      <c r="CA26">
        <f>110.248</f>
        <v>110.248</v>
      </c>
      <c r="CB26">
        <f>105.013</f>
        <v>105.01300000000001</v>
      </c>
      <c r="CC26">
        <f>100.73</f>
        <v>100.73</v>
      </c>
      <c r="CD26">
        <f>99.055</f>
        <v>99.055000000000007</v>
      </c>
      <c r="CE26">
        <f>99.12</f>
        <v>99.12</v>
      </c>
      <c r="CF26">
        <f>95.772</f>
        <v>95.772000000000006</v>
      </c>
      <c r="CG26">
        <f>91.491</f>
        <v>91.491</v>
      </c>
      <c r="CH26">
        <f>87.597</f>
        <v>87.596999999999994</v>
      </c>
      <c r="CI26">
        <f>84.458</f>
        <v>84.457999999999998</v>
      </c>
      <c r="CJ26">
        <f>79.815</f>
        <v>79.814999999999998</v>
      </c>
      <c r="CK26">
        <f>76.525</f>
        <v>76.525000000000006</v>
      </c>
      <c r="CL26">
        <f>72.335</f>
        <v>72.334999999999994</v>
      </c>
      <c r="CM26">
        <f>68.542</f>
        <v>68.542000000000002</v>
      </c>
      <c r="CN26">
        <f>62.158</f>
        <v>62.158000000000001</v>
      </c>
      <c r="CO26">
        <f>57.578</f>
        <v>57.578000000000003</v>
      </c>
      <c r="CP26">
        <f>57.007</f>
        <v>57.006999999999998</v>
      </c>
      <c r="CQ26">
        <f>55.93</f>
        <v>55.93</v>
      </c>
      <c r="CR26">
        <f>52.342</f>
        <v>52.341999999999999</v>
      </c>
      <c r="CS26">
        <f>52.106</f>
        <v>52.106000000000002</v>
      </c>
      <c r="CT26">
        <f>51.919</f>
        <v>51.918999999999997</v>
      </c>
      <c r="CU26">
        <f>53.283</f>
        <v>53.283000000000001</v>
      </c>
      <c r="CV26">
        <f>51.978</f>
        <v>51.978000000000002</v>
      </c>
      <c r="CW26">
        <f>52.934</f>
        <v>52.933999999999997</v>
      </c>
      <c r="CX26">
        <f>52.761</f>
        <v>52.761000000000003</v>
      </c>
      <c r="CY26" t="str">
        <f>""</f>
        <v/>
      </c>
      <c r="CZ26" t="str">
        <f>""</f>
        <v/>
      </c>
      <c r="DA26" t="str">
        <f>""</f>
        <v/>
      </c>
      <c r="DB26" t="str">
        <f>""</f>
        <v/>
      </c>
      <c r="DC26" t="str">
        <f>""</f>
        <v/>
      </c>
      <c r="DD26" t="str">
        <f>""</f>
        <v/>
      </c>
      <c r="DE26" t="str">
        <f>""</f>
        <v/>
      </c>
      <c r="DF26" t="str">
        <f>""</f>
        <v/>
      </c>
      <c r="DG26" t="str">
        <f>""</f>
        <v/>
      </c>
      <c r="DH26" t="str">
        <f>""</f>
        <v/>
      </c>
      <c r="DI26" t="str">
        <f>""</f>
        <v/>
      </c>
      <c r="DJ26" t="str">
        <f>""</f>
        <v/>
      </c>
      <c r="DK26" t="str">
        <f>""</f>
        <v/>
      </c>
      <c r="DL26" t="str">
        <f>""</f>
        <v/>
      </c>
      <c r="DM26" t="str">
        <f>""</f>
        <v/>
      </c>
      <c r="DN26" t="str">
        <f>""</f>
        <v/>
      </c>
      <c r="DO26" t="str">
        <f>""</f>
        <v/>
      </c>
      <c r="DP26" t="str">
        <f>""</f>
        <v/>
      </c>
      <c r="DQ26" t="str">
        <f>""</f>
        <v/>
      </c>
      <c r="DR26" t="str">
        <f>""</f>
        <v/>
      </c>
      <c r="DS26" t="str">
        <f>""</f>
        <v/>
      </c>
      <c r="DT26" t="str">
        <f>""</f>
        <v/>
      </c>
      <c r="DU26" t="str">
        <f>""</f>
        <v/>
      </c>
    </row>
    <row r="27" spans="1:125">
      <c r="A27" t="str">
        <f>"    Realty Income Corp"</f>
        <v xml:space="preserve">    Realty Income Corp</v>
      </c>
      <c r="B27" t="str">
        <f>"O US Equity"</f>
        <v>O US Equity</v>
      </c>
      <c r="C27" t="str">
        <f t="shared" si="3"/>
        <v>IM275</v>
      </c>
      <c r="D27" t="str">
        <f t="shared" si="4"/>
        <v>IS_OTHER_RENTAL_INCOME</v>
      </c>
      <c r="E27" t="str">
        <f t="shared" si="5"/>
        <v>动态</v>
      </c>
      <c r="F27" t="str">
        <f ca="1">IF(AND(ISNUMBER($F$487),$B$419=1),$F$487,HLOOKUP(INDIRECT(ADDRESS(2,COLUMN())),OFFSET($BN$2,0,0,ROW()-1,60),ROW()-1,FALSE))</f>
        <v/>
      </c>
      <c r="G27">
        <f ca="1">IF(AND(ISNUMBER($G$487),$B$419=1),$G$487,HLOOKUP(INDIRECT(ADDRESS(2,COLUMN())),OFFSET($BN$2,0,0,ROW()-1,60),ROW()-1,FALSE))</f>
        <v>298.899</v>
      </c>
      <c r="H27">
        <f ca="1">IF(AND(ISNUMBER($H$487),$B$419=1),$H$487,HLOOKUP(INDIRECT(ADDRESS(2,COLUMN())),OFFSET($BN$2,0,0,ROW()-1,60),ROW()-1,FALSE))</f>
        <v>293.45499999999998</v>
      </c>
      <c r="I27">
        <f ca="1">IF(AND(ISNUMBER($I$487),$B$419=1),$I$487,HLOOKUP(INDIRECT(ADDRESS(2,COLUMN())),OFFSET($BN$2,0,0,ROW()-1,60),ROW()-1,FALSE))</f>
        <v>288.04899999999998</v>
      </c>
      <c r="J27">
        <f ca="1">IF(AND(ISNUMBER($J$487),$B$419=1),$J$487,HLOOKUP(INDIRECT(ADDRESS(2,COLUMN())),OFFSET($BN$2,0,0,ROW()-1,60),ROW()-1,FALSE))</f>
        <v>285.82100000000003</v>
      </c>
      <c r="K27">
        <f ca="1">IF(AND(ISNUMBER($K$487),$B$419=1),$K$487,HLOOKUP(INDIRECT(ADDRESS(2,COLUMN())),OFFSET($BN$2,0,0,ROW()-1,60),ROW()-1,FALSE))</f>
        <v>275.22399999999999</v>
      </c>
      <c r="L27">
        <f ca="1">IF(AND(ISNUMBER($L$487),$B$419=1),$L$487,HLOOKUP(INDIRECT(ADDRESS(2,COLUMN())),OFFSET($BN$2,0,0,ROW()-1,60),ROW()-1,FALSE))</f>
        <v>265.33199999999999</v>
      </c>
      <c r="M27">
        <f ca="1">IF(AND(ISNUMBER($M$487),$B$419=1),$M$487,HLOOKUP(INDIRECT(ADDRESS(2,COLUMN())),OFFSET($BN$2,0,0,ROW()-1,60),ROW()-1,FALSE))</f>
        <v>260.05599999999998</v>
      </c>
      <c r="N27">
        <f ca="1">IF(AND(ISNUMBER($N$487),$B$419=1),$N$487,HLOOKUP(INDIRECT(ADDRESS(2,COLUMN())),OFFSET($BN$2,0,0,ROW()-1,60),ROW()-1,FALSE))</f>
        <v>256.80099999999999</v>
      </c>
      <c r="O27">
        <f ca="1">IF(AND(ISNUMBER($O$487),$B$419=1),$O$487,HLOOKUP(INDIRECT(ADDRESS(2,COLUMN())),OFFSET($BN$2,0,0,ROW()-1,60),ROW()-1,FALSE))</f>
        <v>252.733</v>
      </c>
      <c r="P27">
        <f ca="1">IF(AND(ISNUMBER($P$487),$B$419=1),$P$487,HLOOKUP(INDIRECT(ADDRESS(2,COLUMN())),OFFSET($BN$2,0,0,ROW()-1,60),ROW()-1,FALSE))</f>
        <v>247.578</v>
      </c>
      <c r="Q27">
        <f ca="1">IF(AND(ISNUMBER($Q$487),$B$419=1),$Q$487,HLOOKUP(INDIRECT(ADDRESS(2,COLUMN())),OFFSET($BN$2,0,0,ROW()-1,60),ROW()-1,FALSE))</f>
        <v>241.43100000000001</v>
      </c>
      <c r="R27">
        <f ca="1">IF(AND(ISNUMBER($R$487),$B$419=1),$R$487,HLOOKUP(INDIRECT(ADDRESS(2,COLUMN())),OFFSET($BN$2,0,0,ROW()-1,60),ROW()-1,FALSE))</f>
        <v>235.12200000000001</v>
      </c>
      <c r="S27">
        <f ca="1">IF(AND(ISNUMBER($S$487),$B$419=1),$S$487,HLOOKUP(INDIRECT(ADDRESS(2,COLUMN())),OFFSET($BN$2,0,0,ROW()-1,60),ROW()-1,FALSE))</f>
        <v>230.63499999999999</v>
      </c>
      <c r="T27">
        <f ca="1">IF(AND(ISNUMBER($T$487),$B$419=1),$T$487,HLOOKUP(INDIRECT(ADDRESS(2,COLUMN())),OFFSET($BN$2,0,0,ROW()-1,60),ROW()-1,FALSE))</f>
        <v>226.83199999999999</v>
      </c>
      <c r="U27">
        <f ca="1">IF(AND(ISNUMBER($U$487),$B$419=1),$U$487,HLOOKUP(INDIRECT(ADDRESS(2,COLUMN())),OFFSET($BN$2,0,0,ROW()-1,60),ROW()-1,FALSE))</f>
        <v>221.86799999999999</v>
      </c>
      <c r="V27">
        <f ca="1">IF(AND(ISNUMBER($V$487),$B$419=1),$V$487,HLOOKUP(INDIRECT(ADDRESS(2,COLUMN())),OFFSET($BN$2,0,0,ROW()-1,60),ROW()-1,FALSE))</f>
        <v>214.12200000000001</v>
      </c>
      <c r="W27">
        <f ca="1">IF(AND(ISNUMBER($W$487),$B$419=1),$W$487,HLOOKUP(INDIRECT(ADDRESS(2,COLUMN())),OFFSET($BN$2,0,0,ROW()-1,60),ROW()-1,FALSE))</f>
        <v>204.999</v>
      </c>
      <c r="X27">
        <f ca="1">IF(AND(ISNUMBER($X$487),$B$419=1),$X$487,HLOOKUP(INDIRECT(ADDRESS(2,COLUMN())),OFFSET($BN$2,0,0,ROW()-1,60),ROW()-1,FALSE))</f>
        <v>195.33199999999999</v>
      </c>
      <c r="Y27">
        <f ca="1">IF(AND(ISNUMBER($Y$487),$B$419=1),$Y$487,HLOOKUP(INDIRECT(ADDRESS(2,COLUMN())),OFFSET($BN$2,0,0,ROW()-1,60),ROW()-1,FALSE))</f>
        <v>180.089</v>
      </c>
      <c r="Z27">
        <f ca="1">IF(AND(ISNUMBER($Z$487),$B$419=1),$Z$487,HLOOKUP(INDIRECT(ADDRESS(2,COLUMN())),OFFSET($BN$2,0,0,ROW()-1,60),ROW()-1,FALSE))</f>
        <v>167.798</v>
      </c>
      <c r="AA27">
        <f ca="1">IF(AND(ISNUMBER($AA$487),$B$419=1),$AA$487,HLOOKUP(INDIRECT(ADDRESS(2,COLUMN())),OFFSET($BN$2,0,0,ROW()-1,60),ROW()-1,FALSE))</f>
        <v>127.777</v>
      </c>
      <c r="AB27" t="str">
        <f ca="1">IF(AND(ISNUMBER($AB$487),$B$419=1),$AB$487,HLOOKUP(INDIRECT(ADDRESS(2,COLUMN())),OFFSET($BN$2,0,0,ROW()-1,60),ROW()-1,FALSE))</f>
        <v/>
      </c>
      <c r="AC27" t="str">
        <f ca="1">IF(AND(ISNUMBER($AC$487),$B$419=1),$AC$487,HLOOKUP(INDIRECT(ADDRESS(2,COLUMN())),OFFSET($BN$2,0,0,ROW()-1,60),ROW()-1,FALSE))</f>
        <v/>
      </c>
      <c r="AD27" t="str">
        <f ca="1">IF(AND(ISNUMBER($AD$487),$B$419=1),$AD$487,HLOOKUP(INDIRECT(ADDRESS(2,COLUMN())),OFFSET($BN$2,0,0,ROW()-1,60),ROW()-1,FALSE))</f>
        <v/>
      </c>
      <c r="AE27" t="str">
        <f ca="1">IF(AND(ISNUMBER($AE$487),$B$419=1),$AE$487,HLOOKUP(INDIRECT(ADDRESS(2,COLUMN())),OFFSET($BN$2,0,0,ROW()-1,60),ROW()-1,FALSE))</f>
        <v/>
      </c>
      <c r="AF27" t="str">
        <f ca="1">IF(AND(ISNUMBER($AF$487),$B$419=1),$AF$487,HLOOKUP(INDIRECT(ADDRESS(2,COLUMN())),OFFSET($BN$2,0,0,ROW()-1,60),ROW()-1,FALSE))</f>
        <v/>
      </c>
      <c r="AG27" t="str">
        <f ca="1">IF(AND(ISNUMBER($AG$487),$B$419=1),$AG$487,HLOOKUP(INDIRECT(ADDRESS(2,COLUMN())),OFFSET($BN$2,0,0,ROW()-1,60),ROW()-1,FALSE))</f>
        <v/>
      </c>
      <c r="AH27" t="str">
        <f ca="1">IF(AND(ISNUMBER($AH$487),$B$419=1),$AH$487,HLOOKUP(INDIRECT(ADDRESS(2,COLUMN())),OFFSET($BN$2,0,0,ROW()-1,60),ROW()-1,FALSE))</f>
        <v/>
      </c>
      <c r="AI27" t="str">
        <f ca="1">IF(AND(ISNUMBER($AI$487),$B$419=1),$AI$487,HLOOKUP(INDIRECT(ADDRESS(2,COLUMN())),OFFSET($BN$2,0,0,ROW()-1,60),ROW()-1,FALSE))</f>
        <v/>
      </c>
      <c r="AJ27" t="str">
        <f ca="1">IF(AND(ISNUMBER($AJ$487),$B$419=1),$AJ$487,HLOOKUP(INDIRECT(ADDRESS(2,COLUMN())),OFFSET($BN$2,0,0,ROW()-1,60),ROW()-1,FALSE))</f>
        <v/>
      </c>
      <c r="AK27" t="str">
        <f ca="1">IF(AND(ISNUMBER($AK$487),$B$419=1),$AK$487,HLOOKUP(INDIRECT(ADDRESS(2,COLUMN())),OFFSET($BN$2,0,0,ROW()-1,60),ROW()-1,FALSE))</f>
        <v/>
      </c>
      <c r="AL27" t="str">
        <f ca="1">IF(AND(ISNUMBER($AL$487),$B$419=1),$AL$487,HLOOKUP(INDIRECT(ADDRESS(2,COLUMN())),OFFSET($BN$2,0,0,ROW()-1,60),ROW()-1,FALSE))</f>
        <v/>
      </c>
      <c r="AM27" t="str">
        <f ca="1">IF(AND(ISNUMBER($AM$487),$B$419=1),$AM$487,HLOOKUP(INDIRECT(ADDRESS(2,COLUMN())),OFFSET($BN$2,0,0,ROW()-1,60),ROW()-1,FALSE))</f>
        <v/>
      </c>
      <c r="AN27" t="str">
        <f ca="1">IF(AND(ISNUMBER($AN$487),$B$419=1),$AN$487,HLOOKUP(INDIRECT(ADDRESS(2,COLUMN())),OFFSET($BN$2,0,0,ROW()-1,60),ROW()-1,FALSE))</f>
        <v/>
      </c>
      <c r="AO27" t="str">
        <f ca="1">IF(AND(ISNUMBER($AO$487),$B$419=1),$AO$487,HLOOKUP(INDIRECT(ADDRESS(2,COLUMN())),OFFSET($BN$2,0,0,ROW()-1,60),ROW()-1,FALSE))</f>
        <v/>
      </c>
      <c r="AP27" t="str">
        <f ca="1">IF(AND(ISNUMBER($AP$487),$B$419=1),$AP$487,HLOOKUP(INDIRECT(ADDRESS(2,COLUMN())),OFFSET($BN$2,0,0,ROW()-1,60),ROW()-1,FALSE))</f>
        <v/>
      </c>
      <c r="AQ27" t="str">
        <f ca="1">IF(AND(ISNUMBER($AQ$487),$B$419=1),$AQ$487,HLOOKUP(INDIRECT(ADDRESS(2,COLUMN())),OFFSET($BN$2,0,0,ROW()-1,60),ROW()-1,FALSE))</f>
        <v/>
      </c>
      <c r="AR27" t="str">
        <f ca="1">IF(AND(ISNUMBER($AR$487),$B$419=1),$AR$487,HLOOKUP(INDIRECT(ADDRESS(2,COLUMN())),OFFSET($BN$2,0,0,ROW()-1,60),ROW()-1,FALSE))</f>
        <v/>
      </c>
      <c r="AS27" t="str">
        <f ca="1">IF(AND(ISNUMBER($AS$487),$B$419=1),$AS$487,HLOOKUP(INDIRECT(ADDRESS(2,COLUMN())),OFFSET($BN$2,0,0,ROW()-1,60),ROW()-1,FALSE))</f>
        <v/>
      </c>
      <c r="AT27" t="str">
        <f ca="1">IF(AND(ISNUMBER($AT$487),$B$419=1),$AT$487,HLOOKUP(INDIRECT(ADDRESS(2,COLUMN())),OFFSET($BN$2,0,0,ROW()-1,60),ROW()-1,FALSE))</f>
        <v/>
      </c>
      <c r="AU27" t="str">
        <f ca="1">IF(AND(ISNUMBER($AU$487),$B$419=1),$AU$487,HLOOKUP(INDIRECT(ADDRESS(2,COLUMN())),OFFSET($BN$2,0,0,ROW()-1,60),ROW()-1,FALSE))</f>
        <v/>
      </c>
      <c r="AV27" t="str">
        <f ca="1">IF(AND(ISNUMBER($AV$487),$B$419=1),$AV$487,HLOOKUP(INDIRECT(ADDRESS(2,COLUMN())),OFFSET($BN$2,0,0,ROW()-1,60),ROW()-1,FALSE))</f>
        <v/>
      </c>
      <c r="AW27" t="str">
        <f ca="1">IF(AND(ISNUMBER($AW$487),$B$419=1),$AW$487,HLOOKUP(INDIRECT(ADDRESS(2,COLUMN())),OFFSET($BN$2,0,0,ROW()-1,60),ROW()-1,FALSE))</f>
        <v/>
      </c>
      <c r="AX27" t="str">
        <f ca="1">IF(AND(ISNUMBER($AX$487),$B$419=1),$AX$487,HLOOKUP(INDIRECT(ADDRESS(2,COLUMN())),OFFSET($BN$2,0,0,ROW()-1,60),ROW()-1,FALSE))</f>
        <v/>
      </c>
      <c r="AY27" t="str">
        <f ca="1">IF(AND(ISNUMBER($AY$487),$B$419=1),$AY$487,HLOOKUP(INDIRECT(ADDRESS(2,COLUMN())),OFFSET($BN$2,0,0,ROW()-1,60),ROW()-1,FALSE))</f>
        <v/>
      </c>
      <c r="AZ27" t="str">
        <f ca="1">IF(AND(ISNUMBER($AZ$487),$B$419=1),$AZ$487,HLOOKUP(INDIRECT(ADDRESS(2,COLUMN())),OFFSET($BN$2,0,0,ROW()-1,60),ROW()-1,FALSE))</f>
        <v/>
      </c>
      <c r="BA27" t="str">
        <f ca="1">IF(AND(ISNUMBER($BA$487),$B$419=1),$BA$487,HLOOKUP(INDIRECT(ADDRESS(2,COLUMN())),OFFSET($BN$2,0,0,ROW()-1,60),ROW()-1,FALSE))</f>
        <v/>
      </c>
      <c r="BB27" t="str">
        <f ca="1">IF(AND(ISNUMBER($BB$487),$B$419=1),$BB$487,HLOOKUP(INDIRECT(ADDRESS(2,COLUMN())),OFFSET($BN$2,0,0,ROW()-1,60),ROW()-1,FALSE))</f>
        <v/>
      </c>
      <c r="BC27" t="str">
        <f ca="1">IF(AND(ISNUMBER($BC$487),$B$419=1),$BC$487,HLOOKUP(INDIRECT(ADDRESS(2,COLUMN())),OFFSET($BN$2,0,0,ROW()-1,60),ROW()-1,FALSE))</f>
        <v/>
      </c>
      <c r="BD27" t="str">
        <f ca="1">IF(AND(ISNUMBER($BD$487),$B$419=1),$BD$487,HLOOKUP(INDIRECT(ADDRESS(2,COLUMN())),OFFSET($BN$2,0,0,ROW()-1,60),ROW()-1,FALSE))</f>
        <v/>
      </c>
      <c r="BE27" t="str">
        <f ca="1">IF(AND(ISNUMBER($BE$487),$B$419=1),$BE$487,HLOOKUP(INDIRECT(ADDRESS(2,COLUMN())),OFFSET($BN$2,0,0,ROW()-1,60),ROW()-1,FALSE))</f>
        <v/>
      </c>
      <c r="BF27" t="str">
        <f ca="1">IF(AND(ISNUMBER($BF$487),$B$419=1),$BF$487,HLOOKUP(INDIRECT(ADDRESS(2,COLUMN())),OFFSET($BN$2,0,0,ROW()-1,60),ROW()-1,FALSE))</f>
        <v/>
      </c>
      <c r="BG27" t="str">
        <f ca="1">IF(AND(ISNUMBER($BG$487),$B$419=1),$BG$487,HLOOKUP(INDIRECT(ADDRESS(2,COLUMN())),OFFSET($BN$2,0,0,ROW()-1,60),ROW()-1,FALSE))</f>
        <v/>
      </c>
      <c r="BH27" t="str">
        <f ca="1">IF(AND(ISNUMBER($BH$487),$B$419=1),$BH$487,HLOOKUP(INDIRECT(ADDRESS(2,COLUMN())),OFFSET($BN$2,0,0,ROW()-1,60),ROW()-1,FALSE))</f>
        <v/>
      </c>
      <c r="BI27" t="str">
        <f ca="1">IF(AND(ISNUMBER($BI$487),$B$419=1),$BI$487,HLOOKUP(INDIRECT(ADDRESS(2,COLUMN())),OFFSET($BN$2,0,0,ROW()-1,60),ROW()-1,FALSE))</f>
        <v/>
      </c>
      <c r="BJ27" t="str">
        <f ca="1">IF(AND(ISNUMBER($BJ$487),$B$419=1),$BJ$487,HLOOKUP(INDIRECT(ADDRESS(2,COLUMN())),OFFSET($BN$2,0,0,ROW()-1,60),ROW()-1,FALSE))</f>
        <v/>
      </c>
      <c r="BK27" t="str">
        <f ca="1">IF(AND(ISNUMBER($BK$487),$B$419=1),$BK$487,HLOOKUP(INDIRECT(ADDRESS(2,COLUMN())),OFFSET($BN$2,0,0,ROW()-1,60),ROW()-1,FALSE))</f>
        <v/>
      </c>
      <c r="BL27" t="str">
        <f ca="1">IF(AND(ISNUMBER($BL$487),$B$419=1),$BL$487,HLOOKUP(INDIRECT(ADDRESS(2,COLUMN())),OFFSET($BN$2,0,0,ROW()-1,60),ROW()-1,FALSE))</f>
        <v/>
      </c>
      <c r="BM27" t="str">
        <f ca="1">IF(AND(ISNUMBER($BM$487),$B$419=1),$BM$487,HLOOKUP(INDIRECT(ADDRESS(2,COLUMN())),OFFSET($BN$2,0,0,ROW()-1,60),ROW()-1,FALSE))</f>
        <v/>
      </c>
      <c r="BN27" t="str">
        <f>""</f>
        <v/>
      </c>
      <c r="BO27">
        <f>298.899</f>
        <v>298.899</v>
      </c>
      <c r="BP27">
        <f>293.455</f>
        <v>293.45499999999998</v>
      </c>
      <c r="BQ27">
        <f>288.049</f>
        <v>288.04899999999998</v>
      </c>
      <c r="BR27">
        <f>285.821</f>
        <v>285.82100000000003</v>
      </c>
      <c r="BS27">
        <f>275.224</f>
        <v>275.22399999999999</v>
      </c>
      <c r="BT27">
        <f>265.332</f>
        <v>265.33199999999999</v>
      </c>
      <c r="BU27">
        <f>260.056</f>
        <v>260.05599999999998</v>
      </c>
      <c r="BV27">
        <f>256.801</f>
        <v>256.80099999999999</v>
      </c>
      <c r="BW27">
        <f>252.733</f>
        <v>252.733</v>
      </c>
      <c r="BX27">
        <f>247.578</f>
        <v>247.578</v>
      </c>
      <c r="BY27">
        <f>241.431</f>
        <v>241.43100000000001</v>
      </c>
      <c r="BZ27">
        <f>235.122</f>
        <v>235.12200000000001</v>
      </c>
      <c r="CA27">
        <f>230.635</f>
        <v>230.63499999999999</v>
      </c>
      <c r="CB27">
        <f>226.832</f>
        <v>226.83199999999999</v>
      </c>
      <c r="CC27">
        <f>221.868</f>
        <v>221.86799999999999</v>
      </c>
      <c r="CD27">
        <f>214.122</f>
        <v>214.12200000000001</v>
      </c>
      <c r="CE27">
        <f>204.999</f>
        <v>204.999</v>
      </c>
      <c r="CF27">
        <f>195.332</f>
        <v>195.33199999999999</v>
      </c>
      <c r="CG27">
        <f>180.089</f>
        <v>180.089</v>
      </c>
      <c r="CH27">
        <f>167.798</f>
        <v>167.798</v>
      </c>
      <c r="CI27">
        <f>127.777</f>
        <v>127.777</v>
      </c>
      <c r="CJ27" t="str">
        <f>""</f>
        <v/>
      </c>
      <c r="CK27" t="str">
        <f>""</f>
        <v/>
      </c>
      <c r="CL27" t="str">
        <f>""</f>
        <v/>
      </c>
      <c r="CM27" t="str">
        <f>""</f>
        <v/>
      </c>
      <c r="CN27" t="str">
        <f>""</f>
        <v/>
      </c>
      <c r="CO27" t="str">
        <f>""</f>
        <v/>
      </c>
      <c r="CP27" t="str">
        <f>""</f>
        <v/>
      </c>
      <c r="CQ27" t="str">
        <f>""</f>
        <v/>
      </c>
      <c r="CR27" t="str">
        <f>""</f>
        <v/>
      </c>
      <c r="CS27" t="str">
        <f>""</f>
        <v/>
      </c>
      <c r="CT27" t="str">
        <f>""</f>
        <v/>
      </c>
      <c r="CU27" t="str">
        <f>""</f>
        <v/>
      </c>
      <c r="CV27" t="str">
        <f>""</f>
        <v/>
      </c>
      <c r="CW27" t="str">
        <f>""</f>
        <v/>
      </c>
      <c r="CX27" t="str">
        <f>""</f>
        <v/>
      </c>
      <c r="CY27" t="str">
        <f>""</f>
        <v/>
      </c>
      <c r="CZ27" t="str">
        <f>""</f>
        <v/>
      </c>
      <c r="DA27" t="str">
        <f>""</f>
        <v/>
      </c>
      <c r="DB27" t="str">
        <f>""</f>
        <v/>
      </c>
      <c r="DC27" t="str">
        <f>""</f>
        <v/>
      </c>
      <c r="DD27" t="str">
        <f>""</f>
        <v/>
      </c>
      <c r="DE27" t="str">
        <f>""</f>
        <v/>
      </c>
      <c r="DF27" t="str">
        <f>""</f>
        <v/>
      </c>
      <c r="DG27" t="str">
        <f>""</f>
        <v/>
      </c>
      <c r="DH27" t="str">
        <f>""</f>
        <v/>
      </c>
      <c r="DI27" t="str">
        <f>""</f>
        <v/>
      </c>
      <c r="DJ27" t="str">
        <f>""</f>
        <v/>
      </c>
      <c r="DK27" t="str">
        <f>""</f>
        <v/>
      </c>
      <c r="DL27" t="str">
        <f>""</f>
        <v/>
      </c>
      <c r="DM27" t="str">
        <f>""</f>
        <v/>
      </c>
      <c r="DN27" t="str">
        <f>""</f>
        <v/>
      </c>
      <c r="DO27" t="str">
        <f>""</f>
        <v/>
      </c>
      <c r="DP27" t="str">
        <f>""</f>
        <v/>
      </c>
      <c r="DQ27" t="str">
        <f>""</f>
        <v/>
      </c>
      <c r="DR27" t="str">
        <f>""</f>
        <v/>
      </c>
      <c r="DS27" t="str">
        <f>""</f>
        <v/>
      </c>
      <c r="DT27" t="str">
        <f>""</f>
        <v/>
      </c>
      <c r="DU27" t="str">
        <f>""</f>
        <v/>
      </c>
    </row>
    <row r="28" spans="1:125">
      <c r="A28" t="str">
        <f>"    Regency Centers Corp"</f>
        <v xml:space="preserve">    Regency Centers Corp</v>
      </c>
      <c r="B28" t="str">
        <f>"REG US Equity"</f>
        <v>REG US Equity</v>
      </c>
      <c r="C28" t="str">
        <f t="shared" si="3"/>
        <v>IM275</v>
      </c>
      <c r="D28" t="str">
        <f t="shared" si="4"/>
        <v>IS_OTHER_RENTAL_INCOME</v>
      </c>
      <c r="E28" t="str">
        <f t="shared" si="5"/>
        <v>动态</v>
      </c>
      <c r="F28" t="str">
        <f ca="1">IF(AND(ISNUMBER($F$488),$B$419=1),$F$488,HLOOKUP(INDIRECT(ADDRESS(2,COLUMN())),OFFSET($BN$2,0,0,ROW()-1,60),ROW()-1,FALSE))</f>
        <v/>
      </c>
      <c r="G28">
        <f ca="1">IF(AND(ISNUMBER($G$488),$B$419=1),$G$488,HLOOKUP(INDIRECT(ADDRESS(2,COLUMN())),OFFSET($BN$2,0,0,ROW()-1,60),ROW()-1,FALSE))</f>
        <v>0</v>
      </c>
      <c r="H28">
        <f ca="1">IF(AND(ISNUMBER($H$488),$B$419=1),$H$488,HLOOKUP(INDIRECT(ADDRESS(2,COLUMN())),OFFSET($BN$2,0,0,ROW()-1,60),ROW()-1,FALSE))</f>
        <v>0</v>
      </c>
      <c r="I28">
        <f ca="1">IF(AND(ISNUMBER($I$488),$B$419=1),$I$488,HLOOKUP(INDIRECT(ADDRESS(2,COLUMN())),OFFSET($BN$2,0,0,ROW()-1,60),ROW()-1,FALSE))</f>
        <v>0</v>
      </c>
      <c r="J28">
        <f ca="1">IF(AND(ISNUMBER($J$488),$B$419=1),$J$488,HLOOKUP(INDIRECT(ADDRESS(2,COLUMN())),OFFSET($BN$2,0,0,ROW()-1,60),ROW()-1,FALSE))</f>
        <v>0</v>
      </c>
      <c r="K28">
        <f ca="1">IF(AND(ISNUMBER($K$488),$B$419=1),$K$488,HLOOKUP(INDIRECT(ADDRESS(2,COLUMN())),OFFSET($BN$2,0,0,ROW()-1,60),ROW()-1,FALSE))</f>
        <v>0</v>
      </c>
      <c r="L28">
        <f ca="1">IF(AND(ISNUMBER($L$488),$B$419=1),$L$488,HLOOKUP(INDIRECT(ADDRESS(2,COLUMN())),OFFSET($BN$2,0,0,ROW()-1,60),ROW()-1,FALSE))</f>
        <v>0</v>
      </c>
      <c r="M28">
        <f ca="1">IF(AND(ISNUMBER($M$488),$B$419=1),$M$488,HLOOKUP(INDIRECT(ADDRESS(2,COLUMN())),OFFSET($BN$2,0,0,ROW()-1,60),ROW()-1,FALSE))</f>
        <v>0</v>
      </c>
      <c r="N28">
        <f ca="1">IF(AND(ISNUMBER($N$488),$B$419=1),$N$488,HLOOKUP(INDIRECT(ADDRESS(2,COLUMN())),OFFSET($BN$2,0,0,ROW()-1,60),ROW()-1,FALSE))</f>
        <v>0</v>
      </c>
      <c r="O28">
        <f ca="1">IF(AND(ISNUMBER($O$488),$B$419=1),$O$488,HLOOKUP(INDIRECT(ADDRESS(2,COLUMN())),OFFSET($BN$2,0,0,ROW()-1,60),ROW()-1,FALSE))</f>
        <v>0</v>
      </c>
      <c r="P28">
        <f ca="1">IF(AND(ISNUMBER($P$488),$B$419=1),$P$488,HLOOKUP(INDIRECT(ADDRESS(2,COLUMN())),OFFSET($BN$2,0,0,ROW()-1,60),ROW()-1,FALSE))</f>
        <v>0</v>
      </c>
      <c r="Q28">
        <f ca="1">IF(AND(ISNUMBER($Q$488),$B$419=1),$Q$488,HLOOKUP(INDIRECT(ADDRESS(2,COLUMN())),OFFSET($BN$2,0,0,ROW()-1,60),ROW()-1,FALSE))</f>
        <v>0</v>
      </c>
      <c r="R28">
        <f ca="1">IF(AND(ISNUMBER($R$488),$B$419=1),$R$488,HLOOKUP(INDIRECT(ADDRESS(2,COLUMN())),OFFSET($BN$2,0,0,ROW()-1,60),ROW()-1,FALSE))</f>
        <v>0</v>
      </c>
      <c r="S28">
        <f ca="1">IF(AND(ISNUMBER($S$488),$B$419=1),$S$488,HLOOKUP(INDIRECT(ADDRESS(2,COLUMN())),OFFSET($BN$2,0,0,ROW()-1,60),ROW()-1,FALSE))</f>
        <v>0</v>
      </c>
      <c r="T28">
        <f ca="1">IF(AND(ISNUMBER($T$488),$B$419=1),$T$488,HLOOKUP(INDIRECT(ADDRESS(2,COLUMN())),OFFSET($BN$2,0,0,ROW()-1,60),ROW()-1,FALSE))</f>
        <v>0</v>
      </c>
      <c r="U28">
        <f ca="1">IF(AND(ISNUMBER($U$488),$B$419=1),$U$488,HLOOKUP(INDIRECT(ADDRESS(2,COLUMN())),OFFSET($BN$2,0,0,ROW()-1,60),ROW()-1,FALSE))</f>
        <v>0</v>
      </c>
      <c r="V28">
        <f ca="1">IF(AND(ISNUMBER($V$488),$B$419=1),$V$488,HLOOKUP(INDIRECT(ADDRESS(2,COLUMN())),OFFSET($BN$2,0,0,ROW()-1,60),ROW()-1,FALSE))</f>
        <v>0</v>
      </c>
      <c r="W28">
        <f ca="1">IF(AND(ISNUMBER($W$488),$B$419=1),$W$488,HLOOKUP(INDIRECT(ADDRESS(2,COLUMN())),OFFSET($BN$2,0,0,ROW()-1,60),ROW()-1,FALSE))</f>
        <v>0</v>
      </c>
      <c r="X28">
        <f ca="1">IF(AND(ISNUMBER($X$488),$B$419=1),$X$488,HLOOKUP(INDIRECT(ADDRESS(2,COLUMN())),OFFSET($BN$2,0,0,ROW()-1,60),ROW()-1,FALSE))</f>
        <v>0</v>
      </c>
      <c r="Y28">
        <f ca="1">IF(AND(ISNUMBER($Y$488),$B$419=1),$Y$488,HLOOKUP(INDIRECT(ADDRESS(2,COLUMN())),OFFSET($BN$2,0,0,ROW()-1,60),ROW()-1,FALSE))</f>
        <v>0</v>
      </c>
      <c r="Z28">
        <f ca="1">IF(AND(ISNUMBER($Z$488),$B$419=1),$Z$488,HLOOKUP(INDIRECT(ADDRESS(2,COLUMN())),OFFSET($BN$2,0,0,ROW()-1,60),ROW()-1,FALSE))</f>
        <v>0</v>
      </c>
      <c r="AA28">
        <f ca="1">IF(AND(ISNUMBER($AA$488),$B$419=1),$AA$488,HLOOKUP(INDIRECT(ADDRESS(2,COLUMN())),OFFSET($BN$2,0,0,ROW()-1,60),ROW()-1,FALSE))</f>
        <v>0</v>
      </c>
      <c r="AB28">
        <f ca="1">IF(AND(ISNUMBER($AB$488),$B$419=1),$AB$488,HLOOKUP(INDIRECT(ADDRESS(2,COLUMN())),OFFSET($BN$2,0,0,ROW()-1,60),ROW()-1,FALSE))</f>
        <v>0</v>
      </c>
      <c r="AC28">
        <f ca="1">IF(AND(ISNUMBER($AC$488),$B$419=1),$AC$488,HLOOKUP(INDIRECT(ADDRESS(2,COLUMN())),OFFSET($BN$2,0,0,ROW()-1,60),ROW()-1,FALSE))</f>
        <v>0</v>
      </c>
      <c r="AD28">
        <f ca="1">IF(AND(ISNUMBER($AD$488),$B$419=1),$AD$488,HLOOKUP(INDIRECT(ADDRESS(2,COLUMN())),OFFSET($BN$2,0,0,ROW()-1,60),ROW()-1,FALSE))</f>
        <v>0</v>
      </c>
      <c r="AE28">
        <f ca="1">IF(AND(ISNUMBER($AE$488),$B$419=1),$AE$488,HLOOKUP(INDIRECT(ADDRESS(2,COLUMN())),OFFSET($BN$2,0,0,ROW()-1,60),ROW()-1,FALSE))</f>
        <v>0</v>
      </c>
      <c r="AF28">
        <f ca="1">IF(AND(ISNUMBER($AF$488),$B$419=1),$AF$488,HLOOKUP(INDIRECT(ADDRESS(2,COLUMN())),OFFSET($BN$2,0,0,ROW()-1,60),ROW()-1,FALSE))</f>
        <v>0</v>
      </c>
      <c r="AG28">
        <f ca="1">IF(AND(ISNUMBER($AG$488),$B$419=1),$AG$488,HLOOKUP(INDIRECT(ADDRESS(2,COLUMN())),OFFSET($BN$2,0,0,ROW()-1,60),ROW()-1,FALSE))</f>
        <v>0</v>
      </c>
      <c r="AH28">
        <f ca="1">IF(AND(ISNUMBER($AH$488),$B$419=1),$AH$488,HLOOKUP(INDIRECT(ADDRESS(2,COLUMN())),OFFSET($BN$2,0,0,ROW()-1,60),ROW()-1,FALSE))</f>
        <v>0</v>
      </c>
      <c r="AI28">
        <f ca="1">IF(AND(ISNUMBER($AI$488),$B$419=1),$AI$488,HLOOKUP(INDIRECT(ADDRESS(2,COLUMN())),OFFSET($BN$2,0,0,ROW()-1,60),ROW()-1,FALSE))</f>
        <v>0</v>
      </c>
      <c r="AJ28">
        <f ca="1">IF(AND(ISNUMBER($AJ$488),$B$419=1),$AJ$488,HLOOKUP(INDIRECT(ADDRESS(2,COLUMN())),OFFSET($BN$2,0,0,ROW()-1,60),ROW()-1,FALSE))</f>
        <v>0</v>
      </c>
      <c r="AK28">
        <f ca="1">IF(AND(ISNUMBER($AK$488),$B$419=1),$AK$488,HLOOKUP(INDIRECT(ADDRESS(2,COLUMN())),OFFSET($BN$2,0,0,ROW()-1,60),ROW()-1,FALSE))</f>
        <v>0</v>
      </c>
      <c r="AL28">
        <f ca="1">IF(AND(ISNUMBER($AL$488),$B$419=1),$AL$488,HLOOKUP(INDIRECT(ADDRESS(2,COLUMN())),OFFSET($BN$2,0,0,ROW()-1,60),ROW()-1,FALSE))</f>
        <v>0</v>
      </c>
      <c r="AM28">
        <f ca="1">IF(AND(ISNUMBER($AM$488),$B$419=1),$AM$488,HLOOKUP(INDIRECT(ADDRESS(2,COLUMN())),OFFSET($BN$2,0,0,ROW()-1,60),ROW()-1,FALSE))</f>
        <v>0</v>
      </c>
      <c r="AN28">
        <f ca="1">IF(AND(ISNUMBER($AN$488),$B$419=1),$AN$488,HLOOKUP(INDIRECT(ADDRESS(2,COLUMN())),OFFSET($BN$2,0,0,ROW()-1,60),ROW()-1,FALSE))</f>
        <v>0</v>
      </c>
      <c r="AO28">
        <f ca="1">IF(AND(ISNUMBER($AO$488),$B$419=1),$AO$488,HLOOKUP(INDIRECT(ADDRESS(2,COLUMN())),OFFSET($BN$2,0,0,ROW()-1,60),ROW()-1,FALSE))</f>
        <v>0</v>
      </c>
      <c r="AP28">
        <f ca="1">IF(AND(ISNUMBER($AP$488),$B$419=1),$AP$488,HLOOKUP(INDIRECT(ADDRESS(2,COLUMN())),OFFSET($BN$2,0,0,ROW()-1,60),ROW()-1,FALSE))</f>
        <v>0</v>
      </c>
      <c r="AQ28" t="str">
        <f ca="1">IF(AND(ISNUMBER($AQ$488),$B$419=1),$AQ$488,HLOOKUP(INDIRECT(ADDRESS(2,COLUMN())),OFFSET($BN$2,0,0,ROW()-1,60),ROW()-1,FALSE))</f>
        <v/>
      </c>
      <c r="AR28" t="str">
        <f ca="1">IF(AND(ISNUMBER($AR$488),$B$419=1),$AR$488,HLOOKUP(INDIRECT(ADDRESS(2,COLUMN())),OFFSET($BN$2,0,0,ROW()-1,60),ROW()-1,FALSE))</f>
        <v/>
      </c>
      <c r="AS28" t="str">
        <f ca="1">IF(AND(ISNUMBER($AS$488),$B$419=1),$AS$488,HLOOKUP(INDIRECT(ADDRESS(2,COLUMN())),OFFSET($BN$2,0,0,ROW()-1,60),ROW()-1,FALSE))</f>
        <v/>
      </c>
      <c r="AT28" t="str">
        <f ca="1">IF(AND(ISNUMBER($AT$488),$B$419=1),$AT$488,HLOOKUP(INDIRECT(ADDRESS(2,COLUMN())),OFFSET($BN$2,0,0,ROW()-1,60),ROW()-1,FALSE))</f>
        <v/>
      </c>
      <c r="AU28" t="str">
        <f ca="1">IF(AND(ISNUMBER($AU$488),$B$419=1),$AU$488,HLOOKUP(INDIRECT(ADDRESS(2,COLUMN())),OFFSET($BN$2,0,0,ROW()-1,60),ROW()-1,FALSE))</f>
        <v/>
      </c>
      <c r="AV28" t="str">
        <f ca="1">IF(AND(ISNUMBER($AV$488),$B$419=1),$AV$488,HLOOKUP(INDIRECT(ADDRESS(2,COLUMN())),OFFSET($BN$2,0,0,ROW()-1,60),ROW()-1,FALSE))</f>
        <v/>
      </c>
      <c r="AW28" t="str">
        <f ca="1">IF(AND(ISNUMBER($AW$488),$B$419=1),$AW$488,HLOOKUP(INDIRECT(ADDRESS(2,COLUMN())),OFFSET($BN$2,0,0,ROW()-1,60),ROW()-1,FALSE))</f>
        <v/>
      </c>
      <c r="AX28" t="str">
        <f ca="1">IF(AND(ISNUMBER($AX$488),$B$419=1),$AX$488,HLOOKUP(INDIRECT(ADDRESS(2,COLUMN())),OFFSET($BN$2,0,0,ROW()-1,60),ROW()-1,FALSE))</f>
        <v/>
      </c>
      <c r="AY28" t="str">
        <f ca="1">IF(AND(ISNUMBER($AY$488),$B$419=1),$AY$488,HLOOKUP(INDIRECT(ADDRESS(2,COLUMN())),OFFSET($BN$2,0,0,ROW()-1,60),ROW()-1,FALSE))</f>
        <v/>
      </c>
      <c r="AZ28" t="str">
        <f ca="1">IF(AND(ISNUMBER($AZ$488),$B$419=1),$AZ$488,HLOOKUP(INDIRECT(ADDRESS(2,COLUMN())),OFFSET($BN$2,0,0,ROW()-1,60),ROW()-1,FALSE))</f>
        <v/>
      </c>
      <c r="BA28" t="str">
        <f ca="1">IF(AND(ISNUMBER($BA$488),$B$419=1),$BA$488,HLOOKUP(INDIRECT(ADDRESS(2,COLUMN())),OFFSET($BN$2,0,0,ROW()-1,60),ROW()-1,FALSE))</f>
        <v/>
      </c>
      <c r="BB28" t="str">
        <f ca="1">IF(AND(ISNUMBER($BB$488),$B$419=1),$BB$488,HLOOKUP(INDIRECT(ADDRESS(2,COLUMN())),OFFSET($BN$2,0,0,ROW()-1,60),ROW()-1,FALSE))</f>
        <v/>
      </c>
      <c r="BC28" t="str">
        <f ca="1">IF(AND(ISNUMBER($BC$488),$B$419=1),$BC$488,HLOOKUP(INDIRECT(ADDRESS(2,COLUMN())),OFFSET($BN$2,0,0,ROW()-1,60),ROW()-1,FALSE))</f>
        <v/>
      </c>
      <c r="BD28" t="str">
        <f ca="1">IF(AND(ISNUMBER($BD$488),$B$419=1),$BD$488,HLOOKUP(INDIRECT(ADDRESS(2,COLUMN())),OFFSET($BN$2,0,0,ROW()-1,60),ROW()-1,FALSE))</f>
        <v/>
      </c>
      <c r="BE28" t="str">
        <f ca="1">IF(AND(ISNUMBER($BE$488),$B$419=1),$BE$488,HLOOKUP(INDIRECT(ADDRESS(2,COLUMN())),OFFSET($BN$2,0,0,ROW()-1,60),ROW()-1,FALSE))</f>
        <v/>
      </c>
      <c r="BF28" t="str">
        <f ca="1">IF(AND(ISNUMBER($BF$488),$B$419=1),$BF$488,HLOOKUP(INDIRECT(ADDRESS(2,COLUMN())),OFFSET($BN$2,0,0,ROW()-1,60),ROW()-1,FALSE))</f>
        <v/>
      </c>
      <c r="BG28" t="str">
        <f ca="1">IF(AND(ISNUMBER($BG$488),$B$419=1),$BG$488,HLOOKUP(INDIRECT(ADDRESS(2,COLUMN())),OFFSET($BN$2,0,0,ROW()-1,60),ROW()-1,FALSE))</f>
        <v/>
      </c>
      <c r="BH28" t="str">
        <f ca="1">IF(AND(ISNUMBER($BH$488),$B$419=1),$BH$488,HLOOKUP(INDIRECT(ADDRESS(2,COLUMN())),OFFSET($BN$2,0,0,ROW()-1,60),ROW()-1,FALSE))</f>
        <v/>
      </c>
      <c r="BI28" t="str">
        <f ca="1">IF(AND(ISNUMBER($BI$488),$B$419=1),$BI$488,HLOOKUP(INDIRECT(ADDRESS(2,COLUMN())),OFFSET($BN$2,0,0,ROW()-1,60),ROW()-1,FALSE))</f>
        <v/>
      </c>
      <c r="BJ28" t="str">
        <f ca="1">IF(AND(ISNUMBER($BJ$488),$B$419=1),$BJ$488,HLOOKUP(INDIRECT(ADDRESS(2,COLUMN())),OFFSET($BN$2,0,0,ROW()-1,60),ROW()-1,FALSE))</f>
        <v/>
      </c>
      <c r="BK28" t="str">
        <f ca="1">IF(AND(ISNUMBER($BK$488),$B$419=1),$BK$488,HLOOKUP(INDIRECT(ADDRESS(2,COLUMN())),OFFSET($BN$2,0,0,ROW()-1,60),ROW()-1,FALSE))</f>
        <v/>
      </c>
      <c r="BL28" t="str">
        <f ca="1">IF(AND(ISNUMBER($BL$488),$B$419=1),$BL$488,HLOOKUP(INDIRECT(ADDRESS(2,COLUMN())),OFFSET($BN$2,0,0,ROW()-1,60),ROW()-1,FALSE))</f>
        <v/>
      </c>
      <c r="BM28" t="str">
        <f ca="1">IF(AND(ISNUMBER($BM$488),$B$419=1),$BM$488,HLOOKUP(INDIRECT(ADDRESS(2,COLUMN())),OFFSET($BN$2,0,0,ROW()-1,60),ROW()-1,FALSE))</f>
        <v/>
      </c>
      <c r="BN28" t="str">
        <f>""</f>
        <v/>
      </c>
      <c r="BO28">
        <f>0</f>
        <v>0</v>
      </c>
      <c r="BP28">
        <f>0</f>
        <v>0</v>
      </c>
      <c r="BQ28">
        <f>0</f>
        <v>0</v>
      </c>
      <c r="BR28">
        <f>0</f>
        <v>0</v>
      </c>
      <c r="BS28">
        <f>0</f>
        <v>0</v>
      </c>
      <c r="BT28">
        <f>0</f>
        <v>0</v>
      </c>
      <c r="BU28">
        <f>0</f>
        <v>0</v>
      </c>
      <c r="BV28">
        <f>0</f>
        <v>0</v>
      </c>
      <c r="BW28">
        <f>0</f>
        <v>0</v>
      </c>
      <c r="BX28">
        <f>0</f>
        <v>0</v>
      </c>
      <c r="BY28">
        <f>0</f>
        <v>0</v>
      </c>
      <c r="BZ28">
        <f>0</f>
        <v>0</v>
      </c>
      <c r="CA28">
        <f>0</f>
        <v>0</v>
      </c>
      <c r="CB28">
        <f>0</f>
        <v>0</v>
      </c>
      <c r="CC28">
        <f>0</f>
        <v>0</v>
      </c>
      <c r="CD28">
        <f>0</f>
        <v>0</v>
      </c>
      <c r="CE28">
        <f>0</f>
        <v>0</v>
      </c>
      <c r="CF28">
        <f>0</f>
        <v>0</v>
      </c>
      <c r="CG28">
        <f>0</f>
        <v>0</v>
      </c>
      <c r="CH28">
        <f>0</f>
        <v>0</v>
      </c>
      <c r="CI28">
        <f>0</f>
        <v>0</v>
      </c>
      <c r="CJ28">
        <f>0</f>
        <v>0</v>
      </c>
      <c r="CK28">
        <f>0</f>
        <v>0</v>
      </c>
      <c r="CL28">
        <f>0</f>
        <v>0</v>
      </c>
      <c r="CM28">
        <f>0</f>
        <v>0</v>
      </c>
      <c r="CN28">
        <f>0</f>
        <v>0</v>
      </c>
      <c r="CO28">
        <f>0</f>
        <v>0</v>
      </c>
      <c r="CP28">
        <f>0</f>
        <v>0</v>
      </c>
      <c r="CQ28">
        <f>0</f>
        <v>0</v>
      </c>
      <c r="CR28">
        <f>0</f>
        <v>0</v>
      </c>
      <c r="CS28">
        <f>0</f>
        <v>0</v>
      </c>
      <c r="CT28">
        <f>0</f>
        <v>0</v>
      </c>
      <c r="CU28">
        <f>0</f>
        <v>0</v>
      </c>
      <c r="CV28">
        <f>0</f>
        <v>0</v>
      </c>
      <c r="CW28">
        <f>0</f>
        <v>0</v>
      </c>
      <c r="CX28">
        <f>0</f>
        <v>0</v>
      </c>
      <c r="CY28" t="str">
        <f>""</f>
        <v/>
      </c>
      <c r="CZ28" t="str">
        <f>""</f>
        <v/>
      </c>
      <c r="DA28" t="str">
        <f>""</f>
        <v/>
      </c>
      <c r="DB28" t="str">
        <f>""</f>
        <v/>
      </c>
      <c r="DC28" t="str">
        <f>""</f>
        <v/>
      </c>
      <c r="DD28" t="str">
        <f>""</f>
        <v/>
      </c>
      <c r="DE28" t="str">
        <f>""</f>
        <v/>
      </c>
      <c r="DF28" t="str">
        <f>""</f>
        <v/>
      </c>
      <c r="DG28" t="str">
        <f>""</f>
        <v/>
      </c>
      <c r="DH28" t="str">
        <f>""</f>
        <v/>
      </c>
      <c r="DI28" t="str">
        <f>""</f>
        <v/>
      </c>
      <c r="DJ28" t="str">
        <f>""</f>
        <v/>
      </c>
      <c r="DK28" t="str">
        <f>""</f>
        <v/>
      </c>
      <c r="DL28" t="str">
        <f>""</f>
        <v/>
      </c>
      <c r="DM28" t="str">
        <f>""</f>
        <v/>
      </c>
      <c r="DN28" t="str">
        <f>""</f>
        <v/>
      </c>
      <c r="DO28" t="str">
        <f>""</f>
        <v/>
      </c>
      <c r="DP28" t="str">
        <f>""</f>
        <v/>
      </c>
      <c r="DQ28" t="str">
        <f>""</f>
        <v/>
      </c>
      <c r="DR28" t="str">
        <f>""</f>
        <v/>
      </c>
      <c r="DS28" t="str">
        <f>""</f>
        <v/>
      </c>
      <c r="DT28" t="str">
        <f>""</f>
        <v/>
      </c>
      <c r="DU28" t="str">
        <f>""</f>
        <v/>
      </c>
    </row>
    <row r="29" spans="1:125">
      <c r="A29" t="str">
        <f>"    Retail Opportunity Investments"</f>
        <v xml:space="preserve">    Retail Opportunity Investments</v>
      </c>
      <c r="B29" t="str">
        <f>"ROIC US Equity"</f>
        <v>ROIC US Equity</v>
      </c>
      <c r="C29" t="str">
        <f t="shared" si="3"/>
        <v>IM275</v>
      </c>
      <c r="D29" t="str">
        <f t="shared" si="4"/>
        <v>IS_OTHER_RENTAL_INCOME</v>
      </c>
      <c r="E29" t="str">
        <f t="shared" si="5"/>
        <v>动态</v>
      </c>
      <c r="F29" t="str">
        <f ca="1">IF(AND(ISNUMBER($F$489),$B$419=1),$F$489,HLOOKUP(INDIRECT(ADDRESS(2,COLUMN())),OFFSET($BN$2,0,0,ROW()-1,60),ROW()-1,FALSE))</f>
        <v/>
      </c>
      <c r="G29">
        <f ca="1">IF(AND(ISNUMBER($G$489),$B$419=1),$G$489,HLOOKUP(INDIRECT(ADDRESS(2,COLUMN())),OFFSET($BN$2,0,0,ROW()-1,60),ROW()-1,FALSE))</f>
        <v>0</v>
      </c>
      <c r="H29">
        <f ca="1">IF(AND(ISNUMBER($H$489),$B$419=1),$H$489,HLOOKUP(INDIRECT(ADDRESS(2,COLUMN())),OFFSET($BN$2,0,0,ROW()-1,60),ROW()-1,FALSE))</f>
        <v>0</v>
      </c>
      <c r="I29">
        <f ca="1">IF(AND(ISNUMBER($I$489),$B$419=1),$I$489,HLOOKUP(INDIRECT(ADDRESS(2,COLUMN())),OFFSET($BN$2,0,0,ROW()-1,60),ROW()-1,FALSE))</f>
        <v>0</v>
      </c>
      <c r="J29">
        <f ca="1">IF(AND(ISNUMBER($J$489),$B$419=1),$J$489,HLOOKUP(INDIRECT(ADDRESS(2,COLUMN())),OFFSET($BN$2,0,0,ROW()-1,60),ROW()-1,FALSE))</f>
        <v>0</v>
      </c>
      <c r="K29">
        <f ca="1">IF(AND(ISNUMBER($K$489),$B$419=1),$K$489,HLOOKUP(INDIRECT(ADDRESS(2,COLUMN())),OFFSET($BN$2,0,0,ROW()-1,60),ROW()-1,FALSE))</f>
        <v>0</v>
      </c>
      <c r="L29">
        <f ca="1">IF(AND(ISNUMBER($L$489),$B$419=1),$L$489,HLOOKUP(INDIRECT(ADDRESS(2,COLUMN())),OFFSET($BN$2,0,0,ROW()-1,60),ROW()-1,FALSE))</f>
        <v>0</v>
      </c>
      <c r="M29">
        <f ca="1">IF(AND(ISNUMBER($M$489),$B$419=1),$M$489,HLOOKUP(INDIRECT(ADDRESS(2,COLUMN())),OFFSET($BN$2,0,0,ROW()-1,60),ROW()-1,FALSE))</f>
        <v>0</v>
      </c>
      <c r="N29">
        <f ca="1">IF(AND(ISNUMBER($N$489),$B$419=1),$N$489,HLOOKUP(INDIRECT(ADDRESS(2,COLUMN())),OFFSET($BN$2,0,0,ROW()-1,60),ROW()-1,FALSE))</f>
        <v>0</v>
      </c>
      <c r="O29">
        <f ca="1">IF(AND(ISNUMBER($O$489),$B$419=1),$O$489,HLOOKUP(INDIRECT(ADDRESS(2,COLUMN())),OFFSET($BN$2,0,0,ROW()-1,60),ROW()-1,FALSE))</f>
        <v>0</v>
      </c>
      <c r="P29">
        <f ca="1">IF(AND(ISNUMBER($P$489),$B$419=1),$P$489,HLOOKUP(INDIRECT(ADDRESS(2,COLUMN())),OFFSET($BN$2,0,0,ROW()-1,60),ROW()-1,FALSE))</f>
        <v>0</v>
      </c>
      <c r="Q29">
        <f ca="1">IF(AND(ISNUMBER($Q$489),$B$419=1),$Q$489,HLOOKUP(INDIRECT(ADDRESS(2,COLUMN())),OFFSET($BN$2,0,0,ROW()-1,60),ROW()-1,FALSE))</f>
        <v>0</v>
      </c>
      <c r="R29">
        <f ca="1">IF(AND(ISNUMBER($R$489),$B$419=1),$R$489,HLOOKUP(INDIRECT(ADDRESS(2,COLUMN())),OFFSET($BN$2,0,0,ROW()-1,60),ROW()-1,FALSE))</f>
        <v>0</v>
      </c>
      <c r="S29">
        <f ca="1">IF(AND(ISNUMBER($S$489),$B$419=1),$S$489,HLOOKUP(INDIRECT(ADDRESS(2,COLUMN())),OFFSET($BN$2,0,0,ROW()-1,60),ROW()-1,FALSE))</f>
        <v>0</v>
      </c>
      <c r="T29">
        <f ca="1">IF(AND(ISNUMBER($T$489),$B$419=1),$T$489,HLOOKUP(INDIRECT(ADDRESS(2,COLUMN())),OFFSET($BN$2,0,0,ROW()-1,60),ROW()-1,FALSE))</f>
        <v>0</v>
      </c>
      <c r="U29">
        <f ca="1">IF(AND(ISNUMBER($U$489),$B$419=1),$U$489,HLOOKUP(INDIRECT(ADDRESS(2,COLUMN())),OFFSET($BN$2,0,0,ROW()-1,60),ROW()-1,FALSE))</f>
        <v>0</v>
      </c>
      <c r="V29">
        <f ca="1">IF(AND(ISNUMBER($V$489),$B$419=1),$V$489,HLOOKUP(INDIRECT(ADDRESS(2,COLUMN())),OFFSET($BN$2,0,0,ROW()-1,60),ROW()-1,FALSE))</f>
        <v>0</v>
      </c>
      <c r="W29">
        <f ca="1">IF(AND(ISNUMBER($W$489),$B$419=1),$W$489,HLOOKUP(INDIRECT(ADDRESS(2,COLUMN())),OFFSET($BN$2,0,0,ROW()-1,60),ROW()-1,FALSE))</f>
        <v>0</v>
      </c>
      <c r="X29">
        <f ca="1">IF(AND(ISNUMBER($X$489),$B$419=1),$X$489,HLOOKUP(INDIRECT(ADDRESS(2,COLUMN())),OFFSET($BN$2,0,0,ROW()-1,60),ROW()-1,FALSE))</f>
        <v>0</v>
      </c>
      <c r="Y29">
        <f ca="1">IF(AND(ISNUMBER($Y$489),$B$419=1),$Y$489,HLOOKUP(INDIRECT(ADDRESS(2,COLUMN())),OFFSET($BN$2,0,0,ROW()-1,60),ROW()-1,FALSE))</f>
        <v>0</v>
      </c>
      <c r="Z29">
        <f ca="1">IF(AND(ISNUMBER($Z$489),$B$419=1),$Z$489,HLOOKUP(INDIRECT(ADDRESS(2,COLUMN())),OFFSET($BN$2,0,0,ROW()-1,60),ROW()-1,FALSE))</f>
        <v>0</v>
      </c>
      <c r="AA29">
        <f ca="1">IF(AND(ISNUMBER($AA$489),$B$419=1),$AA$489,HLOOKUP(INDIRECT(ADDRESS(2,COLUMN())),OFFSET($BN$2,0,0,ROW()-1,60),ROW()-1,FALSE))</f>
        <v>0</v>
      </c>
      <c r="AB29">
        <f ca="1">IF(AND(ISNUMBER($AB$489),$B$419=1),$AB$489,HLOOKUP(INDIRECT(ADDRESS(2,COLUMN())),OFFSET($BN$2,0,0,ROW()-1,60),ROW()-1,FALSE))</f>
        <v>0</v>
      </c>
      <c r="AC29">
        <f ca="1">IF(AND(ISNUMBER($AC$489),$B$419=1),$AC$489,HLOOKUP(INDIRECT(ADDRESS(2,COLUMN())),OFFSET($BN$2,0,0,ROW()-1,60),ROW()-1,FALSE))</f>
        <v>0</v>
      </c>
      <c r="AD29">
        <f ca="1">IF(AND(ISNUMBER($AD$489),$B$419=1),$AD$489,HLOOKUP(INDIRECT(ADDRESS(2,COLUMN())),OFFSET($BN$2,0,0,ROW()-1,60),ROW()-1,FALSE))</f>
        <v>0</v>
      </c>
      <c r="AE29">
        <f ca="1">IF(AND(ISNUMBER($AE$489),$B$419=1),$AE$489,HLOOKUP(INDIRECT(ADDRESS(2,COLUMN())),OFFSET($BN$2,0,0,ROW()-1,60),ROW()-1,FALSE))</f>
        <v>0</v>
      </c>
      <c r="AF29">
        <f ca="1">IF(AND(ISNUMBER($AF$489),$B$419=1),$AF$489,HLOOKUP(INDIRECT(ADDRESS(2,COLUMN())),OFFSET($BN$2,0,0,ROW()-1,60),ROW()-1,FALSE))</f>
        <v>0</v>
      </c>
      <c r="AG29">
        <f ca="1">IF(AND(ISNUMBER($AG$489),$B$419=1),$AG$489,HLOOKUP(INDIRECT(ADDRESS(2,COLUMN())),OFFSET($BN$2,0,0,ROW()-1,60),ROW()-1,FALSE))</f>
        <v>0</v>
      </c>
      <c r="AH29">
        <f ca="1">IF(AND(ISNUMBER($AH$489),$B$419=1),$AH$489,HLOOKUP(INDIRECT(ADDRESS(2,COLUMN())),OFFSET($BN$2,0,0,ROW()-1,60),ROW()-1,FALSE))</f>
        <v>0</v>
      </c>
      <c r="AI29">
        <f ca="1">IF(AND(ISNUMBER($AI$489),$B$419=1),$AI$489,HLOOKUP(INDIRECT(ADDRESS(2,COLUMN())),OFFSET($BN$2,0,0,ROW()-1,60),ROW()-1,FALSE))</f>
        <v>0</v>
      </c>
      <c r="AJ29">
        <f ca="1">IF(AND(ISNUMBER($AJ$489),$B$419=1),$AJ$489,HLOOKUP(INDIRECT(ADDRESS(2,COLUMN())),OFFSET($BN$2,0,0,ROW()-1,60),ROW()-1,FALSE))</f>
        <v>0</v>
      </c>
      <c r="AK29">
        <f ca="1">IF(AND(ISNUMBER($AK$489),$B$419=1),$AK$489,HLOOKUP(INDIRECT(ADDRESS(2,COLUMN())),OFFSET($BN$2,0,0,ROW()-1,60),ROW()-1,FALSE))</f>
        <v>0</v>
      </c>
      <c r="AL29">
        <f ca="1">IF(AND(ISNUMBER($AL$489),$B$419=1),$AL$489,HLOOKUP(INDIRECT(ADDRESS(2,COLUMN())),OFFSET($BN$2,0,0,ROW()-1,60),ROW()-1,FALSE))</f>
        <v>0</v>
      </c>
      <c r="AM29" t="str">
        <f ca="1">IF(AND(ISNUMBER($AM$489),$B$419=1),$AM$489,HLOOKUP(INDIRECT(ADDRESS(2,COLUMN())),OFFSET($BN$2,0,0,ROW()-1,60),ROW()-1,FALSE))</f>
        <v/>
      </c>
      <c r="AN29" t="str">
        <f ca="1">IF(AND(ISNUMBER($AN$489),$B$419=1),$AN$489,HLOOKUP(INDIRECT(ADDRESS(2,COLUMN())),OFFSET($BN$2,0,0,ROW()-1,60),ROW()-1,FALSE))</f>
        <v/>
      </c>
      <c r="AO29" t="str">
        <f ca="1">IF(AND(ISNUMBER($AO$489),$B$419=1),$AO$489,HLOOKUP(INDIRECT(ADDRESS(2,COLUMN())),OFFSET($BN$2,0,0,ROW()-1,60),ROW()-1,FALSE))</f>
        <v/>
      </c>
      <c r="AP29" t="str">
        <f ca="1">IF(AND(ISNUMBER($AP$489),$B$419=1),$AP$489,HLOOKUP(INDIRECT(ADDRESS(2,COLUMN())),OFFSET($BN$2,0,0,ROW()-1,60),ROW()-1,FALSE))</f>
        <v/>
      </c>
      <c r="AQ29" t="str">
        <f ca="1">IF(AND(ISNUMBER($AQ$489),$B$419=1),$AQ$489,HLOOKUP(INDIRECT(ADDRESS(2,COLUMN())),OFFSET($BN$2,0,0,ROW()-1,60),ROW()-1,FALSE))</f>
        <v/>
      </c>
      <c r="AR29" t="str">
        <f ca="1">IF(AND(ISNUMBER($AR$489),$B$419=1),$AR$489,HLOOKUP(INDIRECT(ADDRESS(2,COLUMN())),OFFSET($BN$2,0,0,ROW()-1,60),ROW()-1,FALSE))</f>
        <v/>
      </c>
      <c r="AS29" t="str">
        <f ca="1">IF(AND(ISNUMBER($AS$489),$B$419=1),$AS$489,HLOOKUP(INDIRECT(ADDRESS(2,COLUMN())),OFFSET($BN$2,0,0,ROW()-1,60),ROW()-1,FALSE))</f>
        <v/>
      </c>
      <c r="AT29" t="str">
        <f ca="1">IF(AND(ISNUMBER($AT$489),$B$419=1),$AT$489,HLOOKUP(INDIRECT(ADDRESS(2,COLUMN())),OFFSET($BN$2,0,0,ROW()-1,60),ROW()-1,FALSE))</f>
        <v/>
      </c>
      <c r="AU29" t="str">
        <f ca="1">IF(AND(ISNUMBER($AU$489),$B$419=1),$AU$489,HLOOKUP(INDIRECT(ADDRESS(2,COLUMN())),OFFSET($BN$2,0,0,ROW()-1,60),ROW()-1,FALSE))</f>
        <v/>
      </c>
      <c r="AV29" t="str">
        <f ca="1">IF(AND(ISNUMBER($AV$489),$B$419=1),$AV$489,HLOOKUP(INDIRECT(ADDRESS(2,COLUMN())),OFFSET($BN$2,0,0,ROW()-1,60),ROW()-1,FALSE))</f>
        <v/>
      </c>
      <c r="AW29" t="str">
        <f ca="1">IF(AND(ISNUMBER($AW$489),$B$419=1),$AW$489,HLOOKUP(INDIRECT(ADDRESS(2,COLUMN())),OFFSET($BN$2,0,0,ROW()-1,60),ROW()-1,FALSE))</f>
        <v/>
      </c>
      <c r="AX29" t="str">
        <f ca="1">IF(AND(ISNUMBER($AX$489),$B$419=1),$AX$489,HLOOKUP(INDIRECT(ADDRESS(2,COLUMN())),OFFSET($BN$2,0,0,ROW()-1,60),ROW()-1,FALSE))</f>
        <v/>
      </c>
      <c r="AY29" t="str">
        <f ca="1">IF(AND(ISNUMBER($AY$489),$B$419=1),$AY$489,HLOOKUP(INDIRECT(ADDRESS(2,COLUMN())),OFFSET($BN$2,0,0,ROW()-1,60),ROW()-1,FALSE))</f>
        <v/>
      </c>
      <c r="AZ29" t="str">
        <f ca="1">IF(AND(ISNUMBER($AZ$489),$B$419=1),$AZ$489,HLOOKUP(INDIRECT(ADDRESS(2,COLUMN())),OFFSET($BN$2,0,0,ROW()-1,60),ROW()-1,FALSE))</f>
        <v/>
      </c>
      <c r="BA29" t="str">
        <f ca="1">IF(AND(ISNUMBER($BA$489),$B$419=1),$BA$489,HLOOKUP(INDIRECT(ADDRESS(2,COLUMN())),OFFSET($BN$2,0,0,ROW()-1,60),ROW()-1,FALSE))</f>
        <v/>
      </c>
      <c r="BB29" t="str">
        <f ca="1">IF(AND(ISNUMBER($BB$489),$B$419=1),$BB$489,HLOOKUP(INDIRECT(ADDRESS(2,COLUMN())),OFFSET($BN$2,0,0,ROW()-1,60),ROW()-1,FALSE))</f>
        <v/>
      </c>
      <c r="BC29" t="str">
        <f ca="1">IF(AND(ISNUMBER($BC$489),$B$419=1),$BC$489,HLOOKUP(INDIRECT(ADDRESS(2,COLUMN())),OFFSET($BN$2,0,0,ROW()-1,60),ROW()-1,FALSE))</f>
        <v/>
      </c>
      <c r="BD29" t="str">
        <f ca="1">IF(AND(ISNUMBER($BD$489),$B$419=1),$BD$489,HLOOKUP(INDIRECT(ADDRESS(2,COLUMN())),OFFSET($BN$2,0,0,ROW()-1,60),ROW()-1,FALSE))</f>
        <v/>
      </c>
      <c r="BE29" t="str">
        <f ca="1">IF(AND(ISNUMBER($BE$489),$B$419=1),$BE$489,HLOOKUP(INDIRECT(ADDRESS(2,COLUMN())),OFFSET($BN$2,0,0,ROW()-1,60),ROW()-1,FALSE))</f>
        <v/>
      </c>
      <c r="BF29" t="str">
        <f ca="1">IF(AND(ISNUMBER($BF$489),$B$419=1),$BF$489,HLOOKUP(INDIRECT(ADDRESS(2,COLUMN())),OFFSET($BN$2,0,0,ROW()-1,60),ROW()-1,FALSE))</f>
        <v/>
      </c>
      <c r="BG29" t="str">
        <f ca="1">IF(AND(ISNUMBER($BG$489),$B$419=1),$BG$489,HLOOKUP(INDIRECT(ADDRESS(2,COLUMN())),OFFSET($BN$2,0,0,ROW()-1,60),ROW()-1,FALSE))</f>
        <v/>
      </c>
      <c r="BH29" t="str">
        <f ca="1">IF(AND(ISNUMBER($BH$489),$B$419=1),$BH$489,HLOOKUP(INDIRECT(ADDRESS(2,COLUMN())),OFFSET($BN$2,0,0,ROW()-1,60),ROW()-1,FALSE))</f>
        <v/>
      </c>
      <c r="BI29" t="str">
        <f ca="1">IF(AND(ISNUMBER($BI$489),$B$419=1),$BI$489,HLOOKUP(INDIRECT(ADDRESS(2,COLUMN())),OFFSET($BN$2,0,0,ROW()-1,60),ROW()-1,FALSE))</f>
        <v/>
      </c>
      <c r="BJ29" t="str">
        <f ca="1">IF(AND(ISNUMBER($BJ$489),$B$419=1),$BJ$489,HLOOKUP(INDIRECT(ADDRESS(2,COLUMN())),OFFSET($BN$2,0,0,ROW()-1,60),ROW()-1,FALSE))</f>
        <v/>
      </c>
      <c r="BK29" t="str">
        <f ca="1">IF(AND(ISNUMBER($BK$489),$B$419=1),$BK$489,HLOOKUP(INDIRECT(ADDRESS(2,COLUMN())),OFFSET($BN$2,0,0,ROW()-1,60),ROW()-1,FALSE))</f>
        <v/>
      </c>
      <c r="BL29" t="str">
        <f ca="1">IF(AND(ISNUMBER($BL$489),$B$419=1),$BL$489,HLOOKUP(INDIRECT(ADDRESS(2,COLUMN())),OFFSET($BN$2,0,0,ROW()-1,60),ROW()-1,FALSE))</f>
        <v/>
      </c>
      <c r="BM29" t="str">
        <f ca="1">IF(AND(ISNUMBER($BM$489),$B$419=1),$BM$489,HLOOKUP(INDIRECT(ADDRESS(2,COLUMN())),OFFSET($BN$2,0,0,ROW()-1,60),ROW()-1,FALSE))</f>
        <v/>
      </c>
      <c r="BN29" t="str">
        <f>""</f>
        <v/>
      </c>
      <c r="BO29">
        <f>0</f>
        <v>0</v>
      </c>
      <c r="BP29">
        <f>0</f>
        <v>0</v>
      </c>
      <c r="BQ29">
        <f>0</f>
        <v>0</v>
      </c>
      <c r="BR29">
        <f>0</f>
        <v>0</v>
      </c>
      <c r="BS29">
        <f>0</f>
        <v>0</v>
      </c>
      <c r="BT29">
        <f>0</f>
        <v>0</v>
      </c>
      <c r="BU29">
        <f>0</f>
        <v>0</v>
      </c>
      <c r="BV29">
        <f>0</f>
        <v>0</v>
      </c>
      <c r="BW29">
        <f>0</f>
        <v>0</v>
      </c>
      <c r="BX29">
        <f>0</f>
        <v>0</v>
      </c>
      <c r="BY29">
        <f>0</f>
        <v>0</v>
      </c>
      <c r="BZ29">
        <f>0</f>
        <v>0</v>
      </c>
      <c r="CA29">
        <f>0</f>
        <v>0</v>
      </c>
      <c r="CB29">
        <f>0</f>
        <v>0</v>
      </c>
      <c r="CC29">
        <f>0</f>
        <v>0</v>
      </c>
      <c r="CD29">
        <f>0</f>
        <v>0</v>
      </c>
      <c r="CE29">
        <f>0</f>
        <v>0</v>
      </c>
      <c r="CF29">
        <f>0</f>
        <v>0</v>
      </c>
      <c r="CG29">
        <f>0</f>
        <v>0</v>
      </c>
      <c r="CH29">
        <f>0</f>
        <v>0</v>
      </c>
      <c r="CI29">
        <f>0</f>
        <v>0</v>
      </c>
      <c r="CJ29">
        <f>0</f>
        <v>0</v>
      </c>
      <c r="CK29">
        <f>0</f>
        <v>0</v>
      </c>
      <c r="CL29">
        <f>0</f>
        <v>0</v>
      </c>
      <c r="CM29">
        <f>0</f>
        <v>0</v>
      </c>
      <c r="CN29">
        <f>0</f>
        <v>0</v>
      </c>
      <c r="CO29">
        <f>0</f>
        <v>0</v>
      </c>
      <c r="CP29">
        <f>0</f>
        <v>0</v>
      </c>
      <c r="CQ29">
        <f>0</f>
        <v>0</v>
      </c>
      <c r="CR29">
        <f>0</f>
        <v>0</v>
      </c>
      <c r="CS29">
        <f>0</f>
        <v>0</v>
      </c>
      <c r="CT29">
        <f>0</f>
        <v>0</v>
      </c>
      <c r="CU29" t="str">
        <f>""</f>
        <v/>
      </c>
      <c r="CV29" t="str">
        <f>""</f>
        <v/>
      </c>
      <c r="CW29" t="str">
        <f>""</f>
        <v/>
      </c>
      <c r="CX29" t="str">
        <f>""</f>
        <v/>
      </c>
      <c r="CY29" t="str">
        <f>""</f>
        <v/>
      </c>
      <c r="CZ29" t="str">
        <f>""</f>
        <v/>
      </c>
      <c r="DA29" t="str">
        <f>""</f>
        <v/>
      </c>
      <c r="DB29" t="str">
        <f>""</f>
        <v/>
      </c>
      <c r="DC29" t="str">
        <f>""</f>
        <v/>
      </c>
      <c r="DD29" t="str">
        <f>""</f>
        <v/>
      </c>
      <c r="DE29" t="str">
        <f>""</f>
        <v/>
      </c>
      <c r="DF29" t="str">
        <f>""</f>
        <v/>
      </c>
      <c r="DG29" t="str">
        <f>""</f>
        <v/>
      </c>
      <c r="DH29" t="str">
        <f>""</f>
        <v/>
      </c>
      <c r="DI29" t="str">
        <f>""</f>
        <v/>
      </c>
      <c r="DJ29" t="str">
        <f>""</f>
        <v/>
      </c>
      <c r="DK29" t="str">
        <f>""</f>
        <v/>
      </c>
      <c r="DL29" t="str">
        <f>""</f>
        <v/>
      </c>
      <c r="DM29" t="str">
        <f>""</f>
        <v/>
      </c>
      <c r="DN29" t="str">
        <f>""</f>
        <v/>
      </c>
      <c r="DO29" t="str">
        <f>""</f>
        <v/>
      </c>
      <c r="DP29" t="str">
        <f>""</f>
        <v/>
      </c>
      <c r="DQ29" t="str">
        <f>""</f>
        <v/>
      </c>
      <c r="DR29" t="str">
        <f>""</f>
        <v/>
      </c>
      <c r="DS29" t="str">
        <f>""</f>
        <v/>
      </c>
      <c r="DT29" t="str">
        <f>""</f>
        <v/>
      </c>
      <c r="DU29" t="str">
        <f>""</f>
        <v/>
      </c>
    </row>
    <row r="30" spans="1:125">
      <c r="A30" t="str">
        <f>"    Retail Properties of America I"</f>
        <v xml:space="preserve">    Retail Properties of America I</v>
      </c>
      <c r="B30" t="str">
        <f>"RPAI US Equity"</f>
        <v>RPAI US Equity</v>
      </c>
      <c r="C30" t="str">
        <f t="shared" si="3"/>
        <v>IM275</v>
      </c>
      <c r="D30" t="str">
        <f t="shared" si="4"/>
        <v>IS_OTHER_RENTAL_INCOME</v>
      </c>
      <c r="E30" t="str">
        <f t="shared" si="5"/>
        <v>动态</v>
      </c>
      <c r="F30" t="str">
        <f ca="1">IF(AND(ISNUMBER($F$490),$B$419=1),$F$490,HLOOKUP(INDIRECT(ADDRESS(2,COLUMN())),OFFSET($BN$2,0,0,ROW()-1,60),ROW()-1,FALSE))</f>
        <v/>
      </c>
      <c r="G30">
        <f ca="1">IF(AND(ISNUMBER($G$490),$B$419=1),$G$490,HLOOKUP(INDIRECT(ADDRESS(2,COLUMN())),OFFSET($BN$2,0,0,ROW()-1,60),ROW()-1,FALSE))</f>
        <v>97.835999999999999</v>
      </c>
      <c r="H30">
        <f ca="1">IF(AND(ISNUMBER($H$490),$B$419=1),$H$490,HLOOKUP(INDIRECT(ADDRESS(2,COLUMN())),OFFSET($BN$2,0,0,ROW()-1,60),ROW()-1,FALSE))</f>
        <v>100.977</v>
      </c>
      <c r="I30">
        <f ca="1">IF(AND(ISNUMBER($I$490),$B$419=1),$I$490,HLOOKUP(INDIRECT(ADDRESS(2,COLUMN())),OFFSET($BN$2,0,0,ROW()-1,60),ROW()-1,FALSE))</f>
        <v>106.017</v>
      </c>
      <c r="J30">
        <f ca="1">IF(AND(ISNUMBER($J$490),$B$419=1),$J$490,HLOOKUP(INDIRECT(ADDRESS(2,COLUMN())),OFFSET($BN$2,0,0,ROW()-1,60),ROW()-1,FALSE))</f>
        <v>109.974</v>
      </c>
      <c r="K30">
        <f ca="1">IF(AND(ISNUMBER($K$490),$B$419=1),$K$490,HLOOKUP(INDIRECT(ADDRESS(2,COLUMN())),OFFSET($BN$2,0,0,ROW()-1,60),ROW()-1,FALSE))</f>
        <v>111.577</v>
      </c>
      <c r="L30">
        <f ca="1">IF(AND(ISNUMBER($L$490),$B$419=1),$L$490,HLOOKUP(INDIRECT(ADDRESS(2,COLUMN())),OFFSET($BN$2,0,0,ROW()-1,60),ROW()-1,FALSE))</f>
        <v>113.627</v>
      </c>
      <c r="M30">
        <f ca="1">IF(AND(ISNUMBER($M$490),$B$419=1),$M$490,HLOOKUP(INDIRECT(ADDRESS(2,COLUMN())),OFFSET($BN$2,0,0,ROW()-1,60),ROW()-1,FALSE))</f>
        <v>115.194</v>
      </c>
      <c r="N30">
        <f ca="1">IF(AND(ISNUMBER($N$490),$B$419=1),$N$490,HLOOKUP(INDIRECT(ADDRESS(2,COLUMN())),OFFSET($BN$2,0,0,ROW()-1,60),ROW()-1,FALSE))</f>
        <v>115.26</v>
      </c>
      <c r="O30">
        <f ca="1">IF(AND(ISNUMBER($O$490),$B$419=1),$O$490,HLOOKUP(INDIRECT(ADDRESS(2,COLUMN())),OFFSET($BN$2,0,0,ROW()-1,60),ROW()-1,FALSE))</f>
        <v>116.819</v>
      </c>
      <c r="P30">
        <f ca="1">IF(AND(ISNUMBER($P$490),$B$419=1),$P$490,HLOOKUP(INDIRECT(ADDRESS(2,COLUMN())),OFFSET($BN$2,0,0,ROW()-1,60),ROW()-1,FALSE))</f>
        <v>116.715</v>
      </c>
      <c r="Q30">
        <f ca="1">IF(AND(ISNUMBER($Q$490),$B$419=1),$Q$490,HLOOKUP(INDIRECT(ADDRESS(2,COLUMN())),OFFSET($BN$2,0,0,ROW()-1,60),ROW()-1,FALSE))</f>
        <v>119.02200000000001</v>
      </c>
      <c r="R30">
        <f ca="1">IF(AND(ISNUMBER($R$490),$B$419=1),$R$490,HLOOKUP(INDIRECT(ADDRESS(2,COLUMN())),OFFSET($BN$2,0,0,ROW()-1,60),ROW()-1,FALSE))</f>
        <v>119.788</v>
      </c>
      <c r="S30">
        <f ca="1">IF(AND(ISNUMBER($S$490),$B$419=1),$S$490,HLOOKUP(INDIRECT(ADDRESS(2,COLUMN())),OFFSET($BN$2,0,0,ROW()-1,60),ROW()-1,FALSE))</f>
        <v>119.592</v>
      </c>
      <c r="T30">
        <f ca="1">IF(AND(ISNUMBER($T$490),$B$419=1),$T$490,HLOOKUP(INDIRECT(ADDRESS(2,COLUMN())),OFFSET($BN$2,0,0,ROW()-1,60),ROW()-1,FALSE))</f>
        <v>120.143</v>
      </c>
      <c r="U30">
        <f ca="1">IF(AND(ISNUMBER($U$490),$B$419=1),$U$490,HLOOKUP(INDIRECT(ADDRESS(2,COLUMN())),OFFSET($BN$2,0,0,ROW()-1,60),ROW()-1,FALSE))</f>
        <v>117.419</v>
      </c>
      <c r="V30">
        <f ca="1">IF(AND(ISNUMBER($V$490),$B$419=1),$V$490,HLOOKUP(INDIRECT(ADDRESS(2,COLUMN())),OFFSET($BN$2,0,0,ROW()-1,60),ROW()-1,FALSE))</f>
        <v>117.53100000000001</v>
      </c>
      <c r="W30">
        <f ca="1">IF(AND(ISNUMBER($W$490),$B$419=1),$W$490,HLOOKUP(INDIRECT(ADDRESS(2,COLUMN())),OFFSET($BN$2,0,0,ROW()-1,60),ROW()-1,FALSE))</f>
        <v>113.4</v>
      </c>
      <c r="X30">
        <f ca="1">IF(AND(ISNUMBER($X$490),$B$419=1),$X$490,HLOOKUP(INDIRECT(ADDRESS(2,COLUMN())),OFFSET($BN$2,0,0,ROW()-1,60),ROW()-1,FALSE))</f>
        <v>107.48699999999999</v>
      </c>
      <c r="Y30">
        <f ca="1">IF(AND(ISNUMBER($Y$490),$B$419=1),$Y$490,HLOOKUP(INDIRECT(ADDRESS(2,COLUMN())),OFFSET($BN$2,0,0,ROW()-1,60),ROW()-1,FALSE))</f>
        <v>106.096</v>
      </c>
      <c r="Z30">
        <f ca="1">IF(AND(ISNUMBER($Z$490),$B$419=1),$Z$490,HLOOKUP(INDIRECT(ADDRESS(2,COLUMN())),OFFSET($BN$2,0,0,ROW()-1,60),ROW()-1,FALSE))</f>
        <v>106.295</v>
      </c>
      <c r="AA30">
        <f ca="1">IF(AND(ISNUMBER($AA$490),$B$419=1),$AA$490,HLOOKUP(INDIRECT(ADDRESS(2,COLUMN())),OFFSET($BN$2,0,0,ROW()-1,60),ROW()-1,FALSE))</f>
        <v>106.548</v>
      </c>
      <c r="AB30">
        <f ca="1">IF(AND(ISNUMBER($AB$490),$B$419=1),$AB$490,HLOOKUP(INDIRECT(ADDRESS(2,COLUMN())),OFFSET($BN$2,0,0,ROW()-1,60),ROW()-1,FALSE))</f>
        <v>110.848</v>
      </c>
      <c r="AC30">
        <f ca="1">IF(AND(ISNUMBER($AC$490),$B$419=1),$AC$490,HLOOKUP(INDIRECT(ADDRESS(2,COLUMN())),OFFSET($BN$2,0,0,ROW()-1,60),ROW()-1,FALSE))</f>
        <v>111.55800000000001</v>
      </c>
      <c r="AD30">
        <f ca="1">IF(AND(ISNUMBER($AD$490),$B$419=1),$AD$490,HLOOKUP(INDIRECT(ADDRESS(2,COLUMN())),OFFSET($BN$2,0,0,ROW()-1,60),ROW()-1,FALSE))</f>
        <v>112.322</v>
      </c>
      <c r="AE30">
        <f ca="1">IF(AND(ISNUMBER($AE$490),$B$419=1),$AE$490,HLOOKUP(INDIRECT(ADDRESS(2,COLUMN())),OFFSET($BN$2,0,0,ROW()-1,60),ROW()-1,FALSE))</f>
        <v>112.631</v>
      </c>
      <c r="AF30">
        <f ca="1">IF(AND(ISNUMBER($AF$490),$B$419=1),$AF$490,HLOOKUP(INDIRECT(ADDRESS(2,COLUMN())),OFFSET($BN$2,0,0,ROW()-1,60),ROW()-1,FALSE))</f>
        <v>116.062</v>
      </c>
      <c r="AG30">
        <f ca="1">IF(AND(ISNUMBER($AG$490),$B$419=1),$AG$490,HLOOKUP(INDIRECT(ADDRESS(2,COLUMN())),OFFSET($BN$2,0,0,ROW()-1,60),ROW()-1,FALSE))</f>
        <v>119.85299999999999</v>
      </c>
      <c r="AH30">
        <f ca="1">IF(AND(ISNUMBER($AH$490),$B$419=1),$AH$490,HLOOKUP(INDIRECT(ADDRESS(2,COLUMN())),OFFSET($BN$2,0,0,ROW()-1,60),ROW()-1,FALSE))</f>
        <v>121.57</v>
      </c>
      <c r="AI30">
        <f ca="1">IF(AND(ISNUMBER($AI$490),$B$419=1),$AI$490,HLOOKUP(INDIRECT(ADDRESS(2,COLUMN())),OFFSET($BN$2,0,0,ROW()-1,60),ROW()-1,FALSE))</f>
        <v>113.43</v>
      </c>
      <c r="AJ30">
        <f ca="1">IF(AND(ISNUMBER($AJ$490),$B$419=1),$AJ$490,HLOOKUP(INDIRECT(ADDRESS(2,COLUMN())),OFFSET($BN$2,0,0,ROW()-1,60),ROW()-1,FALSE))</f>
        <v>129.82599999999999</v>
      </c>
      <c r="AK30" t="str">
        <f ca="1">IF(AND(ISNUMBER($AK$490),$B$419=1),$AK$490,HLOOKUP(INDIRECT(ADDRESS(2,COLUMN())),OFFSET($BN$2,0,0,ROW()-1,60),ROW()-1,FALSE))</f>
        <v/>
      </c>
      <c r="AL30" t="str">
        <f ca="1">IF(AND(ISNUMBER($AL$490),$B$419=1),$AL$490,HLOOKUP(INDIRECT(ADDRESS(2,COLUMN())),OFFSET($BN$2,0,0,ROW()-1,60),ROW()-1,FALSE))</f>
        <v/>
      </c>
      <c r="AM30" t="str">
        <f ca="1">IF(AND(ISNUMBER($AM$490),$B$419=1),$AM$490,HLOOKUP(INDIRECT(ADDRESS(2,COLUMN())),OFFSET($BN$2,0,0,ROW()-1,60),ROW()-1,FALSE))</f>
        <v/>
      </c>
      <c r="AN30">
        <f ca="1">IF(AND(ISNUMBER($AN$490),$B$419=1),$AN$490,HLOOKUP(INDIRECT(ADDRESS(2,COLUMN())),OFFSET($BN$2,0,0,ROW()-1,60),ROW()-1,FALSE))</f>
        <v>128.67400000000001</v>
      </c>
      <c r="AO30" t="str">
        <f ca="1">IF(AND(ISNUMBER($AO$490),$B$419=1),$AO$490,HLOOKUP(INDIRECT(ADDRESS(2,COLUMN())),OFFSET($BN$2,0,0,ROW()-1,60),ROW()-1,FALSE))</f>
        <v/>
      </c>
      <c r="AP30" t="str">
        <f ca="1">IF(AND(ISNUMBER($AP$490),$B$419=1),$AP$490,HLOOKUP(INDIRECT(ADDRESS(2,COLUMN())),OFFSET($BN$2,0,0,ROW()-1,60),ROW()-1,FALSE))</f>
        <v/>
      </c>
      <c r="AQ30" t="str">
        <f ca="1">IF(AND(ISNUMBER($AQ$490),$B$419=1),$AQ$490,HLOOKUP(INDIRECT(ADDRESS(2,COLUMN())),OFFSET($BN$2,0,0,ROW()-1,60),ROW()-1,FALSE))</f>
        <v/>
      </c>
      <c r="AR30" t="str">
        <f ca="1">IF(AND(ISNUMBER($AR$490),$B$419=1),$AR$490,HLOOKUP(INDIRECT(ADDRESS(2,COLUMN())),OFFSET($BN$2,0,0,ROW()-1,60),ROW()-1,FALSE))</f>
        <v/>
      </c>
      <c r="AS30" t="str">
        <f ca="1">IF(AND(ISNUMBER($AS$490),$B$419=1),$AS$490,HLOOKUP(INDIRECT(ADDRESS(2,COLUMN())),OFFSET($BN$2,0,0,ROW()-1,60),ROW()-1,FALSE))</f>
        <v/>
      </c>
      <c r="AT30" t="str">
        <f ca="1">IF(AND(ISNUMBER($AT$490),$B$419=1),$AT$490,HLOOKUP(INDIRECT(ADDRESS(2,COLUMN())),OFFSET($BN$2,0,0,ROW()-1,60),ROW()-1,FALSE))</f>
        <v/>
      </c>
      <c r="AU30" t="str">
        <f ca="1">IF(AND(ISNUMBER($AU$490),$B$419=1),$AU$490,HLOOKUP(INDIRECT(ADDRESS(2,COLUMN())),OFFSET($BN$2,0,0,ROW()-1,60),ROW()-1,FALSE))</f>
        <v/>
      </c>
      <c r="AV30" t="str">
        <f ca="1">IF(AND(ISNUMBER($AV$490),$B$419=1),$AV$490,HLOOKUP(INDIRECT(ADDRESS(2,COLUMN())),OFFSET($BN$2,0,0,ROW()-1,60),ROW()-1,FALSE))</f>
        <v/>
      </c>
      <c r="AW30" t="str">
        <f ca="1">IF(AND(ISNUMBER($AW$490),$B$419=1),$AW$490,HLOOKUP(INDIRECT(ADDRESS(2,COLUMN())),OFFSET($BN$2,0,0,ROW()-1,60),ROW()-1,FALSE))</f>
        <v/>
      </c>
      <c r="AX30" t="str">
        <f ca="1">IF(AND(ISNUMBER($AX$490),$B$419=1),$AX$490,HLOOKUP(INDIRECT(ADDRESS(2,COLUMN())),OFFSET($BN$2,0,0,ROW()-1,60),ROW()-1,FALSE))</f>
        <v/>
      </c>
      <c r="AY30" t="str">
        <f ca="1">IF(AND(ISNUMBER($AY$490),$B$419=1),$AY$490,HLOOKUP(INDIRECT(ADDRESS(2,COLUMN())),OFFSET($BN$2,0,0,ROW()-1,60),ROW()-1,FALSE))</f>
        <v/>
      </c>
      <c r="AZ30" t="str">
        <f ca="1">IF(AND(ISNUMBER($AZ$490),$B$419=1),$AZ$490,HLOOKUP(INDIRECT(ADDRESS(2,COLUMN())),OFFSET($BN$2,0,0,ROW()-1,60),ROW()-1,FALSE))</f>
        <v/>
      </c>
      <c r="BA30" t="str">
        <f ca="1">IF(AND(ISNUMBER($BA$490),$B$419=1),$BA$490,HLOOKUP(INDIRECT(ADDRESS(2,COLUMN())),OFFSET($BN$2,0,0,ROW()-1,60),ROW()-1,FALSE))</f>
        <v/>
      </c>
      <c r="BB30" t="str">
        <f ca="1">IF(AND(ISNUMBER($BB$490),$B$419=1),$BB$490,HLOOKUP(INDIRECT(ADDRESS(2,COLUMN())),OFFSET($BN$2,0,0,ROW()-1,60),ROW()-1,FALSE))</f>
        <v/>
      </c>
      <c r="BC30" t="str">
        <f ca="1">IF(AND(ISNUMBER($BC$490),$B$419=1),$BC$490,HLOOKUP(INDIRECT(ADDRESS(2,COLUMN())),OFFSET($BN$2,0,0,ROW()-1,60),ROW()-1,FALSE))</f>
        <v/>
      </c>
      <c r="BD30" t="str">
        <f ca="1">IF(AND(ISNUMBER($BD$490),$B$419=1),$BD$490,HLOOKUP(INDIRECT(ADDRESS(2,COLUMN())),OFFSET($BN$2,0,0,ROW()-1,60),ROW()-1,FALSE))</f>
        <v/>
      </c>
      <c r="BE30" t="str">
        <f ca="1">IF(AND(ISNUMBER($BE$490),$B$419=1),$BE$490,HLOOKUP(INDIRECT(ADDRESS(2,COLUMN())),OFFSET($BN$2,0,0,ROW()-1,60),ROW()-1,FALSE))</f>
        <v/>
      </c>
      <c r="BF30" t="str">
        <f ca="1">IF(AND(ISNUMBER($BF$490),$B$419=1),$BF$490,HLOOKUP(INDIRECT(ADDRESS(2,COLUMN())),OFFSET($BN$2,0,0,ROW()-1,60),ROW()-1,FALSE))</f>
        <v/>
      </c>
      <c r="BG30" t="str">
        <f ca="1">IF(AND(ISNUMBER($BG$490),$B$419=1),$BG$490,HLOOKUP(INDIRECT(ADDRESS(2,COLUMN())),OFFSET($BN$2,0,0,ROW()-1,60),ROW()-1,FALSE))</f>
        <v/>
      </c>
      <c r="BH30" t="str">
        <f ca="1">IF(AND(ISNUMBER($BH$490),$B$419=1),$BH$490,HLOOKUP(INDIRECT(ADDRESS(2,COLUMN())),OFFSET($BN$2,0,0,ROW()-1,60),ROW()-1,FALSE))</f>
        <v/>
      </c>
      <c r="BI30" t="str">
        <f ca="1">IF(AND(ISNUMBER($BI$490),$B$419=1),$BI$490,HLOOKUP(INDIRECT(ADDRESS(2,COLUMN())),OFFSET($BN$2,0,0,ROW()-1,60),ROW()-1,FALSE))</f>
        <v/>
      </c>
      <c r="BJ30" t="str">
        <f ca="1">IF(AND(ISNUMBER($BJ$490),$B$419=1),$BJ$490,HLOOKUP(INDIRECT(ADDRESS(2,COLUMN())),OFFSET($BN$2,0,0,ROW()-1,60),ROW()-1,FALSE))</f>
        <v/>
      </c>
      <c r="BK30" t="str">
        <f ca="1">IF(AND(ISNUMBER($BK$490),$B$419=1),$BK$490,HLOOKUP(INDIRECT(ADDRESS(2,COLUMN())),OFFSET($BN$2,0,0,ROW()-1,60),ROW()-1,FALSE))</f>
        <v/>
      </c>
      <c r="BL30" t="str">
        <f ca="1">IF(AND(ISNUMBER($BL$490),$B$419=1),$BL$490,HLOOKUP(INDIRECT(ADDRESS(2,COLUMN())),OFFSET($BN$2,0,0,ROW()-1,60),ROW()-1,FALSE))</f>
        <v/>
      </c>
      <c r="BM30" t="str">
        <f ca="1">IF(AND(ISNUMBER($BM$490),$B$419=1),$BM$490,HLOOKUP(INDIRECT(ADDRESS(2,COLUMN())),OFFSET($BN$2,0,0,ROW()-1,60),ROW()-1,FALSE))</f>
        <v/>
      </c>
      <c r="BN30" t="str">
        <f>""</f>
        <v/>
      </c>
      <c r="BO30">
        <f>97.836</f>
        <v>97.835999999999999</v>
      </c>
      <c r="BP30">
        <f>100.977</f>
        <v>100.977</v>
      </c>
      <c r="BQ30">
        <f>106.017</f>
        <v>106.017</v>
      </c>
      <c r="BR30">
        <f>109.974</f>
        <v>109.974</v>
      </c>
      <c r="BS30">
        <f>111.577</f>
        <v>111.577</v>
      </c>
      <c r="BT30">
        <f>113.627</f>
        <v>113.627</v>
      </c>
      <c r="BU30">
        <f>115.194</f>
        <v>115.194</v>
      </c>
      <c r="BV30">
        <f>115.26</f>
        <v>115.26</v>
      </c>
      <c r="BW30">
        <f>116.819</f>
        <v>116.819</v>
      </c>
      <c r="BX30">
        <f>116.715</f>
        <v>116.715</v>
      </c>
      <c r="BY30">
        <f>119.022</f>
        <v>119.02200000000001</v>
      </c>
      <c r="BZ30">
        <f>119.788</f>
        <v>119.788</v>
      </c>
      <c r="CA30">
        <f>119.592</f>
        <v>119.592</v>
      </c>
      <c r="CB30">
        <f>120.143</f>
        <v>120.143</v>
      </c>
      <c r="CC30">
        <f>117.419</f>
        <v>117.419</v>
      </c>
      <c r="CD30">
        <f>117.531</f>
        <v>117.53100000000001</v>
      </c>
      <c r="CE30">
        <f>113.4</f>
        <v>113.4</v>
      </c>
      <c r="CF30">
        <f>107.487</f>
        <v>107.48699999999999</v>
      </c>
      <c r="CG30">
        <f>106.096</f>
        <v>106.096</v>
      </c>
      <c r="CH30">
        <f>106.295</f>
        <v>106.295</v>
      </c>
      <c r="CI30">
        <f>106.548</f>
        <v>106.548</v>
      </c>
      <c r="CJ30">
        <f>110.848</f>
        <v>110.848</v>
      </c>
      <c r="CK30">
        <f>111.558</f>
        <v>111.55800000000001</v>
      </c>
      <c r="CL30">
        <f>112.322</f>
        <v>112.322</v>
      </c>
      <c r="CM30">
        <f>112.631</f>
        <v>112.631</v>
      </c>
      <c r="CN30">
        <f>116.062</f>
        <v>116.062</v>
      </c>
      <c r="CO30">
        <f>119.853</f>
        <v>119.85299999999999</v>
      </c>
      <c r="CP30">
        <f>121.57</f>
        <v>121.57</v>
      </c>
      <c r="CQ30">
        <f>113.43</f>
        <v>113.43</v>
      </c>
      <c r="CR30">
        <f>129.826</f>
        <v>129.82599999999999</v>
      </c>
      <c r="CS30" t="str">
        <f>""</f>
        <v/>
      </c>
      <c r="CT30" t="str">
        <f>""</f>
        <v/>
      </c>
      <c r="CU30" t="str">
        <f>""</f>
        <v/>
      </c>
      <c r="CV30">
        <f>128.674</f>
        <v>128.67400000000001</v>
      </c>
      <c r="CW30" t="str">
        <f>""</f>
        <v/>
      </c>
      <c r="CX30" t="str">
        <f>""</f>
        <v/>
      </c>
      <c r="CY30" t="str">
        <f>""</f>
        <v/>
      </c>
      <c r="CZ30" t="str">
        <f>""</f>
        <v/>
      </c>
      <c r="DA30" t="str">
        <f>""</f>
        <v/>
      </c>
      <c r="DB30" t="str">
        <f>""</f>
        <v/>
      </c>
      <c r="DC30" t="str">
        <f>""</f>
        <v/>
      </c>
      <c r="DD30" t="str">
        <f>""</f>
        <v/>
      </c>
      <c r="DE30" t="str">
        <f>""</f>
        <v/>
      </c>
      <c r="DF30" t="str">
        <f>""</f>
        <v/>
      </c>
      <c r="DG30" t="str">
        <f>""</f>
        <v/>
      </c>
      <c r="DH30" t="str">
        <f>""</f>
        <v/>
      </c>
      <c r="DI30" t="str">
        <f>""</f>
        <v/>
      </c>
      <c r="DJ30" t="str">
        <f>""</f>
        <v/>
      </c>
      <c r="DK30" t="str">
        <f>""</f>
        <v/>
      </c>
      <c r="DL30" t="str">
        <f>""</f>
        <v/>
      </c>
      <c r="DM30" t="str">
        <f>""</f>
        <v/>
      </c>
      <c r="DN30" t="str">
        <f>""</f>
        <v/>
      </c>
      <c r="DO30" t="str">
        <f>""</f>
        <v/>
      </c>
      <c r="DP30" t="str">
        <f>""</f>
        <v/>
      </c>
      <c r="DQ30" t="str">
        <f>""</f>
        <v/>
      </c>
      <c r="DR30" t="str">
        <f>""</f>
        <v/>
      </c>
      <c r="DS30" t="str">
        <f>""</f>
        <v/>
      </c>
      <c r="DT30" t="str">
        <f>""</f>
        <v/>
      </c>
      <c r="DU30" t="str">
        <f>""</f>
        <v/>
      </c>
    </row>
    <row r="31" spans="1:125">
      <c r="A31" t="str">
        <f>"    Simon Property Group Inc"</f>
        <v xml:space="preserve">    Simon Property Group Inc</v>
      </c>
      <c r="B31" t="str">
        <f>"SPG US Equity"</f>
        <v>SPG US Equity</v>
      </c>
      <c r="C31" t="str">
        <f t="shared" si="3"/>
        <v>IM275</v>
      </c>
      <c r="D31" t="str">
        <f t="shared" si="4"/>
        <v>IS_OTHER_RENTAL_INCOME</v>
      </c>
      <c r="E31" t="str">
        <f t="shared" si="5"/>
        <v>动态</v>
      </c>
      <c r="F31" t="str">
        <f ca="1">IF(AND(ISNUMBER($F$491),$B$419=1),$F$491,HLOOKUP(INDIRECT(ADDRESS(2,COLUMN())),OFFSET($BN$2,0,0,ROW()-1,60),ROW()-1,FALSE))</f>
        <v/>
      </c>
      <c r="G31">
        <f ca="1">IF(AND(ISNUMBER($G$491),$B$419=1),$G$491,HLOOKUP(INDIRECT(ADDRESS(2,COLUMN())),OFFSET($BN$2,0,0,ROW()-1,60),ROW()-1,FALSE))</f>
        <v>52.87</v>
      </c>
      <c r="H31">
        <f ca="1">IF(AND(ISNUMBER($H$491),$B$419=1),$H$491,HLOOKUP(INDIRECT(ADDRESS(2,COLUMN())),OFFSET($BN$2,0,0,ROW()-1,60),ROW()-1,FALSE))</f>
        <v>36.634</v>
      </c>
      <c r="I31">
        <f ca="1">IF(AND(ISNUMBER($I$491),$B$419=1),$I$491,HLOOKUP(INDIRECT(ADDRESS(2,COLUMN())),OFFSET($BN$2,0,0,ROW()-1,60),ROW()-1,FALSE))</f>
        <v>29.763999999999999</v>
      </c>
      <c r="J31">
        <f ca="1">IF(AND(ISNUMBER($J$491),$B$419=1),$J$491,HLOOKUP(INDIRECT(ADDRESS(2,COLUMN())),OFFSET($BN$2,0,0,ROW()-1,60),ROW()-1,FALSE))</f>
        <v>28.204000000000001</v>
      </c>
      <c r="K31">
        <f ca="1">IF(AND(ISNUMBER($K$491),$B$419=1),$K$491,HLOOKUP(INDIRECT(ADDRESS(2,COLUMN())),OFFSET($BN$2,0,0,ROW()-1,60),ROW()-1,FALSE))</f>
        <v>61.253</v>
      </c>
      <c r="L31">
        <f ca="1">IF(AND(ISNUMBER($L$491),$B$419=1),$L$491,HLOOKUP(INDIRECT(ADDRESS(2,COLUMN())),OFFSET($BN$2,0,0,ROW()-1,60),ROW()-1,FALSE))</f>
        <v>40.088999999999999</v>
      </c>
      <c r="M31">
        <f ca="1">IF(AND(ISNUMBER($M$491),$B$419=1),$M$491,HLOOKUP(INDIRECT(ADDRESS(2,COLUMN())),OFFSET($BN$2,0,0,ROW()-1,60),ROW()-1,FALSE))</f>
        <v>31.25</v>
      </c>
      <c r="N31">
        <f ca="1">IF(AND(ISNUMBER($N$491),$B$419=1),$N$491,HLOOKUP(INDIRECT(ADDRESS(2,COLUMN())),OFFSET($BN$2,0,0,ROW()-1,60),ROW()-1,FALSE))</f>
        <v>28.916</v>
      </c>
      <c r="O31">
        <f ca="1">IF(AND(ISNUMBER($O$491),$B$419=1),$O$491,HLOOKUP(INDIRECT(ADDRESS(2,COLUMN())),OFFSET($BN$2,0,0,ROW()-1,60),ROW()-1,FALSE))</f>
        <v>70.650999999999996</v>
      </c>
      <c r="P31">
        <f ca="1">IF(AND(ISNUMBER($P$491),$B$419=1),$P$491,HLOOKUP(INDIRECT(ADDRESS(2,COLUMN())),OFFSET($BN$2,0,0,ROW()-1,60),ROW()-1,FALSE))</f>
        <v>47.433</v>
      </c>
      <c r="Q31">
        <f ca="1">IF(AND(ISNUMBER($Q$491),$B$419=1),$Q$491,HLOOKUP(INDIRECT(ADDRESS(2,COLUMN())),OFFSET($BN$2,0,0,ROW()-1,60),ROW()-1,FALSE))</f>
        <v>37.029000000000003</v>
      </c>
      <c r="R31">
        <f ca="1">IF(AND(ISNUMBER($R$491),$B$419=1),$R$491,HLOOKUP(INDIRECT(ADDRESS(2,COLUMN())),OFFSET($BN$2,0,0,ROW()-1,60),ROW()-1,FALSE))</f>
        <v>38.957000000000001</v>
      </c>
      <c r="S31">
        <f ca="1">IF(AND(ISNUMBER($S$491),$B$419=1),$S$491,HLOOKUP(INDIRECT(ADDRESS(2,COLUMN())),OFFSET($BN$2,0,0,ROW()-1,60),ROW()-1,FALSE))</f>
        <v>83.769000000000005</v>
      </c>
      <c r="T31">
        <f ca="1">IF(AND(ISNUMBER($T$491),$B$419=1),$T$491,HLOOKUP(INDIRECT(ADDRESS(2,COLUMN())),OFFSET($BN$2,0,0,ROW()-1,60),ROW()-1,FALSE))</f>
        <v>52.502000000000002</v>
      </c>
      <c r="U31">
        <f ca="1">IF(AND(ISNUMBER($U$491),$B$419=1),$U$491,HLOOKUP(INDIRECT(ADDRESS(2,COLUMN())),OFFSET($BN$2,0,0,ROW()-1,60),ROW()-1,FALSE))</f>
        <v>39.159999999999997</v>
      </c>
      <c r="V31">
        <f ca="1">IF(AND(ISNUMBER($V$491),$B$419=1),$V$491,HLOOKUP(INDIRECT(ADDRESS(2,COLUMN())),OFFSET($BN$2,0,0,ROW()-1,60),ROW()-1,FALSE))</f>
        <v>31.673999999999999</v>
      </c>
      <c r="W31">
        <f ca="1">IF(AND(ISNUMBER($W$491),$B$419=1),$W$491,HLOOKUP(INDIRECT(ADDRESS(2,COLUMN())),OFFSET($BN$2,0,0,ROW()-1,60),ROW()-1,FALSE))</f>
        <v>85.3</v>
      </c>
      <c r="X31">
        <f ca="1">IF(AND(ISNUMBER($X$491),$B$419=1),$X$491,HLOOKUP(INDIRECT(ADDRESS(2,COLUMN())),OFFSET($BN$2,0,0,ROW()-1,60),ROW()-1,FALSE))</f>
        <v>55.115000000000002</v>
      </c>
      <c r="Y31">
        <f ca="1">IF(AND(ISNUMBER($Y$491),$B$419=1),$Y$491,HLOOKUP(INDIRECT(ADDRESS(2,COLUMN())),OFFSET($BN$2,0,0,ROW()-1,60),ROW()-1,FALSE))</f>
        <v>39.076999999999998</v>
      </c>
      <c r="Z31">
        <f ca="1">IF(AND(ISNUMBER($Z$491),$B$419=1),$Z$491,HLOOKUP(INDIRECT(ADDRESS(2,COLUMN())),OFFSET($BN$2,0,0,ROW()-1,60),ROW()-1,FALSE))</f>
        <v>37.698999999999998</v>
      </c>
      <c r="AA31">
        <f ca="1">IF(AND(ISNUMBER($AA$491),$B$419=1),$AA$491,HLOOKUP(INDIRECT(ADDRESS(2,COLUMN())),OFFSET($BN$2,0,0,ROW()-1,60),ROW()-1,FALSE))</f>
        <v>85.448999999999998</v>
      </c>
      <c r="AB31">
        <f ca="1">IF(AND(ISNUMBER($AB$491),$B$419=1),$AB$491,HLOOKUP(INDIRECT(ADDRESS(2,COLUMN())),OFFSET($BN$2,0,0,ROW()-1,60),ROW()-1,FALSE))</f>
        <v>51.17</v>
      </c>
      <c r="AC31">
        <f ca="1">IF(AND(ISNUMBER($AC$491),$B$419=1),$AC$491,HLOOKUP(INDIRECT(ADDRESS(2,COLUMN())),OFFSET($BN$2,0,0,ROW()-1,60),ROW()-1,FALSE))</f>
        <v>31.427</v>
      </c>
      <c r="AD31">
        <f ca="1">IF(AND(ISNUMBER($AD$491),$B$419=1),$AD$491,HLOOKUP(INDIRECT(ADDRESS(2,COLUMN())),OFFSET($BN$2,0,0,ROW()-1,60),ROW()-1,FALSE))</f>
        <v>27.68</v>
      </c>
      <c r="AE31">
        <f ca="1">IF(AND(ISNUMBER($AE$491),$B$419=1),$AE$491,HLOOKUP(INDIRECT(ADDRESS(2,COLUMN())),OFFSET($BN$2,0,0,ROW()-1,60),ROW()-1,FALSE))</f>
        <v>65.067999999999998</v>
      </c>
      <c r="AF31">
        <f ca="1">IF(AND(ISNUMBER($AF$491),$B$419=1),$AF$491,HLOOKUP(INDIRECT(ADDRESS(2,COLUMN())),OFFSET($BN$2,0,0,ROW()-1,60),ROW()-1,FALSE))</f>
        <v>36.652999999999999</v>
      </c>
      <c r="AG31">
        <f ca="1">IF(AND(ISNUMBER($AG$491),$B$419=1),$AG$491,HLOOKUP(INDIRECT(ADDRESS(2,COLUMN())),OFFSET($BN$2,0,0,ROW()-1,60),ROW()-1,FALSE))</f>
        <v>21.98</v>
      </c>
      <c r="AH31">
        <f ca="1">IF(AND(ISNUMBER($AH$491),$B$419=1),$AH$491,HLOOKUP(INDIRECT(ADDRESS(2,COLUMN())),OFFSET($BN$2,0,0,ROW()-1,60),ROW()-1,FALSE))</f>
        <v>17.141999999999999</v>
      </c>
      <c r="AI31">
        <f ca="1">IF(AND(ISNUMBER($AI$491),$B$419=1),$AI$491,HLOOKUP(INDIRECT(ADDRESS(2,COLUMN())),OFFSET($BN$2,0,0,ROW()-1,60),ROW()-1,FALSE))</f>
        <v>56.667999999999999</v>
      </c>
      <c r="AJ31">
        <f ca="1">IF(AND(ISNUMBER($AJ$491),$B$419=1),$AJ$491,HLOOKUP(INDIRECT(ADDRESS(2,COLUMN())),OFFSET($BN$2,0,0,ROW()-1,60),ROW()-1,FALSE))</f>
        <v>26.265000000000001</v>
      </c>
      <c r="AK31">
        <f ca="1">IF(AND(ISNUMBER($AK$491),$B$419=1),$AK$491,HLOOKUP(INDIRECT(ADDRESS(2,COLUMN())),OFFSET($BN$2,0,0,ROW()-1,60),ROW()-1,FALSE))</f>
        <v>14.477</v>
      </c>
      <c r="AL31">
        <f ca="1">IF(AND(ISNUMBER($AL$491),$B$419=1),$AL$491,HLOOKUP(INDIRECT(ADDRESS(2,COLUMN())),OFFSET($BN$2,0,0,ROW()-1,60),ROW()-1,FALSE))</f>
        <v>13.211</v>
      </c>
      <c r="AM31">
        <f ca="1">IF(AND(ISNUMBER($AM$491),$B$419=1),$AM$491,HLOOKUP(INDIRECT(ADDRESS(2,COLUMN())),OFFSET($BN$2,0,0,ROW()-1,60),ROW()-1,FALSE))</f>
        <v>39.122999999999998</v>
      </c>
      <c r="AN31">
        <f ca="1">IF(AND(ISNUMBER($AN$491),$B$419=1),$AN$491,HLOOKUP(INDIRECT(ADDRESS(2,COLUMN())),OFFSET($BN$2,0,0,ROW()-1,60),ROW()-1,FALSE))</f>
        <v>19.806000000000001</v>
      </c>
      <c r="AO31">
        <f ca="1">IF(AND(ISNUMBER($AO$491),$B$419=1),$AO$491,HLOOKUP(INDIRECT(ADDRESS(2,COLUMN())),OFFSET($BN$2,0,0,ROW()-1,60),ROW()-1,FALSE))</f>
        <v>13.493</v>
      </c>
      <c r="AP31">
        <f ca="1">IF(AND(ISNUMBER($AP$491),$B$419=1),$AP$491,HLOOKUP(INDIRECT(ADDRESS(2,COLUMN())),OFFSET($BN$2,0,0,ROW()-1,60),ROW()-1,FALSE))</f>
        <v>12.5</v>
      </c>
      <c r="AQ31" t="str">
        <f ca="1">IF(AND(ISNUMBER($AQ$491),$B$419=1),$AQ$491,HLOOKUP(INDIRECT(ADDRESS(2,COLUMN())),OFFSET($BN$2,0,0,ROW()-1,60),ROW()-1,FALSE))</f>
        <v/>
      </c>
      <c r="AR31" t="str">
        <f ca="1">IF(AND(ISNUMBER($AR$491),$B$419=1),$AR$491,HLOOKUP(INDIRECT(ADDRESS(2,COLUMN())),OFFSET($BN$2,0,0,ROW()-1,60),ROW()-1,FALSE))</f>
        <v/>
      </c>
      <c r="AS31" t="str">
        <f ca="1">IF(AND(ISNUMBER($AS$491),$B$419=1),$AS$491,HLOOKUP(INDIRECT(ADDRESS(2,COLUMN())),OFFSET($BN$2,0,0,ROW()-1,60),ROW()-1,FALSE))</f>
        <v/>
      </c>
      <c r="AT31" t="str">
        <f ca="1">IF(AND(ISNUMBER($AT$491),$B$419=1),$AT$491,HLOOKUP(INDIRECT(ADDRESS(2,COLUMN())),OFFSET($BN$2,0,0,ROW()-1,60),ROW()-1,FALSE))</f>
        <v/>
      </c>
      <c r="AU31" t="str">
        <f ca="1">IF(AND(ISNUMBER($AU$491),$B$419=1),$AU$491,HLOOKUP(INDIRECT(ADDRESS(2,COLUMN())),OFFSET($BN$2,0,0,ROW()-1,60),ROW()-1,FALSE))</f>
        <v/>
      </c>
      <c r="AV31" t="str">
        <f ca="1">IF(AND(ISNUMBER($AV$491),$B$419=1),$AV$491,HLOOKUP(INDIRECT(ADDRESS(2,COLUMN())),OFFSET($BN$2,0,0,ROW()-1,60),ROW()-1,FALSE))</f>
        <v/>
      </c>
      <c r="AW31" t="str">
        <f ca="1">IF(AND(ISNUMBER($AW$491),$B$419=1),$AW$491,HLOOKUP(INDIRECT(ADDRESS(2,COLUMN())),OFFSET($BN$2,0,0,ROW()-1,60),ROW()-1,FALSE))</f>
        <v/>
      </c>
      <c r="AX31" t="str">
        <f ca="1">IF(AND(ISNUMBER($AX$491),$B$419=1),$AX$491,HLOOKUP(INDIRECT(ADDRESS(2,COLUMN())),OFFSET($BN$2,0,0,ROW()-1,60),ROW()-1,FALSE))</f>
        <v/>
      </c>
      <c r="AY31" t="str">
        <f ca="1">IF(AND(ISNUMBER($AY$491),$B$419=1),$AY$491,HLOOKUP(INDIRECT(ADDRESS(2,COLUMN())),OFFSET($BN$2,0,0,ROW()-1,60),ROW()-1,FALSE))</f>
        <v/>
      </c>
      <c r="AZ31" t="str">
        <f ca="1">IF(AND(ISNUMBER($AZ$491),$B$419=1),$AZ$491,HLOOKUP(INDIRECT(ADDRESS(2,COLUMN())),OFFSET($BN$2,0,0,ROW()-1,60),ROW()-1,FALSE))</f>
        <v/>
      </c>
      <c r="BA31" t="str">
        <f ca="1">IF(AND(ISNUMBER($BA$491),$B$419=1),$BA$491,HLOOKUP(INDIRECT(ADDRESS(2,COLUMN())),OFFSET($BN$2,0,0,ROW()-1,60),ROW()-1,FALSE))</f>
        <v/>
      </c>
      <c r="BB31" t="str">
        <f ca="1">IF(AND(ISNUMBER($BB$491),$B$419=1),$BB$491,HLOOKUP(INDIRECT(ADDRESS(2,COLUMN())),OFFSET($BN$2,0,0,ROW()-1,60),ROW()-1,FALSE))</f>
        <v/>
      </c>
      <c r="BC31" t="str">
        <f ca="1">IF(AND(ISNUMBER($BC$491),$B$419=1),$BC$491,HLOOKUP(INDIRECT(ADDRESS(2,COLUMN())),OFFSET($BN$2,0,0,ROW()-1,60),ROW()-1,FALSE))</f>
        <v/>
      </c>
      <c r="BD31" t="str">
        <f ca="1">IF(AND(ISNUMBER($BD$491),$B$419=1),$BD$491,HLOOKUP(INDIRECT(ADDRESS(2,COLUMN())),OFFSET($BN$2,0,0,ROW()-1,60),ROW()-1,FALSE))</f>
        <v/>
      </c>
      <c r="BE31" t="str">
        <f ca="1">IF(AND(ISNUMBER($BE$491),$B$419=1),$BE$491,HLOOKUP(INDIRECT(ADDRESS(2,COLUMN())),OFFSET($BN$2,0,0,ROW()-1,60),ROW()-1,FALSE))</f>
        <v/>
      </c>
      <c r="BF31" t="str">
        <f ca="1">IF(AND(ISNUMBER($BF$491),$B$419=1),$BF$491,HLOOKUP(INDIRECT(ADDRESS(2,COLUMN())),OFFSET($BN$2,0,0,ROW()-1,60),ROW()-1,FALSE))</f>
        <v/>
      </c>
      <c r="BG31" t="str">
        <f ca="1">IF(AND(ISNUMBER($BG$491),$B$419=1),$BG$491,HLOOKUP(INDIRECT(ADDRESS(2,COLUMN())),OFFSET($BN$2,0,0,ROW()-1,60),ROW()-1,FALSE))</f>
        <v/>
      </c>
      <c r="BH31" t="str">
        <f ca="1">IF(AND(ISNUMBER($BH$491),$B$419=1),$BH$491,HLOOKUP(INDIRECT(ADDRESS(2,COLUMN())),OFFSET($BN$2,0,0,ROW()-1,60),ROW()-1,FALSE))</f>
        <v/>
      </c>
      <c r="BI31" t="str">
        <f ca="1">IF(AND(ISNUMBER($BI$491),$B$419=1),$BI$491,HLOOKUP(INDIRECT(ADDRESS(2,COLUMN())),OFFSET($BN$2,0,0,ROW()-1,60),ROW()-1,FALSE))</f>
        <v/>
      </c>
      <c r="BJ31" t="str">
        <f ca="1">IF(AND(ISNUMBER($BJ$491),$B$419=1),$BJ$491,HLOOKUP(INDIRECT(ADDRESS(2,COLUMN())),OFFSET($BN$2,0,0,ROW()-1,60),ROW()-1,FALSE))</f>
        <v/>
      </c>
      <c r="BK31" t="str">
        <f ca="1">IF(AND(ISNUMBER($BK$491),$B$419=1),$BK$491,HLOOKUP(INDIRECT(ADDRESS(2,COLUMN())),OFFSET($BN$2,0,0,ROW()-1,60),ROW()-1,FALSE))</f>
        <v/>
      </c>
      <c r="BL31" t="str">
        <f ca="1">IF(AND(ISNUMBER($BL$491),$B$419=1),$BL$491,HLOOKUP(INDIRECT(ADDRESS(2,COLUMN())),OFFSET($BN$2,0,0,ROW()-1,60),ROW()-1,FALSE))</f>
        <v/>
      </c>
      <c r="BM31" t="str">
        <f ca="1">IF(AND(ISNUMBER($BM$491),$B$419=1),$BM$491,HLOOKUP(INDIRECT(ADDRESS(2,COLUMN())),OFFSET($BN$2,0,0,ROW()-1,60),ROW()-1,FALSE))</f>
        <v/>
      </c>
      <c r="BN31" t="str">
        <f>""</f>
        <v/>
      </c>
      <c r="BO31">
        <f>52.87</f>
        <v>52.87</v>
      </c>
      <c r="BP31">
        <f>36.634</f>
        <v>36.634</v>
      </c>
      <c r="BQ31">
        <f>29.764</f>
        <v>29.763999999999999</v>
      </c>
      <c r="BR31">
        <f>28.204</f>
        <v>28.204000000000001</v>
      </c>
      <c r="BS31">
        <f>61.253</f>
        <v>61.253</v>
      </c>
      <c r="BT31">
        <f>40.089</f>
        <v>40.088999999999999</v>
      </c>
      <c r="BU31">
        <f>31.25</f>
        <v>31.25</v>
      </c>
      <c r="BV31">
        <f>28.916</f>
        <v>28.916</v>
      </c>
      <c r="BW31">
        <f>70.651</f>
        <v>70.650999999999996</v>
      </c>
      <c r="BX31">
        <f>47.433</f>
        <v>47.433</v>
      </c>
      <c r="BY31">
        <f>37.029</f>
        <v>37.029000000000003</v>
      </c>
      <c r="BZ31">
        <f>38.957</f>
        <v>38.957000000000001</v>
      </c>
      <c r="CA31">
        <f>83.769</f>
        <v>83.769000000000005</v>
      </c>
      <c r="CB31">
        <f>52.502</f>
        <v>52.502000000000002</v>
      </c>
      <c r="CC31">
        <f>39.16</f>
        <v>39.159999999999997</v>
      </c>
      <c r="CD31">
        <f>31.674</f>
        <v>31.673999999999999</v>
      </c>
      <c r="CE31">
        <f>85.3</f>
        <v>85.3</v>
      </c>
      <c r="CF31">
        <f>55.115</f>
        <v>55.115000000000002</v>
      </c>
      <c r="CG31">
        <f>39.077</f>
        <v>39.076999999999998</v>
      </c>
      <c r="CH31">
        <f>37.699</f>
        <v>37.698999999999998</v>
      </c>
      <c r="CI31">
        <f>85.449</f>
        <v>85.448999999999998</v>
      </c>
      <c r="CJ31">
        <f>51.17</f>
        <v>51.17</v>
      </c>
      <c r="CK31">
        <f>31.427</f>
        <v>31.427</v>
      </c>
      <c r="CL31">
        <f>27.68</f>
        <v>27.68</v>
      </c>
      <c r="CM31">
        <f>65.068</f>
        <v>65.067999999999998</v>
      </c>
      <c r="CN31">
        <f>36.653</f>
        <v>36.652999999999999</v>
      </c>
      <c r="CO31">
        <f>21.98</f>
        <v>21.98</v>
      </c>
      <c r="CP31">
        <f>17.142</f>
        <v>17.141999999999999</v>
      </c>
      <c r="CQ31">
        <f>56.668</f>
        <v>56.667999999999999</v>
      </c>
      <c r="CR31">
        <f>26.265</f>
        <v>26.265000000000001</v>
      </c>
      <c r="CS31">
        <f>14.477</f>
        <v>14.477</v>
      </c>
      <c r="CT31">
        <f>13.211</f>
        <v>13.211</v>
      </c>
      <c r="CU31">
        <f>39.123</f>
        <v>39.122999999999998</v>
      </c>
      <c r="CV31">
        <f>19.806</f>
        <v>19.806000000000001</v>
      </c>
      <c r="CW31">
        <f>13.493</f>
        <v>13.493</v>
      </c>
      <c r="CX31">
        <f>12.5</f>
        <v>12.5</v>
      </c>
      <c r="CY31" t="str">
        <f>""</f>
        <v/>
      </c>
      <c r="CZ31" t="str">
        <f>""</f>
        <v/>
      </c>
      <c r="DA31" t="str">
        <f>""</f>
        <v/>
      </c>
      <c r="DB31" t="str">
        <f>""</f>
        <v/>
      </c>
      <c r="DC31" t="str">
        <f>""</f>
        <v/>
      </c>
      <c r="DD31" t="str">
        <f>""</f>
        <v/>
      </c>
      <c r="DE31" t="str">
        <f>""</f>
        <v/>
      </c>
      <c r="DF31" t="str">
        <f>""</f>
        <v/>
      </c>
      <c r="DG31" t="str">
        <f>""</f>
        <v/>
      </c>
      <c r="DH31" t="str">
        <f>""</f>
        <v/>
      </c>
      <c r="DI31" t="str">
        <f>""</f>
        <v/>
      </c>
      <c r="DJ31" t="str">
        <f>""</f>
        <v/>
      </c>
      <c r="DK31" t="str">
        <f>""</f>
        <v/>
      </c>
      <c r="DL31" t="str">
        <f>""</f>
        <v/>
      </c>
      <c r="DM31" t="str">
        <f>""</f>
        <v/>
      </c>
      <c r="DN31" t="str">
        <f>""</f>
        <v/>
      </c>
      <c r="DO31" t="str">
        <f>""</f>
        <v/>
      </c>
      <c r="DP31" t="str">
        <f>""</f>
        <v/>
      </c>
      <c r="DQ31" t="str">
        <f>""</f>
        <v/>
      </c>
      <c r="DR31" t="str">
        <f>""</f>
        <v/>
      </c>
      <c r="DS31" t="str">
        <f>""</f>
        <v/>
      </c>
      <c r="DT31" t="str">
        <f>""</f>
        <v/>
      </c>
      <c r="DU31" t="str">
        <f>""</f>
        <v/>
      </c>
    </row>
    <row r="32" spans="1:125">
      <c r="A32" t="str">
        <f>"    Tanger Factory Outlet Centers"</f>
        <v xml:space="preserve">    Tanger Factory Outlet Centers</v>
      </c>
      <c r="B32" t="str">
        <f>"SKT US Equity"</f>
        <v>SKT US Equity</v>
      </c>
      <c r="C32" t="str">
        <f t="shared" si="3"/>
        <v>IM275</v>
      </c>
      <c r="D32" t="str">
        <f t="shared" si="4"/>
        <v>IS_OTHER_RENTAL_INCOME</v>
      </c>
      <c r="E32" t="str">
        <f t="shared" si="5"/>
        <v>动态</v>
      </c>
      <c r="F32" t="str">
        <f ca="1">IF(AND(ISNUMBER($F$492),$B$419=1),$F$492,HLOOKUP(INDIRECT(ADDRESS(2,COLUMN())),OFFSET($BN$2,0,0,ROW()-1,60),ROW()-1,FALSE))</f>
        <v/>
      </c>
      <c r="G32">
        <f ca="1">IF(AND(ISNUMBER($G$492),$B$419=1),$G$492,HLOOKUP(INDIRECT(ADDRESS(2,COLUMN())),OFFSET($BN$2,0,0,ROW()-1,60),ROW()-1,FALSE))</f>
        <v>0</v>
      </c>
      <c r="H32">
        <f ca="1">IF(AND(ISNUMBER($H$492),$B$419=1),$H$492,HLOOKUP(INDIRECT(ADDRESS(2,COLUMN())),OFFSET($BN$2,0,0,ROW()-1,60),ROW()-1,FALSE))</f>
        <v>0</v>
      </c>
      <c r="I32">
        <f ca="1">IF(AND(ISNUMBER($I$492),$B$419=1),$I$492,HLOOKUP(INDIRECT(ADDRESS(2,COLUMN())),OFFSET($BN$2,0,0,ROW()-1,60),ROW()-1,FALSE))</f>
        <v>0</v>
      </c>
      <c r="J32">
        <f ca="1">IF(AND(ISNUMBER($J$492),$B$419=1),$J$492,HLOOKUP(INDIRECT(ADDRESS(2,COLUMN())),OFFSET($BN$2,0,0,ROW()-1,60),ROW()-1,FALSE))</f>
        <v>0</v>
      </c>
      <c r="K32">
        <f ca="1">IF(AND(ISNUMBER($K$492),$B$419=1),$K$492,HLOOKUP(INDIRECT(ADDRESS(2,COLUMN())),OFFSET($BN$2,0,0,ROW()-1,60),ROW()-1,FALSE))</f>
        <v>0</v>
      </c>
      <c r="L32">
        <f ca="1">IF(AND(ISNUMBER($L$492),$B$419=1),$L$492,HLOOKUP(INDIRECT(ADDRESS(2,COLUMN())),OFFSET($BN$2,0,0,ROW()-1,60),ROW()-1,FALSE))</f>
        <v>0</v>
      </c>
      <c r="M32">
        <f ca="1">IF(AND(ISNUMBER($M$492),$B$419=1),$M$492,HLOOKUP(INDIRECT(ADDRESS(2,COLUMN())),OFFSET($BN$2,0,0,ROW()-1,60),ROW()-1,FALSE))</f>
        <v>0</v>
      </c>
      <c r="N32">
        <f ca="1">IF(AND(ISNUMBER($N$492),$B$419=1),$N$492,HLOOKUP(INDIRECT(ADDRESS(2,COLUMN())),OFFSET($BN$2,0,0,ROW()-1,60),ROW()-1,FALSE))</f>
        <v>0</v>
      </c>
      <c r="O32">
        <f ca="1">IF(AND(ISNUMBER($O$492),$B$419=1),$O$492,HLOOKUP(INDIRECT(ADDRESS(2,COLUMN())),OFFSET($BN$2,0,0,ROW()-1,60),ROW()-1,FALSE))</f>
        <v>0</v>
      </c>
      <c r="P32">
        <f ca="1">IF(AND(ISNUMBER($P$492),$B$419=1),$P$492,HLOOKUP(INDIRECT(ADDRESS(2,COLUMN())),OFFSET($BN$2,0,0,ROW()-1,60),ROW()-1,FALSE))</f>
        <v>0</v>
      </c>
      <c r="Q32">
        <f ca="1">IF(AND(ISNUMBER($Q$492),$B$419=1),$Q$492,HLOOKUP(INDIRECT(ADDRESS(2,COLUMN())),OFFSET($BN$2,0,0,ROW()-1,60),ROW()-1,FALSE))</f>
        <v>0</v>
      </c>
      <c r="R32">
        <f ca="1">IF(AND(ISNUMBER($R$492),$B$419=1),$R$492,HLOOKUP(INDIRECT(ADDRESS(2,COLUMN())),OFFSET($BN$2,0,0,ROW()-1,60),ROW()-1,FALSE))</f>
        <v>0</v>
      </c>
      <c r="S32">
        <f ca="1">IF(AND(ISNUMBER($S$492),$B$419=1),$S$492,HLOOKUP(INDIRECT(ADDRESS(2,COLUMN())),OFFSET($BN$2,0,0,ROW()-1,60),ROW()-1,FALSE))</f>
        <v>0</v>
      </c>
      <c r="T32">
        <f ca="1">IF(AND(ISNUMBER($T$492),$B$419=1),$T$492,HLOOKUP(INDIRECT(ADDRESS(2,COLUMN())),OFFSET($BN$2,0,0,ROW()-1,60),ROW()-1,FALSE))</f>
        <v>0</v>
      </c>
      <c r="U32">
        <f ca="1">IF(AND(ISNUMBER($U$492),$B$419=1),$U$492,HLOOKUP(INDIRECT(ADDRESS(2,COLUMN())),OFFSET($BN$2,0,0,ROW()-1,60),ROW()-1,FALSE))</f>
        <v>0</v>
      </c>
      <c r="V32">
        <f ca="1">IF(AND(ISNUMBER($V$492),$B$419=1),$V$492,HLOOKUP(INDIRECT(ADDRESS(2,COLUMN())),OFFSET($BN$2,0,0,ROW()-1,60),ROW()-1,FALSE))</f>
        <v>0</v>
      </c>
      <c r="W32">
        <f ca="1">IF(AND(ISNUMBER($W$492),$B$419=1),$W$492,HLOOKUP(INDIRECT(ADDRESS(2,COLUMN())),OFFSET($BN$2,0,0,ROW()-1,60),ROW()-1,FALSE))</f>
        <v>0</v>
      </c>
      <c r="X32">
        <f ca="1">IF(AND(ISNUMBER($X$492),$B$419=1),$X$492,HLOOKUP(INDIRECT(ADDRESS(2,COLUMN())),OFFSET($BN$2,0,0,ROW()-1,60),ROW()-1,FALSE))</f>
        <v>0</v>
      </c>
      <c r="Y32">
        <f ca="1">IF(AND(ISNUMBER($Y$492),$B$419=1),$Y$492,HLOOKUP(INDIRECT(ADDRESS(2,COLUMN())),OFFSET($BN$2,0,0,ROW()-1,60),ROW()-1,FALSE))</f>
        <v>0</v>
      </c>
      <c r="Z32">
        <f ca="1">IF(AND(ISNUMBER($Z$492),$B$419=1),$Z$492,HLOOKUP(INDIRECT(ADDRESS(2,COLUMN())),OFFSET($BN$2,0,0,ROW()-1,60),ROW()-1,FALSE))</f>
        <v>0</v>
      </c>
      <c r="AA32">
        <f ca="1">IF(AND(ISNUMBER($AA$492),$B$419=1),$AA$492,HLOOKUP(INDIRECT(ADDRESS(2,COLUMN())),OFFSET($BN$2,0,0,ROW()-1,60),ROW()-1,FALSE))</f>
        <v>0</v>
      </c>
      <c r="AB32">
        <f ca="1">IF(AND(ISNUMBER($AB$492),$B$419=1),$AB$492,HLOOKUP(INDIRECT(ADDRESS(2,COLUMN())),OFFSET($BN$2,0,0,ROW()-1,60),ROW()-1,FALSE))</f>
        <v>0</v>
      </c>
      <c r="AC32">
        <f ca="1">IF(AND(ISNUMBER($AC$492),$B$419=1),$AC$492,HLOOKUP(INDIRECT(ADDRESS(2,COLUMN())),OFFSET($BN$2,0,0,ROW()-1,60),ROW()-1,FALSE))</f>
        <v>0</v>
      </c>
      <c r="AD32">
        <f ca="1">IF(AND(ISNUMBER($AD$492),$B$419=1),$AD$492,HLOOKUP(INDIRECT(ADDRESS(2,COLUMN())),OFFSET($BN$2,0,0,ROW()-1,60),ROW()-1,FALSE))</f>
        <v>0</v>
      </c>
      <c r="AE32">
        <f ca="1">IF(AND(ISNUMBER($AE$492),$B$419=1),$AE$492,HLOOKUP(INDIRECT(ADDRESS(2,COLUMN())),OFFSET($BN$2,0,0,ROW()-1,60),ROW()-1,FALSE))</f>
        <v>0</v>
      </c>
      <c r="AF32">
        <f ca="1">IF(AND(ISNUMBER($AF$492),$B$419=1),$AF$492,HLOOKUP(INDIRECT(ADDRESS(2,COLUMN())),OFFSET($BN$2,0,0,ROW()-1,60),ROW()-1,FALSE))</f>
        <v>0</v>
      </c>
      <c r="AG32">
        <f ca="1">IF(AND(ISNUMBER($AG$492),$B$419=1),$AG$492,HLOOKUP(INDIRECT(ADDRESS(2,COLUMN())),OFFSET($BN$2,0,0,ROW()-1,60),ROW()-1,FALSE))</f>
        <v>0</v>
      </c>
      <c r="AH32">
        <f ca="1">IF(AND(ISNUMBER($AH$492),$B$419=1),$AH$492,HLOOKUP(INDIRECT(ADDRESS(2,COLUMN())),OFFSET($BN$2,0,0,ROW()-1,60),ROW()-1,FALSE))</f>
        <v>0</v>
      </c>
      <c r="AI32">
        <f ca="1">IF(AND(ISNUMBER($AI$492),$B$419=1),$AI$492,HLOOKUP(INDIRECT(ADDRESS(2,COLUMN())),OFFSET($BN$2,0,0,ROW()-1,60),ROW()-1,FALSE))</f>
        <v>0</v>
      </c>
      <c r="AJ32">
        <f ca="1">IF(AND(ISNUMBER($AJ$492),$B$419=1),$AJ$492,HLOOKUP(INDIRECT(ADDRESS(2,COLUMN())),OFFSET($BN$2,0,0,ROW()-1,60),ROW()-1,FALSE))</f>
        <v>0</v>
      </c>
      <c r="AK32">
        <f ca="1">IF(AND(ISNUMBER($AK$492),$B$419=1),$AK$492,HLOOKUP(INDIRECT(ADDRESS(2,COLUMN())),OFFSET($BN$2,0,0,ROW()-1,60),ROW()-1,FALSE))</f>
        <v>0</v>
      </c>
      <c r="AL32">
        <f ca="1">IF(AND(ISNUMBER($AL$492),$B$419=1),$AL$492,HLOOKUP(INDIRECT(ADDRESS(2,COLUMN())),OFFSET($BN$2,0,0,ROW()-1,60),ROW()-1,FALSE))</f>
        <v>0</v>
      </c>
      <c r="AM32">
        <f ca="1">IF(AND(ISNUMBER($AM$492),$B$419=1),$AM$492,HLOOKUP(INDIRECT(ADDRESS(2,COLUMN())),OFFSET($BN$2,0,0,ROW()-1,60),ROW()-1,FALSE))</f>
        <v>0</v>
      </c>
      <c r="AN32">
        <f ca="1">IF(AND(ISNUMBER($AN$492),$B$419=1),$AN$492,HLOOKUP(INDIRECT(ADDRESS(2,COLUMN())),OFFSET($BN$2,0,0,ROW()-1,60),ROW()-1,FALSE))</f>
        <v>0</v>
      </c>
      <c r="AO32">
        <f ca="1">IF(AND(ISNUMBER($AO$492),$B$419=1),$AO$492,HLOOKUP(INDIRECT(ADDRESS(2,COLUMN())),OFFSET($BN$2,0,0,ROW()-1,60),ROW()-1,FALSE))</f>
        <v>0</v>
      </c>
      <c r="AP32">
        <f ca="1">IF(AND(ISNUMBER($AP$492),$B$419=1),$AP$492,HLOOKUP(INDIRECT(ADDRESS(2,COLUMN())),OFFSET($BN$2,0,0,ROW()-1,60),ROW()-1,FALSE))</f>
        <v>0</v>
      </c>
      <c r="AQ32" t="str">
        <f ca="1">IF(AND(ISNUMBER($AQ$492),$B$419=1),$AQ$492,HLOOKUP(INDIRECT(ADDRESS(2,COLUMN())),OFFSET($BN$2,0,0,ROW()-1,60),ROW()-1,FALSE))</f>
        <v/>
      </c>
      <c r="AR32" t="str">
        <f ca="1">IF(AND(ISNUMBER($AR$492),$B$419=1),$AR$492,HLOOKUP(INDIRECT(ADDRESS(2,COLUMN())),OFFSET($BN$2,0,0,ROW()-1,60),ROW()-1,FALSE))</f>
        <v/>
      </c>
      <c r="AS32" t="str">
        <f ca="1">IF(AND(ISNUMBER($AS$492),$B$419=1),$AS$492,HLOOKUP(INDIRECT(ADDRESS(2,COLUMN())),OFFSET($BN$2,0,0,ROW()-1,60),ROW()-1,FALSE))</f>
        <v/>
      </c>
      <c r="AT32" t="str">
        <f ca="1">IF(AND(ISNUMBER($AT$492),$B$419=1),$AT$492,HLOOKUP(INDIRECT(ADDRESS(2,COLUMN())),OFFSET($BN$2,0,0,ROW()-1,60),ROW()-1,FALSE))</f>
        <v/>
      </c>
      <c r="AU32" t="str">
        <f ca="1">IF(AND(ISNUMBER($AU$492),$B$419=1),$AU$492,HLOOKUP(INDIRECT(ADDRESS(2,COLUMN())),OFFSET($BN$2,0,0,ROW()-1,60),ROW()-1,FALSE))</f>
        <v/>
      </c>
      <c r="AV32" t="str">
        <f ca="1">IF(AND(ISNUMBER($AV$492),$B$419=1),$AV$492,HLOOKUP(INDIRECT(ADDRESS(2,COLUMN())),OFFSET($BN$2,0,0,ROW()-1,60),ROW()-1,FALSE))</f>
        <v/>
      </c>
      <c r="AW32" t="str">
        <f ca="1">IF(AND(ISNUMBER($AW$492),$B$419=1),$AW$492,HLOOKUP(INDIRECT(ADDRESS(2,COLUMN())),OFFSET($BN$2,0,0,ROW()-1,60),ROW()-1,FALSE))</f>
        <v/>
      </c>
      <c r="AX32" t="str">
        <f ca="1">IF(AND(ISNUMBER($AX$492),$B$419=1),$AX$492,HLOOKUP(INDIRECT(ADDRESS(2,COLUMN())),OFFSET($BN$2,0,0,ROW()-1,60),ROW()-1,FALSE))</f>
        <v/>
      </c>
      <c r="AY32" t="str">
        <f ca="1">IF(AND(ISNUMBER($AY$492),$B$419=1),$AY$492,HLOOKUP(INDIRECT(ADDRESS(2,COLUMN())),OFFSET($BN$2,0,0,ROW()-1,60),ROW()-1,FALSE))</f>
        <v/>
      </c>
      <c r="AZ32" t="str">
        <f ca="1">IF(AND(ISNUMBER($AZ$492),$B$419=1),$AZ$492,HLOOKUP(INDIRECT(ADDRESS(2,COLUMN())),OFFSET($BN$2,0,0,ROW()-1,60),ROW()-1,FALSE))</f>
        <v/>
      </c>
      <c r="BA32" t="str">
        <f ca="1">IF(AND(ISNUMBER($BA$492),$B$419=1),$BA$492,HLOOKUP(INDIRECT(ADDRESS(2,COLUMN())),OFFSET($BN$2,0,0,ROW()-1,60),ROW()-1,FALSE))</f>
        <v/>
      </c>
      <c r="BB32" t="str">
        <f ca="1">IF(AND(ISNUMBER($BB$492),$B$419=1),$BB$492,HLOOKUP(INDIRECT(ADDRESS(2,COLUMN())),OFFSET($BN$2,0,0,ROW()-1,60),ROW()-1,FALSE))</f>
        <v/>
      </c>
      <c r="BC32" t="str">
        <f ca="1">IF(AND(ISNUMBER($BC$492),$B$419=1),$BC$492,HLOOKUP(INDIRECT(ADDRESS(2,COLUMN())),OFFSET($BN$2,0,0,ROW()-1,60),ROW()-1,FALSE))</f>
        <v/>
      </c>
      <c r="BD32" t="str">
        <f ca="1">IF(AND(ISNUMBER($BD$492),$B$419=1),$BD$492,HLOOKUP(INDIRECT(ADDRESS(2,COLUMN())),OFFSET($BN$2,0,0,ROW()-1,60),ROW()-1,FALSE))</f>
        <v/>
      </c>
      <c r="BE32" t="str">
        <f ca="1">IF(AND(ISNUMBER($BE$492),$B$419=1),$BE$492,HLOOKUP(INDIRECT(ADDRESS(2,COLUMN())),OFFSET($BN$2,0,0,ROW()-1,60),ROW()-1,FALSE))</f>
        <v/>
      </c>
      <c r="BF32" t="str">
        <f ca="1">IF(AND(ISNUMBER($BF$492),$B$419=1),$BF$492,HLOOKUP(INDIRECT(ADDRESS(2,COLUMN())),OFFSET($BN$2,0,0,ROW()-1,60),ROW()-1,FALSE))</f>
        <v/>
      </c>
      <c r="BG32" t="str">
        <f ca="1">IF(AND(ISNUMBER($BG$492),$B$419=1),$BG$492,HLOOKUP(INDIRECT(ADDRESS(2,COLUMN())),OFFSET($BN$2,0,0,ROW()-1,60),ROW()-1,FALSE))</f>
        <v/>
      </c>
      <c r="BH32" t="str">
        <f ca="1">IF(AND(ISNUMBER($BH$492),$B$419=1),$BH$492,HLOOKUP(INDIRECT(ADDRESS(2,COLUMN())),OFFSET($BN$2,0,0,ROW()-1,60),ROW()-1,FALSE))</f>
        <v/>
      </c>
      <c r="BI32" t="str">
        <f ca="1">IF(AND(ISNUMBER($BI$492),$B$419=1),$BI$492,HLOOKUP(INDIRECT(ADDRESS(2,COLUMN())),OFFSET($BN$2,0,0,ROW()-1,60),ROW()-1,FALSE))</f>
        <v/>
      </c>
      <c r="BJ32" t="str">
        <f ca="1">IF(AND(ISNUMBER($BJ$492),$B$419=1),$BJ$492,HLOOKUP(INDIRECT(ADDRESS(2,COLUMN())),OFFSET($BN$2,0,0,ROW()-1,60),ROW()-1,FALSE))</f>
        <v/>
      </c>
      <c r="BK32" t="str">
        <f ca="1">IF(AND(ISNUMBER($BK$492),$B$419=1),$BK$492,HLOOKUP(INDIRECT(ADDRESS(2,COLUMN())),OFFSET($BN$2,0,0,ROW()-1,60),ROW()-1,FALSE))</f>
        <v/>
      </c>
      <c r="BL32" t="str">
        <f ca="1">IF(AND(ISNUMBER($BL$492),$B$419=1),$BL$492,HLOOKUP(INDIRECT(ADDRESS(2,COLUMN())),OFFSET($BN$2,0,0,ROW()-1,60),ROW()-1,FALSE))</f>
        <v/>
      </c>
      <c r="BM32" t="str">
        <f ca="1">IF(AND(ISNUMBER($BM$492),$B$419=1),$BM$492,HLOOKUP(INDIRECT(ADDRESS(2,COLUMN())),OFFSET($BN$2,0,0,ROW()-1,60),ROW()-1,FALSE))</f>
        <v/>
      </c>
      <c r="BN32" t="str">
        <f>""</f>
        <v/>
      </c>
      <c r="BO32">
        <f>0</f>
        <v>0</v>
      </c>
      <c r="BP32">
        <f>0</f>
        <v>0</v>
      </c>
      <c r="BQ32">
        <f>0</f>
        <v>0</v>
      </c>
      <c r="BR32">
        <f>0</f>
        <v>0</v>
      </c>
      <c r="BS32">
        <f>0</f>
        <v>0</v>
      </c>
      <c r="BT32">
        <f>0</f>
        <v>0</v>
      </c>
      <c r="BU32">
        <f>0</f>
        <v>0</v>
      </c>
      <c r="BV32">
        <f>0</f>
        <v>0</v>
      </c>
      <c r="BW32">
        <f>0</f>
        <v>0</v>
      </c>
      <c r="BX32">
        <f>0</f>
        <v>0</v>
      </c>
      <c r="BY32">
        <f>0</f>
        <v>0</v>
      </c>
      <c r="BZ32">
        <f>0</f>
        <v>0</v>
      </c>
      <c r="CA32">
        <f>0</f>
        <v>0</v>
      </c>
      <c r="CB32">
        <f>0</f>
        <v>0</v>
      </c>
      <c r="CC32">
        <f>0</f>
        <v>0</v>
      </c>
      <c r="CD32">
        <f>0</f>
        <v>0</v>
      </c>
      <c r="CE32">
        <f>0</f>
        <v>0</v>
      </c>
      <c r="CF32">
        <f>0</f>
        <v>0</v>
      </c>
      <c r="CG32">
        <f>0</f>
        <v>0</v>
      </c>
      <c r="CH32">
        <f>0</f>
        <v>0</v>
      </c>
      <c r="CI32">
        <f>0</f>
        <v>0</v>
      </c>
      <c r="CJ32">
        <f>0</f>
        <v>0</v>
      </c>
      <c r="CK32">
        <f>0</f>
        <v>0</v>
      </c>
      <c r="CL32">
        <f>0</f>
        <v>0</v>
      </c>
      <c r="CM32">
        <f>0</f>
        <v>0</v>
      </c>
      <c r="CN32">
        <f>0</f>
        <v>0</v>
      </c>
      <c r="CO32">
        <f>0</f>
        <v>0</v>
      </c>
      <c r="CP32">
        <f>0</f>
        <v>0</v>
      </c>
      <c r="CQ32">
        <f>0</f>
        <v>0</v>
      </c>
      <c r="CR32">
        <f>0</f>
        <v>0</v>
      </c>
      <c r="CS32">
        <f>0</f>
        <v>0</v>
      </c>
      <c r="CT32">
        <f>0</f>
        <v>0</v>
      </c>
      <c r="CU32">
        <f>0</f>
        <v>0</v>
      </c>
      <c r="CV32">
        <f>0</f>
        <v>0</v>
      </c>
      <c r="CW32">
        <f>0</f>
        <v>0</v>
      </c>
      <c r="CX32">
        <f>0</f>
        <v>0</v>
      </c>
      <c r="CY32" t="str">
        <f>""</f>
        <v/>
      </c>
      <c r="CZ32" t="str">
        <f>""</f>
        <v/>
      </c>
      <c r="DA32" t="str">
        <f>""</f>
        <v/>
      </c>
      <c r="DB32" t="str">
        <f>""</f>
        <v/>
      </c>
      <c r="DC32" t="str">
        <f>""</f>
        <v/>
      </c>
      <c r="DD32" t="str">
        <f>""</f>
        <v/>
      </c>
      <c r="DE32" t="str">
        <f>""</f>
        <v/>
      </c>
      <c r="DF32" t="str">
        <f>""</f>
        <v/>
      </c>
      <c r="DG32" t="str">
        <f>""</f>
        <v/>
      </c>
      <c r="DH32" t="str">
        <f>""</f>
        <v/>
      </c>
      <c r="DI32" t="str">
        <f>""</f>
        <v/>
      </c>
      <c r="DJ32" t="str">
        <f>""</f>
        <v/>
      </c>
      <c r="DK32" t="str">
        <f>""</f>
        <v/>
      </c>
      <c r="DL32" t="str">
        <f>""</f>
        <v/>
      </c>
      <c r="DM32" t="str">
        <f>""</f>
        <v/>
      </c>
      <c r="DN32" t="str">
        <f>""</f>
        <v/>
      </c>
      <c r="DO32" t="str">
        <f>""</f>
        <v/>
      </c>
      <c r="DP32" t="str">
        <f>""</f>
        <v/>
      </c>
      <c r="DQ32" t="str">
        <f>""</f>
        <v/>
      </c>
      <c r="DR32" t="str">
        <f>""</f>
        <v/>
      </c>
      <c r="DS32" t="str">
        <f>""</f>
        <v/>
      </c>
      <c r="DT32" t="str">
        <f>""</f>
        <v/>
      </c>
      <c r="DU32" t="str">
        <f>""</f>
        <v/>
      </c>
    </row>
    <row r="33" spans="1:125">
      <c r="A33" t="str">
        <f>"    VEREIT Inc"</f>
        <v xml:space="preserve">    VEREIT Inc</v>
      </c>
      <c r="B33" t="str">
        <f>"VER US Equity"</f>
        <v>VER US Equity</v>
      </c>
      <c r="C33" t="str">
        <f t="shared" si="3"/>
        <v>IM275</v>
      </c>
      <c r="D33" t="str">
        <f t="shared" si="4"/>
        <v>IS_OTHER_RENTAL_INCOME</v>
      </c>
      <c r="E33" t="str">
        <f t="shared" si="5"/>
        <v>动态</v>
      </c>
      <c r="F33" t="str">
        <f ca="1">IF(AND(ISNUMBER($F$493),$B$419=1),$F$493,HLOOKUP(INDIRECT(ADDRESS(2,COLUMN())),OFFSET($BN$2,0,0,ROW()-1,60),ROW()-1,FALSE))</f>
        <v/>
      </c>
      <c r="G33" t="str">
        <f ca="1">IF(AND(ISNUMBER($G$493),$B$419=1),$G$493,HLOOKUP(INDIRECT(ADDRESS(2,COLUMN())),OFFSET($BN$2,0,0,ROW()-1,60),ROW()-1,FALSE))</f>
        <v/>
      </c>
      <c r="H33" t="str">
        <f ca="1">IF(AND(ISNUMBER($H$493),$B$419=1),$H$493,HLOOKUP(INDIRECT(ADDRESS(2,COLUMN())),OFFSET($BN$2,0,0,ROW()-1,60),ROW()-1,FALSE))</f>
        <v/>
      </c>
      <c r="I33" t="str">
        <f ca="1">IF(AND(ISNUMBER($I$493),$B$419=1),$I$493,HLOOKUP(INDIRECT(ADDRESS(2,COLUMN())),OFFSET($BN$2,0,0,ROW()-1,60),ROW()-1,FALSE))</f>
        <v/>
      </c>
      <c r="J33" t="str">
        <f ca="1">IF(AND(ISNUMBER($J$493),$B$419=1),$J$493,HLOOKUP(INDIRECT(ADDRESS(2,COLUMN())),OFFSET($BN$2,0,0,ROW()-1,60),ROW()-1,FALSE))</f>
        <v/>
      </c>
      <c r="K33" t="str">
        <f ca="1">IF(AND(ISNUMBER($K$493),$B$419=1),$K$493,HLOOKUP(INDIRECT(ADDRESS(2,COLUMN())),OFFSET($BN$2,0,0,ROW()-1,60),ROW()-1,FALSE))</f>
        <v/>
      </c>
      <c r="L33" t="str">
        <f ca="1">IF(AND(ISNUMBER($L$493),$B$419=1),$L$493,HLOOKUP(INDIRECT(ADDRESS(2,COLUMN())),OFFSET($BN$2,0,0,ROW()-1,60),ROW()-1,FALSE))</f>
        <v/>
      </c>
      <c r="M33" t="str">
        <f ca="1">IF(AND(ISNUMBER($M$493),$B$419=1),$M$493,HLOOKUP(INDIRECT(ADDRESS(2,COLUMN())),OFFSET($BN$2,0,0,ROW()-1,60),ROW()-1,FALSE))</f>
        <v/>
      </c>
      <c r="N33" t="str">
        <f ca="1">IF(AND(ISNUMBER($N$493),$B$419=1),$N$493,HLOOKUP(INDIRECT(ADDRESS(2,COLUMN())),OFFSET($BN$2,0,0,ROW()-1,60),ROW()-1,FALSE))</f>
        <v/>
      </c>
      <c r="O33" t="str">
        <f ca="1">IF(AND(ISNUMBER($O$493),$B$419=1),$O$493,HLOOKUP(INDIRECT(ADDRESS(2,COLUMN())),OFFSET($BN$2,0,0,ROW()-1,60),ROW()-1,FALSE))</f>
        <v/>
      </c>
      <c r="P33" t="str">
        <f ca="1">IF(AND(ISNUMBER($P$493),$B$419=1),$P$493,HLOOKUP(INDIRECT(ADDRESS(2,COLUMN())),OFFSET($BN$2,0,0,ROW()-1,60),ROW()-1,FALSE))</f>
        <v/>
      </c>
      <c r="Q33" t="str">
        <f ca="1">IF(AND(ISNUMBER($Q$493),$B$419=1),$Q$493,HLOOKUP(INDIRECT(ADDRESS(2,COLUMN())),OFFSET($BN$2,0,0,ROW()-1,60),ROW()-1,FALSE))</f>
        <v/>
      </c>
      <c r="R33" t="str">
        <f ca="1">IF(AND(ISNUMBER($R$493),$B$419=1),$R$493,HLOOKUP(INDIRECT(ADDRESS(2,COLUMN())),OFFSET($BN$2,0,0,ROW()-1,60),ROW()-1,FALSE))</f>
        <v/>
      </c>
      <c r="S33" t="str">
        <f ca="1">IF(AND(ISNUMBER($S$493),$B$419=1),$S$493,HLOOKUP(INDIRECT(ADDRESS(2,COLUMN())),OFFSET($BN$2,0,0,ROW()-1,60),ROW()-1,FALSE))</f>
        <v/>
      </c>
      <c r="T33" t="str">
        <f ca="1">IF(AND(ISNUMBER($T$493),$B$419=1),$T$493,HLOOKUP(INDIRECT(ADDRESS(2,COLUMN())),OFFSET($BN$2,0,0,ROW()-1,60),ROW()-1,FALSE))</f>
        <v/>
      </c>
      <c r="U33" t="str">
        <f ca="1">IF(AND(ISNUMBER($U$493),$B$419=1),$U$493,HLOOKUP(INDIRECT(ADDRESS(2,COLUMN())),OFFSET($BN$2,0,0,ROW()-1,60),ROW()-1,FALSE))</f>
        <v/>
      </c>
      <c r="V33" t="str">
        <f ca="1">IF(AND(ISNUMBER($V$493),$B$419=1),$V$493,HLOOKUP(INDIRECT(ADDRESS(2,COLUMN())),OFFSET($BN$2,0,0,ROW()-1,60),ROW()-1,FALSE))</f>
        <v/>
      </c>
      <c r="W33" t="str">
        <f ca="1">IF(AND(ISNUMBER($W$493),$B$419=1),$W$493,HLOOKUP(INDIRECT(ADDRESS(2,COLUMN())),OFFSET($BN$2,0,0,ROW()-1,60),ROW()-1,FALSE))</f>
        <v/>
      </c>
      <c r="X33" t="str">
        <f ca="1">IF(AND(ISNUMBER($X$493),$B$419=1),$X$493,HLOOKUP(INDIRECT(ADDRESS(2,COLUMN())),OFFSET($BN$2,0,0,ROW()-1,60),ROW()-1,FALSE))</f>
        <v/>
      </c>
      <c r="Y33" t="str">
        <f ca="1">IF(AND(ISNUMBER($Y$493),$B$419=1),$Y$493,HLOOKUP(INDIRECT(ADDRESS(2,COLUMN())),OFFSET($BN$2,0,0,ROW()-1,60),ROW()-1,FALSE))</f>
        <v/>
      </c>
      <c r="Z33" t="str">
        <f ca="1">IF(AND(ISNUMBER($Z$493),$B$419=1),$Z$493,HLOOKUP(INDIRECT(ADDRESS(2,COLUMN())),OFFSET($BN$2,0,0,ROW()-1,60),ROW()-1,FALSE))</f>
        <v/>
      </c>
      <c r="AA33" t="str">
        <f ca="1">IF(AND(ISNUMBER($AA$493),$B$419=1),$AA$493,HLOOKUP(INDIRECT(ADDRESS(2,COLUMN())),OFFSET($BN$2,0,0,ROW()-1,60),ROW()-1,FALSE))</f>
        <v/>
      </c>
      <c r="AB33" t="str">
        <f ca="1">IF(AND(ISNUMBER($AB$493),$B$419=1),$AB$493,HLOOKUP(INDIRECT(ADDRESS(2,COLUMN())),OFFSET($BN$2,0,0,ROW()-1,60),ROW()-1,FALSE))</f>
        <v/>
      </c>
      <c r="AC33" t="str">
        <f ca="1">IF(AND(ISNUMBER($AC$493),$B$419=1),$AC$493,HLOOKUP(INDIRECT(ADDRESS(2,COLUMN())),OFFSET($BN$2,0,0,ROW()-1,60),ROW()-1,FALSE))</f>
        <v/>
      </c>
      <c r="AD33" t="str">
        <f ca="1">IF(AND(ISNUMBER($AD$493),$B$419=1),$AD$493,HLOOKUP(INDIRECT(ADDRESS(2,COLUMN())),OFFSET($BN$2,0,0,ROW()-1,60),ROW()-1,FALSE))</f>
        <v/>
      </c>
      <c r="AE33" t="str">
        <f ca="1">IF(AND(ISNUMBER($AE$493),$B$419=1),$AE$493,HLOOKUP(INDIRECT(ADDRESS(2,COLUMN())),OFFSET($BN$2,0,0,ROW()-1,60),ROW()-1,FALSE))</f>
        <v/>
      </c>
      <c r="AF33" t="str">
        <f ca="1">IF(AND(ISNUMBER($AF$493),$B$419=1),$AF$493,HLOOKUP(INDIRECT(ADDRESS(2,COLUMN())),OFFSET($BN$2,0,0,ROW()-1,60),ROW()-1,FALSE))</f>
        <v/>
      </c>
      <c r="AG33" t="str">
        <f ca="1">IF(AND(ISNUMBER($AG$493),$B$419=1),$AG$493,HLOOKUP(INDIRECT(ADDRESS(2,COLUMN())),OFFSET($BN$2,0,0,ROW()-1,60),ROW()-1,FALSE))</f>
        <v/>
      </c>
      <c r="AH33" t="str">
        <f ca="1">IF(AND(ISNUMBER($AH$493),$B$419=1),$AH$493,HLOOKUP(INDIRECT(ADDRESS(2,COLUMN())),OFFSET($BN$2,0,0,ROW()-1,60),ROW()-1,FALSE))</f>
        <v/>
      </c>
      <c r="AI33" t="str">
        <f ca="1">IF(AND(ISNUMBER($AI$493),$B$419=1),$AI$493,HLOOKUP(INDIRECT(ADDRESS(2,COLUMN())),OFFSET($BN$2,0,0,ROW()-1,60),ROW()-1,FALSE))</f>
        <v/>
      </c>
      <c r="AJ33" t="str">
        <f ca="1">IF(AND(ISNUMBER($AJ$493),$B$419=1),$AJ$493,HLOOKUP(INDIRECT(ADDRESS(2,COLUMN())),OFFSET($BN$2,0,0,ROW()-1,60),ROW()-1,FALSE))</f>
        <v/>
      </c>
      <c r="AK33" t="str">
        <f ca="1">IF(AND(ISNUMBER($AK$493),$B$419=1),$AK$493,HLOOKUP(INDIRECT(ADDRESS(2,COLUMN())),OFFSET($BN$2,0,0,ROW()-1,60),ROW()-1,FALSE))</f>
        <v/>
      </c>
      <c r="AL33" t="str">
        <f ca="1">IF(AND(ISNUMBER($AL$493),$B$419=1),$AL$493,HLOOKUP(INDIRECT(ADDRESS(2,COLUMN())),OFFSET($BN$2,0,0,ROW()-1,60),ROW()-1,FALSE))</f>
        <v/>
      </c>
      <c r="AM33" t="str">
        <f ca="1">IF(AND(ISNUMBER($AM$493),$B$419=1),$AM$493,HLOOKUP(INDIRECT(ADDRESS(2,COLUMN())),OFFSET($BN$2,0,0,ROW()-1,60),ROW()-1,FALSE))</f>
        <v/>
      </c>
      <c r="AN33" t="str">
        <f ca="1">IF(AND(ISNUMBER($AN$493),$B$419=1),$AN$493,HLOOKUP(INDIRECT(ADDRESS(2,COLUMN())),OFFSET($BN$2,0,0,ROW()-1,60),ROW()-1,FALSE))</f>
        <v/>
      </c>
      <c r="AO33" t="str">
        <f ca="1">IF(AND(ISNUMBER($AO$493),$B$419=1),$AO$493,HLOOKUP(INDIRECT(ADDRESS(2,COLUMN())),OFFSET($BN$2,0,0,ROW()-1,60),ROW()-1,FALSE))</f>
        <v/>
      </c>
      <c r="AP33" t="str">
        <f ca="1">IF(AND(ISNUMBER($AP$493),$B$419=1),$AP$493,HLOOKUP(INDIRECT(ADDRESS(2,COLUMN())),OFFSET($BN$2,0,0,ROW()-1,60),ROW()-1,FALSE))</f>
        <v/>
      </c>
      <c r="AQ33" t="str">
        <f ca="1">IF(AND(ISNUMBER($AQ$493),$B$419=1),$AQ$493,HLOOKUP(INDIRECT(ADDRESS(2,COLUMN())),OFFSET($BN$2,0,0,ROW()-1,60),ROW()-1,FALSE))</f>
        <v/>
      </c>
      <c r="AR33" t="str">
        <f ca="1">IF(AND(ISNUMBER($AR$493),$B$419=1),$AR$493,HLOOKUP(INDIRECT(ADDRESS(2,COLUMN())),OFFSET($BN$2,0,0,ROW()-1,60),ROW()-1,FALSE))</f>
        <v/>
      </c>
      <c r="AS33" t="str">
        <f ca="1">IF(AND(ISNUMBER($AS$493),$B$419=1),$AS$493,HLOOKUP(INDIRECT(ADDRESS(2,COLUMN())),OFFSET($BN$2,0,0,ROW()-1,60),ROW()-1,FALSE))</f>
        <v/>
      </c>
      <c r="AT33" t="str">
        <f ca="1">IF(AND(ISNUMBER($AT$493),$B$419=1),$AT$493,HLOOKUP(INDIRECT(ADDRESS(2,COLUMN())),OFFSET($BN$2,0,0,ROW()-1,60),ROW()-1,FALSE))</f>
        <v/>
      </c>
      <c r="AU33" t="str">
        <f ca="1">IF(AND(ISNUMBER($AU$493),$B$419=1),$AU$493,HLOOKUP(INDIRECT(ADDRESS(2,COLUMN())),OFFSET($BN$2,0,0,ROW()-1,60),ROW()-1,FALSE))</f>
        <v/>
      </c>
      <c r="AV33" t="str">
        <f ca="1">IF(AND(ISNUMBER($AV$493),$B$419=1),$AV$493,HLOOKUP(INDIRECT(ADDRESS(2,COLUMN())),OFFSET($BN$2,0,0,ROW()-1,60),ROW()-1,FALSE))</f>
        <v/>
      </c>
      <c r="AW33" t="str">
        <f ca="1">IF(AND(ISNUMBER($AW$493),$B$419=1),$AW$493,HLOOKUP(INDIRECT(ADDRESS(2,COLUMN())),OFFSET($BN$2,0,0,ROW()-1,60),ROW()-1,FALSE))</f>
        <v/>
      </c>
      <c r="AX33" t="str">
        <f ca="1">IF(AND(ISNUMBER($AX$493),$B$419=1),$AX$493,HLOOKUP(INDIRECT(ADDRESS(2,COLUMN())),OFFSET($BN$2,0,0,ROW()-1,60),ROW()-1,FALSE))</f>
        <v/>
      </c>
      <c r="AY33" t="str">
        <f ca="1">IF(AND(ISNUMBER($AY$493),$B$419=1),$AY$493,HLOOKUP(INDIRECT(ADDRESS(2,COLUMN())),OFFSET($BN$2,0,0,ROW()-1,60),ROW()-1,FALSE))</f>
        <v/>
      </c>
      <c r="AZ33" t="str">
        <f ca="1">IF(AND(ISNUMBER($AZ$493),$B$419=1),$AZ$493,HLOOKUP(INDIRECT(ADDRESS(2,COLUMN())),OFFSET($BN$2,0,0,ROW()-1,60),ROW()-1,FALSE))</f>
        <v/>
      </c>
      <c r="BA33" t="str">
        <f ca="1">IF(AND(ISNUMBER($BA$493),$B$419=1),$BA$493,HLOOKUP(INDIRECT(ADDRESS(2,COLUMN())),OFFSET($BN$2,0,0,ROW()-1,60),ROW()-1,FALSE))</f>
        <v/>
      </c>
      <c r="BB33" t="str">
        <f ca="1">IF(AND(ISNUMBER($BB$493),$B$419=1),$BB$493,HLOOKUP(INDIRECT(ADDRESS(2,COLUMN())),OFFSET($BN$2,0,0,ROW()-1,60),ROW()-1,FALSE))</f>
        <v/>
      </c>
      <c r="BC33" t="str">
        <f ca="1">IF(AND(ISNUMBER($BC$493),$B$419=1),$BC$493,HLOOKUP(INDIRECT(ADDRESS(2,COLUMN())),OFFSET($BN$2,0,0,ROW()-1,60),ROW()-1,FALSE))</f>
        <v/>
      </c>
      <c r="BD33" t="str">
        <f ca="1">IF(AND(ISNUMBER($BD$493),$B$419=1),$BD$493,HLOOKUP(INDIRECT(ADDRESS(2,COLUMN())),OFFSET($BN$2,0,0,ROW()-1,60),ROW()-1,FALSE))</f>
        <v/>
      </c>
      <c r="BE33" t="str">
        <f ca="1">IF(AND(ISNUMBER($BE$493),$B$419=1),$BE$493,HLOOKUP(INDIRECT(ADDRESS(2,COLUMN())),OFFSET($BN$2,0,0,ROW()-1,60),ROW()-1,FALSE))</f>
        <v/>
      </c>
      <c r="BF33" t="str">
        <f ca="1">IF(AND(ISNUMBER($BF$493),$B$419=1),$BF$493,HLOOKUP(INDIRECT(ADDRESS(2,COLUMN())),OFFSET($BN$2,0,0,ROW()-1,60),ROW()-1,FALSE))</f>
        <v/>
      </c>
      <c r="BG33" t="str">
        <f ca="1">IF(AND(ISNUMBER($BG$493),$B$419=1),$BG$493,HLOOKUP(INDIRECT(ADDRESS(2,COLUMN())),OFFSET($BN$2,0,0,ROW()-1,60),ROW()-1,FALSE))</f>
        <v/>
      </c>
      <c r="BH33" t="str">
        <f ca="1">IF(AND(ISNUMBER($BH$493),$B$419=1),$BH$493,HLOOKUP(INDIRECT(ADDRESS(2,COLUMN())),OFFSET($BN$2,0,0,ROW()-1,60),ROW()-1,FALSE))</f>
        <v/>
      </c>
      <c r="BI33" t="str">
        <f ca="1">IF(AND(ISNUMBER($BI$493),$B$419=1),$BI$493,HLOOKUP(INDIRECT(ADDRESS(2,COLUMN())),OFFSET($BN$2,0,0,ROW()-1,60),ROW()-1,FALSE))</f>
        <v/>
      </c>
      <c r="BJ33" t="str">
        <f ca="1">IF(AND(ISNUMBER($BJ$493),$B$419=1),$BJ$493,HLOOKUP(INDIRECT(ADDRESS(2,COLUMN())),OFFSET($BN$2,0,0,ROW()-1,60),ROW()-1,FALSE))</f>
        <v/>
      </c>
      <c r="BK33" t="str">
        <f ca="1">IF(AND(ISNUMBER($BK$493),$B$419=1),$BK$493,HLOOKUP(INDIRECT(ADDRESS(2,COLUMN())),OFFSET($BN$2,0,0,ROW()-1,60),ROW()-1,FALSE))</f>
        <v/>
      </c>
      <c r="BL33" t="str">
        <f ca="1">IF(AND(ISNUMBER($BL$493),$B$419=1),$BL$493,HLOOKUP(INDIRECT(ADDRESS(2,COLUMN())),OFFSET($BN$2,0,0,ROW()-1,60),ROW()-1,FALSE))</f>
        <v/>
      </c>
      <c r="BM33" t="str">
        <f ca="1">IF(AND(ISNUMBER($BM$493),$B$419=1),$BM$493,HLOOKUP(INDIRECT(ADDRESS(2,COLUMN())),OFFSET($BN$2,0,0,ROW()-1,60),ROW()-1,FALSE))</f>
        <v/>
      </c>
      <c r="BN33" t="str">
        <f>""</f>
        <v/>
      </c>
      <c r="BO33" t="str">
        <f>""</f>
        <v/>
      </c>
      <c r="BP33" t="str">
        <f>""</f>
        <v/>
      </c>
      <c r="BQ33" t="str">
        <f>""</f>
        <v/>
      </c>
      <c r="BR33" t="str">
        <f>""</f>
        <v/>
      </c>
      <c r="BS33" t="str">
        <f>""</f>
        <v/>
      </c>
      <c r="BT33" t="str">
        <f>""</f>
        <v/>
      </c>
      <c r="BU33" t="str">
        <f>""</f>
        <v/>
      </c>
      <c r="BV33" t="str">
        <f>""</f>
        <v/>
      </c>
      <c r="BW33" t="str">
        <f>""</f>
        <v/>
      </c>
      <c r="BX33" t="str">
        <f>""</f>
        <v/>
      </c>
      <c r="BY33" t="str">
        <f>""</f>
        <v/>
      </c>
      <c r="BZ33" t="str">
        <f>""</f>
        <v/>
      </c>
      <c r="CA33" t="str">
        <f>""</f>
        <v/>
      </c>
      <c r="CB33" t="str">
        <f>""</f>
        <v/>
      </c>
      <c r="CC33" t="str">
        <f>""</f>
        <v/>
      </c>
      <c r="CD33" t="str">
        <f>""</f>
        <v/>
      </c>
      <c r="CE33" t="str">
        <f>""</f>
        <v/>
      </c>
      <c r="CF33" t="str">
        <f>""</f>
        <v/>
      </c>
      <c r="CG33" t="str">
        <f>""</f>
        <v/>
      </c>
      <c r="CH33" t="str">
        <f>""</f>
        <v/>
      </c>
      <c r="CI33" t="str">
        <f>""</f>
        <v/>
      </c>
      <c r="CJ33" t="str">
        <f>""</f>
        <v/>
      </c>
      <c r="CK33" t="str">
        <f>""</f>
        <v/>
      </c>
      <c r="CL33" t="str">
        <f>""</f>
        <v/>
      </c>
      <c r="CM33" t="str">
        <f>""</f>
        <v/>
      </c>
      <c r="CN33" t="str">
        <f>""</f>
        <v/>
      </c>
      <c r="CO33" t="str">
        <f>""</f>
        <v/>
      </c>
      <c r="CP33" t="str">
        <f>""</f>
        <v/>
      </c>
      <c r="CQ33" t="str">
        <f>""</f>
        <v/>
      </c>
      <c r="CR33" t="str">
        <f>""</f>
        <v/>
      </c>
      <c r="CS33" t="str">
        <f>""</f>
        <v/>
      </c>
      <c r="CT33" t="str">
        <f>""</f>
        <v/>
      </c>
      <c r="CU33" t="str">
        <f>""</f>
        <v/>
      </c>
      <c r="CV33" t="str">
        <f>""</f>
        <v/>
      </c>
      <c r="CW33" t="str">
        <f>""</f>
        <v/>
      </c>
      <c r="CX33" t="str">
        <f>""</f>
        <v/>
      </c>
      <c r="CY33" t="str">
        <f>""</f>
        <v/>
      </c>
      <c r="CZ33" t="str">
        <f>""</f>
        <v/>
      </c>
      <c r="DA33" t="str">
        <f>""</f>
        <v/>
      </c>
      <c r="DB33" t="str">
        <f>""</f>
        <v/>
      </c>
      <c r="DC33" t="str">
        <f>""</f>
        <v/>
      </c>
      <c r="DD33" t="str">
        <f>""</f>
        <v/>
      </c>
      <c r="DE33" t="str">
        <f>""</f>
        <v/>
      </c>
      <c r="DF33" t="str">
        <f>""</f>
        <v/>
      </c>
      <c r="DG33" t="str">
        <f>""</f>
        <v/>
      </c>
      <c r="DH33" t="str">
        <f>""</f>
        <v/>
      </c>
      <c r="DI33" t="str">
        <f>""</f>
        <v/>
      </c>
      <c r="DJ33" t="str">
        <f>""</f>
        <v/>
      </c>
      <c r="DK33" t="str">
        <f>""</f>
        <v/>
      </c>
      <c r="DL33" t="str">
        <f>""</f>
        <v/>
      </c>
      <c r="DM33" t="str">
        <f>""</f>
        <v/>
      </c>
      <c r="DN33" t="str">
        <f>""</f>
        <v/>
      </c>
      <c r="DO33" t="str">
        <f>""</f>
        <v/>
      </c>
      <c r="DP33" t="str">
        <f>""</f>
        <v/>
      </c>
      <c r="DQ33" t="str">
        <f>""</f>
        <v/>
      </c>
      <c r="DR33" t="str">
        <f>""</f>
        <v/>
      </c>
      <c r="DS33" t="str">
        <f>""</f>
        <v/>
      </c>
      <c r="DT33" t="str">
        <f>""</f>
        <v/>
      </c>
      <c r="DU33" t="str">
        <f>""</f>
        <v/>
      </c>
    </row>
    <row r="34" spans="1:125">
      <c r="A34" t="str">
        <f>"    Washington Prime Group Inc"</f>
        <v xml:space="preserve">    Washington Prime Group Inc</v>
      </c>
      <c r="B34" t="str">
        <f>"WPG US Equity"</f>
        <v>WPG US Equity</v>
      </c>
      <c r="C34" t="str">
        <f t="shared" si="3"/>
        <v>IM275</v>
      </c>
      <c r="D34" t="str">
        <f t="shared" si="4"/>
        <v>IS_OTHER_RENTAL_INCOME</v>
      </c>
      <c r="E34" t="str">
        <f t="shared" si="5"/>
        <v>动态</v>
      </c>
      <c r="F34" t="str">
        <f ca="1">IF(AND(ISNUMBER($F$494),$B$419=1),$F$494,HLOOKUP(INDIRECT(ADDRESS(2,COLUMN())),OFFSET($BN$2,0,0,ROW()-1,60),ROW()-1,FALSE))</f>
        <v/>
      </c>
      <c r="G34">
        <f ca="1">IF(AND(ISNUMBER($G$494),$B$419=1),$G$494,HLOOKUP(INDIRECT(ADDRESS(2,COLUMN())),OFFSET($BN$2,0,0,ROW()-1,60),ROW()-1,FALSE))</f>
        <v>11.202</v>
      </c>
      <c r="H34">
        <f ca="1">IF(AND(ISNUMBER($H$494),$B$419=1),$H$494,HLOOKUP(INDIRECT(ADDRESS(2,COLUMN())),OFFSET($BN$2,0,0,ROW()-1,60),ROW()-1,FALSE))</f>
        <v>6.1390000000000002</v>
      </c>
      <c r="I34">
        <f ca="1">IF(AND(ISNUMBER($I$494),$B$419=1),$I$494,HLOOKUP(INDIRECT(ADDRESS(2,COLUMN())),OFFSET($BN$2,0,0,ROW()-1,60),ROW()-1,FALSE))</f>
        <v>7.617</v>
      </c>
      <c r="J34">
        <f ca="1">IF(AND(ISNUMBER($J$494),$B$419=1),$J$494,HLOOKUP(INDIRECT(ADDRESS(2,COLUMN())),OFFSET($BN$2,0,0,ROW()-1,60),ROW()-1,FALSE))</f>
        <v>8.4879999999999995</v>
      </c>
      <c r="K34">
        <f ca="1">IF(AND(ISNUMBER($K$494),$B$419=1),$K$494,HLOOKUP(INDIRECT(ADDRESS(2,COLUMN())),OFFSET($BN$2,0,0,ROW()-1,60),ROW()-1,FALSE))</f>
        <v>13.038</v>
      </c>
      <c r="L34">
        <f ca="1">IF(AND(ISNUMBER($L$494),$B$419=1),$L$494,HLOOKUP(INDIRECT(ADDRESS(2,COLUMN())),OFFSET($BN$2,0,0,ROW()-1,60),ROW()-1,FALSE))</f>
        <v>7.1050000000000004</v>
      </c>
      <c r="M34">
        <f ca="1">IF(AND(ISNUMBER($M$494),$B$419=1),$M$494,HLOOKUP(INDIRECT(ADDRESS(2,COLUMN())),OFFSET($BN$2,0,0,ROW()-1,60),ROW()-1,FALSE))</f>
        <v>5.0709999999999997</v>
      </c>
      <c r="N34">
        <f ca="1">IF(AND(ISNUMBER($N$494),$B$419=1),$N$494,HLOOKUP(INDIRECT(ADDRESS(2,COLUMN())),OFFSET($BN$2,0,0,ROW()-1,60),ROW()-1,FALSE))</f>
        <v>8.9700000000000006</v>
      </c>
      <c r="O34">
        <f ca="1">IF(AND(ISNUMBER($O$494),$B$419=1),$O$494,HLOOKUP(INDIRECT(ADDRESS(2,COLUMN())),OFFSET($BN$2,0,0,ROW()-1,60),ROW()-1,FALSE))</f>
        <v>12.432</v>
      </c>
      <c r="P34">
        <f ca="1">IF(AND(ISNUMBER($P$494),$B$419=1),$P$494,HLOOKUP(INDIRECT(ADDRESS(2,COLUMN())),OFFSET($BN$2,0,0,ROW()-1,60),ROW()-1,FALSE))</f>
        <v>10.231</v>
      </c>
      <c r="Q34">
        <f ca="1">IF(AND(ISNUMBER($Q$494),$B$419=1),$Q$494,HLOOKUP(INDIRECT(ADDRESS(2,COLUMN())),OFFSET($BN$2,0,0,ROW()-1,60),ROW()-1,FALSE))</f>
        <v>8.3960000000000008</v>
      </c>
      <c r="R34">
        <f ca="1">IF(AND(ISNUMBER($R$494),$B$419=1),$R$494,HLOOKUP(INDIRECT(ADDRESS(2,COLUMN())),OFFSET($BN$2,0,0,ROW()-1,60),ROW()-1,FALSE))</f>
        <v>7.5670000000000002</v>
      </c>
      <c r="S34">
        <f ca="1">IF(AND(ISNUMBER($S$494),$B$419=1),$S$494,HLOOKUP(INDIRECT(ADDRESS(2,COLUMN())),OFFSET($BN$2,0,0,ROW()-1,60),ROW()-1,FALSE))</f>
        <v>7.431</v>
      </c>
      <c r="T34">
        <f ca="1">IF(AND(ISNUMBER($T$494),$B$419=1),$T$494,HLOOKUP(INDIRECT(ADDRESS(2,COLUMN())),OFFSET($BN$2,0,0,ROW()-1,60),ROW()-1,FALSE))</f>
        <v>2.9830000000000001</v>
      </c>
      <c r="U34">
        <f ca="1">IF(AND(ISNUMBER($U$494),$B$419=1),$U$494,HLOOKUP(INDIRECT(ADDRESS(2,COLUMN())),OFFSET($BN$2,0,0,ROW()-1,60),ROW()-1,FALSE))</f>
        <v>2.6219999999999999</v>
      </c>
      <c r="V34">
        <f ca="1">IF(AND(ISNUMBER($V$494),$B$419=1),$V$494,HLOOKUP(INDIRECT(ADDRESS(2,COLUMN())),OFFSET($BN$2,0,0,ROW()-1,60),ROW()-1,FALSE))</f>
        <v>4.1639999999999997</v>
      </c>
      <c r="W34" t="str">
        <f ca="1">IF(AND(ISNUMBER($W$494),$B$419=1),$W$494,HLOOKUP(INDIRECT(ADDRESS(2,COLUMN())),OFFSET($BN$2,0,0,ROW()-1,60),ROW()-1,FALSE))</f>
        <v/>
      </c>
      <c r="X34" t="str">
        <f ca="1">IF(AND(ISNUMBER($X$494),$B$419=1),$X$494,HLOOKUP(INDIRECT(ADDRESS(2,COLUMN())),OFFSET($BN$2,0,0,ROW()-1,60),ROW()-1,FALSE))</f>
        <v/>
      </c>
      <c r="Y34" t="str">
        <f ca="1">IF(AND(ISNUMBER($Y$494),$B$419=1),$Y$494,HLOOKUP(INDIRECT(ADDRESS(2,COLUMN())),OFFSET($BN$2,0,0,ROW()-1,60),ROW()-1,FALSE))</f>
        <v/>
      </c>
      <c r="Z34" t="str">
        <f ca="1">IF(AND(ISNUMBER($Z$494),$B$419=1),$Z$494,HLOOKUP(INDIRECT(ADDRESS(2,COLUMN())),OFFSET($BN$2,0,0,ROW()-1,60),ROW()-1,FALSE))</f>
        <v/>
      </c>
      <c r="AA34" t="str">
        <f ca="1">IF(AND(ISNUMBER($AA$494),$B$419=1),$AA$494,HLOOKUP(INDIRECT(ADDRESS(2,COLUMN())),OFFSET($BN$2,0,0,ROW()-1,60),ROW()-1,FALSE))</f>
        <v/>
      </c>
      <c r="AB34" t="str">
        <f ca="1">IF(AND(ISNUMBER($AB$494),$B$419=1),$AB$494,HLOOKUP(INDIRECT(ADDRESS(2,COLUMN())),OFFSET($BN$2,0,0,ROW()-1,60),ROW()-1,FALSE))</f>
        <v/>
      </c>
      <c r="AC34" t="str">
        <f ca="1">IF(AND(ISNUMBER($AC$494),$B$419=1),$AC$494,HLOOKUP(INDIRECT(ADDRESS(2,COLUMN())),OFFSET($BN$2,0,0,ROW()-1,60),ROW()-1,FALSE))</f>
        <v/>
      </c>
      <c r="AD34" t="str">
        <f ca="1">IF(AND(ISNUMBER($AD$494),$B$419=1),$AD$494,HLOOKUP(INDIRECT(ADDRESS(2,COLUMN())),OFFSET($BN$2,0,0,ROW()-1,60),ROW()-1,FALSE))</f>
        <v/>
      </c>
      <c r="AE34" t="str">
        <f ca="1">IF(AND(ISNUMBER($AE$494),$B$419=1),$AE$494,HLOOKUP(INDIRECT(ADDRESS(2,COLUMN())),OFFSET($BN$2,0,0,ROW()-1,60),ROW()-1,FALSE))</f>
        <v/>
      </c>
      <c r="AF34" t="str">
        <f ca="1">IF(AND(ISNUMBER($AF$494),$B$419=1),$AF$494,HLOOKUP(INDIRECT(ADDRESS(2,COLUMN())),OFFSET($BN$2,0,0,ROW()-1,60),ROW()-1,FALSE))</f>
        <v/>
      </c>
      <c r="AG34" t="str">
        <f ca="1">IF(AND(ISNUMBER($AG$494),$B$419=1),$AG$494,HLOOKUP(INDIRECT(ADDRESS(2,COLUMN())),OFFSET($BN$2,0,0,ROW()-1,60),ROW()-1,FALSE))</f>
        <v/>
      </c>
      <c r="AH34" t="str">
        <f ca="1">IF(AND(ISNUMBER($AH$494),$B$419=1),$AH$494,HLOOKUP(INDIRECT(ADDRESS(2,COLUMN())),OFFSET($BN$2,0,0,ROW()-1,60),ROW()-1,FALSE))</f>
        <v/>
      </c>
      <c r="AI34" t="str">
        <f ca="1">IF(AND(ISNUMBER($AI$494),$B$419=1),$AI$494,HLOOKUP(INDIRECT(ADDRESS(2,COLUMN())),OFFSET($BN$2,0,0,ROW()-1,60),ROW()-1,FALSE))</f>
        <v/>
      </c>
      <c r="AJ34" t="str">
        <f ca="1">IF(AND(ISNUMBER($AJ$494),$B$419=1),$AJ$494,HLOOKUP(INDIRECT(ADDRESS(2,COLUMN())),OFFSET($BN$2,0,0,ROW()-1,60),ROW()-1,FALSE))</f>
        <v/>
      </c>
      <c r="AK34" t="str">
        <f ca="1">IF(AND(ISNUMBER($AK$494),$B$419=1),$AK$494,HLOOKUP(INDIRECT(ADDRESS(2,COLUMN())),OFFSET($BN$2,0,0,ROW()-1,60),ROW()-1,FALSE))</f>
        <v/>
      </c>
      <c r="AL34" t="str">
        <f ca="1">IF(AND(ISNUMBER($AL$494),$B$419=1),$AL$494,HLOOKUP(INDIRECT(ADDRESS(2,COLUMN())),OFFSET($BN$2,0,0,ROW()-1,60),ROW()-1,FALSE))</f>
        <v/>
      </c>
      <c r="AM34" t="str">
        <f ca="1">IF(AND(ISNUMBER($AM$494),$B$419=1),$AM$494,HLOOKUP(INDIRECT(ADDRESS(2,COLUMN())),OFFSET($BN$2,0,0,ROW()-1,60),ROW()-1,FALSE))</f>
        <v/>
      </c>
      <c r="AN34" t="str">
        <f ca="1">IF(AND(ISNUMBER($AN$494),$B$419=1),$AN$494,HLOOKUP(INDIRECT(ADDRESS(2,COLUMN())),OFFSET($BN$2,0,0,ROW()-1,60),ROW()-1,FALSE))</f>
        <v/>
      </c>
      <c r="AO34" t="str">
        <f ca="1">IF(AND(ISNUMBER($AO$494),$B$419=1),$AO$494,HLOOKUP(INDIRECT(ADDRESS(2,COLUMN())),OFFSET($BN$2,0,0,ROW()-1,60),ROW()-1,FALSE))</f>
        <v/>
      </c>
      <c r="AP34" t="str">
        <f ca="1">IF(AND(ISNUMBER($AP$494),$B$419=1),$AP$494,HLOOKUP(INDIRECT(ADDRESS(2,COLUMN())),OFFSET($BN$2,0,0,ROW()-1,60),ROW()-1,FALSE))</f>
        <v/>
      </c>
      <c r="AQ34" t="str">
        <f ca="1">IF(AND(ISNUMBER($AQ$494),$B$419=1),$AQ$494,HLOOKUP(INDIRECT(ADDRESS(2,COLUMN())),OFFSET($BN$2,0,0,ROW()-1,60),ROW()-1,FALSE))</f>
        <v/>
      </c>
      <c r="AR34" t="str">
        <f ca="1">IF(AND(ISNUMBER($AR$494),$B$419=1),$AR$494,HLOOKUP(INDIRECT(ADDRESS(2,COLUMN())),OFFSET($BN$2,0,0,ROW()-1,60),ROW()-1,FALSE))</f>
        <v/>
      </c>
      <c r="AS34" t="str">
        <f ca="1">IF(AND(ISNUMBER($AS$494),$B$419=1),$AS$494,HLOOKUP(INDIRECT(ADDRESS(2,COLUMN())),OFFSET($BN$2,0,0,ROW()-1,60),ROW()-1,FALSE))</f>
        <v/>
      </c>
      <c r="AT34" t="str">
        <f ca="1">IF(AND(ISNUMBER($AT$494),$B$419=1),$AT$494,HLOOKUP(INDIRECT(ADDRESS(2,COLUMN())),OFFSET($BN$2,0,0,ROW()-1,60),ROW()-1,FALSE))</f>
        <v/>
      </c>
      <c r="AU34" t="str">
        <f ca="1">IF(AND(ISNUMBER($AU$494),$B$419=1),$AU$494,HLOOKUP(INDIRECT(ADDRESS(2,COLUMN())),OFFSET($BN$2,0,0,ROW()-1,60),ROW()-1,FALSE))</f>
        <v/>
      </c>
      <c r="AV34" t="str">
        <f ca="1">IF(AND(ISNUMBER($AV$494),$B$419=1),$AV$494,HLOOKUP(INDIRECT(ADDRESS(2,COLUMN())),OFFSET($BN$2,0,0,ROW()-1,60),ROW()-1,FALSE))</f>
        <v/>
      </c>
      <c r="AW34" t="str">
        <f ca="1">IF(AND(ISNUMBER($AW$494),$B$419=1),$AW$494,HLOOKUP(INDIRECT(ADDRESS(2,COLUMN())),OFFSET($BN$2,0,0,ROW()-1,60),ROW()-1,FALSE))</f>
        <v/>
      </c>
      <c r="AX34" t="str">
        <f ca="1">IF(AND(ISNUMBER($AX$494),$B$419=1),$AX$494,HLOOKUP(INDIRECT(ADDRESS(2,COLUMN())),OFFSET($BN$2,0,0,ROW()-1,60),ROW()-1,FALSE))</f>
        <v/>
      </c>
      <c r="AY34" t="str">
        <f ca="1">IF(AND(ISNUMBER($AY$494),$B$419=1),$AY$494,HLOOKUP(INDIRECT(ADDRESS(2,COLUMN())),OFFSET($BN$2,0,0,ROW()-1,60),ROW()-1,FALSE))</f>
        <v/>
      </c>
      <c r="AZ34" t="str">
        <f ca="1">IF(AND(ISNUMBER($AZ$494),$B$419=1),$AZ$494,HLOOKUP(INDIRECT(ADDRESS(2,COLUMN())),OFFSET($BN$2,0,0,ROW()-1,60),ROW()-1,FALSE))</f>
        <v/>
      </c>
      <c r="BA34" t="str">
        <f ca="1">IF(AND(ISNUMBER($BA$494),$B$419=1),$BA$494,HLOOKUP(INDIRECT(ADDRESS(2,COLUMN())),OFFSET($BN$2,0,0,ROW()-1,60),ROW()-1,FALSE))</f>
        <v/>
      </c>
      <c r="BB34" t="str">
        <f ca="1">IF(AND(ISNUMBER($BB$494),$B$419=1),$BB$494,HLOOKUP(INDIRECT(ADDRESS(2,COLUMN())),OFFSET($BN$2,0,0,ROW()-1,60),ROW()-1,FALSE))</f>
        <v/>
      </c>
      <c r="BC34" t="str">
        <f ca="1">IF(AND(ISNUMBER($BC$494),$B$419=1),$BC$494,HLOOKUP(INDIRECT(ADDRESS(2,COLUMN())),OFFSET($BN$2,0,0,ROW()-1,60),ROW()-1,FALSE))</f>
        <v/>
      </c>
      <c r="BD34" t="str">
        <f ca="1">IF(AND(ISNUMBER($BD$494),$B$419=1),$BD$494,HLOOKUP(INDIRECT(ADDRESS(2,COLUMN())),OFFSET($BN$2,0,0,ROW()-1,60),ROW()-1,FALSE))</f>
        <v/>
      </c>
      <c r="BE34" t="str">
        <f ca="1">IF(AND(ISNUMBER($BE$494),$B$419=1),$BE$494,HLOOKUP(INDIRECT(ADDRESS(2,COLUMN())),OFFSET($BN$2,0,0,ROW()-1,60),ROW()-1,FALSE))</f>
        <v/>
      </c>
      <c r="BF34" t="str">
        <f ca="1">IF(AND(ISNUMBER($BF$494),$B$419=1),$BF$494,HLOOKUP(INDIRECT(ADDRESS(2,COLUMN())),OFFSET($BN$2,0,0,ROW()-1,60),ROW()-1,FALSE))</f>
        <v/>
      </c>
      <c r="BG34" t="str">
        <f ca="1">IF(AND(ISNUMBER($BG$494),$B$419=1),$BG$494,HLOOKUP(INDIRECT(ADDRESS(2,COLUMN())),OFFSET($BN$2,0,0,ROW()-1,60),ROW()-1,FALSE))</f>
        <v/>
      </c>
      <c r="BH34" t="str">
        <f ca="1">IF(AND(ISNUMBER($BH$494),$B$419=1),$BH$494,HLOOKUP(INDIRECT(ADDRESS(2,COLUMN())),OFFSET($BN$2,0,0,ROW()-1,60),ROW()-1,FALSE))</f>
        <v/>
      </c>
      <c r="BI34" t="str">
        <f ca="1">IF(AND(ISNUMBER($BI$494),$B$419=1),$BI$494,HLOOKUP(INDIRECT(ADDRESS(2,COLUMN())),OFFSET($BN$2,0,0,ROW()-1,60),ROW()-1,FALSE))</f>
        <v/>
      </c>
      <c r="BJ34" t="str">
        <f ca="1">IF(AND(ISNUMBER($BJ$494),$B$419=1),$BJ$494,HLOOKUP(INDIRECT(ADDRESS(2,COLUMN())),OFFSET($BN$2,0,0,ROW()-1,60),ROW()-1,FALSE))</f>
        <v/>
      </c>
      <c r="BK34" t="str">
        <f ca="1">IF(AND(ISNUMBER($BK$494),$B$419=1),$BK$494,HLOOKUP(INDIRECT(ADDRESS(2,COLUMN())),OFFSET($BN$2,0,0,ROW()-1,60),ROW()-1,FALSE))</f>
        <v/>
      </c>
      <c r="BL34" t="str">
        <f ca="1">IF(AND(ISNUMBER($BL$494),$B$419=1),$BL$494,HLOOKUP(INDIRECT(ADDRESS(2,COLUMN())),OFFSET($BN$2,0,0,ROW()-1,60),ROW()-1,FALSE))</f>
        <v/>
      </c>
      <c r="BM34" t="str">
        <f ca="1">IF(AND(ISNUMBER($BM$494),$B$419=1),$BM$494,HLOOKUP(INDIRECT(ADDRESS(2,COLUMN())),OFFSET($BN$2,0,0,ROW()-1,60),ROW()-1,FALSE))</f>
        <v/>
      </c>
      <c r="BN34" t="str">
        <f>""</f>
        <v/>
      </c>
      <c r="BO34">
        <f>11.202</f>
        <v>11.202</v>
      </c>
      <c r="BP34">
        <f>6.139</f>
        <v>6.1390000000000002</v>
      </c>
      <c r="BQ34">
        <f>7.617</f>
        <v>7.617</v>
      </c>
      <c r="BR34">
        <f>8.488</f>
        <v>8.4879999999999995</v>
      </c>
      <c r="BS34">
        <f>13.038</f>
        <v>13.038</v>
      </c>
      <c r="BT34">
        <f>7.105</f>
        <v>7.1050000000000004</v>
      </c>
      <c r="BU34">
        <f>5.071</f>
        <v>5.0709999999999997</v>
      </c>
      <c r="BV34">
        <f>8.97</f>
        <v>8.9700000000000006</v>
      </c>
      <c r="BW34">
        <f>12.432</f>
        <v>12.432</v>
      </c>
      <c r="BX34">
        <f>10.231</f>
        <v>10.231</v>
      </c>
      <c r="BY34">
        <f>8.396</f>
        <v>8.3960000000000008</v>
      </c>
      <c r="BZ34">
        <f>7.567</f>
        <v>7.5670000000000002</v>
      </c>
      <c r="CA34">
        <f>7.431</f>
        <v>7.431</v>
      </c>
      <c r="CB34">
        <f>2.983</f>
        <v>2.9830000000000001</v>
      </c>
      <c r="CC34">
        <f>2.622</f>
        <v>2.6219999999999999</v>
      </c>
      <c r="CD34">
        <f>4.164</f>
        <v>4.1639999999999997</v>
      </c>
      <c r="CE34" t="str">
        <f>""</f>
        <v/>
      </c>
      <c r="CF34" t="str">
        <f>""</f>
        <v/>
      </c>
      <c r="CG34" t="str">
        <f>""</f>
        <v/>
      </c>
      <c r="CH34" t="str">
        <f>""</f>
        <v/>
      </c>
      <c r="CI34" t="str">
        <f>""</f>
        <v/>
      </c>
      <c r="CJ34" t="str">
        <f>""</f>
        <v/>
      </c>
      <c r="CK34" t="str">
        <f>""</f>
        <v/>
      </c>
      <c r="CL34" t="str">
        <f>""</f>
        <v/>
      </c>
      <c r="CM34" t="str">
        <f>""</f>
        <v/>
      </c>
      <c r="CN34" t="str">
        <f>""</f>
        <v/>
      </c>
      <c r="CO34" t="str">
        <f>""</f>
        <v/>
      </c>
      <c r="CP34" t="str">
        <f>""</f>
        <v/>
      </c>
      <c r="CQ34" t="str">
        <f>""</f>
        <v/>
      </c>
      <c r="CR34" t="str">
        <f>""</f>
        <v/>
      </c>
      <c r="CS34" t="str">
        <f>""</f>
        <v/>
      </c>
      <c r="CT34" t="str">
        <f>""</f>
        <v/>
      </c>
      <c r="CU34" t="str">
        <f>""</f>
        <v/>
      </c>
      <c r="CV34" t="str">
        <f>""</f>
        <v/>
      </c>
      <c r="CW34" t="str">
        <f>""</f>
        <v/>
      </c>
      <c r="CX34" t="str">
        <f>""</f>
        <v/>
      </c>
      <c r="CY34" t="str">
        <f>""</f>
        <v/>
      </c>
      <c r="CZ34" t="str">
        <f>""</f>
        <v/>
      </c>
      <c r="DA34" t="str">
        <f>""</f>
        <v/>
      </c>
      <c r="DB34" t="str">
        <f>""</f>
        <v/>
      </c>
      <c r="DC34" t="str">
        <f>""</f>
        <v/>
      </c>
      <c r="DD34" t="str">
        <f>""</f>
        <v/>
      </c>
      <c r="DE34" t="str">
        <f>""</f>
        <v/>
      </c>
      <c r="DF34" t="str">
        <f>""</f>
        <v/>
      </c>
      <c r="DG34" t="str">
        <f>""</f>
        <v/>
      </c>
      <c r="DH34" t="str">
        <f>""</f>
        <v/>
      </c>
      <c r="DI34" t="str">
        <f>""</f>
        <v/>
      </c>
      <c r="DJ34" t="str">
        <f>""</f>
        <v/>
      </c>
      <c r="DK34" t="str">
        <f>""</f>
        <v/>
      </c>
      <c r="DL34" t="str">
        <f>""</f>
        <v/>
      </c>
      <c r="DM34" t="str">
        <f>""</f>
        <v/>
      </c>
      <c r="DN34" t="str">
        <f>""</f>
        <v/>
      </c>
      <c r="DO34" t="str">
        <f>""</f>
        <v/>
      </c>
      <c r="DP34" t="str">
        <f>""</f>
        <v/>
      </c>
      <c r="DQ34" t="str">
        <f>""</f>
        <v/>
      </c>
      <c r="DR34" t="str">
        <f>""</f>
        <v/>
      </c>
      <c r="DS34" t="str">
        <f>""</f>
        <v/>
      </c>
      <c r="DT34" t="str">
        <f>""</f>
        <v/>
      </c>
      <c r="DU34" t="str">
        <f>""</f>
        <v/>
      </c>
    </row>
    <row r="35" spans="1:125">
      <c r="A35" t="str">
        <f>"    Weingarten Realty Investors"</f>
        <v xml:space="preserve">    Weingarten Realty Investors</v>
      </c>
      <c r="B35" t="str">
        <f>"WRI US Equity"</f>
        <v>WRI US Equity</v>
      </c>
      <c r="C35" t="str">
        <f t="shared" si="3"/>
        <v>IM275</v>
      </c>
      <c r="D35" t="str">
        <f t="shared" si="4"/>
        <v>IS_OTHER_RENTAL_INCOME</v>
      </c>
      <c r="E35" t="str">
        <f t="shared" si="5"/>
        <v>动态</v>
      </c>
      <c r="F35" t="str">
        <f ca="1">IF(AND(ISNUMBER($F$495),$B$419=1),$F$495,HLOOKUP(INDIRECT(ADDRESS(2,COLUMN())),OFFSET($BN$2,0,0,ROW()-1,60),ROW()-1,FALSE))</f>
        <v/>
      </c>
      <c r="G35">
        <f ca="1">IF(AND(ISNUMBER($G$495),$B$419=1),$G$495,HLOOKUP(INDIRECT(ADDRESS(2,COLUMN())),OFFSET($BN$2,0,0,ROW()-1,60),ROW()-1,FALSE))</f>
        <v>2.3559999999999999</v>
      </c>
      <c r="H35">
        <f ca="1">IF(AND(ISNUMBER($H$495),$B$419=1),$H$495,HLOOKUP(INDIRECT(ADDRESS(2,COLUMN())),OFFSET($BN$2,0,0,ROW()-1,60),ROW()-1,FALSE))</f>
        <v>2.4990000000000001</v>
      </c>
      <c r="I35">
        <f ca="1">IF(AND(ISNUMBER($I$495),$B$419=1),$I$495,HLOOKUP(INDIRECT(ADDRESS(2,COLUMN())),OFFSET($BN$2,0,0,ROW()-1,60),ROW()-1,FALSE))</f>
        <v>2.0939999999999999</v>
      </c>
      <c r="J35">
        <f ca="1">IF(AND(ISNUMBER($J$495),$B$419=1),$J$495,HLOOKUP(INDIRECT(ADDRESS(2,COLUMN())),OFFSET($BN$2,0,0,ROW()-1,60),ROW()-1,FALSE))</f>
        <v>2.5059999999999998</v>
      </c>
      <c r="K35">
        <f ca="1">IF(AND(ISNUMBER($K$495),$B$419=1),$K$495,HLOOKUP(INDIRECT(ADDRESS(2,COLUMN())),OFFSET($BN$2,0,0,ROW()-1,60),ROW()-1,FALSE))</f>
        <v>2.863</v>
      </c>
      <c r="L35">
        <f ca="1">IF(AND(ISNUMBER($L$495),$B$419=1),$L$495,HLOOKUP(INDIRECT(ADDRESS(2,COLUMN())),OFFSET($BN$2,0,0,ROW()-1,60),ROW()-1,FALSE))</f>
        <v>2.6659999999999999</v>
      </c>
      <c r="M35">
        <f ca="1">IF(AND(ISNUMBER($M$495),$B$419=1),$M$495,HLOOKUP(INDIRECT(ADDRESS(2,COLUMN())),OFFSET($BN$2,0,0,ROW()-1,60),ROW()-1,FALSE))</f>
        <v>1.8260000000000001</v>
      </c>
      <c r="N35">
        <f ca="1">IF(AND(ISNUMBER($N$495),$B$419=1),$N$495,HLOOKUP(INDIRECT(ADDRESS(2,COLUMN())),OFFSET($BN$2,0,0,ROW()-1,60),ROW()-1,FALSE))</f>
        <v>1.325</v>
      </c>
      <c r="O35">
        <f ca="1">IF(AND(ISNUMBER($O$495),$B$419=1),$O$495,HLOOKUP(INDIRECT(ADDRESS(2,COLUMN())),OFFSET($BN$2,0,0,ROW()-1,60),ROW()-1,FALSE))</f>
        <v>1.34</v>
      </c>
      <c r="P35">
        <f ca="1">IF(AND(ISNUMBER($P$495),$B$419=1),$P$495,HLOOKUP(INDIRECT(ADDRESS(2,COLUMN())),OFFSET($BN$2,0,0,ROW()-1,60),ROW()-1,FALSE))</f>
        <v>1.2210000000000001</v>
      </c>
      <c r="Q35">
        <f ca="1">IF(AND(ISNUMBER($Q$495),$B$419=1),$Q$495,HLOOKUP(INDIRECT(ADDRESS(2,COLUMN())),OFFSET($BN$2,0,0,ROW()-1,60),ROW()-1,FALSE))</f>
        <v>1.482</v>
      </c>
      <c r="R35">
        <f ca="1">IF(AND(ISNUMBER($R$495),$B$419=1),$R$495,HLOOKUP(INDIRECT(ADDRESS(2,COLUMN())),OFFSET($BN$2,0,0,ROW()-1,60),ROW()-1,FALSE))</f>
        <v>1.577</v>
      </c>
      <c r="S35">
        <f ca="1">IF(AND(ISNUMBER($S$495),$B$419=1),$S$495,HLOOKUP(INDIRECT(ADDRESS(2,COLUMN())),OFFSET($BN$2,0,0,ROW()-1,60),ROW()-1,FALSE))</f>
        <v>0.95699999999999996</v>
      </c>
      <c r="T35">
        <f ca="1">IF(AND(ISNUMBER($T$495),$B$419=1),$T$495,HLOOKUP(INDIRECT(ADDRESS(2,COLUMN())),OFFSET($BN$2,0,0,ROW()-1,60),ROW()-1,FALSE))</f>
        <v>0.248</v>
      </c>
      <c r="U35">
        <f ca="1">IF(AND(ISNUMBER($U$495),$B$419=1),$U$495,HLOOKUP(INDIRECT(ADDRESS(2,COLUMN())),OFFSET($BN$2,0,0,ROW()-1,60),ROW()-1,FALSE))</f>
        <v>0.253</v>
      </c>
      <c r="V35">
        <f ca="1">IF(AND(ISNUMBER($V$495),$B$419=1),$V$495,HLOOKUP(INDIRECT(ADDRESS(2,COLUMN())),OFFSET($BN$2,0,0,ROW()-1,60),ROW()-1,FALSE))</f>
        <v>-3.1E-2</v>
      </c>
      <c r="W35">
        <f ca="1">IF(AND(ISNUMBER($W$495),$B$419=1),$W$495,HLOOKUP(INDIRECT(ADDRESS(2,COLUMN())),OFFSET($BN$2,0,0,ROW()-1,60),ROW()-1,FALSE))</f>
        <v>0.751</v>
      </c>
      <c r="X35">
        <f ca="1">IF(AND(ISNUMBER($X$495),$B$419=1),$X$495,HLOOKUP(INDIRECT(ADDRESS(2,COLUMN())),OFFSET($BN$2,0,0,ROW()-1,60),ROW()-1,FALSE))</f>
        <v>1.02</v>
      </c>
      <c r="Y35">
        <f ca="1">IF(AND(ISNUMBER($Y$495),$B$419=1),$Y$495,HLOOKUP(INDIRECT(ADDRESS(2,COLUMN())),OFFSET($BN$2,0,0,ROW()-1,60),ROW()-1,FALSE))</f>
        <v>0.61</v>
      </c>
      <c r="Z35">
        <f ca="1">IF(AND(ISNUMBER($Z$495),$B$419=1),$Z$495,HLOOKUP(INDIRECT(ADDRESS(2,COLUMN())),OFFSET($BN$2,0,0,ROW()-1,60),ROW()-1,FALSE))</f>
        <v>0.64300000000000002</v>
      </c>
      <c r="AA35">
        <f ca="1">IF(AND(ISNUMBER($AA$495),$B$419=1),$AA$495,HLOOKUP(INDIRECT(ADDRESS(2,COLUMN())),OFFSET($BN$2,0,0,ROW()-1,60),ROW()-1,FALSE))</f>
        <v>0.57599999999999996</v>
      </c>
      <c r="AB35">
        <f ca="1">IF(AND(ISNUMBER($AB$495),$B$419=1),$AB$495,HLOOKUP(INDIRECT(ADDRESS(2,COLUMN())),OFFSET($BN$2,0,0,ROW()-1,60),ROW()-1,FALSE))</f>
        <v>1.2270000000000001</v>
      </c>
      <c r="AC35">
        <f ca="1">IF(AND(ISNUMBER($AC$495),$B$419=1),$AC$495,HLOOKUP(INDIRECT(ADDRESS(2,COLUMN())),OFFSET($BN$2,0,0,ROW()-1,60),ROW()-1,FALSE))</f>
        <v>0.995</v>
      </c>
      <c r="AD35">
        <f ca="1">IF(AND(ISNUMBER($AD$495),$B$419=1),$AD$495,HLOOKUP(INDIRECT(ADDRESS(2,COLUMN())),OFFSET($BN$2,0,0,ROW()-1,60),ROW()-1,FALSE))</f>
        <v>0.81599999999999995</v>
      </c>
      <c r="AE35">
        <f ca="1">IF(AND(ISNUMBER($AE$495),$B$419=1),$AE$495,HLOOKUP(INDIRECT(ADDRESS(2,COLUMN())),OFFSET($BN$2,0,0,ROW()-1,60),ROW()-1,FALSE))</f>
        <v>1.0980000000000001</v>
      </c>
      <c r="AF35">
        <f ca="1">IF(AND(ISNUMBER($AF$495),$B$419=1),$AF$495,HLOOKUP(INDIRECT(ADDRESS(2,COLUMN())),OFFSET($BN$2,0,0,ROW()-1,60),ROW()-1,FALSE))</f>
        <v>0.96799999999999997</v>
      </c>
      <c r="AG35">
        <f ca="1">IF(AND(ISNUMBER($AG$495),$B$419=1),$AG$495,HLOOKUP(INDIRECT(ADDRESS(2,COLUMN())),OFFSET($BN$2,0,0,ROW()-1,60),ROW()-1,FALSE))</f>
        <v>0.91500000000000004</v>
      </c>
      <c r="AH35">
        <f ca="1">IF(AND(ISNUMBER($AH$495),$B$419=1),$AH$495,HLOOKUP(INDIRECT(ADDRESS(2,COLUMN())),OFFSET($BN$2,0,0,ROW()-1,60),ROW()-1,FALSE))</f>
        <v>2.234</v>
      </c>
      <c r="AI35">
        <f ca="1">IF(AND(ISNUMBER($AI$495),$B$419=1),$AI$495,HLOOKUP(INDIRECT(ADDRESS(2,COLUMN())),OFFSET($BN$2,0,0,ROW()-1,60),ROW()-1,FALSE))</f>
        <v>1.3260000000000001</v>
      </c>
      <c r="AJ35">
        <f ca="1">IF(AND(ISNUMBER($AJ$495),$B$419=1),$AJ$495,HLOOKUP(INDIRECT(ADDRESS(2,COLUMN())),OFFSET($BN$2,0,0,ROW()-1,60),ROW()-1,FALSE))</f>
        <v>1.847</v>
      </c>
      <c r="AK35">
        <f ca="1">IF(AND(ISNUMBER($AK$495),$B$419=1),$AK$495,HLOOKUP(INDIRECT(ADDRESS(2,COLUMN())),OFFSET($BN$2,0,0,ROW()-1,60),ROW()-1,FALSE))</f>
        <v>2.2349999999999999</v>
      </c>
      <c r="AL35">
        <f ca="1">IF(AND(ISNUMBER($AL$495),$B$419=1),$AL$495,HLOOKUP(INDIRECT(ADDRESS(2,COLUMN())),OFFSET($BN$2,0,0,ROW()-1,60),ROW()-1,FALSE))</f>
        <v>3.0459999999999998</v>
      </c>
      <c r="AM35" t="str">
        <f ca="1">IF(AND(ISNUMBER($AM$495),$B$419=1),$AM$495,HLOOKUP(INDIRECT(ADDRESS(2,COLUMN())),OFFSET($BN$2,0,0,ROW()-1,60),ROW()-1,FALSE))</f>
        <v/>
      </c>
      <c r="AN35" t="str">
        <f ca="1">IF(AND(ISNUMBER($AN$495),$B$419=1),$AN$495,HLOOKUP(INDIRECT(ADDRESS(2,COLUMN())),OFFSET($BN$2,0,0,ROW()-1,60),ROW()-1,FALSE))</f>
        <v/>
      </c>
      <c r="AO35" t="str">
        <f ca="1">IF(AND(ISNUMBER($AO$495),$B$419=1),$AO$495,HLOOKUP(INDIRECT(ADDRESS(2,COLUMN())),OFFSET($BN$2,0,0,ROW()-1,60),ROW()-1,FALSE))</f>
        <v/>
      </c>
      <c r="AP35" t="str">
        <f ca="1">IF(AND(ISNUMBER($AP$495),$B$419=1),$AP$495,HLOOKUP(INDIRECT(ADDRESS(2,COLUMN())),OFFSET($BN$2,0,0,ROW()-1,60),ROW()-1,FALSE))</f>
        <v/>
      </c>
      <c r="AQ35" t="str">
        <f ca="1">IF(AND(ISNUMBER($AQ$495),$B$419=1),$AQ$495,HLOOKUP(INDIRECT(ADDRESS(2,COLUMN())),OFFSET($BN$2,0,0,ROW()-1,60),ROW()-1,FALSE))</f>
        <v/>
      </c>
      <c r="AR35" t="str">
        <f ca="1">IF(AND(ISNUMBER($AR$495),$B$419=1),$AR$495,HLOOKUP(INDIRECT(ADDRESS(2,COLUMN())),OFFSET($BN$2,0,0,ROW()-1,60),ROW()-1,FALSE))</f>
        <v/>
      </c>
      <c r="AS35" t="str">
        <f ca="1">IF(AND(ISNUMBER($AS$495),$B$419=1),$AS$495,HLOOKUP(INDIRECT(ADDRESS(2,COLUMN())),OFFSET($BN$2,0,0,ROW()-1,60),ROW()-1,FALSE))</f>
        <v/>
      </c>
      <c r="AT35" t="str">
        <f ca="1">IF(AND(ISNUMBER($AT$495),$B$419=1),$AT$495,HLOOKUP(INDIRECT(ADDRESS(2,COLUMN())),OFFSET($BN$2,0,0,ROW()-1,60),ROW()-1,FALSE))</f>
        <v/>
      </c>
      <c r="AU35" t="str">
        <f ca="1">IF(AND(ISNUMBER($AU$495),$B$419=1),$AU$495,HLOOKUP(INDIRECT(ADDRESS(2,COLUMN())),OFFSET($BN$2,0,0,ROW()-1,60),ROW()-1,FALSE))</f>
        <v/>
      </c>
      <c r="AV35" t="str">
        <f ca="1">IF(AND(ISNUMBER($AV$495),$B$419=1),$AV$495,HLOOKUP(INDIRECT(ADDRESS(2,COLUMN())),OFFSET($BN$2,0,0,ROW()-1,60),ROW()-1,FALSE))</f>
        <v/>
      </c>
      <c r="AW35" t="str">
        <f ca="1">IF(AND(ISNUMBER($AW$495),$B$419=1),$AW$495,HLOOKUP(INDIRECT(ADDRESS(2,COLUMN())),OFFSET($BN$2,0,0,ROW()-1,60),ROW()-1,FALSE))</f>
        <v/>
      </c>
      <c r="AX35" t="str">
        <f ca="1">IF(AND(ISNUMBER($AX$495),$B$419=1),$AX$495,HLOOKUP(INDIRECT(ADDRESS(2,COLUMN())),OFFSET($BN$2,0,0,ROW()-1,60),ROW()-1,FALSE))</f>
        <v/>
      </c>
      <c r="AY35" t="str">
        <f ca="1">IF(AND(ISNUMBER($AY$495),$B$419=1),$AY$495,HLOOKUP(INDIRECT(ADDRESS(2,COLUMN())),OFFSET($BN$2,0,0,ROW()-1,60),ROW()-1,FALSE))</f>
        <v/>
      </c>
      <c r="AZ35" t="str">
        <f ca="1">IF(AND(ISNUMBER($AZ$495),$B$419=1),$AZ$495,HLOOKUP(INDIRECT(ADDRESS(2,COLUMN())),OFFSET($BN$2,0,0,ROW()-1,60),ROW()-1,FALSE))</f>
        <v/>
      </c>
      <c r="BA35" t="str">
        <f ca="1">IF(AND(ISNUMBER($BA$495),$B$419=1),$BA$495,HLOOKUP(INDIRECT(ADDRESS(2,COLUMN())),OFFSET($BN$2,0,0,ROW()-1,60),ROW()-1,FALSE))</f>
        <v/>
      </c>
      <c r="BB35" t="str">
        <f ca="1">IF(AND(ISNUMBER($BB$495),$B$419=1),$BB$495,HLOOKUP(INDIRECT(ADDRESS(2,COLUMN())),OFFSET($BN$2,0,0,ROW()-1,60),ROW()-1,FALSE))</f>
        <v/>
      </c>
      <c r="BC35" t="str">
        <f ca="1">IF(AND(ISNUMBER($BC$495),$B$419=1),$BC$495,HLOOKUP(INDIRECT(ADDRESS(2,COLUMN())),OFFSET($BN$2,0,0,ROW()-1,60),ROW()-1,FALSE))</f>
        <v/>
      </c>
      <c r="BD35" t="str">
        <f ca="1">IF(AND(ISNUMBER($BD$495),$B$419=1),$BD$495,HLOOKUP(INDIRECT(ADDRESS(2,COLUMN())),OFFSET($BN$2,0,0,ROW()-1,60),ROW()-1,FALSE))</f>
        <v/>
      </c>
      <c r="BE35" t="str">
        <f ca="1">IF(AND(ISNUMBER($BE$495),$B$419=1),$BE$495,HLOOKUP(INDIRECT(ADDRESS(2,COLUMN())),OFFSET($BN$2,0,0,ROW()-1,60),ROW()-1,FALSE))</f>
        <v/>
      </c>
      <c r="BF35" t="str">
        <f ca="1">IF(AND(ISNUMBER($BF$495),$B$419=1),$BF$495,HLOOKUP(INDIRECT(ADDRESS(2,COLUMN())),OFFSET($BN$2,0,0,ROW()-1,60),ROW()-1,FALSE))</f>
        <v/>
      </c>
      <c r="BG35" t="str">
        <f ca="1">IF(AND(ISNUMBER($BG$495),$B$419=1),$BG$495,HLOOKUP(INDIRECT(ADDRESS(2,COLUMN())),OFFSET($BN$2,0,0,ROW()-1,60),ROW()-1,FALSE))</f>
        <v/>
      </c>
      <c r="BH35" t="str">
        <f ca="1">IF(AND(ISNUMBER($BH$495),$B$419=1),$BH$495,HLOOKUP(INDIRECT(ADDRESS(2,COLUMN())),OFFSET($BN$2,0,0,ROW()-1,60),ROW()-1,FALSE))</f>
        <v/>
      </c>
      <c r="BI35" t="str">
        <f ca="1">IF(AND(ISNUMBER($BI$495),$B$419=1),$BI$495,HLOOKUP(INDIRECT(ADDRESS(2,COLUMN())),OFFSET($BN$2,0,0,ROW()-1,60),ROW()-1,FALSE))</f>
        <v/>
      </c>
      <c r="BJ35" t="str">
        <f ca="1">IF(AND(ISNUMBER($BJ$495),$B$419=1),$BJ$495,HLOOKUP(INDIRECT(ADDRESS(2,COLUMN())),OFFSET($BN$2,0,0,ROW()-1,60),ROW()-1,FALSE))</f>
        <v/>
      </c>
      <c r="BK35" t="str">
        <f ca="1">IF(AND(ISNUMBER($BK$495),$B$419=1),$BK$495,HLOOKUP(INDIRECT(ADDRESS(2,COLUMN())),OFFSET($BN$2,0,0,ROW()-1,60),ROW()-1,FALSE))</f>
        <v/>
      </c>
      <c r="BL35" t="str">
        <f ca="1">IF(AND(ISNUMBER($BL$495),$B$419=1),$BL$495,HLOOKUP(INDIRECT(ADDRESS(2,COLUMN())),OFFSET($BN$2,0,0,ROW()-1,60),ROW()-1,FALSE))</f>
        <v/>
      </c>
      <c r="BM35" t="str">
        <f ca="1">IF(AND(ISNUMBER($BM$495),$B$419=1),$BM$495,HLOOKUP(INDIRECT(ADDRESS(2,COLUMN())),OFFSET($BN$2,0,0,ROW()-1,60),ROW()-1,FALSE))</f>
        <v/>
      </c>
      <c r="BN35" t="str">
        <f>""</f>
        <v/>
      </c>
      <c r="BO35">
        <f>2.356</f>
        <v>2.3559999999999999</v>
      </c>
      <c r="BP35">
        <f>2.499</f>
        <v>2.4990000000000001</v>
      </c>
      <c r="BQ35">
        <f>2.094</f>
        <v>2.0939999999999999</v>
      </c>
      <c r="BR35">
        <f>2.506</f>
        <v>2.5059999999999998</v>
      </c>
      <c r="BS35">
        <f>2.863</f>
        <v>2.863</v>
      </c>
      <c r="BT35">
        <f>2.666</f>
        <v>2.6659999999999999</v>
      </c>
      <c r="BU35">
        <f>1.826</f>
        <v>1.8260000000000001</v>
      </c>
      <c r="BV35">
        <f>1.325</f>
        <v>1.325</v>
      </c>
      <c r="BW35">
        <f>1.34</f>
        <v>1.34</v>
      </c>
      <c r="BX35">
        <f>1.221</f>
        <v>1.2210000000000001</v>
      </c>
      <c r="BY35">
        <f>1.482</f>
        <v>1.482</v>
      </c>
      <c r="BZ35">
        <f>1.577</f>
        <v>1.577</v>
      </c>
      <c r="CA35">
        <f>0.957</f>
        <v>0.95699999999999996</v>
      </c>
      <c r="CB35">
        <f>0.248</f>
        <v>0.248</v>
      </c>
      <c r="CC35">
        <f>0.253</f>
        <v>0.253</v>
      </c>
      <c r="CD35">
        <f>-0.031</f>
        <v>-3.1E-2</v>
      </c>
      <c r="CE35">
        <f>0.751</f>
        <v>0.751</v>
      </c>
      <c r="CF35">
        <f>1.02</f>
        <v>1.02</v>
      </c>
      <c r="CG35">
        <f>0.61</f>
        <v>0.61</v>
      </c>
      <c r="CH35">
        <f>0.643</f>
        <v>0.64300000000000002</v>
      </c>
      <c r="CI35">
        <f>0.576</f>
        <v>0.57599999999999996</v>
      </c>
      <c r="CJ35">
        <f>1.227</f>
        <v>1.2270000000000001</v>
      </c>
      <c r="CK35">
        <f>0.995</f>
        <v>0.995</v>
      </c>
      <c r="CL35">
        <f>0.816</f>
        <v>0.81599999999999995</v>
      </c>
      <c r="CM35">
        <f>1.098</f>
        <v>1.0980000000000001</v>
      </c>
      <c r="CN35">
        <f>0.968</f>
        <v>0.96799999999999997</v>
      </c>
      <c r="CO35">
        <f>0.915</f>
        <v>0.91500000000000004</v>
      </c>
      <c r="CP35">
        <f>2.234</f>
        <v>2.234</v>
      </c>
      <c r="CQ35">
        <f>1.326</f>
        <v>1.3260000000000001</v>
      </c>
      <c r="CR35">
        <f>1.847</f>
        <v>1.847</v>
      </c>
      <c r="CS35">
        <f>2.235</f>
        <v>2.2349999999999999</v>
      </c>
      <c r="CT35">
        <f>3.046</f>
        <v>3.0459999999999998</v>
      </c>
      <c r="CU35" t="str">
        <f>""</f>
        <v/>
      </c>
      <c r="CV35" t="str">
        <f>""</f>
        <v/>
      </c>
      <c r="CW35" t="str">
        <f>""</f>
        <v/>
      </c>
      <c r="CX35" t="str">
        <f>""</f>
        <v/>
      </c>
      <c r="CY35" t="str">
        <f>""</f>
        <v/>
      </c>
      <c r="CZ35" t="str">
        <f>""</f>
        <v/>
      </c>
      <c r="DA35" t="str">
        <f>""</f>
        <v/>
      </c>
      <c r="DB35" t="str">
        <f>""</f>
        <v/>
      </c>
      <c r="DC35" t="str">
        <f>""</f>
        <v/>
      </c>
      <c r="DD35" t="str">
        <f>""</f>
        <v/>
      </c>
      <c r="DE35" t="str">
        <f>""</f>
        <v/>
      </c>
      <c r="DF35" t="str">
        <f>""</f>
        <v/>
      </c>
      <c r="DG35" t="str">
        <f>""</f>
        <v/>
      </c>
      <c r="DH35" t="str">
        <f>""</f>
        <v/>
      </c>
      <c r="DI35" t="str">
        <f>""</f>
        <v/>
      </c>
      <c r="DJ35" t="str">
        <f>""</f>
        <v/>
      </c>
      <c r="DK35" t="str">
        <f>""</f>
        <v/>
      </c>
      <c r="DL35" t="str">
        <f>""</f>
        <v/>
      </c>
      <c r="DM35" t="str">
        <f>""</f>
        <v/>
      </c>
      <c r="DN35" t="str">
        <f>""</f>
        <v/>
      </c>
      <c r="DO35" t="str">
        <f>""</f>
        <v/>
      </c>
      <c r="DP35" t="str">
        <f>""</f>
        <v/>
      </c>
      <c r="DQ35" t="str">
        <f>""</f>
        <v/>
      </c>
      <c r="DR35" t="str">
        <f>""</f>
        <v/>
      </c>
      <c r="DS35" t="str">
        <f>""</f>
        <v/>
      </c>
      <c r="DT35" t="str">
        <f>""</f>
        <v/>
      </c>
      <c r="DU35" t="str">
        <f>""</f>
        <v/>
      </c>
    </row>
    <row r="36" spans="1:125">
      <c r="A36" t="str">
        <f>"其他营业收入"</f>
        <v>其他营业收入</v>
      </c>
      <c r="B36" t="str">
        <f>""</f>
        <v/>
      </c>
      <c r="E36" t="str">
        <f>"Median"</f>
        <v>Median</v>
      </c>
      <c r="F36" t="str">
        <f ca="1">IF(ISERROR(IF(MEDIAN($F$37:$F$51) = 0, "", MEDIAN($F$37:$F$51))), "", (IF(MEDIAN($F$37:$F$51) = 0, "", MEDIAN($F$37:$F$51))))</f>
        <v/>
      </c>
      <c r="G36">
        <f ca="1">IF(ISERROR(IF(MEDIAN($G$37:$G$51) = 0, "", MEDIAN($G$37:$G$51))), "", (IF(MEDIAN($G$37:$G$51) = 0, "", MEDIAN($G$37:$G$51))))</f>
        <v>1.35</v>
      </c>
      <c r="H36">
        <f ca="1">IF(ISERROR(IF(MEDIAN($H$37:$H$51) = 0, "", MEDIAN($H$37:$H$51))), "", (IF(MEDIAN($H$37:$H$51) = 0, "", MEDIAN($H$37:$H$51))))</f>
        <v>1.518</v>
      </c>
      <c r="I36">
        <f ca="1">IF(ISERROR(IF(MEDIAN($I$37:$I$51) = 0, "", MEDIAN($I$37:$I$51))), "", (IF(MEDIAN($I$37:$I$51) = 0, "", MEDIAN($I$37:$I$51))))</f>
        <v>1.798</v>
      </c>
      <c r="J36">
        <f ca="1">IF(ISERROR(IF(MEDIAN($J$37:$J$51) = 0, "", MEDIAN($J$37:$J$51))), "", (IF(MEDIAN($J$37:$J$51) = 0, "", MEDIAN($J$37:$J$51))))</f>
        <v>2.0059999999999998</v>
      </c>
      <c r="K36">
        <f ca="1">IF(ISERROR(IF(MEDIAN($K$37:$K$51) = 0, "", MEDIAN($K$37:$K$51))), "", (IF(MEDIAN($K$37:$K$51) = 0, "", MEDIAN($K$37:$K$51))))</f>
        <v>1.746</v>
      </c>
      <c r="L36">
        <f ca="1">IF(ISERROR(IF(MEDIAN($L$37:$L$51) = 0, "", MEDIAN($L$37:$L$51))), "", (IF(MEDIAN($L$37:$L$51) = 0, "", MEDIAN($L$37:$L$51))))</f>
        <v>1.7689999999999999</v>
      </c>
      <c r="M36">
        <f ca="1">IF(ISERROR(IF(MEDIAN($M$37:$M$51) = 0, "", MEDIAN($M$37:$M$51))), "", (IF(MEDIAN($M$37:$M$51) = 0, "", MEDIAN($M$37:$M$51))))</f>
        <v>2.3780000000000001</v>
      </c>
      <c r="N36">
        <f ca="1">IF(ISERROR(IF(MEDIAN($N$37:$N$51) = 0, "", MEDIAN($N$37:$N$51))), "", (IF(MEDIAN($N$37:$N$51) = 0, "", MEDIAN($N$37:$N$51))))</f>
        <v>2.246</v>
      </c>
      <c r="O36">
        <f ca="1">IF(ISERROR(IF(MEDIAN($O$37:$O$51) = 0, "", MEDIAN($O$37:$O$51))), "", (IF(MEDIAN($O$37:$O$51) = 0, "", MEDIAN($O$37:$O$51))))</f>
        <v>1.835</v>
      </c>
      <c r="P36">
        <f ca="1">IF(ISERROR(IF(MEDIAN($P$37:$P$51) = 0, "", MEDIAN($P$37:$P$51))), "", (IF(MEDIAN($P$37:$P$51) = 0, "", MEDIAN($P$37:$P$51))))</f>
        <v>2.4790000000000001</v>
      </c>
      <c r="Q36">
        <f ca="1">IF(ISERROR(IF(MEDIAN($Q$37:$Q$51) = 0, "", MEDIAN($Q$37:$Q$51))), "", (IF(MEDIAN($Q$37:$Q$51) = 0, "", MEDIAN($Q$37:$Q$51))))</f>
        <v>2.0895000000000001</v>
      </c>
      <c r="R36">
        <f ca="1">IF(ISERROR(IF(MEDIAN($R$37:$R$51) = 0, "", MEDIAN($R$37:$R$51))), "", (IF(MEDIAN($R$37:$R$51) = 0, "", MEDIAN($R$37:$R$51))))</f>
        <v>1.8755000000000002</v>
      </c>
      <c r="S36">
        <f ca="1">IF(ISERROR(IF(MEDIAN($S$37:$S$51) = 0, "", MEDIAN($S$37:$S$51))), "", (IF(MEDIAN($S$37:$S$51) = 0, "", MEDIAN($S$37:$S$51))))</f>
        <v>1.849</v>
      </c>
      <c r="T36">
        <f ca="1">IF(ISERROR(IF(MEDIAN($T$37:$T$51) = 0, "", MEDIAN($T$37:$T$51))), "", (IF(MEDIAN($T$37:$T$51) = 0, "", MEDIAN($T$37:$T$51))))</f>
        <v>2.17</v>
      </c>
      <c r="U36">
        <f ca="1">IF(ISERROR(IF(MEDIAN($U$37:$U$51) = 0, "", MEDIAN($U$37:$U$51))), "", (IF(MEDIAN($U$37:$U$51) = 0, "", MEDIAN($U$37:$U$51))))</f>
        <v>1.927</v>
      </c>
      <c r="V36">
        <f ca="1">IF(ISERROR(IF(MEDIAN($V$37:$V$51) = 0, "", MEDIAN($V$37:$V$51))), "", (IF(MEDIAN($V$37:$V$51) = 0, "", MEDIAN($V$37:$V$51))))</f>
        <v>1.8129999999999999</v>
      </c>
      <c r="W36">
        <f ca="1">IF(ISERROR(IF(MEDIAN($W$37:$W$51) = 0, "", MEDIAN($W$37:$W$51))), "", (IF(MEDIAN($W$37:$W$51) = 0, "", MEDIAN($W$37:$W$51))))</f>
        <v>2.5594999999999999</v>
      </c>
      <c r="X36">
        <f ca="1">IF(ISERROR(IF(MEDIAN($X$37:$X$51) = 0, "", MEDIAN($X$37:$X$51))), "", (IF(MEDIAN($X$37:$X$51) = 0, "", MEDIAN($X$37:$X$51))))</f>
        <v>2.5934999999999997</v>
      </c>
      <c r="Y36">
        <f ca="1">IF(ISERROR(IF(MEDIAN($Y$37:$Y$51) = 0, "", MEDIAN($Y$37:$Y$51))), "", (IF(MEDIAN($Y$37:$Y$51) = 0, "", MEDIAN($Y$37:$Y$51))))</f>
        <v>2.3289999999999997</v>
      </c>
      <c r="Z36">
        <f ca="1">IF(ISERROR(IF(MEDIAN($Z$37:$Z$51) = 0, "", MEDIAN($Z$37:$Z$51))), "", (IF(MEDIAN($Z$37:$Z$51) = 0, "", MEDIAN($Z$37:$Z$51))))</f>
        <v>2.2829999999999999</v>
      </c>
      <c r="AA36">
        <f ca="1">IF(ISERROR(IF(MEDIAN($AA$37:$AA$51) = 0, "", MEDIAN($AA$37:$AA$51))), "", (IF(MEDIAN($AA$37:$AA$51) = 0, "", MEDIAN($AA$37:$AA$51))))</f>
        <v>2.2275</v>
      </c>
      <c r="AB36">
        <f ca="1">IF(ISERROR(IF(MEDIAN($AB$37:$AB$51) = 0, "", MEDIAN($AB$37:$AB$51))), "", (IF(MEDIAN($AB$37:$AB$51) = 0, "", MEDIAN($AB$37:$AB$51))))</f>
        <v>2.2270000000000003</v>
      </c>
      <c r="AC36">
        <f ca="1">IF(ISERROR(IF(MEDIAN($AC$37:$AC$51) = 0, "", MEDIAN($AC$37:$AC$51))), "", (IF(MEDIAN($AC$37:$AC$51) = 0, "", MEDIAN($AC$37:$AC$51))))</f>
        <v>2.5925000000000002</v>
      </c>
      <c r="AD36">
        <f ca="1">IF(ISERROR(IF(MEDIAN($AD$37:$AD$51) = 0, "", MEDIAN($AD$37:$AD$51))), "", (IF(MEDIAN($AD$37:$AD$51) = 0, "", MEDIAN($AD$37:$AD$51))))</f>
        <v>2.7184999999999997</v>
      </c>
      <c r="AE36">
        <f ca="1">IF(ISERROR(IF(MEDIAN($AE$37:$AE$51) = 0, "", MEDIAN($AE$37:$AE$51))), "", (IF(MEDIAN($AE$37:$AE$51) = 0, "", MEDIAN($AE$37:$AE$51))))</f>
        <v>2.4350000000000001</v>
      </c>
      <c r="AF36">
        <f ca="1">IF(ISERROR(IF(MEDIAN($AF$37:$AF$51) = 0, "", MEDIAN($AF$37:$AF$51))), "", (IF(MEDIAN($AF$37:$AF$51) = 0, "", MEDIAN($AF$37:$AF$51))))</f>
        <v>2.3410000000000002</v>
      </c>
      <c r="AG36">
        <f ca="1">IF(ISERROR(IF(MEDIAN($AG$37:$AG$51) = 0, "", MEDIAN($AG$37:$AG$51))), "", (IF(MEDIAN($AG$37:$AG$51) = 0, "", MEDIAN($AG$37:$AG$51))))</f>
        <v>2.1459999999999999</v>
      </c>
      <c r="AH36">
        <f ca="1">IF(ISERROR(IF(MEDIAN($AH$37:$AH$51) = 0, "", MEDIAN($AH$37:$AH$51))), "", (IF(MEDIAN($AH$37:$AH$51) = 0, "", MEDIAN($AH$37:$AH$51))))</f>
        <v>2.09</v>
      </c>
      <c r="AI36">
        <f ca="1">IF(ISERROR(IF(MEDIAN($AI$37:$AI$51) = 0, "", MEDIAN($AI$37:$AI$51))), "", (IF(MEDIAN($AI$37:$AI$51) = 0, "", MEDIAN($AI$37:$AI$51))))</f>
        <v>3.1420000000000003</v>
      </c>
      <c r="AJ36">
        <f ca="1">IF(ISERROR(IF(MEDIAN($AJ$37:$AJ$51) = 0, "", MEDIAN($AJ$37:$AJ$51))), "", (IF(MEDIAN($AJ$37:$AJ$51) = 0, "", MEDIAN($AJ$37:$AJ$51))))</f>
        <v>3.5709999999999997</v>
      </c>
      <c r="AK36">
        <f ca="1">IF(ISERROR(IF(MEDIAN($AK$37:$AK$51) = 0, "", MEDIAN($AK$37:$AK$51))), "", (IF(MEDIAN($AK$37:$AK$51) = 0, "", MEDIAN($AK$37:$AK$51))))</f>
        <v>2.1795</v>
      </c>
      <c r="AL36">
        <f ca="1">IF(ISERROR(IF(MEDIAN($AL$37:$AL$51) = 0, "", MEDIAN($AL$37:$AL$51))), "", (IF(MEDIAN($AL$37:$AL$51) = 0, "", MEDIAN($AL$37:$AL$51))))</f>
        <v>2.3689999999999998</v>
      </c>
      <c r="AM36">
        <f ca="1">IF(ISERROR(IF(MEDIAN($AM$37:$AM$51) = 0, "", MEDIAN($AM$37:$AM$51))), "", (IF(MEDIAN($AM$37:$AM$51) = 0, "", MEDIAN($AM$37:$AM$51))))</f>
        <v>6.5415000000000001</v>
      </c>
      <c r="AN36">
        <f ca="1">IF(ISERROR(IF(MEDIAN($AN$37:$AN$51) = 0, "", MEDIAN($AN$37:$AN$51))), "", (IF(MEDIAN($AN$37:$AN$51) = 0, "", MEDIAN($AN$37:$AN$51))))</f>
        <v>5.6379999999999999</v>
      </c>
      <c r="AO36">
        <f ca="1">IF(ISERROR(IF(MEDIAN($AO$37:$AO$51) = 0, "", MEDIAN($AO$37:$AO$51))), "", (IF(MEDIAN($AO$37:$AO$51) = 0, "", MEDIAN($AO$37:$AO$51))))</f>
        <v>3.145</v>
      </c>
      <c r="AP36">
        <f ca="1">IF(ISERROR(IF(MEDIAN($AP$37:$AP$51) = 0, "", MEDIAN($AP$37:$AP$51))), "", (IF(MEDIAN($AP$37:$AP$51) = 0, "", MEDIAN($AP$37:$AP$51))))</f>
        <v>3.3224999999999998</v>
      </c>
      <c r="AQ36" t="str">
        <f ca="1">IF(ISERROR(IF(MEDIAN($AQ$37:$AQ$51) = 0, "", MEDIAN($AQ$37:$AQ$51))), "", (IF(MEDIAN($AQ$37:$AQ$51) = 0, "", MEDIAN($AQ$37:$AQ$51))))</f>
        <v/>
      </c>
      <c r="AR36" t="str">
        <f ca="1">IF(ISERROR(IF(MEDIAN($AR$37:$AR$51) = 0, "", MEDIAN($AR$37:$AR$51))), "", (IF(MEDIAN($AR$37:$AR$51) = 0, "", MEDIAN($AR$37:$AR$51))))</f>
        <v/>
      </c>
      <c r="AS36" t="str">
        <f ca="1">IF(ISERROR(IF(MEDIAN($AS$37:$AS$51) = 0, "", MEDIAN($AS$37:$AS$51))), "", (IF(MEDIAN($AS$37:$AS$51) = 0, "", MEDIAN($AS$37:$AS$51))))</f>
        <v/>
      </c>
      <c r="AT36" t="str">
        <f ca="1">IF(ISERROR(IF(MEDIAN($AT$37:$AT$51) = 0, "", MEDIAN($AT$37:$AT$51))), "", (IF(MEDIAN($AT$37:$AT$51) = 0, "", MEDIAN($AT$37:$AT$51))))</f>
        <v/>
      </c>
      <c r="AU36" t="str">
        <f ca="1">IF(ISERROR(IF(MEDIAN($AU$37:$AU$51) = 0, "", MEDIAN($AU$37:$AU$51))), "", (IF(MEDIAN($AU$37:$AU$51) = 0, "", MEDIAN($AU$37:$AU$51))))</f>
        <v/>
      </c>
      <c r="AV36" t="str">
        <f ca="1">IF(ISERROR(IF(MEDIAN($AV$37:$AV$51) = 0, "", MEDIAN($AV$37:$AV$51))), "", (IF(MEDIAN($AV$37:$AV$51) = 0, "", MEDIAN($AV$37:$AV$51))))</f>
        <v/>
      </c>
      <c r="AW36" t="str">
        <f ca="1">IF(ISERROR(IF(MEDIAN($AW$37:$AW$51) = 0, "", MEDIAN($AW$37:$AW$51))), "", (IF(MEDIAN($AW$37:$AW$51) = 0, "", MEDIAN($AW$37:$AW$51))))</f>
        <v/>
      </c>
      <c r="AX36" t="str">
        <f ca="1">IF(ISERROR(IF(MEDIAN($AX$37:$AX$51) = 0, "", MEDIAN($AX$37:$AX$51))), "", (IF(MEDIAN($AX$37:$AX$51) = 0, "", MEDIAN($AX$37:$AX$51))))</f>
        <v/>
      </c>
      <c r="AY36" t="str">
        <f ca="1">IF(ISERROR(IF(MEDIAN($AY$37:$AY$51) = 0, "", MEDIAN($AY$37:$AY$51))), "", (IF(MEDIAN($AY$37:$AY$51) = 0, "", MEDIAN($AY$37:$AY$51))))</f>
        <v/>
      </c>
      <c r="AZ36" t="str">
        <f ca="1">IF(ISERROR(IF(MEDIAN($AZ$37:$AZ$51) = 0, "", MEDIAN($AZ$37:$AZ$51))), "", (IF(MEDIAN($AZ$37:$AZ$51) = 0, "", MEDIAN($AZ$37:$AZ$51))))</f>
        <v/>
      </c>
      <c r="BA36" t="str">
        <f ca="1">IF(ISERROR(IF(MEDIAN($BA$37:$BA$51) = 0, "", MEDIAN($BA$37:$BA$51))), "", (IF(MEDIAN($BA$37:$BA$51) = 0, "", MEDIAN($BA$37:$BA$51))))</f>
        <v/>
      </c>
      <c r="BB36" t="str">
        <f ca="1">IF(ISERROR(IF(MEDIAN($BB$37:$BB$51) = 0, "", MEDIAN($BB$37:$BB$51))), "", (IF(MEDIAN($BB$37:$BB$51) = 0, "", MEDIAN($BB$37:$BB$51))))</f>
        <v/>
      </c>
      <c r="BC36" t="str">
        <f ca="1">IF(ISERROR(IF(MEDIAN($BC$37:$BC$51) = 0, "", MEDIAN($BC$37:$BC$51))), "", (IF(MEDIAN($BC$37:$BC$51) = 0, "", MEDIAN($BC$37:$BC$51))))</f>
        <v/>
      </c>
      <c r="BD36" t="str">
        <f ca="1">IF(ISERROR(IF(MEDIAN($BD$37:$BD$51) = 0, "", MEDIAN($BD$37:$BD$51))), "", (IF(MEDIAN($BD$37:$BD$51) = 0, "", MEDIAN($BD$37:$BD$51))))</f>
        <v/>
      </c>
      <c r="BE36" t="str">
        <f ca="1">IF(ISERROR(IF(MEDIAN($BE$37:$BE$51) = 0, "", MEDIAN($BE$37:$BE$51))), "", (IF(MEDIAN($BE$37:$BE$51) = 0, "", MEDIAN($BE$37:$BE$51))))</f>
        <v/>
      </c>
      <c r="BF36" t="str">
        <f ca="1">IF(ISERROR(IF(MEDIAN($BF$37:$BF$51) = 0, "", MEDIAN($BF$37:$BF$51))), "", (IF(MEDIAN($BF$37:$BF$51) = 0, "", MEDIAN($BF$37:$BF$51))))</f>
        <v/>
      </c>
      <c r="BG36" t="str">
        <f ca="1">IF(ISERROR(IF(MEDIAN($BG$37:$BG$51) = 0, "", MEDIAN($BG$37:$BG$51))), "", (IF(MEDIAN($BG$37:$BG$51) = 0, "", MEDIAN($BG$37:$BG$51))))</f>
        <v/>
      </c>
      <c r="BH36" t="str">
        <f ca="1">IF(ISERROR(IF(MEDIAN($BH$37:$BH$51) = 0, "", MEDIAN($BH$37:$BH$51))), "", (IF(MEDIAN($BH$37:$BH$51) = 0, "", MEDIAN($BH$37:$BH$51))))</f>
        <v/>
      </c>
      <c r="BI36" t="str">
        <f ca="1">IF(ISERROR(IF(MEDIAN($BI$37:$BI$51) = 0, "", MEDIAN($BI$37:$BI$51))), "", (IF(MEDIAN($BI$37:$BI$51) = 0, "", MEDIAN($BI$37:$BI$51))))</f>
        <v/>
      </c>
      <c r="BJ36" t="str">
        <f ca="1">IF(ISERROR(IF(MEDIAN($BJ$37:$BJ$51) = 0, "", MEDIAN($BJ$37:$BJ$51))), "", (IF(MEDIAN($BJ$37:$BJ$51) = 0, "", MEDIAN($BJ$37:$BJ$51))))</f>
        <v/>
      </c>
      <c r="BK36" t="str">
        <f ca="1">IF(ISERROR(IF(MEDIAN($BK$37:$BK$51) = 0, "", MEDIAN($BK$37:$BK$51))), "", (IF(MEDIAN($BK$37:$BK$51) = 0, "", MEDIAN($BK$37:$BK$51))))</f>
        <v/>
      </c>
      <c r="BL36" t="str">
        <f ca="1">IF(ISERROR(IF(MEDIAN($BL$37:$BL$51) = 0, "", MEDIAN($BL$37:$BL$51))), "", (IF(MEDIAN($BL$37:$BL$51) = 0, "", MEDIAN($BL$37:$BL$51))))</f>
        <v/>
      </c>
      <c r="BM36" t="str">
        <f ca="1">IF(ISERROR(IF(MEDIAN($BM$37:$BM$51) = 0, "", MEDIAN($BM$37:$BM$51))), "", (IF(MEDIAN($BM$37:$BM$51) = 0, "", MEDIAN($BM$37:$BM$51))))</f>
        <v/>
      </c>
      <c r="BN36" t="str">
        <f>""</f>
        <v/>
      </c>
      <c r="BO36">
        <f>1.35</f>
        <v>1.35</v>
      </c>
      <c r="BP36">
        <f>1.518</f>
        <v>1.518</v>
      </c>
      <c r="BQ36">
        <f>1.798</f>
        <v>1.798</v>
      </c>
      <c r="BR36">
        <f>2.006</f>
        <v>2.0059999999999998</v>
      </c>
      <c r="BS36">
        <f>1.746</f>
        <v>1.746</v>
      </c>
      <c r="BT36">
        <f>1.769</f>
        <v>1.7689999999999999</v>
      </c>
      <c r="BU36">
        <f>2.378</f>
        <v>2.3780000000000001</v>
      </c>
      <c r="BV36">
        <f>2.246</f>
        <v>2.246</v>
      </c>
      <c r="BW36">
        <f>1.835</f>
        <v>1.835</v>
      </c>
      <c r="BX36">
        <f>2.479</f>
        <v>2.4790000000000001</v>
      </c>
      <c r="BY36">
        <f>2.0895</f>
        <v>2.0895000000000001</v>
      </c>
      <c r="BZ36">
        <f>1.8755</f>
        <v>1.8754999999999999</v>
      </c>
      <c r="CA36">
        <f>1.849</f>
        <v>1.849</v>
      </c>
      <c r="CB36">
        <f>2.17</f>
        <v>2.17</v>
      </c>
      <c r="CC36">
        <f>1.927</f>
        <v>1.927</v>
      </c>
      <c r="CD36">
        <f>1.813</f>
        <v>1.8129999999999999</v>
      </c>
      <c r="CE36">
        <f>2.5595</f>
        <v>2.5594999999999999</v>
      </c>
      <c r="CF36">
        <f>2.5935</f>
        <v>2.5935000000000001</v>
      </c>
      <c r="CG36">
        <f>2.329</f>
        <v>2.3290000000000002</v>
      </c>
      <c r="CH36">
        <f>2.283</f>
        <v>2.2829999999999999</v>
      </c>
      <c r="CI36">
        <f>2.2275</f>
        <v>2.2275</v>
      </c>
      <c r="CJ36">
        <f>2.227</f>
        <v>2.2269999999999999</v>
      </c>
      <c r="CK36">
        <f>2.5925</f>
        <v>2.5924999999999998</v>
      </c>
      <c r="CL36">
        <f>2.7185</f>
        <v>2.7185000000000001</v>
      </c>
      <c r="CM36">
        <f>2.435</f>
        <v>2.4350000000000001</v>
      </c>
      <c r="CN36">
        <f>2.341</f>
        <v>2.3410000000000002</v>
      </c>
      <c r="CO36">
        <f>2.146</f>
        <v>2.1459999999999999</v>
      </c>
      <c r="CP36">
        <f>2.09</f>
        <v>2.09</v>
      </c>
      <c r="CQ36">
        <f>3.142</f>
        <v>3.1419999999999999</v>
      </c>
      <c r="CR36">
        <f>3.571</f>
        <v>3.5710000000000002</v>
      </c>
      <c r="CS36">
        <f>2.1795</f>
        <v>2.1795</v>
      </c>
      <c r="CT36">
        <f>2.369</f>
        <v>2.3690000000000002</v>
      </c>
      <c r="CU36">
        <f>6.5415</f>
        <v>6.5415000000000001</v>
      </c>
      <c r="CV36">
        <f>5.638</f>
        <v>5.6379999999999999</v>
      </c>
      <c r="CW36">
        <f>3.145</f>
        <v>3.145</v>
      </c>
      <c r="CX36">
        <f>3.3225</f>
        <v>3.3224999999999998</v>
      </c>
      <c r="CY36" t="str">
        <f>""</f>
        <v/>
      </c>
      <c r="CZ36" t="str">
        <f>""</f>
        <v/>
      </c>
      <c r="DA36" t="str">
        <f>""</f>
        <v/>
      </c>
      <c r="DB36" t="str">
        <f>""</f>
        <v/>
      </c>
      <c r="DC36" t="str">
        <f>""</f>
        <v/>
      </c>
      <c r="DD36" t="str">
        <f>""</f>
        <v/>
      </c>
      <c r="DE36" t="str">
        <f>""</f>
        <v/>
      </c>
      <c r="DF36" t="str">
        <f>""</f>
        <v/>
      </c>
      <c r="DG36" t="str">
        <f>""</f>
        <v/>
      </c>
      <c r="DH36" t="str">
        <f>""</f>
        <v/>
      </c>
      <c r="DI36" t="str">
        <f>""</f>
        <v/>
      </c>
      <c r="DJ36" t="str">
        <f>""</f>
        <v/>
      </c>
      <c r="DK36" t="str">
        <f>""</f>
        <v/>
      </c>
      <c r="DL36" t="str">
        <f>""</f>
        <v/>
      </c>
      <c r="DM36" t="str">
        <f>""</f>
        <v/>
      </c>
      <c r="DN36" t="str">
        <f>""</f>
        <v/>
      </c>
      <c r="DO36" t="str">
        <f>""</f>
        <v/>
      </c>
      <c r="DP36" t="str">
        <f>""</f>
        <v/>
      </c>
      <c r="DQ36" t="str">
        <f>""</f>
        <v/>
      </c>
      <c r="DR36" t="str">
        <f>""</f>
        <v/>
      </c>
      <c r="DS36" t="str">
        <f>""</f>
        <v/>
      </c>
      <c r="DT36" t="str">
        <f>""</f>
        <v/>
      </c>
      <c r="DU36" t="str">
        <f>""</f>
        <v/>
      </c>
    </row>
    <row r="37" spans="1:125">
      <c r="A37" t="str">
        <f>"    Brixmor Property Group Inc"</f>
        <v xml:space="preserve">    Brixmor Property Group Inc</v>
      </c>
      <c r="B37" t="str">
        <f>"BRX US Equity"</f>
        <v>BRX US Equity</v>
      </c>
      <c r="C37" t="str">
        <f t="shared" ref="C37:C51" si="6">"IM281"</f>
        <v>IM281</v>
      </c>
      <c r="D37" t="str">
        <f t="shared" ref="D37:D51" si="7">"IS_NON_REAL_ESTATE_INCOME"</f>
        <v>IS_NON_REAL_ESTATE_INCOME</v>
      </c>
      <c r="E37" t="str">
        <f t="shared" ref="E37:E51" si="8">"动态"</f>
        <v>动态</v>
      </c>
      <c r="F37" t="str">
        <f ca="1">IF(AND(ISNUMBER($F$496),$B$419=1),$F$496,HLOOKUP(INDIRECT(ADDRESS(2,COLUMN())),OFFSET($BN$2,0,0,ROW()-1,60),ROW()-1,FALSE))</f>
        <v/>
      </c>
      <c r="G37">
        <f ca="1">IF(AND(ISNUMBER($G$496),$B$419=1),$G$496,HLOOKUP(INDIRECT(ADDRESS(2,COLUMN())),OFFSET($BN$2,0,0,ROW()-1,60),ROW()-1,FALSE))</f>
        <v>1.0289999999999999</v>
      </c>
      <c r="H37">
        <f ca="1">IF(AND(ISNUMBER($H$496),$B$419=1),$H$496,HLOOKUP(INDIRECT(ADDRESS(2,COLUMN())),OFFSET($BN$2,0,0,ROW()-1,60),ROW()-1,FALSE))</f>
        <v>1.429</v>
      </c>
      <c r="I37">
        <f ca="1">IF(AND(ISNUMBER($I$496),$B$419=1),$I$496,HLOOKUP(INDIRECT(ADDRESS(2,COLUMN())),OFFSET($BN$2,0,0,ROW()-1,60),ROW()-1,FALSE))</f>
        <v>2.0019999999999998</v>
      </c>
      <c r="J37">
        <f ca="1">IF(AND(ISNUMBER($J$496),$B$419=1),$J$496,HLOOKUP(INDIRECT(ADDRESS(2,COLUMN())),OFFSET($BN$2,0,0,ROW()-1,60),ROW()-1,FALSE))</f>
        <v>2.9950000000000001</v>
      </c>
      <c r="K37">
        <f ca="1">IF(AND(ISNUMBER($K$496),$B$419=1),$K$496,HLOOKUP(INDIRECT(ADDRESS(2,COLUMN())),OFFSET($BN$2,0,0,ROW()-1,60),ROW()-1,FALSE))</f>
        <v>0.89200000000000002</v>
      </c>
      <c r="L37">
        <f ca="1">IF(AND(ISNUMBER($L$496),$B$419=1),$L$496,HLOOKUP(INDIRECT(ADDRESS(2,COLUMN())),OFFSET($BN$2,0,0,ROW()-1,60),ROW()-1,FALSE))</f>
        <v>1.2490000000000001</v>
      </c>
      <c r="M37">
        <f ca="1">IF(AND(ISNUMBER($M$496),$B$419=1),$M$496,HLOOKUP(INDIRECT(ADDRESS(2,COLUMN())),OFFSET($BN$2,0,0,ROW()-1,60),ROW()-1,FALSE))</f>
        <v>2.7189999999999999</v>
      </c>
      <c r="N37">
        <f ca="1">IF(AND(ISNUMBER($N$496),$B$419=1),$N$496,HLOOKUP(INDIRECT(ADDRESS(2,COLUMN())),OFFSET($BN$2,0,0,ROW()-1,60),ROW()-1,FALSE))</f>
        <v>2.246</v>
      </c>
      <c r="O37">
        <f ca="1">IF(AND(ISNUMBER($O$496),$B$419=1),$O$496,HLOOKUP(INDIRECT(ADDRESS(2,COLUMN())),OFFSET($BN$2,0,0,ROW()-1,60),ROW()-1,FALSE))</f>
        <v>-1.03</v>
      </c>
      <c r="P37">
        <f ca="1">IF(AND(ISNUMBER($P$496),$B$419=1),$P$496,HLOOKUP(INDIRECT(ADDRESS(2,COLUMN())),OFFSET($BN$2,0,0,ROW()-1,60),ROW()-1,FALSE))</f>
        <v>1.8919999999999999</v>
      </c>
      <c r="Q37">
        <f ca="1">IF(AND(ISNUMBER($Q$496),$B$419=1),$Q$496,HLOOKUP(INDIRECT(ADDRESS(2,COLUMN())),OFFSET($BN$2,0,0,ROW()-1,60),ROW()-1,FALSE))</f>
        <v>2.569</v>
      </c>
      <c r="R37">
        <f ca="1">IF(AND(ISNUMBER($R$496),$B$419=1),$R$496,HLOOKUP(INDIRECT(ADDRESS(2,COLUMN())),OFFSET($BN$2,0,0,ROW()-1,60),ROW()-1,FALSE))</f>
        <v>1.9690000000000001</v>
      </c>
      <c r="S37">
        <f ca="1">IF(AND(ISNUMBER($S$496),$B$419=1),$S$496,HLOOKUP(INDIRECT(ADDRESS(2,COLUMN())),OFFSET($BN$2,0,0,ROW()-1,60),ROW()-1,FALSE))</f>
        <v>1.5589999999999999</v>
      </c>
      <c r="T37">
        <f ca="1">IF(AND(ISNUMBER($T$496),$B$419=1),$T$496,HLOOKUP(INDIRECT(ADDRESS(2,COLUMN())),OFFSET($BN$2,0,0,ROW()-1,60),ROW()-1,FALSE))</f>
        <v>2.17</v>
      </c>
      <c r="U37">
        <f ca="1">IF(AND(ISNUMBER($U$496),$B$419=1),$U$496,HLOOKUP(INDIRECT(ADDRESS(2,COLUMN())),OFFSET($BN$2,0,0,ROW()-1,60),ROW()-1,FALSE))</f>
        <v>2.3069999999999999</v>
      </c>
      <c r="V37">
        <f ca="1">IF(AND(ISNUMBER($V$496),$B$419=1),$V$496,HLOOKUP(INDIRECT(ADDRESS(2,COLUMN())),OFFSET($BN$2,0,0,ROW()-1,60),ROW()-1,FALSE))</f>
        <v>1.8129999999999999</v>
      </c>
      <c r="W37">
        <f ca="1">IF(AND(ISNUMBER($W$496),$B$419=1),$W$496,HLOOKUP(INDIRECT(ADDRESS(2,COLUMN())),OFFSET($BN$2,0,0,ROW()-1,60),ROW()-1,FALSE))</f>
        <v>8.1289999999999996</v>
      </c>
      <c r="X37">
        <f ca="1">IF(AND(ISNUMBER($X$496),$B$419=1),$X$496,HLOOKUP(INDIRECT(ADDRESS(2,COLUMN())),OFFSET($BN$2,0,0,ROW()-1,60),ROW()-1,FALSE))</f>
        <v>2.246</v>
      </c>
      <c r="Y37">
        <f ca="1">IF(AND(ISNUMBER($Y$496),$B$419=1),$Y$496,HLOOKUP(INDIRECT(ADDRESS(2,COLUMN())),OFFSET($BN$2,0,0,ROW()-1,60),ROW()-1,FALSE))</f>
        <v>2.613</v>
      </c>
      <c r="Z37">
        <f ca="1">IF(AND(ISNUMBER($Z$496),$B$419=1),$Z$496,HLOOKUP(INDIRECT(ADDRESS(2,COLUMN())),OFFSET($BN$2,0,0,ROW()-1,60),ROW()-1,FALSE))</f>
        <v>3.157</v>
      </c>
      <c r="AA37">
        <f ca="1">IF(AND(ISNUMBER($AA$496),$B$419=1),$AA$496,HLOOKUP(INDIRECT(ADDRESS(2,COLUMN())),OFFSET($BN$2,0,0,ROW()-1,60),ROW()-1,FALSE))</f>
        <v>2.7370000000000001</v>
      </c>
      <c r="AB37">
        <f ca="1">IF(AND(ISNUMBER($AB$496),$B$419=1),$AB$496,HLOOKUP(INDIRECT(ADDRESS(2,COLUMN())),OFFSET($BN$2,0,0,ROW()-1,60),ROW()-1,FALSE))</f>
        <v>2.4950000000000001</v>
      </c>
      <c r="AC37">
        <f ca="1">IF(AND(ISNUMBER($AC$496),$B$419=1),$AC$496,HLOOKUP(INDIRECT(ADDRESS(2,COLUMN())),OFFSET($BN$2,0,0,ROW()-1,60),ROW()-1,FALSE))</f>
        <v>2.601</v>
      </c>
      <c r="AD37">
        <f ca="1">IF(AND(ISNUMBER($AD$496),$B$419=1),$AD$496,HLOOKUP(INDIRECT(ADDRESS(2,COLUMN())),OFFSET($BN$2,0,0,ROW()-1,60),ROW()-1,FALSE))</f>
        <v>3.5590000000000002</v>
      </c>
      <c r="AE37" t="str">
        <f ca="1">IF(AND(ISNUMBER($AE$496),$B$419=1),$AE$496,HLOOKUP(INDIRECT(ADDRESS(2,COLUMN())),OFFSET($BN$2,0,0,ROW()-1,60),ROW()-1,FALSE))</f>
        <v/>
      </c>
      <c r="AF37" t="str">
        <f ca="1">IF(AND(ISNUMBER($AF$496),$B$419=1),$AF$496,HLOOKUP(INDIRECT(ADDRESS(2,COLUMN())),OFFSET($BN$2,0,0,ROW()-1,60),ROW()-1,FALSE))</f>
        <v/>
      </c>
      <c r="AG37" t="str">
        <f ca="1">IF(AND(ISNUMBER($AG$496),$B$419=1),$AG$496,HLOOKUP(INDIRECT(ADDRESS(2,COLUMN())),OFFSET($BN$2,0,0,ROW()-1,60),ROW()-1,FALSE))</f>
        <v/>
      </c>
      <c r="AH37" t="str">
        <f ca="1">IF(AND(ISNUMBER($AH$496),$B$419=1),$AH$496,HLOOKUP(INDIRECT(ADDRESS(2,COLUMN())),OFFSET($BN$2,0,0,ROW()-1,60),ROW()-1,FALSE))</f>
        <v/>
      </c>
      <c r="AI37" t="str">
        <f ca="1">IF(AND(ISNUMBER($AI$496),$B$419=1),$AI$496,HLOOKUP(INDIRECT(ADDRESS(2,COLUMN())),OFFSET($BN$2,0,0,ROW()-1,60),ROW()-1,FALSE))</f>
        <v/>
      </c>
      <c r="AJ37" t="str">
        <f ca="1">IF(AND(ISNUMBER($AJ$496),$B$419=1),$AJ$496,HLOOKUP(INDIRECT(ADDRESS(2,COLUMN())),OFFSET($BN$2,0,0,ROW()-1,60),ROW()-1,FALSE))</f>
        <v/>
      </c>
      <c r="AK37" t="str">
        <f ca="1">IF(AND(ISNUMBER($AK$496),$B$419=1),$AK$496,HLOOKUP(INDIRECT(ADDRESS(2,COLUMN())),OFFSET($BN$2,0,0,ROW()-1,60),ROW()-1,FALSE))</f>
        <v/>
      </c>
      <c r="AL37" t="str">
        <f ca="1">IF(AND(ISNUMBER($AL$496),$B$419=1),$AL$496,HLOOKUP(INDIRECT(ADDRESS(2,COLUMN())),OFFSET($BN$2,0,0,ROW()-1,60),ROW()-1,FALSE))</f>
        <v/>
      </c>
      <c r="AM37" t="str">
        <f ca="1">IF(AND(ISNUMBER($AM$496),$B$419=1),$AM$496,HLOOKUP(INDIRECT(ADDRESS(2,COLUMN())),OFFSET($BN$2,0,0,ROW()-1,60),ROW()-1,FALSE))</f>
        <v/>
      </c>
      <c r="AN37" t="str">
        <f ca="1">IF(AND(ISNUMBER($AN$496),$B$419=1),$AN$496,HLOOKUP(INDIRECT(ADDRESS(2,COLUMN())),OFFSET($BN$2,0,0,ROW()-1,60),ROW()-1,FALSE))</f>
        <v/>
      </c>
      <c r="AO37" t="str">
        <f ca="1">IF(AND(ISNUMBER($AO$496),$B$419=1),$AO$496,HLOOKUP(INDIRECT(ADDRESS(2,COLUMN())),OFFSET($BN$2,0,0,ROW()-1,60),ROW()-1,FALSE))</f>
        <v/>
      </c>
      <c r="AP37" t="str">
        <f ca="1">IF(AND(ISNUMBER($AP$496),$B$419=1),$AP$496,HLOOKUP(INDIRECT(ADDRESS(2,COLUMN())),OFFSET($BN$2,0,0,ROW()-1,60),ROW()-1,FALSE))</f>
        <v/>
      </c>
      <c r="AQ37" t="str">
        <f ca="1">IF(AND(ISNUMBER($AQ$496),$B$419=1),$AQ$496,HLOOKUP(INDIRECT(ADDRESS(2,COLUMN())),OFFSET($BN$2,0,0,ROW()-1,60),ROW()-1,FALSE))</f>
        <v/>
      </c>
      <c r="AR37" t="str">
        <f ca="1">IF(AND(ISNUMBER($AR$496),$B$419=1),$AR$496,HLOOKUP(INDIRECT(ADDRESS(2,COLUMN())),OFFSET($BN$2,0,0,ROW()-1,60),ROW()-1,FALSE))</f>
        <v/>
      </c>
      <c r="AS37" t="str">
        <f ca="1">IF(AND(ISNUMBER($AS$496),$B$419=1),$AS$496,HLOOKUP(INDIRECT(ADDRESS(2,COLUMN())),OFFSET($BN$2,0,0,ROW()-1,60),ROW()-1,FALSE))</f>
        <v/>
      </c>
      <c r="AT37" t="str">
        <f ca="1">IF(AND(ISNUMBER($AT$496),$B$419=1),$AT$496,HLOOKUP(INDIRECT(ADDRESS(2,COLUMN())),OFFSET($BN$2,0,0,ROW()-1,60),ROW()-1,FALSE))</f>
        <v/>
      </c>
      <c r="AU37" t="str">
        <f ca="1">IF(AND(ISNUMBER($AU$496),$B$419=1),$AU$496,HLOOKUP(INDIRECT(ADDRESS(2,COLUMN())),OFFSET($BN$2,0,0,ROW()-1,60),ROW()-1,FALSE))</f>
        <v/>
      </c>
      <c r="AV37" t="str">
        <f ca="1">IF(AND(ISNUMBER($AV$496),$B$419=1),$AV$496,HLOOKUP(INDIRECT(ADDRESS(2,COLUMN())),OFFSET($BN$2,0,0,ROW()-1,60),ROW()-1,FALSE))</f>
        <v/>
      </c>
      <c r="AW37" t="str">
        <f ca="1">IF(AND(ISNUMBER($AW$496),$B$419=1),$AW$496,HLOOKUP(INDIRECT(ADDRESS(2,COLUMN())),OFFSET($BN$2,0,0,ROW()-1,60),ROW()-1,FALSE))</f>
        <v/>
      </c>
      <c r="AX37" t="str">
        <f ca="1">IF(AND(ISNUMBER($AX$496),$B$419=1),$AX$496,HLOOKUP(INDIRECT(ADDRESS(2,COLUMN())),OFFSET($BN$2,0,0,ROW()-1,60),ROW()-1,FALSE))</f>
        <v/>
      </c>
      <c r="AY37" t="str">
        <f ca="1">IF(AND(ISNUMBER($AY$496),$B$419=1),$AY$496,HLOOKUP(INDIRECT(ADDRESS(2,COLUMN())),OFFSET($BN$2,0,0,ROW()-1,60),ROW()-1,FALSE))</f>
        <v/>
      </c>
      <c r="AZ37" t="str">
        <f ca="1">IF(AND(ISNUMBER($AZ$496),$B$419=1),$AZ$496,HLOOKUP(INDIRECT(ADDRESS(2,COLUMN())),OFFSET($BN$2,0,0,ROW()-1,60),ROW()-1,FALSE))</f>
        <v/>
      </c>
      <c r="BA37" t="str">
        <f ca="1">IF(AND(ISNUMBER($BA$496),$B$419=1),$BA$496,HLOOKUP(INDIRECT(ADDRESS(2,COLUMN())),OFFSET($BN$2,0,0,ROW()-1,60),ROW()-1,FALSE))</f>
        <v/>
      </c>
      <c r="BB37" t="str">
        <f ca="1">IF(AND(ISNUMBER($BB$496),$B$419=1),$BB$496,HLOOKUP(INDIRECT(ADDRESS(2,COLUMN())),OFFSET($BN$2,0,0,ROW()-1,60),ROW()-1,FALSE))</f>
        <v/>
      </c>
      <c r="BC37" t="str">
        <f ca="1">IF(AND(ISNUMBER($BC$496),$B$419=1),$BC$496,HLOOKUP(INDIRECT(ADDRESS(2,COLUMN())),OFFSET($BN$2,0,0,ROW()-1,60),ROW()-1,FALSE))</f>
        <v/>
      </c>
      <c r="BD37" t="str">
        <f ca="1">IF(AND(ISNUMBER($BD$496),$B$419=1),$BD$496,HLOOKUP(INDIRECT(ADDRESS(2,COLUMN())),OFFSET($BN$2,0,0,ROW()-1,60),ROW()-1,FALSE))</f>
        <v/>
      </c>
      <c r="BE37" t="str">
        <f ca="1">IF(AND(ISNUMBER($BE$496),$B$419=1),$BE$496,HLOOKUP(INDIRECT(ADDRESS(2,COLUMN())),OFFSET($BN$2,0,0,ROW()-1,60),ROW()-1,FALSE))</f>
        <v/>
      </c>
      <c r="BF37" t="str">
        <f ca="1">IF(AND(ISNUMBER($BF$496),$B$419=1),$BF$496,HLOOKUP(INDIRECT(ADDRESS(2,COLUMN())),OFFSET($BN$2,0,0,ROW()-1,60),ROW()-1,FALSE))</f>
        <v/>
      </c>
      <c r="BG37" t="str">
        <f ca="1">IF(AND(ISNUMBER($BG$496),$B$419=1),$BG$496,HLOOKUP(INDIRECT(ADDRESS(2,COLUMN())),OFFSET($BN$2,0,0,ROW()-1,60),ROW()-1,FALSE))</f>
        <v/>
      </c>
      <c r="BH37" t="str">
        <f ca="1">IF(AND(ISNUMBER($BH$496),$B$419=1),$BH$496,HLOOKUP(INDIRECT(ADDRESS(2,COLUMN())),OFFSET($BN$2,0,0,ROW()-1,60),ROW()-1,FALSE))</f>
        <v/>
      </c>
      <c r="BI37" t="str">
        <f ca="1">IF(AND(ISNUMBER($BI$496),$B$419=1),$BI$496,HLOOKUP(INDIRECT(ADDRESS(2,COLUMN())),OFFSET($BN$2,0,0,ROW()-1,60),ROW()-1,FALSE))</f>
        <v/>
      </c>
      <c r="BJ37" t="str">
        <f ca="1">IF(AND(ISNUMBER($BJ$496),$B$419=1),$BJ$496,HLOOKUP(INDIRECT(ADDRESS(2,COLUMN())),OFFSET($BN$2,0,0,ROW()-1,60),ROW()-1,FALSE))</f>
        <v/>
      </c>
      <c r="BK37" t="str">
        <f ca="1">IF(AND(ISNUMBER($BK$496),$B$419=1),$BK$496,HLOOKUP(INDIRECT(ADDRESS(2,COLUMN())),OFFSET($BN$2,0,0,ROW()-1,60),ROW()-1,FALSE))</f>
        <v/>
      </c>
      <c r="BL37" t="str">
        <f ca="1">IF(AND(ISNUMBER($BL$496),$B$419=1),$BL$496,HLOOKUP(INDIRECT(ADDRESS(2,COLUMN())),OFFSET($BN$2,0,0,ROW()-1,60),ROW()-1,FALSE))</f>
        <v/>
      </c>
      <c r="BM37" t="str">
        <f ca="1">IF(AND(ISNUMBER($BM$496),$B$419=1),$BM$496,HLOOKUP(INDIRECT(ADDRESS(2,COLUMN())),OFFSET($BN$2,0,0,ROW()-1,60),ROW()-1,FALSE))</f>
        <v/>
      </c>
      <c r="BN37" t="str">
        <f>""</f>
        <v/>
      </c>
      <c r="BO37">
        <f>1.029</f>
        <v>1.0289999999999999</v>
      </c>
      <c r="BP37">
        <f>1.429</f>
        <v>1.429</v>
      </c>
      <c r="BQ37">
        <f>2.002</f>
        <v>2.0019999999999998</v>
      </c>
      <c r="BR37">
        <f>2.995</f>
        <v>2.9950000000000001</v>
      </c>
      <c r="BS37">
        <f>0.892</f>
        <v>0.89200000000000002</v>
      </c>
      <c r="BT37">
        <f>1.249</f>
        <v>1.2490000000000001</v>
      </c>
      <c r="BU37">
        <f>2.719</f>
        <v>2.7189999999999999</v>
      </c>
      <c r="BV37">
        <f>2.246</f>
        <v>2.246</v>
      </c>
      <c r="BW37">
        <f>-1.03</f>
        <v>-1.03</v>
      </c>
      <c r="BX37">
        <f>1.892</f>
        <v>1.8919999999999999</v>
      </c>
      <c r="BY37">
        <f>2.569</f>
        <v>2.569</v>
      </c>
      <c r="BZ37">
        <f>1.969</f>
        <v>1.9690000000000001</v>
      </c>
      <c r="CA37">
        <f>1.559</f>
        <v>1.5589999999999999</v>
      </c>
      <c r="CB37">
        <f>2.17</f>
        <v>2.17</v>
      </c>
      <c r="CC37">
        <f>2.307</f>
        <v>2.3069999999999999</v>
      </c>
      <c r="CD37">
        <f>1.813</f>
        <v>1.8129999999999999</v>
      </c>
      <c r="CE37">
        <f>8.129</f>
        <v>8.1289999999999996</v>
      </c>
      <c r="CF37">
        <f>2.246</f>
        <v>2.246</v>
      </c>
      <c r="CG37">
        <f>2.613</f>
        <v>2.613</v>
      </c>
      <c r="CH37">
        <f>3.157</f>
        <v>3.157</v>
      </c>
      <c r="CI37">
        <f>2.737</f>
        <v>2.7370000000000001</v>
      </c>
      <c r="CJ37">
        <f>2.495</f>
        <v>2.4950000000000001</v>
      </c>
      <c r="CK37">
        <f>2.601</f>
        <v>2.601</v>
      </c>
      <c r="CL37">
        <f>3.559</f>
        <v>3.5590000000000002</v>
      </c>
      <c r="CM37" t="str">
        <f>""</f>
        <v/>
      </c>
      <c r="CN37" t="str">
        <f>""</f>
        <v/>
      </c>
      <c r="CO37" t="str">
        <f>""</f>
        <v/>
      </c>
      <c r="CP37" t="str">
        <f>""</f>
        <v/>
      </c>
      <c r="CQ37" t="str">
        <f>""</f>
        <v/>
      </c>
      <c r="CR37" t="str">
        <f>""</f>
        <v/>
      </c>
      <c r="CS37" t="str">
        <f>""</f>
        <v/>
      </c>
      <c r="CT37" t="str">
        <f>""</f>
        <v/>
      </c>
      <c r="CU37" t="str">
        <f>""</f>
        <v/>
      </c>
      <c r="CV37" t="str">
        <f>""</f>
        <v/>
      </c>
      <c r="CW37" t="str">
        <f>""</f>
        <v/>
      </c>
      <c r="CX37" t="str">
        <f>""</f>
        <v/>
      </c>
      <c r="CY37" t="str">
        <f>""</f>
        <v/>
      </c>
      <c r="CZ37" t="str">
        <f>""</f>
        <v/>
      </c>
      <c r="DA37" t="str">
        <f>""</f>
        <v/>
      </c>
      <c r="DB37" t="str">
        <f>""</f>
        <v/>
      </c>
      <c r="DC37" t="str">
        <f>""</f>
        <v/>
      </c>
      <c r="DD37" t="str">
        <f>""</f>
        <v/>
      </c>
      <c r="DE37" t="str">
        <f>""</f>
        <v/>
      </c>
      <c r="DF37" t="str">
        <f>""</f>
        <v/>
      </c>
      <c r="DG37" t="str">
        <f>""</f>
        <v/>
      </c>
      <c r="DH37" t="str">
        <f>""</f>
        <v/>
      </c>
      <c r="DI37" t="str">
        <f>""</f>
        <v/>
      </c>
      <c r="DJ37" t="str">
        <f>""</f>
        <v/>
      </c>
      <c r="DK37" t="str">
        <f>""</f>
        <v/>
      </c>
      <c r="DL37" t="str">
        <f>""</f>
        <v/>
      </c>
      <c r="DM37" t="str">
        <f>""</f>
        <v/>
      </c>
      <c r="DN37" t="str">
        <f>""</f>
        <v/>
      </c>
      <c r="DO37" t="str">
        <f>""</f>
        <v/>
      </c>
      <c r="DP37" t="str">
        <f>""</f>
        <v/>
      </c>
      <c r="DQ37" t="str">
        <f>""</f>
        <v/>
      </c>
      <c r="DR37" t="str">
        <f>""</f>
        <v/>
      </c>
      <c r="DS37" t="str">
        <f>""</f>
        <v/>
      </c>
      <c r="DT37" t="str">
        <f>""</f>
        <v/>
      </c>
      <c r="DU37" t="str">
        <f>""</f>
        <v/>
      </c>
    </row>
    <row r="38" spans="1:125">
      <c r="A38" t="str">
        <f>"    CBL &amp; Associates Properties In"</f>
        <v xml:space="preserve">    CBL &amp; Associates Properties In</v>
      </c>
      <c r="B38" t="str">
        <f>"CBL US Equity"</f>
        <v>CBL US Equity</v>
      </c>
      <c r="C38" t="str">
        <f t="shared" si="6"/>
        <v>IM281</v>
      </c>
      <c r="D38" t="str">
        <f t="shared" si="7"/>
        <v>IS_NON_REAL_ESTATE_INCOME</v>
      </c>
      <c r="E38" t="str">
        <f t="shared" si="8"/>
        <v>动态</v>
      </c>
      <c r="F38" t="str">
        <f ca="1">IF(AND(ISNUMBER($F$497),$B$419=1),$F$497,HLOOKUP(INDIRECT(ADDRESS(2,COLUMN())),OFFSET($BN$2,0,0,ROW()-1,60),ROW()-1,FALSE))</f>
        <v/>
      </c>
      <c r="G38">
        <f ca="1">IF(AND(ISNUMBER($G$497),$B$419=1),$G$497,HLOOKUP(INDIRECT(ADDRESS(2,COLUMN())),OFFSET($BN$2,0,0,ROW()-1,60),ROW()-1,FALSE))</f>
        <v>1.5960000000000001</v>
      </c>
      <c r="H38">
        <f ca="1">IF(AND(ISNUMBER($H$497),$B$419=1),$H$497,HLOOKUP(INDIRECT(ADDRESS(2,COLUMN())),OFFSET($BN$2,0,0,ROW()-1,60),ROW()-1,FALSE))</f>
        <v>1.2509999999999999</v>
      </c>
      <c r="I38">
        <f ca="1">IF(AND(ISNUMBER($I$497),$B$419=1),$I$497,HLOOKUP(INDIRECT(ADDRESS(2,COLUMN())),OFFSET($BN$2,0,0,ROW()-1,60),ROW()-1,FALSE))</f>
        <v>1.349</v>
      </c>
      <c r="J38">
        <f ca="1">IF(AND(ISNUMBER($J$497),$B$419=1),$J$497,HLOOKUP(INDIRECT(ADDRESS(2,COLUMN())),OFFSET($BN$2,0,0,ROW()-1,60),ROW()-1,FALSE))</f>
        <v>1.4790000000000001</v>
      </c>
      <c r="K38">
        <f ca="1">IF(AND(ISNUMBER($K$497),$B$419=1),$K$497,HLOOKUP(INDIRECT(ADDRESS(2,COLUMN())),OFFSET($BN$2,0,0,ROW()-1,60),ROW()-1,FALSE))</f>
        <v>2.0539999999999998</v>
      </c>
      <c r="L38">
        <f ca="1">IF(AND(ISNUMBER($L$497),$B$419=1),$L$497,HLOOKUP(INDIRECT(ADDRESS(2,COLUMN())),OFFSET($BN$2,0,0,ROW()-1,60),ROW()-1,FALSE))</f>
        <v>6.52</v>
      </c>
      <c r="M38">
        <f ca="1">IF(AND(ISNUMBER($M$497),$B$419=1),$M$497,HLOOKUP(INDIRECT(ADDRESS(2,COLUMN())),OFFSET($BN$2,0,0,ROW()-1,60),ROW()-1,FALSE))</f>
        <v>6.0750000000000002</v>
      </c>
      <c r="N38">
        <f ca="1">IF(AND(ISNUMBER($N$497),$B$419=1),$N$497,HLOOKUP(INDIRECT(ADDRESS(2,COLUMN())),OFFSET($BN$2,0,0,ROW()-1,60),ROW()-1,FALSE))</f>
        <v>6.7670000000000003</v>
      </c>
      <c r="O38">
        <f ca="1">IF(AND(ISNUMBER($O$497),$B$419=1),$O$497,HLOOKUP(INDIRECT(ADDRESS(2,COLUMN())),OFFSET($BN$2,0,0,ROW()-1,60),ROW()-1,FALSE))</f>
        <v>7.202</v>
      </c>
      <c r="P38">
        <f ca="1">IF(AND(ISNUMBER($P$497),$B$419=1),$P$497,HLOOKUP(INDIRECT(ADDRESS(2,COLUMN())),OFFSET($BN$2,0,0,ROW()-1,60),ROW()-1,FALSE))</f>
        <v>8.9740000000000002</v>
      </c>
      <c r="Q38">
        <f ca="1">IF(AND(ISNUMBER($Q$497),$B$419=1),$Q$497,HLOOKUP(INDIRECT(ADDRESS(2,COLUMN())),OFFSET($BN$2,0,0,ROW()-1,60),ROW()-1,FALSE))</f>
        <v>7.6950000000000003</v>
      </c>
      <c r="R38">
        <f ca="1">IF(AND(ISNUMBER($R$497),$B$419=1),$R$497,HLOOKUP(INDIRECT(ADDRESS(2,COLUMN())),OFFSET($BN$2,0,0,ROW()-1,60),ROW()-1,FALSE))</f>
        <v>7.609</v>
      </c>
      <c r="S38">
        <f ca="1">IF(AND(ISNUMBER($S$497),$B$419=1),$S$497,HLOOKUP(INDIRECT(ADDRESS(2,COLUMN())),OFFSET($BN$2,0,0,ROW()-1,60),ROW()-1,FALSE))</f>
        <v>10.228999999999999</v>
      </c>
      <c r="T38">
        <f ca="1">IF(AND(ISNUMBER($T$497),$B$419=1),$T$497,HLOOKUP(INDIRECT(ADDRESS(2,COLUMN())),OFFSET($BN$2,0,0,ROW()-1,60),ROW()-1,FALSE))</f>
        <v>8.1859999999999999</v>
      </c>
      <c r="U38">
        <f ca="1">IF(AND(ISNUMBER($U$497),$B$419=1),$U$497,HLOOKUP(INDIRECT(ADDRESS(2,COLUMN())),OFFSET($BN$2,0,0,ROW()-1,60),ROW()-1,FALSE))</f>
        <v>9.2780000000000005</v>
      </c>
      <c r="V38">
        <f ca="1">IF(AND(ISNUMBER($V$497),$B$419=1),$V$497,HLOOKUP(INDIRECT(ADDRESS(2,COLUMN())),OFFSET($BN$2,0,0,ROW()-1,60),ROW()-1,FALSE))</f>
        <v>7.7249999999999996</v>
      </c>
      <c r="W38">
        <f ca="1">IF(AND(ISNUMBER($W$497),$B$419=1),$W$497,HLOOKUP(INDIRECT(ADDRESS(2,COLUMN())),OFFSET($BN$2,0,0,ROW()-1,60),ROW()-1,FALSE))</f>
        <v>7.6070000000000002</v>
      </c>
      <c r="X38">
        <f ca="1">IF(AND(ISNUMBER($X$497),$B$419=1),$X$497,HLOOKUP(INDIRECT(ADDRESS(2,COLUMN())),OFFSET($BN$2,0,0,ROW()-1,60),ROW()-1,FALSE))</f>
        <v>9.5180000000000007</v>
      </c>
      <c r="Y38">
        <f ca="1">IF(AND(ISNUMBER($Y$497),$B$419=1),$Y$497,HLOOKUP(INDIRECT(ADDRESS(2,COLUMN())),OFFSET($BN$2,0,0,ROW()-1,60),ROW()-1,FALSE))</f>
        <v>9.7010000000000005</v>
      </c>
      <c r="Z38">
        <f ca="1">IF(AND(ISNUMBER($Z$497),$B$419=1),$Z$497,HLOOKUP(INDIRECT(ADDRESS(2,COLUMN())),OFFSET($BN$2,0,0,ROW()-1,60),ROW()-1,FALSE))</f>
        <v>7.8470000000000004</v>
      </c>
      <c r="AA38">
        <f ca="1">IF(AND(ISNUMBER($AA$497),$B$419=1),$AA$497,HLOOKUP(INDIRECT(ADDRESS(2,COLUMN())),OFFSET($BN$2,0,0,ROW()-1,60),ROW()-1,FALSE))</f>
        <v>7.556</v>
      </c>
      <c r="AB38">
        <f ca="1">IF(AND(ISNUMBER($AB$497),$B$419=1),$AB$497,HLOOKUP(INDIRECT(ADDRESS(2,COLUMN())),OFFSET($BN$2,0,0,ROW()-1,60),ROW()-1,FALSE))</f>
        <v>7.8949999999999996</v>
      </c>
      <c r="AC38">
        <f ca="1">IF(AND(ISNUMBER($AC$497),$B$419=1),$AC$497,HLOOKUP(INDIRECT(ADDRESS(2,COLUMN())),OFFSET($BN$2,0,0,ROW()-1,60),ROW()-1,FALSE))</f>
        <v>7.85</v>
      </c>
      <c r="AD38">
        <f ca="1">IF(AND(ISNUMBER($AD$497),$B$419=1),$AD$497,HLOOKUP(INDIRECT(ADDRESS(2,COLUMN())),OFFSET($BN$2,0,0,ROW()-1,60),ROW()-1,FALSE))</f>
        <v>8.06</v>
      </c>
      <c r="AE38">
        <f ca="1">IF(AND(ISNUMBER($AE$497),$B$419=1),$AE$497,HLOOKUP(INDIRECT(ADDRESS(2,COLUMN())),OFFSET($BN$2,0,0,ROW()-1,60),ROW()-1,FALSE))</f>
        <v>8.49</v>
      </c>
      <c r="AF38">
        <f ca="1">IF(AND(ISNUMBER($AF$497),$B$419=1),$AF$497,HLOOKUP(INDIRECT(ADDRESS(2,COLUMN())),OFFSET($BN$2,0,0,ROW()-1,60),ROW()-1,FALSE))</f>
        <v>8.4090000000000007</v>
      </c>
      <c r="AG38">
        <f ca="1">IF(AND(ISNUMBER($AG$497),$B$419=1),$AG$497,HLOOKUP(INDIRECT(ADDRESS(2,COLUMN())),OFFSET($BN$2,0,0,ROW()-1,60),ROW()-1,FALSE))</f>
        <v>8.5969999999999995</v>
      </c>
      <c r="AH38">
        <f ca="1">IF(AND(ISNUMBER($AH$497),$B$419=1),$AH$497,HLOOKUP(INDIRECT(ADDRESS(2,COLUMN())),OFFSET($BN$2,0,0,ROW()-1,60),ROW()-1,FALSE))</f>
        <v>9.36</v>
      </c>
      <c r="AI38">
        <f ca="1">IF(AND(ISNUMBER($AI$497),$B$419=1),$AI$497,HLOOKUP(INDIRECT(ADDRESS(2,COLUMN())),OFFSET($BN$2,0,0,ROW()-1,60),ROW()-1,FALSE))</f>
        <v>7.4359999999999999</v>
      </c>
      <c r="AJ38">
        <f ca="1">IF(AND(ISNUMBER($AJ$497),$B$419=1),$AJ$497,HLOOKUP(INDIRECT(ADDRESS(2,COLUMN())),OFFSET($BN$2,0,0,ROW()-1,60),ROW()-1,FALSE))</f>
        <v>7.351</v>
      </c>
      <c r="AK38">
        <f ca="1">IF(AND(ISNUMBER($AK$497),$B$419=1),$AK$497,HLOOKUP(INDIRECT(ADDRESS(2,COLUMN())),OFFSET($BN$2,0,0,ROW()-1,60),ROW()-1,FALSE))</f>
        <v>7.234</v>
      </c>
      <c r="AL38">
        <f ca="1">IF(AND(ISNUMBER($AL$497),$B$419=1),$AL$497,HLOOKUP(INDIRECT(ADDRESS(2,COLUMN())),OFFSET($BN$2,0,0,ROW()-1,60),ROW()-1,FALSE))</f>
        <v>7.2370000000000001</v>
      </c>
      <c r="AM38">
        <f ca="1">IF(AND(ISNUMBER($AM$497),$B$419=1),$AM$497,HLOOKUP(INDIRECT(ADDRESS(2,COLUMN())),OFFSET($BN$2,0,0,ROW()-1,60),ROW()-1,FALSE))</f>
        <v>7.3710000000000004</v>
      </c>
      <c r="AN38">
        <f ca="1">IF(AND(ISNUMBER($AN$497),$B$419=1),$AN$497,HLOOKUP(INDIRECT(ADDRESS(2,COLUMN())),OFFSET($BN$2,0,0,ROW()-1,60),ROW()-1,FALSE))</f>
        <v>7.8810000000000002</v>
      </c>
      <c r="AO38">
        <f ca="1">IF(AND(ISNUMBER($AO$497),$B$419=1),$AO$497,HLOOKUP(INDIRECT(ADDRESS(2,COLUMN())),OFFSET($BN$2,0,0,ROW()-1,60),ROW()-1,FALSE))</f>
        <v>6.9770000000000003</v>
      </c>
      <c r="AP38">
        <f ca="1">IF(AND(ISNUMBER($AP$497),$B$419=1),$AP$497,HLOOKUP(INDIRECT(ADDRESS(2,COLUMN())),OFFSET($BN$2,0,0,ROW()-1,60),ROW()-1,FALSE))</f>
        <v>6.09</v>
      </c>
      <c r="AQ38" t="str">
        <f ca="1">IF(AND(ISNUMBER($AQ$497),$B$419=1),$AQ$497,HLOOKUP(INDIRECT(ADDRESS(2,COLUMN())),OFFSET($BN$2,0,0,ROW()-1,60),ROW()-1,FALSE))</f>
        <v/>
      </c>
      <c r="AR38" t="str">
        <f ca="1">IF(AND(ISNUMBER($AR$497),$B$419=1),$AR$497,HLOOKUP(INDIRECT(ADDRESS(2,COLUMN())),OFFSET($BN$2,0,0,ROW()-1,60),ROW()-1,FALSE))</f>
        <v/>
      </c>
      <c r="AS38" t="str">
        <f ca="1">IF(AND(ISNUMBER($AS$497),$B$419=1),$AS$497,HLOOKUP(INDIRECT(ADDRESS(2,COLUMN())),OFFSET($BN$2,0,0,ROW()-1,60),ROW()-1,FALSE))</f>
        <v/>
      </c>
      <c r="AT38" t="str">
        <f ca="1">IF(AND(ISNUMBER($AT$497),$B$419=1),$AT$497,HLOOKUP(INDIRECT(ADDRESS(2,COLUMN())),OFFSET($BN$2,0,0,ROW()-1,60),ROW()-1,FALSE))</f>
        <v/>
      </c>
      <c r="AU38" t="str">
        <f ca="1">IF(AND(ISNUMBER($AU$497),$B$419=1),$AU$497,HLOOKUP(INDIRECT(ADDRESS(2,COLUMN())),OFFSET($BN$2,0,0,ROW()-1,60),ROW()-1,FALSE))</f>
        <v/>
      </c>
      <c r="AV38" t="str">
        <f ca="1">IF(AND(ISNUMBER($AV$497),$B$419=1),$AV$497,HLOOKUP(INDIRECT(ADDRESS(2,COLUMN())),OFFSET($BN$2,0,0,ROW()-1,60),ROW()-1,FALSE))</f>
        <v/>
      </c>
      <c r="AW38" t="str">
        <f ca="1">IF(AND(ISNUMBER($AW$497),$B$419=1),$AW$497,HLOOKUP(INDIRECT(ADDRESS(2,COLUMN())),OFFSET($BN$2,0,0,ROW()-1,60),ROW()-1,FALSE))</f>
        <v/>
      </c>
      <c r="AX38" t="str">
        <f ca="1">IF(AND(ISNUMBER($AX$497),$B$419=1),$AX$497,HLOOKUP(INDIRECT(ADDRESS(2,COLUMN())),OFFSET($BN$2,0,0,ROW()-1,60),ROW()-1,FALSE))</f>
        <v/>
      </c>
      <c r="AY38" t="str">
        <f ca="1">IF(AND(ISNUMBER($AY$497),$B$419=1),$AY$497,HLOOKUP(INDIRECT(ADDRESS(2,COLUMN())),OFFSET($BN$2,0,0,ROW()-1,60),ROW()-1,FALSE))</f>
        <v/>
      </c>
      <c r="AZ38" t="str">
        <f ca="1">IF(AND(ISNUMBER($AZ$497),$B$419=1),$AZ$497,HLOOKUP(INDIRECT(ADDRESS(2,COLUMN())),OFFSET($BN$2,0,0,ROW()-1,60),ROW()-1,FALSE))</f>
        <v/>
      </c>
      <c r="BA38" t="str">
        <f ca="1">IF(AND(ISNUMBER($BA$497),$B$419=1),$BA$497,HLOOKUP(INDIRECT(ADDRESS(2,COLUMN())),OFFSET($BN$2,0,0,ROW()-1,60),ROW()-1,FALSE))</f>
        <v/>
      </c>
      <c r="BB38" t="str">
        <f ca="1">IF(AND(ISNUMBER($BB$497),$B$419=1),$BB$497,HLOOKUP(INDIRECT(ADDRESS(2,COLUMN())),OFFSET($BN$2,0,0,ROW()-1,60),ROW()-1,FALSE))</f>
        <v/>
      </c>
      <c r="BC38" t="str">
        <f ca="1">IF(AND(ISNUMBER($BC$497),$B$419=1),$BC$497,HLOOKUP(INDIRECT(ADDRESS(2,COLUMN())),OFFSET($BN$2,0,0,ROW()-1,60),ROW()-1,FALSE))</f>
        <v/>
      </c>
      <c r="BD38" t="str">
        <f ca="1">IF(AND(ISNUMBER($BD$497),$B$419=1),$BD$497,HLOOKUP(INDIRECT(ADDRESS(2,COLUMN())),OFFSET($BN$2,0,0,ROW()-1,60),ROW()-1,FALSE))</f>
        <v/>
      </c>
      <c r="BE38" t="str">
        <f ca="1">IF(AND(ISNUMBER($BE$497),$B$419=1),$BE$497,HLOOKUP(INDIRECT(ADDRESS(2,COLUMN())),OFFSET($BN$2,0,0,ROW()-1,60),ROW()-1,FALSE))</f>
        <v/>
      </c>
      <c r="BF38" t="str">
        <f ca="1">IF(AND(ISNUMBER($BF$497),$B$419=1),$BF$497,HLOOKUP(INDIRECT(ADDRESS(2,COLUMN())),OFFSET($BN$2,0,0,ROW()-1,60),ROW()-1,FALSE))</f>
        <v/>
      </c>
      <c r="BG38" t="str">
        <f ca="1">IF(AND(ISNUMBER($BG$497),$B$419=1),$BG$497,HLOOKUP(INDIRECT(ADDRESS(2,COLUMN())),OFFSET($BN$2,0,0,ROW()-1,60),ROW()-1,FALSE))</f>
        <v/>
      </c>
      <c r="BH38" t="str">
        <f ca="1">IF(AND(ISNUMBER($BH$497),$B$419=1),$BH$497,HLOOKUP(INDIRECT(ADDRESS(2,COLUMN())),OFFSET($BN$2,0,0,ROW()-1,60),ROW()-1,FALSE))</f>
        <v/>
      </c>
      <c r="BI38" t="str">
        <f ca="1">IF(AND(ISNUMBER($BI$497),$B$419=1),$BI$497,HLOOKUP(INDIRECT(ADDRESS(2,COLUMN())),OFFSET($BN$2,0,0,ROW()-1,60),ROW()-1,FALSE))</f>
        <v/>
      </c>
      <c r="BJ38" t="str">
        <f ca="1">IF(AND(ISNUMBER($BJ$497),$B$419=1),$BJ$497,HLOOKUP(INDIRECT(ADDRESS(2,COLUMN())),OFFSET($BN$2,0,0,ROW()-1,60),ROW()-1,FALSE))</f>
        <v/>
      </c>
      <c r="BK38" t="str">
        <f ca="1">IF(AND(ISNUMBER($BK$497),$B$419=1),$BK$497,HLOOKUP(INDIRECT(ADDRESS(2,COLUMN())),OFFSET($BN$2,0,0,ROW()-1,60),ROW()-1,FALSE))</f>
        <v/>
      </c>
      <c r="BL38" t="str">
        <f ca="1">IF(AND(ISNUMBER($BL$497),$B$419=1),$BL$497,HLOOKUP(INDIRECT(ADDRESS(2,COLUMN())),OFFSET($BN$2,0,0,ROW()-1,60),ROW()-1,FALSE))</f>
        <v/>
      </c>
      <c r="BM38" t="str">
        <f ca="1">IF(AND(ISNUMBER($BM$497),$B$419=1),$BM$497,HLOOKUP(INDIRECT(ADDRESS(2,COLUMN())),OFFSET($BN$2,0,0,ROW()-1,60),ROW()-1,FALSE))</f>
        <v/>
      </c>
      <c r="BN38" t="str">
        <f>""</f>
        <v/>
      </c>
      <c r="BO38">
        <f>1.596</f>
        <v>1.5960000000000001</v>
      </c>
      <c r="BP38">
        <f>1.251</f>
        <v>1.2509999999999999</v>
      </c>
      <c r="BQ38">
        <f>1.349</f>
        <v>1.349</v>
      </c>
      <c r="BR38">
        <f>1.479</f>
        <v>1.4790000000000001</v>
      </c>
      <c r="BS38">
        <f>2.054</f>
        <v>2.0539999999999998</v>
      </c>
      <c r="BT38">
        <f>6.52</f>
        <v>6.52</v>
      </c>
      <c r="BU38">
        <f>6.075</f>
        <v>6.0750000000000002</v>
      </c>
      <c r="BV38">
        <f>6.767</f>
        <v>6.7670000000000003</v>
      </c>
      <c r="BW38">
        <f>7.202</f>
        <v>7.202</v>
      </c>
      <c r="BX38">
        <f>8.974</f>
        <v>8.9740000000000002</v>
      </c>
      <c r="BY38">
        <f>7.695</f>
        <v>7.6950000000000003</v>
      </c>
      <c r="BZ38">
        <f>7.609</f>
        <v>7.609</v>
      </c>
      <c r="CA38">
        <f>10.229</f>
        <v>10.228999999999999</v>
      </c>
      <c r="CB38">
        <f>8.186</f>
        <v>8.1859999999999999</v>
      </c>
      <c r="CC38">
        <f>9.278</f>
        <v>9.2780000000000005</v>
      </c>
      <c r="CD38">
        <f>7.725</f>
        <v>7.7249999999999996</v>
      </c>
      <c r="CE38">
        <f>7.607</f>
        <v>7.6070000000000002</v>
      </c>
      <c r="CF38">
        <f>9.518</f>
        <v>9.5180000000000007</v>
      </c>
      <c r="CG38">
        <f>9.701</f>
        <v>9.7010000000000005</v>
      </c>
      <c r="CH38">
        <f>7.847</f>
        <v>7.8470000000000004</v>
      </c>
      <c r="CI38">
        <f>7.556</f>
        <v>7.556</v>
      </c>
      <c r="CJ38">
        <f>7.895</f>
        <v>7.8949999999999996</v>
      </c>
      <c r="CK38">
        <f>7.85</f>
        <v>7.85</v>
      </c>
      <c r="CL38">
        <f>8.06</f>
        <v>8.06</v>
      </c>
      <c r="CM38">
        <f>8.49</f>
        <v>8.49</v>
      </c>
      <c r="CN38">
        <f>8.409</f>
        <v>8.4090000000000007</v>
      </c>
      <c r="CO38">
        <f>8.597</f>
        <v>8.5969999999999995</v>
      </c>
      <c r="CP38">
        <f>9.36</f>
        <v>9.36</v>
      </c>
      <c r="CQ38">
        <f>7.436</f>
        <v>7.4359999999999999</v>
      </c>
      <c r="CR38">
        <f>7.351</f>
        <v>7.351</v>
      </c>
      <c r="CS38">
        <f>7.234</f>
        <v>7.234</v>
      </c>
      <c r="CT38">
        <f>7.237</f>
        <v>7.2370000000000001</v>
      </c>
      <c r="CU38">
        <f>7.371</f>
        <v>7.3710000000000004</v>
      </c>
      <c r="CV38">
        <f>7.881</f>
        <v>7.8810000000000002</v>
      </c>
      <c r="CW38">
        <f>6.977</f>
        <v>6.9770000000000003</v>
      </c>
      <c r="CX38">
        <f>6.09</f>
        <v>6.09</v>
      </c>
      <c r="CY38" t="str">
        <f>""</f>
        <v/>
      </c>
      <c r="CZ38" t="str">
        <f>""</f>
        <v/>
      </c>
      <c r="DA38" t="str">
        <f>""</f>
        <v/>
      </c>
      <c r="DB38" t="str">
        <f>""</f>
        <v/>
      </c>
      <c r="DC38" t="str">
        <f>""</f>
        <v/>
      </c>
      <c r="DD38" t="str">
        <f>""</f>
        <v/>
      </c>
      <c r="DE38" t="str">
        <f>""</f>
        <v/>
      </c>
      <c r="DF38" t="str">
        <f>""</f>
        <v/>
      </c>
      <c r="DG38" t="str">
        <f>""</f>
        <v/>
      </c>
      <c r="DH38" t="str">
        <f>""</f>
        <v/>
      </c>
      <c r="DI38" t="str">
        <f>""</f>
        <v/>
      </c>
      <c r="DJ38" t="str">
        <f>""</f>
        <v/>
      </c>
      <c r="DK38" t="str">
        <f>""</f>
        <v/>
      </c>
      <c r="DL38" t="str">
        <f>""</f>
        <v/>
      </c>
      <c r="DM38" t="str">
        <f>""</f>
        <v/>
      </c>
      <c r="DN38" t="str">
        <f>""</f>
        <v/>
      </c>
      <c r="DO38" t="str">
        <f>""</f>
        <v/>
      </c>
      <c r="DP38" t="str">
        <f>""</f>
        <v/>
      </c>
      <c r="DQ38" t="str">
        <f>""</f>
        <v/>
      </c>
      <c r="DR38" t="str">
        <f>""</f>
        <v/>
      </c>
      <c r="DS38" t="str">
        <f>""</f>
        <v/>
      </c>
      <c r="DT38" t="str">
        <f>""</f>
        <v/>
      </c>
      <c r="DU38" t="str">
        <f>""</f>
        <v/>
      </c>
    </row>
    <row r="39" spans="1:125">
      <c r="A39" t="str">
        <f>"    DDR Corp"</f>
        <v xml:space="preserve">    DDR Corp</v>
      </c>
      <c r="B39" t="str">
        <f>"DDR US Equity"</f>
        <v>DDR US Equity</v>
      </c>
      <c r="C39" t="str">
        <f t="shared" si="6"/>
        <v>IM281</v>
      </c>
      <c r="D39" t="str">
        <f t="shared" si="7"/>
        <v>IS_NON_REAL_ESTATE_INCOME</v>
      </c>
      <c r="E39" t="str">
        <f t="shared" si="8"/>
        <v>动态</v>
      </c>
      <c r="F39" t="str">
        <f ca="1">IF(AND(ISNUMBER($F$498),$B$419=1),$F$498,HLOOKUP(INDIRECT(ADDRESS(2,COLUMN())),OFFSET($BN$2,0,0,ROW()-1,60),ROW()-1,FALSE))</f>
        <v/>
      </c>
      <c r="G39">
        <f ca="1">IF(AND(ISNUMBER($G$498),$B$419=1),$G$498,HLOOKUP(INDIRECT(ADDRESS(2,COLUMN())),OFFSET($BN$2,0,0,ROW()-1,60),ROW()-1,FALSE))</f>
        <v>12.271000000000001</v>
      </c>
      <c r="H39">
        <f ca="1">IF(AND(ISNUMBER($H$498),$B$419=1),$H$498,HLOOKUP(INDIRECT(ADDRESS(2,COLUMN())),OFFSET($BN$2,0,0,ROW()-1,60),ROW()-1,FALSE))</f>
        <v>13.824</v>
      </c>
      <c r="I39">
        <f ca="1">IF(AND(ISNUMBER($I$498),$B$419=1),$I$498,HLOOKUP(INDIRECT(ADDRESS(2,COLUMN())),OFFSET($BN$2,0,0,ROW()-1,60),ROW()-1,FALSE))</f>
        <v>5.3209999999999997</v>
      </c>
      <c r="J39">
        <f ca="1">IF(AND(ISNUMBER($J$498),$B$419=1),$J$498,HLOOKUP(INDIRECT(ADDRESS(2,COLUMN())),OFFSET($BN$2,0,0,ROW()-1,60),ROW()-1,FALSE))</f>
        <v>4.617</v>
      </c>
      <c r="K39">
        <f ca="1">IF(AND(ISNUMBER($K$498),$B$419=1),$K$498,HLOOKUP(INDIRECT(ADDRESS(2,COLUMN())),OFFSET($BN$2,0,0,ROW()-1,60),ROW()-1,FALSE))</f>
        <v>5.7069999999999999</v>
      </c>
      <c r="L39">
        <f ca="1">IF(AND(ISNUMBER($L$498),$B$419=1),$L$498,HLOOKUP(INDIRECT(ADDRESS(2,COLUMN())),OFFSET($BN$2,0,0,ROW()-1,60),ROW()-1,FALSE))</f>
        <v>6.4580000000000002</v>
      </c>
      <c r="M39">
        <f ca="1">IF(AND(ISNUMBER($M$498),$B$419=1),$M$498,HLOOKUP(INDIRECT(ADDRESS(2,COLUMN())),OFFSET($BN$2,0,0,ROW()-1,60),ROW()-1,FALSE))</f>
        <v>4.7619999999999996</v>
      </c>
      <c r="N39">
        <f ca="1">IF(AND(ISNUMBER($N$498),$B$419=1),$N$498,HLOOKUP(INDIRECT(ADDRESS(2,COLUMN())),OFFSET($BN$2,0,0,ROW()-1,60),ROW()-1,FALSE))</f>
        <v>5.3209999999999997</v>
      </c>
      <c r="O39">
        <f ca="1">IF(AND(ISNUMBER($O$498),$B$419=1),$O$498,HLOOKUP(INDIRECT(ADDRESS(2,COLUMN())),OFFSET($BN$2,0,0,ROW()-1,60),ROW()-1,FALSE))</f>
        <v>5.9980000000000002</v>
      </c>
      <c r="P39">
        <f ca="1">IF(AND(ISNUMBER($P$498),$B$419=1),$P$498,HLOOKUP(INDIRECT(ADDRESS(2,COLUMN())),OFFSET($BN$2,0,0,ROW()-1,60),ROW()-1,FALSE))</f>
        <v>5.6619999999999999</v>
      </c>
      <c r="Q39" t="str">
        <f ca="1">IF(AND(ISNUMBER($Q$498),$B$419=1),$Q$498,HLOOKUP(INDIRECT(ADDRESS(2,COLUMN())),OFFSET($BN$2,0,0,ROW()-1,60),ROW()-1,FALSE))</f>
        <v/>
      </c>
      <c r="R39" t="str">
        <f ca="1">IF(AND(ISNUMBER($R$498),$B$419=1),$R$498,HLOOKUP(INDIRECT(ADDRESS(2,COLUMN())),OFFSET($BN$2,0,0,ROW()-1,60),ROW()-1,FALSE))</f>
        <v/>
      </c>
      <c r="S39">
        <f ca="1">IF(AND(ISNUMBER($S$498),$B$419=1),$S$498,HLOOKUP(INDIRECT(ADDRESS(2,COLUMN())),OFFSET($BN$2,0,0,ROW()-1,60),ROW()-1,FALSE))</f>
        <v>5.9770000000000003</v>
      </c>
      <c r="T39">
        <f ca="1">IF(AND(ISNUMBER($T$498),$B$419=1),$T$498,HLOOKUP(INDIRECT(ADDRESS(2,COLUMN())),OFFSET($BN$2,0,0,ROW()-1,60),ROW()-1,FALSE))</f>
        <v>7.2389999999999999</v>
      </c>
      <c r="U39">
        <f ca="1">IF(AND(ISNUMBER($U$498),$B$419=1),$U$498,HLOOKUP(INDIRECT(ADDRESS(2,COLUMN())),OFFSET($BN$2,0,0,ROW()-1,60),ROW()-1,FALSE))</f>
        <v>8.09</v>
      </c>
      <c r="V39">
        <f ca="1">IF(AND(ISNUMBER($V$498),$B$419=1),$V$498,HLOOKUP(INDIRECT(ADDRESS(2,COLUMN())),OFFSET($BN$2,0,0,ROW()-1,60),ROW()-1,FALSE))</f>
        <v>7.6840000000000002</v>
      </c>
      <c r="W39">
        <f ca="1">IF(AND(ISNUMBER($W$498),$B$419=1),$W$498,HLOOKUP(INDIRECT(ADDRESS(2,COLUMN())),OFFSET($BN$2,0,0,ROW()-1,60),ROW()-1,FALSE))</f>
        <v>7.8449999999999998</v>
      </c>
      <c r="X39">
        <f ca="1">IF(AND(ISNUMBER($X$498),$B$419=1),$X$498,HLOOKUP(INDIRECT(ADDRESS(2,COLUMN())),OFFSET($BN$2,0,0,ROW()-1,60),ROW()-1,FALSE))</f>
        <v>8.8940000000000001</v>
      </c>
      <c r="Y39">
        <f ca="1">IF(AND(ISNUMBER($Y$498),$B$419=1),$Y$498,HLOOKUP(INDIRECT(ADDRESS(2,COLUMN())),OFFSET($BN$2,0,0,ROW()-1,60),ROW()-1,FALSE))</f>
        <v>12.3</v>
      </c>
      <c r="Z39">
        <f ca="1">IF(AND(ISNUMBER($Z$498),$B$419=1),$Z$498,HLOOKUP(INDIRECT(ADDRESS(2,COLUMN())),OFFSET($BN$2,0,0,ROW()-1,60),ROW()-1,FALSE))</f>
        <v>6.26</v>
      </c>
      <c r="AA39">
        <f ca="1">IF(AND(ISNUMBER($AA$498),$B$419=1),$AA$498,HLOOKUP(INDIRECT(ADDRESS(2,COLUMN())),OFFSET($BN$2,0,0,ROW()-1,60),ROW()-1,FALSE))</f>
        <v>8.2609999999999992</v>
      </c>
      <c r="AB39">
        <f ca="1">IF(AND(ISNUMBER($AB$498),$B$419=1),$AB$498,HLOOKUP(INDIRECT(ADDRESS(2,COLUMN())),OFFSET($BN$2,0,0,ROW()-1,60),ROW()-1,FALSE))</f>
        <v>10.896000000000001</v>
      </c>
      <c r="AC39">
        <f ca="1">IF(AND(ISNUMBER($AC$498),$B$419=1),$AC$498,HLOOKUP(INDIRECT(ADDRESS(2,COLUMN())),OFFSET($BN$2,0,0,ROW()-1,60),ROW()-1,FALSE))</f>
        <v>6.7939999999999996</v>
      </c>
      <c r="AD39">
        <f ca="1">IF(AND(ISNUMBER($AD$498),$B$419=1),$AD$498,HLOOKUP(INDIRECT(ADDRESS(2,COLUMN())),OFFSET($BN$2,0,0,ROW()-1,60),ROW()-1,FALSE))</f>
        <v>6.6950000000000003</v>
      </c>
      <c r="AE39">
        <f ca="1">IF(AND(ISNUMBER($AE$498),$B$419=1),$AE$498,HLOOKUP(INDIRECT(ADDRESS(2,COLUMN())),OFFSET($BN$2,0,0,ROW()-1,60),ROW()-1,FALSE))</f>
        <v>9.9659999999999993</v>
      </c>
      <c r="AF39">
        <f ca="1">IF(AND(ISNUMBER($AF$498),$B$419=1),$AF$498,HLOOKUP(INDIRECT(ADDRESS(2,COLUMN())),OFFSET($BN$2,0,0,ROW()-1,60),ROW()-1,FALSE))</f>
        <v>9.7919999999999998</v>
      </c>
      <c r="AG39">
        <f ca="1">IF(AND(ISNUMBER($AG$498),$B$419=1),$AG$498,HLOOKUP(INDIRECT(ADDRESS(2,COLUMN())),OFFSET($BN$2,0,0,ROW()-1,60),ROW()-1,FALSE))</f>
        <v>7.7320000000000002</v>
      </c>
      <c r="AH39">
        <f ca="1">IF(AND(ISNUMBER($AH$498),$B$419=1),$AH$498,HLOOKUP(INDIRECT(ADDRESS(2,COLUMN())),OFFSET($BN$2,0,0,ROW()-1,60),ROW()-1,FALSE))</f>
        <v>7.569</v>
      </c>
      <c r="AI39">
        <f ca="1">IF(AND(ISNUMBER($AI$498),$B$419=1),$AI$498,HLOOKUP(INDIRECT(ADDRESS(2,COLUMN())),OFFSET($BN$2,0,0,ROW()-1,60),ROW()-1,FALSE))</f>
        <v>10.491</v>
      </c>
      <c r="AJ39">
        <f ca="1">IF(AND(ISNUMBER($AJ$498),$B$419=1),$AJ$498,HLOOKUP(INDIRECT(ADDRESS(2,COLUMN())),OFFSET($BN$2,0,0,ROW()-1,60),ROW()-1,FALSE))</f>
        <v>6.4459999999999997</v>
      </c>
      <c r="AK39" t="str">
        <f ca="1">IF(AND(ISNUMBER($AK$498),$B$419=1),$AK$498,HLOOKUP(INDIRECT(ADDRESS(2,COLUMN())),OFFSET($BN$2,0,0,ROW()-1,60),ROW()-1,FALSE))</f>
        <v/>
      </c>
      <c r="AL39">
        <f ca="1">IF(AND(ISNUMBER($AL$498),$B$419=1),$AL$498,HLOOKUP(INDIRECT(ADDRESS(2,COLUMN())),OFFSET($BN$2,0,0,ROW()-1,60),ROW()-1,FALSE))</f>
        <v>6.3739999999999997</v>
      </c>
      <c r="AM39">
        <f ca="1">IF(AND(ISNUMBER($AM$498),$B$419=1),$AM$498,HLOOKUP(INDIRECT(ADDRESS(2,COLUMN())),OFFSET($BN$2,0,0,ROW()-1,60),ROW()-1,FALSE))</f>
        <v>8.0589999999999993</v>
      </c>
      <c r="AN39">
        <f ca="1">IF(AND(ISNUMBER($AN$498),$B$419=1),$AN$498,HLOOKUP(INDIRECT(ADDRESS(2,COLUMN())),OFFSET($BN$2,0,0,ROW()-1,60),ROW()-1,FALSE))</f>
        <v>6.4139999999999997</v>
      </c>
      <c r="AO39">
        <f ca="1">IF(AND(ISNUMBER($AO$498),$B$419=1),$AO$498,HLOOKUP(INDIRECT(ADDRESS(2,COLUMN())),OFFSET($BN$2,0,0,ROW()-1,60),ROW()-1,FALSE))</f>
        <v>6.6180000000000003</v>
      </c>
      <c r="AP39">
        <f ca="1">IF(AND(ISNUMBER($AP$498),$B$419=1),$AP$498,HLOOKUP(INDIRECT(ADDRESS(2,COLUMN())),OFFSET($BN$2,0,0,ROW()-1,60),ROW()-1,FALSE))</f>
        <v>8.17</v>
      </c>
      <c r="AQ39" t="str">
        <f ca="1">IF(AND(ISNUMBER($AQ$498),$B$419=1),$AQ$498,HLOOKUP(INDIRECT(ADDRESS(2,COLUMN())),OFFSET($BN$2,0,0,ROW()-1,60),ROW()-1,FALSE))</f>
        <v/>
      </c>
      <c r="AR39" t="str">
        <f ca="1">IF(AND(ISNUMBER($AR$498),$B$419=1),$AR$498,HLOOKUP(INDIRECT(ADDRESS(2,COLUMN())),OFFSET($BN$2,0,0,ROW()-1,60),ROW()-1,FALSE))</f>
        <v/>
      </c>
      <c r="AS39" t="str">
        <f ca="1">IF(AND(ISNUMBER($AS$498),$B$419=1),$AS$498,HLOOKUP(INDIRECT(ADDRESS(2,COLUMN())),OFFSET($BN$2,0,0,ROW()-1,60),ROW()-1,FALSE))</f>
        <v/>
      </c>
      <c r="AT39" t="str">
        <f ca="1">IF(AND(ISNUMBER($AT$498),$B$419=1),$AT$498,HLOOKUP(INDIRECT(ADDRESS(2,COLUMN())),OFFSET($BN$2,0,0,ROW()-1,60),ROW()-1,FALSE))</f>
        <v/>
      </c>
      <c r="AU39" t="str">
        <f ca="1">IF(AND(ISNUMBER($AU$498),$B$419=1),$AU$498,HLOOKUP(INDIRECT(ADDRESS(2,COLUMN())),OFFSET($BN$2,0,0,ROW()-1,60),ROW()-1,FALSE))</f>
        <v/>
      </c>
      <c r="AV39" t="str">
        <f ca="1">IF(AND(ISNUMBER($AV$498),$B$419=1),$AV$498,HLOOKUP(INDIRECT(ADDRESS(2,COLUMN())),OFFSET($BN$2,0,0,ROW()-1,60),ROW()-1,FALSE))</f>
        <v/>
      </c>
      <c r="AW39" t="str">
        <f ca="1">IF(AND(ISNUMBER($AW$498),$B$419=1),$AW$498,HLOOKUP(INDIRECT(ADDRESS(2,COLUMN())),OFFSET($BN$2,0,0,ROW()-1,60),ROW()-1,FALSE))</f>
        <v/>
      </c>
      <c r="AX39" t="str">
        <f ca="1">IF(AND(ISNUMBER($AX$498),$B$419=1),$AX$498,HLOOKUP(INDIRECT(ADDRESS(2,COLUMN())),OFFSET($BN$2,0,0,ROW()-1,60),ROW()-1,FALSE))</f>
        <v/>
      </c>
      <c r="AY39" t="str">
        <f ca="1">IF(AND(ISNUMBER($AY$498),$B$419=1),$AY$498,HLOOKUP(INDIRECT(ADDRESS(2,COLUMN())),OFFSET($BN$2,0,0,ROW()-1,60),ROW()-1,FALSE))</f>
        <v/>
      </c>
      <c r="AZ39" t="str">
        <f ca="1">IF(AND(ISNUMBER($AZ$498),$B$419=1),$AZ$498,HLOOKUP(INDIRECT(ADDRESS(2,COLUMN())),OFFSET($BN$2,0,0,ROW()-1,60),ROW()-1,FALSE))</f>
        <v/>
      </c>
      <c r="BA39" t="str">
        <f ca="1">IF(AND(ISNUMBER($BA$498),$B$419=1),$BA$498,HLOOKUP(INDIRECT(ADDRESS(2,COLUMN())),OFFSET($BN$2,0,0,ROW()-1,60),ROW()-1,FALSE))</f>
        <v/>
      </c>
      <c r="BB39" t="str">
        <f ca="1">IF(AND(ISNUMBER($BB$498),$B$419=1),$BB$498,HLOOKUP(INDIRECT(ADDRESS(2,COLUMN())),OFFSET($BN$2,0,0,ROW()-1,60),ROW()-1,FALSE))</f>
        <v/>
      </c>
      <c r="BC39" t="str">
        <f ca="1">IF(AND(ISNUMBER($BC$498),$B$419=1),$BC$498,HLOOKUP(INDIRECT(ADDRESS(2,COLUMN())),OFFSET($BN$2,0,0,ROW()-1,60),ROW()-1,FALSE))</f>
        <v/>
      </c>
      <c r="BD39" t="str">
        <f ca="1">IF(AND(ISNUMBER($BD$498),$B$419=1),$BD$498,HLOOKUP(INDIRECT(ADDRESS(2,COLUMN())),OFFSET($BN$2,0,0,ROW()-1,60),ROW()-1,FALSE))</f>
        <v/>
      </c>
      <c r="BE39" t="str">
        <f ca="1">IF(AND(ISNUMBER($BE$498),$B$419=1),$BE$498,HLOOKUP(INDIRECT(ADDRESS(2,COLUMN())),OFFSET($BN$2,0,0,ROW()-1,60),ROW()-1,FALSE))</f>
        <v/>
      </c>
      <c r="BF39" t="str">
        <f ca="1">IF(AND(ISNUMBER($BF$498),$B$419=1),$BF$498,HLOOKUP(INDIRECT(ADDRESS(2,COLUMN())),OFFSET($BN$2,0,0,ROW()-1,60),ROW()-1,FALSE))</f>
        <v/>
      </c>
      <c r="BG39" t="str">
        <f ca="1">IF(AND(ISNUMBER($BG$498),$B$419=1),$BG$498,HLOOKUP(INDIRECT(ADDRESS(2,COLUMN())),OFFSET($BN$2,0,0,ROW()-1,60),ROW()-1,FALSE))</f>
        <v/>
      </c>
      <c r="BH39" t="str">
        <f ca="1">IF(AND(ISNUMBER($BH$498),$B$419=1),$BH$498,HLOOKUP(INDIRECT(ADDRESS(2,COLUMN())),OFFSET($BN$2,0,0,ROW()-1,60),ROW()-1,FALSE))</f>
        <v/>
      </c>
      <c r="BI39" t="str">
        <f ca="1">IF(AND(ISNUMBER($BI$498),$B$419=1),$BI$498,HLOOKUP(INDIRECT(ADDRESS(2,COLUMN())),OFFSET($BN$2,0,0,ROW()-1,60),ROW()-1,FALSE))</f>
        <v/>
      </c>
      <c r="BJ39" t="str">
        <f ca="1">IF(AND(ISNUMBER($BJ$498),$B$419=1),$BJ$498,HLOOKUP(INDIRECT(ADDRESS(2,COLUMN())),OFFSET($BN$2,0,0,ROW()-1,60),ROW()-1,FALSE))</f>
        <v/>
      </c>
      <c r="BK39" t="str">
        <f ca="1">IF(AND(ISNUMBER($BK$498),$B$419=1),$BK$498,HLOOKUP(INDIRECT(ADDRESS(2,COLUMN())),OFFSET($BN$2,0,0,ROW()-1,60),ROW()-1,FALSE))</f>
        <v/>
      </c>
      <c r="BL39" t="str">
        <f ca="1">IF(AND(ISNUMBER($BL$498),$B$419=1),$BL$498,HLOOKUP(INDIRECT(ADDRESS(2,COLUMN())),OFFSET($BN$2,0,0,ROW()-1,60),ROW()-1,FALSE))</f>
        <v/>
      </c>
      <c r="BM39" t="str">
        <f ca="1">IF(AND(ISNUMBER($BM$498),$B$419=1),$BM$498,HLOOKUP(INDIRECT(ADDRESS(2,COLUMN())),OFFSET($BN$2,0,0,ROW()-1,60),ROW()-1,FALSE))</f>
        <v/>
      </c>
      <c r="BN39" t="str">
        <f>""</f>
        <v/>
      </c>
      <c r="BO39">
        <f>12.271</f>
        <v>12.271000000000001</v>
      </c>
      <c r="BP39">
        <f>13.824</f>
        <v>13.824</v>
      </c>
      <c r="BQ39">
        <f>5.321</f>
        <v>5.3209999999999997</v>
      </c>
      <c r="BR39">
        <f>4.617</f>
        <v>4.617</v>
      </c>
      <c r="BS39">
        <f>5.707</f>
        <v>5.7069999999999999</v>
      </c>
      <c r="BT39">
        <f>6.458</f>
        <v>6.4580000000000002</v>
      </c>
      <c r="BU39">
        <f>4.762</f>
        <v>4.7619999999999996</v>
      </c>
      <c r="BV39">
        <f>5.321</f>
        <v>5.3209999999999997</v>
      </c>
      <c r="BW39">
        <f>5.998</f>
        <v>5.9980000000000002</v>
      </c>
      <c r="BX39">
        <f>5.662</f>
        <v>5.6619999999999999</v>
      </c>
      <c r="BY39" t="str">
        <f>""</f>
        <v/>
      </c>
      <c r="BZ39" t="str">
        <f>""</f>
        <v/>
      </c>
      <c r="CA39">
        <f>5.977</f>
        <v>5.9770000000000003</v>
      </c>
      <c r="CB39">
        <f>7.239</f>
        <v>7.2389999999999999</v>
      </c>
      <c r="CC39">
        <f>8.09</f>
        <v>8.09</v>
      </c>
      <c r="CD39">
        <f>7.684</f>
        <v>7.6840000000000002</v>
      </c>
      <c r="CE39">
        <f>7.845</f>
        <v>7.8449999999999998</v>
      </c>
      <c r="CF39">
        <f>8.894</f>
        <v>8.8940000000000001</v>
      </c>
      <c r="CG39">
        <f>12.3</f>
        <v>12.3</v>
      </c>
      <c r="CH39">
        <f>6.26</f>
        <v>6.26</v>
      </c>
      <c r="CI39">
        <f>8.261</f>
        <v>8.2609999999999992</v>
      </c>
      <c r="CJ39">
        <f>10.896</f>
        <v>10.896000000000001</v>
      </c>
      <c r="CK39">
        <f>6.794</f>
        <v>6.7939999999999996</v>
      </c>
      <c r="CL39">
        <f>6.695</f>
        <v>6.6950000000000003</v>
      </c>
      <c r="CM39">
        <f>9.966</f>
        <v>9.9659999999999993</v>
      </c>
      <c r="CN39">
        <f>9.792</f>
        <v>9.7919999999999998</v>
      </c>
      <c r="CO39">
        <f>7.732</f>
        <v>7.7320000000000002</v>
      </c>
      <c r="CP39">
        <f>7.569</f>
        <v>7.569</v>
      </c>
      <c r="CQ39">
        <f>10.491</f>
        <v>10.491</v>
      </c>
      <c r="CR39">
        <f>6.446</f>
        <v>6.4459999999999997</v>
      </c>
      <c r="CS39" t="str">
        <f>""</f>
        <v/>
      </c>
      <c r="CT39">
        <f>6.374</f>
        <v>6.3739999999999997</v>
      </c>
      <c r="CU39">
        <f>8.059</f>
        <v>8.0589999999999993</v>
      </c>
      <c r="CV39">
        <f>6.414</f>
        <v>6.4139999999999997</v>
      </c>
      <c r="CW39">
        <f>6.618</f>
        <v>6.6180000000000003</v>
      </c>
      <c r="CX39">
        <f>8.17</f>
        <v>8.17</v>
      </c>
      <c r="CY39" t="str">
        <f>""</f>
        <v/>
      </c>
      <c r="CZ39" t="str">
        <f>""</f>
        <v/>
      </c>
      <c r="DA39" t="str">
        <f>""</f>
        <v/>
      </c>
      <c r="DB39" t="str">
        <f>""</f>
        <v/>
      </c>
      <c r="DC39" t="str">
        <f>""</f>
        <v/>
      </c>
      <c r="DD39" t="str">
        <f>""</f>
        <v/>
      </c>
      <c r="DE39" t="str">
        <f>""</f>
        <v/>
      </c>
      <c r="DF39" t="str">
        <f>""</f>
        <v/>
      </c>
      <c r="DG39" t="str">
        <f>""</f>
        <v/>
      </c>
      <c r="DH39" t="str">
        <f>""</f>
        <v/>
      </c>
      <c r="DI39" t="str">
        <f>""</f>
        <v/>
      </c>
      <c r="DJ39" t="str">
        <f>""</f>
        <v/>
      </c>
      <c r="DK39" t="str">
        <f>""</f>
        <v/>
      </c>
      <c r="DL39" t="str">
        <f>""</f>
        <v/>
      </c>
      <c r="DM39" t="str">
        <f>""</f>
        <v/>
      </c>
      <c r="DN39" t="str">
        <f>""</f>
        <v/>
      </c>
      <c r="DO39" t="str">
        <f>""</f>
        <v/>
      </c>
      <c r="DP39" t="str">
        <f>""</f>
        <v/>
      </c>
      <c r="DQ39" t="str">
        <f>""</f>
        <v/>
      </c>
      <c r="DR39" t="str">
        <f>""</f>
        <v/>
      </c>
      <c r="DS39" t="str">
        <f>""</f>
        <v/>
      </c>
      <c r="DT39" t="str">
        <f>""</f>
        <v/>
      </c>
      <c r="DU39" t="str">
        <f>""</f>
        <v/>
      </c>
    </row>
    <row r="40" spans="1:125">
      <c r="A40" t="str">
        <f>"    Federal Realty Investment Trus"</f>
        <v xml:space="preserve">    Federal Realty Investment Trus</v>
      </c>
      <c r="B40" t="str">
        <f>"FRT US Equity"</f>
        <v>FRT US Equity</v>
      </c>
      <c r="C40" t="str">
        <f t="shared" si="6"/>
        <v>IM281</v>
      </c>
      <c r="D40" t="str">
        <f t="shared" si="7"/>
        <v>IS_NON_REAL_ESTATE_INCOME</v>
      </c>
      <c r="E40" t="str">
        <f t="shared" si="8"/>
        <v>动态</v>
      </c>
      <c r="F40" t="str">
        <f ca="1">IF(AND(ISNUMBER($F$499),$B$419=1),$F$499,HLOOKUP(INDIRECT(ADDRESS(2,COLUMN())),OFFSET($BN$2,0,0,ROW()-1,60),ROW()-1,FALSE))</f>
        <v/>
      </c>
      <c r="G40">
        <f ca="1">IF(AND(ISNUMBER($G$499),$B$419=1),$G$499,HLOOKUP(INDIRECT(ADDRESS(2,COLUMN())),OFFSET($BN$2,0,0,ROW()-1,60),ROW()-1,FALSE))</f>
        <v>2.3959999999999999</v>
      </c>
      <c r="H40">
        <f ca="1">IF(AND(ISNUMBER($H$499),$B$419=1),$H$499,HLOOKUP(INDIRECT(ADDRESS(2,COLUMN())),OFFSET($BN$2,0,0,ROW()-1,60),ROW()-1,FALSE))</f>
        <v>5.1710000000000003</v>
      </c>
      <c r="I40">
        <f ca="1">IF(AND(ISNUMBER($I$499),$B$419=1),$I$499,HLOOKUP(INDIRECT(ADDRESS(2,COLUMN())),OFFSET($BN$2,0,0,ROW()-1,60),ROW()-1,FALSE))</f>
        <v>3.0680000000000001</v>
      </c>
      <c r="J40">
        <f ca="1">IF(AND(ISNUMBER($J$499),$B$419=1),$J$499,HLOOKUP(INDIRECT(ADDRESS(2,COLUMN())),OFFSET($BN$2,0,0,ROW()-1,60),ROW()-1,FALSE))</f>
        <v>2.19</v>
      </c>
      <c r="K40">
        <f ca="1">IF(AND(ISNUMBER($K$499),$B$419=1),$K$499,HLOOKUP(INDIRECT(ADDRESS(2,COLUMN())),OFFSET($BN$2,0,0,ROW()-1,60),ROW()-1,FALSE))</f>
        <v>2.456</v>
      </c>
      <c r="L40">
        <f ca="1">IF(AND(ISNUMBER($L$499),$B$419=1),$L$499,HLOOKUP(INDIRECT(ADDRESS(2,COLUMN())),OFFSET($BN$2,0,0,ROW()-1,60),ROW()-1,FALSE))</f>
        <v>2.7589999999999999</v>
      </c>
      <c r="M40">
        <f ca="1">IF(AND(ISNUMBER($M$499),$B$419=1),$M$499,HLOOKUP(INDIRECT(ADDRESS(2,COLUMN())),OFFSET($BN$2,0,0,ROW()-1,60),ROW()-1,FALSE))</f>
        <v>3.488</v>
      </c>
      <c r="N40">
        <f ca="1">IF(AND(ISNUMBER($N$499),$B$419=1),$N$499,HLOOKUP(INDIRECT(ADDRESS(2,COLUMN())),OFFSET($BN$2,0,0,ROW()-1,60),ROW()-1,FALSE))</f>
        <v>2.3119999999999998</v>
      </c>
      <c r="O40">
        <f ca="1">IF(AND(ISNUMBER($O$499),$B$419=1),$O$499,HLOOKUP(INDIRECT(ADDRESS(2,COLUMN())),OFFSET($BN$2,0,0,ROW()-1,60),ROW()-1,FALSE))</f>
        <v>2.4460000000000002</v>
      </c>
      <c r="P40">
        <f ca="1">IF(AND(ISNUMBER($P$499),$B$419=1),$P$499,HLOOKUP(INDIRECT(ADDRESS(2,COLUMN())),OFFSET($BN$2,0,0,ROW()-1,60),ROW()-1,FALSE))</f>
        <v>2.4790000000000001</v>
      </c>
      <c r="Q40">
        <f ca="1">IF(AND(ISNUMBER($Q$499),$B$419=1),$Q$499,HLOOKUP(INDIRECT(ADDRESS(2,COLUMN())),OFFSET($BN$2,0,0,ROW()-1,60),ROW()-1,FALSE))</f>
        <v>4.42</v>
      </c>
      <c r="R40">
        <f ca="1">IF(AND(ISNUMBER($R$499),$B$419=1),$R$499,HLOOKUP(INDIRECT(ADDRESS(2,COLUMN())),OFFSET($BN$2,0,0,ROW()-1,60),ROW()-1,FALSE))</f>
        <v>2.4649999999999999</v>
      </c>
      <c r="S40">
        <f ca="1">IF(AND(ISNUMBER($S$499),$B$419=1),$S$499,HLOOKUP(INDIRECT(ADDRESS(2,COLUMN())),OFFSET($BN$2,0,0,ROW()-1,60),ROW()-1,FALSE))</f>
        <v>3.411</v>
      </c>
      <c r="T40">
        <f ca="1">IF(AND(ISNUMBER($T$499),$B$419=1),$T$499,HLOOKUP(INDIRECT(ADDRESS(2,COLUMN())),OFFSET($BN$2,0,0,ROW()-1,60),ROW()-1,FALSE))</f>
        <v>3.6219999999999999</v>
      </c>
      <c r="U40">
        <f ca="1">IF(AND(ISNUMBER($U$499),$B$419=1),$U$499,HLOOKUP(INDIRECT(ADDRESS(2,COLUMN())),OFFSET($BN$2,0,0,ROW()-1,60),ROW()-1,FALSE))</f>
        <v>4.3250000000000002</v>
      </c>
      <c r="V40">
        <f ca="1">IF(AND(ISNUMBER($V$499),$B$419=1),$V$499,HLOOKUP(INDIRECT(ADDRESS(2,COLUMN())),OFFSET($BN$2,0,0,ROW()-1,60),ROW()-1,FALSE))</f>
        <v>3.4</v>
      </c>
      <c r="W40">
        <f ca="1">IF(AND(ISNUMBER($W$499),$B$419=1),$W$499,HLOOKUP(INDIRECT(ADDRESS(2,COLUMN())),OFFSET($BN$2,0,0,ROW()-1,60),ROW()-1,FALSE))</f>
        <v>2.508</v>
      </c>
      <c r="X40">
        <f ca="1">IF(AND(ISNUMBER($X$499),$B$419=1),$X$499,HLOOKUP(INDIRECT(ADDRESS(2,COLUMN())),OFFSET($BN$2,0,0,ROW()-1,60),ROW()-1,FALSE))</f>
        <v>3.48</v>
      </c>
      <c r="Y40">
        <f ca="1">IF(AND(ISNUMBER($Y$499),$B$419=1),$Y$499,HLOOKUP(INDIRECT(ADDRESS(2,COLUMN())),OFFSET($BN$2,0,0,ROW()-1,60),ROW()-1,FALSE))</f>
        <v>2.9129999999999998</v>
      </c>
      <c r="Z40">
        <f ca="1">IF(AND(ISNUMBER($Z$499),$B$419=1),$Z$499,HLOOKUP(INDIRECT(ADDRESS(2,COLUMN())),OFFSET($BN$2,0,0,ROW()-1,60),ROW()-1,FALSE))</f>
        <v>3.2679999999999998</v>
      </c>
      <c r="AA40">
        <f ca="1">IF(AND(ISNUMBER($AA$499),$B$419=1),$AA$499,HLOOKUP(INDIRECT(ADDRESS(2,COLUMN())),OFFSET($BN$2,0,0,ROW()-1,60),ROW()-1,FALSE))</f>
        <v>2.3690000000000002</v>
      </c>
      <c r="AB40">
        <f ca="1">IF(AND(ISNUMBER($AB$499),$B$419=1),$AB$499,HLOOKUP(INDIRECT(ADDRESS(2,COLUMN())),OFFSET($BN$2,0,0,ROW()-1,60),ROW()-1,FALSE))</f>
        <v>9.0079999999999991</v>
      </c>
      <c r="AC40">
        <f ca="1">IF(AND(ISNUMBER($AC$499),$B$419=1),$AC$499,HLOOKUP(INDIRECT(ADDRESS(2,COLUMN())),OFFSET($BN$2,0,0,ROW()-1,60),ROW()-1,FALSE))</f>
        <v>4.4779999999999998</v>
      </c>
      <c r="AD40">
        <f ca="1">IF(AND(ISNUMBER($AD$499),$B$419=1),$AD$499,HLOOKUP(INDIRECT(ADDRESS(2,COLUMN())),OFFSET($BN$2,0,0,ROW()-1,60),ROW()-1,FALSE))</f>
        <v>4.3620000000000001</v>
      </c>
      <c r="AE40">
        <f ca="1">IF(AND(ISNUMBER($AE$499),$B$419=1),$AE$499,HLOOKUP(INDIRECT(ADDRESS(2,COLUMN())),OFFSET($BN$2,0,0,ROW()-1,60),ROW()-1,FALSE))</f>
        <v>2.6829999999999998</v>
      </c>
      <c r="AF40">
        <f ca="1">IF(AND(ISNUMBER($AF$499),$B$419=1),$AF$499,HLOOKUP(INDIRECT(ADDRESS(2,COLUMN())),OFFSET($BN$2,0,0,ROW()-1,60),ROW()-1,FALSE))</f>
        <v>2.3410000000000002</v>
      </c>
      <c r="AG40">
        <f ca="1">IF(AND(ISNUMBER($AG$499),$B$419=1),$AG$499,HLOOKUP(INDIRECT(ADDRESS(2,COLUMN())),OFFSET($BN$2,0,0,ROW()-1,60),ROW()-1,FALSE))</f>
        <v>2.1459999999999999</v>
      </c>
      <c r="AH40">
        <f ca="1">IF(AND(ISNUMBER($AH$499),$B$419=1),$AH$499,HLOOKUP(INDIRECT(ADDRESS(2,COLUMN())),OFFSET($BN$2,0,0,ROW()-1,60),ROW()-1,FALSE))</f>
        <v>2.09</v>
      </c>
      <c r="AI40">
        <f ca="1">IF(AND(ISNUMBER($AI$499),$B$419=1),$AI$499,HLOOKUP(INDIRECT(ADDRESS(2,COLUMN())),OFFSET($BN$2,0,0,ROW()-1,60),ROW()-1,FALSE))</f>
        <v>3.302</v>
      </c>
      <c r="AJ40">
        <f ca="1">IF(AND(ISNUMBER($AJ$499),$B$419=1),$AJ$499,HLOOKUP(INDIRECT(ADDRESS(2,COLUMN())),OFFSET($BN$2,0,0,ROW()-1,60),ROW()-1,FALSE))</f>
        <v>2.8239999999999998</v>
      </c>
      <c r="AK40">
        <f ca="1">IF(AND(ISNUMBER($AK$499),$B$419=1),$AK$499,HLOOKUP(INDIRECT(ADDRESS(2,COLUMN())),OFFSET($BN$2,0,0,ROW()-1,60),ROW()-1,FALSE))</f>
        <v>2.5089999999999999</v>
      </c>
      <c r="AL40">
        <f ca="1">IF(AND(ISNUMBER($AL$499),$B$419=1),$AL$499,HLOOKUP(INDIRECT(ADDRESS(2,COLUMN())),OFFSET($BN$2,0,0,ROW()-1,60),ROW()-1,FALSE))</f>
        <v>5.91</v>
      </c>
      <c r="AM40">
        <f ca="1">IF(AND(ISNUMBER($AM$499),$B$419=1),$AM$499,HLOOKUP(INDIRECT(ADDRESS(2,COLUMN())),OFFSET($BN$2,0,0,ROW()-1,60),ROW()-1,FALSE))</f>
        <v>3.5880000000000001</v>
      </c>
      <c r="AN40">
        <f ca="1">IF(AND(ISNUMBER($AN$499),$B$419=1),$AN$499,HLOOKUP(INDIRECT(ADDRESS(2,COLUMN())),OFFSET($BN$2,0,0,ROW()-1,60),ROW()-1,FALSE))</f>
        <v>3.714</v>
      </c>
      <c r="AO40">
        <f ca="1">IF(AND(ISNUMBER($AO$499),$B$419=1),$AO$499,HLOOKUP(INDIRECT(ADDRESS(2,COLUMN())),OFFSET($BN$2,0,0,ROW()-1,60),ROW()-1,FALSE))</f>
        <v>2.9409999999999998</v>
      </c>
      <c r="AP40">
        <f ca="1">IF(AND(ISNUMBER($AP$499),$B$419=1),$AP$499,HLOOKUP(INDIRECT(ADDRESS(2,COLUMN())),OFFSET($BN$2,0,0,ROW()-1,60),ROW()-1,FALSE))</f>
        <v>2.6030000000000002</v>
      </c>
      <c r="AQ40" t="str">
        <f ca="1">IF(AND(ISNUMBER($AQ$499),$B$419=1),$AQ$499,HLOOKUP(INDIRECT(ADDRESS(2,COLUMN())),OFFSET($BN$2,0,0,ROW()-1,60),ROW()-1,FALSE))</f>
        <v/>
      </c>
      <c r="AR40" t="str">
        <f ca="1">IF(AND(ISNUMBER($AR$499),$B$419=1),$AR$499,HLOOKUP(INDIRECT(ADDRESS(2,COLUMN())),OFFSET($BN$2,0,0,ROW()-1,60),ROW()-1,FALSE))</f>
        <v/>
      </c>
      <c r="AS40" t="str">
        <f ca="1">IF(AND(ISNUMBER($AS$499),$B$419=1),$AS$499,HLOOKUP(INDIRECT(ADDRESS(2,COLUMN())),OFFSET($BN$2,0,0,ROW()-1,60),ROW()-1,FALSE))</f>
        <v/>
      </c>
      <c r="AT40" t="str">
        <f ca="1">IF(AND(ISNUMBER($AT$499),$B$419=1),$AT$499,HLOOKUP(INDIRECT(ADDRESS(2,COLUMN())),OFFSET($BN$2,0,0,ROW()-1,60),ROW()-1,FALSE))</f>
        <v/>
      </c>
      <c r="AU40" t="str">
        <f ca="1">IF(AND(ISNUMBER($AU$499),$B$419=1),$AU$499,HLOOKUP(INDIRECT(ADDRESS(2,COLUMN())),OFFSET($BN$2,0,0,ROW()-1,60),ROW()-1,FALSE))</f>
        <v/>
      </c>
      <c r="AV40" t="str">
        <f ca="1">IF(AND(ISNUMBER($AV$499),$B$419=1),$AV$499,HLOOKUP(INDIRECT(ADDRESS(2,COLUMN())),OFFSET($BN$2,0,0,ROW()-1,60),ROW()-1,FALSE))</f>
        <v/>
      </c>
      <c r="AW40" t="str">
        <f ca="1">IF(AND(ISNUMBER($AW$499),$B$419=1),$AW$499,HLOOKUP(INDIRECT(ADDRESS(2,COLUMN())),OFFSET($BN$2,0,0,ROW()-1,60),ROW()-1,FALSE))</f>
        <v/>
      </c>
      <c r="AX40" t="str">
        <f ca="1">IF(AND(ISNUMBER($AX$499),$B$419=1),$AX$499,HLOOKUP(INDIRECT(ADDRESS(2,COLUMN())),OFFSET($BN$2,0,0,ROW()-1,60),ROW()-1,FALSE))</f>
        <v/>
      </c>
      <c r="AY40" t="str">
        <f ca="1">IF(AND(ISNUMBER($AY$499),$B$419=1),$AY$499,HLOOKUP(INDIRECT(ADDRESS(2,COLUMN())),OFFSET($BN$2,0,0,ROW()-1,60),ROW()-1,FALSE))</f>
        <v/>
      </c>
      <c r="AZ40" t="str">
        <f ca="1">IF(AND(ISNUMBER($AZ$499),$B$419=1),$AZ$499,HLOOKUP(INDIRECT(ADDRESS(2,COLUMN())),OFFSET($BN$2,0,0,ROW()-1,60),ROW()-1,FALSE))</f>
        <v/>
      </c>
      <c r="BA40" t="str">
        <f ca="1">IF(AND(ISNUMBER($BA$499),$B$419=1),$BA$499,HLOOKUP(INDIRECT(ADDRESS(2,COLUMN())),OFFSET($BN$2,0,0,ROW()-1,60),ROW()-1,FALSE))</f>
        <v/>
      </c>
      <c r="BB40" t="str">
        <f ca="1">IF(AND(ISNUMBER($BB$499),$B$419=1),$BB$499,HLOOKUP(INDIRECT(ADDRESS(2,COLUMN())),OFFSET($BN$2,0,0,ROW()-1,60),ROW()-1,FALSE))</f>
        <v/>
      </c>
      <c r="BC40" t="str">
        <f ca="1">IF(AND(ISNUMBER($BC$499),$B$419=1),$BC$499,HLOOKUP(INDIRECT(ADDRESS(2,COLUMN())),OFFSET($BN$2,0,0,ROW()-1,60),ROW()-1,FALSE))</f>
        <v/>
      </c>
      <c r="BD40" t="str">
        <f ca="1">IF(AND(ISNUMBER($BD$499),$B$419=1),$BD$499,HLOOKUP(INDIRECT(ADDRESS(2,COLUMN())),OFFSET($BN$2,0,0,ROW()-1,60),ROW()-1,FALSE))</f>
        <v/>
      </c>
      <c r="BE40" t="str">
        <f ca="1">IF(AND(ISNUMBER($BE$499),$B$419=1),$BE$499,HLOOKUP(INDIRECT(ADDRESS(2,COLUMN())),OFFSET($BN$2,0,0,ROW()-1,60),ROW()-1,FALSE))</f>
        <v/>
      </c>
      <c r="BF40" t="str">
        <f ca="1">IF(AND(ISNUMBER($BF$499),$B$419=1),$BF$499,HLOOKUP(INDIRECT(ADDRESS(2,COLUMN())),OFFSET($BN$2,0,0,ROW()-1,60),ROW()-1,FALSE))</f>
        <v/>
      </c>
      <c r="BG40" t="str">
        <f ca="1">IF(AND(ISNUMBER($BG$499),$B$419=1),$BG$499,HLOOKUP(INDIRECT(ADDRESS(2,COLUMN())),OFFSET($BN$2,0,0,ROW()-1,60),ROW()-1,FALSE))</f>
        <v/>
      </c>
      <c r="BH40" t="str">
        <f ca="1">IF(AND(ISNUMBER($BH$499),$B$419=1),$BH$499,HLOOKUP(INDIRECT(ADDRESS(2,COLUMN())),OFFSET($BN$2,0,0,ROW()-1,60),ROW()-1,FALSE))</f>
        <v/>
      </c>
      <c r="BI40" t="str">
        <f ca="1">IF(AND(ISNUMBER($BI$499),$B$419=1),$BI$499,HLOOKUP(INDIRECT(ADDRESS(2,COLUMN())),OFFSET($BN$2,0,0,ROW()-1,60),ROW()-1,FALSE))</f>
        <v/>
      </c>
      <c r="BJ40" t="str">
        <f ca="1">IF(AND(ISNUMBER($BJ$499),$B$419=1),$BJ$499,HLOOKUP(INDIRECT(ADDRESS(2,COLUMN())),OFFSET($BN$2,0,0,ROW()-1,60),ROW()-1,FALSE))</f>
        <v/>
      </c>
      <c r="BK40" t="str">
        <f ca="1">IF(AND(ISNUMBER($BK$499),$B$419=1),$BK$499,HLOOKUP(INDIRECT(ADDRESS(2,COLUMN())),OFFSET($BN$2,0,0,ROW()-1,60),ROW()-1,FALSE))</f>
        <v/>
      </c>
      <c r="BL40" t="str">
        <f ca="1">IF(AND(ISNUMBER($BL$499),$B$419=1),$BL$499,HLOOKUP(INDIRECT(ADDRESS(2,COLUMN())),OFFSET($BN$2,0,0,ROW()-1,60),ROW()-1,FALSE))</f>
        <v/>
      </c>
      <c r="BM40" t="str">
        <f ca="1">IF(AND(ISNUMBER($BM$499),$B$419=1),$BM$499,HLOOKUP(INDIRECT(ADDRESS(2,COLUMN())),OFFSET($BN$2,0,0,ROW()-1,60),ROW()-1,FALSE))</f>
        <v/>
      </c>
      <c r="BN40" t="str">
        <f>""</f>
        <v/>
      </c>
      <c r="BO40">
        <f>2.396</f>
        <v>2.3959999999999999</v>
      </c>
      <c r="BP40">
        <f>5.171</f>
        <v>5.1710000000000003</v>
      </c>
      <c r="BQ40">
        <f>3.068</f>
        <v>3.0680000000000001</v>
      </c>
      <c r="BR40">
        <f>2.19</f>
        <v>2.19</v>
      </c>
      <c r="BS40">
        <f>2.456</f>
        <v>2.456</v>
      </c>
      <c r="BT40">
        <f>2.759</f>
        <v>2.7589999999999999</v>
      </c>
      <c r="BU40">
        <f>3.488</f>
        <v>3.488</v>
      </c>
      <c r="BV40">
        <f>2.312</f>
        <v>2.3119999999999998</v>
      </c>
      <c r="BW40">
        <f>2.446</f>
        <v>2.4460000000000002</v>
      </c>
      <c r="BX40">
        <f>2.479</f>
        <v>2.4790000000000001</v>
      </c>
      <c r="BY40">
        <f>4.42</f>
        <v>4.42</v>
      </c>
      <c r="BZ40">
        <f>2.465</f>
        <v>2.4649999999999999</v>
      </c>
      <c r="CA40">
        <f>3.411</f>
        <v>3.411</v>
      </c>
      <c r="CB40">
        <f>3.622</f>
        <v>3.6219999999999999</v>
      </c>
      <c r="CC40">
        <f>4.325</f>
        <v>4.3250000000000002</v>
      </c>
      <c r="CD40">
        <f>3.4</f>
        <v>3.4</v>
      </c>
      <c r="CE40">
        <f>2.508</f>
        <v>2.508</v>
      </c>
      <c r="CF40">
        <f>3.48</f>
        <v>3.48</v>
      </c>
      <c r="CG40">
        <f>2.913</f>
        <v>2.9129999999999998</v>
      </c>
      <c r="CH40">
        <f>3.268</f>
        <v>3.2679999999999998</v>
      </c>
      <c r="CI40">
        <f>2.369</f>
        <v>2.3690000000000002</v>
      </c>
      <c r="CJ40">
        <f>9.008</f>
        <v>9.0079999999999991</v>
      </c>
      <c r="CK40">
        <f>4.478</f>
        <v>4.4779999999999998</v>
      </c>
      <c r="CL40">
        <f>4.362</f>
        <v>4.3620000000000001</v>
      </c>
      <c r="CM40">
        <f>2.683</f>
        <v>2.6829999999999998</v>
      </c>
      <c r="CN40">
        <f>2.341</f>
        <v>2.3410000000000002</v>
      </c>
      <c r="CO40">
        <f>2.146</f>
        <v>2.1459999999999999</v>
      </c>
      <c r="CP40">
        <f>2.09</f>
        <v>2.09</v>
      </c>
      <c r="CQ40">
        <f>3.302</f>
        <v>3.302</v>
      </c>
      <c r="CR40">
        <f>2.824</f>
        <v>2.8239999999999998</v>
      </c>
      <c r="CS40">
        <f>2.509</f>
        <v>2.5089999999999999</v>
      </c>
      <c r="CT40">
        <f>5.91</f>
        <v>5.91</v>
      </c>
      <c r="CU40">
        <f>3.588</f>
        <v>3.5880000000000001</v>
      </c>
      <c r="CV40">
        <f>3.714</f>
        <v>3.714</v>
      </c>
      <c r="CW40">
        <f>2.941</f>
        <v>2.9409999999999998</v>
      </c>
      <c r="CX40">
        <f>2.603</f>
        <v>2.6030000000000002</v>
      </c>
      <c r="CY40" t="str">
        <f>""</f>
        <v/>
      </c>
      <c r="CZ40" t="str">
        <f>""</f>
        <v/>
      </c>
      <c r="DA40" t="str">
        <f>""</f>
        <v/>
      </c>
      <c r="DB40" t="str">
        <f>""</f>
        <v/>
      </c>
      <c r="DC40" t="str">
        <f>""</f>
        <v/>
      </c>
      <c r="DD40" t="str">
        <f>""</f>
        <v/>
      </c>
      <c r="DE40" t="str">
        <f>""</f>
        <v/>
      </c>
      <c r="DF40" t="str">
        <f>""</f>
        <v/>
      </c>
      <c r="DG40" t="str">
        <f>""</f>
        <v/>
      </c>
      <c r="DH40" t="str">
        <f>""</f>
        <v/>
      </c>
      <c r="DI40" t="str">
        <f>""</f>
        <v/>
      </c>
      <c r="DJ40" t="str">
        <f>""</f>
        <v/>
      </c>
      <c r="DK40" t="str">
        <f>""</f>
        <v/>
      </c>
      <c r="DL40" t="str">
        <f>""</f>
        <v/>
      </c>
      <c r="DM40" t="str">
        <f>""</f>
        <v/>
      </c>
      <c r="DN40" t="str">
        <f>""</f>
        <v/>
      </c>
      <c r="DO40" t="str">
        <f>""</f>
        <v/>
      </c>
      <c r="DP40" t="str">
        <f>""</f>
        <v/>
      </c>
      <c r="DQ40" t="str">
        <f>""</f>
        <v/>
      </c>
      <c r="DR40" t="str">
        <f>""</f>
        <v/>
      </c>
      <c r="DS40" t="str">
        <f>""</f>
        <v/>
      </c>
      <c r="DT40" t="str">
        <f>""</f>
        <v/>
      </c>
      <c r="DU40" t="str">
        <f>""</f>
        <v/>
      </c>
    </row>
    <row r="41" spans="1:125">
      <c r="A41" t="str">
        <f>"    Kimco Realty Corp"</f>
        <v xml:space="preserve">    Kimco Realty Corp</v>
      </c>
      <c r="B41" t="str">
        <f>"KIM US Equity"</f>
        <v>KIM US Equity</v>
      </c>
      <c r="C41" t="str">
        <f t="shared" si="6"/>
        <v>IM281</v>
      </c>
      <c r="D41" t="str">
        <f t="shared" si="7"/>
        <v>IS_NON_REAL_ESTATE_INCOME</v>
      </c>
      <c r="E41" t="str">
        <f t="shared" si="8"/>
        <v>动态</v>
      </c>
      <c r="F41" t="str">
        <f ca="1">IF(AND(ISNUMBER($F$500),$B$419=1),$F$500,HLOOKUP(INDIRECT(ADDRESS(2,COLUMN())),OFFSET($BN$2,0,0,ROW()-1,60),ROW()-1,FALSE))</f>
        <v/>
      </c>
      <c r="G41">
        <f ca="1">IF(AND(ISNUMBER($G$500),$B$419=1),$G$500,HLOOKUP(INDIRECT(ADDRESS(2,COLUMN())),OFFSET($BN$2,0,0,ROW()-1,60),ROW()-1,FALSE))</f>
        <v>0</v>
      </c>
      <c r="H41">
        <f ca="1">IF(AND(ISNUMBER($H$500),$B$419=1),$H$500,HLOOKUP(INDIRECT(ADDRESS(2,COLUMN())),OFFSET($BN$2,0,0,ROW()-1,60),ROW()-1,FALSE))</f>
        <v>0</v>
      </c>
      <c r="I41">
        <f ca="1">IF(AND(ISNUMBER($I$500),$B$419=1),$I$500,HLOOKUP(INDIRECT(ADDRESS(2,COLUMN())),OFFSET($BN$2,0,0,ROW()-1,60),ROW()-1,FALSE))</f>
        <v>0</v>
      </c>
      <c r="J41">
        <f ca="1">IF(AND(ISNUMBER($J$500),$B$419=1),$J$500,HLOOKUP(INDIRECT(ADDRESS(2,COLUMN())),OFFSET($BN$2,0,0,ROW()-1,60),ROW()-1,FALSE))</f>
        <v>0</v>
      </c>
      <c r="K41">
        <f ca="1">IF(AND(ISNUMBER($K$500),$B$419=1),$K$500,HLOOKUP(INDIRECT(ADDRESS(2,COLUMN())),OFFSET($BN$2,0,0,ROW()-1,60),ROW()-1,FALSE))</f>
        <v>0</v>
      </c>
      <c r="L41">
        <f ca="1">IF(AND(ISNUMBER($L$500),$B$419=1),$L$500,HLOOKUP(INDIRECT(ADDRESS(2,COLUMN())),OFFSET($BN$2,0,0,ROW()-1,60),ROW()-1,FALSE))</f>
        <v>0</v>
      </c>
      <c r="M41">
        <f ca="1">IF(AND(ISNUMBER($M$500),$B$419=1),$M$500,HLOOKUP(INDIRECT(ADDRESS(2,COLUMN())),OFFSET($BN$2,0,0,ROW()-1,60),ROW()-1,FALSE))</f>
        <v>0</v>
      </c>
      <c r="N41">
        <f ca="1">IF(AND(ISNUMBER($N$500),$B$419=1),$N$500,HLOOKUP(INDIRECT(ADDRESS(2,COLUMN())),OFFSET($BN$2,0,0,ROW()-1,60),ROW()-1,FALSE))</f>
        <v>0</v>
      </c>
      <c r="O41">
        <f ca="1">IF(AND(ISNUMBER($O$500),$B$419=1),$O$500,HLOOKUP(INDIRECT(ADDRESS(2,COLUMN())),OFFSET($BN$2,0,0,ROW()-1,60),ROW()-1,FALSE))</f>
        <v>0</v>
      </c>
      <c r="P41">
        <f ca="1">IF(AND(ISNUMBER($P$500),$B$419=1),$P$500,HLOOKUP(INDIRECT(ADDRESS(2,COLUMN())),OFFSET($BN$2,0,0,ROW()-1,60),ROW()-1,FALSE))</f>
        <v>0</v>
      </c>
      <c r="Q41">
        <f ca="1">IF(AND(ISNUMBER($Q$500),$B$419=1),$Q$500,HLOOKUP(INDIRECT(ADDRESS(2,COLUMN())),OFFSET($BN$2,0,0,ROW()-1,60),ROW()-1,FALSE))</f>
        <v>0</v>
      </c>
      <c r="R41">
        <f ca="1">IF(AND(ISNUMBER($R$500),$B$419=1),$R$500,HLOOKUP(INDIRECT(ADDRESS(2,COLUMN())),OFFSET($BN$2,0,0,ROW()-1,60),ROW()-1,FALSE))</f>
        <v>0</v>
      </c>
      <c r="S41">
        <f ca="1">IF(AND(ISNUMBER($S$500),$B$419=1),$S$500,HLOOKUP(INDIRECT(ADDRESS(2,COLUMN())),OFFSET($BN$2,0,0,ROW()-1,60),ROW()-1,FALSE))</f>
        <v>0</v>
      </c>
      <c r="T41">
        <f ca="1">IF(AND(ISNUMBER($T$500),$B$419=1),$T$500,HLOOKUP(INDIRECT(ADDRESS(2,COLUMN())),OFFSET($BN$2,0,0,ROW()-1,60),ROW()-1,FALSE))</f>
        <v>0</v>
      </c>
      <c r="U41">
        <f ca="1">IF(AND(ISNUMBER($U$500),$B$419=1),$U$500,HLOOKUP(INDIRECT(ADDRESS(2,COLUMN())),OFFSET($BN$2,0,0,ROW()-1,60),ROW()-1,FALSE))</f>
        <v>0</v>
      </c>
      <c r="V41">
        <f ca="1">IF(AND(ISNUMBER($V$500),$B$419=1),$V$500,HLOOKUP(INDIRECT(ADDRESS(2,COLUMN())),OFFSET($BN$2,0,0,ROW()-1,60),ROW()-1,FALSE))</f>
        <v>0</v>
      </c>
      <c r="W41">
        <f ca="1">IF(AND(ISNUMBER($W$500),$B$419=1),$W$500,HLOOKUP(INDIRECT(ADDRESS(2,COLUMN())),OFFSET($BN$2,0,0,ROW()-1,60),ROW()-1,FALSE))</f>
        <v>0</v>
      </c>
      <c r="X41">
        <f ca="1">IF(AND(ISNUMBER($X$500),$B$419=1),$X$500,HLOOKUP(INDIRECT(ADDRESS(2,COLUMN())),OFFSET($BN$2,0,0,ROW()-1,60),ROW()-1,FALSE))</f>
        <v>0</v>
      </c>
      <c r="Y41">
        <f ca="1">IF(AND(ISNUMBER($Y$500),$B$419=1),$Y$500,HLOOKUP(INDIRECT(ADDRESS(2,COLUMN())),OFFSET($BN$2,0,0,ROW()-1,60),ROW()-1,FALSE))</f>
        <v>0</v>
      </c>
      <c r="Z41">
        <f ca="1">IF(AND(ISNUMBER($Z$500),$B$419=1),$Z$500,HLOOKUP(INDIRECT(ADDRESS(2,COLUMN())),OFFSET($BN$2,0,0,ROW()-1,60),ROW()-1,FALSE))</f>
        <v>0</v>
      </c>
      <c r="AA41">
        <f ca="1">IF(AND(ISNUMBER($AA$500),$B$419=1),$AA$500,HLOOKUP(INDIRECT(ADDRESS(2,COLUMN())),OFFSET($BN$2,0,0,ROW()-1,60),ROW()-1,FALSE))</f>
        <v>0</v>
      </c>
      <c r="AB41">
        <f ca="1">IF(AND(ISNUMBER($AB$500),$B$419=1),$AB$500,HLOOKUP(INDIRECT(ADDRESS(2,COLUMN())),OFFSET($BN$2,0,0,ROW()-1,60),ROW()-1,FALSE))</f>
        <v>0</v>
      </c>
      <c r="AC41">
        <f ca="1">IF(AND(ISNUMBER($AC$500),$B$419=1),$AC$500,HLOOKUP(INDIRECT(ADDRESS(2,COLUMN())),OFFSET($BN$2,0,0,ROW()-1,60),ROW()-1,FALSE))</f>
        <v>0</v>
      </c>
      <c r="AD41">
        <f ca="1">IF(AND(ISNUMBER($AD$500),$B$419=1),$AD$500,HLOOKUP(INDIRECT(ADDRESS(2,COLUMN())),OFFSET($BN$2,0,0,ROW()-1,60),ROW()-1,FALSE))</f>
        <v>0</v>
      </c>
      <c r="AE41">
        <f ca="1">IF(AND(ISNUMBER($AE$500),$B$419=1),$AE$500,HLOOKUP(INDIRECT(ADDRESS(2,COLUMN())),OFFSET($BN$2,0,0,ROW()-1,60),ROW()-1,FALSE))</f>
        <v>0</v>
      </c>
      <c r="AF41">
        <f ca="1">IF(AND(ISNUMBER($AF$500),$B$419=1),$AF$500,HLOOKUP(INDIRECT(ADDRESS(2,COLUMN())),OFFSET($BN$2,0,0,ROW()-1,60),ROW()-1,FALSE))</f>
        <v>0</v>
      </c>
      <c r="AG41">
        <f ca="1">IF(AND(ISNUMBER($AG$500),$B$419=1),$AG$500,HLOOKUP(INDIRECT(ADDRESS(2,COLUMN())),OFFSET($BN$2,0,0,ROW()-1,60),ROW()-1,FALSE))</f>
        <v>0</v>
      </c>
      <c r="AH41">
        <f ca="1">IF(AND(ISNUMBER($AH$500),$B$419=1),$AH$500,HLOOKUP(INDIRECT(ADDRESS(2,COLUMN())),OFFSET($BN$2,0,0,ROW()-1,60),ROW()-1,FALSE))</f>
        <v>0</v>
      </c>
      <c r="AI41">
        <f ca="1">IF(AND(ISNUMBER($AI$500),$B$419=1),$AI$500,HLOOKUP(INDIRECT(ADDRESS(2,COLUMN())),OFFSET($BN$2,0,0,ROW()-1,60),ROW()-1,FALSE))</f>
        <v>0.93899999999999995</v>
      </c>
      <c r="AJ41">
        <f ca="1">IF(AND(ISNUMBER($AJ$500),$B$419=1),$AJ$500,HLOOKUP(INDIRECT(ADDRESS(2,COLUMN())),OFFSET($BN$2,0,0,ROW()-1,60),ROW()-1,FALSE))</f>
        <v>1.2310000000000001</v>
      </c>
      <c r="AK41">
        <f ca="1">IF(AND(ISNUMBER($AK$500),$B$419=1),$AK$500,HLOOKUP(INDIRECT(ADDRESS(2,COLUMN())),OFFSET($BN$2,0,0,ROW()-1,60),ROW()-1,FALSE))</f>
        <v>0.42399999999999999</v>
      </c>
      <c r="AL41">
        <f ca="1">IF(AND(ISNUMBER($AL$500),$B$419=1),$AL$500,HLOOKUP(INDIRECT(ADDRESS(2,COLUMN())),OFFSET($BN$2,0,0,ROW()-1,60),ROW()-1,FALSE))</f>
        <v>1.044</v>
      </c>
      <c r="AM41">
        <f ca="1">IF(AND(ISNUMBER($AM$500),$B$419=1),$AM$500,HLOOKUP(INDIRECT(ADDRESS(2,COLUMN())),OFFSET($BN$2,0,0,ROW()-1,60),ROW()-1,FALSE))</f>
        <v>9.2750000000000004</v>
      </c>
      <c r="AN41">
        <f ca="1">IF(AND(ISNUMBER($AN$500),$B$419=1),$AN$500,HLOOKUP(INDIRECT(ADDRESS(2,COLUMN())),OFFSET($BN$2,0,0,ROW()-1,60),ROW()-1,FALSE))</f>
        <v>9.2880000000000003</v>
      </c>
      <c r="AO41">
        <f ca="1">IF(AND(ISNUMBER($AO$500),$B$419=1),$AO$500,HLOOKUP(INDIRECT(ADDRESS(2,COLUMN())),OFFSET($BN$2,0,0,ROW()-1,60),ROW()-1,FALSE))</f>
        <v>9.3379999999999992</v>
      </c>
      <c r="AP41">
        <f ca="1">IF(AND(ISNUMBER($AP$500),$B$419=1),$AP$500,HLOOKUP(INDIRECT(ADDRESS(2,COLUMN())),OFFSET($BN$2,0,0,ROW()-1,60),ROW()-1,FALSE))</f>
        <v>8.3859999999999992</v>
      </c>
      <c r="AQ41" t="str">
        <f ca="1">IF(AND(ISNUMBER($AQ$500),$B$419=1),$AQ$500,HLOOKUP(INDIRECT(ADDRESS(2,COLUMN())),OFFSET($BN$2,0,0,ROW()-1,60),ROW()-1,FALSE))</f>
        <v/>
      </c>
      <c r="AR41" t="str">
        <f ca="1">IF(AND(ISNUMBER($AR$500),$B$419=1),$AR$500,HLOOKUP(INDIRECT(ADDRESS(2,COLUMN())),OFFSET($BN$2,0,0,ROW()-1,60),ROW()-1,FALSE))</f>
        <v/>
      </c>
      <c r="AS41" t="str">
        <f ca="1">IF(AND(ISNUMBER($AS$500),$B$419=1),$AS$500,HLOOKUP(INDIRECT(ADDRESS(2,COLUMN())),OFFSET($BN$2,0,0,ROW()-1,60),ROW()-1,FALSE))</f>
        <v/>
      </c>
      <c r="AT41" t="str">
        <f ca="1">IF(AND(ISNUMBER($AT$500),$B$419=1),$AT$500,HLOOKUP(INDIRECT(ADDRESS(2,COLUMN())),OFFSET($BN$2,0,0,ROW()-1,60),ROW()-1,FALSE))</f>
        <v/>
      </c>
      <c r="AU41" t="str">
        <f ca="1">IF(AND(ISNUMBER($AU$500),$B$419=1),$AU$500,HLOOKUP(INDIRECT(ADDRESS(2,COLUMN())),OFFSET($BN$2,0,0,ROW()-1,60),ROW()-1,FALSE))</f>
        <v/>
      </c>
      <c r="AV41" t="str">
        <f ca="1">IF(AND(ISNUMBER($AV$500),$B$419=1),$AV$500,HLOOKUP(INDIRECT(ADDRESS(2,COLUMN())),OFFSET($BN$2,0,0,ROW()-1,60),ROW()-1,FALSE))</f>
        <v/>
      </c>
      <c r="AW41" t="str">
        <f ca="1">IF(AND(ISNUMBER($AW$500),$B$419=1),$AW$500,HLOOKUP(INDIRECT(ADDRESS(2,COLUMN())),OFFSET($BN$2,0,0,ROW()-1,60),ROW()-1,FALSE))</f>
        <v/>
      </c>
      <c r="AX41" t="str">
        <f ca="1">IF(AND(ISNUMBER($AX$500),$B$419=1),$AX$500,HLOOKUP(INDIRECT(ADDRESS(2,COLUMN())),OFFSET($BN$2,0,0,ROW()-1,60),ROW()-1,FALSE))</f>
        <v/>
      </c>
      <c r="AY41" t="str">
        <f ca="1">IF(AND(ISNUMBER($AY$500),$B$419=1),$AY$500,HLOOKUP(INDIRECT(ADDRESS(2,COLUMN())),OFFSET($BN$2,0,0,ROW()-1,60),ROW()-1,FALSE))</f>
        <v/>
      </c>
      <c r="AZ41" t="str">
        <f ca="1">IF(AND(ISNUMBER($AZ$500),$B$419=1),$AZ$500,HLOOKUP(INDIRECT(ADDRESS(2,COLUMN())),OFFSET($BN$2,0,0,ROW()-1,60),ROW()-1,FALSE))</f>
        <v/>
      </c>
      <c r="BA41" t="str">
        <f ca="1">IF(AND(ISNUMBER($BA$500),$B$419=1),$BA$500,HLOOKUP(INDIRECT(ADDRESS(2,COLUMN())),OFFSET($BN$2,0,0,ROW()-1,60),ROW()-1,FALSE))</f>
        <v/>
      </c>
      <c r="BB41" t="str">
        <f ca="1">IF(AND(ISNUMBER($BB$500),$B$419=1),$BB$500,HLOOKUP(INDIRECT(ADDRESS(2,COLUMN())),OFFSET($BN$2,0,0,ROW()-1,60),ROW()-1,FALSE))</f>
        <v/>
      </c>
      <c r="BC41" t="str">
        <f ca="1">IF(AND(ISNUMBER($BC$500),$B$419=1),$BC$500,HLOOKUP(INDIRECT(ADDRESS(2,COLUMN())),OFFSET($BN$2,0,0,ROW()-1,60),ROW()-1,FALSE))</f>
        <v/>
      </c>
      <c r="BD41" t="str">
        <f ca="1">IF(AND(ISNUMBER($BD$500),$B$419=1),$BD$500,HLOOKUP(INDIRECT(ADDRESS(2,COLUMN())),OFFSET($BN$2,0,0,ROW()-1,60),ROW()-1,FALSE))</f>
        <v/>
      </c>
      <c r="BE41" t="str">
        <f ca="1">IF(AND(ISNUMBER($BE$500),$B$419=1),$BE$500,HLOOKUP(INDIRECT(ADDRESS(2,COLUMN())),OFFSET($BN$2,0,0,ROW()-1,60),ROW()-1,FALSE))</f>
        <v/>
      </c>
      <c r="BF41" t="str">
        <f ca="1">IF(AND(ISNUMBER($BF$500),$B$419=1),$BF$500,HLOOKUP(INDIRECT(ADDRESS(2,COLUMN())),OFFSET($BN$2,0,0,ROW()-1,60),ROW()-1,FALSE))</f>
        <v/>
      </c>
      <c r="BG41" t="str">
        <f ca="1">IF(AND(ISNUMBER($BG$500),$B$419=1),$BG$500,HLOOKUP(INDIRECT(ADDRESS(2,COLUMN())),OFFSET($BN$2,0,0,ROW()-1,60),ROW()-1,FALSE))</f>
        <v/>
      </c>
      <c r="BH41" t="str">
        <f ca="1">IF(AND(ISNUMBER($BH$500),$B$419=1),$BH$500,HLOOKUP(INDIRECT(ADDRESS(2,COLUMN())),OFFSET($BN$2,0,0,ROW()-1,60),ROW()-1,FALSE))</f>
        <v/>
      </c>
      <c r="BI41" t="str">
        <f ca="1">IF(AND(ISNUMBER($BI$500),$B$419=1),$BI$500,HLOOKUP(INDIRECT(ADDRESS(2,COLUMN())),OFFSET($BN$2,0,0,ROW()-1,60),ROW()-1,FALSE))</f>
        <v/>
      </c>
      <c r="BJ41" t="str">
        <f ca="1">IF(AND(ISNUMBER($BJ$500),$B$419=1),$BJ$500,HLOOKUP(INDIRECT(ADDRESS(2,COLUMN())),OFFSET($BN$2,0,0,ROW()-1,60),ROW()-1,FALSE))</f>
        <v/>
      </c>
      <c r="BK41" t="str">
        <f ca="1">IF(AND(ISNUMBER($BK$500),$B$419=1),$BK$500,HLOOKUP(INDIRECT(ADDRESS(2,COLUMN())),OFFSET($BN$2,0,0,ROW()-1,60),ROW()-1,FALSE))</f>
        <v/>
      </c>
      <c r="BL41" t="str">
        <f ca="1">IF(AND(ISNUMBER($BL$500),$B$419=1),$BL$500,HLOOKUP(INDIRECT(ADDRESS(2,COLUMN())),OFFSET($BN$2,0,0,ROW()-1,60),ROW()-1,FALSE))</f>
        <v/>
      </c>
      <c r="BM41" t="str">
        <f ca="1">IF(AND(ISNUMBER($BM$500),$B$419=1),$BM$500,HLOOKUP(INDIRECT(ADDRESS(2,COLUMN())),OFFSET($BN$2,0,0,ROW()-1,60),ROW()-1,FALSE))</f>
        <v/>
      </c>
      <c r="BN41" t="str">
        <f>""</f>
        <v/>
      </c>
      <c r="BO41">
        <f>0</f>
        <v>0</v>
      </c>
      <c r="BP41">
        <f>0</f>
        <v>0</v>
      </c>
      <c r="BQ41">
        <f>0</f>
        <v>0</v>
      </c>
      <c r="BR41">
        <f>0</f>
        <v>0</v>
      </c>
      <c r="BS41">
        <f>0</f>
        <v>0</v>
      </c>
      <c r="BT41">
        <f>0</f>
        <v>0</v>
      </c>
      <c r="BU41">
        <f>0</f>
        <v>0</v>
      </c>
      <c r="BV41">
        <f>0</f>
        <v>0</v>
      </c>
      <c r="BW41">
        <f>0</f>
        <v>0</v>
      </c>
      <c r="BX41">
        <f>0</f>
        <v>0</v>
      </c>
      <c r="BY41">
        <f>0</f>
        <v>0</v>
      </c>
      <c r="BZ41">
        <f>0</f>
        <v>0</v>
      </c>
      <c r="CA41">
        <f>0</f>
        <v>0</v>
      </c>
      <c r="CB41">
        <f>0</f>
        <v>0</v>
      </c>
      <c r="CC41">
        <f>0</f>
        <v>0</v>
      </c>
      <c r="CD41">
        <f>0</f>
        <v>0</v>
      </c>
      <c r="CE41">
        <f>0</f>
        <v>0</v>
      </c>
      <c r="CF41">
        <f>0</f>
        <v>0</v>
      </c>
      <c r="CG41">
        <f>0</f>
        <v>0</v>
      </c>
      <c r="CH41">
        <f>0</f>
        <v>0</v>
      </c>
      <c r="CI41">
        <f>0</f>
        <v>0</v>
      </c>
      <c r="CJ41">
        <f>0</f>
        <v>0</v>
      </c>
      <c r="CK41">
        <f>0</f>
        <v>0</v>
      </c>
      <c r="CL41">
        <f>0</f>
        <v>0</v>
      </c>
      <c r="CM41">
        <f>0</f>
        <v>0</v>
      </c>
      <c r="CN41">
        <f>0</f>
        <v>0</v>
      </c>
      <c r="CO41">
        <f>0</f>
        <v>0</v>
      </c>
      <c r="CP41">
        <f>0</f>
        <v>0</v>
      </c>
      <c r="CQ41">
        <f>0.939</f>
        <v>0.93899999999999995</v>
      </c>
      <c r="CR41">
        <f>1.231</f>
        <v>1.2310000000000001</v>
      </c>
      <c r="CS41">
        <f>0.424</f>
        <v>0.42399999999999999</v>
      </c>
      <c r="CT41">
        <f>1.044</f>
        <v>1.044</v>
      </c>
      <c r="CU41">
        <f>9.275</f>
        <v>9.2750000000000004</v>
      </c>
      <c r="CV41">
        <f>9.288</f>
        <v>9.2880000000000003</v>
      </c>
      <c r="CW41">
        <f>9.338</f>
        <v>9.3379999999999992</v>
      </c>
      <c r="CX41">
        <f>8.386</f>
        <v>8.3859999999999992</v>
      </c>
      <c r="CY41" t="str">
        <f>""</f>
        <v/>
      </c>
      <c r="CZ41" t="str">
        <f>""</f>
        <v/>
      </c>
      <c r="DA41" t="str">
        <f>""</f>
        <v/>
      </c>
      <c r="DB41" t="str">
        <f>""</f>
        <v/>
      </c>
      <c r="DC41" t="str">
        <f>""</f>
        <v/>
      </c>
      <c r="DD41" t="str">
        <f>""</f>
        <v/>
      </c>
      <c r="DE41" t="str">
        <f>""</f>
        <v/>
      </c>
      <c r="DF41" t="str">
        <f>""</f>
        <v/>
      </c>
      <c r="DG41" t="str">
        <f>""</f>
        <v/>
      </c>
      <c r="DH41" t="str">
        <f>""</f>
        <v/>
      </c>
      <c r="DI41" t="str">
        <f>""</f>
        <v/>
      </c>
      <c r="DJ41" t="str">
        <f>""</f>
        <v/>
      </c>
      <c r="DK41" t="str">
        <f>""</f>
        <v/>
      </c>
      <c r="DL41" t="str">
        <f>""</f>
        <v/>
      </c>
      <c r="DM41" t="str">
        <f>""</f>
        <v/>
      </c>
      <c r="DN41" t="str">
        <f>""</f>
        <v/>
      </c>
      <c r="DO41" t="str">
        <f>""</f>
        <v/>
      </c>
      <c r="DP41" t="str">
        <f>""</f>
        <v/>
      </c>
      <c r="DQ41" t="str">
        <f>""</f>
        <v/>
      </c>
      <c r="DR41" t="str">
        <f>""</f>
        <v/>
      </c>
      <c r="DS41" t="str">
        <f>""</f>
        <v/>
      </c>
      <c r="DT41" t="str">
        <f>""</f>
        <v/>
      </c>
      <c r="DU41" t="str">
        <f>""</f>
        <v/>
      </c>
    </row>
    <row r="42" spans="1:125">
      <c r="A42" t="str">
        <f>"    National Retail Properties Inc"</f>
        <v xml:space="preserve">    National Retail Properties Inc</v>
      </c>
      <c r="B42" t="str">
        <f>"NNN US Equity"</f>
        <v>NNN US Equity</v>
      </c>
      <c r="C42" t="str">
        <f t="shared" si="6"/>
        <v>IM281</v>
      </c>
      <c r="D42" t="str">
        <f t="shared" si="7"/>
        <v>IS_NON_REAL_ESTATE_INCOME</v>
      </c>
      <c r="E42" t="str">
        <f t="shared" si="8"/>
        <v>动态</v>
      </c>
      <c r="F42" t="str">
        <f ca="1">IF(AND(ISNUMBER($F$501),$B$419=1),$F$501,HLOOKUP(INDIRECT(ADDRESS(2,COLUMN())),OFFSET($BN$2,0,0,ROW()-1,60),ROW()-1,FALSE))</f>
        <v/>
      </c>
      <c r="G42">
        <f ca="1">IF(AND(ISNUMBER($G$501),$B$419=1),$G$501,HLOOKUP(INDIRECT(ADDRESS(2,COLUMN())),OFFSET($BN$2,0,0,ROW()-1,60),ROW()-1,FALSE))</f>
        <v>0.36599999999999999</v>
      </c>
      <c r="H42">
        <f ca="1">IF(AND(ISNUMBER($H$501),$B$419=1),$H$501,HLOOKUP(INDIRECT(ADDRESS(2,COLUMN())),OFFSET($BN$2,0,0,ROW()-1,60),ROW()-1,FALSE))</f>
        <v>0.32500000000000001</v>
      </c>
      <c r="I42">
        <f ca="1">IF(AND(ISNUMBER($I$501),$B$419=1),$I$501,HLOOKUP(INDIRECT(ADDRESS(2,COLUMN())),OFFSET($BN$2,0,0,ROW()-1,60),ROW()-1,FALSE))</f>
        <v>0.32600000000000001</v>
      </c>
      <c r="J42">
        <f ca="1">IF(AND(ISNUMBER($J$501),$B$419=1),$J$501,HLOOKUP(INDIRECT(ADDRESS(2,COLUMN())),OFFSET($BN$2,0,0,ROW()-1,60),ROW()-1,FALSE))</f>
        <v>0.34200000000000003</v>
      </c>
      <c r="K42">
        <f ca="1">IF(AND(ISNUMBER($K$501),$B$419=1),$K$501,HLOOKUP(INDIRECT(ADDRESS(2,COLUMN())),OFFSET($BN$2,0,0,ROW()-1,60),ROW()-1,FALSE))</f>
        <v>0.39200000000000002</v>
      </c>
      <c r="L42">
        <f ca="1">IF(AND(ISNUMBER($L$501),$B$419=1),$L$501,HLOOKUP(INDIRECT(ADDRESS(2,COLUMN())),OFFSET($BN$2,0,0,ROW()-1,60),ROW()-1,FALSE))</f>
        <v>0.72199999999999998</v>
      </c>
      <c r="M42">
        <f ca="1">IF(AND(ISNUMBER($M$501),$B$419=1),$M$501,HLOOKUP(INDIRECT(ADDRESS(2,COLUMN())),OFFSET($BN$2,0,0,ROW()-1,60),ROW()-1,FALSE))</f>
        <v>0.79500000000000004</v>
      </c>
      <c r="N42">
        <f ca="1">IF(AND(ISNUMBER($N$501),$B$419=1),$N$501,HLOOKUP(INDIRECT(ADDRESS(2,COLUMN())),OFFSET($BN$2,0,0,ROW()-1,60),ROW()-1,FALSE))</f>
        <v>0.80800000000000005</v>
      </c>
      <c r="O42">
        <f ca="1">IF(AND(ISNUMBER($O$501),$B$419=1),$O$501,HLOOKUP(INDIRECT(ADDRESS(2,COLUMN())),OFFSET($BN$2,0,0,ROW()-1,60),ROW()-1,FALSE))</f>
        <v>0.44600000000000001</v>
      </c>
      <c r="P42">
        <f ca="1">IF(AND(ISNUMBER($P$501),$B$419=1),$P$501,HLOOKUP(INDIRECT(ADDRESS(2,COLUMN())),OFFSET($BN$2,0,0,ROW()-1,60),ROW()-1,FALSE))</f>
        <v>0.78</v>
      </c>
      <c r="Q42">
        <f ca="1">IF(AND(ISNUMBER($Q$501),$B$419=1),$Q$501,HLOOKUP(INDIRECT(ADDRESS(2,COLUMN())),OFFSET($BN$2,0,0,ROW()-1,60),ROW()-1,FALSE))</f>
        <v>0.84399999999999997</v>
      </c>
      <c r="R42">
        <f ca="1">IF(AND(ISNUMBER($R$501),$B$419=1),$R$501,HLOOKUP(INDIRECT(ADDRESS(2,COLUMN())),OFFSET($BN$2,0,0,ROW()-1,60),ROW()-1,FALSE))</f>
        <v>0.85</v>
      </c>
      <c r="S42">
        <f ca="1">IF(AND(ISNUMBER($S$501),$B$419=1),$S$501,HLOOKUP(INDIRECT(ADDRESS(2,COLUMN())),OFFSET($BN$2,0,0,ROW()-1,60),ROW()-1,FALSE))</f>
        <v>0.46400000000000002</v>
      </c>
      <c r="T42">
        <f ca="1">IF(AND(ISNUMBER($T$501),$B$419=1),$T$501,HLOOKUP(INDIRECT(ADDRESS(2,COLUMN())),OFFSET($BN$2,0,0,ROW()-1,60),ROW()-1,FALSE))</f>
        <v>0.89100000000000001</v>
      </c>
      <c r="U42">
        <f ca="1">IF(AND(ISNUMBER($U$501),$B$419=1),$U$501,HLOOKUP(INDIRECT(ADDRESS(2,COLUMN())),OFFSET($BN$2,0,0,ROW()-1,60),ROW()-1,FALSE))</f>
        <v>0.88900000000000001</v>
      </c>
      <c r="V42">
        <f ca="1">IF(AND(ISNUMBER($V$501),$B$419=1),$V$501,HLOOKUP(INDIRECT(ADDRESS(2,COLUMN())),OFFSET($BN$2,0,0,ROW()-1,60),ROW()-1,FALSE))</f>
        <v>0.89500000000000002</v>
      </c>
      <c r="W42">
        <f ca="1">IF(AND(ISNUMBER($W$501),$B$419=1),$W$501,HLOOKUP(INDIRECT(ADDRESS(2,COLUMN())),OFFSET($BN$2,0,0,ROW()-1,60),ROW()-1,FALSE))</f>
        <v>0.501</v>
      </c>
      <c r="X42">
        <f ca="1">IF(AND(ISNUMBER($X$501),$B$419=1),$X$501,HLOOKUP(INDIRECT(ADDRESS(2,COLUMN())),OFFSET($BN$2,0,0,ROW()-1,60),ROW()-1,FALSE))</f>
        <v>1.1279999999999999</v>
      </c>
      <c r="Y42">
        <f ca="1">IF(AND(ISNUMBER($Y$501),$B$419=1),$Y$501,HLOOKUP(INDIRECT(ADDRESS(2,COLUMN())),OFFSET($BN$2,0,0,ROW()-1,60),ROW()-1,FALSE))</f>
        <v>1.087</v>
      </c>
      <c r="Z42">
        <f ca="1">IF(AND(ISNUMBER($Z$501),$B$419=1),$Z$501,HLOOKUP(INDIRECT(ADDRESS(2,COLUMN())),OFFSET($BN$2,0,0,ROW()-1,60),ROW()-1,FALSE))</f>
        <v>1.1140000000000001</v>
      </c>
      <c r="AA42">
        <f ca="1">IF(AND(ISNUMBER($AA$501),$B$419=1),$AA$501,HLOOKUP(INDIRECT(ADDRESS(2,COLUMN())),OFFSET($BN$2,0,0,ROW()-1,60),ROW()-1,FALSE))</f>
        <v>0.42799999999999999</v>
      </c>
      <c r="AB42">
        <f ca="1">IF(AND(ISNUMBER($AB$501),$B$419=1),$AB$501,HLOOKUP(INDIRECT(ADDRESS(2,COLUMN())),OFFSET($BN$2,0,0,ROW()-1,60),ROW()-1,FALSE))</f>
        <v>1.1639999999999999</v>
      </c>
      <c r="AC42">
        <f ca="1">IF(AND(ISNUMBER($AC$501),$B$419=1),$AC$501,HLOOKUP(INDIRECT(ADDRESS(2,COLUMN())),OFFSET($BN$2,0,0,ROW()-1,60),ROW()-1,FALSE))</f>
        <v>9.0939999999999994</v>
      </c>
      <c r="AD42">
        <f ca="1">IF(AND(ISNUMBER($AD$501),$B$419=1),$AD$501,HLOOKUP(INDIRECT(ADDRESS(2,COLUMN())),OFFSET($BN$2,0,0,ROW()-1,60),ROW()-1,FALSE))</f>
        <v>12.606999999999999</v>
      </c>
      <c r="AE42">
        <f ca="1">IF(AND(ISNUMBER($AE$501),$B$419=1),$AE$501,HLOOKUP(INDIRECT(ADDRESS(2,COLUMN())),OFFSET($BN$2,0,0,ROW()-1,60),ROW()-1,FALSE))</f>
        <v>12.798</v>
      </c>
      <c r="AF42">
        <f ca="1">IF(AND(ISNUMBER($AF$501),$B$419=1),$AF$501,HLOOKUP(INDIRECT(ADDRESS(2,COLUMN())),OFFSET($BN$2,0,0,ROW()-1,60),ROW()-1,FALSE))</f>
        <v>13.823</v>
      </c>
      <c r="AG42">
        <f ca="1">IF(AND(ISNUMBER($AG$501),$B$419=1),$AG$501,HLOOKUP(INDIRECT(ADDRESS(2,COLUMN())),OFFSET($BN$2,0,0,ROW()-1,60),ROW()-1,FALSE))</f>
        <v>13.92</v>
      </c>
      <c r="AH42">
        <f ca="1">IF(AND(ISNUMBER($AH$501),$B$419=1),$AH$501,HLOOKUP(INDIRECT(ADDRESS(2,COLUMN())),OFFSET($BN$2,0,0,ROW()-1,60),ROW()-1,FALSE))</f>
        <v>10.356999999999999</v>
      </c>
      <c r="AI42">
        <f ca="1">IF(AND(ISNUMBER($AI$501),$B$419=1),$AI$501,HLOOKUP(INDIRECT(ADDRESS(2,COLUMN())),OFFSET($BN$2,0,0,ROW()-1,60),ROW()-1,FALSE))</f>
        <v>8.9979999999999993</v>
      </c>
      <c r="AJ42">
        <f ca="1">IF(AND(ISNUMBER($AJ$501),$B$419=1),$AJ$501,HLOOKUP(INDIRECT(ADDRESS(2,COLUMN())),OFFSET($BN$2,0,0,ROW()-1,60),ROW()-1,FALSE))</f>
        <v>10.769</v>
      </c>
      <c r="AK42">
        <f ca="1">IF(AND(ISNUMBER($AK$501),$B$419=1),$AK$501,HLOOKUP(INDIRECT(ADDRESS(2,COLUMN())),OFFSET($BN$2,0,0,ROW()-1,60),ROW()-1,FALSE))</f>
        <v>10.308999999999999</v>
      </c>
      <c r="AL42">
        <f ca="1">IF(AND(ISNUMBER($AL$501),$B$419=1),$AL$501,HLOOKUP(INDIRECT(ADDRESS(2,COLUMN())),OFFSET($BN$2,0,0,ROW()-1,60),ROW()-1,FALSE))</f>
        <v>8.3490000000000002</v>
      </c>
      <c r="AM42">
        <f ca="1">IF(AND(ISNUMBER($AM$501),$B$419=1),$AM$501,HLOOKUP(INDIRECT(ADDRESS(2,COLUMN())),OFFSET($BN$2,0,0,ROW()-1,60),ROW()-1,FALSE))</f>
        <v>9.43</v>
      </c>
      <c r="AN42">
        <f ca="1">IF(AND(ISNUMBER($AN$501),$B$419=1),$AN$501,HLOOKUP(INDIRECT(ADDRESS(2,COLUMN())),OFFSET($BN$2,0,0,ROW()-1,60),ROW()-1,FALSE))</f>
        <v>9.2159999999999993</v>
      </c>
      <c r="AO42">
        <f ca="1">IF(AND(ISNUMBER($AO$501),$B$419=1),$AO$501,HLOOKUP(INDIRECT(ADDRESS(2,COLUMN())),OFFSET($BN$2,0,0,ROW()-1,60),ROW()-1,FALSE))</f>
        <v>1.746</v>
      </c>
      <c r="AP42">
        <f ca="1">IF(AND(ISNUMBER($AP$501),$B$419=1),$AP$501,HLOOKUP(INDIRECT(ADDRESS(2,COLUMN())),OFFSET($BN$2,0,0,ROW()-1,60),ROW()-1,FALSE))</f>
        <v>1.8859999999999999</v>
      </c>
      <c r="AQ42" t="str">
        <f ca="1">IF(AND(ISNUMBER($AQ$501),$B$419=1),$AQ$501,HLOOKUP(INDIRECT(ADDRESS(2,COLUMN())),OFFSET($BN$2,0,0,ROW()-1,60),ROW()-1,FALSE))</f>
        <v/>
      </c>
      <c r="AR42" t="str">
        <f ca="1">IF(AND(ISNUMBER($AR$501),$B$419=1),$AR$501,HLOOKUP(INDIRECT(ADDRESS(2,COLUMN())),OFFSET($BN$2,0,0,ROW()-1,60),ROW()-1,FALSE))</f>
        <v/>
      </c>
      <c r="AS42" t="str">
        <f ca="1">IF(AND(ISNUMBER($AS$501),$B$419=1),$AS$501,HLOOKUP(INDIRECT(ADDRESS(2,COLUMN())),OFFSET($BN$2,0,0,ROW()-1,60),ROW()-1,FALSE))</f>
        <v/>
      </c>
      <c r="AT42" t="str">
        <f ca="1">IF(AND(ISNUMBER($AT$501),$B$419=1),$AT$501,HLOOKUP(INDIRECT(ADDRESS(2,COLUMN())),OFFSET($BN$2,0,0,ROW()-1,60),ROW()-1,FALSE))</f>
        <v/>
      </c>
      <c r="AU42" t="str">
        <f ca="1">IF(AND(ISNUMBER($AU$501),$B$419=1),$AU$501,HLOOKUP(INDIRECT(ADDRESS(2,COLUMN())),OFFSET($BN$2,0,0,ROW()-1,60),ROW()-1,FALSE))</f>
        <v/>
      </c>
      <c r="AV42" t="str">
        <f ca="1">IF(AND(ISNUMBER($AV$501),$B$419=1),$AV$501,HLOOKUP(INDIRECT(ADDRESS(2,COLUMN())),OFFSET($BN$2,0,0,ROW()-1,60),ROW()-1,FALSE))</f>
        <v/>
      </c>
      <c r="AW42" t="str">
        <f ca="1">IF(AND(ISNUMBER($AW$501),$B$419=1),$AW$501,HLOOKUP(INDIRECT(ADDRESS(2,COLUMN())),OFFSET($BN$2,0,0,ROW()-1,60),ROW()-1,FALSE))</f>
        <v/>
      </c>
      <c r="AX42" t="str">
        <f ca="1">IF(AND(ISNUMBER($AX$501),$B$419=1),$AX$501,HLOOKUP(INDIRECT(ADDRESS(2,COLUMN())),OFFSET($BN$2,0,0,ROW()-1,60),ROW()-1,FALSE))</f>
        <v/>
      </c>
      <c r="AY42" t="str">
        <f ca="1">IF(AND(ISNUMBER($AY$501),$B$419=1),$AY$501,HLOOKUP(INDIRECT(ADDRESS(2,COLUMN())),OFFSET($BN$2,0,0,ROW()-1,60),ROW()-1,FALSE))</f>
        <v/>
      </c>
      <c r="AZ42" t="str">
        <f ca="1">IF(AND(ISNUMBER($AZ$501),$B$419=1),$AZ$501,HLOOKUP(INDIRECT(ADDRESS(2,COLUMN())),OFFSET($BN$2,0,0,ROW()-1,60),ROW()-1,FALSE))</f>
        <v/>
      </c>
      <c r="BA42" t="str">
        <f ca="1">IF(AND(ISNUMBER($BA$501),$B$419=1),$BA$501,HLOOKUP(INDIRECT(ADDRESS(2,COLUMN())),OFFSET($BN$2,0,0,ROW()-1,60),ROW()-1,FALSE))</f>
        <v/>
      </c>
      <c r="BB42" t="str">
        <f ca="1">IF(AND(ISNUMBER($BB$501),$B$419=1),$BB$501,HLOOKUP(INDIRECT(ADDRESS(2,COLUMN())),OFFSET($BN$2,0,0,ROW()-1,60),ROW()-1,FALSE))</f>
        <v/>
      </c>
      <c r="BC42" t="str">
        <f ca="1">IF(AND(ISNUMBER($BC$501),$B$419=1),$BC$501,HLOOKUP(INDIRECT(ADDRESS(2,COLUMN())),OFFSET($BN$2,0,0,ROW()-1,60),ROW()-1,FALSE))</f>
        <v/>
      </c>
      <c r="BD42" t="str">
        <f ca="1">IF(AND(ISNUMBER($BD$501),$B$419=1),$BD$501,HLOOKUP(INDIRECT(ADDRESS(2,COLUMN())),OFFSET($BN$2,0,0,ROW()-1,60),ROW()-1,FALSE))</f>
        <v/>
      </c>
      <c r="BE42" t="str">
        <f ca="1">IF(AND(ISNUMBER($BE$501),$B$419=1),$BE$501,HLOOKUP(INDIRECT(ADDRESS(2,COLUMN())),OFFSET($BN$2,0,0,ROW()-1,60),ROW()-1,FALSE))</f>
        <v/>
      </c>
      <c r="BF42" t="str">
        <f ca="1">IF(AND(ISNUMBER($BF$501),$B$419=1),$BF$501,HLOOKUP(INDIRECT(ADDRESS(2,COLUMN())),OFFSET($BN$2,0,0,ROW()-1,60),ROW()-1,FALSE))</f>
        <v/>
      </c>
      <c r="BG42" t="str">
        <f ca="1">IF(AND(ISNUMBER($BG$501),$B$419=1),$BG$501,HLOOKUP(INDIRECT(ADDRESS(2,COLUMN())),OFFSET($BN$2,0,0,ROW()-1,60),ROW()-1,FALSE))</f>
        <v/>
      </c>
      <c r="BH42" t="str">
        <f ca="1">IF(AND(ISNUMBER($BH$501),$B$419=1),$BH$501,HLOOKUP(INDIRECT(ADDRESS(2,COLUMN())),OFFSET($BN$2,0,0,ROW()-1,60),ROW()-1,FALSE))</f>
        <v/>
      </c>
      <c r="BI42" t="str">
        <f ca="1">IF(AND(ISNUMBER($BI$501),$B$419=1),$BI$501,HLOOKUP(INDIRECT(ADDRESS(2,COLUMN())),OFFSET($BN$2,0,0,ROW()-1,60),ROW()-1,FALSE))</f>
        <v/>
      </c>
      <c r="BJ42" t="str">
        <f ca="1">IF(AND(ISNUMBER($BJ$501),$B$419=1),$BJ$501,HLOOKUP(INDIRECT(ADDRESS(2,COLUMN())),OFFSET($BN$2,0,0,ROW()-1,60),ROW()-1,FALSE))</f>
        <v/>
      </c>
      <c r="BK42" t="str">
        <f ca="1">IF(AND(ISNUMBER($BK$501),$B$419=1),$BK$501,HLOOKUP(INDIRECT(ADDRESS(2,COLUMN())),OFFSET($BN$2,0,0,ROW()-1,60),ROW()-1,FALSE))</f>
        <v/>
      </c>
      <c r="BL42" t="str">
        <f ca="1">IF(AND(ISNUMBER($BL$501),$B$419=1),$BL$501,HLOOKUP(INDIRECT(ADDRESS(2,COLUMN())),OFFSET($BN$2,0,0,ROW()-1,60),ROW()-1,FALSE))</f>
        <v/>
      </c>
      <c r="BM42" t="str">
        <f ca="1">IF(AND(ISNUMBER($BM$501),$B$419=1),$BM$501,HLOOKUP(INDIRECT(ADDRESS(2,COLUMN())),OFFSET($BN$2,0,0,ROW()-1,60),ROW()-1,FALSE))</f>
        <v/>
      </c>
      <c r="BN42" t="str">
        <f>""</f>
        <v/>
      </c>
      <c r="BO42">
        <f>0.366</f>
        <v>0.36599999999999999</v>
      </c>
      <c r="BP42">
        <f>0.325</f>
        <v>0.32500000000000001</v>
      </c>
      <c r="BQ42">
        <f>0.326</f>
        <v>0.32600000000000001</v>
      </c>
      <c r="BR42">
        <f>0.342</f>
        <v>0.34200000000000003</v>
      </c>
      <c r="BS42">
        <f>0.392</f>
        <v>0.39200000000000002</v>
      </c>
      <c r="BT42">
        <f>0.722</f>
        <v>0.72199999999999998</v>
      </c>
      <c r="BU42">
        <f>0.795</f>
        <v>0.79500000000000004</v>
      </c>
      <c r="BV42">
        <f>0.808</f>
        <v>0.80800000000000005</v>
      </c>
      <c r="BW42">
        <f>0.446</f>
        <v>0.44600000000000001</v>
      </c>
      <c r="BX42">
        <f>0.78</f>
        <v>0.78</v>
      </c>
      <c r="BY42">
        <f>0.844</f>
        <v>0.84399999999999997</v>
      </c>
      <c r="BZ42">
        <f>0.85</f>
        <v>0.85</v>
      </c>
      <c r="CA42">
        <f>0.464</f>
        <v>0.46400000000000002</v>
      </c>
      <c r="CB42">
        <f>0.891</f>
        <v>0.89100000000000001</v>
      </c>
      <c r="CC42">
        <f>0.889</f>
        <v>0.88900000000000001</v>
      </c>
      <c r="CD42">
        <f>0.895</f>
        <v>0.89500000000000002</v>
      </c>
      <c r="CE42">
        <f>0.501</f>
        <v>0.501</v>
      </c>
      <c r="CF42">
        <f>1.128</f>
        <v>1.1279999999999999</v>
      </c>
      <c r="CG42">
        <f>1.087</f>
        <v>1.087</v>
      </c>
      <c r="CH42">
        <f>1.114</f>
        <v>1.1140000000000001</v>
      </c>
      <c r="CI42">
        <f>0.428</f>
        <v>0.42799999999999999</v>
      </c>
      <c r="CJ42">
        <f>1.164</f>
        <v>1.1639999999999999</v>
      </c>
      <c r="CK42">
        <f>9.094</f>
        <v>9.0939999999999994</v>
      </c>
      <c r="CL42">
        <f>12.607</f>
        <v>12.606999999999999</v>
      </c>
      <c r="CM42">
        <f>12.798</f>
        <v>12.798</v>
      </c>
      <c r="CN42">
        <f>13.823</f>
        <v>13.823</v>
      </c>
      <c r="CO42">
        <f>13.92</f>
        <v>13.92</v>
      </c>
      <c r="CP42">
        <f>10.357</f>
        <v>10.356999999999999</v>
      </c>
      <c r="CQ42">
        <f>8.998</f>
        <v>8.9979999999999993</v>
      </c>
      <c r="CR42">
        <f>10.769</f>
        <v>10.769</v>
      </c>
      <c r="CS42">
        <f>10.309</f>
        <v>10.308999999999999</v>
      </c>
      <c r="CT42">
        <f>8.349</f>
        <v>8.3490000000000002</v>
      </c>
      <c r="CU42">
        <f>9.43</f>
        <v>9.43</v>
      </c>
      <c r="CV42">
        <f>9.216</f>
        <v>9.2159999999999993</v>
      </c>
      <c r="CW42">
        <f>1.746</f>
        <v>1.746</v>
      </c>
      <c r="CX42">
        <f>1.886</f>
        <v>1.8859999999999999</v>
      </c>
      <c r="CY42" t="str">
        <f>""</f>
        <v/>
      </c>
      <c r="CZ42" t="str">
        <f>""</f>
        <v/>
      </c>
      <c r="DA42" t="str">
        <f>""</f>
        <v/>
      </c>
      <c r="DB42" t="str">
        <f>""</f>
        <v/>
      </c>
      <c r="DC42" t="str">
        <f>""</f>
        <v/>
      </c>
      <c r="DD42" t="str">
        <f>""</f>
        <v/>
      </c>
      <c r="DE42" t="str">
        <f>""</f>
        <v/>
      </c>
      <c r="DF42" t="str">
        <f>""</f>
        <v/>
      </c>
      <c r="DG42" t="str">
        <f>""</f>
        <v/>
      </c>
      <c r="DH42" t="str">
        <f>""</f>
        <v/>
      </c>
      <c r="DI42" t="str">
        <f>""</f>
        <v/>
      </c>
      <c r="DJ42" t="str">
        <f>""</f>
        <v/>
      </c>
      <c r="DK42" t="str">
        <f>""</f>
        <v/>
      </c>
      <c r="DL42" t="str">
        <f>""</f>
        <v/>
      </c>
      <c r="DM42" t="str">
        <f>""</f>
        <v/>
      </c>
      <c r="DN42" t="str">
        <f>""</f>
        <v/>
      </c>
      <c r="DO42" t="str">
        <f>""</f>
        <v/>
      </c>
      <c r="DP42" t="str">
        <f>""</f>
        <v/>
      </c>
      <c r="DQ42" t="str">
        <f>""</f>
        <v/>
      </c>
      <c r="DR42" t="str">
        <f>""</f>
        <v/>
      </c>
      <c r="DS42" t="str">
        <f>""</f>
        <v/>
      </c>
      <c r="DT42" t="str">
        <f>""</f>
        <v/>
      </c>
      <c r="DU42" t="str">
        <f>""</f>
        <v/>
      </c>
    </row>
    <row r="43" spans="1:125">
      <c r="A43" t="str">
        <f>"    Realty Income Corp"</f>
        <v xml:space="preserve">    Realty Income Corp</v>
      </c>
      <c r="B43" t="str">
        <f>"O US Equity"</f>
        <v>O US Equity</v>
      </c>
      <c r="C43" t="str">
        <f t="shared" si="6"/>
        <v>IM281</v>
      </c>
      <c r="D43" t="str">
        <f t="shared" si="7"/>
        <v>IS_NON_REAL_ESTATE_INCOME</v>
      </c>
      <c r="E43" t="str">
        <f t="shared" si="8"/>
        <v>动态</v>
      </c>
      <c r="F43" t="str">
        <f ca="1">IF(AND(ISNUMBER($F$502),$B$419=1),$F$502,HLOOKUP(INDIRECT(ADDRESS(2,COLUMN())),OFFSET($BN$2,0,0,ROW()-1,60),ROW()-1,FALSE))</f>
        <v/>
      </c>
      <c r="G43">
        <f ca="1">IF(AND(ISNUMBER($G$502),$B$419=1),$G$502,HLOOKUP(INDIRECT(ADDRESS(2,COLUMN())),OFFSET($BN$2,0,0,ROW()-1,60),ROW()-1,FALSE))</f>
        <v>0.59</v>
      </c>
      <c r="H43">
        <f ca="1">IF(AND(ISNUMBER($H$502),$B$419=1),$H$502,HLOOKUP(INDIRECT(ADDRESS(2,COLUMN())),OFFSET($BN$2,0,0,ROW()-1,60),ROW()-1,FALSE))</f>
        <v>1.532</v>
      </c>
      <c r="I43">
        <f ca="1">IF(AND(ISNUMBER($I$502),$B$419=1),$I$502,HLOOKUP(INDIRECT(ADDRESS(2,COLUMN())),OFFSET($BN$2,0,0,ROW()-1,60),ROW()-1,FALSE))</f>
        <v>0.36499999999999999</v>
      </c>
      <c r="J43">
        <f ca="1">IF(AND(ISNUMBER($J$502),$B$419=1),$J$502,HLOOKUP(INDIRECT(ADDRESS(2,COLUMN())),OFFSET($BN$2,0,0,ROW()-1,60),ROW()-1,FALSE))</f>
        <v>0.97499999999999998</v>
      </c>
      <c r="K43">
        <f ca="1">IF(AND(ISNUMBER($K$502),$B$419=1),$K$502,HLOOKUP(INDIRECT(ADDRESS(2,COLUMN())),OFFSET($BN$2,0,0,ROW()-1,60),ROW()-1,FALSE))</f>
        <v>1.256</v>
      </c>
      <c r="L43">
        <f ca="1">IF(AND(ISNUMBER($L$502),$B$419=1),$L$502,HLOOKUP(INDIRECT(ADDRESS(2,COLUMN())),OFFSET($BN$2,0,0,ROW()-1,60),ROW()-1,FALSE))</f>
        <v>0.318</v>
      </c>
      <c r="M43">
        <f ca="1">IF(AND(ISNUMBER($M$502),$B$419=1),$M$502,HLOOKUP(INDIRECT(ADDRESS(2,COLUMN())),OFFSET($BN$2,0,0,ROW()-1,60),ROW()-1,FALSE))</f>
        <v>-0.129</v>
      </c>
      <c r="N43">
        <f ca="1">IF(AND(ISNUMBER($N$502),$B$419=1),$N$502,HLOOKUP(INDIRECT(ADDRESS(2,COLUMN())),OFFSET($BN$2,0,0,ROW()-1,60),ROW()-1,FALSE))</f>
        <v>1.21</v>
      </c>
      <c r="O43">
        <f ca="1">IF(AND(ISNUMBER($O$502),$B$419=1),$O$502,HLOOKUP(INDIRECT(ADDRESS(2,COLUMN())),OFFSET($BN$2,0,0,ROW()-1,60),ROW()-1,FALSE))</f>
        <v>0.67600000000000005</v>
      </c>
      <c r="P43">
        <f ca="1">IF(AND(ISNUMBER($P$502),$B$419=1),$P$502,HLOOKUP(INDIRECT(ADDRESS(2,COLUMN())),OFFSET($BN$2,0,0,ROW()-1,60),ROW()-1,FALSE))</f>
        <v>1.1240000000000001</v>
      </c>
      <c r="Q43">
        <f ca="1">IF(AND(ISNUMBER($Q$502),$B$419=1),$Q$502,HLOOKUP(INDIRECT(ADDRESS(2,COLUMN())),OFFSET($BN$2,0,0,ROW()-1,60),ROW()-1,FALSE))</f>
        <v>0.82199999999999995</v>
      </c>
      <c r="R43">
        <f ca="1">IF(AND(ISNUMBER($R$502),$B$419=1),$R$502,HLOOKUP(INDIRECT(ADDRESS(2,COLUMN())),OFFSET($BN$2,0,0,ROW()-1,60),ROW()-1,FALSE))</f>
        <v>1.782</v>
      </c>
      <c r="S43">
        <f ca="1">IF(AND(ISNUMBER($S$502),$B$419=1),$S$502,HLOOKUP(INDIRECT(ADDRESS(2,COLUMN())),OFFSET($BN$2,0,0,ROW()-1,60),ROW()-1,FALSE))</f>
        <v>0.69199999999999995</v>
      </c>
      <c r="T43">
        <f ca="1">IF(AND(ISNUMBER($T$502),$B$419=1),$T$502,HLOOKUP(INDIRECT(ADDRESS(2,COLUMN())),OFFSET($BN$2,0,0,ROW()-1,60),ROW()-1,FALSE))</f>
        <v>0.60599999999999998</v>
      </c>
      <c r="U43">
        <f ca="1">IF(AND(ISNUMBER($U$502),$B$419=1),$U$502,HLOOKUP(INDIRECT(ADDRESS(2,COLUMN())),OFFSET($BN$2,0,0,ROW()-1,60),ROW()-1,FALSE))</f>
        <v>0.60899999999999999</v>
      </c>
      <c r="V43">
        <f ca="1">IF(AND(ISNUMBER($V$502),$B$419=1),$V$502,HLOOKUP(INDIRECT(ADDRESS(2,COLUMN())),OFFSET($BN$2,0,0,ROW()-1,60),ROW()-1,FALSE))</f>
        <v>1.0229999999999999</v>
      </c>
      <c r="W43">
        <f ca="1">IF(AND(ISNUMBER($W$502),$B$419=1),$W$502,HLOOKUP(INDIRECT(ADDRESS(2,COLUMN())),OFFSET($BN$2,0,0,ROW()-1,60),ROW()-1,FALSE))</f>
        <v>1.84</v>
      </c>
      <c r="X43">
        <f ca="1">IF(AND(ISNUMBER($X$502),$B$419=1),$X$502,HLOOKUP(INDIRECT(ADDRESS(2,COLUMN())),OFFSET($BN$2,0,0,ROW()-1,60),ROW()-1,FALSE))</f>
        <v>1.6419999999999999</v>
      </c>
      <c r="Y43">
        <f ca="1">IF(AND(ISNUMBER($Y$502),$B$419=1),$Y$502,HLOOKUP(INDIRECT(ADDRESS(2,COLUMN())),OFFSET($BN$2,0,0,ROW()-1,60),ROW()-1,FALSE))</f>
        <v>1.869</v>
      </c>
      <c r="Z43">
        <f ca="1">IF(AND(ISNUMBER($Z$502),$B$419=1),$Z$502,HLOOKUP(INDIRECT(ADDRESS(2,COLUMN())),OFFSET($BN$2,0,0,ROW()-1,60),ROW()-1,FALSE))</f>
        <v>1.6970000000000001</v>
      </c>
      <c r="AA43">
        <f ca="1">IF(AND(ISNUMBER($AA$502),$B$419=1),$AA$502,HLOOKUP(INDIRECT(ADDRESS(2,COLUMN())),OFFSET($BN$2,0,0,ROW()-1,60),ROW()-1,FALSE))</f>
        <v>0.51900000000000002</v>
      </c>
      <c r="AB43">
        <f ca="1">IF(AND(ISNUMBER($AB$502),$B$419=1),$AB$502,HLOOKUP(INDIRECT(ADDRESS(2,COLUMN())),OFFSET($BN$2,0,0,ROW()-1,60),ROW()-1,FALSE))</f>
        <v>0.35399999999999998</v>
      </c>
      <c r="AC43">
        <f ca="1">IF(AND(ISNUMBER($AC$502),$B$419=1),$AC$502,HLOOKUP(INDIRECT(ADDRESS(2,COLUMN())),OFFSET($BN$2,0,0,ROW()-1,60),ROW()-1,FALSE))</f>
        <v>0.60499999999999998</v>
      </c>
      <c r="AD43">
        <f ca="1">IF(AND(ISNUMBER($AD$502),$B$419=1),$AD$502,HLOOKUP(INDIRECT(ADDRESS(2,COLUMN())),OFFSET($BN$2,0,0,ROW()-1,60),ROW()-1,FALSE))</f>
        <v>0.252</v>
      </c>
      <c r="AE43">
        <f ca="1">IF(AND(ISNUMBER($AE$502),$B$419=1),$AE$502,HLOOKUP(INDIRECT(ADDRESS(2,COLUMN())),OFFSET($BN$2,0,0,ROW()-1,60),ROW()-1,FALSE))</f>
        <v>0.77700000000000002</v>
      </c>
      <c r="AF43">
        <f ca="1">IF(AND(ISNUMBER($AF$502),$B$419=1),$AF$502,HLOOKUP(INDIRECT(ADDRESS(2,COLUMN())),OFFSET($BN$2,0,0,ROW()-1,60),ROW()-1,FALSE))</f>
        <v>0.48799999999999999</v>
      </c>
      <c r="AG43">
        <f ca="1">IF(AND(ISNUMBER($AG$502),$B$419=1),$AG$502,HLOOKUP(INDIRECT(ADDRESS(2,COLUMN())),OFFSET($BN$2,0,0,ROW()-1,60),ROW()-1,FALSE))</f>
        <v>0.25900000000000001</v>
      </c>
      <c r="AH43">
        <f ca="1">IF(AND(ISNUMBER($AH$502),$B$419=1),$AH$502,HLOOKUP(INDIRECT(ADDRESS(2,COLUMN())),OFFSET($BN$2,0,0,ROW()-1,60),ROW()-1,FALSE))</f>
        <v>0.13900000000000001</v>
      </c>
      <c r="AI43">
        <f ca="1">IF(AND(ISNUMBER($AI$502),$B$419=1),$AI$502,HLOOKUP(INDIRECT(ADDRESS(2,COLUMN())),OFFSET($BN$2,0,0,ROW()-1,60),ROW()-1,FALSE))</f>
        <v>0.27100000000000002</v>
      </c>
      <c r="AJ43">
        <f ca="1">IF(AND(ISNUMBER($AJ$502),$B$419=1),$AJ$502,HLOOKUP(INDIRECT(ADDRESS(2,COLUMN())),OFFSET($BN$2,0,0,ROW()-1,60),ROW()-1,FALSE))</f>
        <v>8.4000000000000005E-2</v>
      </c>
      <c r="AK43">
        <f ca="1">IF(AND(ISNUMBER($AK$502),$B$419=1),$AK$502,HLOOKUP(INDIRECT(ADDRESS(2,COLUMN())),OFFSET($BN$2,0,0,ROW()-1,60),ROW()-1,FALSE))</f>
        <v>0.19500000000000001</v>
      </c>
      <c r="AL43">
        <f ca="1">IF(AND(ISNUMBER($AL$502),$B$419=1),$AL$502,HLOOKUP(INDIRECT(ADDRESS(2,COLUMN())),OFFSET($BN$2,0,0,ROW()-1,60),ROW()-1,FALSE))</f>
        <v>0.106</v>
      </c>
      <c r="AM43">
        <f ca="1">IF(AND(ISNUMBER($AM$502),$B$419=1),$AM$502,HLOOKUP(INDIRECT(ADDRESS(2,COLUMN())),OFFSET($BN$2,0,0,ROW()-1,60),ROW()-1,FALSE))</f>
        <v>0.17</v>
      </c>
      <c r="AN43">
        <f ca="1">IF(AND(ISNUMBER($AN$502),$B$419=1),$AN$502,HLOOKUP(INDIRECT(ADDRESS(2,COLUMN())),OFFSET($BN$2,0,0,ROW()-1,60),ROW()-1,FALSE))</f>
        <v>0.42699999999999999</v>
      </c>
      <c r="AO43">
        <f ca="1">IF(AND(ISNUMBER($AO$502),$B$419=1),$AO$502,HLOOKUP(INDIRECT(ADDRESS(2,COLUMN())),OFFSET($BN$2,0,0,ROW()-1,60),ROW()-1,FALSE))</f>
        <v>8.5000000000000006E-2</v>
      </c>
      <c r="AP43">
        <f ca="1">IF(AND(ISNUMBER($AP$502),$B$419=1),$AP$502,HLOOKUP(INDIRECT(ADDRESS(2,COLUMN())),OFFSET($BN$2,0,0,ROW()-1,60),ROW()-1,FALSE))</f>
        <v>0.754</v>
      </c>
      <c r="AQ43" t="str">
        <f ca="1">IF(AND(ISNUMBER($AQ$502),$B$419=1),$AQ$502,HLOOKUP(INDIRECT(ADDRESS(2,COLUMN())),OFFSET($BN$2,0,0,ROW()-1,60),ROW()-1,FALSE))</f>
        <v/>
      </c>
      <c r="AR43" t="str">
        <f ca="1">IF(AND(ISNUMBER($AR$502),$B$419=1),$AR$502,HLOOKUP(INDIRECT(ADDRESS(2,COLUMN())),OFFSET($BN$2,0,0,ROW()-1,60),ROW()-1,FALSE))</f>
        <v/>
      </c>
      <c r="AS43" t="str">
        <f ca="1">IF(AND(ISNUMBER($AS$502),$B$419=1),$AS$502,HLOOKUP(INDIRECT(ADDRESS(2,COLUMN())),OFFSET($BN$2,0,0,ROW()-1,60),ROW()-1,FALSE))</f>
        <v/>
      </c>
      <c r="AT43" t="str">
        <f ca="1">IF(AND(ISNUMBER($AT$502),$B$419=1),$AT$502,HLOOKUP(INDIRECT(ADDRESS(2,COLUMN())),OFFSET($BN$2,0,0,ROW()-1,60),ROW()-1,FALSE))</f>
        <v/>
      </c>
      <c r="AU43" t="str">
        <f ca="1">IF(AND(ISNUMBER($AU$502),$B$419=1),$AU$502,HLOOKUP(INDIRECT(ADDRESS(2,COLUMN())),OFFSET($BN$2,0,0,ROW()-1,60),ROW()-1,FALSE))</f>
        <v/>
      </c>
      <c r="AV43" t="str">
        <f ca="1">IF(AND(ISNUMBER($AV$502),$B$419=1),$AV$502,HLOOKUP(INDIRECT(ADDRESS(2,COLUMN())),OFFSET($BN$2,0,0,ROW()-1,60),ROW()-1,FALSE))</f>
        <v/>
      </c>
      <c r="AW43" t="str">
        <f ca="1">IF(AND(ISNUMBER($AW$502),$B$419=1),$AW$502,HLOOKUP(INDIRECT(ADDRESS(2,COLUMN())),OFFSET($BN$2,0,0,ROW()-1,60),ROW()-1,FALSE))</f>
        <v/>
      </c>
      <c r="AX43" t="str">
        <f ca="1">IF(AND(ISNUMBER($AX$502),$B$419=1),$AX$502,HLOOKUP(INDIRECT(ADDRESS(2,COLUMN())),OFFSET($BN$2,0,0,ROW()-1,60),ROW()-1,FALSE))</f>
        <v/>
      </c>
      <c r="AY43" t="str">
        <f ca="1">IF(AND(ISNUMBER($AY$502),$B$419=1),$AY$502,HLOOKUP(INDIRECT(ADDRESS(2,COLUMN())),OFFSET($BN$2,0,0,ROW()-1,60),ROW()-1,FALSE))</f>
        <v/>
      </c>
      <c r="AZ43" t="str">
        <f ca="1">IF(AND(ISNUMBER($AZ$502),$B$419=1),$AZ$502,HLOOKUP(INDIRECT(ADDRESS(2,COLUMN())),OFFSET($BN$2,0,0,ROW()-1,60),ROW()-1,FALSE))</f>
        <v/>
      </c>
      <c r="BA43" t="str">
        <f ca="1">IF(AND(ISNUMBER($BA$502),$B$419=1),$BA$502,HLOOKUP(INDIRECT(ADDRESS(2,COLUMN())),OFFSET($BN$2,0,0,ROW()-1,60),ROW()-1,FALSE))</f>
        <v/>
      </c>
      <c r="BB43" t="str">
        <f ca="1">IF(AND(ISNUMBER($BB$502),$B$419=1),$BB$502,HLOOKUP(INDIRECT(ADDRESS(2,COLUMN())),OFFSET($BN$2,0,0,ROW()-1,60),ROW()-1,FALSE))</f>
        <v/>
      </c>
      <c r="BC43" t="str">
        <f ca="1">IF(AND(ISNUMBER($BC$502),$B$419=1),$BC$502,HLOOKUP(INDIRECT(ADDRESS(2,COLUMN())),OFFSET($BN$2,0,0,ROW()-1,60),ROW()-1,FALSE))</f>
        <v/>
      </c>
      <c r="BD43" t="str">
        <f ca="1">IF(AND(ISNUMBER($BD$502),$B$419=1),$BD$502,HLOOKUP(INDIRECT(ADDRESS(2,COLUMN())),OFFSET($BN$2,0,0,ROW()-1,60),ROW()-1,FALSE))</f>
        <v/>
      </c>
      <c r="BE43" t="str">
        <f ca="1">IF(AND(ISNUMBER($BE$502),$B$419=1),$BE$502,HLOOKUP(INDIRECT(ADDRESS(2,COLUMN())),OFFSET($BN$2,0,0,ROW()-1,60),ROW()-1,FALSE))</f>
        <v/>
      </c>
      <c r="BF43" t="str">
        <f ca="1">IF(AND(ISNUMBER($BF$502),$B$419=1),$BF$502,HLOOKUP(INDIRECT(ADDRESS(2,COLUMN())),OFFSET($BN$2,0,0,ROW()-1,60),ROW()-1,FALSE))</f>
        <v/>
      </c>
      <c r="BG43" t="str">
        <f ca="1">IF(AND(ISNUMBER($BG$502),$B$419=1),$BG$502,HLOOKUP(INDIRECT(ADDRESS(2,COLUMN())),OFFSET($BN$2,0,0,ROW()-1,60),ROW()-1,FALSE))</f>
        <v/>
      </c>
      <c r="BH43" t="str">
        <f ca="1">IF(AND(ISNUMBER($BH$502),$B$419=1),$BH$502,HLOOKUP(INDIRECT(ADDRESS(2,COLUMN())),OFFSET($BN$2,0,0,ROW()-1,60),ROW()-1,FALSE))</f>
        <v/>
      </c>
      <c r="BI43" t="str">
        <f ca="1">IF(AND(ISNUMBER($BI$502),$B$419=1),$BI$502,HLOOKUP(INDIRECT(ADDRESS(2,COLUMN())),OFFSET($BN$2,0,0,ROW()-1,60),ROW()-1,FALSE))</f>
        <v/>
      </c>
      <c r="BJ43" t="str">
        <f ca="1">IF(AND(ISNUMBER($BJ$502),$B$419=1),$BJ$502,HLOOKUP(INDIRECT(ADDRESS(2,COLUMN())),OFFSET($BN$2,0,0,ROW()-1,60),ROW()-1,FALSE))</f>
        <v/>
      </c>
      <c r="BK43" t="str">
        <f ca="1">IF(AND(ISNUMBER($BK$502),$B$419=1),$BK$502,HLOOKUP(INDIRECT(ADDRESS(2,COLUMN())),OFFSET($BN$2,0,0,ROW()-1,60),ROW()-1,FALSE))</f>
        <v/>
      </c>
      <c r="BL43" t="str">
        <f ca="1">IF(AND(ISNUMBER($BL$502),$B$419=1),$BL$502,HLOOKUP(INDIRECT(ADDRESS(2,COLUMN())),OFFSET($BN$2,0,0,ROW()-1,60),ROW()-1,FALSE))</f>
        <v/>
      </c>
      <c r="BM43" t="str">
        <f ca="1">IF(AND(ISNUMBER($BM$502),$B$419=1),$BM$502,HLOOKUP(INDIRECT(ADDRESS(2,COLUMN())),OFFSET($BN$2,0,0,ROW()-1,60),ROW()-1,FALSE))</f>
        <v/>
      </c>
      <c r="BN43" t="str">
        <f>""</f>
        <v/>
      </c>
      <c r="BO43">
        <f>0.59</f>
        <v>0.59</v>
      </c>
      <c r="BP43">
        <f>1.532</f>
        <v>1.532</v>
      </c>
      <c r="BQ43">
        <f>0.365</f>
        <v>0.36499999999999999</v>
      </c>
      <c r="BR43">
        <f>0.975</f>
        <v>0.97499999999999998</v>
      </c>
      <c r="BS43">
        <f>1.256</f>
        <v>1.256</v>
      </c>
      <c r="BT43">
        <f>0.318</f>
        <v>0.318</v>
      </c>
      <c r="BU43">
        <f>-0.129</f>
        <v>-0.129</v>
      </c>
      <c r="BV43">
        <f>1.21</f>
        <v>1.21</v>
      </c>
      <c r="BW43">
        <f>0.676</f>
        <v>0.67600000000000005</v>
      </c>
      <c r="BX43">
        <f>1.124</f>
        <v>1.1240000000000001</v>
      </c>
      <c r="BY43">
        <f>0.822</f>
        <v>0.82199999999999995</v>
      </c>
      <c r="BZ43">
        <f>1.782</f>
        <v>1.782</v>
      </c>
      <c r="CA43">
        <f>0.692</f>
        <v>0.69199999999999995</v>
      </c>
      <c r="CB43">
        <f>0.606</f>
        <v>0.60599999999999998</v>
      </c>
      <c r="CC43">
        <f>0.609</f>
        <v>0.60899999999999999</v>
      </c>
      <c r="CD43">
        <f>1.023</f>
        <v>1.0229999999999999</v>
      </c>
      <c r="CE43">
        <f>1.84</f>
        <v>1.84</v>
      </c>
      <c r="CF43">
        <f>1.642</f>
        <v>1.6419999999999999</v>
      </c>
      <c r="CG43">
        <f>1.869</f>
        <v>1.869</v>
      </c>
      <c r="CH43">
        <f>1.697</f>
        <v>1.6970000000000001</v>
      </c>
      <c r="CI43">
        <f>0.519</f>
        <v>0.51900000000000002</v>
      </c>
      <c r="CJ43">
        <f>0.354</f>
        <v>0.35399999999999998</v>
      </c>
      <c r="CK43">
        <f>0.605</f>
        <v>0.60499999999999998</v>
      </c>
      <c r="CL43">
        <f>0.252</f>
        <v>0.252</v>
      </c>
      <c r="CM43">
        <f>0.777</f>
        <v>0.77700000000000002</v>
      </c>
      <c r="CN43">
        <f>0.488</f>
        <v>0.48799999999999999</v>
      </c>
      <c r="CO43">
        <f>0.259</f>
        <v>0.25900000000000001</v>
      </c>
      <c r="CP43">
        <f>0.139</f>
        <v>0.13900000000000001</v>
      </c>
      <c r="CQ43">
        <f>0.271</f>
        <v>0.27100000000000002</v>
      </c>
      <c r="CR43">
        <f>0.084</f>
        <v>8.4000000000000005E-2</v>
      </c>
      <c r="CS43">
        <f>0.195</f>
        <v>0.19500000000000001</v>
      </c>
      <c r="CT43">
        <f>0.106</f>
        <v>0.106</v>
      </c>
      <c r="CU43">
        <f>0.17</f>
        <v>0.17</v>
      </c>
      <c r="CV43">
        <f>0.427</f>
        <v>0.42699999999999999</v>
      </c>
      <c r="CW43">
        <f>0.085</f>
        <v>8.5000000000000006E-2</v>
      </c>
      <c r="CX43">
        <f>0.754</f>
        <v>0.754</v>
      </c>
      <c r="CY43" t="str">
        <f>""</f>
        <v/>
      </c>
      <c r="CZ43" t="str">
        <f>""</f>
        <v/>
      </c>
      <c r="DA43" t="str">
        <f>""</f>
        <v/>
      </c>
      <c r="DB43" t="str">
        <f>""</f>
        <v/>
      </c>
      <c r="DC43" t="str">
        <f>""</f>
        <v/>
      </c>
      <c r="DD43" t="str">
        <f>""</f>
        <v/>
      </c>
      <c r="DE43" t="str">
        <f>""</f>
        <v/>
      </c>
      <c r="DF43" t="str">
        <f>""</f>
        <v/>
      </c>
      <c r="DG43" t="str">
        <f>""</f>
        <v/>
      </c>
      <c r="DH43" t="str">
        <f>""</f>
        <v/>
      </c>
      <c r="DI43" t="str">
        <f>""</f>
        <v/>
      </c>
      <c r="DJ43" t="str">
        <f>""</f>
        <v/>
      </c>
      <c r="DK43" t="str">
        <f>""</f>
        <v/>
      </c>
      <c r="DL43" t="str">
        <f>""</f>
        <v/>
      </c>
      <c r="DM43" t="str">
        <f>""</f>
        <v/>
      </c>
      <c r="DN43" t="str">
        <f>""</f>
        <v/>
      </c>
      <c r="DO43" t="str">
        <f>""</f>
        <v/>
      </c>
      <c r="DP43" t="str">
        <f>""</f>
        <v/>
      </c>
      <c r="DQ43" t="str">
        <f>""</f>
        <v/>
      </c>
      <c r="DR43" t="str">
        <f>""</f>
        <v/>
      </c>
      <c r="DS43" t="str">
        <f>""</f>
        <v/>
      </c>
      <c r="DT43" t="str">
        <f>""</f>
        <v/>
      </c>
      <c r="DU43" t="str">
        <f>""</f>
        <v/>
      </c>
    </row>
    <row r="44" spans="1:125">
      <c r="A44" t="str">
        <f>"    Regency Centers Corp"</f>
        <v xml:space="preserve">    Regency Centers Corp</v>
      </c>
      <c r="B44" t="str">
        <f>"REG US Equity"</f>
        <v>REG US Equity</v>
      </c>
      <c r="C44" t="str">
        <f t="shared" si="6"/>
        <v>IM281</v>
      </c>
      <c r="D44" t="str">
        <f t="shared" si="7"/>
        <v>IS_NON_REAL_ESTATE_INCOME</v>
      </c>
      <c r="E44" t="str">
        <f t="shared" si="8"/>
        <v>动态</v>
      </c>
      <c r="F44" t="str">
        <f ca="1">IF(AND(ISNUMBER($F$503),$B$419=1),$F$503,HLOOKUP(INDIRECT(ADDRESS(2,COLUMN())),OFFSET($BN$2,0,0,ROW()-1,60),ROW()-1,FALSE))</f>
        <v/>
      </c>
      <c r="G44">
        <f ca="1">IF(AND(ISNUMBER($G$503),$B$419=1),$G$503,HLOOKUP(INDIRECT(ADDRESS(2,COLUMN())),OFFSET($BN$2,0,0,ROW()-1,60),ROW()-1,FALSE))</f>
        <v>0</v>
      </c>
      <c r="H44">
        <f ca="1">IF(AND(ISNUMBER($H$503),$B$419=1),$H$503,HLOOKUP(INDIRECT(ADDRESS(2,COLUMN())),OFFSET($BN$2,0,0,ROW()-1,60),ROW()-1,FALSE))</f>
        <v>0</v>
      </c>
      <c r="I44">
        <f ca="1">IF(AND(ISNUMBER($I$503),$B$419=1),$I$503,HLOOKUP(INDIRECT(ADDRESS(2,COLUMN())),OFFSET($BN$2,0,0,ROW()-1,60),ROW()-1,FALSE))</f>
        <v>0</v>
      </c>
      <c r="J44">
        <f ca="1">IF(AND(ISNUMBER($J$503),$B$419=1),$J$503,HLOOKUP(INDIRECT(ADDRESS(2,COLUMN())),OFFSET($BN$2,0,0,ROW()-1,60),ROW()-1,FALSE))</f>
        <v>0</v>
      </c>
      <c r="K44">
        <f ca="1">IF(AND(ISNUMBER($K$503),$B$419=1),$K$503,HLOOKUP(INDIRECT(ADDRESS(2,COLUMN())),OFFSET($BN$2,0,0,ROW()-1,60),ROW()-1,FALSE))</f>
        <v>0</v>
      </c>
      <c r="L44">
        <f ca="1">IF(AND(ISNUMBER($L$503),$B$419=1),$L$503,HLOOKUP(INDIRECT(ADDRESS(2,COLUMN())),OFFSET($BN$2,0,0,ROW()-1,60),ROW()-1,FALSE))</f>
        <v>0</v>
      </c>
      <c r="M44">
        <f ca="1">IF(AND(ISNUMBER($M$503),$B$419=1),$M$503,HLOOKUP(INDIRECT(ADDRESS(2,COLUMN())),OFFSET($BN$2,0,0,ROW()-1,60),ROW()-1,FALSE))</f>
        <v>0</v>
      </c>
      <c r="N44">
        <f ca="1">IF(AND(ISNUMBER($N$503),$B$419=1),$N$503,HLOOKUP(INDIRECT(ADDRESS(2,COLUMN())),OFFSET($BN$2,0,0,ROW()-1,60),ROW()-1,FALSE))</f>
        <v>0</v>
      </c>
      <c r="O44">
        <f ca="1">IF(AND(ISNUMBER($O$503),$B$419=1),$O$503,HLOOKUP(INDIRECT(ADDRESS(2,COLUMN())),OFFSET($BN$2,0,0,ROW()-1,60),ROW()-1,FALSE))</f>
        <v>0</v>
      </c>
      <c r="P44">
        <f ca="1">IF(AND(ISNUMBER($P$503),$B$419=1),$P$503,HLOOKUP(INDIRECT(ADDRESS(2,COLUMN())),OFFSET($BN$2,0,0,ROW()-1,60),ROW()-1,FALSE))</f>
        <v>0</v>
      </c>
      <c r="Q44">
        <f ca="1">IF(AND(ISNUMBER($Q$503),$B$419=1),$Q$503,HLOOKUP(INDIRECT(ADDRESS(2,COLUMN())),OFFSET($BN$2,0,0,ROW()-1,60),ROW()-1,FALSE))</f>
        <v>0</v>
      </c>
      <c r="R44">
        <f ca="1">IF(AND(ISNUMBER($R$503),$B$419=1),$R$503,HLOOKUP(INDIRECT(ADDRESS(2,COLUMN())),OFFSET($BN$2,0,0,ROW()-1,60),ROW()-1,FALSE))</f>
        <v>0</v>
      </c>
      <c r="S44">
        <f ca="1">IF(AND(ISNUMBER($S$503),$B$419=1),$S$503,HLOOKUP(INDIRECT(ADDRESS(2,COLUMN())),OFFSET($BN$2,0,0,ROW()-1,60),ROW()-1,FALSE))</f>
        <v>0</v>
      </c>
      <c r="T44">
        <f ca="1">IF(AND(ISNUMBER($T$503),$B$419=1),$T$503,HLOOKUP(INDIRECT(ADDRESS(2,COLUMN())),OFFSET($BN$2,0,0,ROW()-1,60),ROW()-1,FALSE))</f>
        <v>0</v>
      </c>
      <c r="U44">
        <f ca="1">IF(AND(ISNUMBER($U$503),$B$419=1),$U$503,HLOOKUP(INDIRECT(ADDRESS(2,COLUMN())),OFFSET($BN$2,0,0,ROW()-1,60),ROW()-1,FALSE))</f>
        <v>0</v>
      </c>
      <c r="V44">
        <f ca="1">IF(AND(ISNUMBER($V$503),$B$419=1),$V$503,HLOOKUP(INDIRECT(ADDRESS(2,COLUMN())),OFFSET($BN$2,0,0,ROW()-1,60),ROW()-1,FALSE))</f>
        <v>0</v>
      </c>
      <c r="W44">
        <f ca="1">IF(AND(ISNUMBER($W$503),$B$419=1),$W$503,HLOOKUP(INDIRECT(ADDRESS(2,COLUMN())),OFFSET($BN$2,0,0,ROW()-1,60),ROW()-1,FALSE))</f>
        <v>0</v>
      </c>
      <c r="X44">
        <f ca="1">IF(AND(ISNUMBER($X$503),$B$419=1),$X$503,HLOOKUP(INDIRECT(ADDRESS(2,COLUMN())),OFFSET($BN$2,0,0,ROW()-1,60),ROW()-1,FALSE))</f>
        <v>0</v>
      </c>
      <c r="Y44">
        <f ca="1">IF(AND(ISNUMBER($Y$503),$B$419=1),$Y$503,HLOOKUP(INDIRECT(ADDRESS(2,COLUMN())),OFFSET($BN$2,0,0,ROW()-1,60),ROW()-1,FALSE))</f>
        <v>0</v>
      </c>
      <c r="Z44">
        <f ca="1">IF(AND(ISNUMBER($Z$503),$B$419=1),$Z$503,HLOOKUP(INDIRECT(ADDRESS(2,COLUMN())),OFFSET($BN$2,0,0,ROW()-1,60),ROW()-1,FALSE))</f>
        <v>0</v>
      </c>
      <c r="AA44">
        <f ca="1">IF(AND(ISNUMBER($AA$503),$B$419=1),$AA$503,HLOOKUP(INDIRECT(ADDRESS(2,COLUMN())),OFFSET($BN$2,0,0,ROW()-1,60),ROW()-1,FALSE))</f>
        <v>0</v>
      </c>
      <c r="AB44">
        <f ca="1">IF(AND(ISNUMBER($AB$503),$B$419=1),$AB$503,HLOOKUP(INDIRECT(ADDRESS(2,COLUMN())),OFFSET($BN$2,0,0,ROW()-1,60),ROW()-1,FALSE))</f>
        <v>0</v>
      </c>
      <c r="AC44">
        <f ca="1">IF(AND(ISNUMBER($AC$503),$B$419=1),$AC$503,HLOOKUP(INDIRECT(ADDRESS(2,COLUMN())),OFFSET($BN$2,0,0,ROW()-1,60),ROW()-1,FALSE))</f>
        <v>0</v>
      </c>
      <c r="AD44">
        <f ca="1">IF(AND(ISNUMBER($AD$503),$B$419=1),$AD$503,HLOOKUP(INDIRECT(ADDRESS(2,COLUMN())),OFFSET($BN$2,0,0,ROW()-1,60),ROW()-1,FALSE))</f>
        <v>0</v>
      </c>
      <c r="AE44">
        <f ca="1">IF(AND(ISNUMBER($AE$503),$B$419=1),$AE$503,HLOOKUP(INDIRECT(ADDRESS(2,COLUMN())),OFFSET($BN$2,0,0,ROW()-1,60),ROW()-1,FALSE))</f>
        <v>0</v>
      </c>
      <c r="AF44">
        <f ca="1">IF(AND(ISNUMBER($AF$503),$B$419=1),$AF$503,HLOOKUP(INDIRECT(ADDRESS(2,COLUMN())),OFFSET($BN$2,0,0,ROW()-1,60),ROW()-1,FALSE))</f>
        <v>0</v>
      </c>
      <c r="AG44">
        <f ca="1">IF(AND(ISNUMBER($AG$503),$B$419=1),$AG$503,HLOOKUP(INDIRECT(ADDRESS(2,COLUMN())),OFFSET($BN$2,0,0,ROW()-1,60),ROW()-1,FALSE))</f>
        <v>0</v>
      </c>
      <c r="AH44">
        <f ca="1">IF(AND(ISNUMBER($AH$503),$B$419=1),$AH$503,HLOOKUP(INDIRECT(ADDRESS(2,COLUMN())),OFFSET($BN$2,0,0,ROW()-1,60),ROW()-1,FALSE))</f>
        <v>0</v>
      </c>
      <c r="AI44">
        <f ca="1">IF(AND(ISNUMBER($AI$503),$B$419=1),$AI$503,HLOOKUP(INDIRECT(ADDRESS(2,COLUMN())),OFFSET($BN$2,0,0,ROW()-1,60),ROW()-1,FALSE))</f>
        <v>0</v>
      </c>
      <c r="AJ44">
        <f ca="1">IF(AND(ISNUMBER($AJ$503),$B$419=1),$AJ$503,HLOOKUP(INDIRECT(ADDRESS(2,COLUMN())),OFFSET($BN$2,0,0,ROW()-1,60),ROW()-1,FALSE))</f>
        <v>0</v>
      </c>
      <c r="AK44">
        <f ca="1">IF(AND(ISNUMBER($AK$503),$B$419=1),$AK$503,HLOOKUP(INDIRECT(ADDRESS(2,COLUMN())),OFFSET($BN$2,0,0,ROW()-1,60),ROW()-1,FALSE))</f>
        <v>0</v>
      </c>
      <c r="AL44">
        <f ca="1">IF(AND(ISNUMBER($AL$503),$B$419=1),$AL$503,HLOOKUP(INDIRECT(ADDRESS(2,COLUMN())),OFFSET($BN$2,0,0,ROW()-1,60),ROW()-1,FALSE))</f>
        <v>0</v>
      </c>
      <c r="AM44">
        <f ca="1">IF(AND(ISNUMBER($AM$503),$B$419=1),$AM$503,HLOOKUP(INDIRECT(ADDRESS(2,COLUMN())),OFFSET($BN$2,0,0,ROW()-1,60),ROW()-1,FALSE))</f>
        <v>0</v>
      </c>
      <c r="AN44">
        <f ca="1">IF(AND(ISNUMBER($AN$503),$B$419=1),$AN$503,HLOOKUP(INDIRECT(ADDRESS(2,COLUMN())),OFFSET($BN$2,0,0,ROW()-1,60),ROW()-1,FALSE))</f>
        <v>0</v>
      </c>
      <c r="AO44">
        <f ca="1">IF(AND(ISNUMBER($AO$503),$B$419=1),$AO$503,HLOOKUP(INDIRECT(ADDRESS(2,COLUMN())),OFFSET($BN$2,0,0,ROW()-1,60),ROW()-1,FALSE))</f>
        <v>0</v>
      </c>
      <c r="AP44">
        <f ca="1">IF(AND(ISNUMBER($AP$503),$B$419=1),$AP$503,HLOOKUP(INDIRECT(ADDRESS(2,COLUMN())),OFFSET($BN$2,0,0,ROW()-1,60),ROW()-1,FALSE))</f>
        <v>0</v>
      </c>
      <c r="AQ44" t="str">
        <f ca="1">IF(AND(ISNUMBER($AQ$503),$B$419=1),$AQ$503,HLOOKUP(INDIRECT(ADDRESS(2,COLUMN())),OFFSET($BN$2,0,0,ROW()-1,60),ROW()-1,FALSE))</f>
        <v/>
      </c>
      <c r="AR44" t="str">
        <f ca="1">IF(AND(ISNUMBER($AR$503),$B$419=1),$AR$503,HLOOKUP(INDIRECT(ADDRESS(2,COLUMN())),OFFSET($BN$2,0,0,ROW()-1,60),ROW()-1,FALSE))</f>
        <v/>
      </c>
      <c r="AS44" t="str">
        <f ca="1">IF(AND(ISNUMBER($AS$503),$B$419=1),$AS$503,HLOOKUP(INDIRECT(ADDRESS(2,COLUMN())),OFFSET($BN$2,0,0,ROW()-1,60),ROW()-1,FALSE))</f>
        <v/>
      </c>
      <c r="AT44" t="str">
        <f ca="1">IF(AND(ISNUMBER($AT$503),$B$419=1),$AT$503,HLOOKUP(INDIRECT(ADDRESS(2,COLUMN())),OFFSET($BN$2,0,0,ROW()-1,60),ROW()-1,FALSE))</f>
        <v/>
      </c>
      <c r="AU44" t="str">
        <f ca="1">IF(AND(ISNUMBER($AU$503),$B$419=1),$AU$503,HLOOKUP(INDIRECT(ADDRESS(2,COLUMN())),OFFSET($BN$2,0,0,ROW()-1,60),ROW()-1,FALSE))</f>
        <v/>
      </c>
      <c r="AV44" t="str">
        <f ca="1">IF(AND(ISNUMBER($AV$503),$B$419=1),$AV$503,HLOOKUP(INDIRECT(ADDRESS(2,COLUMN())),OFFSET($BN$2,0,0,ROW()-1,60),ROW()-1,FALSE))</f>
        <v/>
      </c>
      <c r="AW44" t="str">
        <f ca="1">IF(AND(ISNUMBER($AW$503),$B$419=1),$AW$503,HLOOKUP(INDIRECT(ADDRESS(2,COLUMN())),OFFSET($BN$2,0,0,ROW()-1,60),ROW()-1,FALSE))</f>
        <v/>
      </c>
      <c r="AX44" t="str">
        <f ca="1">IF(AND(ISNUMBER($AX$503),$B$419=1),$AX$503,HLOOKUP(INDIRECT(ADDRESS(2,COLUMN())),OFFSET($BN$2,0,0,ROW()-1,60),ROW()-1,FALSE))</f>
        <v/>
      </c>
      <c r="AY44" t="str">
        <f ca="1">IF(AND(ISNUMBER($AY$503),$B$419=1),$AY$503,HLOOKUP(INDIRECT(ADDRESS(2,COLUMN())),OFFSET($BN$2,0,0,ROW()-1,60),ROW()-1,FALSE))</f>
        <v/>
      </c>
      <c r="AZ44" t="str">
        <f ca="1">IF(AND(ISNUMBER($AZ$503),$B$419=1),$AZ$503,HLOOKUP(INDIRECT(ADDRESS(2,COLUMN())),OFFSET($BN$2,0,0,ROW()-1,60),ROW()-1,FALSE))</f>
        <v/>
      </c>
      <c r="BA44" t="str">
        <f ca="1">IF(AND(ISNUMBER($BA$503),$B$419=1),$BA$503,HLOOKUP(INDIRECT(ADDRESS(2,COLUMN())),OFFSET($BN$2,0,0,ROW()-1,60),ROW()-1,FALSE))</f>
        <v/>
      </c>
      <c r="BB44" t="str">
        <f ca="1">IF(AND(ISNUMBER($BB$503),$B$419=1),$BB$503,HLOOKUP(INDIRECT(ADDRESS(2,COLUMN())),OFFSET($BN$2,0,0,ROW()-1,60),ROW()-1,FALSE))</f>
        <v/>
      </c>
      <c r="BC44" t="str">
        <f ca="1">IF(AND(ISNUMBER($BC$503),$B$419=1),$BC$503,HLOOKUP(INDIRECT(ADDRESS(2,COLUMN())),OFFSET($BN$2,0,0,ROW()-1,60),ROW()-1,FALSE))</f>
        <v/>
      </c>
      <c r="BD44" t="str">
        <f ca="1">IF(AND(ISNUMBER($BD$503),$B$419=1),$BD$503,HLOOKUP(INDIRECT(ADDRESS(2,COLUMN())),OFFSET($BN$2,0,0,ROW()-1,60),ROW()-1,FALSE))</f>
        <v/>
      </c>
      <c r="BE44" t="str">
        <f ca="1">IF(AND(ISNUMBER($BE$503),$B$419=1),$BE$503,HLOOKUP(INDIRECT(ADDRESS(2,COLUMN())),OFFSET($BN$2,0,0,ROW()-1,60),ROW()-1,FALSE))</f>
        <v/>
      </c>
      <c r="BF44" t="str">
        <f ca="1">IF(AND(ISNUMBER($BF$503),$B$419=1),$BF$503,HLOOKUP(INDIRECT(ADDRESS(2,COLUMN())),OFFSET($BN$2,0,0,ROW()-1,60),ROW()-1,FALSE))</f>
        <v/>
      </c>
      <c r="BG44" t="str">
        <f ca="1">IF(AND(ISNUMBER($BG$503),$B$419=1),$BG$503,HLOOKUP(INDIRECT(ADDRESS(2,COLUMN())),OFFSET($BN$2,0,0,ROW()-1,60),ROW()-1,FALSE))</f>
        <v/>
      </c>
      <c r="BH44" t="str">
        <f ca="1">IF(AND(ISNUMBER($BH$503),$B$419=1),$BH$503,HLOOKUP(INDIRECT(ADDRESS(2,COLUMN())),OFFSET($BN$2,0,0,ROW()-1,60),ROW()-1,FALSE))</f>
        <v/>
      </c>
      <c r="BI44" t="str">
        <f ca="1">IF(AND(ISNUMBER($BI$503),$B$419=1),$BI$503,HLOOKUP(INDIRECT(ADDRESS(2,COLUMN())),OFFSET($BN$2,0,0,ROW()-1,60),ROW()-1,FALSE))</f>
        <v/>
      </c>
      <c r="BJ44" t="str">
        <f ca="1">IF(AND(ISNUMBER($BJ$503),$B$419=1),$BJ$503,HLOOKUP(INDIRECT(ADDRESS(2,COLUMN())),OFFSET($BN$2,0,0,ROW()-1,60),ROW()-1,FALSE))</f>
        <v/>
      </c>
      <c r="BK44" t="str">
        <f ca="1">IF(AND(ISNUMBER($BK$503),$B$419=1),$BK$503,HLOOKUP(INDIRECT(ADDRESS(2,COLUMN())),OFFSET($BN$2,0,0,ROW()-1,60),ROW()-1,FALSE))</f>
        <v/>
      </c>
      <c r="BL44" t="str">
        <f ca="1">IF(AND(ISNUMBER($BL$503),$B$419=1),$BL$503,HLOOKUP(INDIRECT(ADDRESS(2,COLUMN())),OFFSET($BN$2,0,0,ROW()-1,60),ROW()-1,FALSE))</f>
        <v/>
      </c>
      <c r="BM44" t="str">
        <f ca="1">IF(AND(ISNUMBER($BM$503),$B$419=1),$BM$503,HLOOKUP(INDIRECT(ADDRESS(2,COLUMN())),OFFSET($BN$2,0,0,ROW()-1,60),ROW()-1,FALSE))</f>
        <v/>
      </c>
      <c r="BN44" t="str">
        <f>""</f>
        <v/>
      </c>
      <c r="BO44">
        <f>0</f>
        <v>0</v>
      </c>
      <c r="BP44">
        <f>0</f>
        <v>0</v>
      </c>
      <c r="BQ44">
        <f>0</f>
        <v>0</v>
      </c>
      <c r="BR44">
        <f>0</f>
        <v>0</v>
      </c>
      <c r="BS44">
        <f>0</f>
        <v>0</v>
      </c>
      <c r="BT44">
        <f>0</f>
        <v>0</v>
      </c>
      <c r="BU44">
        <f>0</f>
        <v>0</v>
      </c>
      <c r="BV44">
        <f>0</f>
        <v>0</v>
      </c>
      <c r="BW44">
        <f>0</f>
        <v>0</v>
      </c>
      <c r="BX44">
        <f>0</f>
        <v>0</v>
      </c>
      <c r="BY44">
        <f>0</f>
        <v>0</v>
      </c>
      <c r="BZ44">
        <f>0</f>
        <v>0</v>
      </c>
      <c r="CA44">
        <f>0</f>
        <v>0</v>
      </c>
      <c r="CB44">
        <f>0</f>
        <v>0</v>
      </c>
      <c r="CC44">
        <f>0</f>
        <v>0</v>
      </c>
      <c r="CD44">
        <f>0</f>
        <v>0</v>
      </c>
      <c r="CE44">
        <f>0</f>
        <v>0</v>
      </c>
      <c r="CF44">
        <f>0</f>
        <v>0</v>
      </c>
      <c r="CG44">
        <f>0</f>
        <v>0</v>
      </c>
      <c r="CH44">
        <f>0</f>
        <v>0</v>
      </c>
      <c r="CI44">
        <f>0</f>
        <v>0</v>
      </c>
      <c r="CJ44">
        <f>0</f>
        <v>0</v>
      </c>
      <c r="CK44">
        <f>0</f>
        <v>0</v>
      </c>
      <c r="CL44">
        <f>0</f>
        <v>0</v>
      </c>
      <c r="CM44">
        <f>0</f>
        <v>0</v>
      </c>
      <c r="CN44">
        <f>0</f>
        <v>0</v>
      </c>
      <c r="CO44">
        <f>0</f>
        <v>0</v>
      </c>
      <c r="CP44">
        <f>0</f>
        <v>0</v>
      </c>
      <c r="CQ44">
        <f>0</f>
        <v>0</v>
      </c>
      <c r="CR44">
        <f>0</f>
        <v>0</v>
      </c>
      <c r="CS44">
        <f>0</f>
        <v>0</v>
      </c>
      <c r="CT44">
        <f>0</f>
        <v>0</v>
      </c>
      <c r="CU44">
        <f>0</f>
        <v>0</v>
      </c>
      <c r="CV44">
        <f>0</f>
        <v>0</v>
      </c>
      <c r="CW44">
        <f>0</f>
        <v>0</v>
      </c>
      <c r="CX44">
        <f>0</f>
        <v>0</v>
      </c>
      <c r="CY44" t="str">
        <f>""</f>
        <v/>
      </c>
      <c r="CZ44" t="str">
        <f>""</f>
        <v/>
      </c>
      <c r="DA44" t="str">
        <f>""</f>
        <v/>
      </c>
      <c r="DB44" t="str">
        <f>""</f>
        <v/>
      </c>
      <c r="DC44" t="str">
        <f>""</f>
        <v/>
      </c>
      <c r="DD44" t="str">
        <f>""</f>
        <v/>
      </c>
      <c r="DE44" t="str">
        <f>""</f>
        <v/>
      </c>
      <c r="DF44" t="str">
        <f>""</f>
        <v/>
      </c>
      <c r="DG44" t="str">
        <f>""</f>
        <v/>
      </c>
      <c r="DH44" t="str">
        <f>""</f>
        <v/>
      </c>
      <c r="DI44" t="str">
        <f>""</f>
        <v/>
      </c>
      <c r="DJ44" t="str">
        <f>""</f>
        <v/>
      </c>
      <c r="DK44" t="str">
        <f>""</f>
        <v/>
      </c>
      <c r="DL44" t="str">
        <f>""</f>
        <v/>
      </c>
      <c r="DM44" t="str">
        <f>""</f>
        <v/>
      </c>
      <c r="DN44" t="str">
        <f>""</f>
        <v/>
      </c>
      <c r="DO44" t="str">
        <f>""</f>
        <v/>
      </c>
      <c r="DP44" t="str">
        <f>""</f>
        <v/>
      </c>
      <c r="DQ44" t="str">
        <f>""</f>
        <v/>
      </c>
      <c r="DR44" t="str">
        <f>""</f>
        <v/>
      </c>
      <c r="DS44" t="str">
        <f>""</f>
        <v/>
      </c>
      <c r="DT44" t="str">
        <f>""</f>
        <v/>
      </c>
      <c r="DU44" t="str">
        <f>""</f>
        <v/>
      </c>
    </row>
    <row r="45" spans="1:125">
      <c r="A45" t="str">
        <f>"    Retail Opportunity Investments"</f>
        <v xml:space="preserve">    Retail Opportunity Investments</v>
      </c>
      <c r="B45" t="str">
        <f>"ROIC US Equity"</f>
        <v>ROIC US Equity</v>
      </c>
      <c r="C45" t="str">
        <f t="shared" si="6"/>
        <v>IM281</v>
      </c>
      <c r="D45" t="str">
        <f t="shared" si="7"/>
        <v>IS_NON_REAL_ESTATE_INCOME</v>
      </c>
      <c r="E45" t="str">
        <f t="shared" si="8"/>
        <v>动态</v>
      </c>
      <c r="F45" t="str">
        <f ca="1">IF(AND(ISNUMBER($F$504),$B$419=1),$F$504,HLOOKUP(INDIRECT(ADDRESS(2,COLUMN())),OFFSET($BN$2,0,0,ROW()-1,60),ROW()-1,FALSE))</f>
        <v/>
      </c>
      <c r="G45">
        <f ca="1">IF(AND(ISNUMBER($G$504),$B$419=1),$G$504,HLOOKUP(INDIRECT(ADDRESS(2,COLUMN())),OFFSET($BN$2,0,0,ROW()-1,60),ROW()-1,FALSE))</f>
        <v>1.35</v>
      </c>
      <c r="H45">
        <f ca="1">IF(AND(ISNUMBER($H$504),$B$419=1),$H$504,HLOOKUP(INDIRECT(ADDRESS(2,COLUMN())),OFFSET($BN$2,0,0,ROW()-1,60),ROW()-1,FALSE))</f>
        <v>0.88500000000000001</v>
      </c>
      <c r="I45">
        <f ca="1">IF(AND(ISNUMBER($I$504),$B$419=1),$I$504,HLOOKUP(INDIRECT(ADDRESS(2,COLUMN())),OFFSET($BN$2,0,0,ROW()-1,60),ROW()-1,FALSE))</f>
        <v>0.89</v>
      </c>
      <c r="J45">
        <f ca="1">IF(AND(ISNUMBER($J$504),$B$419=1),$J$504,HLOOKUP(INDIRECT(ADDRESS(2,COLUMN())),OFFSET($BN$2,0,0,ROW()-1,60),ROW()-1,FALSE))</f>
        <v>0.753</v>
      </c>
      <c r="K45">
        <f ca="1">IF(AND(ISNUMBER($K$504),$B$419=1),$K$504,HLOOKUP(INDIRECT(ADDRESS(2,COLUMN())),OFFSET($BN$2,0,0,ROW()-1,60),ROW()-1,FALSE))</f>
        <v>0.85699999999999998</v>
      </c>
      <c r="L45">
        <f ca="1">IF(AND(ISNUMBER($L$504),$B$419=1),$L$504,HLOOKUP(INDIRECT(ADDRESS(2,COLUMN())),OFFSET($BN$2,0,0,ROW()-1,60),ROW()-1,FALSE))</f>
        <v>0.65400000000000003</v>
      </c>
      <c r="M45">
        <f ca="1">IF(AND(ISNUMBER($M$504),$B$419=1),$M$504,HLOOKUP(INDIRECT(ADDRESS(2,COLUMN())),OFFSET($BN$2,0,0,ROW()-1,60),ROW()-1,FALSE))</f>
        <v>0.50800000000000001</v>
      </c>
      <c r="N45">
        <f ca="1">IF(AND(ISNUMBER($N$504),$B$419=1),$N$504,HLOOKUP(INDIRECT(ADDRESS(2,COLUMN())),OFFSET($BN$2,0,0,ROW()-1,60),ROW()-1,FALSE))</f>
        <v>0.38600000000000001</v>
      </c>
      <c r="O45">
        <f ca="1">IF(AND(ISNUMBER($O$504),$B$419=1),$O$504,HLOOKUP(INDIRECT(ADDRESS(2,COLUMN())),OFFSET($BN$2,0,0,ROW()-1,60),ROW()-1,FALSE))</f>
        <v>0.79400000000000004</v>
      </c>
      <c r="P45">
        <f ca="1">IF(AND(ISNUMBER($P$504),$B$419=1),$P$504,HLOOKUP(INDIRECT(ADDRESS(2,COLUMN())),OFFSET($BN$2,0,0,ROW()-1,60),ROW()-1,FALSE))</f>
        <v>2.1440000000000001</v>
      </c>
      <c r="Q45">
        <f ca="1">IF(AND(ISNUMBER($Q$504),$B$419=1),$Q$504,HLOOKUP(INDIRECT(ADDRESS(2,COLUMN())),OFFSET($BN$2,0,0,ROW()-1,60),ROW()-1,FALSE))</f>
        <v>0.34599999999999997</v>
      </c>
      <c r="R45">
        <f ca="1">IF(AND(ISNUMBER($R$504),$B$419=1),$R$504,HLOOKUP(INDIRECT(ADDRESS(2,COLUMN())),OFFSET($BN$2,0,0,ROW()-1,60),ROW()-1,FALSE))</f>
        <v>0.23100000000000001</v>
      </c>
      <c r="S45">
        <f ca="1">IF(AND(ISNUMBER($S$504),$B$419=1),$S$504,HLOOKUP(INDIRECT(ADDRESS(2,COLUMN())),OFFSET($BN$2,0,0,ROW()-1,60),ROW()-1,FALSE))</f>
        <v>0.32297300000000001</v>
      </c>
      <c r="T45">
        <f ca="1">IF(AND(ISNUMBER($T$504),$B$419=1),$T$504,HLOOKUP(INDIRECT(ADDRESS(2,COLUMN())),OFFSET($BN$2,0,0,ROW()-1,60),ROW()-1,FALSE))</f>
        <v>1.1541429999999999</v>
      </c>
      <c r="U45">
        <f ca="1">IF(AND(ISNUMBER($U$504),$B$419=1),$U$504,HLOOKUP(INDIRECT(ADDRESS(2,COLUMN())),OFFSET($BN$2,0,0,ROW()-1,60),ROW()-1,FALSE))</f>
        <v>0.40006000000000003</v>
      </c>
      <c r="V45">
        <f ca="1">IF(AND(ISNUMBER($V$504),$B$419=1),$V$504,HLOOKUP(INDIRECT(ADDRESS(2,COLUMN())),OFFSET($BN$2,0,0,ROW()-1,60),ROW()-1,FALSE))</f>
        <v>1.1990000000000001</v>
      </c>
      <c r="W45">
        <f ca="1">IF(AND(ISNUMBER($W$504),$B$419=1),$W$504,HLOOKUP(INDIRECT(ADDRESS(2,COLUMN())),OFFSET($BN$2,0,0,ROW()-1,60),ROW()-1,FALSE))</f>
        <v>0</v>
      </c>
      <c r="X45">
        <f ca="1">IF(AND(ISNUMBER($X$504),$B$419=1),$X$504,HLOOKUP(INDIRECT(ADDRESS(2,COLUMN())),OFFSET($BN$2,0,0,ROW()-1,60),ROW()-1,FALSE))</f>
        <v>0.91906699999999997</v>
      </c>
      <c r="Y45">
        <f ca="1">IF(AND(ISNUMBER($Y$504),$B$419=1),$Y$504,HLOOKUP(INDIRECT(ADDRESS(2,COLUMN())),OFFSET($BN$2,0,0,ROW()-1,60),ROW()-1,FALSE))</f>
        <v>0.21983900000000001</v>
      </c>
      <c r="Z45">
        <f ca="1">IF(AND(ISNUMBER($Z$504),$B$419=1),$Z$504,HLOOKUP(INDIRECT(ADDRESS(2,COLUMN())),OFFSET($BN$2,0,0,ROW()-1,60),ROW()-1,FALSE))</f>
        <v>0</v>
      </c>
      <c r="AA45">
        <f ca="1">IF(AND(ISNUMBER($AA$504),$B$419=1),$AA$504,HLOOKUP(INDIRECT(ADDRESS(2,COLUMN())),OFFSET($BN$2,0,0,ROW()-1,60),ROW()-1,FALSE))</f>
        <v>0</v>
      </c>
      <c r="AB45">
        <f ca="1">IF(AND(ISNUMBER($AB$504),$B$419=1),$AB$504,HLOOKUP(INDIRECT(ADDRESS(2,COLUMN())),OFFSET($BN$2,0,0,ROW()-1,60),ROW()-1,FALSE))</f>
        <v>0</v>
      </c>
      <c r="AC45">
        <f ca="1">IF(AND(ISNUMBER($AC$504),$B$419=1),$AC$504,HLOOKUP(INDIRECT(ADDRESS(2,COLUMN())),OFFSET($BN$2,0,0,ROW()-1,60),ROW()-1,FALSE))</f>
        <v>0</v>
      </c>
      <c r="AD45">
        <f ca="1">IF(AND(ISNUMBER($AD$504),$B$419=1),$AD$504,HLOOKUP(INDIRECT(ADDRESS(2,COLUMN())),OFFSET($BN$2,0,0,ROW()-1,60),ROW()-1,FALSE))</f>
        <v>0</v>
      </c>
      <c r="AE45">
        <f ca="1">IF(AND(ISNUMBER($AE$504),$B$419=1),$AE$504,HLOOKUP(INDIRECT(ADDRESS(2,COLUMN())),OFFSET($BN$2,0,0,ROW()-1,60),ROW()-1,FALSE))</f>
        <v>0</v>
      </c>
      <c r="AF45">
        <f ca="1">IF(AND(ISNUMBER($AF$504),$B$419=1),$AF$504,HLOOKUP(INDIRECT(ADDRESS(2,COLUMN())),OFFSET($BN$2,0,0,ROW()-1,60),ROW()-1,FALSE))</f>
        <v>0</v>
      </c>
      <c r="AG45">
        <f ca="1">IF(AND(ISNUMBER($AG$504),$B$419=1),$AG$504,HLOOKUP(INDIRECT(ADDRESS(2,COLUMN())),OFFSET($BN$2,0,0,ROW()-1,60),ROW()-1,FALSE))</f>
        <v>0</v>
      </c>
      <c r="AH45">
        <f ca="1">IF(AND(ISNUMBER($AH$504),$B$419=1),$AH$504,HLOOKUP(INDIRECT(ADDRESS(2,COLUMN())),OFFSET($BN$2,0,0,ROW()-1,60),ROW()-1,FALSE))</f>
        <v>0</v>
      </c>
      <c r="AI45">
        <f ca="1">IF(AND(ISNUMBER($AI$504),$B$419=1),$AI$504,HLOOKUP(INDIRECT(ADDRESS(2,COLUMN())),OFFSET($BN$2,0,0,ROW()-1,60),ROW()-1,FALSE))</f>
        <v>0</v>
      </c>
      <c r="AJ45">
        <f ca="1">IF(AND(ISNUMBER($AJ$504),$B$419=1),$AJ$504,HLOOKUP(INDIRECT(ADDRESS(2,COLUMN())),OFFSET($BN$2,0,0,ROW()-1,60),ROW()-1,FALSE))</f>
        <v>0</v>
      </c>
      <c r="AK45">
        <f ca="1">IF(AND(ISNUMBER($AK$504),$B$419=1),$AK$504,HLOOKUP(INDIRECT(ADDRESS(2,COLUMN())),OFFSET($BN$2,0,0,ROW()-1,60),ROW()-1,FALSE))</f>
        <v>0</v>
      </c>
      <c r="AL45">
        <f ca="1">IF(AND(ISNUMBER($AL$504),$B$419=1),$AL$504,HLOOKUP(INDIRECT(ADDRESS(2,COLUMN())),OFFSET($BN$2,0,0,ROW()-1,60),ROW()-1,FALSE))</f>
        <v>0</v>
      </c>
      <c r="AM45" t="str">
        <f ca="1">IF(AND(ISNUMBER($AM$504),$B$419=1),$AM$504,HLOOKUP(INDIRECT(ADDRESS(2,COLUMN())),OFFSET($BN$2,0,0,ROW()-1,60),ROW()-1,FALSE))</f>
        <v/>
      </c>
      <c r="AN45" t="str">
        <f ca="1">IF(AND(ISNUMBER($AN$504),$B$419=1),$AN$504,HLOOKUP(INDIRECT(ADDRESS(2,COLUMN())),OFFSET($BN$2,0,0,ROW()-1,60),ROW()-1,FALSE))</f>
        <v/>
      </c>
      <c r="AO45" t="str">
        <f ca="1">IF(AND(ISNUMBER($AO$504),$B$419=1),$AO$504,HLOOKUP(INDIRECT(ADDRESS(2,COLUMN())),OFFSET($BN$2,0,0,ROW()-1,60),ROW()-1,FALSE))</f>
        <v/>
      </c>
      <c r="AP45" t="str">
        <f ca="1">IF(AND(ISNUMBER($AP$504),$B$419=1),$AP$504,HLOOKUP(INDIRECT(ADDRESS(2,COLUMN())),OFFSET($BN$2,0,0,ROW()-1,60),ROW()-1,FALSE))</f>
        <v/>
      </c>
      <c r="AQ45" t="str">
        <f ca="1">IF(AND(ISNUMBER($AQ$504),$B$419=1),$AQ$504,HLOOKUP(INDIRECT(ADDRESS(2,COLUMN())),OFFSET($BN$2,0,0,ROW()-1,60),ROW()-1,FALSE))</f>
        <v/>
      </c>
      <c r="AR45" t="str">
        <f ca="1">IF(AND(ISNUMBER($AR$504),$B$419=1),$AR$504,HLOOKUP(INDIRECT(ADDRESS(2,COLUMN())),OFFSET($BN$2,0,0,ROW()-1,60),ROW()-1,FALSE))</f>
        <v/>
      </c>
      <c r="AS45" t="str">
        <f ca="1">IF(AND(ISNUMBER($AS$504),$B$419=1),$AS$504,HLOOKUP(INDIRECT(ADDRESS(2,COLUMN())),OFFSET($BN$2,0,0,ROW()-1,60),ROW()-1,FALSE))</f>
        <v/>
      </c>
      <c r="AT45" t="str">
        <f ca="1">IF(AND(ISNUMBER($AT$504),$B$419=1),$AT$504,HLOOKUP(INDIRECT(ADDRESS(2,COLUMN())),OFFSET($BN$2,0,0,ROW()-1,60),ROW()-1,FALSE))</f>
        <v/>
      </c>
      <c r="AU45" t="str">
        <f ca="1">IF(AND(ISNUMBER($AU$504),$B$419=1),$AU$504,HLOOKUP(INDIRECT(ADDRESS(2,COLUMN())),OFFSET($BN$2,0,0,ROW()-1,60),ROW()-1,FALSE))</f>
        <v/>
      </c>
      <c r="AV45" t="str">
        <f ca="1">IF(AND(ISNUMBER($AV$504),$B$419=1),$AV$504,HLOOKUP(INDIRECT(ADDRESS(2,COLUMN())),OFFSET($BN$2,0,0,ROW()-1,60),ROW()-1,FALSE))</f>
        <v/>
      </c>
      <c r="AW45" t="str">
        <f ca="1">IF(AND(ISNUMBER($AW$504),$B$419=1),$AW$504,HLOOKUP(INDIRECT(ADDRESS(2,COLUMN())),OFFSET($BN$2,0,0,ROW()-1,60),ROW()-1,FALSE))</f>
        <v/>
      </c>
      <c r="AX45" t="str">
        <f ca="1">IF(AND(ISNUMBER($AX$504),$B$419=1),$AX$504,HLOOKUP(INDIRECT(ADDRESS(2,COLUMN())),OFFSET($BN$2,0,0,ROW()-1,60),ROW()-1,FALSE))</f>
        <v/>
      </c>
      <c r="AY45" t="str">
        <f ca="1">IF(AND(ISNUMBER($AY$504),$B$419=1),$AY$504,HLOOKUP(INDIRECT(ADDRESS(2,COLUMN())),OFFSET($BN$2,0,0,ROW()-1,60),ROW()-1,FALSE))</f>
        <v/>
      </c>
      <c r="AZ45" t="str">
        <f ca="1">IF(AND(ISNUMBER($AZ$504),$B$419=1),$AZ$504,HLOOKUP(INDIRECT(ADDRESS(2,COLUMN())),OFFSET($BN$2,0,0,ROW()-1,60),ROW()-1,FALSE))</f>
        <v/>
      </c>
      <c r="BA45" t="str">
        <f ca="1">IF(AND(ISNUMBER($BA$504),$B$419=1),$BA$504,HLOOKUP(INDIRECT(ADDRESS(2,COLUMN())),OFFSET($BN$2,0,0,ROW()-1,60),ROW()-1,FALSE))</f>
        <v/>
      </c>
      <c r="BB45" t="str">
        <f ca="1">IF(AND(ISNUMBER($BB$504),$B$419=1),$BB$504,HLOOKUP(INDIRECT(ADDRESS(2,COLUMN())),OFFSET($BN$2,0,0,ROW()-1,60),ROW()-1,FALSE))</f>
        <v/>
      </c>
      <c r="BC45" t="str">
        <f ca="1">IF(AND(ISNUMBER($BC$504),$B$419=1),$BC$504,HLOOKUP(INDIRECT(ADDRESS(2,COLUMN())),OFFSET($BN$2,0,0,ROW()-1,60),ROW()-1,FALSE))</f>
        <v/>
      </c>
      <c r="BD45" t="str">
        <f ca="1">IF(AND(ISNUMBER($BD$504),$B$419=1),$BD$504,HLOOKUP(INDIRECT(ADDRESS(2,COLUMN())),OFFSET($BN$2,0,0,ROW()-1,60),ROW()-1,FALSE))</f>
        <v/>
      </c>
      <c r="BE45" t="str">
        <f ca="1">IF(AND(ISNUMBER($BE$504),$B$419=1),$BE$504,HLOOKUP(INDIRECT(ADDRESS(2,COLUMN())),OFFSET($BN$2,0,0,ROW()-1,60),ROW()-1,FALSE))</f>
        <v/>
      </c>
      <c r="BF45" t="str">
        <f ca="1">IF(AND(ISNUMBER($BF$504),$B$419=1),$BF$504,HLOOKUP(INDIRECT(ADDRESS(2,COLUMN())),OFFSET($BN$2,0,0,ROW()-1,60),ROW()-1,FALSE))</f>
        <v/>
      </c>
      <c r="BG45" t="str">
        <f ca="1">IF(AND(ISNUMBER($BG$504),$B$419=1),$BG$504,HLOOKUP(INDIRECT(ADDRESS(2,COLUMN())),OFFSET($BN$2,0,0,ROW()-1,60),ROW()-1,FALSE))</f>
        <v/>
      </c>
      <c r="BH45" t="str">
        <f ca="1">IF(AND(ISNUMBER($BH$504),$B$419=1),$BH$504,HLOOKUP(INDIRECT(ADDRESS(2,COLUMN())),OFFSET($BN$2,0,0,ROW()-1,60),ROW()-1,FALSE))</f>
        <v/>
      </c>
      <c r="BI45" t="str">
        <f ca="1">IF(AND(ISNUMBER($BI$504),$B$419=1),$BI$504,HLOOKUP(INDIRECT(ADDRESS(2,COLUMN())),OFFSET($BN$2,0,0,ROW()-1,60),ROW()-1,FALSE))</f>
        <v/>
      </c>
      <c r="BJ45" t="str">
        <f ca="1">IF(AND(ISNUMBER($BJ$504),$B$419=1),$BJ$504,HLOOKUP(INDIRECT(ADDRESS(2,COLUMN())),OFFSET($BN$2,0,0,ROW()-1,60),ROW()-1,FALSE))</f>
        <v/>
      </c>
      <c r="BK45" t="str">
        <f ca="1">IF(AND(ISNUMBER($BK$504),$B$419=1),$BK$504,HLOOKUP(INDIRECT(ADDRESS(2,COLUMN())),OFFSET($BN$2,0,0,ROW()-1,60),ROW()-1,FALSE))</f>
        <v/>
      </c>
      <c r="BL45" t="str">
        <f ca="1">IF(AND(ISNUMBER($BL$504),$B$419=1),$BL$504,HLOOKUP(INDIRECT(ADDRESS(2,COLUMN())),OFFSET($BN$2,0,0,ROW()-1,60),ROW()-1,FALSE))</f>
        <v/>
      </c>
      <c r="BM45" t="str">
        <f ca="1">IF(AND(ISNUMBER($BM$504),$B$419=1),$BM$504,HLOOKUP(INDIRECT(ADDRESS(2,COLUMN())),OFFSET($BN$2,0,0,ROW()-1,60),ROW()-1,FALSE))</f>
        <v/>
      </c>
      <c r="BN45" t="str">
        <f>""</f>
        <v/>
      </c>
      <c r="BO45">
        <f>1.35</f>
        <v>1.35</v>
      </c>
      <c r="BP45">
        <f>0.885</f>
        <v>0.88500000000000001</v>
      </c>
      <c r="BQ45">
        <f>0.89</f>
        <v>0.89</v>
      </c>
      <c r="BR45">
        <f>0.753</f>
        <v>0.753</v>
      </c>
      <c r="BS45">
        <f>0.857</f>
        <v>0.85699999999999998</v>
      </c>
      <c r="BT45">
        <f>0.654</f>
        <v>0.65400000000000003</v>
      </c>
      <c r="BU45">
        <f>0.508</f>
        <v>0.50800000000000001</v>
      </c>
      <c r="BV45">
        <f>0.386</f>
        <v>0.38600000000000001</v>
      </c>
      <c r="BW45">
        <f>0.794</f>
        <v>0.79400000000000004</v>
      </c>
      <c r="BX45">
        <f>2.144</f>
        <v>2.1440000000000001</v>
      </c>
      <c r="BY45">
        <f>0.346</f>
        <v>0.34599999999999997</v>
      </c>
      <c r="BZ45">
        <f>0.231</f>
        <v>0.23100000000000001</v>
      </c>
      <c r="CA45">
        <f>0.322973</f>
        <v>0.32297300000000001</v>
      </c>
      <c r="CB45">
        <f>1.154143</f>
        <v>1.1541429999999999</v>
      </c>
      <c r="CC45">
        <f>0.40006</f>
        <v>0.40006000000000003</v>
      </c>
      <c r="CD45">
        <f>1.199</f>
        <v>1.1990000000000001</v>
      </c>
      <c r="CE45">
        <f>0</f>
        <v>0</v>
      </c>
      <c r="CF45">
        <f>0.919067</f>
        <v>0.91906699999999997</v>
      </c>
      <c r="CG45">
        <f>0.219839</f>
        <v>0.21983900000000001</v>
      </c>
      <c r="CH45">
        <f>0</f>
        <v>0</v>
      </c>
      <c r="CI45">
        <f>0</f>
        <v>0</v>
      </c>
      <c r="CJ45">
        <f>0</f>
        <v>0</v>
      </c>
      <c r="CK45">
        <f>0</f>
        <v>0</v>
      </c>
      <c r="CL45">
        <f>0</f>
        <v>0</v>
      </c>
      <c r="CM45">
        <f>0</f>
        <v>0</v>
      </c>
      <c r="CN45">
        <f>0</f>
        <v>0</v>
      </c>
      <c r="CO45">
        <f>0</f>
        <v>0</v>
      </c>
      <c r="CP45">
        <f>0</f>
        <v>0</v>
      </c>
      <c r="CQ45">
        <f>0</f>
        <v>0</v>
      </c>
      <c r="CR45">
        <f>0</f>
        <v>0</v>
      </c>
      <c r="CS45">
        <f>0</f>
        <v>0</v>
      </c>
      <c r="CT45">
        <f>0</f>
        <v>0</v>
      </c>
      <c r="CU45" t="str">
        <f>""</f>
        <v/>
      </c>
      <c r="CV45" t="str">
        <f>""</f>
        <v/>
      </c>
      <c r="CW45" t="str">
        <f>""</f>
        <v/>
      </c>
      <c r="CX45" t="str">
        <f>""</f>
        <v/>
      </c>
      <c r="CY45" t="str">
        <f>""</f>
        <v/>
      </c>
      <c r="CZ45" t="str">
        <f>""</f>
        <v/>
      </c>
      <c r="DA45" t="str">
        <f>""</f>
        <v/>
      </c>
      <c r="DB45" t="str">
        <f>""</f>
        <v/>
      </c>
      <c r="DC45" t="str">
        <f>""</f>
        <v/>
      </c>
      <c r="DD45" t="str">
        <f>""</f>
        <v/>
      </c>
      <c r="DE45" t="str">
        <f>""</f>
        <v/>
      </c>
      <c r="DF45" t="str">
        <f>""</f>
        <v/>
      </c>
      <c r="DG45" t="str">
        <f>""</f>
        <v/>
      </c>
      <c r="DH45" t="str">
        <f>""</f>
        <v/>
      </c>
      <c r="DI45" t="str">
        <f>""</f>
        <v/>
      </c>
      <c r="DJ45" t="str">
        <f>""</f>
        <v/>
      </c>
      <c r="DK45" t="str">
        <f>""</f>
        <v/>
      </c>
      <c r="DL45" t="str">
        <f>""</f>
        <v/>
      </c>
      <c r="DM45" t="str">
        <f>""</f>
        <v/>
      </c>
      <c r="DN45" t="str">
        <f>""</f>
        <v/>
      </c>
      <c r="DO45" t="str">
        <f>""</f>
        <v/>
      </c>
      <c r="DP45" t="str">
        <f>""</f>
        <v/>
      </c>
      <c r="DQ45" t="str">
        <f>""</f>
        <v/>
      </c>
      <c r="DR45" t="str">
        <f>""</f>
        <v/>
      </c>
      <c r="DS45" t="str">
        <f>""</f>
        <v/>
      </c>
      <c r="DT45" t="str">
        <f>""</f>
        <v/>
      </c>
      <c r="DU45" t="str">
        <f>""</f>
        <v/>
      </c>
    </row>
    <row r="46" spans="1:125">
      <c r="A46" t="str">
        <f>"    Retail Properties of America I"</f>
        <v xml:space="preserve">    Retail Properties of America I</v>
      </c>
      <c r="B46" t="str">
        <f>"RPAI US Equity"</f>
        <v>RPAI US Equity</v>
      </c>
      <c r="C46" t="str">
        <f t="shared" si="6"/>
        <v>IM281</v>
      </c>
      <c r="D46" t="str">
        <f t="shared" si="7"/>
        <v>IS_NON_REAL_ESTATE_INCOME</v>
      </c>
      <c r="E46" t="str">
        <f t="shared" si="8"/>
        <v>动态</v>
      </c>
      <c r="F46" t="str">
        <f ca="1">IF(AND(ISNUMBER($F$505),$B$419=1),$F$505,HLOOKUP(INDIRECT(ADDRESS(2,COLUMN())),OFFSET($BN$2,0,0,ROW()-1,60),ROW()-1,FALSE))</f>
        <v/>
      </c>
      <c r="G46">
        <f ca="1">IF(AND(ISNUMBER($G$505),$B$419=1),$G$505,HLOOKUP(INDIRECT(ADDRESS(2,COLUMN())),OFFSET($BN$2,0,0,ROW()-1,60),ROW()-1,FALSE))</f>
        <v>1.1419999999999999</v>
      </c>
      <c r="H46">
        <f ca="1">IF(AND(ISNUMBER($H$505),$B$419=1),$H$505,HLOOKUP(INDIRECT(ADDRESS(2,COLUMN())),OFFSET($BN$2,0,0,ROW()-1,60),ROW()-1,FALSE))</f>
        <v>1.518</v>
      </c>
      <c r="I46">
        <f ca="1">IF(AND(ISNUMBER($I$505),$B$419=1),$I$505,HLOOKUP(INDIRECT(ADDRESS(2,COLUMN())),OFFSET($BN$2,0,0,ROW()-1,60),ROW()-1,FALSE))</f>
        <v>1.798</v>
      </c>
      <c r="J46">
        <f ca="1">IF(AND(ISNUMBER($J$505),$B$419=1),$J$505,HLOOKUP(INDIRECT(ADDRESS(2,COLUMN())),OFFSET($BN$2,0,0,ROW()-1,60),ROW()-1,FALSE))</f>
        <v>2.9329999999999998</v>
      </c>
      <c r="K46">
        <f ca="1">IF(AND(ISNUMBER($K$505),$B$419=1),$K$505,HLOOKUP(INDIRECT(ADDRESS(2,COLUMN())),OFFSET($BN$2,0,0,ROW()-1,60),ROW()-1,FALSE))</f>
        <v>1.746</v>
      </c>
      <c r="L46">
        <f ca="1">IF(AND(ISNUMBER($L$505),$B$419=1),$L$505,HLOOKUP(INDIRECT(ADDRESS(2,COLUMN())),OFFSET($BN$2,0,0,ROW()-1,60),ROW()-1,FALSE))</f>
        <v>1.7689999999999999</v>
      </c>
      <c r="M46">
        <f ca="1">IF(AND(ISNUMBER($M$505),$B$419=1),$M$505,HLOOKUP(INDIRECT(ADDRESS(2,COLUMN())),OFFSET($BN$2,0,0,ROW()-1,60),ROW()-1,FALSE))</f>
        <v>2.3780000000000001</v>
      </c>
      <c r="N46">
        <f ca="1">IF(AND(ISNUMBER($N$505),$B$419=1),$N$505,HLOOKUP(INDIRECT(ADDRESS(2,COLUMN())),OFFSET($BN$2,0,0,ROW()-1,60),ROW()-1,FALSE))</f>
        <v>3.0230000000000001</v>
      </c>
      <c r="O46">
        <f ca="1">IF(AND(ISNUMBER($O$505),$B$419=1),$O$505,HLOOKUP(INDIRECT(ADDRESS(2,COLUMN())),OFFSET($BN$2,0,0,ROW()-1,60),ROW()-1,FALSE))</f>
        <v>2.1819999999999999</v>
      </c>
      <c r="P46">
        <f ca="1">IF(AND(ISNUMBER($P$505),$B$419=1),$P$505,HLOOKUP(INDIRECT(ADDRESS(2,COLUMN())),OFFSET($BN$2,0,0,ROW()-1,60),ROW()-1,FALSE))</f>
        <v>5.3390000000000004</v>
      </c>
      <c r="Q46">
        <f ca="1">IF(AND(ISNUMBER($Q$505),$B$419=1),$Q$505,HLOOKUP(INDIRECT(ADDRESS(2,COLUMN())),OFFSET($BN$2,0,0,ROW()-1,60),ROW()-1,FALSE))</f>
        <v>2.4500000000000002</v>
      </c>
      <c r="R46">
        <f ca="1">IF(AND(ISNUMBER($R$505),$B$419=1),$R$505,HLOOKUP(INDIRECT(ADDRESS(2,COLUMN())),OFFSET($BN$2,0,0,ROW()-1,60),ROW()-1,FALSE))</f>
        <v>2.109</v>
      </c>
      <c r="S46">
        <f ca="1">IF(AND(ISNUMBER($S$505),$B$419=1),$S$505,HLOOKUP(INDIRECT(ADDRESS(2,COLUMN())),OFFSET($BN$2,0,0,ROW()-1,60),ROW()-1,FALSE))</f>
        <v>4.306</v>
      </c>
      <c r="T46">
        <f ca="1">IF(AND(ISNUMBER($T$505),$B$419=1),$T$505,HLOOKUP(INDIRECT(ADDRESS(2,COLUMN())),OFFSET($BN$2,0,0,ROW()-1,60),ROW()-1,FALSE))</f>
        <v>2.0739999999999998</v>
      </c>
      <c r="U46">
        <f ca="1">IF(AND(ISNUMBER($U$505),$B$419=1),$U$505,HLOOKUP(INDIRECT(ADDRESS(2,COLUMN())),OFFSET($BN$2,0,0,ROW()-1,60),ROW()-1,FALSE))</f>
        <v>1.919</v>
      </c>
      <c r="V46">
        <f ca="1">IF(AND(ISNUMBER($V$505),$B$419=1),$V$505,HLOOKUP(INDIRECT(ADDRESS(2,COLUMN())),OFFSET($BN$2,0,0,ROW()-1,60),ROW()-1,FALSE))</f>
        <v>1.9119999999999999</v>
      </c>
      <c r="W46">
        <f ca="1">IF(AND(ISNUMBER($W$505),$B$419=1),$W$505,HLOOKUP(INDIRECT(ADDRESS(2,COLUMN())),OFFSET($BN$2,0,0,ROW()-1,60),ROW()-1,FALSE))</f>
        <v>9.141</v>
      </c>
      <c r="X46">
        <f ca="1">IF(AND(ISNUMBER($X$505),$B$419=1),$X$505,HLOOKUP(INDIRECT(ADDRESS(2,COLUMN())),OFFSET($BN$2,0,0,ROW()-1,60),ROW()-1,FALSE))</f>
        <v>2.0019999999999998</v>
      </c>
      <c r="Y46">
        <f ca="1">IF(AND(ISNUMBER($Y$505),$B$419=1),$Y$505,HLOOKUP(INDIRECT(ADDRESS(2,COLUMN())),OFFSET($BN$2,0,0,ROW()-1,60),ROW()-1,FALSE))</f>
        <v>2.3679999999999999</v>
      </c>
      <c r="Z46">
        <f ca="1">IF(AND(ISNUMBER($Z$505),$B$419=1),$Z$505,HLOOKUP(INDIRECT(ADDRESS(2,COLUMN())),OFFSET($BN$2,0,0,ROW()-1,60),ROW()-1,FALSE))</f>
        <v>2.444</v>
      </c>
      <c r="AA46">
        <f ca="1">IF(AND(ISNUMBER($AA$505),$B$419=1),$AA$505,HLOOKUP(INDIRECT(ADDRESS(2,COLUMN())),OFFSET($BN$2,0,0,ROW()-1,60),ROW()-1,FALSE))</f>
        <v>2.0859999999999999</v>
      </c>
      <c r="AB46">
        <f ca="1">IF(AND(ISNUMBER($AB$505),$B$419=1),$AB$505,HLOOKUP(INDIRECT(ADDRESS(2,COLUMN())),OFFSET($BN$2,0,0,ROW()-1,60),ROW()-1,FALSE))</f>
        <v>1.9590000000000001</v>
      </c>
      <c r="AC46">
        <f ca="1">IF(AND(ISNUMBER($AC$505),$B$419=1),$AC$505,HLOOKUP(INDIRECT(ADDRESS(2,COLUMN())),OFFSET($BN$2,0,0,ROW()-1,60),ROW()-1,FALSE))</f>
        <v>2.8069999999999999</v>
      </c>
      <c r="AD46">
        <f ca="1">IF(AND(ISNUMBER($AD$505),$B$419=1),$AD$505,HLOOKUP(INDIRECT(ADDRESS(2,COLUMN())),OFFSET($BN$2,0,0,ROW()-1,60),ROW()-1,FALSE))</f>
        <v>2.738</v>
      </c>
      <c r="AE46">
        <f ca="1">IF(AND(ISNUMBER($AE$505),$B$419=1),$AE$505,HLOOKUP(INDIRECT(ADDRESS(2,COLUMN())),OFFSET($BN$2,0,0,ROW()-1,60),ROW()-1,FALSE))</f>
        <v>2.2610000000000001</v>
      </c>
      <c r="AF46">
        <f ca="1">IF(AND(ISNUMBER($AF$505),$B$419=1),$AF$505,HLOOKUP(INDIRECT(ADDRESS(2,COLUMN())),OFFSET($BN$2,0,0,ROW()-1,60),ROW()-1,FALSE))</f>
        <v>2.2799999999999998</v>
      </c>
      <c r="AG46">
        <f ca="1">IF(AND(ISNUMBER($AG$505),$B$419=1),$AG$505,HLOOKUP(INDIRECT(ADDRESS(2,COLUMN())),OFFSET($BN$2,0,0,ROW()-1,60),ROW()-1,FALSE))</f>
        <v>2.7810000000000001</v>
      </c>
      <c r="AH46">
        <f ca="1">IF(AND(ISNUMBER($AH$505),$B$419=1),$AH$505,HLOOKUP(INDIRECT(ADDRESS(2,COLUMN())),OFFSET($BN$2,0,0,ROW()-1,60),ROW()-1,FALSE))</f>
        <v>2.8159999999999998</v>
      </c>
      <c r="AI46">
        <f ca="1">IF(AND(ISNUMBER($AI$505),$B$419=1),$AI$505,HLOOKUP(INDIRECT(ADDRESS(2,COLUMN())),OFFSET($BN$2,0,0,ROW()-1,60),ROW()-1,FALSE))</f>
        <v>4.9400000000000004</v>
      </c>
      <c r="AJ46">
        <f ca="1">IF(AND(ISNUMBER($AJ$505),$B$419=1),$AJ$505,HLOOKUP(INDIRECT(ADDRESS(2,COLUMN())),OFFSET($BN$2,0,0,ROW()-1,60),ROW()-1,FALSE))</f>
        <v>4.5309999999999997</v>
      </c>
      <c r="AK46" t="str">
        <f ca="1">IF(AND(ISNUMBER($AK$505),$B$419=1),$AK$505,HLOOKUP(INDIRECT(ADDRESS(2,COLUMN())),OFFSET($BN$2,0,0,ROW()-1,60),ROW()-1,FALSE))</f>
        <v/>
      </c>
      <c r="AL46" t="str">
        <f ca="1">IF(AND(ISNUMBER($AL$505),$B$419=1),$AL$505,HLOOKUP(INDIRECT(ADDRESS(2,COLUMN())),OFFSET($BN$2,0,0,ROW()-1,60),ROW()-1,FALSE))</f>
        <v/>
      </c>
      <c r="AM46" t="str">
        <f ca="1">IF(AND(ISNUMBER($AM$505),$B$419=1),$AM$505,HLOOKUP(INDIRECT(ADDRESS(2,COLUMN())),OFFSET($BN$2,0,0,ROW()-1,60),ROW()-1,FALSE))</f>
        <v/>
      </c>
      <c r="AN46">
        <f ca="1">IF(AND(ISNUMBER($AN$505),$B$419=1),$AN$505,HLOOKUP(INDIRECT(ADDRESS(2,COLUMN())),OFFSET($BN$2,0,0,ROW()-1,60),ROW()-1,FALSE))</f>
        <v>3.895</v>
      </c>
      <c r="AO46" t="str">
        <f ca="1">IF(AND(ISNUMBER($AO$505),$B$419=1),$AO$505,HLOOKUP(INDIRECT(ADDRESS(2,COLUMN())),OFFSET($BN$2,0,0,ROW()-1,60),ROW()-1,FALSE))</f>
        <v/>
      </c>
      <c r="AP46" t="str">
        <f ca="1">IF(AND(ISNUMBER($AP$505),$B$419=1),$AP$505,HLOOKUP(INDIRECT(ADDRESS(2,COLUMN())),OFFSET($BN$2,0,0,ROW()-1,60),ROW()-1,FALSE))</f>
        <v/>
      </c>
      <c r="AQ46" t="str">
        <f ca="1">IF(AND(ISNUMBER($AQ$505),$B$419=1),$AQ$505,HLOOKUP(INDIRECT(ADDRESS(2,COLUMN())),OFFSET($BN$2,0,0,ROW()-1,60),ROW()-1,FALSE))</f>
        <v/>
      </c>
      <c r="AR46" t="str">
        <f ca="1">IF(AND(ISNUMBER($AR$505),$B$419=1),$AR$505,HLOOKUP(INDIRECT(ADDRESS(2,COLUMN())),OFFSET($BN$2,0,0,ROW()-1,60),ROW()-1,FALSE))</f>
        <v/>
      </c>
      <c r="AS46" t="str">
        <f ca="1">IF(AND(ISNUMBER($AS$505),$B$419=1),$AS$505,HLOOKUP(INDIRECT(ADDRESS(2,COLUMN())),OFFSET($BN$2,0,0,ROW()-1,60),ROW()-1,FALSE))</f>
        <v/>
      </c>
      <c r="AT46" t="str">
        <f ca="1">IF(AND(ISNUMBER($AT$505),$B$419=1),$AT$505,HLOOKUP(INDIRECT(ADDRESS(2,COLUMN())),OFFSET($BN$2,0,0,ROW()-1,60),ROW()-1,FALSE))</f>
        <v/>
      </c>
      <c r="AU46" t="str">
        <f ca="1">IF(AND(ISNUMBER($AU$505),$B$419=1),$AU$505,HLOOKUP(INDIRECT(ADDRESS(2,COLUMN())),OFFSET($BN$2,0,0,ROW()-1,60),ROW()-1,FALSE))</f>
        <v/>
      </c>
      <c r="AV46" t="str">
        <f ca="1">IF(AND(ISNUMBER($AV$505),$B$419=1),$AV$505,HLOOKUP(INDIRECT(ADDRESS(2,COLUMN())),OFFSET($BN$2,0,0,ROW()-1,60),ROW()-1,FALSE))</f>
        <v/>
      </c>
      <c r="AW46" t="str">
        <f ca="1">IF(AND(ISNUMBER($AW$505),$B$419=1),$AW$505,HLOOKUP(INDIRECT(ADDRESS(2,COLUMN())),OFFSET($BN$2,0,0,ROW()-1,60),ROW()-1,FALSE))</f>
        <v/>
      </c>
      <c r="AX46" t="str">
        <f ca="1">IF(AND(ISNUMBER($AX$505),$B$419=1),$AX$505,HLOOKUP(INDIRECT(ADDRESS(2,COLUMN())),OFFSET($BN$2,0,0,ROW()-1,60),ROW()-1,FALSE))</f>
        <v/>
      </c>
      <c r="AY46" t="str">
        <f ca="1">IF(AND(ISNUMBER($AY$505),$B$419=1),$AY$505,HLOOKUP(INDIRECT(ADDRESS(2,COLUMN())),OFFSET($BN$2,0,0,ROW()-1,60),ROW()-1,FALSE))</f>
        <v/>
      </c>
      <c r="AZ46" t="str">
        <f ca="1">IF(AND(ISNUMBER($AZ$505),$B$419=1),$AZ$505,HLOOKUP(INDIRECT(ADDRESS(2,COLUMN())),OFFSET($BN$2,0,0,ROW()-1,60),ROW()-1,FALSE))</f>
        <v/>
      </c>
      <c r="BA46" t="str">
        <f ca="1">IF(AND(ISNUMBER($BA$505),$B$419=1),$BA$505,HLOOKUP(INDIRECT(ADDRESS(2,COLUMN())),OFFSET($BN$2,0,0,ROW()-1,60),ROW()-1,FALSE))</f>
        <v/>
      </c>
      <c r="BB46" t="str">
        <f ca="1">IF(AND(ISNUMBER($BB$505),$B$419=1),$BB$505,HLOOKUP(INDIRECT(ADDRESS(2,COLUMN())),OFFSET($BN$2,0,0,ROW()-1,60),ROW()-1,FALSE))</f>
        <v/>
      </c>
      <c r="BC46" t="str">
        <f ca="1">IF(AND(ISNUMBER($BC$505),$B$419=1),$BC$505,HLOOKUP(INDIRECT(ADDRESS(2,COLUMN())),OFFSET($BN$2,0,0,ROW()-1,60),ROW()-1,FALSE))</f>
        <v/>
      </c>
      <c r="BD46" t="str">
        <f ca="1">IF(AND(ISNUMBER($BD$505),$B$419=1),$BD$505,HLOOKUP(INDIRECT(ADDRESS(2,COLUMN())),OFFSET($BN$2,0,0,ROW()-1,60),ROW()-1,FALSE))</f>
        <v/>
      </c>
      <c r="BE46" t="str">
        <f ca="1">IF(AND(ISNUMBER($BE$505),$B$419=1),$BE$505,HLOOKUP(INDIRECT(ADDRESS(2,COLUMN())),OFFSET($BN$2,0,0,ROW()-1,60),ROW()-1,FALSE))</f>
        <v/>
      </c>
      <c r="BF46" t="str">
        <f ca="1">IF(AND(ISNUMBER($BF$505),$B$419=1),$BF$505,HLOOKUP(INDIRECT(ADDRESS(2,COLUMN())),OFFSET($BN$2,0,0,ROW()-1,60),ROW()-1,FALSE))</f>
        <v/>
      </c>
      <c r="BG46" t="str">
        <f ca="1">IF(AND(ISNUMBER($BG$505),$B$419=1),$BG$505,HLOOKUP(INDIRECT(ADDRESS(2,COLUMN())),OFFSET($BN$2,0,0,ROW()-1,60),ROW()-1,FALSE))</f>
        <v/>
      </c>
      <c r="BH46" t="str">
        <f ca="1">IF(AND(ISNUMBER($BH$505),$B$419=1),$BH$505,HLOOKUP(INDIRECT(ADDRESS(2,COLUMN())),OFFSET($BN$2,0,0,ROW()-1,60),ROW()-1,FALSE))</f>
        <v/>
      </c>
      <c r="BI46" t="str">
        <f ca="1">IF(AND(ISNUMBER($BI$505),$B$419=1),$BI$505,HLOOKUP(INDIRECT(ADDRESS(2,COLUMN())),OFFSET($BN$2,0,0,ROW()-1,60),ROW()-1,FALSE))</f>
        <v/>
      </c>
      <c r="BJ46" t="str">
        <f ca="1">IF(AND(ISNUMBER($BJ$505),$B$419=1),$BJ$505,HLOOKUP(INDIRECT(ADDRESS(2,COLUMN())),OFFSET($BN$2,0,0,ROW()-1,60),ROW()-1,FALSE))</f>
        <v/>
      </c>
      <c r="BK46" t="str">
        <f ca="1">IF(AND(ISNUMBER($BK$505),$B$419=1),$BK$505,HLOOKUP(INDIRECT(ADDRESS(2,COLUMN())),OFFSET($BN$2,0,0,ROW()-1,60),ROW()-1,FALSE))</f>
        <v/>
      </c>
      <c r="BL46" t="str">
        <f ca="1">IF(AND(ISNUMBER($BL$505),$B$419=1),$BL$505,HLOOKUP(INDIRECT(ADDRESS(2,COLUMN())),OFFSET($BN$2,0,0,ROW()-1,60),ROW()-1,FALSE))</f>
        <v/>
      </c>
      <c r="BM46" t="str">
        <f ca="1">IF(AND(ISNUMBER($BM$505),$B$419=1),$BM$505,HLOOKUP(INDIRECT(ADDRESS(2,COLUMN())),OFFSET($BN$2,0,0,ROW()-1,60),ROW()-1,FALSE))</f>
        <v/>
      </c>
      <c r="BN46" t="str">
        <f>""</f>
        <v/>
      </c>
      <c r="BO46">
        <f>1.142</f>
        <v>1.1419999999999999</v>
      </c>
      <c r="BP46">
        <f>1.518</f>
        <v>1.518</v>
      </c>
      <c r="BQ46">
        <f>1.798</f>
        <v>1.798</v>
      </c>
      <c r="BR46">
        <f>2.933</f>
        <v>2.9329999999999998</v>
      </c>
      <c r="BS46">
        <f>1.746</f>
        <v>1.746</v>
      </c>
      <c r="BT46">
        <f>1.769</f>
        <v>1.7689999999999999</v>
      </c>
      <c r="BU46">
        <f>2.378</f>
        <v>2.3780000000000001</v>
      </c>
      <c r="BV46">
        <f>3.023</f>
        <v>3.0230000000000001</v>
      </c>
      <c r="BW46">
        <f>2.182</f>
        <v>2.1819999999999999</v>
      </c>
      <c r="BX46">
        <f>5.339</f>
        <v>5.3390000000000004</v>
      </c>
      <c r="BY46">
        <f>2.45</f>
        <v>2.4500000000000002</v>
      </c>
      <c r="BZ46">
        <f>2.109</f>
        <v>2.109</v>
      </c>
      <c r="CA46">
        <f>4.306</f>
        <v>4.306</v>
      </c>
      <c r="CB46">
        <f>2.074</f>
        <v>2.0739999999999998</v>
      </c>
      <c r="CC46">
        <f>1.919</f>
        <v>1.919</v>
      </c>
      <c r="CD46">
        <f>1.912</f>
        <v>1.9119999999999999</v>
      </c>
      <c r="CE46">
        <f>9.141</f>
        <v>9.141</v>
      </c>
      <c r="CF46">
        <f>2.002</f>
        <v>2.0019999999999998</v>
      </c>
      <c r="CG46">
        <f>2.368</f>
        <v>2.3679999999999999</v>
      </c>
      <c r="CH46">
        <f>2.444</f>
        <v>2.444</v>
      </c>
      <c r="CI46">
        <f>2.086</f>
        <v>2.0859999999999999</v>
      </c>
      <c r="CJ46">
        <f>1.959</f>
        <v>1.9590000000000001</v>
      </c>
      <c r="CK46">
        <f>2.807</f>
        <v>2.8069999999999999</v>
      </c>
      <c r="CL46">
        <f>2.738</f>
        <v>2.738</v>
      </c>
      <c r="CM46">
        <f>2.261</f>
        <v>2.2610000000000001</v>
      </c>
      <c r="CN46">
        <f>2.28</f>
        <v>2.2799999999999998</v>
      </c>
      <c r="CO46">
        <f>2.781</f>
        <v>2.7810000000000001</v>
      </c>
      <c r="CP46">
        <f>2.816</f>
        <v>2.8159999999999998</v>
      </c>
      <c r="CQ46">
        <f>4.94</f>
        <v>4.9400000000000004</v>
      </c>
      <c r="CR46">
        <f>4.531</f>
        <v>4.5309999999999997</v>
      </c>
      <c r="CS46" t="str">
        <f>""</f>
        <v/>
      </c>
      <c r="CT46" t="str">
        <f>""</f>
        <v/>
      </c>
      <c r="CU46" t="str">
        <f>""</f>
        <v/>
      </c>
      <c r="CV46">
        <f>3.895</f>
        <v>3.895</v>
      </c>
      <c r="CW46" t="str">
        <f>""</f>
        <v/>
      </c>
      <c r="CX46" t="str">
        <f>""</f>
        <v/>
      </c>
      <c r="CY46" t="str">
        <f>""</f>
        <v/>
      </c>
      <c r="CZ46" t="str">
        <f>""</f>
        <v/>
      </c>
      <c r="DA46" t="str">
        <f>""</f>
        <v/>
      </c>
      <c r="DB46" t="str">
        <f>""</f>
        <v/>
      </c>
      <c r="DC46" t="str">
        <f>""</f>
        <v/>
      </c>
      <c r="DD46" t="str">
        <f>""</f>
        <v/>
      </c>
      <c r="DE46" t="str">
        <f>""</f>
        <v/>
      </c>
      <c r="DF46" t="str">
        <f>""</f>
        <v/>
      </c>
      <c r="DG46" t="str">
        <f>""</f>
        <v/>
      </c>
      <c r="DH46" t="str">
        <f>""</f>
        <v/>
      </c>
      <c r="DI46" t="str">
        <f>""</f>
        <v/>
      </c>
      <c r="DJ46" t="str">
        <f>""</f>
        <v/>
      </c>
      <c r="DK46" t="str">
        <f>""</f>
        <v/>
      </c>
      <c r="DL46" t="str">
        <f>""</f>
        <v/>
      </c>
      <c r="DM46" t="str">
        <f>""</f>
        <v/>
      </c>
      <c r="DN46" t="str">
        <f>""</f>
        <v/>
      </c>
      <c r="DO46" t="str">
        <f>""</f>
        <v/>
      </c>
      <c r="DP46" t="str">
        <f>""</f>
        <v/>
      </c>
      <c r="DQ46" t="str">
        <f>""</f>
        <v/>
      </c>
      <c r="DR46" t="str">
        <f>""</f>
        <v/>
      </c>
      <c r="DS46" t="str">
        <f>""</f>
        <v/>
      </c>
      <c r="DT46" t="str">
        <f>""</f>
        <v/>
      </c>
      <c r="DU46" t="str">
        <f>""</f>
        <v/>
      </c>
    </row>
    <row r="47" spans="1:125">
      <c r="A47" t="str">
        <f>"    Simon Property Group Inc"</f>
        <v xml:space="preserve">    Simon Property Group Inc</v>
      </c>
      <c r="B47" t="str">
        <f>"SPG US Equity"</f>
        <v>SPG US Equity</v>
      </c>
      <c r="C47" t="str">
        <f t="shared" si="6"/>
        <v>IM281</v>
      </c>
      <c r="D47" t="str">
        <f t="shared" si="7"/>
        <v>IS_NON_REAL_ESTATE_INCOME</v>
      </c>
      <c r="E47" t="str">
        <f t="shared" si="8"/>
        <v>动态</v>
      </c>
      <c r="F47" t="str">
        <f ca="1">IF(AND(ISNUMBER($F$506),$B$419=1),$F$506,HLOOKUP(INDIRECT(ADDRESS(2,COLUMN())),OFFSET($BN$2,0,0,ROW()-1,60),ROW()-1,FALSE))</f>
        <v/>
      </c>
      <c r="G47">
        <f ca="1">IF(AND(ISNUMBER($G$506),$B$419=1),$G$506,HLOOKUP(INDIRECT(ADDRESS(2,COLUMN())),OFFSET($BN$2,0,0,ROW()-1,60),ROW()-1,FALSE))</f>
        <v>77.180000000000007</v>
      </c>
      <c r="H47">
        <f ca="1">IF(AND(ISNUMBER($H$506),$B$419=1),$H$506,HLOOKUP(INDIRECT(ADDRESS(2,COLUMN())),OFFSET($BN$2,0,0,ROW()-1,60),ROW()-1,FALSE))</f>
        <v>90.161000000000001</v>
      </c>
      <c r="I47">
        <f ca="1">IF(AND(ISNUMBER($I$506),$B$419=1),$I$506,HLOOKUP(INDIRECT(ADDRESS(2,COLUMN())),OFFSET($BN$2,0,0,ROW()-1,60),ROW()-1,FALSE))</f>
        <v>68.337999999999994</v>
      </c>
      <c r="J47">
        <f ca="1">IF(AND(ISNUMBER($J$506),$B$419=1),$J$506,HLOOKUP(INDIRECT(ADDRESS(2,COLUMN())),OFFSET($BN$2,0,0,ROW()-1,60),ROW()-1,FALSE))</f>
        <v>61.298999999999999</v>
      </c>
      <c r="K47">
        <f ca="1">IF(AND(ISNUMBER($K$506),$B$419=1),$K$506,HLOOKUP(INDIRECT(ADDRESS(2,COLUMN())),OFFSET($BN$2,0,0,ROW()-1,60),ROW()-1,FALSE))</f>
        <v>77.558000000000007</v>
      </c>
      <c r="L47">
        <f ca="1">IF(AND(ISNUMBER($L$506),$B$419=1),$L$506,HLOOKUP(INDIRECT(ADDRESS(2,COLUMN())),OFFSET($BN$2,0,0,ROW()-1,60),ROW()-1,FALSE))</f>
        <v>54.37</v>
      </c>
      <c r="M47">
        <f ca="1">IF(AND(ISNUMBER($M$506),$B$419=1),$M$506,HLOOKUP(INDIRECT(ADDRESS(2,COLUMN())),OFFSET($BN$2,0,0,ROW()-1,60),ROW()-1,FALSE))</f>
        <v>60.366</v>
      </c>
      <c r="N47">
        <f ca="1">IF(AND(ISNUMBER($N$506),$B$419=1),$N$506,HLOOKUP(INDIRECT(ADDRESS(2,COLUMN())),OFFSET($BN$2,0,0,ROW()-1,60),ROW()-1,FALSE))</f>
        <v>84.25</v>
      </c>
      <c r="O47">
        <f ca="1">IF(AND(ISNUMBER($O$506),$B$419=1),$O$506,HLOOKUP(INDIRECT(ADDRESS(2,COLUMN())),OFFSET($BN$2,0,0,ROW()-1,60),ROW()-1,FALSE))</f>
        <v>64.861000000000004</v>
      </c>
      <c r="P47">
        <f ca="1">IF(AND(ISNUMBER($P$506),$B$419=1),$P$506,HLOOKUP(INDIRECT(ADDRESS(2,COLUMN())),OFFSET($BN$2,0,0,ROW()-1,60),ROW()-1,FALSE))</f>
        <v>72.545000000000002</v>
      </c>
      <c r="Q47">
        <f ca="1">IF(AND(ISNUMBER($Q$506),$B$419=1),$Q$506,HLOOKUP(INDIRECT(ADDRESS(2,COLUMN())),OFFSET($BN$2,0,0,ROW()-1,60),ROW()-1,FALSE))</f>
        <v>139.607</v>
      </c>
      <c r="R47">
        <f ca="1">IF(AND(ISNUMBER($R$506),$B$419=1),$R$506,HLOOKUP(INDIRECT(ADDRESS(2,COLUMN())),OFFSET($BN$2,0,0,ROW()-1,60),ROW()-1,FALSE))</f>
        <v>48.585000000000001</v>
      </c>
      <c r="S47">
        <f ca="1">IF(AND(ISNUMBER($S$506),$B$419=1),$S$506,HLOOKUP(INDIRECT(ADDRESS(2,COLUMN())),OFFSET($BN$2,0,0,ROW()-1,60),ROW()-1,FALSE))</f>
        <v>60.862000000000002</v>
      </c>
      <c r="T47">
        <f ca="1">IF(AND(ISNUMBER($T$506),$B$419=1),$T$506,HLOOKUP(INDIRECT(ADDRESS(2,COLUMN())),OFFSET($BN$2,0,0,ROW()-1,60),ROW()-1,FALSE))</f>
        <v>54.987000000000002</v>
      </c>
      <c r="U47">
        <f ca="1">IF(AND(ISNUMBER($U$506),$B$419=1),$U$506,HLOOKUP(INDIRECT(ADDRESS(2,COLUMN())),OFFSET($BN$2,0,0,ROW()-1,60),ROW()-1,FALSE))</f>
        <v>37.944000000000003</v>
      </c>
      <c r="V47">
        <f ca="1">IF(AND(ISNUMBER($V$506),$B$419=1),$V$506,HLOOKUP(INDIRECT(ADDRESS(2,COLUMN())),OFFSET($BN$2,0,0,ROW()-1,60),ROW()-1,FALSE))</f>
        <v>46.987000000000002</v>
      </c>
      <c r="W47">
        <f ca="1">IF(AND(ISNUMBER($W$506),$B$419=1),$W$506,HLOOKUP(INDIRECT(ADDRESS(2,COLUMN())),OFFSET($BN$2,0,0,ROW()-1,60),ROW()-1,FALSE))</f>
        <v>59.578000000000003</v>
      </c>
      <c r="X47">
        <f ca="1">IF(AND(ISNUMBER($X$506),$B$419=1),$X$506,HLOOKUP(INDIRECT(ADDRESS(2,COLUMN())),OFFSET($BN$2,0,0,ROW()-1,60),ROW()-1,FALSE))</f>
        <v>47.066000000000003</v>
      </c>
      <c r="Y47">
        <f ca="1">IF(AND(ISNUMBER($Y$506),$B$419=1),$Y$506,HLOOKUP(INDIRECT(ADDRESS(2,COLUMN())),OFFSET($BN$2,0,0,ROW()-1,60),ROW()-1,FALSE))</f>
        <v>32.088999999999999</v>
      </c>
      <c r="Z47">
        <f ca="1">IF(AND(ISNUMBER($Z$506),$B$419=1),$Z$506,HLOOKUP(INDIRECT(ADDRESS(2,COLUMN())),OFFSET($BN$2,0,0,ROW()-1,60),ROW()-1,FALSE))</f>
        <v>30.754000000000001</v>
      </c>
      <c r="AA47">
        <f ca="1">IF(AND(ISNUMBER($AA$506),$B$419=1),$AA$506,HLOOKUP(INDIRECT(ADDRESS(2,COLUMN())),OFFSET($BN$2,0,0,ROW()-1,60),ROW()-1,FALSE))</f>
        <v>54.005000000000003</v>
      </c>
      <c r="AB47">
        <f ca="1">IF(AND(ISNUMBER($AB$506),$B$419=1),$AB$506,HLOOKUP(INDIRECT(ADDRESS(2,COLUMN())),OFFSET($BN$2,0,0,ROW()-1,60),ROW()-1,FALSE))</f>
        <v>43.670999999999999</v>
      </c>
      <c r="AC47">
        <f ca="1">IF(AND(ISNUMBER($AC$506),$B$419=1),$AC$506,HLOOKUP(INDIRECT(ADDRESS(2,COLUMN())),OFFSET($BN$2,0,0,ROW()-1,60),ROW()-1,FALSE))</f>
        <v>51.624000000000002</v>
      </c>
      <c r="AD47">
        <f ca="1">IF(AND(ISNUMBER($AD$506),$B$419=1),$AD$506,HLOOKUP(INDIRECT(ADDRESS(2,COLUMN())),OFFSET($BN$2,0,0,ROW()-1,60),ROW()-1,FALSE))</f>
        <v>50.515999999999998</v>
      </c>
      <c r="AE47">
        <f ca="1">IF(AND(ISNUMBER($AE$506),$B$419=1),$AE$506,HLOOKUP(INDIRECT(ADDRESS(2,COLUMN())),OFFSET($BN$2,0,0,ROW()-1,60),ROW()-1,FALSE))</f>
        <v>49.244999999999997</v>
      </c>
      <c r="AF47">
        <f ca="1">IF(AND(ISNUMBER($AF$506),$B$419=1),$AF$506,HLOOKUP(INDIRECT(ADDRESS(2,COLUMN())),OFFSET($BN$2,0,0,ROW()-1,60),ROW()-1,FALSE))</f>
        <v>47.429000000000002</v>
      </c>
      <c r="AG47">
        <f ca="1">IF(AND(ISNUMBER($AG$506),$B$419=1),$AG$506,HLOOKUP(INDIRECT(ADDRESS(2,COLUMN())),OFFSET($BN$2,0,0,ROW()-1,60),ROW()-1,FALSE))</f>
        <v>52.429000000000002</v>
      </c>
      <c r="AH47">
        <f ca="1">IF(AND(ISNUMBER($AH$506),$B$419=1),$AH$506,HLOOKUP(INDIRECT(ADDRESS(2,COLUMN())),OFFSET($BN$2,0,0,ROW()-1,60),ROW()-1,FALSE))</f>
        <v>46.482999999999997</v>
      </c>
      <c r="AI47">
        <f ca="1">IF(AND(ISNUMBER($AI$506),$B$419=1),$AI$506,HLOOKUP(INDIRECT(ADDRESS(2,COLUMN())),OFFSET($BN$2,0,0,ROW()-1,60),ROW()-1,FALSE))</f>
        <v>57.988</v>
      </c>
      <c r="AJ47">
        <f ca="1">IF(AND(ISNUMBER($AJ$506),$B$419=1),$AJ$506,HLOOKUP(INDIRECT(ADDRESS(2,COLUMN())),OFFSET($BN$2,0,0,ROW()-1,60),ROW()-1,FALSE))</f>
        <v>43.871000000000002</v>
      </c>
      <c r="AK47">
        <f ca="1">IF(AND(ISNUMBER($AK$506),$B$419=1),$AK$506,HLOOKUP(INDIRECT(ADDRESS(2,COLUMN())),OFFSET($BN$2,0,0,ROW()-1,60),ROW()-1,FALSE))</f>
        <v>54.89</v>
      </c>
      <c r="AL47">
        <f ca="1">IF(AND(ISNUMBER($AL$506),$B$419=1),$AL$506,HLOOKUP(INDIRECT(ADDRESS(2,COLUMN())),OFFSET($BN$2,0,0,ROW()-1,60),ROW()-1,FALSE))</f>
        <v>55.753999999999998</v>
      </c>
      <c r="AM47">
        <f ca="1">IF(AND(ISNUMBER($AM$506),$B$419=1),$AM$506,HLOOKUP(INDIRECT(ADDRESS(2,COLUMN())),OFFSET($BN$2,0,0,ROW()-1,60),ROW()-1,FALSE))</f>
        <v>70.679000000000002</v>
      </c>
      <c r="AN47">
        <f ca="1">IF(AND(ISNUMBER($AN$506),$B$419=1),$AN$506,HLOOKUP(INDIRECT(ADDRESS(2,COLUMN())),OFFSET($BN$2,0,0,ROW()-1,60),ROW()-1,FALSE))</f>
        <v>36.427</v>
      </c>
      <c r="AO47">
        <f ca="1">IF(AND(ISNUMBER($AO$506),$B$419=1),$AO$506,HLOOKUP(INDIRECT(ADDRESS(2,COLUMN())),OFFSET($BN$2,0,0,ROW()-1,60),ROW()-1,FALSE))</f>
        <v>34.899000000000001</v>
      </c>
      <c r="AP47">
        <f ca="1">IF(AND(ISNUMBER($AP$506),$B$419=1),$AP$506,HLOOKUP(INDIRECT(ADDRESS(2,COLUMN())),OFFSET($BN$2,0,0,ROW()-1,60),ROW()-1,FALSE))</f>
        <v>45.164999999999999</v>
      </c>
      <c r="AQ47" t="str">
        <f ca="1">IF(AND(ISNUMBER($AQ$506),$B$419=1),$AQ$506,HLOOKUP(INDIRECT(ADDRESS(2,COLUMN())),OFFSET($BN$2,0,0,ROW()-1,60),ROW()-1,FALSE))</f>
        <v/>
      </c>
      <c r="AR47" t="str">
        <f ca="1">IF(AND(ISNUMBER($AR$506),$B$419=1),$AR$506,HLOOKUP(INDIRECT(ADDRESS(2,COLUMN())),OFFSET($BN$2,0,0,ROW()-1,60),ROW()-1,FALSE))</f>
        <v/>
      </c>
      <c r="AS47" t="str">
        <f ca="1">IF(AND(ISNUMBER($AS$506),$B$419=1),$AS$506,HLOOKUP(INDIRECT(ADDRESS(2,COLUMN())),OFFSET($BN$2,0,0,ROW()-1,60),ROW()-1,FALSE))</f>
        <v/>
      </c>
      <c r="AT47" t="str">
        <f ca="1">IF(AND(ISNUMBER($AT$506),$B$419=1),$AT$506,HLOOKUP(INDIRECT(ADDRESS(2,COLUMN())),OFFSET($BN$2,0,0,ROW()-1,60),ROW()-1,FALSE))</f>
        <v/>
      </c>
      <c r="AU47" t="str">
        <f ca="1">IF(AND(ISNUMBER($AU$506),$B$419=1),$AU$506,HLOOKUP(INDIRECT(ADDRESS(2,COLUMN())),OFFSET($BN$2,0,0,ROW()-1,60),ROW()-1,FALSE))</f>
        <v/>
      </c>
      <c r="AV47" t="str">
        <f ca="1">IF(AND(ISNUMBER($AV$506),$B$419=1),$AV$506,HLOOKUP(INDIRECT(ADDRESS(2,COLUMN())),OFFSET($BN$2,0,0,ROW()-1,60),ROW()-1,FALSE))</f>
        <v/>
      </c>
      <c r="AW47" t="str">
        <f ca="1">IF(AND(ISNUMBER($AW$506),$B$419=1),$AW$506,HLOOKUP(INDIRECT(ADDRESS(2,COLUMN())),OFFSET($BN$2,0,0,ROW()-1,60),ROW()-1,FALSE))</f>
        <v/>
      </c>
      <c r="AX47" t="str">
        <f ca="1">IF(AND(ISNUMBER($AX$506),$B$419=1),$AX$506,HLOOKUP(INDIRECT(ADDRESS(2,COLUMN())),OFFSET($BN$2,0,0,ROW()-1,60),ROW()-1,FALSE))</f>
        <v/>
      </c>
      <c r="AY47" t="str">
        <f ca="1">IF(AND(ISNUMBER($AY$506),$B$419=1),$AY$506,HLOOKUP(INDIRECT(ADDRESS(2,COLUMN())),OFFSET($BN$2,0,0,ROW()-1,60),ROW()-1,FALSE))</f>
        <v/>
      </c>
      <c r="AZ47" t="str">
        <f ca="1">IF(AND(ISNUMBER($AZ$506),$B$419=1),$AZ$506,HLOOKUP(INDIRECT(ADDRESS(2,COLUMN())),OFFSET($BN$2,0,0,ROW()-1,60),ROW()-1,FALSE))</f>
        <v/>
      </c>
      <c r="BA47" t="str">
        <f ca="1">IF(AND(ISNUMBER($BA$506),$B$419=1),$BA$506,HLOOKUP(INDIRECT(ADDRESS(2,COLUMN())),OFFSET($BN$2,0,0,ROW()-1,60),ROW()-1,FALSE))</f>
        <v/>
      </c>
      <c r="BB47" t="str">
        <f ca="1">IF(AND(ISNUMBER($BB$506),$B$419=1),$BB$506,HLOOKUP(INDIRECT(ADDRESS(2,COLUMN())),OFFSET($BN$2,0,0,ROW()-1,60),ROW()-1,FALSE))</f>
        <v/>
      </c>
      <c r="BC47" t="str">
        <f ca="1">IF(AND(ISNUMBER($BC$506),$B$419=1),$BC$506,HLOOKUP(INDIRECT(ADDRESS(2,COLUMN())),OFFSET($BN$2,0,0,ROW()-1,60),ROW()-1,FALSE))</f>
        <v/>
      </c>
      <c r="BD47" t="str">
        <f ca="1">IF(AND(ISNUMBER($BD$506),$B$419=1),$BD$506,HLOOKUP(INDIRECT(ADDRESS(2,COLUMN())),OFFSET($BN$2,0,0,ROW()-1,60),ROW()-1,FALSE))</f>
        <v/>
      </c>
      <c r="BE47" t="str">
        <f ca="1">IF(AND(ISNUMBER($BE$506),$B$419=1),$BE$506,HLOOKUP(INDIRECT(ADDRESS(2,COLUMN())),OFFSET($BN$2,0,0,ROW()-1,60),ROW()-1,FALSE))</f>
        <v/>
      </c>
      <c r="BF47" t="str">
        <f ca="1">IF(AND(ISNUMBER($BF$506),$B$419=1),$BF$506,HLOOKUP(INDIRECT(ADDRESS(2,COLUMN())),OFFSET($BN$2,0,0,ROW()-1,60),ROW()-1,FALSE))</f>
        <v/>
      </c>
      <c r="BG47" t="str">
        <f ca="1">IF(AND(ISNUMBER($BG$506),$B$419=1),$BG$506,HLOOKUP(INDIRECT(ADDRESS(2,COLUMN())),OFFSET($BN$2,0,0,ROW()-1,60),ROW()-1,FALSE))</f>
        <v/>
      </c>
      <c r="BH47" t="str">
        <f ca="1">IF(AND(ISNUMBER($BH$506),$B$419=1),$BH$506,HLOOKUP(INDIRECT(ADDRESS(2,COLUMN())),OFFSET($BN$2,0,0,ROW()-1,60),ROW()-1,FALSE))</f>
        <v/>
      </c>
      <c r="BI47" t="str">
        <f ca="1">IF(AND(ISNUMBER($BI$506),$B$419=1),$BI$506,HLOOKUP(INDIRECT(ADDRESS(2,COLUMN())),OFFSET($BN$2,0,0,ROW()-1,60),ROW()-1,FALSE))</f>
        <v/>
      </c>
      <c r="BJ47" t="str">
        <f ca="1">IF(AND(ISNUMBER($BJ$506),$B$419=1),$BJ$506,HLOOKUP(INDIRECT(ADDRESS(2,COLUMN())),OFFSET($BN$2,0,0,ROW()-1,60),ROW()-1,FALSE))</f>
        <v/>
      </c>
      <c r="BK47" t="str">
        <f ca="1">IF(AND(ISNUMBER($BK$506),$B$419=1),$BK$506,HLOOKUP(INDIRECT(ADDRESS(2,COLUMN())),OFFSET($BN$2,0,0,ROW()-1,60),ROW()-1,FALSE))</f>
        <v/>
      </c>
      <c r="BL47" t="str">
        <f ca="1">IF(AND(ISNUMBER($BL$506),$B$419=1),$BL$506,HLOOKUP(INDIRECT(ADDRESS(2,COLUMN())),OFFSET($BN$2,0,0,ROW()-1,60),ROW()-1,FALSE))</f>
        <v/>
      </c>
      <c r="BM47" t="str">
        <f ca="1">IF(AND(ISNUMBER($BM$506),$B$419=1),$BM$506,HLOOKUP(INDIRECT(ADDRESS(2,COLUMN())),OFFSET($BN$2,0,0,ROW()-1,60),ROW()-1,FALSE))</f>
        <v/>
      </c>
      <c r="BN47" t="str">
        <f>""</f>
        <v/>
      </c>
      <c r="BO47">
        <f>77.18</f>
        <v>77.180000000000007</v>
      </c>
      <c r="BP47">
        <f>90.161</f>
        <v>90.161000000000001</v>
      </c>
      <c r="BQ47">
        <f>68.338</f>
        <v>68.337999999999994</v>
      </c>
      <c r="BR47">
        <f>61.299</f>
        <v>61.298999999999999</v>
      </c>
      <c r="BS47">
        <f>77.558</f>
        <v>77.558000000000007</v>
      </c>
      <c r="BT47">
        <f>54.37</f>
        <v>54.37</v>
      </c>
      <c r="BU47">
        <f>60.366</f>
        <v>60.366</v>
      </c>
      <c r="BV47">
        <f>84.25</f>
        <v>84.25</v>
      </c>
      <c r="BW47">
        <f>64.861</f>
        <v>64.861000000000004</v>
      </c>
      <c r="BX47">
        <f>72.545</f>
        <v>72.545000000000002</v>
      </c>
      <c r="BY47">
        <f>139.607</f>
        <v>139.607</v>
      </c>
      <c r="BZ47">
        <f>48.585</f>
        <v>48.585000000000001</v>
      </c>
      <c r="CA47">
        <f>60.862</f>
        <v>60.862000000000002</v>
      </c>
      <c r="CB47">
        <f>54.987</f>
        <v>54.987000000000002</v>
      </c>
      <c r="CC47">
        <f>37.944</f>
        <v>37.944000000000003</v>
      </c>
      <c r="CD47">
        <f>46.987</f>
        <v>46.987000000000002</v>
      </c>
      <c r="CE47">
        <f>59.578</f>
        <v>59.578000000000003</v>
      </c>
      <c r="CF47">
        <f>47.066</f>
        <v>47.066000000000003</v>
      </c>
      <c r="CG47">
        <f>32.089</f>
        <v>32.088999999999999</v>
      </c>
      <c r="CH47">
        <f>30.754</f>
        <v>30.754000000000001</v>
      </c>
      <c r="CI47">
        <f>54.005</f>
        <v>54.005000000000003</v>
      </c>
      <c r="CJ47">
        <f>43.671</f>
        <v>43.670999999999999</v>
      </c>
      <c r="CK47">
        <f>51.624</f>
        <v>51.624000000000002</v>
      </c>
      <c r="CL47">
        <f>50.516</f>
        <v>50.515999999999998</v>
      </c>
      <c r="CM47">
        <f>49.245</f>
        <v>49.244999999999997</v>
      </c>
      <c r="CN47">
        <f>47.429</f>
        <v>47.429000000000002</v>
      </c>
      <c r="CO47">
        <f>52.429</f>
        <v>52.429000000000002</v>
      </c>
      <c r="CP47">
        <f>46.483</f>
        <v>46.482999999999997</v>
      </c>
      <c r="CQ47">
        <f>57.988</f>
        <v>57.988</v>
      </c>
      <c r="CR47">
        <f>43.871</f>
        <v>43.871000000000002</v>
      </c>
      <c r="CS47">
        <f>54.89</f>
        <v>54.89</v>
      </c>
      <c r="CT47">
        <f>55.754</f>
        <v>55.753999999999998</v>
      </c>
      <c r="CU47">
        <f>70.679</f>
        <v>70.679000000000002</v>
      </c>
      <c r="CV47">
        <f>36.427</f>
        <v>36.427</v>
      </c>
      <c r="CW47">
        <f>34.899</f>
        <v>34.899000000000001</v>
      </c>
      <c r="CX47">
        <f>45.165</f>
        <v>45.164999999999999</v>
      </c>
      <c r="CY47" t="str">
        <f>""</f>
        <v/>
      </c>
      <c r="CZ47" t="str">
        <f>""</f>
        <v/>
      </c>
      <c r="DA47" t="str">
        <f>""</f>
        <v/>
      </c>
      <c r="DB47" t="str">
        <f>""</f>
        <v/>
      </c>
      <c r="DC47" t="str">
        <f>""</f>
        <v/>
      </c>
      <c r="DD47" t="str">
        <f>""</f>
        <v/>
      </c>
      <c r="DE47" t="str">
        <f>""</f>
        <v/>
      </c>
      <c r="DF47" t="str">
        <f>""</f>
        <v/>
      </c>
      <c r="DG47" t="str">
        <f>""</f>
        <v/>
      </c>
      <c r="DH47" t="str">
        <f>""</f>
        <v/>
      </c>
      <c r="DI47" t="str">
        <f>""</f>
        <v/>
      </c>
      <c r="DJ47" t="str">
        <f>""</f>
        <v/>
      </c>
      <c r="DK47" t="str">
        <f>""</f>
        <v/>
      </c>
      <c r="DL47" t="str">
        <f>""</f>
        <v/>
      </c>
      <c r="DM47" t="str">
        <f>""</f>
        <v/>
      </c>
      <c r="DN47" t="str">
        <f>""</f>
        <v/>
      </c>
      <c r="DO47" t="str">
        <f>""</f>
        <v/>
      </c>
      <c r="DP47" t="str">
        <f>""</f>
        <v/>
      </c>
      <c r="DQ47" t="str">
        <f>""</f>
        <v/>
      </c>
      <c r="DR47" t="str">
        <f>""</f>
        <v/>
      </c>
      <c r="DS47" t="str">
        <f>""</f>
        <v/>
      </c>
      <c r="DT47" t="str">
        <f>""</f>
        <v/>
      </c>
      <c r="DU47" t="str">
        <f>""</f>
        <v/>
      </c>
    </row>
    <row r="48" spans="1:125">
      <c r="A48" t="str">
        <f>"    Tanger Factory Outlet Centers"</f>
        <v xml:space="preserve">    Tanger Factory Outlet Centers</v>
      </c>
      <c r="B48" t="str">
        <f>"SKT US Equity"</f>
        <v>SKT US Equity</v>
      </c>
      <c r="C48" t="str">
        <f t="shared" si="6"/>
        <v>IM281</v>
      </c>
      <c r="D48" t="str">
        <f t="shared" si="7"/>
        <v>IS_NON_REAL_ESTATE_INCOME</v>
      </c>
      <c r="E48" t="str">
        <f t="shared" si="8"/>
        <v>动态</v>
      </c>
      <c r="F48" t="str">
        <f ca="1">IF(AND(ISNUMBER($F$507),$B$419=1),$F$507,HLOOKUP(INDIRECT(ADDRESS(2,COLUMN())),OFFSET($BN$2,0,0,ROW()-1,60),ROW()-1,FALSE))</f>
        <v/>
      </c>
      <c r="G48">
        <f ca="1">IF(AND(ISNUMBER($G$507),$B$419=1),$G$507,HLOOKUP(INDIRECT(ADDRESS(2,COLUMN())),OFFSET($BN$2,0,0,ROW()-1,60),ROW()-1,FALSE))</f>
        <v>2.222</v>
      </c>
      <c r="H48">
        <f ca="1">IF(AND(ISNUMBER($H$507),$B$419=1),$H$507,HLOOKUP(INDIRECT(ADDRESS(2,COLUMN())),OFFSET($BN$2,0,0,ROW()-1,60),ROW()-1,FALSE))</f>
        <v>2.5099999999999998</v>
      </c>
      <c r="I48">
        <f ca="1">IF(AND(ISNUMBER($I$507),$B$419=1),$I$507,HLOOKUP(INDIRECT(ADDRESS(2,COLUMN())),OFFSET($BN$2,0,0,ROW()-1,60),ROW()-1,FALSE))</f>
        <v>2.3889999999999998</v>
      </c>
      <c r="J48">
        <f ca="1">IF(AND(ISNUMBER($J$507),$B$419=1),$J$507,HLOOKUP(INDIRECT(ADDRESS(2,COLUMN())),OFFSET($BN$2,0,0,ROW()-1,60),ROW()-1,FALSE))</f>
        <v>2.0059999999999998</v>
      </c>
      <c r="K48">
        <f ca="1">IF(AND(ISNUMBER($K$507),$B$419=1),$K$507,HLOOKUP(INDIRECT(ADDRESS(2,COLUMN())),OFFSET($BN$2,0,0,ROW()-1,60),ROW()-1,FALSE))</f>
        <v>2.3660000000000001</v>
      </c>
      <c r="L48">
        <f ca="1">IF(AND(ISNUMBER($L$507),$B$419=1),$L$507,HLOOKUP(INDIRECT(ADDRESS(2,COLUMN())),OFFSET($BN$2,0,0,ROW()-1,60),ROW()-1,FALSE))</f>
        <v>2.6419999999999999</v>
      </c>
      <c r="M48">
        <f ca="1">IF(AND(ISNUMBER($M$507),$B$419=1),$M$507,HLOOKUP(INDIRECT(ADDRESS(2,COLUMN())),OFFSET($BN$2,0,0,ROW()-1,60),ROW()-1,FALSE))</f>
        <v>1.9179999999999999</v>
      </c>
      <c r="N48">
        <f ca="1">IF(AND(ISNUMBER($N$507),$B$419=1),$N$507,HLOOKUP(INDIRECT(ADDRESS(2,COLUMN())),OFFSET($BN$2,0,0,ROW()-1,60),ROW()-1,FALSE))</f>
        <v>1.669</v>
      </c>
      <c r="O48">
        <f ca="1">IF(AND(ISNUMBER($O$507),$B$419=1),$O$507,HLOOKUP(INDIRECT(ADDRESS(2,COLUMN())),OFFSET($BN$2,0,0,ROW()-1,60),ROW()-1,FALSE))</f>
        <v>1.835</v>
      </c>
      <c r="P48">
        <f ca="1">IF(AND(ISNUMBER($P$507),$B$419=1),$P$507,HLOOKUP(INDIRECT(ADDRESS(2,COLUMN())),OFFSET($BN$2,0,0,ROW()-1,60),ROW()-1,FALSE))</f>
        <v>2.645</v>
      </c>
      <c r="Q48">
        <f ca="1">IF(AND(ISNUMBER($Q$507),$B$419=1),$Q$507,HLOOKUP(INDIRECT(ADDRESS(2,COLUMN())),OFFSET($BN$2,0,0,ROW()-1,60),ROW()-1,FALSE))</f>
        <v>1.7290000000000001</v>
      </c>
      <c r="R48">
        <f ca="1">IF(AND(ISNUMBER($R$507),$B$419=1),$R$507,HLOOKUP(INDIRECT(ADDRESS(2,COLUMN())),OFFSET($BN$2,0,0,ROW()-1,60),ROW()-1,FALSE))</f>
        <v>1.421</v>
      </c>
      <c r="S48">
        <f ca="1">IF(AND(ISNUMBER($S$507),$B$419=1),$S$507,HLOOKUP(INDIRECT(ADDRESS(2,COLUMN())),OFFSET($BN$2,0,0,ROW()-1,60),ROW()-1,FALSE))</f>
        <v>1.849</v>
      </c>
      <c r="T48">
        <f ca="1">IF(AND(ISNUMBER($T$507),$B$419=1),$T$507,HLOOKUP(INDIRECT(ADDRESS(2,COLUMN())),OFFSET($BN$2,0,0,ROW()-1,60),ROW()-1,FALSE))</f>
        <v>2.2549999999999999</v>
      </c>
      <c r="U48">
        <f ca="1">IF(AND(ISNUMBER($U$507),$B$419=1),$U$507,HLOOKUP(INDIRECT(ADDRESS(2,COLUMN())),OFFSET($BN$2,0,0,ROW()-1,60),ROW()-1,FALSE))</f>
        <v>1.927</v>
      </c>
      <c r="V48">
        <f ca="1">IF(AND(ISNUMBER($V$507),$B$419=1),$V$507,HLOOKUP(INDIRECT(ADDRESS(2,COLUMN())),OFFSET($BN$2,0,0,ROW()-1,60),ROW()-1,FALSE))</f>
        <v>1.615</v>
      </c>
      <c r="W48">
        <f ca="1">IF(AND(ISNUMBER($W$507),$B$419=1),$W$507,HLOOKUP(INDIRECT(ADDRESS(2,COLUMN())),OFFSET($BN$2,0,0,ROW()-1,60),ROW()-1,FALSE))</f>
        <v>1.865</v>
      </c>
      <c r="X48">
        <f ca="1">IF(AND(ISNUMBER($X$507),$B$419=1),$X$507,HLOOKUP(INDIRECT(ADDRESS(2,COLUMN())),OFFSET($BN$2,0,0,ROW()-1,60),ROW()-1,FALSE))</f>
        <v>3.1040000000000001</v>
      </c>
      <c r="Y48">
        <f ca="1">IF(AND(ISNUMBER($Y$507),$B$419=1),$Y$507,HLOOKUP(INDIRECT(ADDRESS(2,COLUMN())),OFFSET($BN$2,0,0,ROW()-1,60),ROW()-1,FALSE))</f>
        <v>2.29</v>
      </c>
      <c r="Z48">
        <f ca="1">IF(AND(ISNUMBER($Z$507),$B$419=1),$Z$507,HLOOKUP(INDIRECT(ADDRESS(2,COLUMN())),OFFSET($BN$2,0,0,ROW()-1,60),ROW()-1,FALSE))</f>
        <v>2.1219999999999999</v>
      </c>
      <c r="AA48">
        <f ca="1">IF(AND(ISNUMBER($AA$507),$B$419=1),$AA$507,HLOOKUP(INDIRECT(ADDRESS(2,COLUMN())),OFFSET($BN$2,0,0,ROW()-1,60),ROW()-1,FALSE))</f>
        <v>3.2040000000000002</v>
      </c>
      <c r="AB48">
        <f ca="1">IF(AND(ISNUMBER($AB$507),$B$419=1),$AB$507,HLOOKUP(INDIRECT(ADDRESS(2,COLUMN())),OFFSET($BN$2,0,0,ROW()-1,60),ROW()-1,FALSE))</f>
        <v>2.9950000000000001</v>
      </c>
      <c r="AC48">
        <f ca="1">IF(AND(ISNUMBER($AC$507),$B$419=1),$AC$507,HLOOKUP(INDIRECT(ADDRESS(2,COLUMN())),OFFSET($BN$2,0,0,ROW()-1,60),ROW()-1,FALSE))</f>
        <v>2.145</v>
      </c>
      <c r="AD48">
        <f ca="1">IF(AND(ISNUMBER($AD$507),$B$419=1),$AD$507,HLOOKUP(INDIRECT(ADDRESS(2,COLUMN())),OFFSET($BN$2,0,0,ROW()-1,60),ROW()-1,FALSE))</f>
        <v>1.804</v>
      </c>
      <c r="AE48">
        <f ca="1">IF(AND(ISNUMBER($AE$507),$B$419=1),$AE$507,HLOOKUP(INDIRECT(ADDRESS(2,COLUMN())),OFFSET($BN$2,0,0,ROW()-1,60),ROW()-1,FALSE))</f>
        <v>2.4350000000000001</v>
      </c>
      <c r="AF48">
        <f ca="1">IF(AND(ISNUMBER($AF$507),$B$419=1),$AF$507,HLOOKUP(INDIRECT(ADDRESS(2,COLUMN())),OFFSET($BN$2,0,0,ROW()-1,60),ROW()-1,FALSE))</f>
        <v>2.5680000000000001</v>
      </c>
      <c r="AG48">
        <f ca="1">IF(AND(ISNUMBER($AG$507),$B$419=1),$AG$507,HLOOKUP(INDIRECT(ADDRESS(2,COLUMN())),OFFSET($BN$2,0,0,ROW()-1,60),ROW()-1,FALSE))</f>
        <v>1.9550000000000001</v>
      </c>
      <c r="AH48">
        <f ca="1">IF(AND(ISNUMBER($AH$507),$B$419=1),$AH$507,HLOOKUP(INDIRECT(ADDRESS(2,COLUMN())),OFFSET($BN$2,0,0,ROW()-1,60),ROW()-1,FALSE))</f>
        <v>1.9239999999999999</v>
      </c>
      <c r="AI48">
        <f ca="1">IF(AND(ISNUMBER($AI$507),$B$419=1),$AI$507,HLOOKUP(INDIRECT(ADDRESS(2,COLUMN())),OFFSET($BN$2,0,0,ROW()-1,60),ROW()-1,FALSE))</f>
        <v>2.6480000000000001</v>
      </c>
      <c r="AJ48">
        <f ca="1">IF(AND(ISNUMBER($AJ$507),$B$419=1),$AJ$507,HLOOKUP(INDIRECT(ADDRESS(2,COLUMN())),OFFSET($BN$2,0,0,ROW()-1,60),ROW()-1,FALSE))</f>
        <v>2.5670000000000002</v>
      </c>
      <c r="AK48">
        <f ca="1">IF(AND(ISNUMBER($AK$507),$B$419=1),$AK$507,HLOOKUP(INDIRECT(ADDRESS(2,COLUMN())),OFFSET($BN$2,0,0,ROW()-1,60),ROW()-1,FALSE))</f>
        <v>1.85</v>
      </c>
      <c r="AL48">
        <f ca="1">IF(AND(ISNUMBER($AL$507),$B$419=1),$AL$507,HLOOKUP(INDIRECT(ADDRESS(2,COLUMN())),OFFSET($BN$2,0,0,ROW()-1,60),ROW()-1,FALSE))</f>
        <v>1.7210000000000001</v>
      </c>
      <c r="AM48">
        <f ca="1">IF(AND(ISNUMBER($AM$507),$B$419=1),$AM$507,HLOOKUP(INDIRECT(ADDRESS(2,COLUMN())),OFFSET($BN$2,0,0,ROW()-1,60),ROW()-1,FALSE))</f>
        <v>1.992</v>
      </c>
      <c r="AN48">
        <f ca="1">IF(AND(ISNUMBER($AN$507),$B$419=1),$AN$507,HLOOKUP(INDIRECT(ADDRESS(2,COLUMN())),OFFSET($BN$2,0,0,ROW()-1,60),ROW()-1,FALSE))</f>
        <v>5.6379999999999999</v>
      </c>
      <c r="AO48">
        <f ca="1">IF(AND(ISNUMBER($AO$507),$B$419=1),$AO$507,HLOOKUP(INDIRECT(ADDRESS(2,COLUMN())),OFFSET($BN$2,0,0,ROW()-1,60),ROW()-1,FALSE))</f>
        <v>1.921</v>
      </c>
      <c r="AP48">
        <f ca="1">IF(AND(ISNUMBER($AP$507),$B$419=1),$AP$507,HLOOKUP(INDIRECT(ADDRESS(2,COLUMN())),OFFSET($BN$2,0,0,ROW()-1,60),ROW()-1,FALSE))</f>
        <v>1.704</v>
      </c>
      <c r="AQ48" t="str">
        <f ca="1">IF(AND(ISNUMBER($AQ$507),$B$419=1),$AQ$507,HLOOKUP(INDIRECT(ADDRESS(2,COLUMN())),OFFSET($BN$2,0,0,ROW()-1,60),ROW()-1,FALSE))</f>
        <v/>
      </c>
      <c r="AR48" t="str">
        <f ca="1">IF(AND(ISNUMBER($AR$507),$B$419=1),$AR$507,HLOOKUP(INDIRECT(ADDRESS(2,COLUMN())),OFFSET($BN$2,0,0,ROW()-1,60),ROW()-1,FALSE))</f>
        <v/>
      </c>
      <c r="AS48" t="str">
        <f ca="1">IF(AND(ISNUMBER($AS$507),$B$419=1),$AS$507,HLOOKUP(INDIRECT(ADDRESS(2,COLUMN())),OFFSET($BN$2,0,0,ROW()-1,60),ROW()-1,FALSE))</f>
        <v/>
      </c>
      <c r="AT48" t="str">
        <f ca="1">IF(AND(ISNUMBER($AT$507),$B$419=1),$AT$507,HLOOKUP(INDIRECT(ADDRESS(2,COLUMN())),OFFSET($BN$2,0,0,ROW()-1,60),ROW()-1,FALSE))</f>
        <v/>
      </c>
      <c r="AU48" t="str">
        <f ca="1">IF(AND(ISNUMBER($AU$507),$B$419=1),$AU$507,HLOOKUP(INDIRECT(ADDRESS(2,COLUMN())),OFFSET($BN$2,0,0,ROW()-1,60),ROW()-1,FALSE))</f>
        <v/>
      </c>
      <c r="AV48" t="str">
        <f ca="1">IF(AND(ISNUMBER($AV$507),$B$419=1),$AV$507,HLOOKUP(INDIRECT(ADDRESS(2,COLUMN())),OFFSET($BN$2,0,0,ROW()-1,60),ROW()-1,FALSE))</f>
        <v/>
      </c>
      <c r="AW48" t="str">
        <f ca="1">IF(AND(ISNUMBER($AW$507),$B$419=1),$AW$507,HLOOKUP(INDIRECT(ADDRESS(2,COLUMN())),OFFSET($BN$2,0,0,ROW()-1,60),ROW()-1,FALSE))</f>
        <v/>
      </c>
      <c r="AX48" t="str">
        <f ca="1">IF(AND(ISNUMBER($AX$507),$B$419=1),$AX$507,HLOOKUP(INDIRECT(ADDRESS(2,COLUMN())),OFFSET($BN$2,0,0,ROW()-1,60),ROW()-1,FALSE))</f>
        <v/>
      </c>
      <c r="AY48" t="str">
        <f ca="1">IF(AND(ISNUMBER($AY$507),$B$419=1),$AY$507,HLOOKUP(INDIRECT(ADDRESS(2,COLUMN())),OFFSET($BN$2,0,0,ROW()-1,60),ROW()-1,FALSE))</f>
        <v/>
      </c>
      <c r="AZ48" t="str">
        <f ca="1">IF(AND(ISNUMBER($AZ$507),$B$419=1),$AZ$507,HLOOKUP(INDIRECT(ADDRESS(2,COLUMN())),OFFSET($BN$2,0,0,ROW()-1,60),ROW()-1,FALSE))</f>
        <v/>
      </c>
      <c r="BA48" t="str">
        <f ca="1">IF(AND(ISNUMBER($BA$507),$B$419=1),$BA$507,HLOOKUP(INDIRECT(ADDRESS(2,COLUMN())),OFFSET($BN$2,0,0,ROW()-1,60),ROW()-1,FALSE))</f>
        <v/>
      </c>
      <c r="BB48" t="str">
        <f ca="1">IF(AND(ISNUMBER($BB$507),$B$419=1),$BB$507,HLOOKUP(INDIRECT(ADDRESS(2,COLUMN())),OFFSET($BN$2,0,0,ROW()-1,60),ROW()-1,FALSE))</f>
        <v/>
      </c>
      <c r="BC48" t="str">
        <f ca="1">IF(AND(ISNUMBER($BC$507),$B$419=1),$BC$507,HLOOKUP(INDIRECT(ADDRESS(2,COLUMN())),OFFSET($BN$2,0,0,ROW()-1,60),ROW()-1,FALSE))</f>
        <v/>
      </c>
      <c r="BD48" t="str">
        <f ca="1">IF(AND(ISNUMBER($BD$507),$B$419=1),$BD$507,HLOOKUP(INDIRECT(ADDRESS(2,COLUMN())),OFFSET($BN$2,0,0,ROW()-1,60),ROW()-1,FALSE))</f>
        <v/>
      </c>
      <c r="BE48" t="str">
        <f ca="1">IF(AND(ISNUMBER($BE$507),$B$419=1),$BE$507,HLOOKUP(INDIRECT(ADDRESS(2,COLUMN())),OFFSET($BN$2,0,0,ROW()-1,60),ROW()-1,FALSE))</f>
        <v/>
      </c>
      <c r="BF48" t="str">
        <f ca="1">IF(AND(ISNUMBER($BF$507),$B$419=1),$BF$507,HLOOKUP(INDIRECT(ADDRESS(2,COLUMN())),OFFSET($BN$2,0,0,ROW()-1,60),ROW()-1,FALSE))</f>
        <v/>
      </c>
      <c r="BG48" t="str">
        <f ca="1">IF(AND(ISNUMBER($BG$507),$B$419=1),$BG$507,HLOOKUP(INDIRECT(ADDRESS(2,COLUMN())),OFFSET($BN$2,0,0,ROW()-1,60),ROW()-1,FALSE))</f>
        <v/>
      </c>
      <c r="BH48" t="str">
        <f ca="1">IF(AND(ISNUMBER($BH$507),$B$419=1),$BH$507,HLOOKUP(INDIRECT(ADDRESS(2,COLUMN())),OFFSET($BN$2,0,0,ROW()-1,60),ROW()-1,FALSE))</f>
        <v/>
      </c>
      <c r="BI48" t="str">
        <f ca="1">IF(AND(ISNUMBER($BI$507),$B$419=1),$BI$507,HLOOKUP(INDIRECT(ADDRESS(2,COLUMN())),OFFSET($BN$2,0,0,ROW()-1,60),ROW()-1,FALSE))</f>
        <v/>
      </c>
      <c r="BJ48" t="str">
        <f ca="1">IF(AND(ISNUMBER($BJ$507),$B$419=1),$BJ$507,HLOOKUP(INDIRECT(ADDRESS(2,COLUMN())),OFFSET($BN$2,0,0,ROW()-1,60),ROW()-1,FALSE))</f>
        <v/>
      </c>
      <c r="BK48" t="str">
        <f ca="1">IF(AND(ISNUMBER($BK$507),$B$419=1),$BK$507,HLOOKUP(INDIRECT(ADDRESS(2,COLUMN())),OFFSET($BN$2,0,0,ROW()-1,60),ROW()-1,FALSE))</f>
        <v/>
      </c>
      <c r="BL48" t="str">
        <f ca="1">IF(AND(ISNUMBER($BL$507),$B$419=1),$BL$507,HLOOKUP(INDIRECT(ADDRESS(2,COLUMN())),OFFSET($BN$2,0,0,ROW()-1,60),ROW()-1,FALSE))</f>
        <v/>
      </c>
      <c r="BM48" t="str">
        <f ca="1">IF(AND(ISNUMBER($BM$507),$B$419=1),$BM$507,HLOOKUP(INDIRECT(ADDRESS(2,COLUMN())),OFFSET($BN$2,0,0,ROW()-1,60),ROW()-1,FALSE))</f>
        <v/>
      </c>
      <c r="BN48" t="str">
        <f>""</f>
        <v/>
      </c>
      <c r="BO48">
        <f>2.222</f>
        <v>2.222</v>
      </c>
      <c r="BP48">
        <f>2.51</f>
        <v>2.5099999999999998</v>
      </c>
      <c r="BQ48">
        <f>2.389</f>
        <v>2.3889999999999998</v>
      </c>
      <c r="BR48">
        <f>2.006</f>
        <v>2.0059999999999998</v>
      </c>
      <c r="BS48">
        <f>2.366</f>
        <v>2.3660000000000001</v>
      </c>
      <c r="BT48">
        <f>2.642</f>
        <v>2.6419999999999999</v>
      </c>
      <c r="BU48">
        <f>1.918</f>
        <v>1.9179999999999999</v>
      </c>
      <c r="BV48">
        <f>1.669</f>
        <v>1.669</v>
      </c>
      <c r="BW48">
        <f>1.835</f>
        <v>1.835</v>
      </c>
      <c r="BX48">
        <f>2.645</f>
        <v>2.645</v>
      </c>
      <c r="BY48">
        <f>1.729</f>
        <v>1.7290000000000001</v>
      </c>
      <c r="BZ48">
        <f>1.421</f>
        <v>1.421</v>
      </c>
      <c r="CA48">
        <f>1.849</f>
        <v>1.849</v>
      </c>
      <c r="CB48">
        <f>2.255</f>
        <v>2.2549999999999999</v>
      </c>
      <c r="CC48">
        <f>1.927</f>
        <v>1.927</v>
      </c>
      <c r="CD48">
        <f>1.615</f>
        <v>1.615</v>
      </c>
      <c r="CE48">
        <f>1.865</f>
        <v>1.865</v>
      </c>
      <c r="CF48">
        <f>3.104</f>
        <v>3.1040000000000001</v>
      </c>
      <c r="CG48">
        <f>2.29</f>
        <v>2.29</v>
      </c>
      <c r="CH48">
        <f>2.122</f>
        <v>2.1219999999999999</v>
      </c>
      <c r="CI48">
        <f>3.204</f>
        <v>3.2040000000000002</v>
      </c>
      <c r="CJ48">
        <f>2.995</f>
        <v>2.9950000000000001</v>
      </c>
      <c r="CK48">
        <f>2.145</f>
        <v>2.145</v>
      </c>
      <c r="CL48">
        <f>1.804</f>
        <v>1.804</v>
      </c>
      <c r="CM48">
        <f>2.435</f>
        <v>2.4350000000000001</v>
      </c>
      <c r="CN48">
        <f>2.568</f>
        <v>2.5680000000000001</v>
      </c>
      <c r="CO48">
        <f>1.955</f>
        <v>1.9550000000000001</v>
      </c>
      <c r="CP48">
        <f>1.924</f>
        <v>1.9239999999999999</v>
      </c>
      <c r="CQ48">
        <f>2.648</f>
        <v>2.6480000000000001</v>
      </c>
      <c r="CR48">
        <f>2.567</f>
        <v>2.5670000000000002</v>
      </c>
      <c r="CS48">
        <f>1.85</f>
        <v>1.85</v>
      </c>
      <c r="CT48">
        <f>1.721</f>
        <v>1.7210000000000001</v>
      </c>
      <c r="CU48">
        <f>1.992</f>
        <v>1.992</v>
      </c>
      <c r="CV48">
        <f>5.638</f>
        <v>5.6379999999999999</v>
      </c>
      <c r="CW48">
        <f>1.921</f>
        <v>1.921</v>
      </c>
      <c r="CX48">
        <f>1.704</f>
        <v>1.704</v>
      </c>
      <c r="CY48" t="str">
        <f>""</f>
        <v/>
      </c>
      <c r="CZ48" t="str">
        <f>""</f>
        <v/>
      </c>
      <c r="DA48" t="str">
        <f>""</f>
        <v/>
      </c>
      <c r="DB48" t="str">
        <f>""</f>
        <v/>
      </c>
      <c r="DC48" t="str">
        <f>""</f>
        <v/>
      </c>
      <c r="DD48" t="str">
        <f>""</f>
        <v/>
      </c>
      <c r="DE48" t="str">
        <f>""</f>
        <v/>
      </c>
      <c r="DF48" t="str">
        <f>""</f>
        <v/>
      </c>
      <c r="DG48" t="str">
        <f>""</f>
        <v/>
      </c>
      <c r="DH48" t="str">
        <f>""</f>
        <v/>
      </c>
      <c r="DI48" t="str">
        <f>""</f>
        <v/>
      </c>
      <c r="DJ48" t="str">
        <f>""</f>
        <v/>
      </c>
      <c r="DK48" t="str">
        <f>""</f>
        <v/>
      </c>
      <c r="DL48" t="str">
        <f>""</f>
        <v/>
      </c>
      <c r="DM48" t="str">
        <f>""</f>
        <v/>
      </c>
      <c r="DN48" t="str">
        <f>""</f>
        <v/>
      </c>
      <c r="DO48" t="str">
        <f>""</f>
        <v/>
      </c>
      <c r="DP48" t="str">
        <f>""</f>
        <v/>
      </c>
      <c r="DQ48" t="str">
        <f>""</f>
        <v/>
      </c>
      <c r="DR48" t="str">
        <f>""</f>
        <v/>
      </c>
      <c r="DS48" t="str">
        <f>""</f>
        <v/>
      </c>
      <c r="DT48" t="str">
        <f>""</f>
        <v/>
      </c>
      <c r="DU48" t="str">
        <f>""</f>
        <v/>
      </c>
    </row>
    <row r="49" spans="1:125">
      <c r="A49" t="str">
        <f>"    VEREIT Inc"</f>
        <v xml:space="preserve">    VEREIT Inc</v>
      </c>
      <c r="B49" t="str">
        <f>"VER US Equity"</f>
        <v>VER US Equity</v>
      </c>
      <c r="C49" t="str">
        <f t="shared" si="6"/>
        <v>IM281</v>
      </c>
      <c r="D49" t="str">
        <f t="shared" si="7"/>
        <v>IS_NON_REAL_ESTATE_INCOME</v>
      </c>
      <c r="E49" t="str">
        <f t="shared" si="8"/>
        <v>动态</v>
      </c>
      <c r="F49" t="str">
        <f ca="1">IF(AND(ISNUMBER($F$508),$B$419=1),$F$508,HLOOKUP(INDIRECT(ADDRESS(2,COLUMN())),OFFSET($BN$2,0,0,ROW()-1,60),ROW()-1,FALSE))</f>
        <v/>
      </c>
      <c r="G49">
        <f ca="1">IF(AND(ISNUMBER($G$508),$B$419=1),$G$508,HLOOKUP(INDIRECT(ADDRESS(2,COLUMN())),OFFSET($BN$2,0,0,ROW()-1,60),ROW()-1,FALSE))</f>
        <v>26.035</v>
      </c>
      <c r="H49">
        <f ca="1">IF(AND(ISNUMBER($H$508),$B$419=1),$H$508,HLOOKUP(INDIRECT(ADDRESS(2,COLUMN())),OFFSET($BN$2,0,0,ROW()-1,60),ROW()-1,FALSE))</f>
        <v>51.387</v>
      </c>
      <c r="I49">
        <f ca="1">IF(AND(ISNUMBER($I$508),$B$419=1),$I$508,HLOOKUP(INDIRECT(ADDRESS(2,COLUMN())),OFFSET($BN$2,0,0,ROW()-1,60),ROW()-1,FALSE))</f>
        <v>50.639000000000003</v>
      </c>
      <c r="J49">
        <f ca="1">IF(AND(ISNUMBER($J$508),$B$419=1),$J$508,HLOOKUP(INDIRECT(ADDRESS(2,COLUMN())),OFFSET($BN$2,0,0,ROW()-1,60),ROW()-1,FALSE))</f>
        <v>54.29</v>
      </c>
      <c r="K49">
        <f ca="1">IF(AND(ISNUMBER($K$508),$B$419=1),$K$508,HLOOKUP(INDIRECT(ADDRESS(2,COLUMN())),OFFSET($BN$2,0,0,ROW()-1,60),ROW()-1,FALSE))</f>
        <v>52.637999999999998</v>
      </c>
      <c r="L49">
        <f ca="1">IF(AND(ISNUMBER($L$508),$B$419=1),$L$508,HLOOKUP(INDIRECT(ADDRESS(2,COLUMN())),OFFSET($BN$2,0,0,ROW()-1,60),ROW()-1,FALSE))</f>
        <v>59.531999999999996</v>
      </c>
      <c r="M49">
        <f ca="1">IF(AND(ISNUMBER($M$508),$B$419=1),$M$508,HLOOKUP(INDIRECT(ADDRESS(2,COLUMN())),OFFSET($BN$2,0,0,ROW()-1,60),ROW()-1,FALSE))</f>
        <v>59.667000000000002</v>
      </c>
      <c r="N49">
        <f ca="1">IF(AND(ISNUMBER($N$508),$B$419=1),$N$508,HLOOKUP(INDIRECT(ADDRESS(2,COLUMN())),OFFSET($BN$2,0,0,ROW()-1,60),ROW()-1,FALSE))</f>
        <v>55.048999999999999</v>
      </c>
      <c r="O49">
        <f ca="1">IF(AND(ISNUMBER($O$508),$B$419=1),$O$508,HLOOKUP(INDIRECT(ADDRESS(2,COLUMN())),OFFSET($BN$2,0,0,ROW()-1,60),ROW()-1,FALSE))</f>
        <v>61.295000000000002</v>
      </c>
      <c r="P49">
        <f ca="1">IF(AND(ISNUMBER($P$508),$B$419=1),$P$508,HLOOKUP(INDIRECT(ADDRESS(2,COLUMN())),OFFSET($BN$2,0,0,ROW()-1,60),ROW()-1,FALSE))</f>
        <v>51.188000000000002</v>
      </c>
      <c r="Q49">
        <f ca="1">IF(AND(ISNUMBER($Q$508),$B$419=1),$Q$508,HLOOKUP(INDIRECT(ADDRESS(2,COLUMN())),OFFSET($BN$2,0,0,ROW()-1,60),ROW()-1,FALSE))</f>
        <v>52.537999999999997</v>
      </c>
      <c r="R49">
        <f ca="1">IF(AND(ISNUMBER($R$508),$B$419=1),$R$508,HLOOKUP(INDIRECT(ADDRESS(2,COLUMN())),OFFSET($BN$2,0,0,ROW()-1,60),ROW()-1,FALSE))</f>
        <v>51.209000000000003</v>
      </c>
      <c r="S49">
        <f ca="1">IF(AND(ISNUMBER($S$508),$B$419=1),$S$508,HLOOKUP(INDIRECT(ADDRESS(2,COLUMN())),OFFSET($BN$2,0,0,ROW()-1,60),ROW()-1,FALSE))</f>
        <v>71.879000000000005</v>
      </c>
      <c r="T49">
        <f ca="1">IF(AND(ISNUMBER($T$508),$B$419=1),$T$508,HLOOKUP(INDIRECT(ADDRESS(2,COLUMN())),OFFSET($BN$2,0,0,ROW()-1,60),ROW()-1,FALSE))</f>
        <v>91.406000000000006</v>
      </c>
      <c r="U49">
        <f ca="1">IF(AND(ISNUMBER($U$508),$B$419=1),$U$508,HLOOKUP(INDIRECT(ADDRESS(2,COLUMN())),OFFSET($BN$2,0,0,ROW()-1,60),ROW()-1,FALSE))</f>
        <v>67.659000000000006</v>
      </c>
      <c r="V49">
        <f ca="1">IF(AND(ISNUMBER($V$508),$B$419=1),$V$508,HLOOKUP(INDIRECT(ADDRESS(2,COLUMN())),OFFSET($BN$2,0,0,ROW()-1,60),ROW()-1,FALSE))</f>
        <v>76.739000000000004</v>
      </c>
      <c r="W49">
        <f ca="1">IF(AND(ISNUMBER($W$508),$B$419=1),$W$508,HLOOKUP(INDIRECT(ADDRESS(2,COLUMN())),OFFSET($BN$2,0,0,ROW()-1,60),ROW()-1,FALSE))</f>
        <v>8.859</v>
      </c>
      <c r="X49">
        <f ca="1">IF(AND(ISNUMBER($X$508),$B$419=1),$X$508,HLOOKUP(INDIRECT(ADDRESS(2,COLUMN())),OFFSET($BN$2,0,0,ROW()-1,60),ROW()-1,FALSE))</f>
        <v>5.5259999999999998</v>
      </c>
      <c r="Y49">
        <f ca="1">IF(AND(ISNUMBER($Y$508),$B$419=1),$Y$508,HLOOKUP(INDIRECT(ADDRESS(2,COLUMN())),OFFSET($BN$2,0,0,ROW()-1,60),ROW()-1,FALSE))</f>
        <v>2.2810000000000001</v>
      </c>
      <c r="Z49">
        <f ca="1">IF(AND(ISNUMBER($Z$508),$B$419=1),$Z$508,HLOOKUP(INDIRECT(ADDRESS(2,COLUMN())),OFFSET($BN$2,0,0,ROW()-1,60),ROW()-1,FALSE))</f>
        <v>1.91</v>
      </c>
      <c r="AA49">
        <f ca="1">IF(AND(ISNUMBER($AA$508),$B$419=1),$AA$508,HLOOKUP(INDIRECT(ADDRESS(2,COLUMN())),OFFSET($BN$2,0,0,ROW()-1,60),ROW()-1,FALSE))</f>
        <v>1.228</v>
      </c>
      <c r="AB49">
        <f ca="1">IF(AND(ISNUMBER($AB$508),$B$419=1),$AB$508,HLOOKUP(INDIRECT(ADDRESS(2,COLUMN())),OFFSET($BN$2,0,0,ROW()-1,60),ROW()-1,FALSE))</f>
        <v>0.51500000000000001</v>
      </c>
      <c r="AC49">
        <f ca="1">IF(AND(ISNUMBER($AC$508),$B$419=1),$AC$508,HLOOKUP(INDIRECT(ADDRESS(2,COLUMN())),OFFSET($BN$2,0,0,ROW()-1,60),ROW()-1,FALSE))</f>
        <v>0.10100000000000001</v>
      </c>
      <c r="AD49">
        <f ca="1">IF(AND(ISNUMBER($AD$508),$B$419=1),$AD$508,HLOOKUP(INDIRECT(ADDRESS(2,COLUMN())),OFFSET($BN$2,0,0,ROW()-1,60),ROW()-1,FALSE))</f>
        <v>0.157</v>
      </c>
      <c r="AE49">
        <f ca="1">IF(AND(ISNUMBER($AE$508),$B$419=1),$AE$508,HLOOKUP(INDIRECT(ADDRESS(2,COLUMN())),OFFSET($BN$2,0,0,ROW()-1,60),ROW()-1,FALSE))</f>
        <v>0.153</v>
      </c>
      <c r="AF49">
        <f ca="1">IF(AND(ISNUMBER($AF$508),$B$419=1),$AF$508,HLOOKUP(INDIRECT(ADDRESS(2,COLUMN())),OFFSET($BN$2,0,0,ROW()-1,60),ROW()-1,FALSE))</f>
        <v>0</v>
      </c>
      <c r="AG49">
        <f ca="1">IF(AND(ISNUMBER($AG$508),$B$419=1),$AG$508,HLOOKUP(INDIRECT(ADDRESS(2,COLUMN())),OFFSET($BN$2,0,0,ROW()-1,60),ROW()-1,FALSE))</f>
        <v>0</v>
      </c>
      <c r="AH49">
        <f ca="1">IF(AND(ISNUMBER($AH$508),$B$419=1),$AH$508,HLOOKUP(INDIRECT(ADDRESS(2,COLUMN())),OFFSET($BN$2,0,0,ROW()-1,60),ROW()-1,FALSE))</f>
        <v>0</v>
      </c>
      <c r="AI49" t="str">
        <f ca="1">IF(AND(ISNUMBER($AI$508),$B$419=1),$AI$508,HLOOKUP(INDIRECT(ADDRESS(2,COLUMN())),OFFSET($BN$2,0,0,ROW()-1,60),ROW()-1,FALSE))</f>
        <v/>
      </c>
      <c r="AJ49" t="str">
        <f ca="1">IF(AND(ISNUMBER($AJ$508),$B$419=1),$AJ$508,HLOOKUP(INDIRECT(ADDRESS(2,COLUMN())),OFFSET($BN$2,0,0,ROW()-1,60),ROW()-1,FALSE))</f>
        <v/>
      </c>
      <c r="AK49" t="str">
        <f ca="1">IF(AND(ISNUMBER($AK$508),$B$419=1),$AK$508,HLOOKUP(INDIRECT(ADDRESS(2,COLUMN())),OFFSET($BN$2,0,0,ROW()-1,60),ROW()-1,FALSE))</f>
        <v/>
      </c>
      <c r="AL49">
        <f ca="1">IF(AND(ISNUMBER($AL$508),$B$419=1),$AL$508,HLOOKUP(INDIRECT(ADDRESS(2,COLUMN())),OFFSET($BN$2,0,0,ROW()-1,60),ROW()-1,FALSE))</f>
        <v>0</v>
      </c>
      <c r="AM49" t="str">
        <f ca="1">IF(AND(ISNUMBER($AM$508),$B$419=1),$AM$508,HLOOKUP(INDIRECT(ADDRESS(2,COLUMN())),OFFSET($BN$2,0,0,ROW()-1,60),ROW()-1,FALSE))</f>
        <v/>
      </c>
      <c r="AN49" t="str">
        <f ca="1">IF(AND(ISNUMBER($AN$508),$B$419=1),$AN$508,HLOOKUP(INDIRECT(ADDRESS(2,COLUMN())),OFFSET($BN$2,0,0,ROW()-1,60),ROW()-1,FALSE))</f>
        <v/>
      </c>
      <c r="AO49" t="str">
        <f ca="1">IF(AND(ISNUMBER($AO$508),$B$419=1),$AO$508,HLOOKUP(INDIRECT(ADDRESS(2,COLUMN())),OFFSET($BN$2,0,0,ROW()-1,60),ROW()-1,FALSE))</f>
        <v/>
      </c>
      <c r="AP49" t="str">
        <f ca="1">IF(AND(ISNUMBER($AP$508),$B$419=1),$AP$508,HLOOKUP(INDIRECT(ADDRESS(2,COLUMN())),OFFSET($BN$2,0,0,ROW()-1,60),ROW()-1,FALSE))</f>
        <v/>
      </c>
      <c r="AQ49" t="str">
        <f ca="1">IF(AND(ISNUMBER($AQ$508),$B$419=1),$AQ$508,HLOOKUP(INDIRECT(ADDRESS(2,COLUMN())),OFFSET($BN$2,0,0,ROW()-1,60),ROW()-1,FALSE))</f>
        <v/>
      </c>
      <c r="AR49" t="str">
        <f ca="1">IF(AND(ISNUMBER($AR$508),$B$419=1),$AR$508,HLOOKUP(INDIRECT(ADDRESS(2,COLUMN())),OFFSET($BN$2,0,0,ROW()-1,60),ROW()-1,FALSE))</f>
        <v/>
      </c>
      <c r="AS49" t="str">
        <f ca="1">IF(AND(ISNUMBER($AS$508),$B$419=1),$AS$508,HLOOKUP(INDIRECT(ADDRESS(2,COLUMN())),OFFSET($BN$2,0,0,ROW()-1,60),ROW()-1,FALSE))</f>
        <v/>
      </c>
      <c r="AT49" t="str">
        <f ca="1">IF(AND(ISNUMBER($AT$508),$B$419=1),$AT$508,HLOOKUP(INDIRECT(ADDRESS(2,COLUMN())),OFFSET($BN$2,0,0,ROW()-1,60),ROW()-1,FALSE))</f>
        <v/>
      </c>
      <c r="AU49" t="str">
        <f ca="1">IF(AND(ISNUMBER($AU$508),$B$419=1),$AU$508,HLOOKUP(INDIRECT(ADDRESS(2,COLUMN())),OFFSET($BN$2,0,0,ROW()-1,60),ROW()-1,FALSE))</f>
        <v/>
      </c>
      <c r="AV49" t="str">
        <f ca="1">IF(AND(ISNUMBER($AV$508),$B$419=1),$AV$508,HLOOKUP(INDIRECT(ADDRESS(2,COLUMN())),OFFSET($BN$2,0,0,ROW()-1,60),ROW()-1,FALSE))</f>
        <v/>
      </c>
      <c r="AW49" t="str">
        <f ca="1">IF(AND(ISNUMBER($AW$508),$B$419=1),$AW$508,HLOOKUP(INDIRECT(ADDRESS(2,COLUMN())),OFFSET($BN$2,0,0,ROW()-1,60),ROW()-1,FALSE))</f>
        <v/>
      </c>
      <c r="AX49" t="str">
        <f ca="1">IF(AND(ISNUMBER($AX$508),$B$419=1),$AX$508,HLOOKUP(INDIRECT(ADDRESS(2,COLUMN())),OFFSET($BN$2,0,0,ROW()-1,60),ROW()-1,FALSE))</f>
        <v/>
      </c>
      <c r="AY49" t="str">
        <f ca="1">IF(AND(ISNUMBER($AY$508),$B$419=1),$AY$508,HLOOKUP(INDIRECT(ADDRESS(2,COLUMN())),OFFSET($BN$2,0,0,ROW()-1,60),ROW()-1,FALSE))</f>
        <v/>
      </c>
      <c r="AZ49" t="str">
        <f ca="1">IF(AND(ISNUMBER($AZ$508),$B$419=1),$AZ$508,HLOOKUP(INDIRECT(ADDRESS(2,COLUMN())),OFFSET($BN$2,0,0,ROW()-1,60),ROW()-1,FALSE))</f>
        <v/>
      </c>
      <c r="BA49" t="str">
        <f ca="1">IF(AND(ISNUMBER($BA$508),$B$419=1),$BA$508,HLOOKUP(INDIRECT(ADDRESS(2,COLUMN())),OFFSET($BN$2,0,0,ROW()-1,60),ROW()-1,FALSE))</f>
        <v/>
      </c>
      <c r="BB49" t="str">
        <f ca="1">IF(AND(ISNUMBER($BB$508),$B$419=1),$BB$508,HLOOKUP(INDIRECT(ADDRESS(2,COLUMN())),OFFSET($BN$2,0,0,ROW()-1,60),ROW()-1,FALSE))</f>
        <v/>
      </c>
      <c r="BC49" t="str">
        <f ca="1">IF(AND(ISNUMBER($BC$508),$B$419=1),$BC$508,HLOOKUP(INDIRECT(ADDRESS(2,COLUMN())),OFFSET($BN$2,0,0,ROW()-1,60),ROW()-1,FALSE))</f>
        <v/>
      </c>
      <c r="BD49" t="str">
        <f ca="1">IF(AND(ISNUMBER($BD$508),$B$419=1),$BD$508,HLOOKUP(INDIRECT(ADDRESS(2,COLUMN())),OFFSET($BN$2,0,0,ROW()-1,60),ROW()-1,FALSE))</f>
        <v/>
      </c>
      <c r="BE49" t="str">
        <f ca="1">IF(AND(ISNUMBER($BE$508),$B$419=1),$BE$508,HLOOKUP(INDIRECT(ADDRESS(2,COLUMN())),OFFSET($BN$2,0,0,ROW()-1,60),ROW()-1,FALSE))</f>
        <v/>
      </c>
      <c r="BF49" t="str">
        <f ca="1">IF(AND(ISNUMBER($BF$508),$B$419=1),$BF$508,HLOOKUP(INDIRECT(ADDRESS(2,COLUMN())),OFFSET($BN$2,0,0,ROW()-1,60),ROW()-1,FALSE))</f>
        <v/>
      </c>
      <c r="BG49" t="str">
        <f ca="1">IF(AND(ISNUMBER($BG$508),$B$419=1),$BG$508,HLOOKUP(INDIRECT(ADDRESS(2,COLUMN())),OFFSET($BN$2,0,0,ROW()-1,60),ROW()-1,FALSE))</f>
        <v/>
      </c>
      <c r="BH49" t="str">
        <f ca="1">IF(AND(ISNUMBER($BH$508),$B$419=1),$BH$508,HLOOKUP(INDIRECT(ADDRESS(2,COLUMN())),OFFSET($BN$2,0,0,ROW()-1,60),ROW()-1,FALSE))</f>
        <v/>
      </c>
      <c r="BI49" t="str">
        <f ca="1">IF(AND(ISNUMBER($BI$508),$B$419=1),$BI$508,HLOOKUP(INDIRECT(ADDRESS(2,COLUMN())),OFFSET($BN$2,0,0,ROW()-1,60),ROW()-1,FALSE))</f>
        <v/>
      </c>
      <c r="BJ49" t="str">
        <f ca="1">IF(AND(ISNUMBER($BJ$508),$B$419=1),$BJ$508,HLOOKUP(INDIRECT(ADDRESS(2,COLUMN())),OFFSET($BN$2,0,0,ROW()-1,60),ROW()-1,FALSE))</f>
        <v/>
      </c>
      <c r="BK49" t="str">
        <f ca="1">IF(AND(ISNUMBER($BK$508),$B$419=1),$BK$508,HLOOKUP(INDIRECT(ADDRESS(2,COLUMN())),OFFSET($BN$2,0,0,ROW()-1,60),ROW()-1,FALSE))</f>
        <v/>
      </c>
      <c r="BL49" t="str">
        <f ca="1">IF(AND(ISNUMBER($BL$508),$B$419=1),$BL$508,HLOOKUP(INDIRECT(ADDRESS(2,COLUMN())),OFFSET($BN$2,0,0,ROW()-1,60),ROW()-1,FALSE))</f>
        <v/>
      </c>
      <c r="BM49" t="str">
        <f ca="1">IF(AND(ISNUMBER($BM$508),$B$419=1),$BM$508,HLOOKUP(INDIRECT(ADDRESS(2,COLUMN())),OFFSET($BN$2,0,0,ROW()-1,60),ROW()-1,FALSE))</f>
        <v/>
      </c>
      <c r="BN49" t="str">
        <f>""</f>
        <v/>
      </c>
      <c r="BO49">
        <f>26.035</f>
        <v>26.035</v>
      </c>
      <c r="BP49">
        <f>51.387</f>
        <v>51.387</v>
      </c>
      <c r="BQ49">
        <f>50.639</f>
        <v>50.639000000000003</v>
      </c>
      <c r="BR49">
        <f>54.29</f>
        <v>54.29</v>
      </c>
      <c r="BS49">
        <f>52.638</f>
        <v>52.637999999999998</v>
      </c>
      <c r="BT49">
        <f>59.532</f>
        <v>59.531999999999996</v>
      </c>
      <c r="BU49">
        <f>59.667</f>
        <v>59.667000000000002</v>
      </c>
      <c r="BV49">
        <f>55.049</f>
        <v>55.048999999999999</v>
      </c>
      <c r="BW49">
        <f>61.295</f>
        <v>61.295000000000002</v>
      </c>
      <c r="BX49">
        <f>51.188</f>
        <v>51.188000000000002</v>
      </c>
      <c r="BY49">
        <f>52.538</f>
        <v>52.537999999999997</v>
      </c>
      <c r="BZ49">
        <f>51.209</f>
        <v>51.209000000000003</v>
      </c>
      <c r="CA49">
        <f>71.879</f>
        <v>71.879000000000005</v>
      </c>
      <c r="CB49">
        <f>91.406</f>
        <v>91.406000000000006</v>
      </c>
      <c r="CC49">
        <f>67.659</f>
        <v>67.659000000000006</v>
      </c>
      <c r="CD49">
        <f>76.739</f>
        <v>76.739000000000004</v>
      </c>
      <c r="CE49">
        <f>8.859</f>
        <v>8.859</v>
      </c>
      <c r="CF49">
        <f>5.526</f>
        <v>5.5259999999999998</v>
      </c>
      <c r="CG49">
        <f>2.281</f>
        <v>2.2810000000000001</v>
      </c>
      <c r="CH49">
        <f>1.91</f>
        <v>1.91</v>
      </c>
      <c r="CI49">
        <f>1.228</f>
        <v>1.228</v>
      </c>
      <c r="CJ49">
        <f>0.515</f>
        <v>0.51500000000000001</v>
      </c>
      <c r="CK49">
        <f>0.101</f>
        <v>0.10100000000000001</v>
      </c>
      <c r="CL49">
        <f>0.157</f>
        <v>0.157</v>
      </c>
      <c r="CM49">
        <f>0.153</f>
        <v>0.153</v>
      </c>
      <c r="CN49">
        <f>0</f>
        <v>0</v>
      </c>
      <c r="CO49">
        <f>0</f>
        <v>0</v>
      </c>
      <c r="CP49">
        <f>0</f>
        <v>0</v>
      </c>
      <c r="CQ49" t="str">
        <f>""</f>
        <v/>
      </c>
      <c r="CR49" t="str">
        <f>""</f>
        <v/>
      </c>
      <c r="CS49" t="str">
        <f>""</f>
        <v/>
      </c>
      <c r="CT49">
        <f>0</f>
        <v>0</v>
      </c>
      <c r="CU49" t="str">
        <f>""</f>
        <v/>
      </c>
      <c r="CV49" t="str">
        <f>""</f>
        <v/>
      </c>
      <c r="CW49" t="str">
        <f>""</f>
        <v/>
      </c>
      <c r="CX49" t="str">
        <f>""</f>
        <v/>
      </c>
      <c r="CY49" t="str">
        <f>""</f>
        <v/>
      </c>
      <c r="CZ49" t="str">
        <f>""</f>
        <v/>
      </c>
      <c r="DA49" t="str">
        <f>""</f>
        <v/>
      </c>
      <c r="DB49" t="str">
        <f>""</f>
        <v/>
      </c>
      <c r="DC49" t="str">
        <f>""</f>
        <v/>
      </c>
      <c r="DD49" t="str">
        <f>""</f>
        <v/>
      </c>
      <c r="DE49" t="str">
        <f>""</f>
        <v/>
      </c>
      <c r="DF49" t="str">
        <f>""</f>
        <v/>
      </c>
      <c r="DG49" t="str">
        <f>""</f>
        <v/>
      </c>
      <c r="DH49" t="str">
        <f>""</f>
        <v/>
      </c>
      <c r="DI49" t="str">
        <f>""</f>
        <v/>
      </c>
      <c r="DJ49" t="str">
        <f>""</f>
        <v/>
      </c>
      <c r="DK49" t="str">
        <f>""</f>
        <v/>
      </c>
      <c r="DL49" t="str">
        <f>""</f>
        <v/>
      </c>
      <c r="DM49" t="str">
        <f>""</f>
        <v/>
      </c>
      <c r="DN49" t="str">
        <f>""</f>
        <v/>
      </c>
      <c r="DO49" t="str">
        <f>""</f>
        <v/>
      </c>
      <c r="DP49" t="str">
        <f>""</f>
        <v/>
      </c>
      <c r="DQ49" t="str">
        <f>""</f>
        <v/>
      </c>
      <c r="DR49" t="str">
        <f>""</f>
        <v/>
      </c>
      <c r="DS49" t="str">
        <f>""</f>
        <v/>
      </c>
      <c r="DT49" t="str">
        <f>""</f>
        <v/>
      </c>
      <c r="DU49" t="str">
        <f>""</f>
        <v/>
      </c>
    </row>
    <row r="50" spans="1:125">
      <c r="A50" t="str">
        <f>"    Washington Prime Group Inc"</f>
        <v xml:space="preserve">    Washington Prime Group Inc</v>
      </c>
      <c r="B50" t="str">
        <f>"WPG US Equity"</f>
        <v>WPG US Equity</v>
      </c>
      <c r="C50" t="str">
        <f t="shared" si="6"/>
        <v>IM281</v>
      </c>
      <c r="D50" t="str">
        <f t="shared" si="7"/>
        <v>IS_NON_REAL_ESTATE_INCOME</v>
      </c>
      <c r="E50" t="str">
        <f t="shared" si="8"/>
        <v>动态</v>
      </c>
      <c r="F50" t="str">
        <f ca="1">IF(AND(ISNUMBER($F$509),$B$419=1),$F$509,HLOOKUP(INDIRECT(ADDRESS(2,COLUMN())),OFFSET($BN$2,0,0,ROW()-1,60),ROW()-1,FALSE))</f>
        <v/>
      </c>
      <c r="G50">
        <f ca="1">IF(AND(ISNUMBER($G$509),$B$419=1),$G$509,HLOOKUP(INDIRECT(ADDRESS(2,COLUMN())),OFFSET($BN$2,0,0,ROW()-1,60),ROW()-1,FALSE))</f>
        <v>0</v>
      </c>
      <c r="H50">
        <f ca="1">IF(AND(ISNUMBER($H$509),$B$419=1),$H$509,HLOOKUP(INDIRECT(ADDRESS(2,COLUMN())),OFFSET($BN$2,0,0,ROW()-1,60),ROW()-1,FALSE))</f>
        <v>0</v>
      </c>
      <c r="I50">
        <f ca="1">IF(AND(ISNUMBER($I$509),$B$419=1),$I$509,HLOOKUP(INDIRECT(ADDRESS(2,COLUMN())),OFFSET($BN$2,0,0,ROW()-1,60),ROW()-1,FALSE))</f>
        <v>0</v>
      </c>
      <c r="J50">
        <f ca="1">IF(AND(ISNUMBER($J$509),$B$419=1),$J$509,HLOOKUP(INDIRECT(ADDRESS(2,COLUMN())),OFFSET($BN$2,0,0,ROW()-1,60),ROW()-1,FALSE))</f>
        <v>0</v>
      </c>
      <c r="K50">
        <f ca="1">IF(AND(ISNUMBER($K$509),$B$419=1),$K$509,HLOOKUP(INDIRECT(ADDRESS(2,COLUMN())),OFFSET($BN$2,0,0,ROW()-1,60),ROW()-1,FALSE))</f>
        <v>0</v>
      </c>
      <c r="L50">
        <f ca="1">IF(AND(ISNUMBER($L$509),$B$419=1),$L$509,HLOOKUP(INDIRECT(ADDRESS(2,COLUMN())),OFFSET($BN$2,0,0,ROW()-1,60),ROW()-1,FALSE))</f>
        <v>0</v>
      </c>
      <c r="M50">
        <f ca="1">IF(AND(ISNUMBER($M$509),$B$419=1),$M$509,HLOOKUP(INDIRECT(ADDRESS(2,COLUMN())),OFFSET($BN$2,0,0,ROW()-1,60),ROW()-1,FALSE))</f>
        <v>0</v>
      </c>
      <c r="N50">
        <f ca="1">IF(AND(ISNUMBER($N$509),$B$419=1),$N$509,HLOOKUP(INDIRECT(ADDRESS(2,COLUMN())),OFFSET($BN$2,0,0,ROW()-1,60),ROW()-1,FALSE))</f>
        <v>0</v>
      </c>
      <c r="O50">
        <f ca="1">IF(AND(ISNUMBER($O$509),$B$419=1),$O$509,HLOOKUP(INDIRECT(ADDRESS(2,COLUMN())),OFFSET($BN$2,0,0,ROW()-1,60),ROW()-1,FALSE))</f>
        <v>0</v>
      </c>
      <c r="P50">
        <f ca="1">IF(AND(ISNUMBER($P$509),$B$419=1),$P$509,HLOOKUP(INDIRECT(ADDRESS(2,COLUMN())),OFFSET($BN$2,0,0,ROW()-1,60),ROW()-1,FALSE))</f>
        <v>0</v>
      </c>
      <c r="Q50">
        <f ca="1">IF(AND(ISNUMBER($Q$509),$B$419=1),$Q$509,HLOOKUP(INDIRECT(ADDRESS(2,COLUMN())),OFFSET($BN$2,0,0,ROW()-1,60),ROW()-1,FALSE))</f>
        <v>0</v>
      </c>
      <c r="R50">
        <f ca="1">IF(AND(ISNUMBER($R$509),$B$419=1),$R$509,HLOOKUP(INDIRECT(ADDRESS(2,COLUMN())),OFFSET($BN$2,0,0,ROW()-1,60),ROW()-1,FALSE))</f>
        <v>0</v>
      </c>
      <c r="S50">
        <f ca="1">IF(AND(ISNUMBER($S$509),$B$419=1),$S$509,HLOOKUP(INDIRECT(ADDRESS(2,COLUMN())),OFFSET($BN$2,0,0,ROW()-1,60),ROW()-1,FALSE))</f>
        <v>0</v>
      </c>
      <c r="T50">
        <f ca="1">IF(AND(ISNUMBER($T$509),$B$419=1),$T$509,HLOOKUP(INDIRECT(ADDRESS(2,COLUMN())),OFFSET($BN$2,0,0,ROW()-1,60),ROW()-1,FALSE))</f>
        <v>0</v>
      </c>
      <c r="U50">
        <f ca="1">IF(AND(ISNUMBER($U$509),$B$419=1),$U$509,HLOOKUP(INDIRECT(ADDRESS(2,COLUMN())),OFFSET($BN$2,0,0,ROW()-1,60),ROW()-1,FALSE))</f>
        <v>0</v>
      </c>
      <c r="V50">
        <f ca="1">IF(AND(ISNUMBER($V$509),$B$419=1),$V$509,HLOOKUP(INDIRECT(ADDRESS(2,COLUMN())),OFFSET($BN$2,0,0,ROW()-1,60),ROW()-1,FALSE))</f>
        <v>0</v>
      </c>
      <c r="W50" t="str">
        <f ca="1">IF(AND(ISNUMBER($W$509),$B$419=1),$W$509,HLOOKUP(INDIRECT(ADDRESS(2,COLUMN())),OFFSET($BN$2,0,0,ROW()-1,60),ROW()-1,FALSE))</f>
        <v/>
      </c>
      <c r="X50" t="str">
        <f ca="1">IF(AND(ISNUMBER($X$509),$B$419=1),$X$509,HLOOKUP(INDIRECT(ADDRESS(2,COLUMN())),OFFSET($BN$2,0,0,ROW()-1,60),ROW()-1,FALSE))</f>
        <v/>
      </c>
      <c r="Y50" t="str">
        <f ca="1">IF(AND(ISNUMBER($Y$509),$B$419=1),$Y$509,HLOOKUP(INDIRECT(ADDRESS(2,COLUMN())),OFFSET($BN$2,0,0,ROW()-1,60),ROW()-1,FALSE))</f>
        <v/>
      </c>
      <c r="Z50" t="str">
        <f ca="1">IF(AND(ISNUMBER($Z$509),$B$419=1),$Z$509,HLOOKUP(INDIRECT(ADDRESS(2,COLUMN())),OFFSET($BN$2,0,0,ROW()-1,60),ROW()-1,FALSE))</f>
        <v/>
      </c>
      <c r="AA50" t="str">
        <f ca="1">IF(AND(ISNUMBER($AA$509),$B$419=1),$AA$509,HLOOKUP(INDIRECT(ADDRESS(2,COLUMN())),OFFSET($BN$2,0,0,ROW()-1,60),ROW()-1,FALSE))</f>
        <v/>
      </c>
      <c r="AB50" t="str">
        <f ca="1">IF(AND(ISNUMBER($AB$509),$B$419=1),$AB$509,HLOOKUP(INDIRECT(ADDRESS(2,COLUMN())),OFFSET($BN$2,0,0,ROW()-1,60),ROW()-1,FALSE))</f>
        <v/>
      </c>
      <c r="AC50" t="str">
        <f ca="1">IF(AND(ISNUMBER($AC$509),$B$419=1),$AC$509,HLOOKUP(INDIRECT(ADDRESS(2,COLUMN())),OFFSET($BN$2,0,0,ROW()-1,60),ROW()-1,FALSE))</f>
        <v/>
      </c>
      <c r="AD50" t="str">
        <f ca="1">IF(AND(ISNUMBER($AD$509),$B$419=1),$AD$509,HLOOKUP(INDIRECT(ADDRESS(2,COLUMN())),OFFSET($BN$2,0,0,ROW()-1,60),ROW()-1,FALSE))</f>
        <v/>
      </c>
      <c r="AE50" t="str">
        <f ca="1">IF(AND(ISNUMBER($AE$509),$B$419=1),$AE$509,HLOOKUP(INDIRECT(ADDRESS(2,COLUMN())),OFFSET($BN$2,0,0,ROW()-1,60),ROW()-1,FALSE))</f>
        <v/>
      </c>
      <c r="AF50" t="str">
        <f ca="1">IF(AND(ISNUMBER($AF$509),$B$419=1),$AF$509,HLOOKUP(INDIRECT(ADDRESS(2,COLUMN())),OFFSET($BN$2,0,0,ROW()-1,60),ROW()-1,FALSE))</f>
        <v/>
      </c>
      <c r="AG50" t="str">
        <f ca="1">IF(AND(ISNUMBER($AG$509),$B$419=1),$AG$509,HLOOKUP(INDIRECT(ADDRESS(2,COLUMN())),OFFSET($BN$2,0,0,ROW()-1,60),ROW()-1,FALSE))</f>
        <v/>
      </c>
      <c r="AH50" t="str">
        <f ca="1">IF(AND(ISNUMBER($AH$509),$B$419=1),$AH$509,HLOOKUP(INDIRECT(ADDRESS(2,COLUMN())),OFFSET($BN$2,0,0,ROW()-1,60),ROW()-1,FALSE))</f>
        <v/>
      </c>
      <c r="AI50" t="str">
        <f ca="1">IF(AND(ISNUMBER($AI$509),$B$419=1),$AI$509,HLOOKUP(INDIRECT(ADDRESS(2,COLUMN())),OFFSET($BN$2,0,0,ROW()-1,60),ROW()-1,FALSE))</f>
        <v/>
      </c>
      <c r="AJ50" t="str">
        <f ca="1">IF(AND(ISNUMBER($AJ$509),$B$419=1),$AJ$509,HLOOKUP(INDIRECT(ADDRESS(2,COLUMN())),OFFSET($BN$2,0,0,ROW()-1,60),ROW()-1,FALSE))</f>
        <v/>
      </c>
      <c r="AK50" t="str">
        <f ca="1">IF(AND(ISNUMBER($AK$509),$B$419=1),$AK$509,HLOOKUP(INDIRECT(ADDRESS(2,COLUMN())),OFFSET($BN$2,0,0,ROW()-1,60),ROW()-1,FALSE))</f>
        <v/>
      </c>
      <c r="AL50" t="str">
        <f ca="1">IF(AND(ISNUMBER($AL$509),$B$419=1),$AL$509,HLOOKUP(INDIRECT(ADDRESS(2,COLUMN())),OFFSET($BN$2,0,0,ROW()-1,60),ROW()-1,FALSE))</f>
        <v/>
      </c>
      <c r="AM50" t="str">
        <f ca="1">IF(AND(ISNUMBER($AM$509),$B$419=1),$AM$509,HLOOKUP(INDIRECT(ADDRESS(2,COLUMN())),OFFSET($BN$2,0,0,ROW()-1,60),ROW()-1,FALSE))</f>
        <v/>
      </c>
      <c r="AN50" t="str">
        <f ca="1">IF(AND(ISNUMBER($AN$509),$B$419=1),$AN$509,HLOOKUP(INDIRECT(ADDRESS(2,COLUMN())),OFFSET($BN$2,0,0,ROW()-1,60),ROW()-1,FALSE))</f>
        <v/>
      </c>
      <c r="AO50" t="str">
        <f ca="1">IF(AND(ISNUMBER($AO$509),$B$419=1),$AO$509,HLOOKUP(INDIRECT(ADDRESS(2,COLUMN())),OFFSET($BN$2,0,0,ROW()-1,60),ROW()-1,FALSE))</f>
        <v/>
      </c>
      <c r="AP50" t="str">
        <f ca="1">IF(AND(ISNUMBER($AP$509),$B$419=1),$AP$509,HLOOKUP(INDIRECT(ADDRESS(2,COLUMN())),OFFSET($BN$2,0,0,ROW()-1,60),ROW()-1,FALSE))</f>
        <v/>
      </c>
      <c r="AQ50" t="str">
        <f ca="1">IF(AND(ISNUMBER($AQ$509),$B$419=1),$AQ$509,HLOOKUP(INDIRECT(ADDRESS(2,COLUMN())),OFFSET($BN$2,0,0,ROW()-1,60),ROW()-1,FALSE))</f>
        <v/>
      </c>
      <c r="AR50" t="str">
        <f ca="1">IF(AND(ISNUMBER($AR$509),$B$419=1),$AR$509,HLOOKUP(INDIRECT(ADDRESS(2,COLUMN())),OFFSET($BN$2,0,0,ROW()-1,60),ROW()-1,FALSE))</f>
        <v/>
      </c>
      <c r="AS50" t="str">
        <f ca="1">IF(AND(ISNUMBER($AS$509),$B$419=1),$AS$509,HLOOKUP(INDIRECT(ADDRESS(2,COLUMN())),OFFSET($BN$2,0,0,ROW()-1,60),ROW()-1,FALSE))</f>
        <v/>
      </c>
      <c r="AT50" t="str">
        <f ca="1">IF(AND(ISNUMBER($AT$509),$B$419=1),$AT$509,HLOOKUP(INDIRECT(ADDRESS(2,COLUMN())),OFFSET($BN$2,0,0,ROW()-1,60),ROW()-1,FALSE))</f>
        <v/>
      </c>
      <c r="AU50" t="str">
        <f ca="1">IF(AND(ISNUMBER($AU$509),$B$419=1),$AU$509,HLOOKUP(INDIRECT(ADDRESS(2,COLUMN())),OFFSET($BN$2,0,0,ROW()-1,60),ROW()-1,FALSE))</f>
        <v/>
      </c>
      <c r="AV50" t="str">
        <f ca="1">IF(AND(ISNUMBER($AV$509),$B$419=1),$AV$509,HLOOKUP(INDIRECT(ADDRESS(2,COLUMN())),OFFSET($BN$2,0,0,ROW()-1,60),ROW()-1,FALSE))</f>
        <v/>
      </c>
      <c r="AW50" t="str">
        <f ca="1">IF(AND(ISNUMBER($AW$509),$B$419=1),$AW$509,HLOOKUP(INDIRECT(ADDRESS(2,COLUMN())),OFFSET($BN$2,0,0,ROW()-1,60),ROW()-1,FALSE))</f>
        <v/>
      </c>
      <c r="AX50" t="str">
        <f ca="1">IF(AND(ISNUMBER($AX$509),$B$419=1),$AX$509,HLOOKUP(INDIRECT(ADDRESS(2,COLUMN())),OFFSET($BN$2,0,0,ROW()-1,60),ROW()-1,FALSE))</f>
        <v/>
      </c>
      <c r="AY50" t="str">
        <f ca="1">IF(AND(ISNUMBER($AY$509),$B$419=1),$AY$509,HLOOKUP(INDIRECT(ADDRESS(2,COLUMN())),OFFSET($BN$2,0,0,ROW()-1,60),ROW()-1,FALSE))</f>
        <v/>
      </c>
      <c r="AZ50" t="str">
        <f ca="1">IF(AND(ISNUMBER($AZ$509),$B$419=1),$AZ$509,HLOOKUP(INDIRECT(ADDRESS(2,COLUMN())),OFFSET($BN$2,0,0,ROW()-1,60),ROW()-1,FALSE))</f>
        <v/>
      </c>
      <c r="BA50" t="str">
        <f ca="1">IF(AND(ISNUMBER($BA$509),$B$419=1),$BA$509,HLOOKUP(INDIRECT(ADDRESS(2,COLUMN())),OFFSET($BN$2,0,0,ROW()-1,60),ROW()-1,FALSE))</f>
        <v/>
      </c>
      <c r="BB50" t="str">
        <f ca="1">IF(AND(ISNUMBER($BB$509),$B$419=1),$BB$509,HLOOKUP(INDIRECT(ADDRESS(2,COLUMN())),OFFSET($BN$2,0,0,ROW()-1,60),ROW()-1,FALSE))</f>
        <v/>
      </c>
      <c r="BC50" t="str">
        <f ca="1">IF(AND(ISNUMBER($BC$509),$B$419=1),$BC$509,HLOOKUP(INDIRECT(ADDRESS(2,COLUMN())),OFFSET($BN$2,0,0,ROW()-1,60),ROW()-1,FALSE))</f>
        <v/>
      </c>
      <c r="BD50" t="str">
        <f ca="1">IF(AND(ISNUMBER($BD$509),$B$419=1),$BD$509,HLOOKUP(INDIRECT(ADDRESS(2,COLUMN())),OFFSET($BN$2,0,0,ROW()-1,60),ROW()-1,FALSE))</f>
        <v/>
      </c>
      <c r="BE50" t="str">
        <f ca="1">IF(AND(ISNUMBER($BE$509),$B$419=1),$BE$509,HLOOKUP(INDIRECT(ADDRESS(2,COLUMN())),OFFSET($BN$2,0,0,ROW()-1,60),ROW()-1,FALSE))</f>
        <v/>
      </c>
      <c r="BF50" t="str">
        <f ca="1">IF(AND(ISNUMBER($BF$509),$B$419=1),$BF$509,HLOOKUP(INDIRECT(ADDRESS(2,COLUMN())),OFFSET($BN$2,0,0,ROW()-1,60),ROW()-1,FALSE))</f>
        <v/>
      </c>
      <c r="BG50" t="str">
        <f ca="1">IF(AND(ISNUMBER($BG$509),$B$419=1),$BG$509,HLOOKUP(INDIRECT(ADDRESS(2,COLUMN())),OFFSET($BN$2,0,0,ROW()-1,60),ROW()-1,FALSE))</f>
        <v/>
      </c>
      <c r="BH50" t="str">
        <f ca="1">IF(AND(ISNUMBER($BH$509),$B$419=1),$BH$509,HLOOKUP(INDIRECT(ADDRESS(2,COLUMN())),OFFSET($BN$2,0,0,ROW()-1,60),ROW()-1,FALSE))</f>
        <v/>
      </c>
      <c r="BI50" t="str">
        <f ca="1">IF(AND(ISNUMBER($BI$509),$B$419=1),$BI$509,HLOOKUP(INDIRECT(ADDRESS(2,COLUMN())),OFFSET($BN$2,0,0,ROW()-1,60),ROW()-1,FALSE))</f>
        <v/>
      </c>
      <c r="BJ50" t="str">
        <f ca="1">IF(AND(ISNUMBER($BJ$509),$B$419=1),$BJ$509,HLOOKUP(INDIRECT(ADDRESS(2,COLUMN())),OFFSET($BN$2,0,0,ROW()-1,60),ROW()-1,FALSE))</f>
        <v/>
      </c>
      <c r="BK50" t="str">
        <f ca="1">IF(AND(ISNUMBER($BK$509),$B$419=1),$BK$509,HLOOKUP(INDIRECT(ADDRESS(2,COLUMN())),OFFSET($BN$2,0,0,ROW()-1,60),ROW()-1,FALSE))</f>
        <v/>
      </c>
      <c r="BL50" t="str">
        <f ca="1">IF(AND(ISNUMBER($BL$509),$B$419=1),$BL$509,HLOOKUP(INDIRECT(ADDRESS(2,COLUMN())),OFFSET($BN$2,0,0,ROW()-1,60),ROW()-1,FALSE))</f>
        <v/>
      </c>
      <c r="BM50" t="str">
        <f ca="1">IF(AND(ISNUMBER($BM$509),$B$419=1),$BM$509,HLOOKUP(INDIRECT(ADDRESS(2,COLUMN())),OFFSET($BN$2,0,0,ROW()-1,60),ROW()-1,FALSE))</f>
        <v/>
      </c>
      <c r="BN50" t="str">
        <f>""</f>
        <v/>
      </c>
      <c r="BO50">
        <f>0</f>
        <v>0</v>
      </c>
      <c r="BP50">
        <f>0</f>
        <v>0</v>
      </c>
      <c r="BQ50">
        <f>0</f>
        <v>0</v>
      </c>
      <c r="BR50">
        <f>0</f>
        <v>0</v>
      </c>
      <c r="BS50">
        <f>0</f>
        <v>0</v>
      </c>
      <c r="BT50">
        <f>0</f>
        <v>0</v>
      </c>
      <c r="BU50">
        <f>0</f>
        <v>0</v>
      </c>
      <c r="BV50">
        <f>0</f>
        <v>0</v>
      </c>
      <c r="BW50">
        <f>0</f>
        <v>0</v>
      </c>
      <c r="BX50">
        <f>0</f>
        <v>0</v>
      </c>
      <c r="BY50">
        <f>0</f>
        <v>0</v>
      </c>
      <c r="BZ50">
        <f>0</f>
        <v>0</v>
      </c>
      <c r="CA50">
        <f>0</f>
        <v>0</v>
      </c>
      <c r="CB50">
        <f>0</f>
        <v>0</v>
      </c>
      <c r="CC50">
        <f>0</f>
        <v>0</v>
      </c>
      <c r="CD50">
        <f>0</f>
        <v>0</v>
      </c>
      <c r="CE50" t="str">
        <f>""</f>
        <v/>
      </c>
      <c r="CF50" t="str">
        <f>""</f>
        <v/>
      </c>
      <c r="CG50" t="str">
        <f>""</f>
        <v/>
      </c>
      <c r="CH50" t="str">
        <f>""</f>
        <v/>
      </c>
      <c r="CI50" t="str">
        <f>""</f>
        <v/>
      </c>
      <c r="CJ50" t="str">
        <f>""</f>
        <v/>
      </c>
      <c r="CK50" t="str">
        <f>""</f>
        <v/>
      </c>
      <c r="CL50" t="str">
        <f>""</f>
        <v/>
      </c>
      <c r="CM50" t="str">
        <f>""</f>
        <v/>
      </c>
      <c r="CN50" t="str">
        <f>""</f>
        <v/>
      </c>
      <c r="CO50" t="str">
        <f>""</f>
        <v/>
      </c>
      <c r="CP50" t="str">
        <f>""</f>
        <v/>
      </c>
      <c r="CQ50" t="str">
        <f>""</f>
        <v/>
      </c>
      <c r="CR50" t="str">
        <f>""</f>
        <v/>
      </c>
      <c r="CS50" t="str">
        <f>""</f>
        <v/>
      </c>
      <c r="CT50" t="str">
        <f>""</f>
        <v/>
      </c>
      <c r="CU50" t="str">
        <f>""</f>
        <v/>
      </c>
      <c r="CV50" t="str">
        <f>""</f>
        <v/>
      </c>
      <c r="CW50" t="str">
        <f>""</f>
        <v/>
      </c>
      <c r="CX50" t="str">
        <f>""</f>
        <v/>
      </c>
      <c r="CY50" t="str">
        <f>""</f>
        <v/>
      </c>
      <c r="CZ50" t="str">
        <f>""</f>
        <v/>
      </c>
      <c r="DA50" t="str">
        <f>""</f>
        <v/>
      </c>
      <c r="DB50" t="str">
        <f>""</f>
        <v/>
      </c>
      <c r="DC50" t="str">
        <f>""</f>
        <v/>
      </c>
      <c r="DD50" t="str">
        <f>""</f>
        <v/>
      </c>
      <c r="DE50" t="str">
        <f>""</f>
        <v/>
      </c>
      <c r="DF50" t="str">
        <f>""</f>
        <v/>
      </c>
      <c r="DG50" t="str">
        <f>""</f>
        <v/>
      </c>
      <c r="DH50" t="str">
        <f>""</f>
        <v/>
      </c>
      <c r="DI50" t="str">
        <f>""</f>
        <v/>
      </c>
      <c r="DJ50" t="str">
        <f>""</f>
        <v/>
      </c>
      <c r="DK50" t="str">
        <f>""</f>
        <v/>
      </c>
      <c r="DL50" t="str">
        <f>""</f>
        <v/>
      </c>
      <c r="DM50" t="str">
        <f>""</f>
        <v/>
      </c>
      <c r="DN50" t="str">
        <f>""</f>
        <v/>
      </c>
      <c r="DO50" t="str">
        <f>""</f>
        <v/>
      </c>
      <c r="DP50" t="str">
        <f>""</f>
        <v/>
      </c>
      <c r="DQ50" t="str">
        <f>""</f>
        <v/>
      </c>
      <c r="DR50" t="str">
        <f>""</f>
        <v/>
      </c>
      <c r="DS50" t="str">
        <f>""</f>
        <v/>
      </c>
      <c r="DT50" t="str">
        <f>""</f>
        <v/>
      </c>
      <c r="DU50" t="str">
        <f>""</f>
        <v/>
      </c>
    </row>
    <row r="51" spans="1:125">
      <c r="A51" t="str">
        <f>"    Weingarten Realty Investors"</f>
        <v xml:space="preserve">    Weingarten Realty Investors</v>
      </c>
      <c r="B51" t="str">
        <f>"WRI US Equity"</f>
        <v>WRI US Equity</v>
      </c>
      <c r="C51" t="str">
        <f t="shared" si="6"/>
        <v>IM281</v>
      </c>
      <c r="D51" t="str">
        <f t="shared" si="7"/>
        <v>IS_NON_REAL_ESTATE_INCOME</v>
      </c>
      <c r="E51" t="str">
        <f t="shared" si="8"/>
        <v>动态</v>
      </c>
      <c r="F51" t="str">
        <f ca="1">IF(AND(ISNUMBER($F$510),$B$419=1),$F$510,HLOOKUP(INDIRECT(ADDRESS(2,COLUMN())),OFFSET($BN$2,0,0,ROW()-1,60),ROW()-1,FALSE))</f>
        <v/>
      </c>
      <c r="G51">
        <f ca="1">IF(AND(ISNUMBER($G$510),$B$419=1),$G$510,HLOOKUP(INDIRECT(ADDRESS(2,COLUMN())),OFFSET($BN$2,0,0,ROW()-1,60),ROW()-1,FALSE))</f>
        <v>3.569</v>
      </c>
      <c r="H51">
        <f ca="1">IF(AND(ISNUMBER($H$510),$B$419=1),$H$510,HLOOKUP(INDIRECT(ADDRESS(2,COLUMN())),OFFSET($BN$2,0,0,ROW()-1,60),ROW()-1,FALSE))</f>
        <v>3.0459999999999998</v>
      </c>
      <c r="I51">
        <f ca="1">IF(AND(ISNUMBER($I$510),$B$419=1),$I$510,HLOOKUP(INDIRECT(ADDRESS(2,COLUMN())),OFFSET($BN$2,0,0,ROW()-1,60),ROW()-1,FALSE))</f>
        <v>3.06</v>
      </c>
      <c r="J51">
        <f ca="1">IF(AND(ISNUMBER($J$510),$B$419=1),$J$510,HLOOKUP(INDIRECT(ADDRESS(2,COLUMN())),OFFSET($BN$2,0,0,ROW()-1,60),ROW()-1,FALSE))</f>
        <v>2.8450000000000002</v>
      </c>
      <c r="K51">
        <f ca="1">IF(AND(ISNUMBER($K$510),$B$419=1),$K$510,HLOOKUP(INDIRECT(ADDRESS(2,COLUMN())),OFFSET($BN$2,0,0,ROW()-1,60),ROW()-1,FALSE))</f>
        <v>3.3559999999999999</v>
      </c>
      <c r="L51">
        <f ca="1">IF(AND(ISNUMBER($L$510),$B$419=1),$L$510,HLOOKUP(INDIRECT(ADDRESS(2,COLUMN())),OFFSET($BN$2,0,0,ROW()-1,60),ROW()-1,FALSE))</f>
        <v>2.1640000000000001</v>
      </c>
      <c r="M51">
        <f ca="1">IF(AND(ISNUMBER($M$510),$B$419=1),$M$510,HLOOKUP(INDIRECT(ADDRESS(2,COLUMN())),OFFSET($BN$2,0,0,ROW()-1,60),ROW()-1,FALSE))</f>
        <v>2.8620000000000001</v>
      </c>
      <c r="N51">
        <f ca="1">IF(AND(ISNUMBER($N$510),$B$419=1),$N$510,HLOOKUP(INDIRECT(ADDRESS(2,COLUMN())),OFFSET($BN$2,0,0,ROW()-1,60),ROW()-1,FALSE))</f>
        <v>3.9079999999999999</v>
      </c>
      <c r="O51">
        <f ca="1">IF(AND(ISNUMBER($O$510),$B$419=1),$O$510,HLOOKUP(INDIRECT(ADDRESS(2,COLUMN())),OFFSET($BN$2,0,0,ROW()-1,60),ROW()-1,FALSE))</f>
        <v>2.4119999999999999</v>
      </c>
      <c r="P51">
        <f ca="1">IF(AND(ISNUMBER($P$510),$B$419=1),$P$510,HLOOKUP(INDIRECT(ADDRESS(2,COLUMN())),OFFSET($BN$2,0,0,ROW()-1,60),ROW()-1,FALSE))</f>
        <v>2.5329999999999999</v>
      </c>
      <c r="Q51">
        <f ca="1">IF(AND(ISNUMBER($Q$510),$B$419=1),$Q$510,HLOOKUP(INDIRECT(ADDRESS(2,COLUMN())),OFFSET($BN$2,0,0,ROW()-1,60),ROW()-1,FALSE))</f>
        <v>2.4940000000000002</v>
      </c>
      <c r="R51">
        <f ca="1">IF(AND(ISNUMBER($R$510),$B$419=1),$R$510,HLOOKUP(INDIRECT(ADDRESS(2,COLUMN())),OFFSET($BN$2,0,0,ROW()-1,60),ROW()-1,FALSE))</f>
        <v>2.9409999999999998</v>
      </c>
      <c r="S51">
        <f ca="1">IF(AND(ISNUMBER($S$510),$B$419=1),$S$510,HLOOKUP(INDIRECT(ADDRESS(2,COLUMN())),OFFSET($BN$2,0,0,ROW()-1,60),ROW()-1,FALSE))</f>
        <v>3.3719999999999999</v>
      </c>
      <c r="T51">
        <f ca="1">IF(AND(ISNUMBER($T$510),$B$419=1),$T$510,HLOOKUP(INDIRECT(ADDRESS(2,COLUMN())),OFFSET($BN$2,0,0,ROW()-1,60),ROW()-1,FALSE))</f>
        <v>2.5470000000000002</v>
      </c>
      <c r="U51">
        <f ca="1">IF(AND(ISNUMBER($U$510),$B$419=1),$U$510,HLOOKUP(INDIRECT(ADDRESS(2,COLUMN())),OFFSET($BN$2,0,0,ROW()-1,60),ROW()-1,FALSE))</f>
        <v>2.4</v>
      </c>
      <c r="V51">
        <f ca="1">IF(AND(ISNUMBER($V$510),$B$419=1),$V$510,HLOOKUP(INDIRECT(ADDRESS(2,COLUMN())),OFFSET($BN$2,0,0,ROW()-1,60),ROW()-1,FALSE))</f>
        <v>2.9590000000000001</v>
      </c>
      <c r="W51">
        <f ca="1">IF(AND(ISNUMBER($W$510),$B$419=1),$W$510,HLOOKUP(INDIRECT(ADDRESS(2,COLUMN())),OFFSET($BN$2,0,0,ROW()-1,60),ROW()-1,FALSE))</f>
        <v>2.6110000000000002</v>
      </c>
      <c r="X51">
        <f ca="1">IF(AND(ISNUMBER($X$510),$B$419=1),$X$510,HLOOKUP(INDIRECT(ADDRESS(2,COLUMN())),OFFSET($BN$2,0,0,ROW()-1,60),ROW()-1,FALSE))</f>
        <v>2.9409999999999998</v>
      </c>
      <c r="Y51">
        <f ca="1">IF(AND(ISNUMBER($Y$510),$B$419=1),$Y$510,HLOOKUP(INDIRECT(ADDRESS(2,COLUMN())),OFFSET($BN$2,0,0,ROW()-1,60),ROW()-1,FALSE))</f>
        <v>3.7029999999999998</v>
      </c>
      <c r="Z51">
        <f ca="1">IF(AND(ISNUMBER($Z$510),$B$419=1),$Z$510,HLOOKUP(INDIRECT(ADDRESS(2,COLUMN())),OFFSET($BN$2,0,0,ROW()-1,60),ROW()-1,FALSE))</f>
        <v>2.6</v>
      </c>
      <c r="AA51">
        <f ca="1">IF(AND(ISNUMBER($AA$510),$B$419=1),$AA$510,HLOOKUP(INDIRECT(ADDRESS(2,COLUMN())),OFFSET($BN$2,0,0,ROW()-1,60),ROW()-1,FALSE))</f>
        <v>2.9689999999999999</v>
      </c>
      <c r="AB51">
        <f ca="1">IF(AND(ISNUMBER($AB$510),$B$419=1),$AB$510,HLOOKUP(INDIRECT(ADDRESS(2,COLUMN())),OFFSET($BN$2,0,0,ROW()-1,60),ROW()-1,FALSE))</f>
        <v>3.1080000000000001</v>
      </c>
      <c r="AC51">
        <f ca="1">IF(AND(ISNUMBER($AC$510),$B$419=1),$AC$510,HLOOKUP(INDIRECT(ADDRESS(2,COLUMN())),OFFSET($BN$2,0,0,ROW()-1,60),ROW()-1,FALSE))</f>
        <v>2.5840000000000001</v>
      </c>
      <c r="AD51">
        <f ca="1">IF(AND(ISNUMBER($AD$510),$B$419=1),$AD$510,HLOOKUP(INDIRECT(ADDRESS(2,COLUMN())),OFFSET($BN$2,0,0,ROW()-1,60),ROW()-1,FALSE))</f>
        <v>2.6989999999999998</v>
      </c>
      <c r="AE51">
        <f ca="1">IF(AND(ISNUMBER($AE$510),$B$419=1),$AE$510,HLOOKUP(INDIRECT(ADDRESS(2,COLUMN())),OFFSET($BN$2,0,0,ROW()-1,60),ROW()-1,FALSE))</f>
        <v>2.9769999999999999</v>
      </c>
      <c r="AF51">
        <f ca="1">IF(AND(ISNUMBER($AF$510),$B$419=1),$AF$510,HLOOKUP(INDIRECT(ADDRESS(2,COLUMN())),OFFSET($BN$2,0,0,ROW()-1,60),ROW()-1,FALSE))</f>
        <v>3.1230000000000002</v>
      </c>
      <c r="AG51">
        <f ca="1">IF(AND(ISNUMBER($AG$510),$B$419=1),$AG$510,HLOOKUP(INDIRECT(ADDRESS(2,COLUMN())),OFFSET($BN$2,0,0,ROW()-1,60),ROW()-1,FALSE))</f>
        <v>5.4820000000000002</v>
      </c>
      <c r="AH51">
        <f ca="1">IF(AND(ISNUMBER($AH$510),$B$419=1),$AH$510,HLOOKUP(INDIRECT(ADDRESS(2,COLUMN())),OFFSET($BN$2,0,0,ROW()-1,60),ROW()-1,FALSE))</f>
        <v>2.5459999999999998</v>
      </c>
      <c r="AI51">
        <f ca="1">IF(AND(ISNUMBER($AI$510),$B$419=1),$AI$510,HLOOKUP(INDIRECT(ADDRESS(2,COLUMN())),OFFSET($BN$2,0,0,ROW()-1,60),ROW()-1,FALSE))</f>
        <v>2.9820000000000002</v>
      </c>
      <c r="AJ51">
        <f ca="1">IF(AND(ISNUMBER($AJ$510),$B$419=1),$AJ$510,HLOOKUP(INDIRECT(ADDRESS(2,COLUMN())),OFFSET($BN$2,0,0,ROW()-1,60),ROW()-1,FALSE))</f>
        <v>4.3179999999999996</v>
      </c>
      <c r="AK51">
        <f ca="1">IF(AND(ISNUMBER($AK$510),$B$419=1),$AK$510,HLOOKUP(INDIRECT(ADDRESS(2,COLUMN())),OFFSET($BN$2,0,0,ROW()-1,60),ROW()-1,FALSE))</f>
        <v>3.4710000000000001</v>
      </c>
      <c r="AL51">
        <f ca="1">IF(AND(ISNUMBER($AL$510),$B$419=1),$AL$510,HLOOKUP(INDIRECT(ADDRESS(2,COLUMN())),OFFSET($BN$2,0,0,ROW()-1,60),ROW()-1,FALSE))</f>
        <v>3.0169999999999999</v>
      </c>
      <c r="AM51">
        <f ca="1">IF(AND(ISNUMBER($AM$510),$B$419=1),$AM$510,HLOOKUP(INDIRECT(ADDRESS(2,COLUMN())),OFFSET($BN$2,0,0,ROW()-1,60),ROW()-1,FALSE))</f>
        <v>5.7119999999999997</v>
      </c>
      <c r="AN51">
        <f ca="1">IF(AND(ISNUMBER($AN$510),$B$419=1),$AN$510,HLOOKUP(INDIRECT(ADDRESS(2,COLUMN())),OFFSET($BN$2,0,0,ROW()-1,60),ROW()-1,FALSE))</f>
        <v>4.8979999999999997</v>
      </c>
      <c r="AO51">
        <f ca="1">IF(AND(ISNUMBER($AO$510),$B$419=1),$AO$510,HLOOKUP(INDIRECT(ADDRESS(2,COLUMN())),OFFSET($BN$2,0,0,ROW()-1,60),ROW()-1,FALSE))</f>
        <v>3.3490000000000002</v>
      </c>
      <c r="AP51">
        <f ca="1">IF(AND(ISNUMBER($AP$510),$B$419=1),$AP$510,HLOOKUP(INDIRECT(ADDRESS(2,COLUMN())),OFFSET($BN$2,0,0,ROW()-1,60),ROW()-1,FALSE))</f>
        <v>4.0419999999999998</v>
      </c>
      <c r="AQ51" t="str">
        <f ca="1">IF(AND(ISNUMBER($AQ$510),$B$419=1),$AQ$510,HLOOKUP(INDIRECT(ADDRESS(2,COLUMN())),OFFSET($BN$2,0,0,ROW()-1,60),ROW()-1,FALSE))</f>
        <v/>
      </c>
      <c r="AR51" t="str">
        <f ca="1">IF(AND(ISNUMBER($AR$510),$B$419=1),$AR$510,HLOOKUP(INDIRECT(ADDRESS(2,COLUMN())),OFFSET($BN$2,0,0,ROW()-1,60),ROW()-1,FALSE))</f>
        <v/>
      </c>
      <c r="AS51" t="str">
        <f ca="1">IF(AND(ISNUMBER($AS$510),$B$419=1),$AS$510,HLOOKUP(INDIRECT(ADDRESS(2,COLUMN())),OFFSET($BN$2,0,0,ROW()-1,60),ROW()-1,FALSE))</f>
        <v/>
      </c>
      <c r="AT51" t="str">
        <f ca="1">IF(AND(ISNUMBER($AT$510),$B$419=1),$AT$510,HLOOKUP(INDIRECT(ADDRESS(2,COLUMN())),OFFSET($BN$2,0,0,ROW()-1,60),ROW()-1,FALSE))</f>
        <v/>
      </c>
      <c r="AU51" t="str">
        <f ca="1">IF(AND(ISNUMBER($AU$510),$B$419=1),$AU$510,HLOOKUP(INDIRECT(ADDRESS(2,COLUMN())),OFFSET($BN$2,0,0,ROW()-1,60),ROW()-1,FALSE))</f>
        <v/>
      </c>
      <c r="AV51" t="str">
        <f ca="1">IF(AND(ISNUMBER($AV$510),$B$419=1),$AV$510,HLOOKUP(INDIRECT(ADDRESS(2,COLUMN())),OFFSET($BN$2,0,0,ROW()-1,60),ROW()-1,FALSE))</f>
        <v/>
      </c>
      <c r="AW51" t="str">
        <f ca="1">IF(AND(ISNUMBER($AW$510),$B$419=1),$AW$510,HLOOKUP(INDIRECT(ADDRESS(2,COLUMN())),OFFSET($BN$2,0,0,ROW()-1,60),ROW()-1,FALSE))</f>
        <v/>
      </c>
      <c r="AX51" t="str">
        <f ca="1">IF(AND(ISNUMBER($AX$510),$B$419=1),$AX$510,HLOOKUP(INDIRECT(ADDRESS(2,COLUMN())),OFFSET($BN$2,0,0,ROW()-1,60),ROW()-1,FALSE))</f>
        <v/>
      </c>
      <c r="AY51" t="str">
        <f ca="1">IF(AND(ISNUMBER($AY$510),$B$419=1),$AY$510,HLOOKUP(INDIRECT(ADDRESS(2,COLUMN())),OFFSET($BN$2,0,0,ROW()-1,60),ROW()-1,FALSE))</f>
        <v/>
      </c>
      <c r="AZ51" t="str">
        <f ca="1">IF(AND(ISNUMBER($AZ$510),$B$419=1),$AZ$510,HLOOKUP(INDIRECT(ADDRESS(2,COLUMN())),OFFSET($BN$2,0,0,ROW()-1,60),ROW()-1,FALSE))</f>
        <v/>
      </c>
      <c r="BA51" t="str">
        <f ca="1">IF(AND(ISNUMBER($BA$510),$B$419=1),$BA$510,HLOOKUP(INDIRECT(ADDRESS(2,COLUMN())),OFFSET($BN$2,0,0,ROW()-1,60),ROW()-1,FALSE))</f>
        <v/>
      </c>
      <c r="BB51" t="str">
        <f ca="1">IF(AND(ISNUMBER($BB$510),$B$419=1),$BB$510,HLOOKUP(INDIRECT(ADDRESS(2,COLUMN())),OFFSET($BN$2,0,0,ROW()-1,60),ROW()-1,FALSE))</f>
        <v/>
      </c>
      <c r="BC51" t="str">
        <f ca="1">IF(AND(ISNUMBER($BC$510),$B$419=1),$BC$510,HLOOKUP(INDIRECT(ADDRESS(2,COLUMN())),OFFSET($BN$2,0,0,ROW()-1,60),ROW()-1,FALSE))</f>
        <v/>
      </c>
      <c r="BD51" t="str">
        <f ca="1">IF(AND(ISNUMBER($BD$510),$B$419=1),$BD$510,HLOOKUP(INDIRECT(ADDRESS(2,COLUMN())),OFFSET($BN$2,0,0,ROW()-1,60),ROW()-1,FALSE))</f>
        <v/>
      </c>
      <c r="BE51" t="str">
        <f ca="1">IF(AND(ISNUMBER($BE$510),$B$419=1),$BE$510,HLOOKUP(INDIRECT(ADDRESS(2,COLUMN())),OFFSET($BN$2,0,0,ROW()-1,60),ROW()-1,FALSE))</f>
        <v/>
      </c>
      <c r="BF51" t="str">
        <f ca="1">IF(AND(ISNUMBER($BF$510),$B$419=1),$BF$510,HLOOKUP(INDIRECT(ADDRESS(2,COLUMN())),OFFSET($BN$2,0,0,ROW()-1,60),ROW()-1,FALSE))</f>
        <v/>
      </c>
      <c r="BG51" t="str">
        <f ca="1">IF(AND(ISNUMBER($BG$510),$B$419=1),$BG$510,HLOOKUP(INDIRECT(ADDRESS(2,COLUMN())),OFFSET($BN$2,0,0,ROW()-1,60),ROW()-1,FALSE))</f>
        <v/>
      </c>
      <c r="BH51" t="str">
        <f ca="1">IF(AND(ISNUMBER($BH$510),$B$419=1),$BH$510,HLOOKUP(INDIRECT(ADDRESS(2,COLUMN())),OFFSET($BN$2,0,0,ROW()-1,60),ROW()-1,FALSE))</f>
        <v/>
      </c>
      <c r="BI51" t="str">
        <f ca="1">IF(AND(ISNUMBER($BI$510),$B$419=1),$BI$510,HLOOKUP(INDIRECT(ADDRESS(2,COLUMN())),OFFSET($BN$2,0,0,ROW()-1,60),ROW()-1,FALSE))</f>
        <v/>
      </c>
      <c r="BJ51" t="str">
        <f ca="1">IF(AND(ISNUMBER($BJ$510),$B$419=1),$BJ$510,HLOOKUP(INDIRECT(ADDRESS(2,COLUMN())),OFFSET($BN$2,0,0,ROW()-1,60),ROW()-1,FALSE))</f>
        <v/>
      </c>
      <c r="BK51" t="str">
        <f ca="1">IF(AND(ISNUMBER($BK$510),$B$419=1),$BK$510,HLOOKUP(INDIRECT(ADDRESS(2,COLUMN())),OFFSET($BN$2,0,0,ROW()-1,60),ROW()-1,FALSE))</f>
        <v/>
      </c>
      <c r="BL51" t="str">
        <f ca="1">IF(AND(ISNUMBER($BL$510),$B$419=1),$BL$510,HLOOKUP(INDIRECT(ADDRESS(2,COLUMN())),OFFSET($BN$2,0,0,ROW()-1,60),ROW()-1,FALSE))</f>
        <v/>
      </c>
      <c r="BM51" t="str">
        <f ca="1">IF(AND(ISNUMBER($BM$510),$B$419=1),$BM$510,HLOOKUP(INDIRECT(ADDRESS(2,COLUMN())),OFFSET($BN$2,0,0,ROW()-1,60),ROW()-1,FALSE))</f>
        <v/>
      </c>
      <c r="BN51" t="str">
        <f>""</f>
        <v/>
      </c>
      <c r="BO51">
        <f>3.569</f>
        <v>3.569</v>
      </c>
      <c r="BP51">
        <f>3.046</f>
        <v>3.0459999999999998</v>
      </c>
      <c r="BQ51">
        <f>3.06</f>
        <v>3.06</v>
      </c>
      <c r="BR51">
        <f>2.845</f>
        <v>2.8450000000000002</v>
      </c>
      <c r="BS51">
        <f>3.356</f>
        <v>3.3559999999999999</v>
      </c>
      <c r="BT51">
        <f>2.164</f>
        <v>2.1640000000000001</v>
      </c>
      <c r="BU51">
        <f>2.862</f>
        <v>2.8620000000000001</v>
      </c>
      <c r="BV51">
        <f>3.908</f>
        <v>3.9079999999999999</v>
      </c>
      <c r="BW51">
        <f>2.412</f>
        <v>2.4119999999999999</v>
      </c>
      <c r="BX51">
        <f>2.533</f>
        <v>2.5329999999999999</v>
      </c>
      <c r="BY51">
        <f>2.494</f>
        <v>2.4940000000000002</v>
      </c>
      <c r="BZ51">
        <f>2.941</f>
        <v>2.9409999999999998</v>
      </c>
      <c r="CA51">
        <f>3.372</f>
        <v>3.3719999999999999</v>
      </c>
      <c r="CB51">
        <f>2.547</f>
        <v>2.5470000000000002</v>
      </c>
      <c r="CC51">
        <f>2.4</f>
        <v>2.4</v>
      </c>
      <c r="CD51">
        <f>2.959</f>
        <v>2.9590000000000001</v>
      </c>
      <c r="CE51">
        <f>2.611</f>
        <v>2.6110000000000002</v>
      </c>
      <c r="CF51">
        <f>2.941</f>
        <v>2.9409999999999998</v>
      </c>
      <c r="CG51">
        <f>3.703</f>
        <v>3.7029999999999998</v>
      </c>
      <c r="CH51">
        <f>2.6</f>
        <v>2.6</v>
      </c>
      <c r="CI51">
        <f>2.969</f>
        <v>2.9689999999999999</v>
      </c>
      <c r="CJ51">
        <f>3.108</f>
        <v>3.1080000000000001</v>
      </c>
      <c r="CK51">
        <f>2.584</f>
        <v>2.5840000000000001</v>
      </c>
      <c r="CL51">
        <f>2.699</f>
        <v>2.6989999999999998</v>
      </c>
      <c r="CM51">
        <f>2.977</f>
        <v>2.9769999999999999</v>
      </c>
      <c r="CN51">
        <f>3.123</f>
        <v>3.1230000000000002</v>
      </c>
      <c r="CO51">
        <f>5.482</f>
        <v>5.4820000000000002</v>
      </c>
      <c r="CP51">
        <f>2.546</f>
        <v>2.5459999999999998</v>
      </c>
      <c r="CQ51">
        <f>2.982</f>
        <v>2.9820000000000002</v>
      </c>
      <c r="CR51">
        <f>4.318</f>
        <v>4.3179999999999996</v>
      </c>
      <c r="CS51">
        <f>3.471</f>
        <v>3.4710000000000001</v>
      </c>
      <c r="CT51">
        <f>3.017</f>
        <v>3.0169999999999999</v>
      </c>
      <c r="CU51">
        <f>5.712</f>
        <v>5.7119999999999997</v>
      </c>
      <c r="CV51">
        <f>4.898</f>
        <v>4.8979999999999997</v>
      </c>
      <c r="CW51">
        <f>3.349</f>
        <v>3.3490000000000002</v>
      </c>
      <c r="CX51">
        <f>4.042</f>
        <v>4.0419999999999998</v>
      </c>
      <c r="CY51" t="str">
        <f>""</f>
        <v/>
      </c>
      <c r="CZ51" t="str">
        <f>""</f>
        <v/>
      </c>
      <c r="DA51" t="str">
        <f>""</f>
        <v/>
      </c>
      <c r="DB51" t="str">
        <f>""</f>
        <v/>
      </c>
      <c r="DC51" t="str">
        <f>""</f>
        <v/>
      </c>
      <c r="DD51" t="str">
        <f>""</f>
        <v/>
      </c>
      <c r="DE51" t="str">
        <f>""</f>
        <v/>
      </c>
      <c r="DF51" t="str">
        <f>""</f>
        <v/>
      </c>
      <c r="DG51" t="str">
        <f>""</f>
        <v/>
      </c>
      <c r="DH51" t="str">
        <f>""</f>
        <v/>
      </c>
      <c r="DI51" t="str">
        <f>""</f>
        <v/>
      </c>
      <c r="DJ51" t="str">
        <f>""</f>
        <v/>
      </c>
      <c r="DK51" t="str">
        <f>""</f>
        <v/>
      </c>
      <c r="DL51" t="str">
        <f>""</f>
        <v/>
      </c>
      <c r="DM51" t="str">
        <f>""</f>
        <v/>
      </c>
      <c r="DN51" t="str">
        <f>""</f>
        <v/>
      </c>
      <c r="DO51" t="str">
        <f>""</f>
        <v/>
      </c>
      <c r="DP51" t="str">
        <f>""</f>
        <v/>
      </c>
      <c r="DQ51" t="str">
        <f>""</f>
        <v/>
      </c>
      <c r="DR51" t="str">
        <f>""</f>
        <v/>
      </c>
      <c r="DS51" t="str">
        <f>""</f>
        <v/>
      </c>
      <c r="DT51" t="str">
        <f>""</f>
        <v/>
      </c>
      <c r="DU51" t="str">
        <f>""</f>
        <v/>
      </c>
    </row>
    <row r="52" spans="1:125">
      <c r="A52" t="str">
        <f>"总收入"</f>
        <v>总收入</v>
      </c>
      <c r="B52" t="str">
        <f>""</f>
        <v/>
      </c>
      <c r="E52" t="str">
        <f>"Median"</f>
        <v>Median</v>
      </c>
      <c r="F52" t="str">
        <f ca="1">IF(ISERROR(IF(MEDIAN($F$53:$F$67) = 0, "", MEDIAN($F$53:$F$67))), "", (IF(MEDIAN($F$53:$F$67) = 0, "", MEDIAN($F$53:$F$67))))</f>
        <v/>
      </c>
      <c r="G52">
        <f ca="1">IF(ISERROR(IF(MEDIAN($G$53:$G$67) = 0, "", MEDIAN($G$53:$G$67))), "", (IF(MEDIAN($G$53:$G$67) = 0, "", MEDIAN($G$53:$G$67))))</f>
        <v>223.95699999999999</v>
      </c>
      <c r="H52">
        <f ca="1">IF(ISERROR(IF(MEDIAN($H$53:$H$67) = 0, "", MEDIAN($H$53:$H$67))), "", (IF(MEDIAN($H$53:$H$67) = 0, "", MEDIAN($H$53:$H$67))))</f>
        <v>224.65</v>
      </c>
      <c r="I52">
        <f ca="1">IF(ISERROR(IF(MEDIAN($I$53:$I$67) = 0, "", MEDIAN($I$53:$I$67))), "", (IF(MEDIAN($I$53:$I$67) = 0, "", MEDIAN($I$53:$I$67))))</f>
        <v>229.233</v>
      </c>
      <c r="J52">
        <f ca="1">IF(ISERROR(IF(MEDIAN($J$53:$J$67) = 0, "", MEDIAN($J$53:$J$67))), "", (IF(MEDIAN($J$53:$J$67) = 0, "", MEDIAN($J$53:$J$67))))</f>
        <v>207.38900000000001</v>
      </c>
      <c r="K52">
        <f ca="1">IF(ISERROR(IF(MEDIAN($K$53:$K$67) = 0, "", MEDIAN($K$53:$K$67))), "", (IF(MEDIAN($K$53:$K$67) = 0, "", MEDIAN($K$53:$K$67))))</f>
        <v>217.785</v>
      </c>
      <c r="L52">
        <f ca="1">IF(ISERROR(IF(MEDIAN($L$53:$L$67) = 0, "", MEDIAN($L$53:$L$67))), "", (IF(MEDIAN($L$53:$L$67) = 0, "", MEDIAN($L$53:$L$67))))</f>
        <v>209.922</v>
      </c>
      <c r="M52">
        <f ca="1">IF(ISERROR(IF(MEDIAN($M$53:$M$67) = 0, "", MEDIAN($M$53:$M$67))), "", (IF(MEDIAN($M$53:$M$67) = 0, "", MEDIAN($M$53:$M$67))))</f>
        <v>205.738</v>
      </c>
      <c r="N52">
        <f ca="1">IF(ISERROR(IF(MEDIAN($N$53:$N$67) = 0, "", MEDIAN($N$53:$N$67))), "", (IF(MEDIAN($N$53:$N$67) = 0, "", MEDIAN($N$53:$N$67))))</f>
        <v>210.03100000000001</v>
      </c>
      <c r="O52">
        <f ca="1">IF(ISERROR(IF(MEDIAN($O$53:$O$67) = 0, "", MEDIAN($O$53:$O$67))), "", (IF(MEDIAN($O$53:$O$67) = 0, "", MEDIAN($O$53:$O$67))))</f>
        <v>229.37700000000001</v>
      </c>
      <c r="P52">
        <f ca="1">IF(ISERROR(IF(MEDIAN($P$53:$P$67) = 0, "", MEDIAN($P$53:$P$67))), "", (IF(MEDIAN($P$53:$P$67) = 0, "", MEDIAN($P$53:$P$67))))</f>
        <v>216.739</v>
      </c>
      <c r="Q52">
        <f ca="1">IF(ISERROR(IF(MEDIAN($Q$53:$Q$67) = 0, "", MEDIAN($Q$53:$Q$67))), "", (IF(MEDIAN($Q$53:$Q$67) = 0, "", MEDIAN($Q$53:$Q$67))))</f>
        <v>237.52799999999999</v>
      </c>
      <c r="R52">
        <f ca="1">IF(ISERROR(IF(MEDIAN($R$53:$R$67) = 0, "", MEDIAN($R$53:$R$67))), "", (IF(MEDIAN($R$53:$R$67) = 0, "", MEDIAN($R$53:$R$67))))</f>
        <v>237.71799999999999</v>
      </c>
      <c r="S52">
        <f ca="1">IF(ISERROR(IF(MEDIAN($S$53:$S$67) = 0, "", MEDIAN($S$53:$S$67))), "", (IF(MEDIAN($S$53:$S$67) = 0, "", MEDIAN($S$53:$S$67))))</f>
        <v>177.298</v>
      </c>
      <c r="T52">
        <f ca="1">IF(ISERROR(IF(MEDIAN($T$53:$T$67) = 0, "", MEDIAN($T$53:$T$67))), "", (IF(MEDIAN($T$53:$T$67) = 0, "", MEDIAN($T$53:$T$67))))</f>
        <v>170.93799999999999</v>
      </c>
      <c r="U52">
        <f ca="1">IF(ISERROR(IF(MEDIAN($U$53:$U$67) = 0, "", MEDIAN($U$53:$U$67))), "", (IF(MEDIAN($U$53:$U$67) = 0, "", MEDIAN($U$53:$U$67))))</f>
        <v>167.947</v>
      </c>
      <c r="V52">
        <f ca="1">IF(ISERROR(IF(MEDIAN($V$53:$V$67) = 0, "", MEDIAN($V$53:$V$67))), "", (IF(MEDIAN($V$53:$V$67) = 0, "", MEDIAN($V$53:$V$67))))</f>
        <v>170.828</v>
      </c>
      <c r="W52">
        <f ca="1">IF(ISERROR(IF(MEDIAN($W$53:$W$67) = 0, "", MEDIAN($W$53:$W$67))), "", (IF(MEDIAN($W$53:$W$67) = 0, "", MEDIAN($W$53:$W$67))))</f>
        <v>157.26749999999998</v>
      </c>
      <c r="X52">
        <f ca="1">IF(ISERROR(IF(MEDIAN($X$53:$X$67) = 0, "", MEDIAN($X$53:$X$67))), "", (IF(MEDIAN($X$53:$X$67) = 0, "", MEDIAN($X$53:$X$67))))</f>
        <v>147.57749999999999</v>
      </c>
      <c r="Y52">
        <f ca="1">IF(ISERROR(IF(MEDIAN($Y$53:$Y$67) = 0, "", MEDIAN($Y$53:$Y$67))), "", (IF(MEDIAN($Y$53:$Y$67) = 0, "", MEDIAN($Y$53:$Y$67))))</f>
        <v>144.85399999999998</v>
      </c>
      <c r="Z52">
        <f ca="1">IF(ISERROR(IF(MEDIAN($Z$53:$Z$67) = 0, "", MEDIAN($Z$53:$Z$67))), "", (IF(MEDIAN($Z$53:$Z$67) = 0, "", MEDIAN($Z$53:$Z$67))))</f>
        <v>144.60500000000002</v>
      </c>
      <c r="AA52">
        <f ca="1">IF(ISERROR(IF(MEDIAN($AA$53:$AA$67) = 0, "", MEDIAN($AA$53:$AA$67))), "", (IF(MEDIAN($AA$53:$AA$67) = 0, "", MEDIAN($AA$53:$AA$67))))</f>
        <v>133.881</v>
      </c>
      <c r="AB52">
        <f ca="1">IF(ISERROR(IF(MEDIAN($AB$53:$AB$67) = 0, "", MEDIAN($AB$53:$AB$67))), "", (IF(MEDIAN($AB$53:$AB$67) = 0, "", MEDIAN($AB$53:$AB$67))))</f>
        <v>130.58449999999999</v>
      </c>
      <c r="AC52">
        <f ca="1">IF(ISERROR(IF(MEDIAN($AC$53:$AC$67) = 0, "", MEDIAN($AC$53:$AC$67))), "", (IF(MEDIAN($AC$53:$AC$67) = 0, "", MEDIAN($AC$53:$AC$67))))</f>
        <v>132.876</v>
      </c>
      <c r="AD52">
        <f ca="1">IF(ISERROR(IF(MEDIAN($AD$53:$AD$67) = 0, "", MEDIAN($AD$53:$AD$67))), "", (IF(MEDIAN($AD$53:$AD$67) = 0, "", MEDIAN($AD$53:$AD$67))))</f>
        <v>134.56450000000001</v>
      </c>
      <c r="AE52">
        <f ca="1">IF(ISERROR(IF(MEDIAN($AE$53:$AE$67) = 0, "", MEDIAN($AE$53:$AE$67))), "", (IF(MEDIAN($AE$53:$AE$67) = 0, "", MEDIAN($AE$53:$AE$67))))</f>
        <v>123.59699999999999</v>
      </c>
      <c r="AF52">
        <f ca="1">IF(ISERROR(IF(MEDIAN($AF$53:$AF$67) = 0, "", MEDIAN($AF$53:$AF$67))), "", (IF(MEDIAN($AF$53:$AF$67) = 0, "", MEDIAN($AF$53:$AF$67))))</f>
        <v>123.02</v>
      </c>
      <c r="AG52">
        <f ca="1">IF(ISERROR(IF(MEDIAN($AG$53:$AG$67) = 0, "", MEDIAN($AG$53:$AG$67))), "", (IF(MEDIAN($AG$53:$AG$67) = 0, "", MEDIAN($AG$53:$AG$67))))</f>
        <v>124.643</v>
      </c>
      <c r="AH52">
        <f ca="1">IF(ISERROR(IF(MEDIAN($AH$53:$AH$67) = 0, "", MEDIAN($AH$53:$AH$67))), "", (IF(MEDIAN($AH$53:$AH$67) = 0, "", MEDIAN($AH$53:$AH$67))))</f>
        <v>124.328</v>
      </c>
      <c r="AI52">
        <f ca="1">IF(ISERROR(IF(MEDIAN($AI$53:$AI$67) = 0, "", MEDIAN($AI$53:$AI$67))), "", (IF(MEDIAN($AI$53:$AI$67) = 0, "", MEDIAN($AI$53:$AI$67))))</f>
        <v>136.08100000000002</v>
      </c>
      <c r="AJ52">
        <f ca="1">IF(ISERROR(IF(MEDIAN($AJ$53:$AJ$67) = 0, "", MEDIAN($AJ$53:$AJ$67))), "", (IF(MEDIAN($AJ$53:$AJ$67) = 0, "", MEDIAN($AJ$53:$AJ$67))))</f>
        <v>133.78199999999998</v>
      </c>
      <c r="AK52">
        <f ca="1">IF(ISERROR(IF(MEDIAN($AK$53:$AK$67) = 0, "", MEDIAN($AK$53:$AK$67))), "", (IF(MEDIAN($AK$53:$AK$67) = 0, "", MEDIAN($AK$53:$AK$67))))</f>
        <v>135.5035</v>
      </c>
      <c r="AL52">
        <f ca="1">IF(ISERROR(IF(MEDIAN($AL$53:$AL$67) = 0, "", MEDIAN($AL$53:$AL$67))), "", (IF(MEDIAN($AL$53:$AL$67) = 0, "", MEDIAN($AL$53:$AL$67))))</f>
        <v>137.10499999999999</v>
      </c>
      <c r="AM52">
        <f ca="1">IF(ISERROR(IF(MEDIAN($AM$53:$AM$67) = 0, "", MEDIAN($AM$53:$AM$67))), "", (IF(MEDIAN($AM$53:$AM$67) = 0, "", MEDIAN($AM$53:$AM$67))))</f>
        <v>140.29349999999999</v>
      </c>
      <c r="AN52">
        <f ca="1">IF(ISERROR(IF(MEDIAN($AN$53:$AN$67) = 0, "", MEDIAN($AN$53:$AN$67))), "", (IF(MEDIAN($AN$53:$AN$67) = 0, "", MEDIAN($AN$53:$AN$67))))</f>
        <v>143.07300000000001</v>
      </c>
      <c r="AO52">
        <f ca="1">IF(ISERROR(IF(MEDIAN($AO$53:$AO$67) = 0, "", MEDIAN($AO$53:$AO$67))), "", (IF(MEDIAN($AO$53:$AO$67) = 0, "", MEDIAN($AO$53:$AO$67))))</f>
        <v>136.37649999999999</v>
      </c>
      <c r="AP52">
        <f ca="1">IF(ISERROR(IF(MEDIAN($AP$53:$AP$67) = 0, "", MEDIAN($AP$53:$AP$67))), "", (IF(MEDIAN($AP$53:$AP$67) = 0, "", MEDIAN($AP$53:$AP$67))))</f>
        <v>137.72899999999998</v>
      </c>
      <c r="AQ52">
        <f ca="1">IF(ISERROR(IF(MEDIAN($AQ$53:$AQ$67) = 0, "", MEDIAN($AQ$53:$AQ$67))), "", (IF(MEDIAN($AQ$53:$AQ$67) = 0, "", MEDIAN($AQ$53:$AQ$67))))</f>
        <v>143.1559895</v>
      </c>
      <c r="AR52">
        <f ca="1">IF(ISERROR(IF(MEDIAN($AR$53:$AR$67) = 0, "", MEDIAN($AR$53:$AR$67))), "", (IF(MEDIAN($AR$53:$AR$67) = 0, "", MEDIAN($AR$53:$AR$67))))</f>
        <v>142.83699999999999</v>
      </c>
      <c r="AS52">
        <f ca="1">IF(ISERROR(IF(MEDIAN($AS$53:$AS$67) = 0, "", MEDIAN($AS$53:$AS$67))), "", (IF(MEDIAN($AS$53:$AS$67) = 0, "", MEDIAN($AS$53:$AS$67))))</f>
        <v>140.49799999999999</v>
      </c>
      <c r="AT52">
        <f ca="1">IF(ISERROR(IF(MEDIAN($AT$53:$AT$67) = 0, "", MEDIAN($AT$53:$AT$67))), "", (IF(MEDIAN($AT$53:$AT$67) = 0, "", MEDIAN($AT$53:$AT$67))))</f>
        <v>138.93549999999999</v>
      </c>
      <c r="AU52">
        <f ca="1">IF(ISERROR(IF(MEDIAN($AU$53:$AU$67) = 0, "", MEDIAN($AU$53:$AU$67))), "", (IF(MEDIAN($AU$53:$AU$67) = 0, "", MEDIAN($AU$53:$AU$67))))</f>
        <v>138.53450000000001</v>
      </c>
      <c r="AV52">
        <f ca="1">IF(ISERROR(IF(MEDIAN($AV$53:$AV$67) = 0, "", MEDIAN($AV$53:$AV$67))), "", (IF(MEDIAN($AV$53:$AV$67) = 0, "", MEDIAN($AV$53:$AV$67))))</f>
        <v>138.2465</v>
      </c>
      <c r="AW52">
        <f ca="1">IF(ISERROR(IF(MEDIAN($AW$53:$AW$67) = 0, "", MEDIAN($AW$53:$AW$67))), "", (IF(MEDIAN($AW$53:$AW$67) = 0, "", MEDIAN($AW$53:$AW$67))))</f>
        <v>130.6885</v>
      </c>
      <c r="AX52">
        <f ca="1">IF(ISERROR(IF(MEDIAN($AX$53:$AX$67) = 0, "", MEDIAN($AX$53:$AX$67))), "", (IF(MEDIAN($AX$53:$AX$67) = 0, "", MEDIAN($AX$53:$AX$67))))</f>
        <v>129.94400000000002</v>
      </c>
      <c r="AY52">
        <f ca="1">IF(ISERROR(IF(MEDIAN($AY$53:$AY$67) = 0, "", MEDIAN($AY$53:$AY$67))), "", (IF(MEDIAN($AY$53:$AY$67) = 0, "", MEDIAN($AY$53:$AY$67))))</f>
        <v>127.04150000000001</v>
      </c>
      <c r="AZ52">
        <f ca="1">IF(ISERROR(IF(MEDIAN($AZ$53:$AZ$67) = 0, "", MEDIAN($AZ$53:$AZ$67))), "", (IF(MEDIAN($AZ$53:$AZ$67) = 0, "", MEDIAN($AZ$53:$AZ$67))))</f>
        <v>125.654</v>
      </c>
      <c r="BA52">
        <f ca="1">IF(ISERROR(IF(MEDIAN($BA$53:$BA$67) = 0, "", MEDIAN($BA$53:$BA$67))), "", (IF(MEDIAN($BA$53:$BA$67) = 0, "", MEDIAN($BA$53:$BA$67))))</f>
        <v>120.70350000000001</v>
      </c>
      <c r="BB52">
        <f ca="1">IF(ISERROR(IF(MEDIAN($BB$53:$BB$67) = 0, "", MEDIAN($BB$53:$BB$67))), "", (IF(MEDIAN($BB$53:$BB$67) = 0, "", MEDIAN($BB$53:$BB$67))))</f>
        <v>120.694</v>
      </c>
      <c r="BC52">
        <f ca="1">IF(ISERROR(IF(MEDIAN($BC$53:$BC$67) = 0, "", MEDIAN($BC$53:$BC$67))), "", (IF(MEDIAN($BC$53:$BC$67) = 0, "", MEDIAN($BC$53:$BC$67))))</f>
        <v>113.8895</v>
      </c>
      <c r="BD52">
        <f ca="1">IF(ISERROR(IF(MEDIAN($BD$53:$BD$67) = 0, "", MEDIAN($BD$53:$BD$67))), "", (IF(MEDIAN($BD$53:$BD$67) = 0, "", MEDIAN($BD$53:$BD$67))))</f>
        <v>116.47</v>
      </c>
      <c r="BE52">
        <f ca="1">IF(ISERROR(IF(MEDIAN($BE$53:$BE$67) = 0, "", MEDIAN($BE$53:$BE$67))), "", (IF(MEDIAN($BE$53:$BE$67) = 0, "", MEDIAN($BE$53:$BE$67))))</f>
        <v>118.8925</v>
      </c>
      <c r="BF52">
        <f ca="1">IF(ISERROR(IF(MEDIAN($BF$53:$BF$67) = 0, "", MEDIAN($BF$53:$BF$67))), "", (IF(MEDIAN($BF$53:$BF$67) = 0, "", MEDIAN($BF$53:$BF$67))))</f>
        <v>115.89099999999999</v>
      </c>
      <c r="BG52">
        <f ca="1">IF(ISERROR(IF(MEDIAN($BG$53:$BG$67) = 0, "", MEDIAN($BG$53:$BG$67))), "", (IF(MEDIAN($BG$53:$BG$67) = 0, "", MEDIAN($BG$53:$BG$67))))</f>
        <v>117.4845</v>
      </c>
      <c r="BH52">
        <f ca="1">IF(ISERROR(IF(MEDIAN($BH$53:$BH$67) = 0, "", MEDIAN($BH$53:$BH$67))), "", (IF(MEDIAN($BH$53:$BH$67) = 0, "", MEDIAN($BH$53:$BH$67))))</f>
        <v>113.1865</v>
      </c>
      <c r="BI52">
        <f ca="1">IF(ISERROR(IF(MEDIAN($BI$53:$BI$67) = 0, "", MEDIAN($BI$53:$BI$67))), "", (IF(MEDIAN($BI$53:$BI$67) = 0, "", MEDIAN($BI$53:$BI$67))))</f>
        <v>110.68700029999999</v>
      </c>
      <c r="BJ52">
        <f ca="1">IF(ISERROR(IF(MEDIAN($BJ$53:$BJ$67) = 0, "", MEDIAN($BJ$53:$BJ$67))), "", (IF(MEDIAN($BJ$53:$BJ$67) = 0, "", MEDIAN($BJ$53:$BJ$67))))</f>
        <v>106.08949849999999</v>
      </c>
      <c r="BK52">
        <f ca="1">IF(ISERROR(IF(MEDIAN($BK$53:$BK$67) = 0, "", MEDIAN($BK$53:$BK$67))), "", (IF(MEDIAN($BK$53:$BK$67) = 0, "", MEDIAN($BK$53:$BK$67))))</f>
        <v>104.4385</v>
      </c>
      <c r="BL52">
        <f ca="1">IF(ISERROR(IF(MEDIAN($BL$53:$BL$67) = 0, "", MEDIAN($BL$53:$BL$67))), "", (IF(MEDIAN($BL$53:$BL$67) = 0, "", MEDIAN($BL$53:$BL$67))))</f>
        <v>97.554500499999989</v>
      </c>
      <c r="BM52">
        <f ca="1">IF(ISERROR(IF(MEDIAN($BM$53:$BM$67) = 0, "", MEDIAN($BM$53:$BM$67))), "", (IF(MEDIAN($BM$53:$BM$67) = 0, "", MEDIAN($BM$53:$BM$67))))</f>
        <v>95.604000000000013</v>
      </c>
      <c r="BN52" t="str">
        <f>""</f>
        <v/>
      </c>
      <c r="BO52">
        <f>223.957</f>
        <v>223.95699999999999</v>
      </c>
      <c r="BP52">
        <f>224.65</f>
        <v>224.65</v>
      </c>
      <c r="BQ52">
        <f>229.233</f>
        <v>229.233</v>
      </c>
      <c r="BR52">
        <f>207.389</f>
        <v>207.38900000000001</v>
      </c>
      <c r="BS52">
        <f>217.785</f>
        <v>217.785</v>
      </c>
      <c r="BT52">
        <f>209.922</f>
        <v>209.922</v>
      </c>
      <c r="BU52">
        <f>205.738</f>
        <v>205.738</v>
      </c>
      <c r="BV52">
        <f>210.031</f>
        <v>210.03100000000001</v>
      </c>
      <c r="BW52">
        <f>229.377</f>
        <v>229.37700000000001</v>
      </c>
      <c r="BX52">
        <f>216.739</f>
        <v>216.739</v>
      </c>
      <c r="BY52">
        <f>237.528</f>
        <v>237.52799999999999</v>
      </c>
      <c r="BZ52">
        <f>237.718</f>
        <v>237.71799999999999</v>
      </c>
      <c r="CA52">
        <f>177.298</f>
        <v>177.298</v>
      </c>
      <c r="CB52">
        <f>170.938</f>
        <v>170.93799999999999</v>
      </c>
      <c r="CC52">
        <f>167.947</f>
        <v>167.947</v>
      </c>
      <c r="CD52">
        <f>170.828</f>
        <v>170.828</v>
      </c>
      <c r="CE52">
        <f>157.2675</f>
        <v>157.26750000000001</v>
      </c>
      <c r="CF52">
        <f>147.5775</f>
        <v>147.57749999999999</v>
      </c>
      <c r="CG52">
        <f>144.854</f>
        <v>144.85400000000001</v>
      </c>
      <c r="CH52">
        <f>144.605</f>
        <v>144.60499999999999</v>
      </c>
      <c r="CI52">
        <f>133.881</f>
        <v>133.881</v>
      </c>
      <c r="CJ52">
        <f>130.5845</f>
        <v>130.58449999999999</v>
      </c>
      <c r="CK52">
        <f>132.876</f>
        <v>132.876</v>
      </c>
      <c r="CL52">
        <f>134.5645</f>
        <v>134.56450000000001</v>
      </c>
      <c r="CM52">
        <f>123.597</f>
        <v>123.59699999999999</v>
      </c>
      <c r="CN52">
        <f>123.02</f>
        <v>123.02</v>
      </c>
      <c r="CO52">
        <f>124.643</f>
        <v>124.643</v>
      </c>
      <c r="CP52">
        <f>124.328</f>
        <v>124.328</v>
      </c>
      <c r="CQ52">
        <f>136.081</f>
        <v>136.08099999999999</v>
      </c>
      <c r="CR52">
        <f>133.782</f>
        <v>133.78200000000001</v>
      </c>
      <c r="CS52">
        <f>135.5035</f>
        <v>135.5035</v>
      </c>
      <c r="CT52">
        <f>137.105</f>
        <v>137.10499999999999</v>
      </c>
      <c r="CU52">
        <f>140.2935</f>
        <v>140.29349999999999</v>
      </c>
      <c r="CV52">
        <f>143.073</f>
        <v>143.07300000000001</v>
      </c>
      <c r="CW52">
        <f>136.3765</f>
        <v>136.37649999999999</v>
      </c>
      <c r="CX52">
        <f>137.729</f>
        <v>137.72900000000001</v>
      </c>
      <c r="CY52">
        <f>143.1559895</f>
        <v>143.1559895</v>
      </c>
      <c r="CZ52">
        <f>142.837</f>
        <v>142.83699999999999</v>
      </c>
      <c r="DA52">
        <f>140.498</f>
        <v>140.49799999999999</v>
      </c>
      <c r="DB52">
        <f>138.9355</f>
        <v>138.93549999999999</v>
      </c>
      <c r="DC52">
        <f>138.5345</f>
        <v>138.53450000000001</v>
      </c>
      <c r="DD52">
        <f>138.2465</f>
        <v>138.2465</v>
      </c>
      <c r="DE52">
        <f>130.6885</f>
        <v>130.6885</v>
      </c>
      <c r="DF52">
        <f>129.944</f>
        <v>129.94399999999999</v>
      </c>
      <c r="DG52">
        <f>127.0415</f>
        <v>127.0415</v>
      </c>
      <c r="DH52">
        <f>125.654</f>
        <v>125.654</v>
      </c>
      <c r="DI52">
        <f>120.7035</f>
        <v>120.70350000000001</v>
      </c>
      <c r="DJ52">
        <f>120.694</f>
        <v>120.694</v>
      </c>
      <c r="DK52">
        <f>113.8895</f>
        <v>113.8895</v>
      </c>
      <c r="DL52">
        <f>116.47</f>
        <v>116.47</v>
      </c>
      <c r="DM52">
        <f>118.8925</f>
        <v>118.8925</v>
      </c>
      <c r="DN52">
        <f>115.891</f>
        <v>115.89100000000001</v>
      </c>
      <c r="DO52">
        <f>117.4845</f>
        <v>117.4845</v>
      </c>
      <c r="DP52">
        <f>113.1865</f>
        <v>113.1865</v>
      </c>
      <c r="DQ52">
        <f>110.6870003</f>
        <v>110.68700029999999</v>
      </c>
      <c r="DR52">
        <f>106.0894985</f>
        <v>106.0894985</v>
      </c>
      <c r="DS52">
        <f>104.4385</f>
        <v>104.4385</v>
      </c>
      <c r="DT52">
        <f>97.5545005</f>
        <v>97.554500500000003</v>
      </c>
      <c r="DU52">
        <f>95.604</f>
        <v>95.603999999999999</v>
      </c>
    </row>
    <row r="53" spans="1:125">
      <c r="A53" t="str">
        <f>"    Brixmor Property Group Inc"</f>
        <v xml:space="preserve">    Brixmor Property Group Inc</v>
      </c>
      <c r="B53" t="str">
        <f>"BRX US Equity"</f>
        <v>BRX US Equity</v>
      </c>
      <c r="C53" t="str">
        <f t="shared" ref="C53:C67" si="9">"IS010"</f>
        <v>IS010</v>
      </c>
      <c r="D53" t="str">
        <f t="shared" ref="D53:D67" si="10">"SALES_REV_TURN"</f>
        <v>SALES_REV_TURN</v>
      </c>
      <c r="E53" t="str">
        <f t="shared" ref="E53:E67" si="11">"动态"</f>
        <v>动态</v>
      </c>
      <c r="F53" t="str">
        <f ca="1">IF(AND(ISNUMBER($F$511),$B$419=1),$F$511,HLOOKUP(INDIRECT(ADDRESS(2,COLUMN())),OFFSET($BN$2,0,0,ROW()-1,60),ROW()-1,FALSE))</f>
        <v/>
      </c>
      <c r="G53">
        <f ca="1">IF(AND(ISNUMBER($G$511),$B$419=1),$G$511,HLOOKUP(INDIRECT(ADDRESS(2,COLUMN())),OFFSET($BN$2,0,0,ROW()-1,60),ROW()-1,FALSE))</f>
        <v>320.06</v>
      </c>
      <c r="H53">
        <f ca="1">IF(AND(ISNUMBER($H$511),$B$419=1),$H$511,HLOOKUP(INDIRECT(ADDRESS(2,COLUMN())),OFFSET($BN$2,0,0,ROW()-1,60),ROW()-1,FALSE))</f>
        <v>314.49599999999998</v>
      </c>
      <c r="I53">
        <f ca="1">IF(AND(ISNUMBER($I$511),$B$419=1),$I$511,HLOOKUP(INDIRECT(ADDRESS(2,COLUMN())),OFFSET($BN$2,0,0,ROW()-1,60),ROW()-1,FALSE))</f>
        <v>322.81799999999998</v>
      </c>
      <c r="J53">
        <f ca="1">IF(AND(ISNUMBER($J$511),$B$419=1),$J$511,HLOOKUP(INDIRECT(ADDRESS(2,COLUMN())),OFFSET($BN$2,0,0,ROW()-1,60),ROW()-1,FALSE))</f>
        <v>325.80599999999998</v>
      </c>
      <c r="K53">
        <f ca="1">IF(AND(ISNUMBER($K$511),$B$419=1),$K$511,HLOOKUP(INDIRECT(ADDRESS(2,COLUMN())),OFFSET($BN$2,0,0,ROW()-1,60),ROW()-1,FALSE))</f>
        <v>324.03399999999999</v>
      </c>
      <c r="L53">
        <f ca="1">IF(AND(ISNUMBER($L$511),$B$419=1),$L$511,HLOOKUP(INDIRECT(ADDRESS(2,COLUMN())),OFFSET($BN$2,0,0,ROW()-1,60),ROW()-1,FALSE))</f>
        <v>318.577</v>
      </c>
      <c r="M53">
        <f ca="1">IF(AND(ISNUMBER($M$511),$B$419=1),$M$511,HLOOKUP(INDIRECT(ADDRESS(2,COLUMN())),OFFSET($BN$2,0,0,ROW()-1,60),ROW()-1,FALSE))</f>
        <v>310.05700000000002</v>
      </c>
      <c r="N53">
        <f ca="1">IF(AND(ISNUMBER($N$511),$B$419=1),$N$511,HLOOKUP(INDIRECT(ADDRESS(2,COLUMN())),OFFSET($BN$2,0,0,ROW()-1,60),ROW()-1,FALSE))</f>
        <v>323.10399999999998</v>
      </c>
      <c r="O53">
        <f ca="1">IF(AND(ISNUMBER($O$511),$B$419=1),$O$511,HLOOKUP(INDIRECT(ADDRESS(2,COLUMN())),OFFSET($BN$2,0,0,ROW()-1,60),ROW()-1,FALSE))</f>
        <v>325.55099999999999</v>
      </c>
      <c r="P53">
        <f ca="1">IF(AND(ISNUMBER($P$511),$B$419=1),$P$511,HLOOKUP(INDIRECT(ADDRESS(2,COLUMN())),OFFSET($BN$2,0,0,ROW()-1,60),ROW()-1,FALSE))</f>
        <v>313.02499999999998</v>
      </c>
      <c r="Q53">
        <f ca="1">IF(AND(ISNUMBER($Q$511),$B$419=1),$Q$511,HLOOKUP(INDIRECT(ADDRESS(2,COLUMN())),OFFSET($BN$2,0,0,ROW()-1,60),ROW()-1,FALSE))</f>
        <v>312.11099999999999</v>
      </c>
      <c r="R53">
        <f ca="1">IF(AND(ISNUMBER($R$511),$B$419=1),$R$511,HLOOKUP(INDIRECT(ADDRESS(2,COLUMN())),OFFSET($BN$2,0,0,ROW()-1,60),ROW()-1,FALSE))</f>
        <v>315.29300000000001</v>
      </c>
      <c r="S53">
        <f ca="1">IF(AND(ISNUMBER($S$511),$B$419=1),$S$511,HLOOKUP(INDIRECT(ADDRESS(2,COLUMN())),OFFSET($BN$2,0,0,ROW()-1,60),ROW()-1,FALSE))</f>
        <v>314.60500000000002</v>
      </c>
      <c r="T53">
        <f ca="1">IF(AND(ISNUMBER($T$511),$B$419=1),$T$511,HLOOKUP(INDIRECT(ADDRESS(2,COLUMN())),OFFSET($BN$2,0,0,ROW()-1,60),ROW()-1,FALSE))</f>
        <v>306.46899999999999</v>
      </c>
      <c r="U53">
        <f ca="1">IF(AND(ISNUMBER($U$511),$B$419=1),$U$511,HLOOKUP(INDIRECT(ADDRESS(2,COLUMN())),OFFSET($BN$2,0,0,ROW()-1,60),ROW()-1,FALSE))</f>
        <v>307.94900000000001</v>
      </c>
      <c r="V53">
        <f ca="1">IF(AND(ISNUMBER($V$511),$B$419=1),$V$511,HLOOKUP(INDIRECT(ADDRESS(2,COLUMN())),OFFSET($BN$2,0,0,ROW()-1,60),ROW()-1,FALSE))</f>
        <v>307.57499999999999</v>
      </c>
      <c r="W53">
        <f ca="1">IF(AND(ISNUMBER($W$511),$B$419=1),$W$511,HLOOKUP(INDIRECT(ADDRESS(2,COLUMN())),OFFSET($BN$2,0,0,ROW()-1,60),ROW()-1,FALSE))</f>
        <v>305.14299999999997</v>
      </c>
      <c r="X53">
        <f ca="1">IF(AND(ISNUMBER($X$511),$B$419=1),$X$511,HLOOKUP(INDIRECT(ADDRESS(2,COLUMN())),OFFSET($BN$2,0,0,ROW()-1,60),ROW()-1,FALSE))</f>
        <v>286.08999999999997</v>
      </c>
      <c r="Y53">
        <f ca="1">IF(AND(ISNUMBER($Y$511),$B$419=1),$Y$511,HLOOKUP(INDIRECT(ADDRESS(2,COLUMN())),OFFSET($BN$2,0,0,ROW()-1,60),ROW()-1,FALSE))</f>
        <v>278.22000000000003</v>
      </c>
      <c r="Z53">
        <f ca="1">IF(AND(ISNUMBER($Z$511),$B$419=1),$Z$511,HLOOKUP(INDIRECT(ADDRESS(2,COLUMN())),OFFSET($BN$2,0,0,ROW()-1,60),ROW()-1,FALSE))</f>
        <v>277.31799999999998</v>
      </c>
      <c r="AA53">
        <f ca="1">IF(AND(ISNUMBER($AA$511),$B$419=1),$AA$511,HLOOKUP(INDIRECT(ADDRESS(2,COLUMN())),OFFSET($BN$2,0,0,ROW()-1,60),ROW()-1,FALSE))</f>
        <v>285.34899999999999</v>
      </c>
      <c r="AB53">
        <f ca="1">IF(AND(ISNUMBER($AB$511),$B$419=1),$AB$511,HLOOKUP(INDIRECT(ADDRESS(2,COLUMN())),OFFSET($BN$2,0,0,ROW()-1,60),ROW()-1,FALSE))</f>
        <v>280.49200000000002</v>
      </c>
      <c r="AC53">
        <f ca="1">IF(AND(ISNUMBER($AC$511),$B$419=1),$AC$511,HLOOKUP(INDIRECT(ADDRESS(2,COLUMN())),OFFSET($BN$2,0,0,ROW()-1,60),ROW()-1,FALSE))</f>
        <v>276.75200000000001</v>
      </c>
      <c r="AD53">
        <f ca="1">IF(AND(ISNUMBER($AD$511),$B$419=1),$AD$511,HLOOKUP(INDIRECT(ADDRESS(2,COLUMN())),OFFSET($BN$2,0,0,ROW()-1,60),ROW()-1,FALSE))</f>
        <v>280.60700000000003</v>
      </c>
      <c r="AE53" t="str">
        <f ca="1">IF(AND(ISNUMBER($AE$511),$B$419=1),$AE$511,HLOOKUP(INDIRECT(ADDRESS(2,COLUMN())),OFFSET($BN$2,0,0,ROW()-1,60),ROW()-1,FALSE))</f>
        <v/>
      </c>
      <c r="AF53" t="str">
        <f ca="1">IF(AND(ISNUMBER($AF$511),$B$419=1),$AF$511,HLOOKUP(INDIRECT(ADDRESS(2,COLUMN())),OFFSET($BN$2,0,0,ROW()-1,60),ROW()-1,FALSE))</f>
        <v/>
      </c>
      <c r="AG53" t="str">
        <f ca="1">IF(AND(ISNUMBER($AG$511),$B$419=1),$AG$511,HLOOKUP(INDIRECT(ADDRESS(2,COLUMN())),OFFSET($BN$2,0,0,ROW()-1,60),ROW()-1,FALSE))</f>
        <v/>
      </c>
      <c r="AH53" t="str">
        <f ca="1">IF(AND(ISNUMBER($AH$511),$B$419=1),$AH$511,HLOOKUP(INDIRECT(ADDRESS(2,COLUMN())),OFFSET($BN$2,0,0,ROW()-1,60),ROW()-1,FALSE))</f>
        <v/>
      </c>
      <c r="AI53" t="str">
        <f ca="1">IF(AND(ISNUMBER($AI$511),$B$419=1),$AI$511,HLOOKUP(INDIRECT(ADDRESS(2,COLUMN())),OFFSET($BN$2,0,0,ROW()-1,60),ROW()-1,FALSE))</f>
        <v/>
      </c>
      <c r="AJ53" t="str">
        <f ca="1">IF(AND(ISNUMBER($AJ$511),$B$419=1),$AJ$511,HLOOKUP(INDIRECT(ADDRESS(2,COLUMN())),OFFSET($BN$2,0,0,ROW()-1,60),ROW()-1,FALSE))</f>
        <v/>
      </c>
      <c r="AK53" t="str">
        <f ca="1">IF(AND(ISNUMBER($AK$511),$B$419=1),$AK$511,HLOOKUP(INDIRECT(ADDRESS(2,COLUMN())),OFFSET($BN$2,0,0,ROW()-1,60),ROW()-1,FALSE))</f>
        <v/>
      </c>
      <c r="AL53" t="str">
        <f ca="1">IF(AND(ISNUMBER($AL$511),$B$419=1),$AL$511,HLOOKUP(INDIRECT(ADDRESS(2,COLUMN())),OFFSET($BN$2,0,0,ROW()-1,60),ROW()-1,FALSE))</f>
        <v/>
      </c>
      <c r="AM53" t="str">
        <f ca="1">IF(AND(ISNUMBER($AM$511),$B$419=1),$AM$511,HLOOKUP(INDIRECT(ADDRESS(2,COLUMN())),OFFSET($BN$2,0,0,ROW()-1,60),ROW()-1,FALSE))</f>
        <v/>
      </c>
      <c r="AN53" t="str">
        <f ca="1">IF(AND(ISNUMBER($AN$511),$B$419=1),$AN$511,HLOOKUP(INDIRECT(ADDRESS(2,COLUMN())),OFFSET($BN$2,0,0,ROW()-1,60),ROW()-1,FALSE))</f>
        <v/>
      </c>
      <c r="AO53" t="str">
        <f ca="1">IF(AND(ISNUMBER($AO$511),$B$419=1),$AO$511,HLOOKUP(INDIRECT(ADDRESS(2,COLUMN())),OFFSET($BN$2,0,0,ROW()-1,60),ROW()-1,FALSE))</f>
        <v/>
      </c>
      <c r="AP53" t="str">
        <f ca="1">IF(AND(ISNUMBER($AP$511),$B$419=1),$AP$511,HLOOKUP(INDIRECT(ADDRESS(2,COLUMN())),OFFSET($BN$2,0,0,ROW()-1,60),ROW()-1,FALSE))</f>
        <v/>
      </c>
      <c r="AQ53" t="str">
        <f ca="1">IF(AND(ISNUMBER($AQ$511),$B$419=1),$AQ$511,HLOOKUP(INDIRECT(ADDRESS(2,COLUMN())),OFFSET($BN$2,0,0,ROW()-1,60),ROW()-1,FALSE))</f>
        <v/>
      </c>
      <c r="AR53" t="str">
        <f ca="1">IF(AND(ISNUMBER($AR$511),$B$419=1),$AR$511,HLOOKUP(INDIRECT(ADDRESS(2,COLUMN())),OFFSET($BN$2,0,0,ROW()-1,60),ROW()-1,FALSE))</f>
        <v/>
      </c>
      <c r="AS53" t="str">
        <f ca="1">IF(AND(ISNUMBER($AS$511),$B$419=1),$AS$511,HLOOKUP(INDIRECT(ADDRESS(2,COLUMN())),OFFSET($BN$2,0,0,ROW()-1,60),ROW()-1,FALSE))</f>
        <v/>
      </c>
      <c r="AT53" t="str">
        <f ca="1">IF(AND(ISNUMBER($AT$511),$B$419=1),$AT$511,HLOOKUP(INDIRECT(ADDRESS(2,COLUMN())),OFFSET($BN$2,0,0,ROW()-1,60),ROW()-1,FALSE))</f>
        <v/>
      </c>
      <c r="AU53" t="str">
        <f ca="1">IF(AND(ISNUMBER($AU$511),$B$419=1),$AU$511,HLOOKUP(INDIRECT(ADDRESS(2,COLUMN())),OFFSET($BN$2,0,0,ROW()-1,60),ROW()-1,FALSE))</f>
        <v/>
      </c>
      <c r="AV53" t="str">
        <f ca="1">IF(AND(ISNUMBER($AV$511),$B$419=1),$AV$511,HLOOKUP(INDIRECT(ADDRESS(2,COLUMN())),OFFSET($BN$2,0,0,ROW()-1,60),ROW()-1,FALSE))</f>
        <v/>
      </c>
      <c r="AW53" t="str">
        <f ca="1">IF(AND(ISNUMBER($AW$511),$B$419=1),$AW$511,HLOOKUP(INDIRECT(ADDRESS(2,COLUMN())),OFFSET($BN$2,0,0,ROW()-1,60),ROW()-1,FALSE))</f>
        <v/>
      </c>
      <c r="AX53" t="str">
        <f ca="1">IF(AND(ISNUMBER($AX$511),$B$419=1),$AX$511,HLOOKUP(INDIRECT(ADDRESS(2,COLUMN())),OFFSET($BN$2,0,0,ROW()-1,60),ROW()-1,FALSE))</f>
        <v/>
      </c>
      <c r="AY53" t="str">
        <f ca="1">IF(AND(ISNUMBER($AY$511),$B$419=1),$AY$511,HLOOKUP(INDIRECT(ADDRESS(2,COLUMN())),OFFSET($BN$2,0,0,ROW()-1,60),ROW()-1,FALSE))</f>
        <v/>
      </c>
      <c r="AZ53" t="str">
        <f ca="1">IF(AND(ISNUMBER($AZ$511),$B$419=1),$AZ$511,HLOOKUP(INDIRECT(ADDRESS(2,COLUMN())),OFFSET($BN$2,0,0,ROW()-1,60),ROW()-1,FALSE))</f>
        <v/>
      </c>
      <c r="BA53" t="str">
        <f ca="1">IF(AND(ISNUMBER($BA$511),$B$419=1),$BA$511,HLOOKUP(INDIRECT(ADDRESS(2,COLUMN())),OFFSET($BN$2,0,0,ROW()-1,60),ROW()-1,FALSE))</f>
        <v/>
      </c>
      <c r="BB53" t="str">
        <f ca="1">IF(AND(ISNUMBER($BB$511),$B$419=1),$BB$511,HLOOKUP(INDIRECT(ADDRESS(2,COLUMN())),OFFSET($BN$2,0,0,ROW()-1,60),ROW()-1,FALSE))</f>
        <v/>
      </c>
      <c r="BC53" t="str">
        <f ca="1">IF(AND(ISNUMBER($BC$511),$B$419=1),$BC$511,HLOOKUP(INDIRECT(ADDRESS(2,COLUMN())),OFFSET($BN$2,0,0,ROW()-1,60),ROW()-1,FALSE))</f>
        <v/>
      </c>
      <c r="BD53" t="str">
        <f ca="1">IF(AND(ISNUMBER($BD$511),$B$419=1),$BD$511,HLOOKUP(INDIRECT(ADDRESS(2,COLUMN())),OFFSET($BN$2,0,0,ROW()-1,60),ROW()-1,FALSE))</f>
        <v/>
      </c>
      <c r="BE53" t="str">
        <f ca="1">IF(AND(ISNUMBER($BE$511),$B$419=1),$BE$511,HLOOKUP(INDIRECT(ADDRESS(2,COLUMN())),OFFSET($BN$2,0,0,ROW()-1,60),ROW()-1,FALSE))</f>
        <v/>
      </c>
      <c r="BF53" t="str">
        <f ca="1">IF(AND(ISNUMBER($BF$511),$B$419=1),$BF$511,HLOOKUP(INDIRECT(ADDRESS(2,COLUMN())),OFFSET($BN$2,0,0,ROW()-1,60),ROW()-1,FALSE))</f>
        <v/>
      </c>
      <c r="BG53" t="str">
        <f ca="1">IF(AND(ISNUMBER($BG$511),$B$419=1),$BG$511,HLOOKUP(INDIRECT(ADDRESS(2,COLUMN())),OFFSET($BN$2,0,0,ROW()-1,60),ROW()-1,FALSE))</f>
        <v/>
      </c>
      <c r="BH53" t="str">
        <f ca="1">IF(AND(ISNUMBER($BH$511),$B$419=1),$BH$511,HLOOKUP(INDIRECT(ADDRESS(2,COLUMN())),OFFSET($BN$2,0,0,ROW()-1,60),ROW()-1,FALSE))</f>
        <v/>
      </c>
      <c r="BI53" t="str">
        <f ca="1">IF(AND(ISNUMBER($BI$511),$B$419=1),$BI$511,HLOOKUP(INDIRECT(ADDRESS(2,COLUMN())),OFFSET($BN$2,0,0,ROW()-1,60),ROW()-1,FALSE))</f>
        <v/>
      </c>
      <c r="BJ53" t="str">
        <f ca="1">IF(AND(ISNUMBER($BJ$511),$B$419=1),$BJ$511,HLOOKUP(INDIRECT(ADDRESS(2,COLUMN())),OFFSET($BN$2,0,0,ROW()-1,60),ROW()-1,FALSE))</f>
        <v/>
      </c>
      <c r="BK53" t="str">
        <f ca="1">IF(AND(ISNUMBER($BK$511),$B$419=1),$BK$511,HLOOKUP(INDIRECT(ADDRESS(2,COLUMN())),OFFSET($BN$2,0,0,ROW()-1,60),ROW()-1,FALSE))</f>
        <v/>
      </c>
      <c r="BL53" t="str">
        <f ca="1">IF(AND(ISNUMBER($BL$511),$B$419=1),$BL$511,HLOOKUP(INDIRECT(ADDRESS(2,COLUMN())),OFFSET($BN$2,0,0,ROW()-1,60),ROW()-1,FALSE))</f>
        <v/>
      </c>
      <c r="BM53" t="str">
        <f ca="1">IF(AND(ISNUMBER($BM$511),$B$419=1),$BM$511,HLOOKUP(INDIRECT(ADDRESS(2,COLUMN())),OFFSET($BN$2,0,0,ROW()-1,60),ROW()-1,FALSE))</f>
        <v/>
      </c>
      <c r="BN53" t="str">
        <f>""</f>
        <v/>
      </c>
      <c r="BO53">
        <f>320.06</f>
        <v>320.06</v>
      </c>
      <c r="BP53">
        <f>314.496</f>
        <v>314.49599999999998</v>
      </c>
      <c r="BQ53">
        <f>322.818</f>
        <v>322.81799999999998</v>
      </c>
      <c r="BR53">
        <f>325.806</f>
        <v>325.80599999999998</v>
      </c>
      <c r="BS53">
        <f>324.034</f>
        <v>324.03399999999999</v>
      </c>
      <c r="BT53">
        <f>318.577</f>
        <v>318.577</v>
      </c>
      <c r="BU53">
        <f>310.057</f>
        <v>310.05700000000002</v>
      </c>
      <c r="BV53">
        <f>323.104</f>
        <v>323.10399999999998</v>
      </c>
      <c r="BW53">
        <f>325.551</f>
        <v>325.55099999999999</v>
      </c>
      <c r="BX53">
        <f>313.025</f>
        <v>313.02499999999998</v>
      </c>
      <c r="BY53">
        <f>312.111</f>
        <v>312.11099999999999</v>
      </c>
      <c r="BZ53">
        <f>315.293</f>
        <v>315.29300000000001</v>
      </c>
      <c r="CA53">
        <f>314.605</f>
        <v>314.60500000000002</v>
      </c>
      <c r="CB53">
        <f>306.469</f>
        <v>306.46899999999999</v>
      </c>
      <c r="CC53">
        <f>307.949</f>
        <v>307.94900000000001</v>
      </c>
      <c r="CD53">
        <f>307.575</f>
        <v>307.57499999999999</v>
      </c>
      <c r="CE53">
        <f>305.143</f>
        <v>305.14299999999997</v>
      </c>
      <c r="CF53">
        <f>286.09</f>
        <v>286.08999999999997</v>
      </c>
      <c r="CG53">
        <f>278.22</f>
        <v>278.22000000000003</v>
      </c>
      <c r="CH53">
        <f>277.318</f>
        <v>277.31799999999998</v>
      </c>
      <c r="CI53">
        <f>285.349</f>
        <v>285.34899999999999</v>
      </c>
      <c r="CJ53">
        <f>280.492</f>
        <v>280.49200000000002</v>
      </c>
      <c r="CK53">
        <f>276.752</f>
        <v>276.75200000000001</v>
      </c>
      <c r="CL53">
        <f>280.607</f>
        <v>280.60700000000003</v>
      </c>
      <c r="CM53" t="str">
        <f>""</f>
        <v/>
      </c>
      <c r="CN53" t="str">
        <f>""</f>
        <v/>
      </c>
      <c r="CO53" t="str">
        <f>""</f>
        <v/>
      </c>
      <c r="CP53" t="str">
        <f>""</f>
        <v/>
      </c>
      <c r="CQ53" t="str">
        <f>""</f>
        <v/>
      </c>
      <c r="CR53" t="str">
        <f>""</f>
        <v/>
      </c>
      <c r="CS53" t="str">
        <f>""</f>
        <v/>
      </c>
      <c r="CT53" t="str">
        <f>""</f>
        <v/>
      </c>
      <c r="CU53" t="str">
        <f>""</f>
        <v/>
      </c>
      <c r="CV53" t="str">
        <f>""</f>
        <v/>
      </c>
      <c r="CW53" t="str">
        <f>""</f>
        <v/>
      </c>
      <c r="CX53" t="str">
        <f>""</f>
        <v/>
      </c>
      <c r="CY53" t="str">
        <f>""</f>
        <v/>
      </c>
      <c r="CZ53" t="str">
        <f>""</f>
        <v/>
      </c>
      <c r="DA53" t="str">
        <f>""</f>
        <v/>
      </c>
      <c r="DB53" t="str">
        <f>""</f>
        <v/>
      </c>
      <c r="DC53" t="str">
        <f>""</f>
        <v/>
      </c>
      <c r="DD53" t="str">
        <f>""</f>
        <v/>
      </c>
      <c r="DE53" t="str">
        <f>""</f>
        <v/>
      </c>
      <c r="DF53" t="str">
        <f>""</f>
        <v/>
      </c>
      <c r="DG53" t="str">
        <f>""</f>
        <v/>
      </c>
      <c r="DH53" t="str">
        <f>""</f>
        <v/>
      </c>
      <c r="DI53" t="str">
        <f>""</f>
        <v/>
      </c>
      <c r="DJ53" t="str">
        <f>""</f>
        <v/>
      </c>
      <c r="DK53" t="str">
        <f>""</f>
        <v/>
      </c>
      <c r="DL53" t="str">
        <f>""</f>
        <v/>
      </c>
      <c r="DM53" t="str">
        <f>""</f>
        <v/>
      </c>
      <c r="DN53" t="str">
        <f>""</f>
        <v/>
      </c>
      <c r="DO53" t="str">
        <f>""</f>
        <v/>
      </c>
      <c r="DP53" t="str">
        <f>""</f>
        <v/>
      </c>
      <c r="DQ53" t="str">
        <f>""</f>
        <v/>
      </c>
      <c r="DR53" t="str">
        <f>""</f>
        <v/>
      </c>
      <c r="DS53" t="str">
        <f>""</f>
        <v/>
      </c>
      <c r="DT53" t="str">
        <f>""</f>
        <v/>
      </c>
      <c r="DU53" t="str">
        <f>""</f>
        <v/>
      </c>
    </row>
    <row r="54" spans="1:125">
      <c r="A54" t="str">
        <f>"    CBL &amp; Associates Properties In"</f>
        <v xml:space="preserve">    CBL &amp; Associates Properties In</v>
      </c>
      <c r="B54" t="str">
        <f>"CBL US Equity"</f>
        <v>CBL US Equity</v>
      </c>
      <c r="C54" t="str">
        <f t="shared" si="9"/>
        <v>IS010</v>
      </c>
      <c r="D54" t="str">
        <f t="shared" si="10"/>
        <v>SALES_REV_TURN</v>
      </c>
      <c r="E54" t="str">
        <f t="shared" si="11"/>
        <v>动态</v>
      </c>
      <c r="F54" t="str">
        <f ca="1">IF(AND(ISNUMBER($F$512),$B$419=1),$F$512,HLOOKUP(INDIRECT(ADDRESS(2,COLUMN())),OFFSET($BN$2,0,0,ROW()-1,60),ROW()-1,FALSE))</f>
        <v/>
      </c>
      <c r="G54">
        <f ca="1">IF(AND(ISNUMBER($G$512),$B$419=1),$G$512,HLOOKUP(INDIRECT(ADDRESS(2,COLUMN())),OFFSET($BN$2,0,0,ROW()-1,60),ROW()-1,FALSE))</f>
        <v>235.35599999999999</v>
      </c>
      <c r="H54">
        <f ca="1">IF(AND(ISNUMBER($H$512),$B$419=1),$H$512,HLOOKUP(INDIRECT(ADDRESS(2,COLUMN())),OFFSET($BN$2,0,0,ROW()-1,60),ROW()-1,FALSE))</f>
        <v>224.65</v>
      </c>
      <c r="I54">
        <f ca="1">IF(AND(ISNUMBER($I$512),$B$419=1),$I$512,HLOOKUP(INDIRECT(ADDRESS(2,COLUMN())),OFFSET($BN$2,0,0,ROW()-1,60),ROW()-1,FALSE))</f>
        <v>229.233</v>
      </c>
      <c r="J54">
        <f ca="1">IF(AND(ISNUMBER($J$512),$B$419=1),$J$512,HLOOKUP(INDIRECT(ADDRESS(2,COLUMN())),OFFSET($BN$2,0,0,ROW()-1,60),ROW()-1,FALSE))</f>
        <v>238.01300000000001</v>
      </c>
      <c r="K54">
        <f ca="1">IF(AND(ISNUMBER($K$512),$B$419=1),$K$512,HLOOKUP(INDIRECT(ADDRESS(2,COLUMN())),OFFSET($BN$2,0,0,ROW()-1,60),ROW()-1,FALSE))</f>
        <v>258.49299999999999</v>
      </c>
      <c r="L54">
        <f ca="1">IF(AND(ISNUMBER($L$512),$B$419=1),$L$512,HLOOKUP(INDIRECT(ADDRESS(2,COLUMN())),OFFSET($BN$2,0,0,ROW()-1,60),ROW()-1,FALSE))</f>
        <v>251.721</v>
      </c>
      <c r="M54">
        <f ca="1">IF(AND(ISNUMBER($M$512),$B$419=1),$M$512,HLOOKUP(INDIRECT(ADDRESS(2,COLUMN())),OFFSET($BN$2,0,0,ROW()-1,60),ROW()-1,FALSE))</f>
        <v>254.965</v>
      </c>
      <c r="N54">
        <f ca="1">IF(AND(ISNUMBER($N$512),$B$419=1),$N$512,HLOOKUP(INDIRECT(ADDRESS(2,COLUMN())),OFFSET($BN$2,0,0,ROW()-1,60),ROW()-1,FALSE))</f>
        <v>263.07799999999997</v>
      </c>
      <c r="O54">
        <f ca="1">IF(AND(ISNUMBER($O$512),$B$419=1),$O$512,HLOOKUP(INDIRECT(ADDRESS(2,COLUMN())),OFFSET($BN$2,0,0,ROW()-1,60),ROW()-1,FALSE))</f>
        <v>277.63</v>
      </c>
      <c r="P54">
        <f ca="1">IF(AND(ISNUMBER($P$512),$B$419=1),$P$512,HLOOKUP(INDIRECT(ADDRESS(2,COLUMN())),OFFSET($BN$2,0,0,ROW()-1,60),ROW()-1,FALSE))</f>
        <v>262.63600000000002</v>
      </c>
      <c r="Q54">
        <f ca="1">IF(AND(ISNUMBER($Q$512),$B$419=1),$Q$512,HLOOKUP(INDIRECT(ADDRESS(2,COLUMN())),OFFSET($BN$2,0,0,ROW()-1,60),ROW()-1,FALSE))</f>
        <v>253.84299999999999</v>
      </c>
      <c r="R54">
        <f ca="1">IF(AND(ISNUMBER($R$512),$B$419=1),$R$512,HLOOKUP(INDIRECT(ADDRESS(2,COLUMN())),OFFSET($BN$2,0,0,ROW()-1,60),ROW()-1,FALSE))</f>
        <v>260.90899999999999</v>
      </c>
      <c r="S54">
        <f ca="1">IF(AND(ISNUMBER($S$512),$B$419=1),$S$512,HLOOKUP(INDIRECT(ADDRESS(2,COLUMN())),OFFSET($BN$2,0,0,ROW()-1,60),ROW()-1,FALSE))</f>
        <v>283.84899999999999</v>
      </c>
      <c r="T54">
        <f ca="1">IF(AND(ISNUMBER($T$512),$B$419=1),$T$512,HLOOKUP(INDIRECT(ADDRESS(2,COLUMN())),OFFSET($BN$2,0,0,ROW()-1,60),ROW()-1,FALSE))</f>
        <v>258.714</v>
      </c>
      <c r="U54">
        <f ca="1">IF(AND(ISNUMBER($U$512),$B$419=1),$U$512,HLOOKUP(INDIRECT(ADDRESS(2,COLUMN())),OFFSET($BN$2,0,0,ROW()-1,60),ROW()-1,FALSE))</f>
        <v>256.93299999999999</v>
      </c>
      <c r="V54">
        <f ca="1">IF(AND(ISNUMBER($V$512),$B$419=1),$V$512,HLOOKUP(INDIRECT(ADDRESS(2,COLUMN())),OFFSET($BN$2,0,0,ROW()-1,60),ROW()-1,FALSE))</f>
        <v>261.24299999999999</v>
      </c>
      <c r="W54">
        <f ca="1">IF(AND(ISNUMBER($W$512),$B$419=1),$W$512,HLOOKUP(INDIRECT(ADDRESS(2,COLUMN())),OFFSET($BN$2,0,0,ROW()-1,60),ROW()-1,FALSE))</f>
        <v>282.00900000000001</v>
      </c>
      <c r="X54">
        <f ca="1">IF(AND(ISNUMBER($X$512),$B$419=1),$X$512,HLOOKUP(INDIRECT(ADDRESS(2,COLUMN())),OFFSET($BN$2,0,0,ROW()-1,60),ROW()-1,FALSE))</f>
        <v>257.54899999999998</v>
      </c>
      <c r="Y54">
        <f ca="1">IF(AND(ISNUMBER($Y$512),$B$419=1),$Y$512,HLOOKUP(INDIRECT(ADDRESS(2,COLUMN())),OFFSET($BN$2,0,0,ROW()-1,60),ROW()-1,FALSE))</f>
        <v>255.58500000000001</v>
      </c>
      <c r="Z54">
        <f ca="1">IF(AND(ISNUMBER($Z$512),$B$419=1),$Z$512,HLOOKUP(INDIRECT(ADDRESS(2,COLUMN())),OFFSET($BN$2,0,0,ROW()-1,60),ROW()-1,FALSE))</f>
        <v>258.48200000000003</v>
      </c>
      <c r="AA54">
        <f ca="1">IF(AND(ISNUMBER($AA$512),$B$419=1),$AA$512,HLOOKUP(INDIRECT(ADDRESS(2,COLUMN())),OFFSET($BN$2,0,0,ROW()-1,60),ROW()-1,FALSE))</f>
        <v>270.24799999999999</v>
      </c>
      <c r="AB54">
        <f ca="1">IF(AND(ISNUMBER($AB$512),$B$419=1),$AB$512,HLOOKUP(INDIRECT(ADDRESS(2,COLUMN())),OFFSET($BN$2,0,0,ROW()-1,60),ROW()-1,FALSE))</f>
        <v>249.18600000000001</v>
      </c>
      <c r="AC54">
        <f ca="1">IF(AND(ISNUMBER($AC$512),$B$419=1),$AC$512,HLOOKUP(INDIRECT(ADDRESS(2,COLUMN())),OFFSET($BN$2,0,0,ROW()-1,60),ROW()-1,FALSE))</f>
        <v>251.84399999999999</v>
      </c>
      <c r="AD54">
        <f ca="1">IF(AND(ISNUMBER($AD$512),$B$419=1),$AD$512,HLOOKUP(INDIRECT(ADDRESS(2,COLUMN())),OFFSET($BN$2,0,0,ROW()-1,60),ROW()-1,FALSE))</f>
        <v>246.46899999999999</v>
      </c>
      <c r="AE54">
        <f ca="1">IF(AND(ISNUMBER($AE$512),$B$419=1),$AE$512,HLOOKUP(INDIRECT(ADDRESS(2,COLUMN())),OFFSET($BN$2,0,0,ROW()-1,60),ROW()-1,FALSE))</f>
        <v>264.84300000000002</v>
      </c>
      <c r="AF54">
        <f ca="1">IF(AND(ISNUMBER($AF$512),$B$419=1),$AF$512,HLOOKUP(INDIRECT(ADDRESS(2,COLUMN())),OFFSET($BN$2,0,0,ROW()-1,60),ROW()-1,FALSE))</f>
        <v>267.26299999999998</v>
      </c>
      <c r="AG54">
        <f ca="1">IF(AND(ISNUMBER($AG$512),$B$419=1),$AG$512,HLOOKUP(INDIRECT(ADDRESS(2,COLUMN())),OFFSET($BN$2,0,0,ROW()-1,60),ROW()-1,FALSE))</f>
        <v>262.11900000000003</v>
      </c>
      <c r="AH54">
        <f ca="1">IF(AND(ISNUMBER($AH$512),$B$419=1),$AH$512,HLOOKUP(INDIRECT(ADDRESS(2,COLUMN())),OFFSET($BN$2,0,0,ROW()-1,60),ROW()-1,FALSE))</f>
        <v>267.16899999999998</v>
      </c>
      <c r="AI54">
        <f ca="1">IF(AND(ISNUMBER($AI$512),$B$419=1),$AI$512,HLOOKUP(INDIRECT(ADDRESS(2,COLUMN())),OFFSET($BN$2,0,0,ROW()-1,60),ROW()-1,FALSE))</f>
        <v>286.21100000000001</v>
      </c>
      <c r="AJ54">
        <f ca="1">IF(AND(ISNUMBER($AJ$512),$B$419=1),$AJ$512,HLOOKUP(INDIRECT(ADDRESS(2,COLUMN())),OFFSET($BN$2,0,0,ROW()-1,60),ROW()-1,FALSE))</f>
        <v>260.67</v>
      </c>
      <c r="AK54">
        <f ca="1">IF(AND(ISNUMBER($AK$512),$B$419=1),$AK$512,HLOOKUP(INDIRECT(ADDRESS(2,COLUMN())),OFFSET($BN$2,0,0,ROW()-1,60),ROW()-1,FALSE))</f>
        <v>257.65300000000002</v>
      </c>
      <c r="AL54">
        <f ca="1">IF(AND(ISNUMBER($AL$512),$B$419=1),$AL$512,HLOOKUP(INDIRECT(ADDRESS(2,COLUMN())),OFFSET($BN$2,0,0,ROW()-1,60),ROW()-1,FALSE))</f>
        <v>261.73</v>
      </c>
      <c r="AM54">
        <f ca="1">IF(AND(ISNUMBER($AM$512),$B$419=1),$AM$512,HLOOKUP(INDIRECT(ADDRESS(2,COLUMN())),OFFSET($BN$2,0,0,ROW()-1,60),ROW()-1,FALSE))</f>
        <v>286.779</v>
      </c>
      <c r="AN54">
        <f ca="1">IF(AND(ISNUMBER($AN$512),$B$419=1),$AN$512,HLOOKUP(INDIRECT(ADDRESS(2,COLUMN())),OFFSET($BN$2,0,0,ROW()-1,60),ROW()-1,FALSE))</f>
        <v>262.459</v>
      </c>
      <c r="AO54">
        <f ca="1">IF(AND(ISNUMBER($AO$512),$B$419=1),$AO$512,HLOOKUP(INDIRECT(ADDRESS(2,COLUMN())),OFFSET($BN$2,0,0,ROW()-1,60),ROW()-1,FALSE))</f>
        <v>266.524</v>
      </c>
      <c r="AP54">
        <f ca="1">IF(AND(ISNUMBER($AP$512),$B$419=1),$AP$512,HLOOKUP(INDIRECT(ADDRESS(2,COLUMN())),OFFSET($BN$2,0,0,ROW()-1,60),ROW()-1,FALSE))</f>
        <v>271.06</v>
      </c>
      <c r="AQ54">
        <f ca="1">IF(AND(ISNUMBER($AQ$512),$B$419=1),$AQ$512,HLOOKUP(INDIRECT(ADDRESS(2,COLUMN())),OFFSET($BN$2,0,0,ROW()-1,60),ROW()-1,FALSE))</f>
        <v>299.39800000000002</v>
      </c>
      <c r="AR54">
        <f ca="1">IF(AND(ISNUMBER($AR$512),$B$419=1),$AR$512,HLOOKUP(INDIRECT(ADDRESS(2,COLUMN())),OFFSET($BN$2,0,0,ROW()-1,60),ROW()-1,FALSE))</f>
        <v>285.40499999999997</v>
      </c>
      <c r="AS54">
        <f ca="1">IF(AND(ISNUMBER($AS$512),$B$419=1),$AS$512,HLOOKUP(INDIRECT(ADDRESS(2,COLUMN())),OFFSET($BN$2,0,0,ROW()-1,60),ROW()-1,FALSE))</f>
        <v>272.483</v>
      </c>
      <c r="AT54">
        <f ca="1">IF(AND(ISNUMBER($AT$512),$B$419=1),$AT$512,HLOOKUP(INDIRECT(ADDRESS(2,COLUMN())),OFFSET($BN$2,0,0,ROW()-1,60),ROW()-1,FALSE))</f>
        <v>280.93099999999998</v>
      </c>
      <c r="AU54">
        <f ca="1">IF(AND(ISNUMBER($AU$512),$B$419=1),$AU$512,HLOOKUP(INDIRECT(ADDRESS(2,COLUMN())),OFFSET($BN$2,0,0,ROW()-1,60),ROW()-1,FALSE))</f>
        <v>290.89299999999997</v>
      </c>
      <c r="AV54">
        <f ca="1">IF(AND(ISNUMBER($AV$512),$B$419=1),$AV$512,HLOOKUP(INDIRECT(ADDRESS(2,COLUMN())),OFFSET($BN$2,0,0,ROW()-1,60),ROW()-1,FALSE))</f>
        <v>250.999</v>
      </c>
      <c r="AW54">
        <f ca="1">IF(AND(ISNUMBER($AW$512),$B$419=1),$AW$512,HLOOKUP(INDIRECT(ADDRESS(2,COLUMN())),OFFSET($BN$2,0,0,ROW()-1,60),ROW()-1,FALSE))</f>
        <v>246.28899999999999</v>
      </c>
      <c r="AX54">
        <f ca="1">IF(AND(ISNUMBER($AX$512),$B$419=1),$AX$512,HLOOKUP(INDIRECT(ADDRESS(2,COLUMN())),OFFSET($BN$2,0,0,ROW()-1,60),ROW()-1,FALSE))</f>
        <v>251.76300000000001</v>
      </c>
      <c r="AY54">
        <f ca="1">IF(AND(ISNUMBER($AY$512),$B$419=1),$AY$512,HLOOKUP(INDIRECT(ADDRESS(2,COLUMN())),OFFSET($BN$2,0,0,ROW()-1,60),ROW()-1,FALSE))</f>
        <v>273.20999999999998</v>
      </c>
      <c r="AZ54">
        <f ca="1">IF(AND(ISNUMBER($AZ$512),$B$419=1),$AZ$512,HLOOKUP(INDIRECT(ADDRESS(2,COLUMN())),OFFSET($BN$2,0,0,ROW()-1,60),ROW()-1,FALSE))</f>
        <v>247.053</v>
      </c>
      <c r="BA54">
        <f ca="1">IF(AND(ISNUMBER($BA$512),$B$419=1),$BA$512,HLOOKUP(INDIRECT(ADDRESS(2,COLUMN())),OFFSET($BN$2,0,0,ROW()-1,60),ROW()-1,FALSE))</f>
        <v>237.27199999999999</v>
      </c>
      <c r="BB54">
        <f ca="1">IF(AND(ISNUMBER($BB$512),$B$419=1),$BB$512,HLOOKUP(INDIRECT(ADDRESS(2,COLUMN())),OFFSET($BN$2,0,0,ROW()-1,60),ROW()-1,FALSE))</f>
        <v>247.05099999999999</v>
      </c>
      <c r="BC54">
        <f ca="1">IF(AND(ISNUMBER($BC$512),$B$419=1),$BC$512,HLOOKUP(INDIRECT(ADDRESS(2,COLUMN())),OFFSET($BN$2,0,0,ROW()-1,60),ROW()-1,FALSE))</f>
        <v>262.553</v>
      </c>
      <c r="BD54">
        <f ca="1">IF(AND(ISNUMBER($BD$512),$B$419=1),$BD$512,HLOOKUP(INDIRECT(ADDRESS(2,COLUMN())),OFFSET($BN$2,0,0,ROW()-1,60),ROW()-1,FALSE))</f>
        <v>229.71700000000001</v>
      </c>
      <c r="BE54">
        <f ca="1">IF(AND(ISNUMBER($BE$512),$B$419=1),$BE$512,HLOOKUP(INDIRECT(ADDRESS(2,COLUMN())),OFFSET($BN$2,0,0,ROW()-1,60),ROW()-1,FALSE))</f>
        <v>205.62700000000001</v>
      </c>
      <c r="BF54">
        <f ca="1">IF(AND(ISNUMBER($BF$512),$B$419=1),$BF$512,HLOOKUP(INDIRECT(ADDRESS(2,COLUMN())),OFFSET($BN$2,0,0,ROW()-1,60),ROW()-1,FALSE))</f>
        <v>216.39400000000001</v>
      </c>
      <c r="BG54">
        <f ca="1">IF(AND(ISNUMBER($BG$512),$B$419=1),$BG$512,HLOOKUP(INDIRECT(ADDRESS(2,COLUMN())),OFFSET($BN$2,0,0,ROW()-1,60),ROW()-1,FALSE))</f>
        <v>225.63300000000001</v>
      </c>
      <c r="BH54">
        <f ca="1">IF(AND(ISNUMBER($BH$512),$B$419=1),$BH$512,HLOOKUP(INDIRECT(ADDRESS(2,COLUMN())),OFFSET($BN$2,0,0,ROW()-1,60),ROW()-1,FALSE))</f>
        <v>194.47200000000001</v>
      </c>
      <c r="BI54">
        <f ca="1">IF(AND(ISNUMBER($BI$512),$B$419=1),$BI$512,HLOOKUP(INDIRECT(ADDRESS(2,COLUMN())),OFFSET($BN$2,0,0,ROW()-1,60),ROW()-1,FALSE))</f>
        <v>176.209</v>
      </c>
      <c r="BJ54">
        <f ca="1">IF(AND(ISNUMBER($BJ$512),$B$419=1),$BJ$512,HLOOKUP(INDIRECT(ADDRESS(2,COLUMN())),OFFSET($BN$2,0,0,ROW()-1,60),ROW()-1,FALSE))</f>
        <v>173.85299699999999</v>
      </c>
      <c r="BK54">
        <f ca="1">IF(AND(ISNUMBER($BK$512),$B$419=1),$BK$512,HLOOKUP(INDIRECT(ADDRESS(2,COLUMN())),OFFSET($BN$2,0,0,ROW()-1,60),ROW()-1,FALSE))</f>
        <v>178.45399499999999</v>
      </c>
      <c r="BL54">
        <f ca="1">IF(AND(ISNUMBER($BL$512),$B$419=1),$BL$512,HLOOKUP(INDIRECT(ADDRESS(2,COLUMN())),OFFSET($BN$2,0,0,ROW()-1,60),ROW()-1,FALSE))</f>
        <v>163.49800099999999</v>
      </c>
      <c r="BM54">
        <f ca="1">IF(AND(ISNUMBER($BM$512),$B$419=1),$BM$512,HLOOKUP(INDIRECT(ADDRESS(2,COLUMN())),OFFSET($BN$2,0,0,ROW()-1,60),ROW()-1,FALSE))</f>
        <v>162.98899800000001</v>
      </c>
      <c r="BN54" t="str">
        <f>""</f>
        <v/>
      </c>
      <c r="BO54">
        <f>235.356</f>
        <v>235.35599999999999</v>
      </c>
      <c r="BP54">
        <f>224.65</f>
        <v>224.65</v>
      </c>
      <c r="BQ54">
        <f>229.233</f>
        <v>229.233</v>
      </c>
      <c r="BR54">
        <f>238.013</f>
        <v>238.01300000000001</v>
      </c>
      <c r="BS54">
        <f>258.493</f>
        <v>258.49299999999999</v>
      </c>
      <c r="BT54">
        <f>251.721</f>
        <v>251.721</v>
      </c>
      <c r="BU54">
        <f>254.965</f>
        <v>254.965</v>
      </c>
      <c r="BV54">
        <f>263.078</f>
        <v>263.07799999999997</v>
      </c>
      <c r="BW54">
        <f>277.63</f>
        <v>277.63</v>
      </c>
      <c r="BX54">
        <f>262.636</f>
        <v>262.63600000000002</v>
      </c>
      <c r="BY54">
        <f>253.843</f>
        <v>253.84299999999999</v>
      </c>
      <c r="BZ54">
        <f>260.909</f>
        <v>260.90899999999999</v>
      </c>
      <c r="CA54">
        <f>283.849</f>
        <v>283.84899999999999</v>
      </c>
      <c r="CB54">
        <f>258.714</f>
        <v>258.714</v>
      </c>
      <c r="CC54">
        <f>256.933</f>
        <v>256.93299999999999</v>
      </c>
      <c r="CD54">
        <f>261.243</f>
        <v>261.24299999999999</v>
      </c>
      <c r="CE54">
        <f>282.009</f>
        <v>282.00900000000001</v>
      </c>
      <c r="CF54">
        <f>257.549</f>
        <v>257.54899999999998</v>
      </c>
      <c r="CG54">
        <f>255.585</f>
        <v>255.58500000000001</v>
      </c>
      <c r="CH54">
        <f>258.482</f>
        <v>258.48200000000003</v>
      </c>
      <c r="CI54">
        <f>270.248</f>
        <v>270.24799999999999</v>
      </c>
      <c r="CJ54">
        <f>249.186</f>
        <v>249.18600000000001</v>
      </c>
      <c r="CK54">
        <f>251.844</f>
        <v>251.84399999999999</v>
      </c>
      <c r="CL54">
        <f>246.469</f>
        <v>246.46899999999999</v>
      </c>
      <c r="CM54">
        <f>264.843</f>
        <v>264.84300000000002</v>
      </c>
      <c r="CN54">
        <f>267.263</f>
        <v>267.26299999999998</v>
      </c>
      <c r="CO54">
        <f>262.119</f>
        <v>262.11900000000003</v>
      </c>
      <c r="CP54">
        <f>267.169</f>
        <v>267.16899999999998</v>
      </c>
      <c r="CQ54">
        <f>286.211</f>
        <v>286.21100000000001</v>
      </c>
      <c r="CR54">
        <f>260.67</f>
        <v>260.67</v>
      </c>
      <c r="CS54">
        <f>257.653</f>
        <v>257.65300000000002</v>
      </c>
      <c r="CT54">
        <f>261.73</f>
        <v>261.73</v>
      </c>
      <c r="CU54">
        <f>286.779</f>
        <v>286.779</v>
      </c>
      <c r="CV54">
        <f>262.459</f>
        <v>262.459</v>
      </c>
      <c r="CW54">
        <f>266.524</f>
        <v>266.524</v>
      </c>
      <c r="CX54">
        <f>271.06</f>
        <v>271.06</v>
      </c>
      <c r="CY54">
        <f>299.398</f>
        <v>299.39800000000002</v>
      </c>
      <c r="CZ54">
        <f>285.405</f>
        <v>285.40499999999997</v>
      </c>
      <c r="DA54">
        <f>272.483</f>
        <v>272.483</v>
      </c>
      <c r="DB54">
        <f>280.931</f>
        <v>280.93099999999998</v>
      </c>
      <c r="DC54">
        <f>290.893</f>
        <v>290.89299999999997</v>
      </c>
      <c r="DD54">
        <f>250.999</f>
        <v>250.999</v>
      </c>
      <c r="DE54">
        <f>246.289</f>
        <v>246.28899999999999</v>
      </c>
      <c r="DF54">
        <f>251.763</f>
        <v>251.76300000000001</v>
      </c>
      <c r="DG54">
        <f>273.21</f>
        <v>273.20999999999998</v>
      </c>
      <c r="DH54">
        <f>247.053</f>
        <v>247.053</v>
      </c>
      <c r="DI54">
        <f>237.272</f>
        <v>237.27199999999999</v>
      </c>
      <c r="DJ54">
        <f>247.051</f>
        <v>247.05099999999999</v>
      </c>
      <c r="DK54">
        <f>262.553</f>
        <v>262.553</v>
      </c>
      <c r="DL54">
        <f>229.717</f>
        <v>229.71700000000001</v>
      </c>
      <c r="DM54">
        <f>205.627</f>
        <v>205.62700000000001</v>
      </c>
      <c r="DN54">
        <f>216.394</f>
        <v>216.39400000000001</v>
      </c>
      <c r="DO54">
        <f>225.633</f>
        <v>225.63300000000001</v>
      </c>
      <c r="DP54">
        <f>194.472</f>
        <v>194.47200000000001</v>
      </c>
      <c r="DQ54">
        <f>176.209</f>
        <v>176.209</v>
      </c>
      <c r="DR54">
        <f>173.852997</f>
        <v>173.85299699999999</v>
      </c>
      <c r="DS54">
        <f>178.453995</f>
        <v>178.45399499999999</v>
      </c>
      <c r="DT54">
        <f>163.498001</f>
        <v>163.49800099999999</v>
      </c>
      <c r="DU54">
        <f>162.988998</f>
        <v>162.98899800000001</v>
      </c>
    </row>
    <row r="55" spans="1:125">
      <c r="A55" t="str">
        <f>"    DDR Corp"</f>
        <v xml:space="preserve">    DDR Corp</v>
      </c>
      <c r="B55" t="str">
        <f>"DDR US Equity"</f>
        <v>DDR US Equity</v>
      </c>
      <c r="C55" t="str">
        <f t="shared" si="9"/>
        <v>IS010</v>
      </c>
      <c r="D55" t="str">
        <f t="shared" si="10"/>
        <v>SALES_REV_TURN</v>
      </c>
      <c r="E55" t="str">
        <f t="shared" si="11"/>
        <v>动态</v>
      </c>
      <c r="F55" t="str">
        <f ca="1">IF(AND(ISNUMBER($F$513),$B$419=1),$F$513,HLOOKUP(INDIRECT(ADDRESS(2,COLUMN())),OFFSET($BN$2,0,0,ROW()-1,60),ROW()-1,FALSE))</f>
        <v/>
      </c>
      <c r="G55">
        <f ca="1">IF(AND(ISNUMBER($G$513),$B$419=1),$G$513,HLOOKUP(INDIRECT(ADDRESS(2,COLUMN())),OFFSET($BN$2,0,0,ROW()-1,60),ROW()-1,FALSE))</f>
        <v>209.43199999999999</v>
      </c>
      <c r="H55">
        <f ca="1">IF(AND(ISNUMBER($H$513),$B$419=1),$H$513,HLOOKUP(INDIRECT(ADDRESS(2,COLUMN())),OFFSET($BN$2,0,0,ROW()-1,60),ROW()-1,FALSE))</f>
        <v>227.42400000000001</v>
      </c>
      <c r="I55">
        <f ca="1">IF(AND(ISNUMBER($I$513),$B$419=1),$I$513,HLOOKUP(INDIRECT(ADDRESS(2,COLUMN())),OFFSET($BN$2,0,0,ROW()-1,60),ROW()-1,FALSE))</f>
        <v>236.18700000000001</v>
      </c>
      <c r="J55">
        <f ca="1">IF(AND(ISNUMBER($J$513),$B$419=1),$J$513,HLOOKUP(INDIRECT(ADDRESS(2,COLUMN())),OFFSET($BN$2,0,0,ROW()-1,60),ROW()-1,FALSE))</f>
        <v>240.42099999999999</v>
      </c>
      <c r="K55">
        <f ca="1">IF(AND(ISNUMBER($K$513),$B$419=1),$K$513,HLOOKUP(INDIRECT(ADDRESS(2,COLUMN())),OFFSET($BN$2,0,0,ROW()-1,60),ROW()-1,FALSE))</f>
        <v>232.16800000000001</v>
      </c>
      <c r="L55">
        <f ca="1">IF(AND(ISNUMBER($L$513),$B$419=1),$L$513,HLOOKUP(INDIRECT(ADDRESS(2,COLUMN())),OFFSET($BN$2,0,0,ROW()-1,60),ROW()-1,FALSE))</f>
        <v>253.8</v>
      </c>
      <c r="M55">
        <f ca="1">IF(AND(ISNUMBER($M$513),$B$419=1),$M$513,HLOOKUP(INDIRECT(ADDRESS(2,COLUMN())),OFFSET($BN$2,0,0,ROW()-1,60),ROW()-1,FALSE))</f>
        <v>257.32100000000003</v>
      </c>
      <c r="N55">
        <f ca="1">IF(AND(ISNUMBER($N$513),$B$419=1),$N$513,HLOOKUP(INDIRECT(ADDRESS(2,COLUMN())),OFFSET($BN$2,0,0,ROW()-1,60),ROW()-1,FALSE))</f>
        <v>254.423</v>
      </c>
      <c r="O55">
        <f ca="1">IF(AND(ISNUMBER($O$513),$B$419=1),$O$513,HLOOKUP(INDIRECT(ADDRESS(2,COLUMN())),OFFSET($BN$2,0,0,ROW()-1,60),ROW()-1,FALSE))</f>
        <v>246.53</v>
      </c>
      <c r="P55">
        <f ca="1">IF(AND(ISNUMBER($P$513),$B$419=1),$P$513,HLOOKUP(INDIRECT(ADDRESS(2,COLUMN())),OFFSET($BN$2,0,0,ROW()-1,60),ROW()-1,FALSE))</f>
        <v>257.13499999999999</v>
      </c>
      <c r="Q55">
        <f ca="1">IF(AND(ISNUMBER($Q$513),$B$419=1),$Q$513,HLOOKUP(INDIRECT(ADDRESS(2,COLUMN())),OFFSET($BN$2,0,0,ROW()-1,60),ROW()-1,FALSE))</f>
        <v>257.32299999999998</v>
      </c>
      <c r="R55">
        <f ca="1">IF(AND(ISNUMBER($R$513),$B$419=1),$R$513,HLOOKUP(INDIRECT(ADDRESS(2,COLUMN())),OFFSET($BN$2,0,0,ROW()-1,60),ROW()-1,FALSE))</f>
        <v>258.82499999999999</v>
      </c>
      <c r="S55">
        <f ca="1">IF(AND(ISNUMBER($S$513),$B$419=1),$S$513,HLOOKUP(INDIRECT(ADDRESS(2,COLUMN())),OFFSET($BN$2,0,0,ROW()-1,60),ROW()-1,FALSE))</f>
        <v>248.55699999999999</v>
      </c>
      <c r="T55">
        <f ca="1">IF(AND(ISNUMBER($T$513),$B$419=1),$T$513,HLOOKUP(INDIRECT(ADDRESS(2,COLUMN())),OFFSET($BN$2,0,0,ROW()-1,60),ROW()-1,FALSE))</f>
        <v>245.35499999999999</v>
      </c>
      <c r="U55">
        <f ca="1">IF(AND(ISNUMBER($U$513),$B$419=1),$U$513,HLOOKUP(INDIRECT(ADDRESS(2,COLUMN())),OFFSET($BN$2,0,0,ROW()-1,60),ROW()-1,FALSE))</f>
        <v>242.04</v>
      </c>
      <c r="V55">
        <f ca="1">IF(AND(ISNUMBER($V$513),$B$419=1),$V$513,HLOOKUP(INDIRECT(ADDRESS(2,COLUMN())),OFFSET($BN$2,0,0,ROW()-1,60),ROW()-1,FALSE))</f>
        <v>241.512</v>
      </c>
      <c r="W55">
        <f ca="1">IF(AND(ISNUMBER($W$513),$B$419=1),$W$513,HLOOKUP(INDIRECT(ADDRESS(2,COLUMN())),OFFSET($BN$2,0,0,ROW()-1,60),ROW()-1,FALSE))</f>
        <v>232.69900000000001</v>
      </c>
      <c r="X55">
        <f ca="1">IF(AND(ISNUMBER($X$513),$B$419=1),$X$513,HLOOKUP(INDIRECT(ADDRESS(2,COLUMN())),OFFSET($BN$2,0,0,ROW()-1,60),ROW()-1,FALSE))</f>
        <v>206.4</v>
      </c>
      <c r="Y55">
        <f ca="1">IF(AND(ISNUMBER($Y$513),$B$419=1),$Y$513,HLOOKUP(INDIRECT(ADDRESS(2,COLUMN())),OFFSET($BN$2,0,0,ROW()-1,60),ROW()-1,FALSE))</f>
        <v>207.7</v>
      </c>
      <c r="Z55">
        <f ca="1">IF(AND(ISNUMBER($Z$513),$B$419=1),$Z$513,HLOOKUP(INDIRECT(ADDRESS(2,COLUMN())),OFFSET($BN$2,0,0,ROW()-1,60),ROW()-1,FALSE))</f>
        <v>200.30699999999999</v>
      </c>
      <c r="AA55">
        <f ca="1">IF(AND(ISNUMBER($AA$513),$B$419=1),$AA$513,HLOOKUP(INDIRECT(ADDRESS(2,COLUMN())),OFFSET($BN$2,0,0,ROW()-1,60),ROW()-1,FALSE))</f>
        <v>202.75</v>
      </c>
      <c r="AB55">
        <f ca="1">IF(AND(ISNUMBER($AB$513),$B$419=1),$AB$513,HLOOKUP(INDIRECT(ADDRESS(2,COLUMN())),OFFSET($BN$2,0,0,ROW()-1,60),ROW()-1,FALSE))</f>
        <v>197.27699999999999</v>
      </c>
      <c r="AC55">
        <f ca="1">IF(AND(ISNUMBER($AC$513),$B$419=1),$AC$513,HLOOKUP(INDIRECT(ADDRESS(2,COLUMN())),OFFSET($BN$2,0,0,ROW()-1,60),ROW()-1,FALSE))</f>
        <v>190.69399999999999</v>
      </c>
      <c r="AD55">
        <f ca="1">IF(AND(ISNUMBER($AD$513),$B$419=1),$AD$513,HLOOKUP(INDIRECT(ADDRESS(2,COLUMN())),OFFSET($BN$2,0,0,ROW()-1,60),ROW()-1,FALSE))</f>
        <v>190.584</v>
      </c>
      <c r="AE55">
        <f ca="1">IF(AND(ISNUMBER($AE$513),$B$419=1),$AE$513,HLOOKUP(INDIRECT(ADDRESS(2,COLUMN())),OFFSET($BN$2,0,0,ROW()-1,60),ROW()-1,FALSE))</f>
        <v>189.357</v>
      </c>
      <c r="AF55">
        <f ca="1">IF(AND(ISNUMBER($AF$513),$B$419=1),$AF$513,HLOOKUP(INDIRECT(ADDRESS(2,COLUMN())),OFFSET($BN$2,0,0,ROW()-1,60),ROW()-1,FALSE))</f>
        <v>187.09100000000001</v>
      </c>
      <c r="AG55">
        <f ca="1">IF(AND(ISNUMBER($AG$513),$B$419=1),$AG$513,HLOOKUP(INDIRECT(ADDRESS(2,COLUMN())),OFFSET($BN$2,0,0,ROW()-1,60),ROW()-1,FALSE))</f>
        <v>186.92599999999999</v>
      </c>
      <c r="AH55">
        <f ca="1">IF(AND(ISNUMBER($AH$513),$B$419=1),$AH$513,HLOOKUP(INDIRECT(ADDRESS(2,COLUMN())),OFFSET($BN$2,0,0,ROW()-1,60),ROW()-1,FALSE))</f>
        <v>192.27099999999999</v>
      </c>
      <c r="AI55">
        <f ca="1">IF(AND(ISNUMBER($AI$513),$B$419=1),$AI$513,HLOOKUP(INDIRECT(ADDRESS(2,COLUMN())),OFFSET($BN$2,0,0,ROW()-1,60),ROW()-1,FALSE))</f>
        <v>193.458</v>
      </c>
      <c r="AJ55">
        <f ca="1">IF(AND(ISNUMBER($AJ$513),$B$419=1),$AJ$513,HLOOKUP(INDIRECT(ADDRESS(2,COLUMN())),OFFSET($BN$2,0,0,ROW()-1,60),ROW()-1,FALSE))</f>
        <v>192.99199999999999</v>
      </c>
      <c r="AK55">
        <f ca="1">IF(AND(ISNUMBER($AK$513),$B$419=1),$AK$513,HLOOKUP(INDIRECT(ADDRESS(2,COLUMN())),OFFSET($BN$2,0,0,ROW()-1,60),ROW()-1,FALSE))</f>
        <v>196.6</v>
      </c>
      <c r="AL55">
        <f ca="1">IF(AND(ISNUMBER($AL$513),$B$419=1),$AL$513,HLOOKUP(INDIRECT(ADDRESS(2,COLUMN())),OFFSET($BN$2,0,0,ROW()-1,60),ROW()-1,FALSE))</f>
        <v>202.131</v>
      </c>
      <c r="AM55">
        <f ca="1">IF(AND(ISNUMBER($AM$513),$B$419=1),$AM$513,HLOOKUP(INDIRECT(ADDRESS(2,COLUMN())),OFFSET($BN$2,0,0,ROW()-1,60),ROW()-1,FALSE))</f>
        <v>203.61500000000001</v>
      </c>
      <c r="AN55">
        <f ca="1">IF(AND(ISNUMBER($AN$513),$B$419=1),$AN$513,HLOOKUP(INDIRECT(ADDRESS(2,COLUMN())),OFFSET($BN$2,0,0,ROW()-1,60),ROW()-1,FALSE))</f>
        <v>202.26400000000001</v>
      </c>
      <c r="AO55">
        <f ca="1">IF(AND(ISNUMBER($AO$513),$B$419=1),$AO$513,HLOOKUP(INDIRECT(ADDRESS(2,COLUMN())),OFFSET($BN$2,0,0,ROW()-1,60),ROW()-1,FALSE))</f>
        <v>197.476</v>
      </c>
      <c r="AP55">
        <f ca="1">IF(AND(ISNUMBER($AP$513),$B$419=1),$AP$513,HLOOKUP(INDIRECT(ADDRESS(2,COLUMN())),OFFSET($BN$2,0,0,ROW()-1,60),ROW()-1,FALSE))</f>
        <v>207.666</v>
      </c>
      <c r="AQ55">
        <f ca="1">IF(AND(ISNUMBER($AQ$513),$B$419=1),$AQ$513,HLOOKUP(INDIRECT(ADDRESS(2,COLUMN())),OFFSET($BN$2,0,0,ROW()-1,60),ROW()-1,FALSE))</f>
        <v>218.523</v>
      </c>
      <c r="AR55">
        <f ca="1">IF(AND(ISNUMBER($AR$513),$B$419=1),$AR$513,HLOOKUP(INDIRECT(ADDRESS(2,COLUMN())),OFFSET($BN$2,0,0,ROW()-1,60),ROW()-1,FALSE))</f>
        <v>222.86</v>
      </c>
      <c r="AS55">
        <f ca="1">IF(AND(ISNUMBER($AS$513),$B$419=1),$AS$513,HLOOKUP(INDIRECT(ADDRESS(2,COLUMN())),OFFSET($BN$2,0,0,ROW()-1,60),ROW()-1,FALSE))</f>
        <v>222.63399999999999</v>
      </c>
      <c r="AT55">
        <f ca="1">IF(AND(ISNUMBER($AT$513),$B$419=1),$AT$513,HLOOKUP(INDIRECT(ADDRESS(2,COLUMN())),OFFSET($BN$2,0,0,ROW()-1,60),ROW()-1,FALSE))</f>
        <v>236.096</v>
      </c>
      <c r="AU55">
        <f ca="1">IF(AND(ISNUMBER($AU$513),$B$419=1),$AU$513,HLOOKUP(INDIRECT(ADDRESS(2,COLUMN())),OFFSET($BN$2,0,0,ROW()-1,60),ROW()-1,FALSE))</f>
        <v>235.54499999999999</v>
      </c>
      <c r="AV55">
        <f ca="1">IF(AND(ISNUMBER($AV$513),$B$419=1),$AV$513,HLOOKUP(INDIRECT(ADDRESS(2,COLUMN())),OFFSET($BN$2,0,0,ROW()-1,60),ROW()-1,FALSE))</f>
        <v>231.547</v>
      </c>
      <c r="AW55">
        <f ca="1">IF(AND(ISNUMBER($AW$513),$B$419=1),$AW$513,HLOOKUP(INDIRECT(ADDRESS(2,COLUMN())),OFFSET($BN$2,0,0,ROW()-1,60),ROW()-1,FALSE))</f>
        <v>252.10300000000001</v>
      </c>
      <c r="AX55">
        <f ca="1">IF(AND(ISNUMBER($AX$513),$B$419=1),$AX$513,HLOOKUP(INDIRECT(ADDRESS(2,COLUMN())),OFFSET($BN$2,0,0,ROW()-1,60),ROW()-1,FALSE))</f>
        <v>219.04499999999999</v>
      </c>
      <c r="AY55">
        <f ca="1">IF(AND(ISNUMBER($AY$513),$B$419=1),$AY$513,HLOOKUP(INDIRECT(ADDRESS(2,COLUMN())),OFFSET($BN$2,0,0,ROW()-1,60),ROW()-1,FALSE))</f>
        <v>194.26400000000001</v>
      </c>
      <c r="AZ55">
        <f ca="1">IF(AND(ISNUMBER($AZ$513),$B$419=1),$AZ$513,HLOOKUP(INDIRECT(ADDRESS(2,COLUMN())),OFFSET($BN$2,0,0,ROW()-1,60),ROW()-1,FALSE))</f>
        <v>194.2</v>
      </c>
      <c r="BA55">
        <f ca="1">IF(AND(ISNUMBER($BA$513),$B$419=1),$BA$513,HLOOKUP(INDIRECT(ADDRESS(2,COLUMN())),OFFSET($BN$2,0,0,ROW()-1,60),ROW()-1,FALSE))</f>
        <v>189.02699999999999</v>
      </c>
      <c r="BB55">
        <f ca="1">IF(AND(ISNUMBER($BB$513),$B$419=1),$BB$513,HLOOKUP(INDIRECT(ADDRESS(2,COLUMN())),OFFSET($BN$2,0,0,ROW()-1,60),ROW()-1,FALSE))</f>
        <v>199.32900000000001</v>
      </c>
      <c r="BC55">
        <f ca="1">IF(AND(ISNUMBER($BC$513),$B$419=1),$BC$513,HLOOKUP(INDIRECT(ADDRESS(2,COLUMN())),OFFSET($BN$2,0,0,ROW()-1,60),ROW()-1,FALSE))</f>
        <v>195.571</v>
      </c>
      <c r="BD55">
        <f ca="1">IF(AND(ISNUMBER($BD$513),$B$419=1),$BD$513,HLOOKUP(INDIRECT(ADDRESS(2,COLUMN())),OFFSET($BN$2,0,0,ROW()-1,60),ROW()-1,FALSE))</f>
        <v>179.49</v>
      </c>
      <c r="BE55">
        <f ca="1">IF(AND(ISNUMBER($BE$513),$B$419=1),$BE$513,HLOOKUP(INDIRECT(ADDRESS(2,COLUMN())),OFFSET($BN$2,0,0,ROW()-1,60),ROW()-1,FALSE))</f>
        <v>176.27500000000001</v>
      </c>
      <c r="BF55">
        <f ca="1">IF(AND(ISNUMBER($BF$513),$B$419=1),$BF$513,HLOOKUP(INDIRECT(ADDRESS(2,COLUMN())),OFFSET($BN$2,0,0,ROW()-1,60),ROW()-1,FALSE))</f>
        <v>171.91200000000001</v>
      </c>
      <c r="BG55">
        <f ca="1">IF(AND(ISNUMBER($BG$513),$B$419=1),$BG$513,HLOOKUP(INDIRECT(ADDRESS(2,COLUMN())),OFFSET($BN$2,0,0,ROW()-1,60),ROW()-1,FALSE))</f>
        <v>158.42699999999999</v>
      </c>
      <c r="BH55">
        <f ca="1">IF(AND(ISNUMBER($BH$513),$B$419=1),$BH$513,HLOOKUP(INDIRECT(ADDRESS(2,COLUMN())),OFFSET($BN$2,0,0,ROW()-1,60),ROW()-1,FALSE))</f>
        <v>157.13200000000001</v>
      </c>
      <c r="BI55">
        <f ca="1">IF(AND(ISNUMBER($BI$513),$B$419=1),$BI$513,HLOOKUP(INDIRECT(ADDRESS(2,COLUMN())),OFFSET($BN$2,0,0,ROW()-1,60),ROW()-1,FALSE))</f>
        <v>148.72499999999999</v>
      </c>
      <c r="BJ55">
        <f ca="1">IF(AND(ISNUMBER($BJ$513),$B$419=1),$BJ$513,HLOOKUP(INDIRECT(ADDRESS(2,COLUMN())),OFFSET($BN$2,0,0,ROW()-1,60),ROW()-1,FALSE))</f>
        <v>126.32899999999999</v>
      </c>
      <c r="BK55">
        <f ca="1">IF(AND(ISNUMBER($BK$513),$B$419=1),$BK$513,HLOOKUP(INDIRECT(ADDRESS(2,COLUMN())),OFFSET($BN$2,0,0,ROW()-1,60),ROW()-1,FALSE))</f>
        <v>125.4469986</v>
      </c>
      <c r="BL55">
        <f ca="1">IF(AND(ISNUMBER($BL$513),$B$419=1),$BL$513,HLOOKUP(INDIRECT(ADDRESS(2,COLUMN())),OFFSET($BN$2,0,0,ROW()-1,60),ROW()-1,FALSE))</f>
        <v>122.19499999999999</v>
      </c>
      <c r="BM55">
        <f ca="1">IF(AND(ISNUMBER($BM$513),$B$419=1),$BM$513,HLOOKUP(INDIRECT(ADDRESS(2,COLUMN())),OFFSET($BN$2,0,0,ROW()-1,60),ROW()-1,FALSE))</f>
        <v>122.027</v>
      </c>
      <c r="BN55" t="str">
        <f>""</f>
        <v/>
      </c>
      <c r="BO55">
        <f>209.432</f>
        <v>209.43199999999999</v>
      </c>
      <c r="BP55">
        <f>227.424</f>
        <v>227.42400000000001</v>
      </c>
      <c r="BQ55">
        <f>236.187</f>
        <v>236.18700000000001</v>
      </c>
      <c r="BR55">
        <f>240.421</f>
        <v>240.42099999999999</v>
      </c>
      <c r="BS55">
        <f>232.168</f>
        <v>232.16800000000001</v>
      </c>
      <c r="BT55">
        <f>253.8</f>
        <v>253.8</v>
      </c>
      <c r="BU55">
        <f>257.321</f>
        <v>257.32100000000003</v>
      </c>
      <c r="BV55">
        <f>254.423</f>
        <v>254.423</v>
      </c>
      <c r="BW55">
        <f>246.53</f>
        <v>246.53</v>
      </c>
      <c r="BX55">
        <f>257.135</f>
        <v>257.13499999999999</v>
      </c>
      <c r="BY55">
        <f>257.323</f>
        <v>257.32299999999998</v>
      </c>
      <c r="BZ55">
        <f>258.825</f>
        <v>258.82499999999999</v>
      </c>
      <c r="CA55">
        <f>248.557</f>
        <v>248.55699999999999</v>
      </c>
      <c r="CB55">
        <f>245.355</f>
        <v>245.35499999999999</v>
      </c>
      <c r="CC55">
        <f>242.04</f>
        <v>242.04</v>
      </c>
      <c r="CD55">
        <f>241.512</f>
        <v>241.512</v>
      </c>
      <c r="CE55">
        <f>232.699</f>
        <v>232.69900000000001</v>
      </c>
      <c r="CF55">
        <f>206.4</f>
        <v>206.4</v>
      </c>
      <c r="CG55">
        <f>207.7</f>
        <v>207.7</v>
      </c>
      <c r="CH55">
        <f>200.307</f>
        <v>200.30699999999999</v>
      </c>
      <c r="CI55">
        <f>202.75</f>
        <v>202.75</v>
      </c>
      <c r="CJ55">
        <f>197.277</f>
        <v>197.27699999999999</v>
      </c>
      <c r="CK55">
        <f>190.694</f>
        <v>190.69399999999999</v>
      </c>
      <c r="CL55">
        <f>190.584</f>
        <v>190.584</v>
      </c>
      <c r="CM55">
        <f>189.357</f>
        <v>189.357</v>
      </c>
      <c r="CN55">
        <f>187.091</f>
        <v>187.09100000000001</v>
      </c>
      <c r="CO55">
        <f>186.926</f>
        <v>186.92599999999999</v>
      </c>
      <c r="CP55">
        <f>192.271</f>
        <v>192.27099999999999</v>
      </c>
      <c r="CQ55">
        <f>193.458</f>
        <v>193.458</v>
      </c>
      <c r="CR55">
        <f>192.992</f>
        <v>192.99199999999999</v>
      </c>
      <c r="CS55">
        <f>196.6</f>
        <v>196.6</v>
      </c>
      <c r="CT55">
        <f>202.131</f>
        <v>202.131</v>
      </c>
      <c r="CU55">
        <f>203.615</f>
        <v>203.61500000000001</v>
      </c>
      <c r="CV55">
        <f>202.264</f>
        <v>202.26400000000001</v>
      </c>
      <c r="CW55">
        <f>197.476</f>
        <v>197.476</v>
      </c>
      <c r="CX55">
        <f>207.666</f>
        <v>207.666</v>
      </c>
      <c r="CY55">
        <f>218.523</f>
        <v>218.523</v>
      </c>
      <c r="CZ55">
        <f>222.86</f>
        <v>222.86</v>
      </c>
      <c r="DA55">
        <f>222.634</f>
        <v>222.63399999999999</v>
      </c>
      <c r="DB55">
        <f>236.096</f>
        <v>236.096</v>
      </c>
      <c r="DC55">
        <f>235.545</f>
        <v>235.54499999999999</v>
      </c>
      <c r="DD55">
        <f>231.547</f>
        <v>231.547</v>
      </c>
      <c r="DE55">
        <f>252.103</f>
        <v>252.10300000000001</v>
      </c>
      <c r="DF55">
        <f>219.045</f>
        <v>219.04499999999999</v>
      </c>
      <c r="DG55">
        <f>194.264</f>
        <v>194.26400000000001</v>
      </c>
      <c r="DH55">
        <f>194.2</f>
        <v>194.2</v>
      </c>
      <c r="DI55">
        <f>189.027</f>
        <v>189.02699999999999</v>
      </c>
      <c r="DJ55">
        <f>199.329</f>
        <v>199.32900000000001</v>
      </c>
      <c r="DK55">
        <f>195.571</f>
        <v>195.571</v>
      </c>
      <c r="DL55">
        <f>179.49</f>
        <v>179.49</v>
      </c>
      <c r="DM55">
        <f>176.275</f>
        <v>176.27500000000001</v>
      </c>
      <c r="DN55">
        <f>171.912</f>
        <v>171.91200000000001</v>
      </c>
      <c r="DO55">
        <f>158.427</f>
        <v>158.42699999999999</v>
      </c>
      <c r="DP55">
        <f>157.132</f>
        <v>157.13200000000001</v>
      </c>
      <c r="DQ55">
        <f>148.725</f>
        <v>148.72499999999999</v>
      </c>
      <c r="DR55">
        <f>126.329</f>
        <v>126.32899999999999</v>
      </c>
      <c r="DS55">
        <f>125.4469986</f>
        <v>125.4469986</v>
      </c>
      <c r="DT55">
        <f>122.195</f>
        <v>122.19499999999999</v>
      </c>
      <c r="DU55">
        <f>122.027</f>
        <v>122.027</v>
      </c>
    </row>
    <row r="56" spans="1:125">
      <c r="A56" t="str">
        <f>"    Federal Realty Investment Trus"</f>
        <v xml:space="preserve">    Federal Realty Investment Trus</v>
      </c>
      <c r="B56" t="str">
        <f>"FRT US Equity"</f>
        <v>FRT US Equity</v>
      </c>
      <c r="C56" t="str">
        <f t="shared" si="9"/>
        <v>IS010</v>
      </c>
      <c r="D56" t="str">
        <f t="shared" si="10"/>
        <v>SALES_REV_TURN</v>
      </c>
      <c r="E56" t="str">
        <f t="shared" si="11"/>
        <v>动态</v>
      </c>
      <c r="F56" t="str">
        <f ca="1">IF(AND(ISNUMBER($F$514),$B$419=1),$F$514,HLOOKUP(INDIRECT(ADDRESS(2,COLUMN())),OFFSET($BN$2,0,0,ROW()-1,60),ROW()-1,FALSE))</f>
        <v/>
      </c>
      <c r="G56">
        <f ca="1">IF(AND(ISNUMBER($G$514),$B$419=1),$G$514,HLOOKUP(INDIRECT(ADDRESS(2,COLUMN())),OFFSET($BN$2,0,0,ROW()-1,60),ROW()-1,FALSE))</f>
        <v>223.95699999999999</v>
      </c>
      <c r="H56">
        <f ca="1">IF(AND(ISNUMBER($H$514),$B$419=1),$H$514,HLOOKUP(INDIRECT(ADDRESS(2,COLUMN())),OFFSET($BN$2,0,0,ROW()-1,60),ROW()-1,FALSE))</f>
        <v>217.953</v>
      </c>
      <c r="I56">
        <f ca="1">IF(AND(ISNUMBER($I$514),$B$419=1),$I$514,HLOOKUP(INDIRECT(ADDRESS(2,COLUMN())),OFFSET($BN$2,0,0,ROW()-1,60),ROW()-1,FALSE))</f>
        <v>208.04900000000001</v>
      </c>
      <c r="J56">
        <f ca="1">IF(AND(ISNUMBER($J$514),$B$419=1),$J$514,HLOOKUP(INDIRECT(ADDRESS(2,COLUMN())),OFFSET($BN$2,0,0,ROW()-1,60),ROW()-1,FALSE))</f>
        <v>207.38900000000001</v>
      </c>
      <c r="K56">
        <f ca="1">IF(AND(ISNUMBER($K$514),$B$419=1),$K$514,HLOOKUP(INDIRECT(ADDRESS(2,COLUMN())),OFFSET($BN$2,0,0,ROW()-1,60),ROW()-1,FALSE))</f>
        <v>204.10900000000001</v>
      </c>
      <c r="L56">
        <f ca="1">IF(AND(ISNUMBER($L$514),$B$419=1),$L$514,HLOOKUP(INDIRECT(ADDRESS(2,COLUMN())),OFFSET($BN$2,0,0,ROW()-1,60),ROW()-1,FALSE))</f>
        <v>201.15700000000001</v>
      </c>
      <c r="M56">
        <f ca="1">IF(AND(ISNUMBER($M$514),$B$419=1),$M$514,HLOOKUP(INDIRECT(ADDRESS(2,COLUMN())),OFFSET($BN$2,0,0,ROW()-1,60),ROW()-1,FALSE))</f>
        <v>197.98099999999999</v>
      </c>
      <c r="N56">
        <f ca="1">IF(AND(ISNUMBER($N$514),$B$419=1),$N$514,HLOOKUP(INDIRECT(ADDRESS(2,COLUMN())),OFFSET($BN$2,0,0,ROW()-1,60),ROW()-1,FALSE))</f>
        <v>198.34399999999999</v>
      </c>
      <c r="O56">
        <f ca="1">IF(AND(ISNUMBER($O$514),$B$419=1),$O$514,HLOOKUP(INDIRECT(ADDRESS(2,COLUMN())),OFFSET($BN$2,0,0,ROW()-1,60),ROW()-1,FALSE))</f>
        <v>192.50700000000001</v>
      </c>
      <c r="P56">
        <f ca="1">IF(AND(ISNUMBER($P$514),$B$419=1),$P$514,HLOOKUP(INDIRECT(ADDRESS(2,COLUMN())),OFFSET($BN$2,0,0,ROW()-1,60),ROW()-1,FALSE))</f>
        <v>185.25200000000001</v>
      </c>
      <c r="Q56">
        <f ca="1">IF(AND(ISNUMBER($Q$514),$B$419=1),$Q$514,HLOOKUP(INDIRECT(ADDRESS(2,COLUMN())),OFFSET($BN$2,0,0,ROW()-1,60),ROW()-1,FALSE))</f>
        <v>181.46100000000001</v>
      </c>
      <c r="R56">
        <f ca="1">IF(AND(ISNUMBER($R$514),$B$419=1),$R$514,HLOOKUP(INDIRECT(ADDRESS(2,COLUMN())),OFFSET($BN$2,0,0,ROW()-1,60),ROW()-1,FALSE))</f>
        <v>184.792</v>
      </c>
      <c r="S56">
        <f ca="1">IF(AND(ISNUMBER($S$514),$B$419=1),$S$514,HLOOKUP(INDIRECT(ADDRESS(2,COLUMN())),OFFSET($BN$2,0,0,ROW()-1,60),ROW()-1,FALSE))</f>
        <v>176.37700000000001</v>
      </c>
      <c r="T56">
        <f ca="1">IF(AND(ISNUMBER($T$514),$B$419=1),$T$514,HLOOKUP(INDIRECT(ADDRESS(2,COLUMN())),OFFSET($BN$2,0,0,ROW()-1,60),ROW()-1,FALSE))</f>
        <v>170.93799999999999</v>
      </c>
      <c r="U56">
        <f ca="1">IF(AND(ISNUMBER($U$514),$B$419=1),$U$514,HLOOKUP(INDIRECT(ADDRESS(2,COLUMN())),OFFSET($BN$2,0,0,ROW()-1,60),ROW()-1,FALSE))</f>
        <v>167.947</v>
      </c>
      <c r="V56">
        <f ca="1">IF(AND(ISNUMBER($V$514),$B$419=1),$V$514,HLOOKUP(INDIRECT(ADDRESS(2,COLUMN())),OFFSET($BN$2,0,0,ROW()-1,60),ROW()-1,FALSE))</f>
        <v>170.828</v>
      </c>
      <c r="W56">
        <f ca="1">IF(AND(ISNUMBER($W$514),$B$419=1),$W$514,HLOOKUP(INDIRECT(ADDRESS(2,COLUMN())),OFFSET($BN$2,0,0,ROW()-1,60),ROW()-1,FALSE))</f>
        <v>163.846</v>
      </c>
      <c r="X56">
        <f ca="1">IF(AND(ISNUMBER($X$514),$B$419=1),$X$514,HLOOKUP(INDIRECT(ADDRESS(2,COLUMN())),OFFSET($BN$2,0,0,ROW()-1,60),ROW()-1,FALSE))</f>
        <v>159.03</v>
      </c>
      <c r="Y56">
        <f ca="1">IF(AND(ISNUMBER($Y$514),$B$419=1),$Y$514,HLOOKUP(INDIRECT(ADDRESS(2,COLUMN())),OFFSET($BN$2,0,0,ROW()-1,60),ROW()-1,FALSE))</f>
        <v>157.38800000000001</v>
      </c>
      <c r="Z56">
        <f ca="1">IF(AND(ISNUMBER($Z$514),$B$419=1),$Z$514,HLOOKUP(INDIRECT(ADDRESS(2,COLUMN())),OFFSET($BN$2,0,0,ROW()-1,60),ROW()-1,FALSE))</f>
        <v>157.149</v>
      </c>
      <c r="AA56">
        <f ca="1">IF(AND(ISNUMBER($AA$514),$B$419=1),$AA$514,HLOOKUP(INDIRECT(ADDRESS(2,COLUMN())),OFFSET($BN$2,0,0,ROW()-1,60),ROW()-1,FALSE))</f>
        <v>155.785</v>
      </c>
      <c r="AB56">
        <f ca="1">IF(AND(ISNUMBER($AB$514),$B$419=1),$AB$514,HLOOKUP(INDIRECT(ADDRESS(2,COLUMN())),OFFSET($BN$2,0,0,ROW()-1,60),ROW()-1,FALSE))</f>
        <v>157.80500000000001</v>
      </c>
      <c r="AC56">
        <f ca="1">IF(AND(ISNUMBER($AC$514),$B$419=1),$AC$514,HLOOKUP(INDIRECT(ADDRESS(2,COLUMN())),OFFSET($BN$2,0,0,ROW()-1,60),ROW()-1,FALSE))</f>
        <v>147.56</v>
      </c>
      <c r="AD56">
        <f ca="1">IF(AND(ISNUMBER($AD$514),$B$419=1),$AD$514,HLOOKUP(INDIRECT(ADDRESS(2,COLUMN())),OFFSET($BN$2,0,0,ROW()-1,60),ROW()-1,FALSE))</f>
        <v>146.28899999999999</v>
      </c>
      <c r="AE56">
        <f ca="1">IF(AND(ISNUMBER($AE$514),$B$419=1),$AE$514,HLOOKUP(INDIRECT(ADDRESS(2,COLUMN())),OFFSET($BN$2,0,0,ROW()-1,60),ROW()-1,FALSE))</f>
        <v>141.46600000000001</v>
      </c>
      <c r="AF56">
        <f ca="1">IF(AND(ISNUMBER($AF$514),$B$419=1),$AF$514,HLOOKUP(INDIRECT(ADDRESS(2,COLUMN())),OFFSET($BN$2,0,0,ROW()-1,60),ROW()-1,FALSE))</f>
        <v>137.66399999999999</v>
      </c>
      <c r="AG56">
        <f ca="1">IF(AND(ISNUMBER($AG$514),$B$419=1),$AG$514,HLOOKUP(INDIRECT(ADDRESS(2,COLUMN())),OFFSET($BN$2,0,0,ROW()-1,60),ROW()-1,FALSE))</f>
        <v>136.28</v>
      </c>
      <c r="AH56">
        <f ca="1">IF(AND(ISNUMBER($AH$514),$B$419=1),$AH$514,HLOOKUP(INDIRECT(ADDRESS(2,COLUMN())),OFFSET($BN$2,0,0,ROW()-1,60),ROW()-1,FALSE))</f>
        <v>137.649</v>
      </c>
      <c r="AI56">
        <f ca="1">IF(AND(ISNUMBER($AI$514),$B$419=1),$AI$514,HLOOKUP(INDIRECT(ADDRESS(2,COLUMN())),OFFSET($BN$2,0,0,ROW()-1,60),ROW()-1,FALSE))</f>
        <v>137.334</v>
      </c>
      <c r="AJ56">
        <f ca="1">IF(AND(ISNUMBER($AJ$514),$B$419=1),$AJ$514,HLOOKUP(INDIRECT(ADDRESS(2,COLUMN())),OFFSET($BN$2,0,0,ROW()-1,60),ROW()-1,FALSE))</f>
        <v>133.446</v>
      </c>
      <c r="AK56">
        <f ca="1">IF(AND(ISNUMBER($AK$514),$B$419=1),$AK$514,HLOOKUP(INDIRECT(ADDRESS(2,COLUMN())),OFFSET($BN$2,0,0,ROW()-1,60),ROW()-1,FALSE))</f>
        <v>133.21600000000001</v>
      </c>
      <c r="AL56">
        <f ca="1">IF(AND(ISNUMBER($AL$514),$B$419=1),$AL$514,HLOOKUP(INDIRECT(ADDRESS(2,COLUMN())),OFFSET($BN$2,0,0,ROW()-1,60),ROW()-1,FALSE))</f>
        <v>138.32400000000001</v>
      </c>
      <c r="AM56">
        <f ca="1">IF(AND(ISNUMBER($AM$514),$B$419=1),$AM$514,HLOOKUP(INDIRECT(ADDRESS(2,COLUMN())),OFFSET($BN$2,0,0,ROW()-1,60),ROW()-1,FALSE))</f>
        <v>138.42099999999999</v>
      </c>
      <c r="AN56">
        <f ca="1">IF(AND(ISNUMBER($AN$514),$B$419=1),$AN$514,HLOOKUP(INDIRECT(ADDRESS(2,COLUMN())),OFFSET($BN$2,0,0,ROW()-1,60),ROW()-1,FALSE))</f>
        <v>130.99199999999999</v>
      </c>
      <c r="AO56">
        <f ca="1">IF(AND(ISNUMBER($AO$514),$B$419=1),$AO$514,HLOOKUP(INDIRECT(ADDRESS(2,COLUMN())),OFFSET($BN$2,0,0,ROW()-1,60),ROW()-1,FALSE))</f>
        <v>130.33799999999999</v>
      </c>
      <c r="AP56">
        <f ca="1">IF(AND(ISNUMBER($AP$514),$B$419=1),$AP$514,HLOOKUP(INDIRECT(ADDRESS(2,COLUMN())),OFFSET($BN$2,0,0,ROW()-1,60),ROW()-1,FALSE))</f>
        <v>131.07599999999999</v>
      </c>
      <c r="AQ56">
        <f ca="1">IF(AND(ISNUMBER($AQ$514),$B$419=1),$AQ$514,HLOOKUP(INDIRECT(ADDRESS(2,COLUMN())),OFFSET($BN$2,0,0,ROW()-1,60),ROW()-1,FALSE))</f>
        <v>133.52699999999999</v>
      </c>
      <c r="AR56">
        <f ca="1">IF(AND(ISNUMBER($AR$514),$B$419=1),$AR$514,HLOOKUP(INDIRECT(ADDRESS(2,COLUMN())),OFFSET($BN$2,0,0,ROW()-1,60),ROW()-1,FALSE))</f>
        <v>131.70699999999999</v>
      </c>
      <c r="AS56">
        <f ca="1">IF(AND(ISNUMBER($AS$514),$B$419=1),$AS$514,HLOOKUP(INDIRECT(ADDRESS(2,COLUMN())),OFFSET($BN$2,0,0,ROW()-1,60),ROW()-1,FALSE))</f>
        <v>128.71199999999999</v>
      </c>
      <c r="AT56">
        <f ca="1">IF(AND(ISNUMBER($AT$514),$B$419=1),$AT$514,HLOOKUP(INDIRECT(ADDRESS(2,COLUMN())),OFFSET($BN$2,0,0,ROW()-1,60),ROW()-1,FALSE))</f>
        <v>126.369</v>
      </c>
      <c r="AU56">
        <f ca="1">IF(AND(ISNUMBER($AU$514),$B$419=1),$AU$514,HLOOKUP(INDIRECT(ADDRESS(2,COLUMN())),OFFSET($BN$2,0,0,ROW()-1,60),ROW()-1,FALSE))</f>
        <v>126.586</v>
      </c>
      <c r="AV56">
        <f ca="1">IF(AND(ISNUMBER($AV$514),$B$419=1),$AV$514,HLOOKUP(INDIRECT(ADDRESS(2,COLUMN())),OFFSET($BN$2,0,0,ROW()-1,60),ROW()-1,FALSE))</f>
        <v>123.56399999999999</v>
      </c>
      <c r="AW56">
        <f ca="1">IF(AND(ISNUMBER($AW$514),$B$419=1),$AW$514,HLOOKUP(INDIRECT(ADDRESS(2,COLUMN())),OFFSET($BN$2,0,0,ROW()-1,60),ROW()-1,FALSE))</f>
        <v>119.161</v>
      </c>
      <c r="AX56">
        <f ca="1">IF(AND(ISNUMBER($AX$514),$B$419=1),$AX$514,HLOOKUP(INDIRECT(ADDRESS(2,COLUMN())),OFFSET($BN$2,0,0,ROW()-1,60),ROW()-1,FALSE))</f>
        <v>115.488</v>
      </c>
      <c r="AY56">
        <f ca="1">IF(AND(ISNUMBER($AY$514),$B$419=1),$AY$514,HLOOKUP(INDIRECT(ADDRESS(2,COLUMN())),OFFSET($BN$2,0,0,ROW()-1,60),ROW()-1,FALSE))</f>
        <v>99.793999999999997</v>
      </c>
      <c r="AZ56">
        <f ca="1">IF(AND(ISNUMBER($AZ$514),$B$419=1),$AZ$514,HLOOKUP(INDIRECT(ADDRESS(2,COLUMN())),OFFSET($BN$2,0,0,ROW()-1,60),ROW()-1,FALSE))</f>
        <v>112.265</v>
      </c>
      <c r="BA56">
        <f ca="1">IF(AND(ISNUMBER($BA$514),$B$419=1),$BA$514,HLOOKUP(INDIRECT(ADDRESS(2,COLUMN())),OFFSET($BN$2,0,0,ROW()-1,60),ROW()-1,FALSE))</f>
        <v>108.875</v>
      </c>
      <c r="BB56">
        <f ca="1">IF(AND(ISNUMBER($BB$514),$B$419=1),$BB$514,HLOOKUP(INDIRECT(ADDRESS(2,COLUMN())),OFFSET($BN$2,0,0,ROW()-1,60),ROW()-1,FALSE))</f>
        <v>108.643</v>
      </c>
      <c r="BC56">
        <f ca="1">IF(AND(ISNUMBER($BC$514),$B$419=1),$BC$514,HLOOKUP(INDIRECT(ADDRESS(2,COLUMN())),OFFSET($BN$2,0,0,ROW()-1,60),ROW()-1,FALSE))</f>
        <v>107.44799999999999</v>
      </c>
      <c r="BD56">
        <f ca="1">IF(AND(ISNUMBER($BD$514),$B$419=1),$BD$514,HLOOKUP(INDIRECT(ADDRESS(2,COLUMN())),OFFSET($BN$2,0,0,ROW()-1,60),ROW()-1,FALSE))</f>
        <v>100.773</v>
      </c>
      <c r="BE56">
        <f ca="1">IF(AND(ISNUMBER($BE$514),$B$419=1),$BE$514,HLOOKUP(INDIRECT(ADDRESS(2,COLUMN())),OFFSET($BN$2,0,0,ROW()-1,60),ROW()-1,FALSE))</f>
        <v>100.554</v>
      </c>
      <c r="BF56">
        <f ca="1">IF(AND(ISNUMBER($BF$514),$B$419=1),$BF$514,HLOOKUP(INDIRECT(ADDRESS(2,COLUMN())),OFFSET($BN$2,0,0,ROW()-1,60),ROW()-1,FALSE))</f>
        <v>101.90900000000001</v>
      </c>
      <c r="BG56">
        <f ca="1">IF(AND(ISNUMBER($BG$514),$B$419=1),$BG$514,HLOOKUP(INDIRECT(ADDRESS(2,COLUMN())),OFFSET($BN$2,0,0,ROW()-1,60),ROW()-1,FALSE))</f>
        <v>101.11499790000001</v>
      </c>
      <c r="BH56">
        <f ca="1">IF(AND(ISNUMBER($BH$514),$B$419=1),$BH$514,HLOOKUP(INDIRECT(ADDRESS(2,COLUMN())),OFFSET($BN$2,0,0,ROW()-1,60),ROW()-1,FALSE))</f>
        <v>99.293000000000006</v>
      </c>
      <c r="BI56">
        <f ca="1">IF(AND(ISNUMBER($BI$514),$B$419=1),$BI$514,HLOOKUP(INDIRECT(ADDRESS(2,COLUMN())),OFFSET($BN$2,0,0,ROW()-1,60),ROW()-1,FALSE))</f>
        <v>100.2689972</v>
      </c>
      <c r="BJ56">
        <f ca="1">IF(AND(ISNUMBER($BJ$514),$B$419=1),$BJ$514,HLOOKUP(INDIRECT(ADDRESS(2,COLUMN())),OFFSET($BN$2,0,0,ROW()-1,60),ROW()-1,FALSE))</f>
        <v>96.173000000000002</v>
      </c>
      <c r="BK56">
        <f ca="1">IF(AND(ISNUMBER($BK$514),$B$419=1),$BK$514,HLOOKUP(INDIRECT(ADDRESS(2,COLUMN())),OFFSET($BN$2,0,0,ROW()-1,60),ROW()-1,FALSE))</f>
        <v>98.932000000000002</v>
      </c>
      <c r="BL56">
        <f ca="1">IF(AND(ISNUMBER($BL$514),$B$419=1),$BL$514,HLOOKUP(INDIRECT(ADDRESS(2,COLUMN())),OFFSET($BN$2,0,0,ROW()-1,60),ROW()-1,FALSE))</f>
        <v>87.228999999999999</v>
      </c>
      <c r="BM56">
        <f ca="1">IF(AND(ISNUMBER($BM$514),$B$419=1),$BM$514,HLOOKUP(INDIRECT(ADDRESS(2,COLUMN())),OFFSET($BN$2,0,0,ROW()-1,60),ROW()-1,FALSE))</f>
        <v>86.409000000000006</v>
      </c>
      <c r="BN56" t="str">
        <f>""</f>
        <v/>
      </c>
      <c r="BO56">
        <f>223.957</f>
        <v>223.95699999999999</v>
      </c>
      <c r="BP56">
        <f>217.953</f>
        <v>217.953</v>
      </c>
      <c r="BQ56">
        <f>208.049</f>
        <v>208.04900000000001</v>
      </c>
      <c r="BR56">
        <f>207.389</f>
        <v>207.38900000000001</v>
      </c>
      <c r="BS56">
        <f>204.109</f>
        <v>204.10900000000001</v>
      </c>
      <c r="BT56">
        <f>201.157</f>
        <v>201.15700000000001</v>
      </c>
      <c r="BU56">
        <f>197.981</f>
        <v>197.98099999999999</v>
      </c>
      <c r="BV56">
        <f>198.344</f>
        <v>198.34399999999999</v>
      </c>
      <c r="BW56">
        <f>192.507</f>
        <v>192.50700000000001</v>
      </c>
      <c r="BX56">
        <f>185.252</f>
        <v>185.25200000000001</v>
      </c>
      <c r="BY56">
        <f>181.461</f>
        <v>181.46100000000001</v>
      </c>
      <c r="BZ56">
        <f>184.792</f>
        <v>184.792</v>
      </c>
      <c r="CA56">
        <f>176.377</f>
        <v>176.37700000000001</v>
      </c>
      <c r="CB56">
        <f>170.938</f>
        <v>170.93799999999999</v>
      </c>
      <c r="CC56">
        <f>167.947</f>
        <v>167.947</v>
      </c>
      <c r="CD56">
        <f>170.828</f>
        <v>170.828</v>
      </c>
      <c r="CE56">
        <f>163.846</f>
        <v>163.846</v>
      </c>
      <c r="CF56">
        <f>159.03</f>
        <v>159.03</v>
      </c>
      <c r="CG56">
        <f>157.388</f>
        <v>157.38800000000001</v>
      </c>
      <c r="CH56">
        <f>157.149</f>
        <v>157.149</v>
      </c>
      <c r="CI56">
        <f>155.785</f>
        <v>155.785</v>
      </c>
      <c r="CJ56">
        <f>157.805</f>
        <v>157.80500000000001</v>
      </c>
      <c r="CK56">
        <f>147.56</f>
        <v>147.56</v>
      </c>
      <c r="CL56">
        <f>146.289</f>
        <v>146.28899999999999</v>
      </c>
      <c r="CM56">
        <f>141.466</f>
        <v>141.46600000000001</v>
      </c>
      <c r="CN56">
        <f>137.664</f>
        <v>137.66399999999999</v>
      </c>
      <c r="CO56">
        <f>136.28</f>
        <v>136.28</v>
      </c>
      <c r="CP56">
        <f>137.649</f>
        <v>137.649</v>
      </c>
      <c r="CQ56">
        <f>137.334</f>
        <v>137.334</v>
      </c>
      <c r="CR56">
        <f>133.446</f>
        <v>133.446</v>
      </c>
      <c r="CS56">
        <f>133.216</f>
        <v>133.21600000000001</v>
      </c>
      <c r="CT56">
        <f>138.324</f>
        <v>138.32400000000001</v>
      </c>
      <c r="CU56">
        <f>138.421</f>
        <v>138.42099999999999</v>
      </c>
      <c r="CV56">
        <f>130.992</f>
        <v>130.99199999999999</v>
      </c>
      <c r="CW56">
        <f>130.338</f>
        <v>130.33799999999999</v>
      </c>
      <c r="CX56">
        <f>131.076</f>
        <v>131.07599999999999</v>
      </c>
      <c r="CY56">
        <f>133.527</f>
        <v>133.52699999999999</v>
      </c>
      <c r="CZ56">
        <f>131.707</f>
        <v>131.70699999999999</v>
      </c>
      <c r="DA56">
        <f>128.712</f>
        <v>128.71199999999999</v>
      </c>
      <c r="DB56">
        <f>126.369</f>
        <v>126.369</v>
      </c>
      <c r="DC56">
        <f>126.586</f>
        <v>126.586</v>
      </c>
      <c r="DD56">
        <f>123.564</f>
        <v>123.56399999999999</v>
      </c>
      <c r="DE56">
        <f>119.161</f>
        <v>119.161</v>
      </c>
      <c r="DF56">
        <f>115.488</f>
        <v>115.488</v>
      </c>
      <c r="DG56">
        <f>99.794</f>
        <v>99.793999999999997</v>
      </c>
      <c r="DH56">
        <f>112.265</f>
        <v>112.265</v>
      </c>
      <c r="DI56">
        <f>108.875</f>
        <v>108.875</v>
      </c>
      <c r="DJ56">
        <f>108.643</f>
        <v>108.643</v>
      </c>
      <c r="DK56">
        <f>107.448</f>
        <v>107.44799999999999</v>
      </c>
      <c r="DL56">
        <f>100.773</f>
        <v>100.773</v>
      </c>
      <c r="DM56">
        <f>100.554</f>
        <v>100.554</v>
      </c>
      <c r="DN56">
        <f>101.909</f>
        <v>101.90900000000001</v>
      </c>
      <c r="DO56">
        <f>101.1149979</f>
        <v>101.11499790000001</v>
      </c>
      <c r="DP56">
        <f>99.293</f>
        <v>99.293000000000006</v>
      </c>
      <c r="DQ56">
        <f>100.2689972</f>
        <v>100.2689972</v>
      </c>
      <c r="DR56">
        <f>96.173</f>
        <v>96.173000000000002</v>
      </c>
      <c r="DS56">
        <f>98.932</f>
        <v>98.932000000000002</v>
      </c>
      <c r="DT56">
        <f>87.229</f>
        <v>87.228999999999999</v>
      </c>
      <c r="DU56">
        <f>86.409</f>
        <v>86.409000000000006</v>
      </c>
    </row>
    <row r="57" spans="1:125">
      <c r="A57" t="str">
        <f>"    Kimco Realty Corp"</f>
        <v xml:space="preserve">    Kimco Realty Corp</v>
      </c>
      <c r="B57" t="str">
        <f>"KIM US Equity"</f>
        <v>KIM US Equity</v>
      </c>
      <c r="C57" t="str">
        <f t="shared" si="9"/>
        <v>IS010</v>
      </c>
      <c r="D57" t="str">
        <f t="shared" si="10"/>
        <v>SALES_REV_TURN</v>
      </c>
      <c r="E57" t="str">
        <f t="shared" si="11"/>
        <v>动态</v>
      </c>
      <c r="F57" t="str">
        <f ca="1">IF(AND(ISNUMBER($F$515),$B$419=1),$F$515,HLOOKUP(INDIRECT(ADDRESS(2,COLUMN())),OFFSET($BN$2,0,0,ROW()-1,60),ROW()-1,FALSE))</f>
        <v/>
      </c>
      <c r="G57">
        <f ca="1">IF(AND(ISNUMBER($G$515),$B$419=1),$G$515,HLOOKUP(INDIRECT(ADDRESS(2,COLUMN())),OFFSET($BN$2,0,0,ROW()-1,60),ROW()-1,FALSE))</f>
        <v>315.22500000000002</v>
      </c>
      <c r="H57">
        <f ca="1">IF(AND(ISNUMBER($H$515),$B$419=1),$H$515,HLOOKUP(INDIRECT(ADDRESS(2,COLUMN())),OFFSET($BN$2,0,0,ROW()-1,60),ROW()-1,FALSE))</f>
        <v>294.84500000000003</v>
      </c>
      <c r="I57">
        <f ca="1">IF(AND(ISNUMBER($I$515),$B$419=1),$I$515,HLOOKUP(INDIRECT(ADDRESS(2,COLUMN())),OFFSET($BN$2,0,0,ROW()-1,60),ROW()-1,FALSE))</f>
        <v>297.17599999999999</v>
      </c>
      <c r="J57">
        <f ca="1">IF(AND(ISNUMBER($J$515),$B$419=1),$J$515,HLOOKUP(INDIRECT(ADDRESS(2,COLUMN())),OFFSET($BN$2,0,0,ROW()-1,60),ROW()-1,FALSE))</f>
        <v>293.58800000000002</v>
      </c>
      <c r="K57">
        <f ca="1">IF(AND(ISNUMBER($K$515),$B$419=1),$K$515,HLOOKUP(INDIRECT(ADDRESS(2,COLUMN())),OFFSET($BN$2,0,0,ROW()-1,60),ROW()-1,FALSE))</f>
        <v>297.02600000000001</v>
      </c>
      <c r="L57">
        <f ca="1">IF(AND(ISNUMBER($L$515),$B$419=1),$L$515,HLOOKUP(INDIRECT(ADDRESS(2,COLUMN())),OFFSET($BN$2,0,0,ROW()-1,60),ROW()-1,FALSE))</f>
        <v>285.07600000000002</v>
      </c>
      <c r="M57">
        <f ca="1">IF(AND(ISNUMBER($M$515),$B$419=1),$M$515,HLOOKUP(INDIRECT(ADDRESS(2,COLUMN())),OFFSET($BN$2,0,0,ROW()-1,60),ROW()-1,FALSE))</f>
        <v>291.488</v>
      </c>
      <c r="N57">
        <f ca="1">IF(AND(ISNUMBER($N$515),$B$419=1),$N$515,HLOOKUP(INDIRECT(ADDRESS(2,COLUMN())),OFFSET($BN$2,0,0,ROW()-1,60),ROW()-1,FALSE))</f>
        <v>297.202</v>
      </c>
      <c r="O57">
        <f ca="1">IF(AND(ISNUMBER($O$515),$B$419=1),$O$515,HLOOKUP(INDIRECT(ADDRESS(2,COLUMN())),OFFSET($BN$2,0,0,ROW()-1,60),ROW()-1,FALSE))</f>
        <v>300.87</v>
      </c>
      <c r="P57">
        <f ca="1">IF(AND(ISNUMBER($P$515),$B$419=1),$P$515,HLOOKUP(INDIRECT(ADDRESS(2,COLUMN())),OFFSET($BN$2,0,0,ROW()-1,60),ROW()-1,FALSE))</f>
        <v>288.38200000000001</v>
      </c>
      <c r="Q57">
        <f ca="1">IF(AND(ISNUMBER($Q$515),$B$419=1),$Q$515,HLOOKUP(INDIRECT(ADDRESS(2,COLUMN())),OFFSET($BN$2,0,0,ROW()-1,60),ROW()-1,FALSE))</f>
        <v>294.06099999999998</v>
      </c>
      <c r="R57">
        <f ca="1">IF(AND(ISNUMBER($R$515),$B$419=1),$R$515,HLOOKUP(INDIRECT(ADDRESS(2,COLUMN())),OFFSET($BN$2,0,0,ROW()-1,60),ROW()-1,FALSE))</f>
        <v>283.45600000000002</v>
      </c>
      <c r="S57">
        <f ca="1">IF(AND(ISNUMBER($S$515),$B$419=1),$S$515,HLOOKUP(INDIRECT(ADDRESS(2,COLUMN())),OFFSET($BN$2,0,0,ROW()-1,60),ROW()-1,FALSE))</f>
        <v>264.512</v>
      </c>
      <c r="T57">
        <f ca="1">IF(AND(ISNUMBER($T$515),$B$419=1),$T$515,HLOOKUP(INDIRECT(ADDRESS(2,COLUMN())),OFFSET($BN$2,0,0,ROW()-1,60),ROW()-1,FALSE))</f>
        <v>255.23400000000001</v>
      </c>
      <c r="U57">
        <f ca="1">IF(AND(ISNUMBER($U$515),$B$419=1),$U$515,HLOOKUP(INDIRECT(ADDRESS(2,COLUMN())),OFFSET($BN$2,0,0,ROW()-1,60),ROW()-1,FALSE))</f>
        <v>245.958</v>
      </c>
      <c r="V57">
        <f ca="1">IF(AND(ISNUMBER($V$515),$B$419=1),$V$515,HLOOKUP(INDIRECT(ADDRESS(2,COLUMN())),OFFSET($BN$2,0,0,ROW()-1,60),ROW()-1,FALSE))</f>
        <v>228.19300000000001</v>
      </c>
      <c r="W57">
        <f ca="1">IF(AND(ISNUMBER($W$515),$B$419=1),$W$515,HLOOKUP(INDIRECT(ADDRESS(2,COLUMN())),OFFSET($BN$2,0,0,ROW()-1,60),ROW()-1,FALSE))</f>
        <v>226.92699999999999</v>
      </c>
      <c r="X57">
        <f ca="1">IF(AND(ISNUMBER($X$515),$B$419=1),$X$515,HLOOKUP(INDIRECT(ADDRESS(2,COLUMN())),OFFSET($BN$2,0,0,ROW()-1,60),ROW()-1,FALSE))</f>
        <v>221.46299999999999</v>
      </c>
      <c r="Y57">
        <f ca="1">IF(AND(ISNUMBER($Y$515),$B$419=1),$Y$515,HLOOKUP(INDIRECT(ADDRESS(2,COLUMN())),OFFSET($BN$2,0,0,ROW()-1,60),ROW()-1,FALSE))</f>
        <v>246.12799999999999</v>
      </c>
      <c r="Z57">
        <f ca="1">IF(AND(ISNUMBER($Z$515),$B$419=1),$Z$515,HLOOKUP(INDIRECT(ADDRESS(2,COLUMN())),OFFSET($BN$2,0,0,ROW()-1,60),ROW()-1,FALSE))</f>
        <v>227.01499999999999</v>
      </c>
      <c r="AA57">
        <f ca="1">IF(AND(ISNUMBER($AA$515),$B$419=1),$AA$515,HLOOKUP(INDIRECT(ADDRESS(2,COLUMN())),OFFSET($BN$2,0,0,ROW()-1,60),ROW()-1,FALSE))</f>
        <v>227.36500000000001</v>
      </c>
      <c r="AB57">
        <f ca="1">IF(AND(ISNUMBER($AB$515),$B$419=1),$AB$515,HLOOKUP(INDIRECT(ADDRESS(2,COLUMN())),OFFSET($BN$2,0,0,ROW()-1,60),ROW()-1,FALSE))</f>
        <v>222.863</v>
      </c>
      <c r="AC57">
        <f ca="1">IF(AND(ISNUMBER($AC$515),$B$419=1),$AC$515,HLOOKUP(INDIRECT(ADDRESS(2,COLUMN())),OFFSET($BN$2,0,0,ROW()-1,60),ROW()-1,FALSE))</f>
        <v>226.51900000000001</v>
      </c>
      <c r="AD57">
        <f ca="1">IF(AND(ISNUMBER($AD$515),$B$419=1),$AD$515,HLOOKUP(INDIRECT(ADDRESS(2,COLUMN())),OFFSET($BN$2,0,0,ROW()-1,60),ROW()-1,FALSE))</f>
        <v>223.989</v>
      </c>
      <c r="AE57">
        <f ca="1">IF(AND(ISNUMBER($AE$515),$B$419=1),$AE$515,HLOOKUP(INDIRECT(ADDRESS(2,COLUMN())),OFFSET($BN$2,0,0,ROW()-1,60),ROW()-1,FALSE))</f>
        <v>220.95699999999999</v>
      </c>
      <c r="AF57">
        <f ca="1">IF(AND(ISNUMBER($AF$515),$B$419=1),$AF$515,HLOOKUP(INDIRECT(ADDRESS(2,COLUMN())),OFFSET($BN$2,0,0,ROW()-1,60),ROW()-1,FALSE))</f>
        <v>213.02500000000001</v>
      </c>
      <c r="AG57">
        <f ca="1">IF(AND(ISNUMBER($AG$515),$B$419=1),$AG$515,HLOOKUP(INDIRECT(ADDRESS(2,COLUMN())),OFFSET($BN$2,0,0,ROW()-1,60),ROW()-1,FALSE))</f>
        <v>220.07400000000001</v>
      </c>
      <c r="AH57">
        <f ca="1">IF(AND(ISNUMBER($AH$515),$B$419=1),$AH$515,HLOOKUP(INDIRECT(ADDRESS(2,COLUMN())),OFFSET($BN$2,0,0,ROW()-1,60),ROW()-1,FALSE))</f>
        <v>225.136</v>
      </c>
      <c r="AI57">
        <f ca="1">IF(AND(ISNUMBER($AI$515),$B$419=1),$AI$515,HLOOKUP(INDIRECT(ADDRESS(2,COLUMN())),OFFSET($BN$2,0,0,ROW()-1,60),ROW()-1,FALSE))</f>
        <v>222.98</v>
      </c>
      <c r="AJ57">
        <f ca="1">IF(AND(ISNUMBER($AJ$515),$B$419=1),$AJ$515,HLOOKUP(INDIRECT(ADDRESS(2,COLUMN())),OFFSET($BN$2,0,0,ROW()-1,60),ROW()-1,FALSE))</f>
        <v>220.03</v>
      </c>
      <c r="AK57">
        <f ca="1">IF(AND(ISNUMBER($AK$515),$B$419=1),$AK$515,HLOOKUP(INDIRECT(ADDRESS(2,COLUMN())),OFFSET($BN$2,0,0,ROW()-1,60),ROW()-1,FALSE))</f>
        <v>222.53399999999999</v>
      </c>
      <c r="AL57">
        <f ca="1">IF(AND(ISNUMBER($AL$515),$B$419=1),$AL$515,HLOOKUP(INDIRECT(ADDRESS(2,COLUMN())),OFFSET($BN$2,0,0,ROW()-1,60),ROW()-1,FALSE))</f>
        <v>226.90700000000001</v>
      </c>
      <c r="AM57">
        <f ca="1">IF(AND(ISNUMBER($AM$515),$B$419=1),$AM$515,HLOOKUP(INDIRECT(ADDRESS(2,COLUMN())),OFFSET($BN$2,0,0,ROW()-1,60),ROW()-1,FALSE))</f>
        <v>228.167</v>
      </c>
      <c r="AN57">
        <f ca="1">IF(AND(ISNUMBER($AN$515),$B$419=1),$AN$515,HLOOKUP(INDIRECT(ADDRESS(2,COLUMN())),OFFSET($BN$2,0,0,ROW()-1,60),ROW()-1,FALSE))</f>
        <v>213.29300000000001</v>
      </c>
      <c r="AO57">
        <f ca="1">IF(AND(ISNUMBER($AO$515),$B$419=1),$AO$515,HLOOKUP(INDIRECT(ADDRESS(2,COLUMN())),OFFSET($BN$2,0,0,ROW()-1,60),ROW()-1,FALSE))</f>
        <v>211.47900000000001</v>
      </c>
      <c r="AP57">
        <f ca="1">IF(AND(ISNUMBER($AP$515),$B$419=1),$AP$515,HLOOKUP(INDIRECT(ADDRESS(2,COLUMN())),OFFSET($BN$2,0,0,ROW()-1,60),ROW()-1,FALSE))</f>
        <v>216.06200000000001</v>
      </c>
      <c r="AQ57">
        <f ca="1">IF(AND(ISNUMBER($AQ$515),$B$419=1),$AQ$515,HLOOKUP(INDIRECT(ADDRESS(2,COLUMN())),OFFSET($BN$2,0,0,ROW()-1,60),ROW()-1,FALSE))</f>
        <v>222.76900000000001</v>
      </c>
      <c r="AR57">
        <f ca="1">IF(AND(ISNUMBER($AR$515),$B$419=1),$AR$515,HLOOKUP(INDIRECT(ADDRESS(2,COLUMN())),OFFSET($BN$2,0,0,ROW()-1,60),ROW()-1,FALSE))</f>
        <v>232.07900000000001</v>
      </c>
      <c r="AS57">
        <f ca="1">IF(AND(ISNUMBER($AS$515),$B$419=1),$AS$515,HLOOKUP(INDIRECT(ADDRESS(2,COLUMN())),OFFSET($BN$2,0,0,ROW()-1,60),ROW()-1,FALSE))</f>
        <v>231.125</v>
      </c>
      <c r="AT57">
        <f ca="1">IF(AND(ISNUMBER($AT$515),$B$419=1),$AT$515,HLOOKUP(INDIRECT(ADDRESS(2,COLUMN())),OFFSET($BN$2,0,0,ROW()-1,60),ROW()-1,FALSE))</f>
        <v>225.374</v>
      </c>
      <c r="AU57">
        <f ca="1">IF(AND(ISNUMBER($AU$515),$B$419=1),$AU$515,HLOOKUP(INDIRECT(ADDRESS(2,COLUMN())),OFFSET($BN$2,0,0,ROW()-1,60),ROW()-1,FALSE))</f>
        <v>193.977</v>
      </c>
      <c r="AV57">
        <f ca="1">IF(AND(ISNUMBER($AV$515),$B$419=1),$AV$515,HLOOKUP(INDIRECT(ADDRESS(2,COLUMN())),OFFSET($BN$2,0,0,ROW()-1,60),ROW()-1,FALSE))</f>
        <v>208.86699999999999</v>
      </c>
      <c r="AW57">
        <f ca="1">IF(AND(ISNUMBER($AW$515),$B$419=1),$AW$515,HLOOKUP(INDIRECT(ADDRESS(2,COLUMN())),OFFSET($BN$2,0,0,ROW()-1,60),ROW()-1,FALSE))</f>
        <v>220.03200000000001</v>
      </c>
      <c r="AX57">
        <f ca="1">IF(AND(ISNUMBER($AX$515),$B$419=1),$AX$515,HLOOKUP(INDIRECT(ADDRESS(2,COLUMN())),OFFSET($BN$2,0,0,ROW()-1,60),ROW()-1,FALSE))</f>
        <v>192.98</v>
      </c>
      <c r="AY57">
        <f ca="1">IF(AND(ISNUMBER($AY$515),$B$419=1),$AY$515,HLOOKUP(INDIRECT(ADDRESS(2,COLUMN())),OFFSET($BN$2,0,0,ROW()-1,60),ROW()-1,FALSE))</f>
        <v>201.107</v>
      </c>
      <c r="AZ57">
        <f ca="1">IF(AND(ISNUMBER($AZ$515),$B$419=1),$AZ$515,HLOOKUP(INDIRECT(ADDRESS(2,COLUMN())),OFFSET($BN$2,0,0,ROW()-1,60),ROW()-1,FALSE))</f>
        <v>149.124</v>
      </c>
      <c r="BA57">
        <f ca="1">IF(AND(ISNUMBER($BA$515),$B$419=1),$BA$515,HLOOKUP(INDIRECT(ADDRESS(2,COLUMN())),OFFSET($BN$2,0,0,ROW()-1,60),ROW()-1,FALSE))</f>
        <v>194.52600000000001</v>
      </c>
      <c r="BB57">
        <f ca="1">IF(AND(ISNUMBER($BB$515),$B$419=1),$BB$515,HLOOKUP(INDIRECT(ADDRESS(2,COLUMN())),OFFSET($BN$2,0,0,ROW()-1,60),ROW()-1,FALSE))</f>
        <v>167.06200000000001</v>
      </c>
      <c r="BC57">
        <f ca="1">IF(AND(ISNUMBER($BC$515),$B$419=1),$BC$515,HLOOKUP(INDIRECT(ADDRESS(2,COLUMN())),OFFSET($BN$2,0,0,ROW()-1,60),ROW()-1,FALSE))</f>
        <v>154.19</v>
      </c>
      <c r="BD57">
        <f ca="1">IF(AND(ISNUMBER($BD$515),$B$419=1),$BD$515,HLOOKUP(INDIRECT(ADDRESS(2,COLUMN())),OFFSET($BN$2,0,0,ROW()-1,60),ROW()-1,FALSE))</f>
        <v>145.88399999999999</v>
      </c>
      <c r="BE57">
        <f ca="1">IF(AND(ISNUMBER($BE$515),$B$419=1),$BE$515,HLOOKUP(INDIRECT(ADDRESS(2,COLUMN())),OFFSET($BN$2,0,0,ROW()-1,60),ROW()-1,FALSE))</f>
        <v>160.54300000000001</v>
      </c>
      <c r="BF57">
        <f ca="1">IF(AND(ISNUMBER($BF$515),$B$419=1),$BF$515,HLOOKUP(INDIRECT(ADDRESS(2,COLUMN())),OFFSET($BN$2,0,0,ROW()-1,60),ROW()-1,FALSE))</f>
        <v>156.68</v>
      </c>
      <c r="BG57">
        <f ca="1">IF(AND(ISNUMBER($BG$515),$B$419=1),$BG$515,HLOOKUP(INDIRECT(ADDRESS(2,COLUMN())),OFFSET($BN$2,0,0,ROW()-1,60),ROW()-1,FALSE))</f>
        <v>148.68</v>
      </c>
      <c r="BH57">
        <f ca="1">IF(AND(ISNUMBER($BH$515),$B$419=1),$BH$515,HLOOKUP(INDIRECT(ADDRESS(2,COLUMN())),OFFSET($BN$2,0,0,ROW()-1,60),ROW()-1,FALSE))</f>
        <v>142.90199999999999</v>
      </c>
      <c r="BI57">
        <f ca="1">IF(AND(ISNUMBER($BI$515),$B$419=1),$BI$515,HLOOKUP(INDIRECT(ADDRESS(2,COLUMN())),OFFSET($BN$2,0,0,ROW()-1,60),ROW()-1,FALSE))</f>
        <v>140.99199999999999</v>
      </c>
      <c r="BJ57">
        <f ca="1">IF(AND(ISNUMBER($BJ$515),$B$419=1),$BJ$515,HLOOKUP(INDIRECT(ADDRESS(2,COLUMN())),OFFSET($BN$2,0,0,ROW()-1,60),ROW()-1,FALSE))</f>
        <v>149.24799999999999</v>
      </c>
      <c r="BK57">
        <f ca="1">IF(AND(ISNUMBER($BK$515),$B$419=1),$BK$515,HLOOKUP(INDIRECT(ADDRESS(2,COLUMN())),OFFSET($BN$2,0,0,ROW()-1,60),ROW()-1,FALSE))</f>
        <v>139.38800000000001</v>
      </c>
      <c r="BL57">
        <f ca="1">IF(AND(ISNUMBER($BL$515),$B$419=1),$BL$515,HLOOKUP(INDIRECT(ADDRESS(2,COLUMN())),OFFSET($BN$2,0,0,ROW()-1,60),ROW()-1,FALSE))</f>
        <v>137.2749939</v>
      </c>
      <c r="BM57">
        <f ca="1">IF(AND(ISNUMBER($BM$515),$B$419=1),$BM$515,HLOOKUP(INDIRECT(ADDRESS(2,COLUMN())),OFFSET($BN$2,0,0,ROW()-1,60),ROW()-1,FALSE))</f>
        <v>124.982</v>
      </c>
      <c r="BN57" t="str">
        <f>""</f>
        <v/>
      </c>
      <c r="BO57">
        <f>315.225</f>
        <v>315.22500000000002</v>
      </c>
      <c r="BP57">
        <f>294.845</f>
        <v>294.84500000000003</v>
      </c>
      <c r="BQ57">
        <f>297.176</f>
        <v>297.17599999999999</v>
      </c>
      <c r="BR57">
        <f>293.588</f>
        <v>293.58800000000002</v>
      </c>
      <c r="BS57">
        <f>297.026</f>
        <v>297.02600000000001</v>
      </c>
      <c r="BT57">
        <f>285.076</f>
        <v>285.07600000000002</v>
      </c>
      <c r="BU57">
        <f>291.488</f>
        <v>291.488</v>
      </c>
      <c r="BV57">
        <f>297.202</f>
        <v>297.202</v>
      </c>
      <c r="BW57">
        <f>300.87</f>
        <v>300.87</v>
      </c>
      <c r="BX57">
        <f>288.382</f>
        <v>288.38200000000001</v>
      </c>
      <c r="BY57">
        <f>294.061</f>
        <v>294.06099999999998</v>
      </c>
      <c r="BZ57">
        <f>283.456</f>
        <v>283.45600000000002</v>
      </c>
      <c r="CA57">
        <f>264.512</f>
        <v>264.512</v>
      </c>
      <c r="CB57">
        <f>255.234</f>
        <v>255.23400000000001</v>
      </c>
      <c r="CC57">
        <f>245.958</f>
        <v>245.958</v>
      </c>
      <c r="CD57">
        <f>228.193</f>
        <v>228.19300000000001</v>
      </c>
      <c r="CE57">
        <f>226.927</f>
        <v>226.92699999999999</v>
      </c>
      <c r="CF57">
        <f>221.463</f>
        <v>221.46299999999999</v>
      </c>
      <c r="CG57">
        <f>246.128</f>
        <v>246.12799999999999</v>
      </c>
      <c r="CH57">
        <f>227.015</f>
        <v>227.01499999999999</v>
      </c>
      <c r="CI57">
        <f>227.365</f>
        <v>227.36500000000001</v>
      </c>
      <c r="CJ57">
        <f>222.863</f>
        <v>222.863</v>
      </c>
      <c r="CK57">
        <f>226.519</f>
        <v>226.51900000000001</v>
      </c>
      <c r="CL57">
        <f>223.989</f>
        <v>223.989</v>
      </c>
      <c r="CM57">
        <f>220.957</f>
        <v>220.95699999999999</v>
      </c>
      <c r="CN57">
        <f>213.025</f>
        <v>213.02500000000001</v>
      </c>
      <c r="CO57">
        <f>220.074</f>
        <v>220.07400000000001</v>
      </c>
      <c r="CP57">
        <f>225.136</f>
        <v>225.136</v>
      </c>
      <c r="CQ57">
        <f>222.98</f>
        <v>222.98</v>
      </c>
      <c r="CR57">
        <f>220.03</f>
        <v>220.03</v>
      </c>
      <c r="CS57">
        <f>222.534</f>
        <v>222.53399999999999</v>
      </c>
      <c r="CT57">
        <f>226.907</f>
        <v>226.90700000000001</v>
      </c>
      <c r="CU57">
        <f>228.167</f>
        <v>228.167</v>
      </c>
      <c r="CV57">
        <f>213.293</f>
        <v>213.29300000000001</v>
      </c>
      <c r="CW57">
        <f>211.479</f>
        <v>211.47900000000001</v>
      </c>
      <c r="CX57">
        <f>216.062</f>
        <v>216.06200000000001</v>
      </c>
      <c r="CY57">
        <f>222.769</f>
        <v>222.76900000000001</v>
      </c>
      <c r="CZ57">
        <f>232.079</f>
        <v>232.07900000000001</v>
      </c>
      <c r="DA57">
        <f>231.125</f>
        <v>231.125</v>
      </c>
      <c r="DB57">
        <f>225.374</f>
        <v>225.374</v>
      </c>
      <c r="DC57">
        <f>193.977</f>
        <v>193.977</v>
      </c>
      <c r="DD57">
        <f>208.867</f>
        <v>208.86699999999999</v>
      </c>
      <c r="DE57">
        <f>220.032</f>
        <v>220.03200000000001</v>
      </c>
      <c r="DF57">
        <f>192.98</f>
        <v>192.98</v>
      </c>
      <c r="DG57">
        <f>201.107</f>
        <v>201.107</v>
      </c>
      <c r="DH57">
        <f>149.124</f>
        <v>149.124</v>
      </c>
      <c r="DI57">
        <f>194.526</f>
        <v>194.52600000000001</v>
      </c>
      <c r="DJ57">
        <f>167.062</f>
        <v>167.06200000000001</v>
      </c>
      <c r="DK57">
        <f>154.19</f>
        <v>154.19</v>
      </c>
      <c r="DL57">
        <f>145.884</f>
        <v>145.88399999999999</v>
      </c>
      <c r="DM57">
        <f>160.543</f>
        <v>160.54300000000001</v>
      </c>
      <c r="DN57">
        <f>156.68</f>
        <v>156.68</v>
      </c>
      <c r="DO57">
        <f>148.68</f>
        <v>148.68</v>
      </c>
      <c r="DP57">
        <f>142.902</f>
        <v>142.90199999999999</v>
      </c>
      <c r="DQ57">
        <f>140.992</f>
        <v>140.99199999999999</v>
      </c>
      <c r="DR57">
        <f>149.248</f>
        <v>149.24799999999999</v>
      </c>
      <c r="DS57">
        <f>139.388</f>
        <v>139.38800000000001</v>
      </c>
      <c r="DT57">
        <f>137.2749939</f>
        <v>137.2749939</v>
      </c>
      <c r="DU57">
        <f>124.982</f>
        <v>124.982</v>
      </c>
    </row>
    <row r="58" spans="1:125">
      <c r="A58" t="str">
        <f>"    National Retail Properties Inc"</f>
        <v xml:space="preserve">    National Retail Properties Inc</v>
      </c>
      <c r="B58" t="str">
        <f>"NNN US Equity"</f>
        <v>NNN US Equity</v>
      </c>
      <c r="C58" t="str">
        <f t="shared" si="9"/>
        <v>IS010</v>
      </c>
      <c r="D58" t="str">
        <f t="shared" si="10"/>
        <v>SALES_REV_TURN</v>
      </c>
      <c r="E58" t="str">
        <f t="shared" si="11"/>
        <v>动态</v>
      </c>
      <c r="F58" t="str">
        <f ca="1">IF(AND(ISNUMBER($F$516),$B$419=1),$F$516,HLOOKUP(INDIRECT(ADDRESS(2,COLUMN())),OFFSET($BN$2,0,0,ROW()-1,60),ROW()-1,FALSE))</f>
        <v/>
      </c>
      <c r="G58">
        <f ca="1">IF(AND(ISNUMBER($G$516),$B$419=1),$G$516,HLOOKUP(INDIRECT(ADDRESS(2,COLUMN())),OFFSET($BN$2,0,0,ROW()-1,60),ROW()-1,FALSE))</f>
        <v>150.24700000000001</v>
      </c>
      <c r="H58">
        <f ca="1">IF(AND(ISNUMBER($H$516),$B$419=1),$H$516,HLOOKUP(INDIRECT(ADDRESS(2,COLUMN())),OFFSET($BN$2,0,0,ROW()-1,60),ROW()-1,FALSE))</f>
        <v>147.70500000000001</v>
      </c>
      <c r="I58">
        <f ca="1">IF(AND(ISNUMBER($I$516),$B$419=1),$I$516,HLOOKUP(INDIRECT(ADDRESS(2,COLUMN())),OFFSET($BN$2,0,0,ROW()-1,60),ROW()-1,FALSE))</f>
        <v>145.55000000000001</v>
      </c>
      <c r="J58">
        <f ca="1">IF(AND(ISNUMBER($J$516),$B$419=1),$J$516,HLOOKUP(INDIRECT(ADDRESS(2,COLUMN())),OFFSET($BN$2,0,0,ROW()-1,60),ROW()-1,FALSE))</f>
        <v>141.43199999999999</v>
      </c>
      <c r="K58">
        <f ca="1">IF(AND(ISNUMBER($K$516),$B$419=1),$K$516,HLOOKUP(INDIRECT(ADDRESS(2,COLUMN())),OFFSET($BN$2,0,0,ROW()-1,60),ROW()-1,FALSE))</f>
        <v>141.19900000000001</v>
      </c>
      <c r="L58">
        <f ca="1">IF(AND(ISNUMBER($L$516),$B$419=1),$L$516,HLOOKUP(INDIRECT(ADDRESS(2,COLUMN())),OFFSET($BN$2,0,0,ROW()-1,60),ROW()-1,FALSE))</f>
        <v>134.541</v>
      </c>
      <c r="M58">
        <f ca="1">IF(AND(ISNUMBER($M$516),$B$419=1),$M$516,HLOOKUP(INDIRECT(ADDRESS(2,COLUMN())),OFFSET($BN$2,0,0,ROW()-1,60),ROW()-1,FALSE))</f>
        <v>130.92599999999999</v>
      </c>
      <c r="N58">
        <f ca="1">IF(AND(ISNUMBER($N$516),$B$419=1),$N$516,HLOOKUP(INDIRECT(ADDRESS(2,COLUMN())),OFFSET($BN$2,0,0,ROW()-1,60),ROW()-1,FALSE))</f>
        <v>126.98</v>
      </c>
      <c r="O58">
        <f ca="1">IF(AND(ISNUMBER($O$516),$B$419=1),$O$516,HLOOKUP(INDIRECT(ADDRESS(2,COLUMN())),OFFSET($BN$2,0,0,ROW()-1,60),ROW()-1,FALSE))</f>
        <v>126.377</v>
      </c>
      <c r="P58">
        <f ca="1">IF(AND(ISNUMBER($P$516),$B$419=1),$P$516,HLOOKUP(INDIRECT(ADDRESS(2,COLUMN())),OFFSET($BN$2,0,0,ROW()-1,60),ROW()-1,FALSE))</f>
        <v>123.143</v>
      </c>
      <c r="Q58">
        <f ca="1">IF(AND(ISNUMBER($Q$516),$B$419=1),$Q$516,HLOOKUP(INDIRECT(ADDRESS(2,COLUMN())),OFFSET($BN$2,0,0,ROW()-1,60),ROW()-1,FALSE))</f>
        <v>117.208</v>
      </c>
      <c r="R58">
        <f ca="1">IF(AND(ISNUMBER($R$516),$B$419=1),$R$516,HLOOKUP(INDIRECT(ADDRESS(2,COLUMN())),OFFSET($BN$2,0,0,ROW()-1,60),ROW()-1,FALSE))</f>
        <v>116.187</v>
      </c>
      <c r="S58">
        <f ca="1">IF(AND(ISNUMBER($S$516),$B$419=1),$S$516,HLOOKUP(INDIRECT(ADDRESS(2,COLUMN())),OFFSET($BN$2,0,0,ROW()-1,60),ROW()-1,FALSE))</f>
        <v>115.315</v>
      </c>
      <c r="T58">
        <f ca="1">IF(AND(ISNUMBER($T$516),$B$419=1),$T$516,HLOOKUP(INDIRECT(ADDRESS(2,COLUMN())),OFFSET($BN$2,0,0,ROW()-1,60),ROW()-1,FALSE))</f>
        <v>109.85599999999999</v>
      </c>
      <c r="U58">
        <f ca="1">IF(AND(ISNUMBER($U$516),$B$419=1),$U$516,HLOOKUP(INDIRECT(ADDRESS(2,COLUMN())),OFFSET($BN$2,0,0,ROW()-1,60),ROW()-1,FALSE))</f>
        <v>105.613</v>
      </c>
      <c r="V58">
        <f ca="1">IF(AND(ISNUMBER($V$516),$B$419=1),$V$516,HLOOKUP(INDIRECT(ADDRESS(2,COLUMN())),OFFSET($BN$2,0,0,ROW()-1,60),ROW()-1,FALSE))</f>
        <v>104.06399999999999</v>
      </c>
      <c r="W58">
        <f ca="1">IF(AND(ISNUMBER($W$516),$B$419=1),$W$516,HLOOKUP(INDIRECT(ADDRESS(2,COLUMN())),OFFSET($BN$2,0,0,ROW()-1,60),ROW()-1,FALSE))</f>
        <v>103.992</v>
      </c>
      <c r="X58">
        <f ca="1">IF(AND(ISNUMBER($X$516),$B$419=1),$X$516,HLOOKUP(INDIRECT(ADDRESS(2,COLUMN())),OFFSET($BN$2,0,0,ROW()-1,60),ROW()-1,FALSE))</f>
        <v>100.621</v>
      </c>
      <c r="Y58">
        <f ca="1">IF(AND(ISNUMBER($Y$516),$B$419=1),$Y$516,HLOOKUP(INDIRECT(ADDRESS(2,COLUMN())),OFFSET($BN$2,0,0,ROW()-1,60),ROW()-1,FALSE))</f>
        <v>96.295000000000002</v>
      </c>
      <c r="Z58">
        <f ca="1">IF(AND(ISNUMBER($Z$516),$B$419=1),$Z$516,HLOOKUP(INDIRECT(ADDRESS(2,COLUMN())),OFFSET($BN$2,0,0,ROW()-1,60),ROW()-1,FALSE))</f>
        <v>92.463999999999999</v>
      </c>
      <c r="AA58">
        <f ca="1">IF(AND(ISNUMBER($AA$516),$B$419=1),$AA$516,HLOOKUP(INDIRECT(ADDRESS(2,COLUMN())),OFFSET($BN$2,0,0,ROW()-1,60),ROW()-1,FALSE))</f>
        <v>89.058999999999997</v>
      </c>
      <c r="AB58">
        <f ca="1">IF(AND(ISNUMBER($AB$516),$B$419=1),$AB$516,HLOOKUP(INDIRECT(ADDRESS(2,COLUMN())),OFFSET($BN$2,0,0,ROW()-1,60),ROW()-1,FALSE))</f>
        <v>84.391000000000005</v>
      </c>
      <c r="AC58">
        <f ca="1">IF(AND(ISNUMBER($AC$516),$B$419=1),$AC$516,HLOOKUP(INDIRECT(ADDRESS(2,COLUMN())),OFFSET($BN$2,0,0,ROW()-1,60),ROW()-1,FALSE))</f>
        <v>88.99</v>
      </c>
      <c r="AD58">
        <f ca="1">IF(AND(ISNUMBER($AD$516),$B$419=1),$AD$516,HLOOKUP(INDIRECT(ADDRESS(2,COLUMN())),OFFSET($BN$2,0,0,ROW()-1,60),ROW()-1,FALSE))</f>
        <v>88.608999999999995</v>
      </c>
      <c r="AE58">
        <f ca="1">IF(AND(ISNUMBER($AE$516),$B$419=1),$AE$516,HLOOKUP(INDIRECT(ADDRESS(2,COLUMN())),OFFSET($BN$2,0,0,ROW()-1,60),ROW()-1,FALSE))</f>
        <v>84.394999999999996</v>
      </c>
      <c r="AF58">
        <f ca="1">IF(AND(ISNUMBER($AF$516),$B$419=1),$AF$516,HLOOKUP(INDIRECT(ADDRESS(2,COLUMN())),OFFSET($BN$2,0,0,ROW()-1,60),ROW()-1,FALSE))</f>
        <v>79.028000000000006</v>
      </c>
      <c r="AG58">
        <f ca="1">IF(AND(ISNUMBER($AG$516),$B$419=1),$AG$516,HLOOKUP(INDIRECT(ADDRESS(2,COLUMN())),OFFSET($BN$2,0,0,ROW()-1,60),ROW()-1,FALSE))</f>
        <v>74.314999999999998</v>
      </c>
      <c r="AH58">
        <f ca="1">IF(AND(ISNUMBER($AH$516),$B$419=1),$AH$516,HLOOKUP(INDIRECT(ADDRESS(2,COLUMN())),OFFSET($BN$2,0,0,ROW()-1,60),ROW()-1,FALSE))</f>
        <v>70.379000000000005</v>
      </c>
      <c r="AI58">
        <f ca="1">IF(AND(ISNUMBER($AI$516),$B$419=1),$AI$516,HLOOKUP(INDIRECT(ADDRESS(2,COLUMN())),OFFSET($BN$2,0,0,ROW()-1,60),ROW()-1,FALSE))</f>
        <v>68.016000000000005</v>
      </c>
      <c r="AJ58">
        <f ca="1">IF(AND(ISNUMBER($AJ$516),$B$419=1),$AJ$516,HLOOKUP(INDIRECT(ADDRESS(2,COLUMN())),OFFSET($BN$2,0,0,ROW()-1,60),ROW()-1,FALSE))</f>
        <v>65.528000000000006</v>
      </c>
      <c r="AK58">
        <f ca="1">IF(AND(ISNUMBER($AK$516),$B$419=1),$AK$516,HLOOKUP(INDIRECT(ADDRESS(2,COLUMN())),OFFSET($BN$2,0,0,ROW()-1,60),ROW()-1,FALSE))</f>
        <v>65.108000000000004</v>
      </c>
      <c r="AL58">
        <f ca="1">IF(AND(ISNUMBER($AL$516),$B$419=1),$AL$516,HLOOKUP(INDIRECT(ADDRESS(2,COLUMN())),OFFSET($BN$2,0,0,ROW()-1,60),ROW()-1,FALSE))</f>
        <v>63.03</v>
      </c>
      <c r="AM58">
        <f ca="1">IF(AND(ISNUMBER($AM$516),$B$419=1),$AM$516,HLOOKUP(INDIRECT(ADDRESS(2,COLUMN())),OFFSET($BN$2,0,0,ROW()-1,60),ROW()-1,FALSE))</f>
        <v>65.784999999999997</v>
      </c>
      <c r="AN58">
        <f ca="1">IF(AND(ISNUMBER($AN$516),$B$419=1),$AN$516,HLOOKUP(INDIRECT(ADDRESS(2,COLUMN())),OFFSET($BN$2,0,0,ROW()-1,60),ROW()-1,FALSE))</f>
        <v>64.438000000000002</v>
      </c>
      <c r="AO58">
        <f ca="1">IF(AND(ISNUMBER($AO$516),$B$419=1),$AO$516,HLOOKUP(INDIRECT(ADDRESS(2,COLUMN())),OFFSET($BN$2,0,0,ROW()-1,60),ROW()-1,FALSE))</f>
        <v>58.185000000000002</v>
      </c>
      <c r="AP58">
        <f ca="1">IF(AND(ISNUMBER($AP$516),$B$419=1),$AP$516,HLOOKUP(INDIRECT(ADDRESS(2,COLUMN())),OFFSET($BN$2,0,0,ROW()-1,60),ROW()-1,FALSE))</f>
        <v>58.19</v>
      </c>
      <c r="AQ58">
        <f ca="1">IF(AND(ISNUMBER($AQ$516),$B$419=1),$AQ$516,HLOOKUP(INDIRECT(ADDRESS(2,COLUMN())),OFFSET($BN$2,0,0,ROW()-1,60),ROW()-1,FALSE))</f>
        <v>57.454000000000001</v>
      </c>
      <c r="AR58">
        <f ca="1">IF(AND(ISNUMBER($AR$516),$B$419=1),$AR$516,HLOOKUP(INDIRECT(ADDRESS(2,COLUMN())),OFFSET($BN$2,0,0,ROW()-1,60),ROW()-1,FALSE))</f>
        <v>58.496000000000002</v>
      </c>
      <c r="AS58">
        <f ca="1">IF(AND(ISNUMBER($AS$516),$B$419=1),$AS$516,HLOOKUP(INDIRECT(ADDRESS(2,COLUMN())),OFFSET($BN$2,0,0,ROW()-1,60),ROW()-1,FALSE))</f>
        <v>56.369</v>
      </c>
      <c r="AT58">
        <f ca="1">IF(AND(ISNUMBER($AT$516),$B$419=1),$AT$516,HLOOKUP(INDIRECT(ADDRESS(2,COLUMN())),OFFSET($BN$2,0,0,ROW()-1,60),ROW()-1,FALSE))</f>
        <v>54.009</v>
      </c>
      <c r="AU58">
        <f ca="1">IF(AND(ISNUMBER($AU$516),$B$419=1),$AU$516,HLOOKUP(INDIRECT(ADDRESS(2,COLUMN())),OFFSET($BN$2,0,0,ROW()-1,60),ROW()-1,FALSE))</f>
        <v>46.851999999999997</v>
      </c>
      <c r="AV58">
        <f ca="1">IF(AND(ISNUMBER($AV$516),$B$419=1),$AV$516,HLOOKUP(INDIRECT(ADDRESS(2,COLUMN())),OFFSET($BN$2,0,0,ROW()-1,60),ROW()-1,FALSE))</f>
        <v>46.564</v>
      </c>
      <c r="AW58">
        <f ca="1">IF(AND(ISNUMBER($AW$516),$B$419=1),$AW$516,HLOOKUP(INDIRECT(ADDRESS(2,COLUMN())),OFFSET($BN$2,0,0,ROW()-1,60),ROW()-1,FALSE))</f>
        <v>46.021999360000002</v>
      </c>
      <c r="AX58">
        <f ca="1">IF(AND(ISNUMBER($AX$516),$B$419=1),$AX$516,HLOOKUP(INDIRECT(ADDRESS(2,COLUMN())),OFFSET($BN$2,0,0,ROW()-1,60),ROW()-1,FALSE))</f>
        <v>41.436999999999998</v>
      </c>
      <c r="AY58">
        <f ca="1">IF(AND(ISNUMBER($AY$516),$B$419=1),$AY$516,HLOOKUP(INDIRECT(ADDRESS(2,COLUMN())),OFFSET($BN$2,0,0,ROW()-1,60),ROW()-1,FALSE))</f>
        <v>37.16999817</v>
      </c>
      <c r="AZ58">
        <f ca="1">IF(AND(ISNUMBER($AZ$516),$B$419=1),$AZ$516,HLOOKUP(INDIRECT(ADDRESS(2,COLUMN())),OFFSET($BN$2,0,0,ROW()-1,60),ROW()-1,FALSE))</f>
        <v>35.92</v>
      </c>
      <c r="BA58">
        <f ca="1">IF(AND(ISNUMBER($BA$516),$B$419=1),$BA$516,HLOOKUP(INDIRECT(ADDRESS(2,COLUMN())),OFFSET($BN$2,0,0,ROW()-1,60),ROW()-1,FALSE))</f>
        <v>35.562000269999999</v>
      </c>
      <c r="BB58">
        <f ca="1">IF(AND(ISNUMBER($BB$516),$B$419=1),$BB$516,HLOOKUP(INDIRECT(ADDRESS(2,COLUMN())),OFFSET($BN$2,0,0,ROW()-1,60),ROW()-1,FALSE))</f>
        <v>36.32</v>
      </c>
      <c r="BC58">
        <f ca="1">IF(AND(ISNUMBER($BC$516),$B$419=1),$BC$516,HLOOKUP(INDIRECT(ADDRESS(2,COLUMN())),OFFSET($BN$2,0,0,ROW()-1,60),ROW()-1,FALSE))</f>
        <v>29.624000550000002</v>
      </c>
      <c r="BD58">
        <f ca="1">IF(AND(ISNUMBER($BD$516),$B$419=1),$BD$516,HLOOKUP(INDIRECT(ADDRESS(2,COLUMN())),OFFSET($BN$2,0,0,ROW()-1,60),ROW()-1,FALSE))</f>
        <v>32.189998629999998</v>
      </c>
      <c r="BE58">
        <f ca="1">IF(AND(ISNUMBER($BE$516),$B$419=1),$BE$516,HLOOKUP(INDIRECT(ADDRESS(2,COLUMN())),OFFSET($BN$2,0,0,ROW()-1,60),ROW()-1,FALSE))</f>
        <v>31.165000920000001</v>
      </c>
      <c r="BF58">
        <f ca="1">IF(AND(ISNUMBER($BF$516),$B$419=1),$BF$516,HLOOKUP(INDIRECT(ADDRESS(2,COLUMN())),OFFSET($BN$2,0,0,ROW()-1,60),ROW()-1,FALSE))</f>
        <v>27.481999999999999</v>
      </c>
      <c r="BG58">
        <f ca="1">IF(AND(ISNUMBER($BG$516),$B$419=1),$BG$516,HLOOKUP(INDIRECT(ADDRESS(2,COLUMN())),OFFSET($BN$2,0,0,ROW()-1,60),ROW()-1,FALSE))</f>
        <v>32.549999999999997</v>
      </c>
      <c r="BH58">
        <f ca="1">IF(AND(ISNUMBER($BH$516),$B$419=1),$BH$516,HLOOKUP(INDIRECT(ADDRESS(2,COLUMN())),OFFSET($BN$2,0,0,ROW()-1,60),ROW()-1,FALSE))</f>
        <v>31.556999999999999</v>
      </c>
      <c r="BI58">
        <f ca="1">IF(AND(ISNUMBER($BI$516),$B$419=1),$BI$516,HLOOKUP(INDIRECT(ADDRESS(2,COLUMN())),OFFSET($BN$2,0,0,ROW()-1,60),ROW()-1,FALSE))</f>
        <v>32.305</v>
      </c>
      <c r="BJ58">
        <f ca="1">IF(AND(ISNUMBER($BJ$516),$B$419=1),$BJ$516,HLOOKUP(INDIRECT(ADDRESS(2,COLUMN())),OFFSET($BN$2,0,0,ROW()-1,60),ROW()-1,FALSE))</f>
        <v>32.511000000000003</v>
      </c>
      <c r="BK58">
        <f ca="1">IF(AND(ISNUMBER($BK$516),$B$419=1),$BK$516,HLOOKUP(INDIRECT(ADDRESS(2,COLUMN())),OFFSET($BN$2,0,0,ROW()-1,60),ROW()-1,FALSE))</f>
        <v>27.969000000000001</v>
      </c>
      <c r="BL58">
        <f ca="1">IF(AND(ISNUMBER($BL$516),$B$419=1),$BL$516,HLOOKUP(INDIRECT(ADDRESS(2,COLUMN())),OFFSET($BN$2,0,0,ROW()-1,60),ROW()-1,FALSE))</f>
        <v>28.353000640000001</v>
      </c>
      <c r="BM58">
        <f ca="1">IF(AND(ISNUMBER($BM$516),$B$419=1),$BM$516,HLOOKUP(INDIRECT(ADDRESS(2,COLUMN())),OFFSET($BN$2,0,0,ROW()-1,60),ROW()-1,FALSE))</f>
        <v>22.998000000000001</v>
      </c>
      <c r="BN58" t="str">
        <f>""</f>
        <v/>
      </c>
      <c r="BO58">
        <f>150.247</f>
        <v>150.24700000000001</v>
      </c>
      <c r="BP58">
        <f>147.705</f>
        <v>147.70500000000001</v>
      </c>
      <c r="BQ58">
        <f>145.55</f>
        <v>145.55000000000001</v>
      </c>
      <c r="BR58">
        <f>141.432</f>
        <v>141.43199999999999</v>
      </c>
      <c r="BS58">
        <f>141.199</f>
        <v>141.19900000000001</v>
      </c>
      <c r="BT58">
        <f>134.541</f>
        <v>134.541</v>
      </c>
      <c r="BU58">
        <f>130.926</f>
        <v>130.92599999999999</v>
      </c>
      <c r="BV58">
        <f>126.98</f>
        <v>126.98</v>
      </c>
      <c r="BW58">
        <f>126.377</f>
        <v>126.377</v>
      </c>
      <c r="BX58">
        <f>123.143</f>
        <v>123.143</v>
      </c>
      <c r="BY58">
        <f>117.208</f>
        <v>117.208</v>
      </c>
      <c r="BZ58">
        <f>116.187</f>
        <v>116.187</v>
      </c>
      <c r="CA58">
        <f>115.315</f>
        <v>115.315</v>
      </c>
      <c r="CB58">
        <f>109.856</f>
        <v>109.85599999999999</v>
      </c>
      <c r="CC58">
        <f>105.613</f>
        <v>105.613</v>
      </c>
      <c r="CD58">
        <f>104.064</f>
        <v>104.06399999999999</v>
      </c>
      <c r="CE58">
        <f>103.992</f>
        <v>103.992</v>
      </c>
      <c r="CF58">
        <f>100.621</f>
        <v>100.621</v>
      </c>
      <c r="CG58">
        <f>96.295</f>
        <v>96.295000000000002</v>
      </c>
      <c r="CH58">
        <f>92.464</f>
        <v>92.463999999999999</v>
      </c>
      <c r="CI58">
        <f>89.059</f>
        <v>89.058999999999997</v>
      </c>
      <c r="CJ58">
        <f>84.391</f>
        <v>84.391000000000005</v>
      </c>
      <c r="CK58">
        <f>88.99</f>
        <v>88.99</v>
      </c>
      <c r="CL58">
        <f>88.609</f>
        <v>88.608999999999995</v>
      </c>
      <c r="CM58">
        <f>84.395</f>
        <v>84.394999999999996</v>
      </c>
      <c r="CN58">
        <f>79.028</f>
        <v>79.028000000000006</v>
      </c>
      <c r="CO58">
        <f>74.315</f>
        <v>74.314999999999998</v>
      </c>
      <c r="CP58">
        <f>70.379</f>
        <v>70.379000000000005</v>
      </c>
      <c r="CQ58">
        <f>68.016</f>
        <v>68.016000000000005</v>
      </c>
      <c r="CR58">
        <f>65.528</f>
        <v>65.528000000000006</v>
      </c>
      <c r="CS58">
        <f>65.108</f>
        <v>65.108000000000004</v>
      </c>
      <c r="CT58">
        <f>63.03</f>
        <v>63.03</v>
      </c>
      <c r="CU58">
        <f>65.785</f>
        <v>65.784999999999997</v>
      </c>
      <c r="CV58">
        <f>64.438</f>
        <v>64.438000000000002</v>
      </c>
      <c r="CW58">
        <f>58.185</f>
        <v>58.185000000000002</v>
      </c>
      <c r="CX58">
        <f>58.19</f>
        <v>58.19</v>
      </c>
      <c r="CY58">
        <f>57.454</f>
        <v>57.454000000000001</v>
      </c>
      <c r="CZ58">
        <f>58.496</f>
        <v>58.496000000000002</v>
      </c>
      <c r="DA58">
        <f>56.369</f>
        <v>56.369</v>
      </c>
      <c r="DB58">
        <f>54.009</f>
        <v>54.009</v>
      </c>
      <c r="DC58">
        <f>46.852</f>
        <v>46.851999999999997</v>
      </c>
      <c r="DD58">
        <f>46.564</f>
        <v>46.564</v>
      </c>
      <c r="DE58">
        <f>46.02199936</f>
        <v>46.021999360000002</v>
      </c>
      <c r="DF58">
        <f>41.437</f>
        <v>41.436999999999998</v>
      </c>
      <c r="DG58">
        <f>37.16999817</f>
        <v>37.16999817</v>
      </c>
      <c r="DH58">
        <f>35.92</f>
        <v>35.92</v>
      </c>
      <c r="DI58">
        <f>35.56200027</f>
        <v>35.562000269999999</v>
      </c>
      <c r="DJ58">
        <f>36.32</f>
        <v>36.32</v>
      </c>
      <c r="DK58">
        <f>29.62400055</f>
        <v>29.624000550000002</v>
      </c>
      <c r="DL58">
        <f>32.18999863</f>
        <v>32.189998629999998</v>
      </c>
      <c r="DM58">
        <f>31.16500092</f>
        <v>31.165000920000001</v>
      </c>
      <c r="DN58">
        <f>27.482</f>
        <v>27.481999999999999</v>
      </c>
      <c r="DO58">
        <f>32.55</f>
        <v>32.549999999999997</v>
      </c>
      <c r="DP58">
        <f>31.557</f>
        <v>31.556999999999999</v>
      </c>
      <c r="DQ58">
        <f>32.305</f>
        <v>32.305</v>
      </c>
      <c r="DR58">
        <f>32.511</f>
        <v>32.511000000000003</v>
      </c>
      <c r="DS58">
        <f>27.969</f>
        <v>27.969000000000001</v>
      </c>
      <c r="DT58">
        <f>28.35300064</f>
        <v>28.353000640000001</v>
      </c>
      <c r="DU58">
        <f>22.998</f>
        <v>22.998000000000001</v>
      </c>
    </row>
    <row r="59" spans="1:125">
      <c r="A59" t="str">
        <f>"    Realty Income Corp"</f>
        <v xml:space="preserve">    Realty Income Corp</v>
      </c>
      <c r="B59" t="str">
        <f>"O US Equity"</f>
        <v>O US Equity</v>
      </c>
      <c r="C59" t="str">
        <f t="shared" si="9"/>
        <v>IS010</v>
      </c>
      <c r="D59" t="str">
        <f t="shared" si="10"/>
        <v>SALES_REV_TURN</v>
      </c>
      <c r="E59" t="str">
        <f t="shared" si="11"/>
        <v>动态</v>
      </c>
      <c r="F59" t="str">
        <f ca="1">IF(AND(ISNUMBER($F$517),$B$419=1),$F$517,HLOOKUP(INDIRECT(ADDRESS(2,COLUMN())),OFFSET($BN$2,0,0,ROW()-1,60),ROW()-1,FALSE))</f>
        <v/>
      </c>
      <c r="G59">
        <f ca="1">IF(AND(ISNUMBER($G$517),$B$419=1),$G$517,HLOOKUP(INDIRECT(ADDRESS(2,COLUMN())),OFFSET($BN$2,0,0,ROW()-1,60),ROW()-1,FALSE))</f>
        <v>310.654</v>
      </c>
      <c r="H59">
        <f ca="1">IF(AND(ISNUMBER($H$517),$B$419=1),$H$517,HLOOKUP(INDIRECT(ADDRESS(2,COLUMN())),OFFSET($BN$2,0,0,ROW()-1,60),ROW()-1,FALSE))</f>
        <v>306.92</v>
      </c>
      <c r="I59">
        <f ca="1">IF(AND(ISNUMBER($I$517),$B$419=1),$I$517,HLOOKUP(INDIRECT(ADDRESS(2,COLUMN())),OFFSET($BN$2,0,0,ROW()-1,60),ROW()-1,FALSE))</f>
        <v>300.17</v>
      </c>
      <c r="J59">
        <f ca="1">IF(AND(ISNUMBER($J$517),$B$419=1),$J$517,HLOOKUP(INDIRECT(ADDRESS(2,COLUMN())),OFFSET($BN$2,0,0,ROW()-1,60),ROW()-1,FALSE))</f>
        <v>298.02499999999998</v>
      </c>
      <c r="K59">
        <f ca="1">IF(AND(ISNUMBER($K$517),$B$419=1),$K$517,HLOOKUP(INDIRECT(ADDRESS(2,COLUMN())),OFFSET($BN$2,0,0,ROW()-1,60),ROW()-1,FALSE))</f>
        <v>287.84300000000002</v>
      </c>
      <c r="L59">
        <f ca="1">IF(AND(ISNUMBER($L$517),$B$419=1),$L$517,HLOOKUP(INDIRECT(ADDRESS(2,COLUMN())),OFFSET($BN$2,0,0,ROW()-1,60),ROW()-1,FALSE))</f>
        <v>277.17399999999998</v>
      </c>
      <c r="M59">
        <f ca="1">IF(AND(ISNUMBER($M$517),$B$419=1),$M$517,HLOOKUP(INDIRECT(ADDRESS(2,COLUMN())),OFFSET($BN$2,0,0,ROW()-1,60),ROW()-1,FALSE))</f>
        <v>271.03899999999999</v>
      </c>
      <c r="N59">
        <f ca="1">IF(AND(ISNUMBER($N$517),$B$419=1),$N$517,HLOOKUP(INDIRECT(ADDRESS(2,COLUMN())),OFFSET($BN$2,0,0,ROW()-1,60),ROW()-1,FALSE))</f>
        <v>267.11599999999999</v>
      </c>
      <c r="O59">
        <f ca="1">IF(AND(ISNUMBER($O$517),$B$419=1),$O$517,HLOOKUP(INDIRECT(ADDRESS(2,COLUMN())),OFFSET($BN$2,0,0,ROW()-1,60),ROW()-1,FALSE))</f>
        <v>263.66800000000001</v>
      </c>
      <c r="P59">
        <f ca="1">IF(AND(ISNUMBER($P$517),$B$419=1),$P$517,HLOOKUP(INDIRECT(ADDRESS(2,COLUMN())),OFFSET($BN$2,0,0,ROW()-1,60),ROW()-1,FALSE))</f>
        <v>258.88900000000001</v>
      </c>
      <c r="Q59">
        <f ca="1">IF(AND(ISNUMBER($Q$517),$B$419=1),$Q$517,HLOOKUP(INDIRECT(ADDRESS(2,COLUMN())),OFFSET($BN$2,0,0,ROW()-1,60),ROW()-1,FALSE))</f>
        <v>253.86</v>
      </c>
      <c r="R59">
        <f ca="1">IF(AND(ISNUMBER($R$517),$B$419=1),$R$517,HLOOKUP(INDIRECT(ADDRESS(2,COLUMN())),OFFSET($BN$2,0,0,ROW()-1,60),ROW()-1,FALSE))</f>
        <v>246.86699999999999</v>
      </c>
      <c r="S59">
        <f ca="1">IF(AND(ISNUMBER($S$517),$B$419=1),$S$517,HLOOKUP(INDIRECT(ADDRESS(2,COLUMN())),OFFSET($BN$2,0,0,ROW()-1,60),ROW()-1,FALSE))</f>
        <v>247.57300000000001</v>
      </c>
      <c r="T59">
        <f ca="1">IF(AND(ISNUMBER($T$517),$B$419=1),$T$517,HLOOKUP(INDIRECT(ADDRESS(2,COLUMN())),OFFSET($BN$2,0,0,ROW()-1,60),ROW()-1,FALSE))</f>
        <v>235.71299999999999</v>
      </c>
      <c r="U59">
        <f ca="1">IF(AND(ISNUMBER($U$517),$B$419=1),$U$517,HLOOKUP(INDIRECT(ADDRESS(2,COLUMN())),OFFSET($BN$2,0,0,ROW()-1,60),ROW()-1,FALSE))</f>
        <v>228.64599999999999</v>
      </c>
      <c r="V59">
        <f ca="1">IF(AND(ISNUMBER($V$517),$B$419=1),$V$517,HLOOKUP(INDIRECT(ADDRESS(2,COLUMN())),OFFSET($BN$2,0,0,ROW()-1,60),ROW()-1,FALSE))</f>
        <v>221.572</v>
      </c>
      <c r="W59">
        <f ca="1">IF(AND(ISNUMBER($W$517),$B$419=1),$W$517,HLOOKUP(INDIRECT(ADDRESS(2,COLUMN())),OFFSET($BN$2,0,0,ROW()-1,60),ROW()-1,FALSE))</f>
        <v>216.16300000000001</v>
      </c>
      <c r="X59">
        <f ca="1">IF(AND(ISNUMBER($X$517),$B$419=1),$X$517,HLOOKUP(INDIRECT(ADDRESS(2,COLUMN())),OFFSET($BN$2,0,0,ROW()-1,60),ROW()-1,FALSE))</f>
        <v>202.08099999999999</v>
      </c>
      <c r="Y59">
        <f ca="1">IF(AND(ISNUMBER($Y$517),$B$419=1),$Y$517,HLOOKUP(INDIRECT(ADDRESS(2,COLUMN())),OFFSET($BN$2,0,0,ROW()-1,60),ROW()-1,FALSE))</f>
        <v>186.44300000000001</v>
      </c>
      <c r="Z59">
        <f ca="1">IF(AND(ISNUMBER($Z$517),$B$419=1),$Z$517,HLOOKUP(INDIRECT(ADDRESS(2,COLUMN())),OFFSET($BN$2,0,0,ROW()-1,60),ROW()-1,FALSE))</f>
        <v>175.52199999999999</v>
      </c>
      <c r="AA59">
        <f ca="1">IF(AND(ISNUMBER($AA$517),$B$419=1),$AA$517,HLOOKUP(INDIRECT(ADDRESS(2,COLUMN())),OFFSET($BN$2,0,0,ROW()-1,60),ROW()-1,FALSE))</f>
        <v>132.803</v>
      </c>
      <c r="AB59">
        <f ca="1">IF(AND(ISNUMBER($AB$517),$B$419=1),$AB$517,HLOOKUP(INDIRECT(ADDRESS(2,COLUMN())),OFFSET($BN$2,0,0,ROW()-1,60),ROW()-1,FALSE))</f>
        <v>117.149</v>
      </c>
      <c r="AC59">
        <f ca="1">IF(AND(ISNUMBER($AC$517),$B$419=1),$AC$517,HLOOKUP(INDIRECT(ADDRESS(2,COLUMN())),OFFSET($BN$2,0,0,ROW()-1,60),ROW()-1,FALSE))</f>
        <v>113.133</v>
      </c>
      <c r="AD59">
        <f ca="1">IF(AND(ISNUMBER($AD$517),$B$419=1),$AD$517,HLOOKUP(INDIRECT(ADDRESS(2,COLUMN())),OFFSET($BN$2,0,0,ROW()-1,60),ROW()-1,FALSE))</f>
        <v>112.30500000000001</v>
      </c>
      <c r="AE59">
        <f ca="1">IF(AND(ISNUMBER($AE$517),$B$419=1),$AE$517,HLOOKUP(INDIRECT(ADDRESS(2,COLUMN())),OFFSET($BN$2,0,0,ROW()-1,60),ROW()-1,FALSE))</f>
        <v>111.755</v>
      </c>
      <c r="AF59">
        <f ca="1">IF(AND(ISNUMBER($AF$517),$B$419=1),$AF$517,HLOOKUP(INDIRECT(ADDRESS(2,COLUMN())),OFFSET($BN$2,0,0,ROW()-1,60),ROW()-1,FALSE))</f>
        <v>106.23</v>
      </c>
      <c r="AG59">
        <f ca="1">IF(AND(ISNUMBER($AG$517),$B$419=1),$AG$517,HLOOKUP(INDIRECT(ADDRESS(2,COLUMN())),OFFSET($BN$2,0,0,ROW()-1,60),ROW()-1,FALSE))</f>
        <v>101.62</v>
      </c>
      <c r="AH59">
        <f ca="1">IF(AND(ISNUMBER($AH$517),$B$419=1),$AH$517,HLOOKUP(INDIRECT(ADDRESS(2,COLUMN())),OFFSET($BN$2,0,0,ROW()-1,60),ROW()-1,FALSE))</f>
        <v>97.284000000000006</v>
      </c>
      <c r="AI59">
        <f ca="1">IF(AND(ISNUMBER($AI$517),$B$419=1),$AI$517,HLOOKUP(INDIRECT(ADDRESS(2,COLUMN())),OFFSET($BN$2,0,0,ROW()-1,60),ROW()-1,FALSE))</f>
        <v>92.245000000000005</v>
      </c>
      <c r="AJ59">
        <f ca="1">IF(AND(ISNUMBER($AJ$517),$B$419=1),$AJ$517,HLOOKUP(INDIRECT(ADDRESS(2,COLUMN())),OFFSET($BN$2,0,0,ROW()-1,60),ROW()-1,FALSE))</f>
        <v>86.832999999999998</v>
      </c>
      <c r="AK59">
        <f ca="1">IF(AND(ISNUMBER($AK$517),$B$419=1),$AK$517,HLOOKUP(INDIRECT(ADDRESS(2,COLUMN())),OFFSET($BN$2,0,0,ROW()-1,60),ROW()-1,FALSE))</f>
        <v>82.397000000000006</v>
      </c>
      <c r="AL59">
        <f ca="1">IF(AND(ISNUMBER($AL$517),$B$419=1),$AL$517,HLOOKUP(INDIRECT(ADDRESS(2,COLUMN())),OFFSET($BN$2,0,0,ROW()-1,60),ROW()-1,FALSE))</f>
        <v>82.617999999999995</v>
      </c>
      <c r="AM59">
        <f ca="1">IF(AND(ISNUMBER($AM$517),$B$419=1),$AM$517,HLOOKUP(INDIRECT(ADDRESS(2,COLUMN())),OFFSET($BN$2,0,0,ROW()-1,60),ROW()-1,FALSE))</f>
        <v>81.286000000000001</v>
      </c>
      <c r="AN59">
        <f ca="1">IF(AND(ISNUMBER($AN$517),$B$419=1),$AN$517,HLOOKUP(INDIRECT(ADDRESS(2,COLUMN())),OFFSET($BN$2,0,0,ROW()-1,60),ROW()-1,FALSE))</f>
        <v>81.462999999999994</v>
      </c>
      <c r="AO59">
        <f ca="1">IF(AND(ISNUMBER($AO$517),$B$419=1),$AO$517,HLOOKUP(INDIRECT(ADDRESS(2,COLUMN())),OFFSET($BN$2,0,0,ROW()-1,60),ROW()-1,FALSE))</f>
        <v>81.301000000000002</v>
      </c>
      <c r="AP59">
        <f ca="1">IF(AND(ISNUMBER($AP$517),$B$419=1),$AP$517,HLOOKUP(INDIRECT(ADDRESS(2,COLUMN())),OFFSET($BN$2,0,0,ROW()-1,60),ROW()-1,FALSE))</f>
        <v>82.531999999999996</v>
      </c>
      <c r="AQ59">
        <f ca="1">IF(AND(ISNUMBER($AQ$517),$B$419=1),$AQ$517,HLOOKUP(INDIRECT(ADDRESS(2,COLUMN())),OFFSET($BN$2,0,0,ROW()-1,60),ROW()-1,FALSE))</f>
        <v>82.203000000000003</v>
      </c>
      <c r="AR59">
        <f ca="1">IF(AND(ISNUMBER($AR$517),$B$419=1),$AR$517,HLOOKUP(INDIRECT(ADDRESS(2,COLUMN())),OFFSET($BN$2,0,0,ROW()-1,60),ROW()-1,FALSE))</f>
        <v>82.222999999999999</v>
      </c>
      <c r="AS59">
        <f ca="1">IF(AND(ISNUMBER($AS$517),$B$419=1),$AS$517,HLOOKUP(INDIRECT(ADDRESS(2,COLUMN())),OFFSET($BN$2,0,0,ROW()-1,60),ROW()-1,FALSE))</f>
        <v>82.061999999999998</v>
      </c>
      <c r="AT59">
        <f ca="1">IF(AND(ISNUMBER($AT$517),$B$419=1),$AT$517,HLOOKUP(INDIRECT(ADDRESS(2,COLUMN())),OFFSET($BN$2,0,0,ROW()-1,60),ROW()-1,FALSE))</f>
        <v>82.688999999999993</v>
      </c>
      <c r="AU59">
        <f ca="1">IF(AND(ISNUMBER($AU$517),$B$419=1),$AU$517,HLOOKUP(INDIRECT(ADDRESS(2,COLUMN())),OFFSET($BN$2,0,0,ROW()-1,60),ROW()-1,FALSE))</f>
        <v>80.114999999999995</v>
      </c>
      <c r="AV59">
        <f ca="1">IF(AND(ISNUMBER($AV$517),$B$419=1),$AV$517,HLOOKUP(INDIRECT(ADDRESS(2,COLUMN())),OFFSET($BN$2,0,0,ROW()-1,60),ROW()-1,FALSE))</f>
        <v>73.522003170000005</v>
      </c>
      <c r="AW59">
        <f ca="1">IF(AND(ISNUMBER($AW$517),$B$419=1),$AW$517,HLOOKUP(INDIRECT(ADDRESS(2,COLUMN())),OFFSET($BN$2,0,0,ROW()-1,60),ROW()-1,FALSE))</f>
        <v>70.324996949999999</v>
      </c>
      <c r="AX59">
        <f ca="1">IF(AND(ISNUMBER($AX$517),$B$419=1),$AX$517,HLOOKUP(INDIRECT(ADDRESS(2,COLUMN())),OFFSET($BN$2,0,0,ROW()-1,60),ROW()-1,FALSE))</f>
        <v>71.33</v>
      </c>
      <c r="AY59">
        <f ca="1">IF(AND(ISNUMBER($AY$517),$B$419=1),$AY$517,HLOOKUP(INDIRECT(ADDRESS(2,COLUMN())),OFFSET($BN$2,0,0,ROW()-1,60),ROW()-1,FALSE))</f>
        <v>68.778000000000006</v>
      </c>
      <c r="AZ59">
        <f ca="1">IF(AND(ISNUMBER($AZ$517),$B$419=1),$AZ$517,HLOOKUP(INDIRECT(ADDRESS(2,COLUMN())),OFFSET($BN$2,0,0,ROW()-1,60),ROW()-1,FALSE))</f>
        <v>59.164000000000001</v>
      </c>
      <c r="BA59">
        <f ca="1">IF(AND(ISNUMBER($BA$517),$B$419=1),$BA$517,HLOOKUP(INDIRECT(ADDRESS(2,COLUMN())),OFFSET($BN$2,0,0,ROW()-1,60),ROW()-1,FALSE))</f>
        <v>56.469001769999998</v>
      </c>
      <c r="BB59">
        <f ca="1">IF(AND(ISNUMBER($BB$517),$B$419=1),$BB$517,HLOOKUP(INDIRECT(ADDRESS(2,COLUMN())),OFFSET($BN$2,0,0,ROW()-1,60),ROW()-1,FALSE))</f>
        <v>55.118000000000002</v>
      </c>
      <c r="BC59">
        <f ca="1">IF(AND(ISNUMBER($BC$517),$B$419=1),$BC$517,HLOOKUP(INDIRECT(ADDRESS(2,COLUMN())),OFFSET($BN$2,0,0,ROW()-1,60),ROW()-1,FALSE))</f>
        <v>53.365000000000002</v>
      </c>
      <c r="BD59">
        <f ca="1">IF(AND(ISNUMBER($BD$517),$B$419=1),$BD$517,HLOOKUP(INDIRECT(ADDRESS(2,COLUMN())),OFFSET($BN$2,0,0,ROW()-1,60),ROW()-1,FALSE))</f>
        <v>48.887001040000001</v>
      </c>
      <c r="BE59">
        <f ca="1">IF(AND(ISNUMBER($BE$517),$B$419=1),$BE$517,HLOOKUP(INDIRECT(ADDRESS(2,COLUMN())),OFFSET($BN$2,0,0,ROW()-1,60),ROW()-1,FALSE))</f>
        <v>47.215000150000002</v>
      </c>
      <c r="BF59">
        <f ca="1">IF(AND(ISNUMBER($BF$517),$B$419=1),$BF$517,HLOOKUP(INDIRECT(ADDRESS(2,COLUMN())),OFFSET($BN$2,0,0,ROW()-1,60),ROW()-1,FALSE))</f>
        <v>46.553001399999999</v>
      </c>
      <c r="BG59">
        <f ca="1">IF(AND(ISNUMBER($BG$517),$B$419=1),$BG$517,HLOOKUP(INDIRECT(ADDRESS(2,COLUMN())),OFFSET($BN$2,0,0,ROW()-1,60),ROW()-1,FALSE))</f>
        <v>43.155999999999999</v>
      </c>
      <c r="BH59">
        <f ca="1">IF(AND(ISNUMBER($BH$517),$B$419=1),$BH$517,HLOOKUP(INDIRECT(ADDRESS(2,COLUMN())),OFFSET($BN$2,0,0,ROW()-1,60),ROW()-1,FALSE))</f>
        <v>43.655000000000001</v>
      </c>
      <c r="BI59">
        <f ca="1">IF(AND(ISNUMBER($BI$517),$B$419=1),$BI$517,HLOOKUP(INDIRECT(ADDRESS(2,COLUMN())),OFFSET($BN$2,0,0,ROW()-1,60),ROW()-1,FALSE))</f>
        <v>43.832999999999998</v>
      </c>
      <c r="BJ59">
        <f ca="1">IF(AND(ISNUMBER($BJ$517),$B$419=1),$BJ$517,HLOOKUP(INDIRECT(ADDRESS(2,COLUMN())),OFFSET($BN$2,0,0,ROW()-1,60),ROW()-1,FALSE))</f>
        <v>42.39599991</v>
      </c>
      <c r="BK59">
        <f ca="1">IF(AND(ISNUMBER($BK$517),$B$419=1),$BK$517,HLOOKUP(INDIRECT(ADDRESS(2,COLUMN())),OFFSET($BN$2,0,0,ROW()-1,60),ROW()-1,FALSE))</f>
        <v>39.986000060000002</v>
      </c>
      <c r="BL59">
        <f ca="1">IF(AND(ISNUMBER($BL$517),$B$419=1),$BL$517,HLOOKUP(INDIRECT(ADDRESS(2,COLUMN())),OFFSET($BN$2,0,0,ROW()-1,60),ROW()-1,FALSE))</f>
        <v>36.27099991</v>
      </c>
      <c r="BM59">
        <f ca="1">IF(AND(ISNUMBER($BM$517),$B$419=1),$BM$517,HLOOKUP(INDIRECT(ADDRESS(2,COLUMN())),OFFSET($BN$2,0,0,ROW()-1,60),ROW()-1,FALSE))</f>
        <v>35.409999849999998</v>
      </c>
      <c r="BN59" t="str">
        <f>""</f>
        <v/>
      </c>
      <c r="BO59">
        <f>310.654</f>
        <v>310.654</v>
      </c>
      <c r="BP59">
        <f>306.92</f>
        <v>306.92</v>
      </c>
      <c r="BQ59">
        <f>300.17</f>
        <v>300.17</v>
      </c>
      <c r="BR59">
        <f>298.025</f>
        <v>298.02499999999998</v>
      </c>
      <c r="BS59">
        <f>287.843</f>
        <v>287.84300000000002</v>
      </c>
      <c r="BT59">
        <f>277.174</f>
        <v>277.17399999999998</v>
      </c>
      <c r="BU59">
        <f>271.039</f>
        <v>271.03899999999999</v>
      </c>
      <c r="BV59">
        <f>267.116</f>
        <v>267.11599999999999</v>
      </c>
      <c r="BW59">
        <f>263.668</f>
        <v>263.66800000000001</v>
      </c>
      <c r="BX59">
        <f>258.889</f>
        <v>258.88900000000001</v>
      </c>
      <c r="BY59">
        <f>253.86</f>
        <v>253.86</v>
      </c>
      <c r="BZ59">
        <f>246.867</f>
        <v>246.86699999999999</v>
      </c>
      <c r="CA59">
        <f>247.573</f>
        <v>247.57300000000001</v>
      </c>
      <c r="CB59">
        <f>235.713</f>
        <v>235.71299999999999</v>
      </c>
      <c r="CC59">
        <f>228.646</f>
        <v>228.64599999999999</v>
      </c>
      <c r="CD59">
        <f>221.572</f>
        <v>221.572</v>
      </c>
      <c r="CE59">
        <f>216.163</f>
        <v>216.16300000000001</v>
      </c>
      <c r="CF59">
        <f>202.081</f>
        <v>202.08099999999999</v>
      </c>
      <c r="CG59">
        <f>186.443</f>
        <v>186.44300000000001</v>
      </c>
      <c r="CH59">
        <f>175.522</f>
        <v>175.52199999999999</v>
      </c>
      <c r="CI59">
        <f>132.803</f>
        <v>132.803</v>
      </c>
      <c r="CJ59">
        <f>117.149</f>
        <v>117.149</v>
      </c>
      <c r="CK59">
        <f>113.133</f>
        <v>113.133</v>
      </c>
      <c r="CL59">
        <f>112.305</f>
        <v>112.30500000000001</v>
      </c>
      <c r="CM59">
        <f>111.755</f>
        <v>111.755</v>
      </c>
      <c r="CN59">
        <f>106.23</f>
        <v>106.23</v>
      </c>
      <c r="CO59">
        <f>101.62</f>
        <v>101.62</v>
      </c>
      <c r="CP59">
        <f>97.284</f>
        <v>97.284000000000006</v>
      </c>
      <c r="CQ59">
        <f>92.245</f>
        <v>92.245000000000005</v>
      </c>
      <c r="CR59">
        <f>86.833</f>
        <v>86.832999999999998</v>
      </c>
      <c r="CS59">
        <f>82.397</f>
        <v>82.397000000000006</v>
      </c>
      <c r="CT59">
        <f>82.618</f>
        <v>82.617999999999995</v>
      </c>
      <c r="CU59">
        <f>81.286</f>
        <v>81.286000000000001</v>
      </c>
      <c r="CV59">
        <f>81.463</f>
        <v>81.462999999999994</v>
      </c>
      <c r="CW59">
        <f>81.301</f>
        <v>81.301000000000002</v>
      </c>
      <c r="CX59">
        <f>82.532</f>
        <v>82.531999999999996</v>
      </c>
      <c r="CY59">
        <f>82.203</f>
        <v>82.203000000000003</v>
      </c>
      <c r="CZ59">
        <f>82.223</f>
        <v>82.222999999999999</v>
      </c>
      <c r="DA59">
        <f>82.062</f>
        <v>82.061999999999998</v>
      </c>
      <c r="DB59">
        <f>82.689</f>
        <v>82.688999999999993</v>
      </c>
      <c r="DC59">
        <f>80.115</f>
        <v>80.114999999999995</v>
      </c>
      <c r="DD59">
        <f>73.52200317</f>
        <v>73.522003170000005</v>
      </c>
      <c r="DE59">
        <f>70.32499695</f>
        <v>70.324996949999999</v>
      </c>
      <c r="DF59">
        <f>71.33</f>
        <v>71.33</v>
      </c>
      <c r="DG59">
        <f>68.778</f>
        <v>68.778000000000006</v>
      </c>
      <c r="DH59">
        <f>59.164</f>
        <v>59.164000000000001</v>
      </c>
      <c r="DI59">
        <f>56.46900177</f>
        <v>56.469001769999998</v>
      </c>
      <c r="DJ59">
        <f>55.118</f>
        <v>55.118000000000002</v>
      </c>
      <c r="DK59">
        <f>53.365</f>
        <v>53.365000000000002</v>
      </c>
      <c r="DL59">
        <f>48.88700104</f>
        <v>48.887001040000001</v>
      </c>
      <c r="DM59">
        <f>47.21500015</f>
        <v>47.215000150000002</v>
      </c>
      <c r="DN59">
        <f>46.5530014</f>
        <v>46.553001399999999</v>
      </c>
      <c r="DO59">
        <f>43.156</f>
        <v>43.155999999999999</v>
      </c>
      <c r="DP59">
        <f>43.655</f>
        <v>43.655000000000001</v>
      </c>
      <c r="DQ59">
        <f>43.833</f>
        <v>43.832999999999998</v>
      </c>
      <c r="DR59">
        <f>42.39599991</f>
        <v>42.39599991</v>
      </c>
      <c r="DS59">
        <f>39.98600006</f>
        <v>39.986000060000002</v>
      </c>
      <c r="DT59">
        <f>36.27099991</f>
        <v>36.27099991</v>
      </c>
      <c r="DU59">
        <f>35.40999985</f>
        <v>35.409999849999998</v>
      </c>
    </row>
    <row r="60" spans="1:125">
      <c r="A60" t="str">
        <f>"    Regency Centers Corp"</f>
        <v xml:space="preserve">    Regency Centers Corp</v>
      </c>
      <c r="B60" t="str">
        <f>"REG US Equity"</f>
        <v>REG US Equity</v>
      </c>
      <c r="C60" t="str">
        <f t="shared" si="9"/>
        <v>IS010</v>
      </c>
      <c r="D60" t="str">
        <f t="shared" si="10"/>
        <v>SALES_REV_TURN</v>
      </c>
      <c r="E60" t="str">
        <f t="shared" si="11"/>
        <v>动态</v>
      </c>
      <c r="F60" t="str">
        <f ca="1">IF(AND(ISNUMBER($F$518),$B$419=1),$F$518,HLOOKUP(INDIRECT(ADDRESS(2,COLUMN())),OFFSET($BN$2,0,0,ROW()-1,60),ROW()-1,FALSE))</f>
        <v/>
      </c>
      <c r="G60">
        <f ca="1">IF(AND(ISNUMBER($G$518),$B$419=1),$G$518,HLOOKUP(INDIRECT(ADDRESS(2,COLUMN())),OFFSET($BN$2,0,0,ROW()-1,60),ROW()-1,FALSE))</f>
        <v>264.75099999999998</v>
      </c>
      <c r="H60">
        <f ca="1">IF(AND(ISNUMBER($H$518),$B$419=1),$H$518,HLOOKUP(INDIRECT(ADDRESS(2,COLUMN())),OFFSET($BN$2,0,0,ROW()-1,60),ROW()-1,FALSE))</f>
        <v>262.14100000000002</v>
      </c>
      <c r="I60">
        <f ca="1">IF(AND(ISNUMBER($I$518),$B$419=1),$I$518,HLOOKUP(INDIRECT(ADDRESS(2,COLUMN())),OFFSET($BN$2,0,0,ROW()-1,60),ROW()-1,FALSE))</f>
        <v>261.30500000000001</v>
      </c>
      <c r="J60">
        <f ca="1">IF(AND(ISNUMBER($J$518),$B$419=1),$J$518,HLOOKUP(INDIRECT(ADDRESS(2,COLUMN())),OFFSET($BN$2,0,0,ROW()-1,60),ROW()-1,FALSE))</f>
        <v>196.131</v>
      </c>
      <c r="K60">
        <f ca="1">IF(AND(ISNUMBER($K$518),$B$419=1),$K$518,HLOOKUP(INDIRECT(ADDRESS(2,COLUMN())),OFFSET($BN$2,0,0,ROW()-1,60),ROW()-1,FALSE))</f>
        <v>159.56100000000001</v>
      </c>
      <c r="L60">
        <f ca="1">IF(AND(ISNUMBER($L$518),$B$419=1),$L$518,HLOOKUP(INDIRECT(ADDRESS(2,COLUMN())),OFFSET($BN$2,0,0,ROW()-1,60),ROW()-1,FALSE))</f>
        <v>152.768</v>
      </c>
      <c r="M60">
        <f ca="1">IF(AND(ISNUMBER($M$518),$B$419=1),$M$518,HLOOKUP(INDIRECT(ADDRESS(2,COLUMN())),OFFSET($BN$2,0,0,ROW()-1,60),ROW()-1,FALSE))</f>
        <v>152.41200000000001</v>
      </c>
      <c r="N60">
        <f ca="1">IF(AND(ISNUMBER($N$518),$B$419=1),$N$518,HLOOKUP(INDIRECT(ADDRESS(2,COLUMN())),OFFSET($BN$2,0,0,ROW()-1,60),ROW()-1,FALSE))</f>
        <v>149.62799999999999</v>
      </c>
      <c r="O60">
        <f ca="1">IF(AND(ISNUMBER($O$518),$B$419=1),$O$518,HLOOKUP(INDIRECT(ADDRESS(2,COLUMN())),OFFSET($BN$2,0,0,ROW()-1,60),ROW()-1,FALSE))</f>
        <v>146.16800000000001</v>
      </c>
      <c r="P60">
        <f ca="1">IF(AND(ISNUMBER($P$518),$B$419=1),$P$518,HLOOKUP(INDIRECT(ADDRESS(2,COLUMN())),OFFSET($BN$2,0,0,ROW()-1,60),ROW()-1,FALSE))</f>
        <v>142.06800000000001</v>
      </c>
      <c r="Q60">
        <f ca="1">IF(AND(ISNUMBER($Q$518),$B$419=1),$Q$518,HLOOKUP(INDIRECT(ADDRESS(2,COLUMN())),OFFSET($BN$2,0,0,ROW()-1,60),ROW()-1,FALSE))</f>
        <v>141.12899999999999</v>
      </c>
      <c r="R60">
        <f ca="1">IF(AND(ISNUMBER($R$518),$B$419=1),$R$518,HLOOKUP(INDIRECT(ADDRESS(2,COLUMN())),OFFSET($BN$2,0,0,ROW()-1,60),ROW()-1,FALSE))</f>
        <v>140.399</v>
      </c>
      <c r="S60">
        <f ca="1">IF(AND(ISNUMBER($S$518),$B$419=1),$S$518,HLOOKUP(INDIRECT(ADDRESS(2,COLUMN())),OFFSET($BN$2,0,0,ROW()-1,60),ROW()-1,FALSE))</f>
        <v>136.16499999999999</v>
      </c>
      <c r="T60">
        <f ca="1">IF(AND(ISNUMBER($T$518),$B$419=1),$T$518,HLOOKUP(INDIRECT(ADDRESS(2,COLUMN())),OFFSET($BN$2,0,0,ROW()-1,60),ROW()-1,FALSE))</f>
        <v>133.559</v>
      </c>
      <c r="U60">
        <f ca="1">IF(AND(ISNUMBER($U$518),$B$419=1),$U$518,HLOOKUP(INDIRECT(ADDRESS(2,COLUMN())),OFFSET($BN$2,0,0,ROW()-1,60),ROW()-1,FALSE))</f>
        <v>134.892</v>
      </c>
      <c r="V60">
        <f ca="1">IF(AND(ISNUMBER($V$518),$B$419=1),$V$518,HLOOKUP(INDIRECT(ADDRESS(2,COLUMN())),OFFSET($BN$2,0,0,ROW()-1,60),ROW()-1,FALSE))</f>
        <v>133.28</v>
      </c>
      <c r="W60">
        <f ca="1">IF(AND(ISNUMBER($W$518),$B$419=1),$W$518,HLOOKUP(INDIRECT(ADDRESS(2,COLUMN())),OFFSET($BN$2,0,0,ROW()-1,60),ROW()-1,FALSE))</f>
        <v>126.005</v>
      </c>
      <c r="X60">
        <f ca="1">IF(AND(ISNUMBER($X$518),$B$419=1),$X$518,HLOOKUP(INDIRECT(ADDRESS(2,COLUMN())),OFFSET($BN$2,0,0,ROW()-1,60),ROW()-1,FALSE))</f>
        <v>120.318</v>
      </c>
      <c r="Y60">
        <f ca="1">IF(AND(ISNUMBER($Y$518),$B$419=1),$Y$518,HLOOKUP(INDIRECT(ADDRESS(2,COLUMN())),OFFSET($BN$2,0,0,ROW()-1,60),ROW()-1,FALSE))</f>
        <v>122.307</v>
      </c>
      <c r="Z60">
        <f ca="1">IF(AND(ISNUMBER($Z$518),$B$419=1),$Z$518,HLOOKUP(INDIRECT(ADDRESS(2,COLUMN())),OFFSET($BN$2,0,0,ROW()-1,60),ROW()-1,FALSE))</f>
        <v>120.378</v>
      </c>
      <c r="AA60">
        <f ca="1">IF(AND(ISNUMBER($AA$518),$B$419=1),$AA$518,HLOOKUP(INDIRECT(ADDRESS(2,COLUMN())),OFFSET($BN$2,0,0,ROW()-1,60),ROW()-1,FALSE))</f>
        <v>116.23</v>
      </c>
      <c r="AB60">
        <f ca="1">IF(AND(ISNUMBER($AB$518),$B$419=1),$AB$518,HLOOKUP(INDIRECT(ADDRESS(2,COLUMN())),OFFSET($BN$2,0,0,ROW()-1,60),ROW()-1,FALSE))</f>
        <v>115.589</v>
      </c>
      <c r="AC60">
        <f ca="1">IF(AND(ISNUMBER($AC$518),$B$419=1),$AC$518,HLOOKUP(INDIRECT(ADDRESS(2,COLUMN())),OFFSET($BN$2,0,0,ROW()-1,60),ROW()-1,FALSE))</f>
        <v>126.765</v>
      </c>
      <c r="AD60">
        <f ca="1">IF(AND(ISNUMBER($AD$518),$B$419=1),$AD$518,HLOOKUP(INDIRECT(ADDRESS(2,COLUMN())),OFFSET($BN$2,0,0,ROW()-1,60),ROW()-1,FALSE))</f>
        <v>126.24299999999999</v>
      </c>
      <c r="AE60">
        <f ca="1">IF(AND(ISNUMBER($AE$518),$B$419=1),$AE$518,HLOOKUP(INDIRECT(ADDRESS(2,COLUMN())),OFFSET($BN$2,0,0,ROW()-1,60),ROW()-1,FALSE))</f>
        <v>123.59699999999999</v>
      </c>
      <c r="AF60">
        <f ca="1">IF(AND(ISNUMBER($AF$518),$B$419=1),$AF$518,HLOOKUP(INDIRECT(ADDRESS(2,COLUMN())),OFFSET($BN$2,0,0,ROW()-1,60),ROW()-1,FALSE))</f>
        <v>123.02</v>
      </c>
      <c r="AG60">
        <f ca="1">IF(AND(ISNUMBER($AG$518),$B$419=1),$AG$518,HLOOKUP(INDIRECT(ADDRESS(2,COLUMN())),OFFSET($BN$2,0,0,ROW()-1,60),ROW()-1,FALSE))</f>
        <v>124.643</v>
      </c>
      <c r="AH60">
        <f ca="1">IF(AND(ISNUMBER($AH$518),$B$419=1),$AH$518,HLOOKUP(INDIRECT(ADDRESS(2,COLUMN())),OFFSET($BN$2,0,0,ROW()-1,60),ROW()-1,FALSE))</f>
        <v>124.328</v>
      </c>
      <c r="AI60">
        <f ca="1">IF(AND(ISNUMBER($AI$518),$B$419=1),$AI$518,HLOOKUP(INDIRECT(ADDRESS(2,COLUMN())),OFFSET($BN$2,0,0,ROW()-1,60),ROW()-1,FALSE))</f>
        <v>117.58475900000001</v>
      </c>
      <c r="AJ60">
        <f ca="1">IF(AND(ISNUMBER($AJ$518),$B$419=1),$AJ$518,HLOOKUP(INDIRECT(ADDRESS(2,COLUMN())),OFFSET($BN$2,0,0,ROW()-1,60),ROW()-1,FALSE))</f>
        <v>120.79300000000001</v>
      </c>
      <c r="AK60">
        <f ca="1">IF(AND(ISNUMBER($AK$518),$B$419=1),$AK$518,HLOOKUP(INDIRECT(ADDRESS(2,COLUMN())),OFFSET($BN$2,0,0,ROW()-1,60),ROW()-1,FALSE))</f>
        <v>121.251</v>
      </c>
      <c r="AL60">
        <f ca="1">IF(AND(ISNUMBER($AL$518),$B$419=1),$AL$518,HLOOKUP(INDIRECT(ADDRESS(2,COLUMN())),OFFSET($BN$2,0,0,ROW()-1,60),ROW()-1,FALSE))</f>
        <v>124.078</v>
      </c>
      <c r="AM60">
        <f ca="1">IF(AND(ISNUMBER($AM$518),$B$419=1),$AM$518,HLOOKUP(INDIRECT(ADDRESS(2,COLUMN())),OFFSET($BN$2,0,0,ROW()-1,60),ROW()-1,FALSE))</f>
        <v>121.34206500000001</v>
      </c>
      <c r="AN60">
        <f ca="1">IF(AND(ISNUMBER($AN$518),$B$419=1),$AN$518,HLOOKUP(INDIRECT(ADDRESS(2,COLUMN())),OFFSET($BN$2,0,0,ROW()-1,60),ROW()-1,FALSE))</f>
        <v>132.321</v>
      </c>
      <c r="AO60">
        <f ca="1">IF(AND(ISNUMBER($AO$518),$B$419=1),$AO$518,HLOOKUP(INDIRECT(ADDRESS(2,COLUMN())),OFFSET($BN$2,0,0,ROW()-1,60),ROW()-1,FALSE))</f>
        <v>115.294</v>
      </c>
      <c r="AP60">
        <f ca="1">IF(AND(ISNUMBER($AP$518),$B$419=1),$AP$518,HLOOKUP(INDIRECT(ADDRESS(2,COLUMN())),OFFSET($BN$2,0,0,ROW()-1,60),ROW()-1,FALSE))</f>
        <v>119.714</v>
      </c>
      <c r="AQ60">
        <f ca="1">IF(AND(ISNUMBER($AQ$518),$B$419=1),$AQ$518,HLOOKUP(INDIRECT(ADDRESS(2,COLUMN())),OFFSET($BN$2,0,0,ROW()-1,60),ROW()-1,FALSE))</f>
        <v>140.649979</v>
      </c>
      <c r="AR60">
        <f ca="1">IF(AND(ISNUMBER($AR$518),$B$419=1),$AR$518,HLOOKUP(INDIRECT(ADDRESS(2,COLUMN())),OFFSET($BN$2,0,0,ROW()-1,60),ROW()-1,FALSE))</f>
        <v>121.291</v>
      </c>
      <c r="AS60">
        <f ca="1">IF(AND(ISNUMBER($AS$518),$B$419=1),$AS$518,HLOOKUP(INDIRECT(ADDRESS(2,COLUMN())),OFFSET($BN$2,0,0,ROW()-1,60),ROW()-1,FALSE))</f>
        <v>120.92</v>
      </c>
      <c r="AT60">
        <f ca="1">IF(AND(ISNUMBER($AT$518),$B$419=1),$AT$518,HLOOKUP(INDIRECT(ADDRESS(2,COLUMN())),OFFSET($BN$2,0,0,ROW()-1,60),ROW()-1,FALSE))</f>
        <v>115.505</v>
      </c>
      <c r="AU60">
        <f ca="1">IF(AND(ISNUMBER($AU$518),$B$419=1),$AU$518,HLOOKUP(INDIRECT(ADDRESS(2,COLUMN())),OFFSET($BN$2,0,0,ROW()-1,60),ROW()-1,FALSE))</f>
        <v>107.63</v>
      </c>
      <c r="AV60">
        <f ca="1">IF(AND(ISNUMBER($AV$518),$B$419=1),$AV$518,HLOOKUP(INDIRECT(ADDRESS(2,COLUMN())),OFFSET($BN$2,0,0,ROW()-1,60),ROW()-1,FALSE))</f>
        <v>114.7</v>
      </c>
      <c r="AW60">
        <f ca="1">IF(AND(ISNUMBER($AW$518),$B$419=1),$AW$518,HLOOKUP(INDIRECT(ADDRESS(2,COLUMN())),OFFSET($BN$2,0,0,ROW()-1,60),ROW()-1,FALSE))</f>
        <v>107.839</v>
      </c>
      <c r="AX60">
        <f ca="1">IF(AND(ISNUMBER($AX$518),$B$419=1),$AX$518,HLOOKUP(INDIRECT(ADDRESS(2,COLUMN())),OFFSET($BN$2,0,0,ROW()-1,60),ROW()-1,FALSE))</f>
        <v>106.413</v>
      </c>
      <c r="AY60">
        <f ca="1">IF(AND(ISNUMBER($AY$518),$B$419=1),$AY$518,HLOOKUP(INDIRECT(ADDRESS(2,COLUMN())),OFFSET($BN$2,0,0,ROW()-1,60),ROW()-1,FALSE))</f>
        <v>109.14100000000001</v>
      </c>
      <c r="AZ60">
        <f ca="1">IF(AND(ISNUMBER($AZ$518),$B$419=1),$AZ$518,HLOOKUP(INDIRECT(ADDRESS(2,COLUMN())),OFFSET($BN$2,0,0,ROW()-1,60),ROW()-1,FALSE))</f>
        <v>102.617</v>
      </c>
      <c r="BA60">
        <f ca="1">IF(AND(ISNUMBER($BA$518),$B$419=1),$BA$518,HLOOKUP(INDIRECT(ADDRESS(2,COLUMN())),OFFSET($BN$2,0,0,ROW()-1,60),ROW()-1,FALSE))</f>
        <v>105.4</v>
      </c>
      <c r="BB60">
        <f ca="1">IF(AND(ISNUMBER($BB$518),$B$419=1),$BB$518,HLOOKUP(INDIRECT(ADDRESS(2,COLUMN())),OFFSET($BN$2,0,0,ROW()-1,60),ROW()-1,FALSE))</f>
        <v>99.81</v>
      </c>
      <c r="BC60">
        <f ca="1">IF(AND(ISNUMBER($BC$518),$B$419=1),$BC$518,HLOOKUP(INDIRECT(ADDRESS(2,COLUMN())),OFFSET($BN$2,0,0,ROW()-1,60),ROW()-1,FALSE))</f>
        <v>88.843999999999994</v>
      </c>
      <c r="BD60">
        <f ca="1">IF(AND(ISNUMBER($BD$518),$B$419=1),$BD$518,HLOOKUP(INDIRECT(ADDRESS(2,COLUMN())),OFFSET($BN$2,0,0,ROW()-1,60),ROW()-1,FALSE))</f>
        <v>90.31</v>
      </c>
      <c r="BE60">
        <f ca="1">IF(AND(ISNUMBER($BE$518),$B$419=1),$BE$518,HLOOKUP(INDIRECT(ADDRESS(2,COLUMN())),OFFSET($BN$2,0,0,ROW()-1,60),ROW()-1,FALSE))</f>
        <v>106.88800000000001</v>
      </c>
      <c r="BF60">
        <f ca="1">IF(AND(ISNUMBER($BF$518),$B$419=1),$BF$518,HLOOKUP(INDIRECT(ADDRESS(2,COLUMN())),OFFSET($BN$2,0,0,ROW()-1,60),ROW()-1,FALSE))</f>
        <v>95.94</v>
      </c>
      <c r="BG60">
        <f ca="1">IF(AND(ISNUMBER($BG$518),$B$419=1),$BG$518,HLOOKUP(INDIRECT(ADDRESS(2,COLUMN())),OFFSET($BN$2,0,0,ROW()-1,60),ROW()-1,FALSE))</f>
        <v>103.71899999999999</v>
      </c>
      <c r="BH60">
        <f ca="1">IF(AND(ISNUMBER($BH$518),$B$419=1),$BH$518,HLOOKUP(INDIRECT(ADDRESS(2,COLUMN())),OFFSET($BN$2,0,0,ROW()-1,60),ROW()-1,FALSE))</f>
        <v>92.498000000000005</v>
      </c>
      <c r="BI60">
        <f ca="1">IF(AND(ISNUMBER($BI$518),$B$419=1),$BI$518,HLOOKUP(INDIRECT(ADDRESS(2,COLUMN())),OFFSET($BN$2,0,0,ROW()-1,60),ROW()-1,FALSE))</f>
        <v>93.990996999999993</v>
      </c>
      <c r="BJ60">
        <f ca="1">IF(AND(ISNUMBER($BJ$518),$B$419=1),$BJ$518,HLOOKUP(INDIRECT(ADDRESS(2,COLUMN())),OFFSET($BN$2,0,0,ROW()-1,60),ROW()-1,FALSE))</f>
        <v>90.544998000000007</v>
      </c>
      <c r="BK60">
        <f ca="1">IF(AND(ISNUMBER($BK$518),$B$419=1),$BK$518,HLOOKUP(INDIRECT(ADDRESS(2,COLUMN())),OFFSET($BN$2,0,0,ROW()-1,60),ROW()-1,FALSE))</f>
        <v>90.25800323</v>
      </c>
      <c r="BL60">
        <f ca="1">IF(AND(ISNUMBER($BL$518),$B$419=1),$BL$518,HLOOKUP(INDIRECT(ADDRESS(2,COLUMN())),OFFSET($BN$2,0,0,ROW()-1,60),ROW()-1,FALSE))</f>
        <v>88.730002999999996</v>
      </c>
      <c r="BM60">
        <f ca="1">IF(AND(ISNUMBER($BM$518),$B$419=1),$BM$518,HLOOKUP(INDIRECT(ADDRESS(2,COLUMN())),OFFSET($BN$2,0,0,ROW()-1,60),ROW()-1,FALSE))</f>
        <v>89.213997000000006</v>
      </c>
      <c r="BN60" t="str">
        <f>""</f>
        <v/>
      </c>
      <c r="BO60">
        <f>264.751</f>
        <v>264.75099999999998</v>
      </c>
      <c r="BP60">
        <f>262.141</f>
        <v>262.14100000000002</v>
      </c>
      <c r="BQ60">
        <f>261.305</f>
        <v>261.30500000000001</v>
      </c>
      <c r="BR60">
        <f>196.131</f>
        <v>196.131</v>
      </c>
      <c r="BS60">
        <f>159.561</f>
        <v>159.56100000000001</v>
      </c>
      <c r="BT60">
        <f>152.768</f>
        <v>152.768</v>
      </c>
      <c r="BU60">
        <f>152.412</f>
        <v>152.41200000000001</v>
      </c>
      <c r="BV60">
        <f>149.628</f>
        <v>149.62799999999999</v>
      </c>
      <c r="BW60">
        <f>146.168</f>
        <v>146.16800000000001</v>
      </c>
      <c r="BX60">
        <f>142.068</f>
        <v>142.06800000000001</v>
      </c>
      <c r="BY60">
        <f>141.129</f>
        <v>141.12899999999999</v>
      </c>
      <c r="BZ60">
        <f>140.399</f>
        <v>140.399</v>
      </c>
      <c r="CA60">
        <f>136.165</f>
        <v>136.16499999999999</v>
      </c>
      <c r="CB60">
        <f>133.559</f>
        <v>133.559</v>
      </c>
      <c r="CC60">
        <f>134.892</f>
        <v>134.892</v>
      </c>
      <c r="CD60">
        <f>133.28</f>
        <v>133.28</v>
      </c>
      <c r="CE60">
        <f>126.005</f>
        <v>126.005</v>
      </c>
      <c r="CF60">
        <f>120.318</f>
        <v>120.318</v>
      </c>
      <c r="CG60">
        <f>122.307</f>
        <v>122.307</v>
      </c>
      <c r="CH60">
        <f>120.378</f>
        <v>120.378</v>
      </c>
      <c r="CI60">
        <f>116.23</f>
        <v>116.23</v>
      </c>
      <c r="CJ60">
        <f>115.589</f>
        <v>115.589</v>
      </c>
      <c r="CK60">
        <f>126.765</f>
        <v>126.765</v>
      </c>
      <c r="CL60">
        <f>126.243</f>
        <v>126.24299999999999</v>
      </c>
      <c r="CM60">
        <f>123.597</f>
        <v>123.59699999999999</v>
      </c>
      <c r="CN60">
        <f>123.02</f>
        <v>123.02</v>
      </c>
      <c r="CO60">
        <f>124.643</f>
        <v>124.643</v>
      </c>
      <c r="CP60">
        <f>124.328</f>
        <v>124.328</v>
      </c>
      <c r="CQ60">
        <f>117.584759</f>
        <v>117.58475900000001</v>
      </c>
      <c r="CR60">
        <f>120.793</f>
        <v>120.79300000000001</v>
      </c>
      <c r="CS60">
        <f>121.251</f>
        <v>121.251</v>
      </c>
      <c r="CT60">
        <f>124.078</f>
        <v>124.078</v>
      </c>
      <c r="CU60">
        <f>121.342065</f>
        <v>121.34206500000001</v>
      </c>
      <c r="CV60">
        <f>132.321</f>
        <v>132.321</v>
      </c>
      <c r="CW60">
        <f>115.294</f>
        <v>115.294</v>
      </c>
      <c r="CX60">
        <f>119.714</f>
        <v>119.714</v>
      </c>
      <c r="CY60">
        <f>140.649979</f>
        <v>140.649979</v>
      </c>
      <c r="CZ60">
        <f>121.291</f>
        <v>121.291</v>
      </c>
      <c r="DA60">
        <f>120.92</f>
        <v>120.92</v>
      </c>
      <c r="DB60">
        <f>115.505</f>
        <v>115.505</v>
      </c>
      <c r="DC60">
        <f>107.63</f>
        <v>107.63</v>
      </c>
      <c r="DD60">
        <f>114.7</f>
        <v>114.7</v>
      </c>
      <c r="DE60">
        <f>107.839</f>
        <v>107.839</v>
      </c>
      <c r="DF60">
        <f>106.413</f>
        <v>106.413</v>
      </c>
      <c r="DG60">
        <f>109.141</f>
        <v>109.14100000000001</v>
      </c>
      <c r="DH60">
        <f>102.617</f>
        <v>102.617</v>
      </c>
      <c r="DI60">
        <f>105.4</f>
        <v>105.4</v>
      </c>
      <c r="DJ60">
        <f>99.81</f>
        <v>99.81</v>
      </c>
      <c r="DK60">
        <f>88.844</f>
        <v>88.843999999999994</v>
      </c>
      <c r="DL60">
        <f>90.31</f>
        <v>90.31</v>
      </c>
      <c r="DM60">
        <f>106.888</f>
        <v>106.88800000000001</v>
      </c>
      <c r="DN60">
        <f>95.94</f>
        <v>95.94</v>
      </c>
      <c r="DO60">
        <f>103.719</f>
        <v>103.71899999999999</v>
      </c>
      <c r="DP60">
        <f>92.498</f>
        <v>92.498000000000005</v>
      </c>
      <c r="DQ60">
        <f>93.990997</f>
        <v>93.990996999999993</v>
      </c>
      <c r="DR60">
        <f>90.544998</f>
        <v>90.544998000000007</v>
      </c>
      <c r="DS60">
        <f>90.25800323</f>
        <v>90.25800323</v>
      </c>
      <c r="DT60">
        <f>88.730003</f>
        <v>88.730002999999996</v>
      </c>
      <c r="DU60">
        <f>89.213997</f>
        <v>89.213997000000006</v>
      </c>
    </row>
    <row r="61" spans="1:125">
      <c r="A61" t="str">
        <f>"    Retail Opportunity Investments"</f>
        <v xml:space="preserve">    Retail Opportunity Investments</v>
      </c>
      <c r="B61" t="str">
        <f>"ROIC US Equity"</f>
        <v>ROIC US Equity</v>
      </c>
      <c r="C61" t="str">
        <f t="shared" si="9"/>
        <v>IS010</v>
      </c>
      <c r="D61" t="str">
        <f t="shared" si="10"/>
        <v>SALES_REV_TURN</v>
      </c>
      <c r="E61" t="str">
        <f t="shared" si="11"/>
        <v>动态</v>
      </c>
      <c r="F61" t="str">
        <f ca="1">IF(AND(ISNUMBER($F$519),$B$419=1),$F$519,HLOOKUP(INDIRECT(ADDRESS(2,COLUMN())),OFFSET($BN$2,0,0,ROW()-1,60),ROW()-1,FALSE))</f>
        <v/>
      </c>
      <c r="G61">
        <f ca="1">IF(AND(ISNUMBER($G$519),$B$419=1),$G$519,HLOOKUP(INDIRECT(ADDRESS(2,COLUMN())),OFFSET($BN$2,0,0,ROW()-1,60),ROW()-1,FALSE))</f>
        <v>72.754000000000005</v>
      </c>
      <c r="H61">
        <f ca="1">IF(AND(ISNUMBER($H$519),$B$419=1),$H$519,HLOOKUP(INDIRECT(ADDRESS(2,COLUMN())),OFFSET($BN$2,0,0,ROW()-1,60),ROW()-1,FALSE))</f>
        <v>67.965999999999994</v>
      </c>
      <c r="I61">
        <f ca="1">IF(AND(ISNUMBER($I$519),$B$419=1),$I$519,HLOOKUP(INDIRECT(ADDRESS(2,COLUMN())),OFFSET($BN$2,0,0,ROW()-1,60),ROW()-1,FALSE))</f>
        <v>66.64</v>
      </c>
      <c r="J61">
        <f ca="1">IF(AND(ISNUMBER($J$519),$B$419=1),$J$519,HLOOKUP(INDIRECT(ADDRESS(2,COLUMN())),OFFSET($BN$2,0,0,ROW()-1,60),ROW()-1,FALSE))</f>
        <v>65.900000000000006</v>
      </c>
      <c r="K61">
        <f ca="1">IF(AND(ISNUMBER($K$519),$B$419=1),$K$519,HLOOKUP(INDIRECT(ADDRESS(2,COLUMN())),OFFSET($BN$2,0,0,ROW()-1,60),ROW()-1,FALSE))</f>
        <v>63.07</v>
      </c>
      <c r="L61">
        <f ca="1">IF(AND(ISNUMBER($L$519),$B$419=1),$L$519,HLOOKUP(INDIRECT(ADDRESS(2,COLUMN())),OFFSET($BN$2,0,0,ROW()-1,60),ROW()-1,FALSE))</f>
        <v>59.353999999999999</v>
      </c>
      <c r="M61">
        <f ca="1">IF(AND(ISNUMBER($M$519),$B$419=1),$M$519,HLOOKUP(INDIRECT(ADDRESS(2,COLUMN())),OFFSET($BN$2,0,0,ROW()-1,60),ROW()-1,FALSE))</f>
        <v>58.670999999999999</v>
      </c>
      <c r="N61">
        <f ca="1">IF(AND(ISNUMBER($N$519),$B$419=1),$N$519,HLOOKUP(INDIRECT(ADDRESS(2,COLUMN())),OFFSET($BN$2,0,0,ROW()-1,60),ROW()-1,FALSE))</f>
        <v>56.094000000000001</v>
      </c>
      <c r="O61">
        <f ca="1">IF(AND(ISNUMBER($O$519),$B$419=1),$O$519,HLOOKUP(INDIRECT(ADDRESS(2,COLUMN())),OFFSET($BN$2,0,0,ROW()-1,60),ROW()-1,FALSE))</f>
        <v>51.284999999999997</v>
      </c>
      <c r="P61">
        <f ca="1">IF(AND(ISNUMBER($P$519),$B$419=1),$P$519,HLOOKUP(INDIRECT(ADDRESS(2,COLUMN())),OFFSET($BN$2,0,0,ROW()-1,60),ROW()-1,FALSE))</f>
        <v>50.076999999999998</v>
      </c>
      <c r="Q61">
        <f ca="1">IF(AND(ISNUMBER($Q$519),$B$419=1),$Q$519,HLOOKUP(INDIRECT(ADDRESS(2,COLUMN())),OFFSET($BN$2,0,0,ROW()-1,60),ROW()-1,FALSE))</f>
        <v>46.215000000000003</v>
      </c>
      <c r="R61">
        <f ca="1">IF(AND(ISNUMBER($R$519),$B$419=1),$R$519,HLOOKUP(INDIRECT(ADDRESS(2,COLUMN())),OFFSET($BN$2,0,0,ROW()-1,60),ROW()-1,FALSE))</f>
        <v>45.122</v>
      </c>
      <c r="S61">
        <f ca="1">IF(AND(ISNUMBER($S$519),$B$419=1),$S$519,HLOOKUP(INDIRECT(ADDRESS(2,COLUMN())),OFFSET($BN$2,0,0,ROW()-1,60),ROW()-1,FALSE))</f>
        <v>41.742669999999997</v>
      </c>
      <c r="T61">
        <f ca="1">IF(AND(ISNUMBER($T$519),$B$419=1),$T$519,HLOOKUP(INDIRECT(ADDRESS(2,COLUMN())),OFFSET($BN$2,0,0,ROW()-1,60),ROW()-1,FALSE))</f>
        <v>40.855871</v>
      </c>
      <c r="U61">
        <f ca="1">IF(AND(ISNUMBER($U$519),$B$419=1),$U$519,HLOOKUP(INDIRECT(ADDRESS(2,COLUMN())),OFFSET($BN$2,0,0,ROW()-1,60),ROW()-1,FALSE))</f>
        <v>36.914833999999999</v>
      </c>
      <c r="V61">
        <f ca="1">IF(AND(ISNUMBER($V$519),$B$419=1),$V$519,HLOOKUP(INDIRECT(ADDRESS(2,COLUMN())),OFFSET($BN$2,0,0,ROW()-1,60),ROW()-1,FALSE))</f>
        <v>36.35</v>
      </c>
      <c r="W61">
        <f ca="1">IF(AND(ISNUMBER($W$519),$B$419=1),$W$519,HLOOKUP(INDIRECT(ADDRESS(2,COLUMN())),OFFSET($BN$2,0,0,ROW()-1,60),ROW()-1,FALSE))</f>
        <v>33.636485</v>
      </c>
      <c r="X61">
        <f ca="1">IF(AND(ISNUMBER($X$519),$B$419=1),$X$519,HLOOKUP(INDIRECT(ADDRESS(2,COLUMN())),OFFSET($BN$2,0,0,ROW()-1,60),ROW()-1,FALSE))</f>
        <v>27.147631000000001</v>
      </c>
      <c r="Y61">
        <f ca="1">IF(AND(ISNUMBER($Y$519),$B$419=1),$Y$519,HLOOKUP(INDIRECT(ADDRESS(2,COLUMN())),OFFSET($BN$2,0,0,ROW()-1,60),ROW()-1,FALSE))</f>
        <v>26.063465999999998</v>
      </c>
      <c r="Z61">
        <f ca="1">IF(AND(ISNUMBER($Z$519),$B$419=1),$Z$519,HLOOKUP(INDIRECT(ADDRESS(2,COLUMN())),OFFSET($BN$2,0,0,ROW()-1,60),ROW()-1,FALSE))</f>
        <v>24.384449</v>
      </c>
      <c r="AA61">
        <f ca="1">IF(AND(ISNUMBER($AA$519),$B$419=1),$AA$519,HLOOKUP(INDIRECT(ADDRESS(2,COLUMN())),OFFSET($BN$2,0,0,ROW()-1,60),ROW()-1,FALSE))</f>
        <v>21.440356999999999</v>
      </c>
      <c r="AB61">
        <f ca="1">IF(AND(ISNUMBER($AB$519),$B$419=1),$AB$519,HLOOKUP(INDIRECT(ADDRESS(2,COLUMN())),OFFSET($BN$2,0,0,ROW()-1,60),ROW()-1,FALSE))</f>
        <v>18.889274</v>
      </c>
      <c r="AC61">
        <f ca="1">IF(AND(ISNUMBER($AC$519),$B$419=1),$AC$519,HLOOKUP(INDIRECT(ADDRESS(2,COLUMN())),OFFSET($BN$2,0,0,ROW()-1,60),ROW()-1,FALSE))</f>
        <v>18.118372000000001</v>
      </c>
      <c r="AD61">
        <f ca="1">IF(AND(ISNUMBER($AD$519),$B$419=1),$AD$519,HLOOKUP(INDIRECT(ADDRESS(2,COLUMN())),OFFSET($BN$2,0,0,ROW()-1,60),ROW()-1,FALSE))</f>
        <v>16.647684000000002</v>
      </c>
      <c r="AE61">
        <f ca="1">IF(AND(ISNUMBER($AE$519),$B$419=1),$AE$519,HLOOKUP(INDIRECT(ADDRESS(2,COLUMN())),OFFSET($BN$2,0,0,ROW()-1,60),ROW()-1,FALSE))</f>
        <v>16.647310999999998</v>
      </c>
      <c r="AF61">
        <f ca="1">IF(AND(ISNUMBER($AF$519),$B$419=1),$AF$519,HLOOKUP(INDIRECT(ADDRESS(2,COLUMN())),OFFSET($BN$2,0,0,ROW()-1,60),ROW()-1,FALSE))</f>
        <v>13.555364000000001</v>
      </c>
      <c r="AG61">
        <f ca="1">IF(AND(ISNUMBER($AG$519),$B$419=1),$AG$519,HLOOKUP(INDIRECT(ADDRESS(2,COLUMN())),OFFSET($BN$2,0,0,ROW()-1,60),ROW()-1,FALSE))</f>
        <v>11.493916</v>
      </c>
      <c r="AH61">
        <f ca="1">IF(AND(ISNUMBER($AH$519),$B$419=1),$AH$519,HLOOKUP(INDIRECT(ADDRESS(2,COLUMN())),OFFSET($BN$2,0,0,ROW()-1,60),ROW()-1,FALSE))</f>
        <v>10.040921000000001</v>
      </c>
      <c r="AI61">
        <f ca="1">IF(AND(ISNUMBER($AI$519),$B$419=1),$AI$519,HLOOKUP(INDIRECT(ADDRESS(2,COLUMN())),OFFSET($BN$2,0,0,ROW()-1,60),ROW()-1,FALSE))</f>
        <v>6.9709089999999998</v>
      </c>
      <c r="AJ61">
        <f ca="1">IF(AND(ISNUMBER($AJ$519),$B$419=1),$AJ$519,HLOOKUP(INDIRECT(ADDRESS(2,COLUMN())),OFFSET($BN$2,0,0,ROW()-1,60),ROW()-1,FALSE))</f>
        <v>4.8423069999999999</v>
      </c>
      <c r="AK61">
        <f ca="1">IF(AND(ISNUMBER($AK$519),$B$419=1),$AK$519,HLOOKUP(INDIRECT(ADDRESS(2,COLUMN())),OFFSET($BN$2,0,0,ROW()-1,60),ROW()-1,FALSE))</f>
        <v>2.8942209999999999</v>
      </c>
      <c r="AL61">
        <f ca="1">IF(AND(ISNUMBER($AL$519),$B$419=1),$AL$519,HLOOKUP(INDIRECT(ADDRESS(2,COLUMN())),OFFSET($BN$2,0,0,ROW()-1,60),ROW()-1,FALSE))</f>
        <v>1.369332</v>
      </c>
      <c r="AM61">
        <f ca="1">IF(AND(ISNUMBER($AM$519),$B$419=1),$AM$519,HLOOKUP(INDIRECT(ADDRESS(2,COLUMN())),OFFSET($BN$2,0,0,ROW()-1,60),ROW()-1,FALSE))</f>
        <v>4.5999999999999999E-2</v>
      </c>
      <c r="AN61" t="str">
        <f ca="1">IF(AND(ISNUMBER($AN$519),$B$419=1),$AN$519,HLOOKUP(INDIRECT(ADDRESS(2,COLUMN())),OFFSET($BN$2,0,0,ROW()-1,60),ROW()-1,FALSE))</f>
        <v/>
      </c>
      <c r="AO61" t="str">
        <f ca="1">IF(AND(ISNUMBER($AO$519),$B$419=1),$AO$519,HLOOKUP(INDIRECT(ADDRESS(2,COLUMN())),OFFSET($BN$2,0,0,ROW()-1,60),ROW()-1,FALSE))</f>
        <v/>
      </c>
      <c r="AP61" t="str">
        <f ca="1">IF(AND(ISNUMBER($AP$519),$B$419=1),$AP$519,HLOOKUP(INDIRECT(ADDRESS(2,COLUMN())),OFFSET($BN$2,0,0,ROW()-1,60),ROW()-1,FALSE))</f>
        <v/>
      </c>
      <c r="AQ61" t="str">
        <f ca="1">IF(AND(ISNUMBER($AQ$519),$B$419=1),$AQ$519,HLOOKUP(INDIRECT(ADDRESS(2,COLUMN())),OFFSET($BN$2,0,0,ROW()-1,60),ROW()-1,FALSE))</f>
        <v/>
      </c>
      <c r="AR61" t="str">
        <f ca="1">IF(AND(ISNUMBER($AR$519),$B$419=1),$AR$519,HLOOKUP(INDIRECT(ADDRESS(2,COLUMN())),OFFSET($BN$2,0,0,ROW()-1,60),ROW()-1,FALSE))</f>
        <v/>
      </c>
      <c r="AS61" t="str">
        <f ca="1">IF(AND(ISNUMBER($AS$519),$B$419=1),$AS$519,HLOOKUP(INDIRECT(ADDRESS(2,COLUMN())),OFFSET($BN$2,0,0,ROW()-1,60),ROW()-1,FALSE))</f>
        <v/>
      </c>
      <c r="AT61" t="str">
        <f ca="1">IF(AND(ISNUMBER($AT$519),$B$419=1),$AT$519,HLOOKUP(INDIRECT(ADDRESS(2,COLUMN())),OFFSET($BN$2,0,0,ROW()-1,60),ROW()-1,FALSE))</f>
        <v/>
      </c>
      <c r="AU61" t="str">
        <f ca="1">IF(AND(ISNUMBER($AU$519),$B$419=1),$AU$519,HLOOKUP(INDIRECT(ADDRESS(2,COLUMN())),OFFSET($BN$2,0,0,ROW()-1,60),ROW()-1,FALSE))</f>
        <v/>
      </c>
      <c r="AV61" t="str">
        <f ca="1">IF(AND(ISNUMBER($AV$519),$B$419=1),$AV$519,HLOOKUP(INDIRECT(ADDRESS(2,COLUMN())),OFFSET($BN$2,0,0,ROW()-1,60),ROW()-1,FALSE))</f>
        <v/>
      </c>
      <c r="AW61" t="str">
        <f ca="1">IF(AND(ISNUMBER($AW$519),$B$419=1),$AW$519,HLOOKUP(INDIRECT(ADDRESS(2,COLUMN())),OFFSET($BN$2,0,0,ROW()-1,60),ROW()-1,FALSE))</f>
        <v/>
      </c>
      <c r="AX61" t="str">
        <f ca="1">IF(AND(ISNUMBER($AX$519),$B$419=1),$AX$519,HLOOKUP(INDIRECT(ADDRESS(2,COLUMN())),OFFSET($BN$2,0,0,ROW()-1,60),ROW()-1,FALSE))</f>
        <v/>
      </c>
      <c r="AY61" t="str">
        <f ca="1">IF(AND(ISNUMBER($AY$519),$B$419=1),$AY$519,HLOOKUP(INDIRECT(ADDRESS(2,COLUMN())),OFFSET($BN$2,0,0,ROW()-1,60),ROW()-1,FALSE))</f>
        <v/>
      </c>
      <c r="AZ61" t="str">
        <f ca="1">IF(AND(ISNUMBER($AZ$519),$B$419=1),$AZ$519,HLOOKUP(INDIRECT(ADDRESS(2,COLUMN())),OFFSET($BN$2,0,0,ROW()-1,60),ROW()-1,FALSE))</f>
        <v/>
      </c>
      <c r="BA61" t="str">
        <f ca="1">IF(AND(ISNUMBER($BA$519),$B$419=1),$BA$519,HLOOKUP(INDIRECT(ADDRESS(2,COLUMN())),OFFSET($BN$2,0,0,ROW()-1,60),ROW()-1,FALSE))</f>
        <v/>
      </c>
      <c r="BB61" t="str">
        <f ca="1">IF(AND(ISNUMBER($BB$519),$B$419=1),$BB$519,HLOOKUP(INDIRECT(ADDRESS(2,COLUMN())),OFFSET($BN$2,0,0,ROW()-1,60),ROW()-1,FALSE))</f>
        <v/>
      </c>
      <c r="BC61" t="str">
        <f ca="1">IF(AND(ISNUMBER($BC$519),$B$419=1),$BC$519,HLOOKUP(INDIRECT(ADDRESS(2,COLUMN())),OFFSET($BN$2,0,0,ROW()-1,60),ROW()-1,FALSE))</f>
        <v/>
      </c>
      <c r="BD61" t="str">
        <f ca="1">IF(AND(ISNUMBER($BD$519),$B$419=1),$BD$519,HLOOKUP(INDIRECT(ADDRESS(2,COLUMN())),OFFSET($BN$2,0,0,ROW()-1,60),ROW()-1,FALSE))</f>
        <v/>
      </c>
      <c r="BE61" t="str">
        <f ca="1">IF(AND(ISNUMBER($BE$519),$B$419=1),$BE$519,HLOOKUP(INDIRECT(ADDRESS(2,COLUMN())),OFFSET($BN$2,0,0,ROW()-1,60),ROW()-1,FALSE))</f>
        <v/>
      </c>
      <c r="BF61" t="str">
        <f ca="1">IF(AND(ISNUMBER($BF$519),$B$419=1),$BF$519,HLOOKUP(INDIRECT(ADDRESS(2,COLUMN())),OFFSET($BN$2,0,0,ROW()-1,60),ROW()-1,FALSE))</f>
        <v/>
      </c>
      <c r="BG61" t="str">
        <f ca="1">IF(AND(ISNUMBER($BG$519),$B$419=1),$BG$519,HLOOKUP(INDIRECT(ADDRESS(2,COLUMN())),OFFSET($BN$2,0,0,ROW()-1,60),ROW()-1,FALSE))</f>
        <v/>
      </c>
      <c r="BH61" t="str">
        <f ca="1">IF(AND(ISNUMBER($BH$519),$B$419=1),$BH$519,HLOOKUP(INDIRECT(ADDRESS(2,COLUMN())),OFFSET($BN$2,0,0,ROW()-1,60),ROW()-1,FALSE))</f>
        <v/>
      </c>
      <c r="BI61" t="str">
        <f ca="1">IF(AND(ISNUMBER($BI$519),$B$419=1),$BI$519,HLOOKUP(INDIRECT(ADDRESS(2,COLUMN())),OFFSET($BN$2,0,0,ROW()-1,60),ROW()-1,FALSE))</f>
        <v/>
      </c>
      <c r="BJ61" t="str">
        <f ca="1">IF(AND(ISNUMBER($BJ$519),$B$419=1),$BJ$519,HLOOKUP(INDIRECT(ADDRESS(2,COLUMN())),OFFSET($BN$2,0,0,ROW()-1,60),ROW()-1,FALSE))</f>
        <v/>
      </c>
      <c r="BK61" t="str">
        <f ca="1">IF(AND(ISNUMBER($BK$519),$B$419=1),$BK$519,HLOOKUP(INDIRECT(ADDRESS(2,COLUMN())),OFFSET($BN$2,0,0,ROW()-1,60),ROW()-1,FALSE))</f>
        <v/>
      </c>
      <c r="BL61" t="str">
        <f ca="1">IF(AND(ISNUMBER($BL$519),$B$419=1),$BL$519,HLOOKUP(INDIRECT(ADDRESS(2,COLUMN())),OFFSET($BN$2,0,0,ROW()-1,60),ROW()-1,FALSE))</f>
        <v/>
      </c>
      <c r="BM61" t="str">
        <f ca="1">IF(AND(ISNUMBER($BM$519),$B$419=1),$BM$519,HLOOKUP(INDIRECT(ADDRESS(2,COLUMN())),OFFSET($BN$2,0,0,ROW()-1,60),ROW()-1,FALSE))</f>
        <v/>
      </c>
      <c r="BN61" t="str">
        <f>""</f>
        <v/>
      </c>
      <c r="BO61">
        <f>72.754</f>
        <v>72.754000000000005</v>
      </c>
      <c r="BP61">
        <f>67.966</f>
        <v>67.965999999999994</v>
      </c>
      <c r="BQ61">
        <f>66.64</f>
        <v>66.64</v>
      </c>
      <c r="BR61">
        <f>65.9</f>
        <v>65.900000000000006</v>
      </c>
      <c r="BS61">
        <f>63.07</f>
        <v>63.07</v>
      </c>
      <c r="BT61">
        <f>59.354</f>
        <v>59.353999999999999</v>
      </c>
      <c r="BU61">
        <f>58.671</f>
        <v>58.670999999999999</v>
      </c>
      <c r="BV61">
        <f>56.094</f>
        <v>56.094000000000001</v>
      </c>
      <c r="BW61">
        <f>51.285</f>
        <v>51.284999999999997</v>
      </c>
      <c r="BX61">
        <f>50.077</f>
        <v>50.076999999999998</v>
      </c>
      <c r="BY61">
        <f>46.215</f>
        <v>46.215000000000003</v>
      </c>
      <c r="BZ61">
        <f>45.122</f>
        <v>45.122</v>
      </c>
      <c r="CA61">
        <f>41.74267</f>
        <v>41.742669999999997</v>
      </c>
      <c r="CB61">
        <f>40.855871</f>
        <v>40.855871</v>
      </c>
      <c r="CC61">
        <f>36.914834</f>
        <v>36.914833999999999</v>
      </c>
      <c r="CD61">
        <f>36.35</f>
        <v>36.35</v>
      </c>
      <c r="CE61">
        <f>33.636485</f>
        <v>33.636485</v>
      </c>
      <c r="CF61">
        <f>27.147631</f>
        <v>27.147631000000001</v>
      </c>
      <c r="CG61">
        <f>26.063466</f>
        <v>26.063465999999998</v>
      </c>
      <c r="CH61">
        <f>24.384449</f>
        <v>24.384449</v>
      </c>
      <c r="CI61">
        <f>21.440357</f>
        <v>21.440356999999999</v>
      </c>
      <c r="CJ61">
        <f>18.889274</f>
        <v>18.889274</v>
      </c>
      <c r="CK61">
        <f>18.118372</f>
        <v>18.118372000000001</v>
      </c>
      <c r="CL61">
        <f>16.647684</f>
        <v>16.647684000000002</v>
      </c>
      <c r="CM61">
        <f>16.647311</f>
        <v>16.647310999999998</v>
      </c>
      <c r="CN61">
        <f>13.555364</f>
        <v>13.555364000000001</v>
      </c>
      <c r="CO61">
        <f>11.493916</f>
        <v>11.493916</v>
      </c>
      <c r="CP61">
        <f>10.040921</f>
        <v>10.040921000000001</v>
      </c>
      <c r="CQ61">
        <f>6.970909</f>
        <v>6.9709089999999998</v>
      </c>
      <c r="CR61">
        <f>4.842307</f>
        <v>4.8423069999999999</v>
      </c>
      <c r="CS61">
        <f>2.894221</f>
        <v>2.8942209999999999</v>
      </c>
      <c r="CT61">
        <f>1.369332</f>
        <v>1.369332</v>
      </c>
      <c r="CU61">
        <f>0.046</f>
        <v>4.5999999999999999E-2</v>
      </c>
      <c r="CV61" t="str">
        <f>""</f>
        <v/>
      </c>
      <c r="CW61" t="str">
        <f>""</f>
        <v/>
      </c>
      <c r="CX61" t="str">
        <f>""</f>
        <v/>
      </c>
      <c r="CY61" t="str">
        <f>""</f>
        <v/>
      </c>
      <c r="CZ61" t="str">
        <f>""</f>
        <v/>
      </c>
      <c r="DA61" t="str">
        <f>""</f>
        <v/>
      </c>
      <c r="DB61" t="str">
        <f>""</f>
        <v/>
      </c>
      <c r="DC61" t="str">
        <f>""</f>
        <v/>
      </c>
      <c r="DD61" t="str">
        <f>""</f>
        <v/>
      </c>
      <c r="DE61" t="str">
        <f>""</f>
        <v/>
      </c>
      <c r="DF61" t="str">
        <f>""</f>
        <v/>
      </c>
      <c r="DG61" t="str">
        <f>""</f>
        <v/>
      </c>
      <c r="DH61" t="str">
        <f>""</f>
        <v/>
      </c>
      <c r="DI61" t="str">
        <f>""</f>
        <v/>
      </c>
      <c r="DJ61" t="str">
        <f>""</f>
        <v/>
      </c>
      <c r="DK61" t="str">
        <f>""</f>
        <v/>
      </c>
      <c r="DL61" t="str">
        <f>""</f>
        <v/>
      </c>
      <c r="DM61" t="str">
        <f>""</f>
        <v/>
      </c>
      <c r="DN61" t="str">
        <f>""</f>
        <v/>
      </c>
      <c r="DO61" t="str">
        <f>""</f>
        <v/>
      </c>
      <c r="DP61" t="str">
        <f>""</f>
        <v/>
      </c>
      <c r="DQ61" t="str">
        <f>""</f>
        <v/>
      </c>
      <c r="DR61" t="str">
        <f>""</f>
        <v/>
      </c>
      <c r="DS61" t="str">
        <f>""</f>
        <v/>
      </c>
      <c r="DT61" t="str">
        <f>""</f>
        <v/>
      </c>
      <c r="DU61" t="str">
        <f>""</f>
        <v/>
      </c>
    </row>
    <row r="62" spans="1:125">
      <c r="A62" t="str">
        <f>"    Retail Properties of America I"</f>
        <v xml:space="preserve">    Retail Properties of America I</v>
      </c>
      <c r="B62" t="str">
        <f>"RPAI US Equity"</f>
        <v>RPAI US Equity</v>
      </c>
      <c r="C62" t="str">
        <f t="shared" si="9"/>
        <v>IS010</v>
      </c>
      <c r="D62" t="str">
        <f t="shared" si="10"/>
        <v>SALES_REV_TURN</v>
      </c>
      <c r="E62" t="str">
        <f t="shared" si="11"/>
        <v>动态</v>
      </c>
      <c r="F62" t="str">
        <f ca="1">IF(AND(ISNUMBER($F$520),$B$419=1),$F$520,HLOOKUP(INDIRECT(ADDRESS(2,COLUMN())),OFFSET($BN$2,0,0,ROW()-1,60),ROW()-1,FALSE))</f>
        <v/>
      </c>
      <c r="G62">
        <f ca="1">IF(AND(ISNUMBER($G$520),$B$419=1),$G$520,HLOOKUP(INDIRECT(ADDRESS(2,COLUMN())),OFFSET($BN$2,0,0,ROW()-1,60),ROW()-1,FALSE))</f>
        <v>126.58799999999999</v>
      </c>
      <c r="H62">
        <f ca="1">IF(AND(ISNUMBER($H$520),$B$419=1),$H$520,HLOOKUP(INDIRECT(ADDRESS(2,COLUMN())),OFFSET($BN$2,0,0,ROW()-1,60),ROW()-1,FALSE))</f>
        <v>130.51900000000001</v>
      </c>
      <c r="I62">
        <f ca="1">IF(AND(ISNUMBER($I$520),$B$419=1),$I$520,HLOOKUP(INDIRECT(ADDRESS(2,COLUMN())),OFFSET($BN$2,0,0,ROW()-1,60),ROW()-1,FALSE))</f>
        <v>137.339</v>
      </c>
      <c r="J62">
        <f ca="1">IF(AND(ISNUMBER($J$520),$B$419=1),$J$520,HLOOKUP(INDIRECT(ADDRESS(2,COLUMN())),OFFSET($BN$2,0,0,ROW()-1,60),ROW()-1,FALSE))</f>
        <v>143.69300000000001</v>
      </c>
      <c r="K62">
        <f ca="1">IF(AND(ISNUMBER($K$520),$B$419=1),$K$520,HLOOKUP(INDIRECT(ADDRESS(2,COLUMN())),OFFSET($BN$2,0,0,ROW()-1,60),ROW()-1,FALSE))</f>
        <v>142.75200000000001</v>
      </c>
      <c r="L62">
        <f ca="1">IF(AND(ISNUMBER($L$520),$B$419=1),$L$520,HLOOKUP(INDIRECT(ADDRESS(2,COLUMN())),OFFSET($BN$2,0,0,ROW()-1,60),ROW()-1,FALSE))</f>
        <v>144.52600000000001</v>
      </c>
      <c r="M62">
        <f ca="1">IF(AND(ISNUMBER($M$520),$B$419=1),$M$520,HLOOKUP(INDIRECT(ADDRESS(2,COLUMN())),OFFSET($BN$2,0,0,ROW()-1,60),ROW()-1,FALSE))</f>
        <v>147.226</v>
      </c>
      <c r="N62">
        <f ca="1">IF(AND(ISNUMBER($N$520),$B$419=1),$N$520,HLOOKUP(INDIRECT(ADDRESS(2,COLUMN())),OFFSET($BN$2,0,0,ROW()-1,60),ROW()-1,FALSE))</f>
        <v>148.63900000000001</v>
      </c>
      <c r="O62">
        <f ca="1">IF(AND(ISNUMBER($O$520),$B$419=1),$O$520,HLOOKUP(INDIRECT(ADDRESS(2,COLUMN())),OFFSET($BN$2,0,0,ROW()-1,60),ROW()-1,FALSE))</f>
        <v>148.91999999999999</v>
      </c>
      <c r="P62">
        <f ca="1">IF(AND(ISNUMBER($P$520),$B$419=1),$P$520,HLOOKUP(INDIRECT(ADDRESS(2,COLUMN())),OFFSET($BN$2,0,0,ROW()-1,60),ROW()-1,FALSE))</f>
        <v>150.95500000000001</v>
      </c>
      <c r="Q62">
        <f ca="1">IF(AND(ISNUMBER($Q$520),$B$419=1),$Q$520,HLOOKUP(INDIRECT(ADDRESS(2,COLUMN())),OFFSET($BN$2,0,0,ROW()-1,60),ROW()-1,FALSE))</f>
        <v>150.88800000000001</v>
      </c>
      <c r="R62">
        <f ca="1">IF(AND(ISNUMBER($R$520),$B$419=1),$R$520,HLOOKUP(INDIRECT(ADDRESS(2,COLUMN())),OFFSET($BN$2,0,0,ROW()-1,60),ROW()-1,FALSE))</f>
        <v>153.197</v>
      </c>
      <c r="S62">
        <f ca="1">IF(AND(ISNUMBER($S$520),$B$419=1),$S$520,HLOOKUP(INDIRECT(ADDRESS(2,COLUMN())),OFFSET($BN$2,0,0,ROW()-1,60),ROW()-1,FALSE))</f>
        <v>153.53100000000001</v>
      </c>
      <c r="T62">
        <f ca="1">IF(AND(ISNUMBER($T$520),$B$419=1),$T$520,HLOOKUP(INDIRECT(ADDRESS(2,COLUMN())),OFFSET($BN$2,0,0,ROW()-1,60),ROW()-1,FALSE))</f>
        <v>151.447</v>
      </c>
      <c r="U62">
        <f ca="1">IF(AND(ISNUMBER($U$520),$B$419=1),$U$520,HLOOKUP(INDIRECT(ADDRESS(2,COLUMN())),OFFSET($BN$2,0,0,ROW()-1,60),ROW()-1,FALSE))</f>
        <v>146.446</v>
      </c>
      <c r="V62">
        <f ca="1">IF(AND(ISNUMBER($V$520),$B$419=1),$V$520,HLOOKUP(INDIRECT(ADDRESS(2,COLUMN())),OFFSET($BN$2,0,0,ROW()-1,60),ROW()-1,FALSE))</f>
        <v>149.191</v>
      </c>
      <c r="W62">
        <f ca="1">IF(AND(ISNUMBER($W$520),$B$419=1),$W$520,HLOOKUP(INDIRECT(ADDRESS(2,COLUMN())),OFFSET($BN$2,0,0,ROW()-1,60),ROW()-1,FALSE))</f>
        <v>150.68899999999999</v>
      </c>
      <c r="X62">
        <f ca="1">IF(AND(ISNUMBER($X$520),$B$419=1),$X$520,HLOOKUP(INDIRECT(ADDRESS(2,COLUMN())),OFFSET($BN$2,0,0,ROW()-1,60),ROW()-1,FALSE))</f>
        <v>136.125</v>
      </c>
      <c r="Y62">
        <f ca="1">IF(AND(ISNUMBER($Y$520),$B$419=1),$Y$520,HLOOKUP(INDIRECT(ADDRESS(2,COLUMN())),OFFSET($BN$2,0,0,ROW()-1,60),ROW()-1,FALSE))</f>
        <v>132.32</v>
      </c>
      <c r="Z62">
        <f ca="1">IF(AND(ISNUMBER($Z$520),$B$419=1),$Z$520,HLOOKUP(INDIRECT(ADDRESS(2,COLUMN())),OFFSET($BN$2,0,0,ROW()-1,60),ROW()-1,FALSE))</f>
        <v>132.06100000000001</v>
      </c>
      <c r="AA62">
        <f ca="1">IF(AND(ISNUMBER($AA$520),$B$419=1),$AA$520,HLOOKUP(INDIRECT(ADDRESS(2,COLUMN())),OFFSET($BN$2,0,0,ROW()-1,60),ROW()-1,FALSE))</f>
        <v>134.959</v>
      </c>
      <c r="AB62">
        <f ca="1">IF(AND(ISNUMBER($AB$520),$B$419=1),$AB$520,HLOOKUP(INDIRECT(ADDRESS(2,COLUMN())),OFFSET($BN$2,0,0,ROW()-1,60),ROW()-1,FALSE))</f>
        <v>138.85</v>
      </c>
      <c r="AC62">
        <f ca="1">IF(AND(ISNUMBER($AC$520),$B$419=1),$AC$520,HLOOKUP(INDIRECT(ADDRESS(2,COLUMN())),OFFSET($BN$2,0,0,ROW()-1,60),ROW()-1,FALSE))</f>
        <v>138.98699999999999</v>
      </c>
      <c r="AD62">
        <f ca="1">IF(AND(ISNUMBER($AD$520),$B$419=1),$AD$520,HLOOKUP(INDIRECT(ADDRESS(2,COLUMN())),OFFSET($BN$2,0,0,ROW()-1,60),ROW()-1,FALSE))</f>
        <v>142.886</v>
      </c>
      <c r="AE62">
        <f ca="1">IF(AND(ISNUMBER($AE$520),$B$419=1),$AE$520,HLOOKUP(INDIRECT(ADDRESS(2,COLUMN())),OFFSET($BN$2,0,0,ROW()-1,60),ROW()-1,FALSE))</f>
        <v>142.88499999999999</v>
      </c>
      <c r="AF62">
        <f ca="1">IF(AND(ISNUMBER($AF$520),$B$419=1),$AF$520,HLOOKUP(INDIRECT(ADDRESS(2,COLUMN())),OFFSET($BN$2,0,0,ROW()-1,60),ROW()-1,FALSE))</f>
        <v>146.04499999999999</v>
      </c>
      <c r="AG62">
        <f ca="1">IF(AND(ISNUMBER($AG$520),$B$419=1),$AG$520,HLOOKUP(INDIRECT(ADDRESS(2,COLUMN())),OFFSET($BN$2,0,0,ROW()-1,60),ROW()-1,FALSE))</f>
        <v>147.36099999999999</v>
      </c>
      <c r="AH62">
        <f ca="1">IF(AND(ISNUMBER($AH$520),$B$419=1),$AH$520,HLOOKUP(INDIRECT(ADDRESS(2,COLUMN())),OFFSET($BN$2,0,0,ROW()-1,60),ROW()-1,FALSE))</f>
        <v>152.32300000000001</v>
      </c>
      <c r="AI62">
        <f ca="1">IF(AND(ISNUMBER($AI$520),$B$419=1),$AI$520,HLOOKUP(INDIRECT(ADDRESS(2,COLUMN())),OFFSET($BN$2,0,0,ROW()-1,60),ROW()-1,FALSE))</f>
        <v>140.64099999999999</v>
      </c>
      <c r="AJ62">
        <f ca="1">IF(AND(ISNUMBER($AJ$520),$B$419=1),$AJ$520,HLOOKUP(INDIRECT(ADDRESS(2,COLUMN())),OFFSET($BN$2,0,0,ROW()-1,60),ROW()-1,FALSE))</f>
        <v>164.59700000000001</v>
      </c>
      <c r="AK62">
        <f ca="1">IF(AND(ISNUMBER($AK$520),$B$419=1),$AK$520,HLOOKUP(INDIRECT(ADDRESS(2,COLUMN())),OFFSET($BN$2,0,0,ROW()-1,60),ROW()-1,FALSE))</f>
        <v>162</v>
      </c>
      <c r="AL62">
        <f ca="1">IF(AND(ISNUMBER($AL$520),$B$419=1),$AL$520,HLOOKUP(INDIRECT(ADDRESS(2,COLUMN())),OFFSET($BN$2,0,0,ROW()-1,60),ROW()-1,FALSE))</f>
        <v>165.61</v>
      </c>
      <c r="AM62">
        <f ca="1">IF(AND(ISNUMBER($AM$520),$B$419=1),$AM$520,HLOOKUP(INDIRECT(ADDRESS(2,COLUMN())),OFFSET($BN$2,0,0,ROW()-1,60),ROW()-1,FALSE))</f>
        <v>164.08199999999999</v>
      </c>
      <c r="AN62">
        <f ca="1">IF(AND(ISNUMBER($AN$520),$B$419=1),$AN$520,HLOOKUP(INDIRECT(ADDRESS(2,COLUMN())),OFFSET($BN$2,0,0,ROW()-1,60),ROW()-1,FALSE))</f>
        <v>164.446</v>
      </c>
      <c r="AO62" t="str">
        <f ca="1">IF(AND(ISNUMBER($AO$520),$B$419=1),$AO$520,HLOOKUP(INDIRECT(ADDRESS(2,COLUMN())),OFFSET($BN$2,0,0,ROW()-1,60),ROW()-1,FALSE))</f>
        <v/>
      </c>
      <c r="AP62" t="str">
        <f ca="1">IF(AND(ISNUMBER($AP$520),$B$419=1),$AP$520,HLOOKUP(INDIRECT(ADDRESS(2,COLUMN())),OFFSET($BN$2,0,0,ROW()-1,60),ROW()-1,FALSE))</f>
        <v/>
      </c>
      <c r="AQ62" t="str">
        <f ca="1">IF(AND(ISNUMBER($AQ$520),$B$419=1),$AQ$520,HLOOKUP(INDIRECT(ADDRESS(2,COLUMN())),OFFSET($BN$2,0,0,ROW()-1,60),ROW()-1,FALSE))</f>
        <v/>
      </c>
      <c r="AR62" t="str">
        <f ca="1">IF(AND(ISNUMBER($AR$520),$B$419=1),$AR$520,HLOOKUP(INDIRECT(ADDRESS(2,COLUMN())),OFFSET($BN$2,0,0,ROW()-1,60),ROW()-1,FALSE))</f>
        <v/>
      </c>
      <c r="AS62" t="str">
        <f ca="1">IF(AND(ISNUMBER($AS$520),$B$419=1),$AS$520,HLOOKUP(INDIRECT(ADDRESS(2,COLUMN())),OFFSET($BN$2,0,0,ROW()-1,60),ROW()-1,FALSE))</f>
        <v/>
      </c>
      <c r="AT62" t="str">
        <f ca="1">IF(AND(ISNUMBER($AT$520),$B$419=1),$AT$520,HLOOKUP(INDIRECT(ADDRESS(2,COLUMN())),OFFSET($BN$2,0,0,ROW()-1,60),ROW()-1,FALSE))</f>
        <v/>
      </c>
      <c r="AU62" t="str">
        <f ca="1">IF(AND(ISNUMBER($AU$520),$B$419=1),$AU$520,HLOOKUP(INDIRECT(ADDRESS(2,COLUMN())),OFFSET($BN$2,0,0,ROW()-1,60),ROW()-1,FALSE))</f>
        <v/>
      </c>
      <c r="AV62" t="str">
        <f ca="1">IF(AND(ISNUMBER($AV$520),$B$419=1),$AV$520,HLOOKUP(INDIRECT(ADDRESS(2,COLUMN())),OFFSET($BN$2,0,0,ROW()-1,60),ROW()-1,FALSE))</f>
        <v/>
      </c>
      <c r="AW62" t="str">
        <f ca="1">IF(AND(ISNUMBER($AW$520),$B$419=1),$AW$520,HLOOKUP(INDIRECT(ADDRESS(2,COLUMN())),OFFSET($BN$2,0,0,ROW()-1,60),ROW()-1,FALSE))</f>
        <v/>
      </c>
      <c r="AX62" t="str">
        <f ca="1">IF(AND(ISNUMBER($AX$520),$B$419=1),$AX$520,HLOOKUP(INDIRECT(ADDRESS(2,COLUMN())),OFFSET($BN$2,0,0,ROW()-1,60),ROW()-1,FALSE))</f>
        <v/>
      </c>
      <c r="AY62" t="str">
        <f ca="1">IF(AND(ISNUMBER($AY$520),$B$419=1),$AY$520,HLOOKUP(INDIRECT(ADDRESS(2,COLUMN())),OFFSET($BN$2,0,0,ROW()-1,60),ROW()-1,FALSE))</f>
        <v/>
      </c>
      <c r="AZ62" t="str">
        <f ca="1">IF(AND(ISNUMBER($AZ$520),$B$419=1),$AZ$520,HLOOKUP(INDIRECT(ADDRESS(2,COLUMN())),OFFSET($BN$2,0,0,ROW()-1,60),ROW()-1,FALSE))</f>
        <v/>
      </c>
      <c r="BA62" t="str">
        <f ca="1">IF(AND(ISNUMBER($BA$520),$B$419=1),$BA$520,HLOOKUP(INDIRECT(ADDRESS(2,COLUMN())),OFFSET($BN$2,0,0,ROW()-1,60),ROW()-1,FALSE))</f>
        <v/>
      </c>
      <c r="BB62" t="str">
        <f ca="1">IF(AND(ISNUMBER($BB$520),$B$419=1),$BB$520,HLOOKUP(INDIRECT(ADDRESS(2,COLUMN())),OFFSET($BN$2,0,0,ROW()-1,60),ROW()-1,FALSE))</f>
        <v/>
      </c>
      <c r="BC62" t="str">
        <f ca="1">IF(AND(ISNUMBER($BC$520),$B$419=1),$BC$520,HLOOKUP(INDIRECT(ADDRESS(2,COLUMN())),OFFSET($BN$2,0,0,ROW()-1,60),ROW()-1,FALSE))</f>
        <v/>
      </c>
      <c r="BD62" t="str">
        <f ca="1">IF(AND(ISNUMBER($BD$520),$B$419=1),$BD$520,HLOOKUP(INDIRECT(ADDRESS(2,COLUMN())),OFFSET($BN$2,0,0,ROW()-1,60),ROW()-1,FALSE))</f>
        <v/>
      </c>
      <c r="BE62" t="str">
        <f ca="1">IF(AND(ISNUMBER($BE$520),$B$419=1),$BE$520,HLOOKUP(INDIRECT(ADDRESS(2,COLUMN())),OFFSET($BN$2,0,0,ROW()-1,60),ROW()-1,FALSE))</f>
        <v/>
      </c>
      <c r="BF62" t="str">
        <f ca="1">IF(AND(ISNUMBER($BF$520),$B$419=1),$BF$520,HLOOKUP(INDIRECT(ADDRESS(2,COLUMN())),OFFSET($BN$2,0,0,ROW()-1,60),ROW()-1,FALSE))</f>
        <v/>
      </c>
      <c r="BG62" t="str">
        <f ca="1">IF(AND(ISNUMBER($BG$520),$B$419=1),$BG$520,HLOOKUP(INDIRECT(ADDRESS(2,COLUMN())),OFFSET($BN$2,0,0,ROW()-1,60),ROW()-1,FALSE))</f>
        <v/>
      </c>
      <c r="BH62" t="str">
        <f ca="1">IF(AND(ISNUMBER($BH$520),$B$419=1),$BH$520,HLOOKUP(INDIRECT(ADDRESS(2,COLUMN())),OFFSET($BN$2,0,0,ROW()-1,60),ROW()-1,FALSE))</f>
        <v/>
      </c>
      <c r="BI62" t="str">
        <f ca="1">IF(AND(ISNUMBER($BI$520),$B$419=1),$BI$520,HLOOKUP(INDIRECT(ADDRESS(2,COLUMN())),OFFSET($BN$2,0,0,ROW()-1,60),ROW()-1,FALSE))</f>
        <v/>
      </c>
      <c r="BJ62" t="str">
        <f ca="1">IF(AND(ISNUMBER($BJ$520),$B$419=1),$BJ$520,HLOOKUP(INDIRECT(ADDRESS(2,COLUMN())),OFFSET($BN$2,0,0,ROW()-1,60),ROW()-1,FALSE))</f>
        <v/>
      </c>
      <c r="BK62" t="str">
        <f ca="1">IF(AND(ISNUMBER($BK$520),$B$419=1),$BK$520,HLOOKUP(INDIRECT(ADDRESS(2,COLUMN())),OFFSET($BN$2,0,0,ROW()-1,60),ROW()-1,FALSE))</f>
        <v/>
      </c>
      <c r="BL62" t="str">
        <f ca="1">IF(AND(ISNUMBER($BL$520),$B$419=1),$BL$520,HLOOKUP(INDIRECT(ADDRESS(2,COLUMN())),OFFSET($BN$2,0,0,ROW()-1,60),ROW()-1,FALSE))</f>
        <v/>
      </c>
      <c r="BM62" t="str">
        <f ca="1">IF(AND(ISNUMBER($BM$520),$B$419=1),$BM$520,HLOOKUP(INDIRECT(ADDRESS(2,COLUMN())),OFFSET($BN$2,0,0,ROW()-1,60),ROW()-1,FALSE))</f>
        <v/>
      </c>
      <c r="BN62" t="str">
        <f>""</f>
        <v/>
      </c>
      <c r="BO62">
        <f>126.588</f>
        <v>126.58799999999999</v>
      </c>
      <c r="BP62">
        <f>130.519</f>
        <v>130.51900000000001</v>
      </c>
      <c r="BQ62">
        <f>137.339</f>
        <v>137.339</v>
      </c>
      <c r="BR62">
        <f>143.693</f>
        <v>143.69300000000001</v>
      </c>
      <c r="BS62">
        <f>142.752</f>
        <v>142.75200000000001</v>
      </c>
      <c r="BT62">
        <f>144.526</f>
        <v>144.52600000000001</v>
      </c>
      <c r="BU62">
        <f>147.226</f>
        <v>147.226</v>
      </c>
      <c r="BV62">
        <f>148.639</f>
        <v>148.63900000000001</v>
      </c>
      <c r="BW62">
        <f>148.92</f>
        <v>148.91999999999999</v>
      </c>
      <c r="BX62">
        <f>150.955</f>
        <v>150.95500000000001</v>
      </c>
      <c r="BY62">
        <f>150.888</f>
        <v>150.88800000000001</v>
      </c>
      <c r="BZ62">
        <f>153.197</f>
        <v>153.197</v>
      </c>
      <c r="CA62">
        <f>153.531</f>
        <v>153.53100000000001</v>
      </c>
      <c r="CB62">
        <f>151.447</f>
        <v>151.447</v>
      </c>
      <c r="CC62">
        <f>146.446</f>
        <v>146.446</v>
      </c>
      <c r="CD62">
        <f>149.191</f>
        <v>149.191</v>
      </c>
      <c r="CE62">
        <f>150.689</f>
        <v>150.68899999999999</v>
      </c>
      <c r="CF62">
        <f>136.125</f>
        <v>136.125</v>
      </c>
      <c r="CG62">
        <f>132.32</f>
        <v>132.32</v>
      </c>
      <c r="CH62">
        <f>132.061</f>
        <v>132.06100000000001</v>
      </c>
      <c r="CI62">
        <f>134.959</f>
        <v>134.959</v>
      </c>
      <c r="CJ62">
        <f>138.85</f>
        <v>138.85</v>
      </c>
      <c r="CK62">
        <f>138.987</f>
        <v>138.98699999999999</v>
      </c>
      <c r="CL62">
        <f>142.886</f>
        <v>142.886</v>
      </c>
      <c r="CM62">
        <f>142.885</f>
        <v>142.88499999999999</v>
      </c>
      <c r="CN62">
        <f>146.045</f>
        <v>146.04499999999999</v>
      </c>
      <c r="CO62">
        <f>147.361</f>
        <v>147.36099999999999</v>
      </c>
      <c r="CP62">
        <f>152.323</f>
        <v>152.32300000000001</v>
      </c>
      <c r="CQ62">
        <f>140.641</f>
        <v>140.64099999999999</v>
      </c>
      <c r="CR62">
        <f>164.597</f>
        <v>164.59700000000001</v>
      </c>
      <c r="CS62">
        <f>162</f>
        <v>162</v>
      </c>
      <c r="CT62">
        <f>165.61</f>
        <v>165.61</v>
      </c>
      <c r="CU62">
        <f>164.082</f>
        <v>164.08199999999999</v>
      </c>
      <c r="CV62">
        <f>164.446</f>
        <v>164.446</v>
      </c>
      <c r="CW62" t="str">
        <f>""</f>
        <v/>
      </c>
      <c r="CX62" t="str">
        <f>""</f>
        <v/>
      </c>
      <c r="CY62" t="str">
        <f>""</f>
        <v/>
      </c>
      <c r="CZ62" t="str">
        <f>""</f>
        <v/>
      </c>
      <c r="DA62" t="str">
        <f>""</f>
        <v/>
      </c>
      <c r="DB62" t="str">
        <f>""</f>
        <v/>
      </c>
      <c r="DC62" t="str">
        <f>""</f>
        <v/>
      </c>
      <c r="DD62" t="str">
        <f>""</f>
        <v/>
      </c>
      <c r="DE62" t="str">
        <f>""</f>
        <v/>
      </c>
      <c r="DF62" t="str">
        <f>""</f>
        <v/>
      </c>
      <c r="DG62" t="str">
        <f>""</f>
        <v/>
      </c>
      <c r="DH62" t="str">
        <f>""</f>
        <v/>
      </c>
      <c r="DI62" t="str">
        <f>""</f>
        <v/>
      </c>
      <c r="DJ62" t="str">
        <f>""</f>
        <v/>
      </c>
      <c r="DK62" t="str">
        <f>""</f>
        <v/>
      </c>
      <c r="DL62" t="str">
        <f>""</f>
        <v/>
      </c>
      <c r="DM62" t="str">
        <f>""</f>
        <v/>
      </c>
      <c r="DN62" t="str">
        <f>""</f>
        <v/>
      </c>
      <c r="DO62" t="str">
        <f>""</f>
        <v/>
      </c>
      <c r="DP62" t="str">
        <f>""</f>
        <v/>
      </c>
      <c r="DQ62" t="str">
        <f>""</f>
        <v/>
      </c>
      <c r="DR62" t="str">
        <f>""</f>
        <v/>
      </c>
      <c r="DS62" t="str">
        <f>""</f>
        <v/>
      </c>
      <c r="DT62" t="str">
        <f>""</f>
        <v/>
      </c>
      <c r="DU62" t="str">
        <f>""</f>
        <v/>
      </c>
    </row>
    <row r="63" spans="1:125">
      <c r="A63" t="str">
        <f>"    Simon Property Group Inc"</f>
        <v xml:space="preserve">    Simon Property Group Inc</v>
      </c>
      <c r="B63" t="str">
        <f>"SPG US Equity"</f>
        <v>SPG US Equity</v>
      </c>
      <c r="C63" t="str">
        <f t="shared" si="9"/>
        <v>IS010</v>
      </c>
      <c r="D63" t="str">
        <f t="shared" si="10"/>
        <v>SALES_REV_TURN</v>
      </c>
      <c r="E63" t="str">
        <f t="shared" si="11"/>
        <v>动态</v>
      </c>
      <c r="F63" t="str">
        <f ca="1">IF(AND(ISNUMBER($F$521),$B$419=1),$F$521,HLOOKUP(INDIRECT(ADDRESS(2,COLUMN())),OFFSET($BN$2,0,0,ROW()-1,60),ROW()-1,FALSE))</f>
        <v/>
      </c>
      <c r="G63">
        <f ca="1">IF(AND(ISNUMBER($G$521),$B$419=1),$G$521,HLOOKUP(INDIRECT(ADDRESS(2,COLUMN())),OFFSET($BN$2,0,0,ROW()-1,60),ROW()-1,FALSE))</f>
        <v>1427.692</v>
      </c>
      <c r="H63">
        <f ca="1">IF(AND(ISNUMBER($H$521),$B$419=1),$H$521,HLOOKUP(INDIRECT(ADDRESS(2,COLUMN())),OFFSET($BN$2,0,0,ROW()-1,60),ROW()-1,FALSE))</f>
        <v>1403.6379999999999</v>
      </c>
      <c r="I63">
        <f ca="1">IF(AND(ISNUMBER($I$521),$B$419=1),$I$521,HLOOKUP(INDIRECT(ADDRESS(2,COLUMN())),OFFSET($BN$2,0,0,ROW()-1,60),ROW()-1,FALSE))</f>
        <v>1361.548</v>
      </c>
      <c r="J63">
        <f ca="1">IF(AND(ISNUMBER($J$521),$B$419=1),$J$521,HLOOKUP(INDIRECT(ADDRESS(2,COLUMN())),OFFSET($BN$2,0,0,ROW()-1,60),ROW()-1,FALSE))</f>
        <v>1345.7629999999999</v>
      </c>
      <c r="K63">
        <f ca="1">IF(AND(ISNUMBER($K$521),$B$419=1),$K$521,HLOOKUP(INDIRECT(ADDRESS(2,COLUMN())),OFFSET($BN$2,0,0,ROW()-1,60),ROW()-1,FALSE))</f>
        <v>1425.9659999999999</v>
      </c>
      <c r="L63">
        <f ca="1">IF(AND(ISNUMBER($L$521),$B$419=1),$L$521,HLOOKUP(INDIRECT(ADDRESS(2,COLUMN())),OFFSET($BN$2,0,0,ROW()-1,60),ROW()-1,FALSE))</f>
        <v>1357.1679999999999</v>
      </c>
      <c r="M63">
        <f ca="1">IF(AND(ISNUMBER($M$521),$B$419=1),$M$521,HLOOKUP(INDIRECT(ADDRESS(2,COLUMN())),OFFSET($BN$2,0,0,ROW()-1,60),ROW()-1,FALSE))</f>
        <v>1315.38</v>
      </c>
      <c r="N63">
        <f ca="1">IF(AND(ISNUMBER($N$521),$B$419=1),$N$521,HLOOKUP(INDIRECT(ADDRESS(2,COLUMN())),OFFSET($BN$2,0,0,ROW()-1,60),ROW()-1,FALSE))</f>
        <v>1336.7149999999999</v>
      </c>
      <c r="O63">
        <f ca="1">IF(AND(ISNUMBER($O$521),$B$419=1),$O$521,HLOOKUP(INDIRECT(ADDRESS(2,COLUMN())),OFFSET($BN$2,0,0,ROW()-1,60),ROW()-1,FALSE))</f>
        <v>1380.6210000000001</v>
      </c>
      <c r="P63">
        <f ca="1">IF(AND(ISNUMBER($P$521),$B$419=1),$P$521,HLOOKUP(INDIRECT(ADDRESS(2,COLUMN())),OFFSET($BN$2,0,0,ROW()-1,60),ROW()-1,FALSE))</f>
        <v>1320.1369999999999</v>
      </c>
      <c r="Q63">
        <f ca="1">IF(AND(ISNUMBER($Q$521),$B$419=1),$Q$521,HLOOKUP(INDIRECT(ADDRESS(2,COLUMN())),OFFSET($BN$2,0,0,ROW()-1,60),ROW()-1,FALSE))</f>
        <v>1349.11</v>
      </c>
      <c r="R63">
        <f ca="1">IF(AND(ISNUMBER($R$521),$B$419=1),$R$521,HLOOKUP(INDIRECT(ADDRESS(2,COLUMN())),OFFSET($BN$2,0,0,ROW()-1,60),ROW()-1,FALSE))</f>
        <v>1216.2349999999999</v>
      </c>
      <c r="S63">
        <f ca="1">IF(AND(ISNUMBER($S$521),$B$419=1),$S$521,HLOOKUP(INDIRECT(ADDRESS(2,COLUMN())),OFFSET($BN$2,0,0,ROW()-1,60),ROW()-1,FALSE))</f>
        <v>1297.1199999999999</v>
      </c>
      <c r="T63">
        <f ca="1">IF(AND(ISNUMBER($T$521),$B$419=1),$T$521,HLOOKUP(INDIRECT(ADDRESS(2,COLUMN())),OFFSET($BN$2,0,0,ROW()-1,60),ROW()-1,FALSE))</f>
        <v>1234.694</v>
      </c>
      <c r="U63">
        <f ca="1">IF(AND(ISNUMBER($U$521),$B$419=1),$U$521,HLOOKUP(INDIRECT(ADDRESS(2,COLUMN())),OFFSET($BN$2,0,0,ROW()-1,60),ROW()-1,FALSE))</f>
        <v>1181.982</v>
      </c>
      <c r="V63">
        <f ca="1">IF(AND(ISNUMBER($V$521),$B$419=1),$V$521,HLOOKUP(INDIRECT(ADDRESS(2,COLUMN())),OFFSET($BN$2,0,0,ROW()-1,60),ROW()-1,FALSE))</f>
        <v>1157.0219999999999</v>
      </c>
      <c r="W63">
        <f ca="1">IF(AND(ISNUMBER($W$521),$B$419=1),$W$521,HLOOKUP(INDIRECT(ADDRESS(2,COLUMN())),OFFSET($BN$2,0,0,ROW()-1,60),ROW()-1,FALSE))</f>
        <v>1251.155</v>
      </c>
      <c r="X63">
        <f ca="1">IF(AND(ISNUMBER($X$521),$B$419=1),$X$521,HLOOKUP(INDIRECT(ADDRESS(2,COLUMN())),OFFSET($BN$2,0,0,ROW()-1,60),ROW()-1,FALSE))</f>
        <v>1146.877</v>
      </c>
      <c r="Y63">
        <f ca="1">IF(AND(ISNUMBER($Y$521),$B$419=1),$Y$521,HLOOKUP(INDIRECT(ADDRESS(2,COLUMN())),OFFSET($BN$2,0,0,ROW()-1,60),ROW()-1,FALSE))</f>
        <v>1084.9929999999999</v>
      </c>
      <c r="Z63">
        <f ca="1">IF(AND(ISNUMBER($Z$521),$B$419=1),$Z$521,HLOOKUP(INDIRECT(ADDRESS(2,COLUMN())),OFFSET($BN$2,0,0,ROW()-1,60),ROW()-1,FALSE))</f>
        <v>1215.058</v>
      </c>
      <c r="AA63">
        <f ca="1">IF(AND(ISNUMBER($AA$521),$B$419=1),$AA$521,HLOOKUP(INDIRECT(ADDRESS(2,COLUMN())),OFFSET($BN$2,0,0,ROW()-1,60),ROW()-1,FALSE))</f>
        <v>1344.431</v>
      </c>
      <c r="AB63">
        <f ca="1">IF(AND(ISNUMBER($AB$521),$B$419=1),$AB$521,HLOOKUP(INDIRECT(ADDRESS(2,COLUMN())),OFFSET($BN$2,0,0,ROW()-1,60),ROW()-1,FALSE))</f>
        <v>1228.617</v>
      </c>
      <c r="AC63">
        <f ca="1">IF(AND(ISNUMBER($AC$521),$B$419=1),$AC$521,HLOOKUP(INDIRECT(ADDRESS(2,COLUMN())),OFFSET($BN$2,0,0,ROW()-1,60),ROW()-1,FALSE))</f>
        <v>1188.066</v>
      </c>
      <c r="AD63">
        <f ca="1">IF(AND(ISNUMBER($AD$521),$B$419=1),$AD$521,HLOOKUP(INDIRECT(ADDRESS(2,COLUMN())),OFFSET($BN$2,0,0,ROW()-1,60),ROW()-1,FALSE))</f>
        <v>1118.9690000000001</v>
      </c>
      <c r="AE63">
        <f ca="1">IF(AND(ISNUMBER($AE$521),$B$419=1),$AE$521,HLOOKUP(INDIRECT(ADDRESS(2,COLUMN())),OFFSET($BN$2,0,0,ROW()-1,60),ROW()-1,FALSE))</f>
        <v>1171.337</v>
      </c>
      <c r="AF63">
        <f ca="1">IF(AND(ISNUMBER($AF$521),$B$419=1),$AF$521,HLOOKUP(INDIRECT(ADDRESS(2,COLUMN())),OFFSET($BN$2,0,0,ROW()-1,60),ROW()-1,FALSE))</f>
        <v>1074.3599999999999</v>
      </c>
      <c r="AG63">
        <f ca="1">IF(AND(ISNUMBER($AG$521),$B$419=1),$AG$521,HLOOKUP(INDIRECT(ADDRESS(2,COLUMN())),OFFSET($BN$2,0,0,ROW()-1,60),ROW()-1,FALSE))</f>
        <v>1040.8610000000001</v>
      </c>
      <c r="AH63">
        <f ca="1">IF(AND(ISNUMBER($AH$521),$B$419=1),$AH$521,HLOOKUP(INDIRECT(ADDRESS(2,COLUMN())),OFFSET($BN$2,0,0,ROW()-1,60),ROW()-1,FALSE))</f>
        <v>1019.874</v>
      </c>
      <c r="AI63">
        <f ca="1">IF(AND(ISNUMBER($AI$521),$B$419=1),$AI$521,HLOOKUP(INDIRECT(ADDRESS(2,COLUMN())),OFFSET($BN$2,0,0,ROW()-1,60),ROW()-1,FALSE))</f>
        <v>1119.7180000000001</v>
      </c>
      <c r="AJ63">
        <f ca="1">IF(AND(ISNUMBER($AJ$521),$B$419=1),$AJ$521,HLOOKUP(INDIRECT(ADDRESS(2,COLUMN())),OFFSET($BN$2,0,0,ROW()-1,60),ROW()-1,FALSE))</f>
        <v>979.27499999999998</v>
      </c>
      <c r="AK63">
        <f ca="1">IF(AND(ISNUMBER($AK$521),$B$419=1),$AK$521,HLOOKUP(INDIRECT(ADDRESS(2,COLUMN())),OFFSET($BN$2,0,0,ROW()-1,60),ROW()-1,FALSE))</f>
        <v>933.56600000000003</v>
      </c>
      <c r="AL63">
        <f ca="1">IF(AND(ISNUMBER($AL$521),$B$419=1),$AL$521,HLOOKUP(INDIRECT(ADDRESS(2,COLUMN())),OFFSET($BN$2,0,0,ROW()-1,60),ROW()-1,FALSE))</f>
        <v>925.07100000000003</v>
      </c>
      <c r="AM63">
        <f ca="1">IF(AND(ISNUMBER($AM$521),$B$419=1),$AM$521,HLOOKUP(INDIRECT(ADDRESS(2,COLUMN())),OFFSET($BN$2,0,0,ROW()-1,60),ROW()-1,FALSE))</f>
        <v>1028.18</v>
      </c>
      <c r="AN63">
        <f ca="1">IF(AND(ISNUMBER($AN$521),$B$419=1),$AN$521,HLOOKUP(INDIRECT(ADDRESS(2,COLUMN())),OFFSET($BN$2,0,0,ROW()-1,60),ROW()-1,FALSE))</f>
        <v>924.93200000000002</v>
      </c>
      <c r="AO63">
        <f ca="1">IF(AND(ISNUMBER($AO$521),$B$419=1),$AO$521,HLOOKUP(INDIRECT(ADDRESS(2,COLUMN())),OFFSET($BN$2,0,0,ROW()-1,60),ROW()-1,FALSE))</f>
        <v>903.61199999999997</v>
      </c>
      <c r="AP63">
        <f ca="1">IF(AND(ISNUMBER($AP$521),$B$419=1),$AP$521,HLOOKUP(INDIRECT(ADDRESS(2,COLUMN())),OFFSET($BN$2,0,0,ROW()-1,60),ROW()-1,FALSE))</f>
        <v>918.49199999999996</v>
      </c>
      <c r="AQ63">
        <f ca="1">IF(AND(ISNUMBER($AQ$521),$B$419=1),$AQ$521,HLOOKUP(INDIRECT(ADDRESS(2,COLUMN())),OFFSET($BN$2,0,0,ROW()-1,60),ROW()-1,FALSE))</f>
        <v>1029.316</v>
      </c>
      <c r="AR63">
        <f ca="1">IF(AND(ISNUMBER($AR$521),$B$419=1),$AR$521,HLOOKUP(INDIRECT(ADDRESS(2,COLUMN())),OFFSET($BN$2,0,0,ROW()-1,60),ROW()-1,FALSE))</f>
        <v>935.59400000000005</v>
      </c>
      <c r="AS63">
        <f ca="1">IF(AND(ISNUMBER($AS$521),$B$419=1),$AS$521,HLOOKUP(INDIRECT(ADDRESS(2,COLUMN())),OFFSET($BN$2,0,0,ROW()-1,60),ROW()-1,FALSE))</f>
        <v>922.947</v>
      </c>
      <c r="AT63">
        <f ca="1">IF(AND(ISNUMBER($AT$521),$B$419=1),$AT$521,HLOOKUP(INDIRECT(ADDRESS(2,COLUMN())),OFFSET($BN$2,0,0,ROW()-1,60),ROW()-1,FALSE))</f>
        <v>895.298</v>
      </c>
      <c r="AU63">
        <f ca="1">IF(AND(ISNUMBER($AU$521),$B$419=1),$AU$521,HLOOKUP(INDIRECT(ADDRESS(2,COLUMN())),OFFSET($BN$2,0,0,ROW()-1,60),ROW()-1,FALSE))</f>
        <v>1035.5809999999999</v>
      </c>
      <c r="AV63">
        <f ca="1">IF(AND(ISNUMBER($AV$521),$B$419=1),$AV$521,HLOOKUP(INDIRECT(ADDRESS(2,COLUMN())),OFFSET($BN$2,0,0,ROW()-1,60),ROW()-1,FALSE))</f>
        <v>907.14499999999998</v>
      </c>
      <c r="AW63">
        <f ca="1">IF(AND(ISNUMBER($AW$521),$B$419=1),$AW$521,HLOOKUP(INDIRECT(ADDRESS(2,COLUMN())),OFFSET($BN$2,0,0,ROW()-1,60),ROW()-1,FALSE))</f>
        <v>855.93200000000002</v>
      </c>
      <c r="AX63">
        <f ca="1">IF(AND(ISNUMBER($AX$521),$B$419=1),$AX$521,HLOOKUP(INDIRECT(ADDRESS(2,COLUMN())),OFFSET($BN$2,0,0,ROW()-1,60),ROW()-1,FALSE))</f>
        <v>852.14099999999996</v>
      </c>
      <c r="AY63">
        <f ca="1">IF(AND(ISNUMBER($AY$521),$B$419=1),$AY$521,HLOOKUP(INDIRECT(ADDRESS(2,COLUMN())),OFFSET($BN$2,0,0,ROW()-1,60),ROW()-1,FALSE))</f>
        <v>927.03099999999995</v>
      </c>
      <c r="AZ63">
        <f ca="1">IF(AND(ISNUMBER($AZ$521),$B$419=1),$AZ$521,HLOOKUP(INDIRECT(ADDRESS(2,COLUMN())),OFFSET($BN$2,0,0,ROW()-1,60),ROW()-1,FALSE))</f>
        <v>818.73599999999999</v>
      </c>
      <c r="BA63">
        <f ca="1">IF(AND(ISNUMBER($BA$521),$B$419=1),$BA$521,HLOOKUP(INDIRECT(ADDRESS(2,COLUMN())),OFFSET($BN$2,0,0,ROW()-1,60),ROW()-1,FALSE))</f>
        <v>798.73800000000006</v>
      </c>
      <c r="BB63">
        <f ca="1">IF(AND(ISNUMBER($BB$521),$B$419=1),$BB$521,HLOOKUP(INDIRECT(ADDRESS(2,COLUMN())),OFFSET($BN$2,0,0,ROW()-1,60),ROW()-1,FALSE))</f>
        <v>787.649</v>
      </c>
      <c r="BC63">
        <f ca="1">IF(AND(ISNUMBER($BC$521),$B$419=1),$BC$521,HLOOKUP(INDIRECT(ADDRESS(2,COLUMN())),OFFSET($BN$2,0,0,ROW()-1,60),ROW()-1,FALSE))</f>
        <v>889.79</v>
      </c>
      <c r="BD63">
        <f ca="1">IF(AND(ISNUMBER($BD$521),$B$419=1),$BD$521,HLOOKUP(INDIRECT(ADDRESS(2,COLUMN())),OFFSET($BN$2,0,0,ROW()-1,60),ROW()-1,FALSE))</f>
        <v>783.00900000000001</v>
      </c>
      <c r="BE63">
        <f ca="1">IF(AND(ISNUMBER($BE$521),$B$419=1),$BE$521,HLOOKUP(INDIRECT(ADDRESS(2,COLUMN())),OFFSET($BN$2,0,0,ROW()-1,60),ROW()-1,FALSE))</f>
        <v>752.08399999999995</v>
      </c>
      <c r="BF63">
        <f ca="1">IF(AND(ISNUMBER($BF$521),$B$419=1),$BF$521,HLOOKUP(INDIRECT(ADDRESS(2,COLUMN())),OFFSET($BN$2,0,0,ROW()-1,60),ROW()-1,FALSE))</f>
        <v>741.97</v>
      </c>
      <c r="BG63">
        <f ca="1">IF(AND(ISNUMBER($BG$521),$B$419=1),$BG$521,HLOOKUP(INDIRECT(ADDRESS(2,COLUMN())),OFFSET($BN$2,0,0,ROW()-1,60),ROW()-1,FALSE))</f>
        <v>821.37699999999995</v>
      </c>
      <c r="BH63">
        <f ca="1">IF(AND(ISNUMBER($BH$521),$B$419=1),$BH$521,HLOOKUP(INDIRECT(ADDRESS(2,COLUMN())),OFFSET($BN$2,0,0,ROW()-1,60),ROW()-1,FALSE))</f>
        <v>613.32600000000002</v>
      </c>
      <c r="BI63">
        <f ca="1">IF(AND(ISNUMBER($BI$521),$B$419=1),$BI$521,HLOOKUP(INDIRECT(ADDRESS(2,COLUMN())),OFFSET($BN$2,0,0,ROW()-1,60),ROW()-1,FALSE))</f>
        <v>601.58299999999997</v>
      </c>
      <c r="BJ63">
        <f ca="1">IF(AND(ISNUMBER($BJ$521),$B$419=1),$BJ$521,HLOOKUP(INDIRECT(ADDRESS(2,COLUMN())),OFFSET($BN$2,0,0,ROW()-1,60),ROW()-1,FALSE))</f>
        <v>584.31299999999999</v>
      </c>
      <c r="BK63">
        <f ca="1">IF(AND(ISNUMBER($BK$521),$B$419=1),$BK$521,HLOOKUP(INDIRECT(ADDRESS(2,COLUMN())),OFFSET($BN$2,0,0,ROW()-1,60),ROW()-1,FALSE))</f>
        <v>632.96600000000001</v>
      </c>
      <c r="BL63">
        <f ca="1">IF(AND(ISNUMBER($BL$521),$B$419=1),$BL$521,HLOOKUP(INDIRECT(ADDRESS(2,COLUMN())),OFFSET($BN$2,0,0,ROW()-1,60),ROW()-1,FALSE))</f>
        <v>559.55399999999997</v>
      </c>
      <c r="BM63">
        <f ca="1">IF(AND(ISNUMBER($BM$521),$B$419=1),$BM$521,HLOOKUP(INDIRECT(ADDRESS(2,COLUMN())),OFFSET($BN$2,0,0,ROW()-1,60),ROW()-1,FALSE))</f>
        <v>556.22699999999998</v>
      </c>
      <c r="BN63" t="str">
        <f>""</f>
        <v/>
      </c>
      <c r="BO63">
        <f>1427.692</f>
        <v>1427.692</v>
      </c>
      <c r="BP63">
        <f>1403.638</f>
        <v>1403.6379999999999</v>
      </c>
      <c r="BQ63">
        <f>1361.548</f>
        <v>1361.548</v>
      </c>
      <c r="BR63">
        <f>1345.763</f>
        <v>1345.7629999999999</v>
      </c>
      <c r="BS63">
        <f>1425.966</f>
        <v>1425.9659999999999</v>
      </c>
      <c r="BT63">
        <f>1357.168</f>
        <v>1357.1679999999999</v>
      </c>
      <c r="BU63">
        <f>1315.38</f>
        <v>1315.38</v>
      </c>
      <c r="BV63">
        <f>1336.715</f>
        <v>1336.7149999999999</v>
      </c>
      <c r="BW63">
        <f>1380.621</f>
        <v>1380.6210000000001</v>
      </c>
      <c r="BX63">
        <f>1320.137</f>
        <v>1320.1369999999999</v>
      </c>
      <c r="BY63">
        <f>1349.11</f>
        <v>1349.11</v>
      </c>
      <c r="BZ63">
        <f>1216.235</f>
        <v>1216.2349999999999</v>
      </c>
      <c r="CA63">
        <f>1297.12</f>
        <v>1297.1199999999999</v>
      </c>
      <c r="CB63">
        <f>1234.694</f>
        <v>1234.694</v>
      </c>
      <c r="CC63">
        <f>1181.982</f>
        <v>1181.982</v>
      </c>
      <c r="CD63">
        <f>1157.022</f>
        <v>1157.0219999999999</v>
      </c>
      <c r="CE63">
        <f>1251.155</f>
        <v>1251.155</v>
      </c>
      <c r="CF63">
        <f>1146.877</f>
        <v>1146.877</v>
      </c>
      <c r="CG63">
        <f>1084.993</f>
        <v>1084.9929999999999</v>
      </c>
      <c r="CH63">
        <f>1215.058</f>
        <v>1215.058</v>
      </c>
      <c r="CI63">
        <f>1344.431</f>
        <v>1344.431</v>
      </c>
      <c r="CJ63">
        <f>1228.617</f>
        <v>1228.617</v>
      </c>
      <c r="CK63">
        <f>1188.066</f>
        <v>1188.066</v>
      </c>
      <c r="CL63">
        <f>1118.969</f>
        <v>1118.9690000000001</v>
      </c>
      <c r="CM63">
        <f>1171.337</f>
        <v>1171.337</v>
      </c>
      <c r="CN63">
        <f>1074.36</f>
        <v>1074.3599999999999</v>
      </c>
      <c r="CO63">
        <f>1040.861</f>
        <v>1040.8610000000001</v>
      </c>
      <c r="CP63">
        <f>1019.874</f>
        <v>1019.874</v>
      </c>
      <c r="CQ63">
        <f>1119.718</f>
        <v>1119.7180000000001</v>
      </c>
      <c r="CR63">
        <f>979.275</f>
        <v>979.27499999999998</v>
      </c>
      <c r="CS63">
        <f>933.566</f>
        <v>933.56600000000003</v>
      </c>
      <c r="CT63">
        <f>925.071</f>
        <v>925.07100000000003</v>
      </c>
      <c r="CU63">
        <f>1028.18</f>
        <v>1028.18</v>
      </c>
      <c r="CV63">
        <f>924.932</f>
        <v>924.93200000000002</v>
      </c>
      <c r="CW63">
        <f>903.612</f>
        <v>903.61199999999997</v>
      </c>
      <c r="CX63">
        <f>918.492</f>
        <v>918.49199999999996</v>
      </c>
      <c r="CY63">
        <f>1029.316</f>
        <v>1029.316</v>
      </c>
      <c r="CZ63">
        <f>935.594</f>
        <v>935.59400000000005</v>
      </c>
      <c r="DA63">
        <f>922.947</f>
        <v>922.947</v>
      </c>
      <c r="DB63">
        <f>895.298</f>
        <v>895.298</v>
      </c>
      <c r="DC63">
        <f>1035.581</f>
        <v>1035.5809999999999</v>
      </c>
      <c r="DD63">
        <f>907.145</f>
        <v>907.14499999999998</v>
      </c>
      <c r="DE63">
        <f>855.932</f>
        <v>855.93200000000002</v>
      </c>
      <c r="DF63">
        <f>852.141</f>
        <v>852.14099999999996</v>
      </c>
      <c r="DG63">
        <f>927.031</f>
        <v>927.03099999999995</v>
      </c>
      <c r="DH63">
        <f>818.736</f>
        <v>818.73599999999999</v>
      </c>
      <c r="DI63">
        <f>798.738</f>
        <v>798.73800000000006</v>
      </c>
      <c r="DJ63">
        <f>787.649</f>
        <v>787.649</v>
      </c>
      <c r="DK63">
        <f>889.79</f>
        <v>889.79</v>
      </c>
      <c r="DL63">
        <f>783.009</f>
        <v>783.00900000000001</v>
      </c>
      <c r="DM63">
        <f>752.084</f>
        <v>752.08399999999995</v>
      </c>
      <c r="DN63">
        <f>741.97</f>
        <v>741.97</v>
      </c>
      <c r="DO63">
        <f>821.377</f>
        <v>821.37699999999995</v>
      </c>
      <c r="DP63">
        <f>613.326</f>
        <v>613.32600000000002</v>
      </c>
      <c r="DQ63">
        <f>601.583</f>
        <v>601.58299999999997</v>
      </c>
      <c r="DR63">
        <f>584.313</f>
        <v>584.31299999999999</v>
      </c>
      <c r="DS63">
        <f>632.966</f>
        <v>632.96600000000001</v>
      </c>
      <c r="DT63">
        <f>559.554</f>
        <v>559.55399999999997</v>
      </c>
      <c r="DU63">
        <f>556.227</f>
        <v>556.22699999999998</v>
      </c>
    </row>
    <row r="64" spans="1:125">
      <c r="A64" t="str">
        <f>"    Tanger Factory Outlet Centers"</f>
        <v xml:space="preserve">    Tanger Factory Outlet Centers</v>
      </c>
      <c r="B64" t="str">
        <f>"SKT US Equity"</f>
        <v>SKT US Equity</v>
      </c>
      <c r="C64" t="str">
        <f t="shared" si="9"/>
        <v>IS010</v>
      </c>
      <c r="D64" t="str">
        <f t="shared" si="10"/>
        <v>SALES_REV_TURN</v>
      </c>
      <c r="E64" t="str">
        <f t="shared" si="11"/>
        <v>动态</v>
      </c>
      <c r="F64" t="str">
        <f ca="1">IF(AND(ISNUMBER($F$522),$B$419=1),$F$522,HLOOKUP(INDIRECT(ADDRESS(2,COLUMN())),OFFSET($BN$2,0,0,ROW()-1,60),ROW()-1,FALSE))</f>
        <v/>
      </c>
      <c r="G64">
        <f ca="1">IF(AND(ISNUMBER($G$522),$B$419=1),$G$522,HLOOKUP(INDIRECT(ADDRESS(2,COLUMN())),OFFSET($BN$2,0,0,ROW()-1,60),ROW()-1,FALSE))</f>
        <v>126.48699999999999</v>
      </c>
      <c r="H64">
        <f ca="1">IF(AND(ISNUMBER($H$522),$B$419=1),$H$522,HLOOKUP(INDIRECT(ADDRESS(2,COLUMN())),OFFSET($BN$2,0,0,ROW()-1,60),ROW()-1,FALSE))</f>
        <v>120.765</v>
      </c>
      <c r="I64">
        <f ca="1">IF(AND(ISNUMBER($I$522),$B$419=1),$I$522,HLOOKUP(INDIRECT(ADDRESS(2,COLUMN())),OFFSET($BN$2,0,0,ROW()-1,60),ROW()-1,FALSE))</f>
        <v>119.614</v>
      </c>
      <c r="J64">
        <f ca="1">IF(AND(ISNUMBER($J$522),$B$419=1),$J$522,HLOOKUP(INDIRECT(ADDRESS(2,COLUMN())),OFFSET($BN$2,0,0,ROW()-1,60),ROW()-1,FALSE))</f>
        <v>121.36799999999999</v>
      </c>
      <c r="K64">
        <f ca="1">IF(AND(ISNUMBER($K$522),$B$419=1),$K$522,HLOOKUP(INDIRECT(ADDRESS(2,COLUMN())),OFFSET($BN$2,0,0,ROW()-1,60),ROW()-1,FALSE))</f>
        <v>124.559</v>
      </c>
      <c r="L64">
        <f ca="1">IF(AND(ISNUMBER($L$522),$B$419=1),$L$522,HLOOKUP(INDIRECT(ADDRESS(2,COLUMN())),OFFSET($BN$2,0,0,ROW()-1,60),ROW()-1,FALSE))</f>
        <v>119.137</v>
      </c>
      <c r="M64">
        <f ca="1">IF(AND(ISNUMBER($M$522),$B$419=1),$M$522,HLOOKUP(INDIRECT(ADDRESS(2,COLUMN())),OFFSET($BN$2,0,0,ROW()-1,60),ROW()-1,FALSE))</f>
        <v>111.333</v>
      </c>
      <c r="N64">
        <f ca="1">IF(AND(ISNUMBER($N$522),$B$419=1),$N$522,HLOOKUP(INDIRECT(ADDRESS(2,COLUMN())),OFFSET($BN$2,0,0,ROW()-1,60),ROW()-1,FALSE))</f>
        <v>110.80500000000001</v>
      </c>
      <c r="O64">
        <f ca="1">IF(AND(ISNUMBER($O$522),$B$419=1),$O$522,HLOOKUP(INDIRECT(ADDRESS(2,COLUMN())),OFFSET($BN$2,0,0,ROW()-1,60),ROW()-1,FALSE))</f>
        <v>112.801</v>
      </c>
      <c r="P64">
        <f ca="1">IF(AND(ISNUMBER($P$522),$B$419=1),$P$522,HLOOKUP(INDIRECT(ADDRESS(2,COLUMN())),OFFSET($BN$2,0,0,ROW()-1,60),ROW()-1,FALSE))</f>
        <v>112.90600000000001</v>
      </c>
      <c r="Q64">
        <f ca="1">IF(AND(ISNUMBER($Q$522),$B$419=1),$Q$522,HLOOKUP(INDIRECT(ADDRESS(2,COLUMN())),OFFSET($BN$2,0,0,ROW()-1,60),ROW()-1,FALSE))</f>
        <v>107.736</v>
      </c>
      <c r="R64">
        <f ca="1">IF(AND(ISNUMBER($R$522),$B$419=1),$R$522,HLOOKUP(INDIRECT(ADDRESS(2,COLUMN())),OFFSET($BN$2,0,0,ROW()-1,60),ROW()-1,FALSE))</f>
        <v>105.926</v>
      </c>
      <c r="S64">
        <f ca="1">IF(AND(ISNUMBER($S$522),$B$419=1),$S$522,HLOOKUP(INDIRECT(ADDRESS(2,COLUMN())),OFFSET($BN$2,0,0,ROW()-1,60),ROW()-1,FALSE))</f>
        <v>108.374</v>
      </c>
      <c r="T64">
        <f ca="1">IF(AND(ISNUMBER($T$522),$B$419=1),$T$522,HLOOKUP(INDIRECT(ADDRESS(2,COLUMN())),OFFSET($BN$2,0,0,ROW()-1,60),ROW()-1,FALSE))</f>
        <v>105.18899999999999</v>
      </c>
      <c r="U64">
        <f ca="1">IF(AND(ISNUMBER($U$522),$B$419=1),$U$522,HLOOKUP(INDIRECT(ADDRESS(2,COLUMN())),OFFSET($BN$2,0,0,ROW()-1,60),ROW()-1,FALSE))</f>
        <v>102.212</v>
      </c>
      <c r="V64">
        <f ca="1">IF(AND(ISNUMBER($V$522),$B$419=1),$V$522,HLOOKUP(INDIRECT(ADDRESS(2,COLUMN())),OFFSET($BN$2,0,0,ROW()-1,60),ROW()-1,FALSE))</f>
        <v>102.782</v>
      </c>
      <c r="W64">
        <f ca="1">IF(AND(ISNUMBER($W$522),$B$419=1),$W$522,HLOOKUP(INDIRECT(ADDRESS(2,COLUMN())),OFFSET($BN$2,0,0,ROW()-1,60),ROW()-1,FALSE))</f>
        <v>107.325</v>
      </c>
      <c r="X64">
        <f ca="1">IF(AND(ISNUMBER($X$522),$B$419=1),$X$522,HLOOKUP(INDIRECT(ADDRESS(2,COLUMN())),OFFSET($BN$2,0,0,ROW()-1,60),ROW()-1,FALSE))</f>
        <v>97.903000000000006</v>
      </c>
      <c r="Y64">
        <f ca="1">IF(AND(ISNUMBER($Y$522),$B$419=1),$Y$522,HLOOKUP(INDIRECT(ADDRESS(2,COLUMN())),OFFSET($BN$2,0,0,ROW()-1,60),ROW()-1,FALSE))</f>
        <v>91.015000000000001</v>
      </c>
      <c r="Z64">
        <f ca="1">IF(AND(ISNUMBER($Z$522),$B$419=1),$Z$522,HLOOKUP(INDIRECT(ADDRESS(2,COLUMN())),OFFSET($BN$2,0,0,ROW()-1,60),ROW()-1,FALSE))</f>
        <v>88.688999999999993</v>
      </c>
      <c r="AA64">
        <f ca="1">IF(AND(ISNUMBER($AA$522),$B$419=1),$AA$522,HLOOKUP(INDIRECT(ADDRESS(2,COLUMN())),OFFSET($BN$2,0,0,ROW()-1,60),ROW()-1,FALSE))</f>
        <v>94.936000000000007</v>
      </c>
      <c r="AB64">
        <f ca="1">IF(AND(ISNUMBER($AB$522),$B$419=1),$AB$522,HLOOKUP(INDIRECT(ADDRESS(2,COLUMN())),OFFSET($BN$2,0,0,ROW()-1,60),ROW()-1,FALSE))</f>
        <v>90.483000000000004</v>
      </c>
      <c r="AC64">
        <f ca="1">IF(AND(ISNUMBER($AC$522),$B$419=1),$AC$522,HLOOKUP(INDIRECT(ADDRESS(2,COLUMN())),OFFSET($BN$2,0,0,ROW()-1,60),ROW()-1,FALSE))</f>
        <v>87.334999999999994</v>
      </c>
      <c r="AD64">
        <f ca="1">IF(AND(ISNUMBER($AD$522),$B$419=1),$AD$522,HLOOKUP(INDIRECT(ADDRESS(2,COLUMN())),OFFSET($BN$2,0,0,ROW()-1,60),ROW()-1,FALSE))</f>
        <v>84.242999999999995</v>
      </c>
      <c r="AE64">
        <f ca="1">IF(AND(ISNUMBER($AE$522),$B$419=1),$AE$522,HLOOKUP(INDIRECT(ADDRESS(2,COLUMN())),OFFSET($BN$2,0,0,ROW()-1,60),ROW()-1,FALSE))</f>
        <v>89.14</v>
      </c>
      <c r="AF64">
        <f ca="1">IF(AND(ISNUMBER($AF$522),$B$419=1),$AF$522,HLOOKUP(INDIRECT(ADDRESS(2,COLUMN())),OFFSET($BN$2,0,0,ROW()-1,60),ROW()-1,FALSE))</f>
        <v>83.242999999999995</v>
      </c>
      <c r="AG64">
        <f ca="1">IF(AND(ISNUMBER($AG$522),$B$419=1),$AG$522,HLOOKUP(INDIRECT(ADDRESS(2,COLUMN())),OFFSET($BN$2,0,0,ROW()-1,60),ROW()-1,FALSE))</f>
        <v>72.100999999999999</v>
      </c>
      <c r="AH64">
        <f ca="1">IF(AND(ISNUMBER($AH$522),$B$419=1),$AH$522,HLOOKUP(INDIRECT(ADDRESS(2,COLUMN())),OFFSET($BN$2,0,0,ROW()-1,60),ROW()-1,FALSE))</f>
        <v>70.739000000000004</v>
      </c>
      <c r="AI64">
        <f ca="1">IF(AND(ISNUMBER($AI$522),$B$419=1),$AI$522,HLOOKUP(INDIRECT(ADDRESS(2,COLUMN())),OFFSET($BN$2,0,0,ROW()-1,60),ROW()-1,FALSE))</f>
        <v>75.492999999999995</v>
      </c>
      <c r="AJ64">
        <f ca="1">IF(AND(ISNUMBER($AJ$522),$B$419=1),$AJ$522,HLOOKUP(INDIRECT(ADDRESS(2,COLUMN())),OFFSET($BN$2,0,0,ROW()-1,60),ROW()-1,FALSE))</f>
        <v>69.472999999999999</v>
      </c>
      <c r="AK64">
        <f ca="1">IF(AND(ISNUMBER($AK$522),$B$419=1),$AK$522,HLOOKUP(INDIRECT(ADDRESS(2,COLUMN())),OFFSET($BN$2,0,0,ROW()-1,60),ROW()-1,FALSE))</f>
        <v>65.295000000000002</v>
      </c>
      <c r="AL64">
        <f ca="1">IF(AND(ISNUMBER($AL$522),$B$419=1),$AL$522,HLOOKUP(INDIRECT(ADDRESS(2,COLUMN())),OFFSET($BN$2,0,0,ROW()-1,60),ROW()-1,FALSE))</f>
        <v>66.042000000000002</v>
      </c>
      <c r="AM64">
        <f ca="1">IF(AND(ISNUMBER($AM$522),$B$419=1),$AM$522,HLOOKUP(INDIRECT(ADDRESS(2,COLUMN())),OFFSET($BN$2,0,0,ROW()-1,60),ROW()-1,FALSE))</f>
        <v>71.296000000000006</v>
      </c>
      <c r="AN64">
        <f ca="1">IF(AND(ISNUMBER($AN$522),$B$419=1),$AN$522,HLOOKUP(INDIRECT(ADDRESS(2,COLUMN())),OFFSET($BN$2,0,0,ROW()-1,60),ROW()-1,FALSE))</f>
        <v>70.048000000000002</v>
      </c>
      <c r="AO64">
        <f ca="1">IF(AND(ISNUMBER($AO$522),$B$419=1),$AO$522,HLOOKUP(INDIRECT(ADDRESS(2,COLUMN())),OFFSET($BN$2,0,0,ROW()-1,60),ROW()-1,FALSE))</f>
        <v>64.400000000000006</v>
      </c>
      <c r="AP64">
        <f ca="1">IF(AND(ISNUMBER($AP$522),$B$419=1),$AP$522,HLOOKUP(INDIRECT(ADDRESS(2,COLUMN())),OFFSET($BN$2,0,0,ROW()-1,60),ROW()-1,FALSE))</f>
        <v>65.158000000000001</v>
      </c>
      <c r="AQ64">
        <f ca="1">IF(AND(ISNUMBER($AQ$522),$B$419=1),$AQ$522,HLOOKUP(INDIRECT(ADDRESS(2,COLUMN())),OFFSET($BN$2,0,0,ROW()-1,60),ROW()-1,FALSE))</f>
        <v>68.337000000000003</v>
      </c>
      <c r="AR64">
        <f ca="1">IF(AND(ISNUMBER($AR$522),$B$419=1),$AR$522,HLOOKUP(INDIRECT(ADDRESS(2,COLUMN())),OFFSET($BN$2,0,0,ROW()-1,60),ROW()-1,FALSE))</f>
        <v>62.773000000000003</v>
      </c>
      <c r="AS64">
        <f ca="1">IF(AND(ISNUMBER($AS$522),$B$419=1),$AS$522,HLOOKUP(INDIRECT(ADDRESS(2,COLUMN())),OFFSET($BN$2,0,0,ROW()-1,60),ROW()-1,FALSE))</f>
        <v>57.005000000000003</v>
      </c>
      <c r="AT64">
        <f ca="1">IF(AND(ISNUMBER($AT$522),$B$419=1),$AT$522,HLOOKUP(INDIRECT(ADDRESS(2,COLUMN())),OFFSET($BN$2,0,0,ROW()-1,60),ROW()-1,FALSE))</f>
        <v>57.276000000000003</v>
      </c>
      <c r="AU64">
        <f ca="1">IF(AND(ISNUMBER($AU$522),$B$419=1),$AU$522,HLOOKUP(INDIRECT(ADDRESS(2,COLUMN())),OFFSET($BN$2,0,0,ROW()-1,60),ROW()-1,FALSE))</f>
        <v>61.978000000000002</v>
      </c>
      <c r="AV64">
        <f ca="1">IF(AND(ISNUMBER($AV$522),$B$419=1),$AV$522,HLOOKUP(INDIRECT(ADDRESS(2,COLUMN())),OFFSET($BN$2,0,0,ROW()-1,60),ROW()-1,FALSE))</f>
        <v>58.386000000000003</v>
      </c>
      <c r="AW64">
        <f ca="1">IF(AND(ISNUMBER($AW$522),$B$419=1),$AW$522,HLOOKUP(INDIRECT(ADDRESS(2,COLUMN())),OFFSET($BN$2,0,0,ROW()-1,60),ROW()-1,FALSE))</f>
        <v>55.334000000000003</v>
      </c>
      <c r="AX64">
        <f ca="1">IF(AND(ISNUMBER($AX$522),$B$419=1),$AX$522,HLOOKUP(INDIRECT(ADDRESS(2,COLUMN())),OFFSET($BN$2,0,0,ROW()-1,60),ROW()-1,FALSE))</f>
        <v>53.067</v>
      </c>
      <c r="AY64">
        <f ca="1">IF(AND(ISNUMBER($AY$522),$B$419=1),$AY$522,HLOOKUP(INDIRECT(ADDRESS(2,COLUMN())),OFFSET($BN$2,0,0,ROW()-1,60),ROW()-1,FALSE))</f>
        <v>58.335000000000001</v>
      </c>
      <c r="AZ64">
        <f ca="1">IF(AND(ISNUMBER($AZ$522),$B$419=1),$AZ$522,HLOOKUP(INDIRECT(ADDRESS(2,COLUMN())),OFFSET($BN$2,0,0,ROW()-1,60),ROW()-1,FALSE))</f>
        <v>54.262</v>
      </c>
      <c r="BA64">
        <f ca="1">IF(AND(ISNUMBER($BA$522),$B$419=1),$BA$522,HLOOKUP(INDIRECT(ADDRESS(2,COLUMN())),OFFSET($BN$2,0,0,ROW()-1,60),ROW()-1,FALSE))</f>
        <v>50.527999999999999</v>
      </c>
      <c r="BB64">
        <f ca="1">IF(AND(ISNUMBER($BB$522),$B$419=1),$BB$522,HLOOKUP(INDIRECT(ADDRESS(2,COLUMN())),OFFSET($BN$2,0,0,ROW()-1,60),ROW()-1,FALSE))</f>
        <v>48.198</v>
      </c>
      <c r="BC64">
        <f ca="1">IF(AND(ISNUMBER($BC$522),$B$419=1),$BC$522,HLOOKUP(INDIRECT(ADDRESS(2,COLUMN())),OFFSET($BN$2,0,0,ROW()-1,60),ROW()-1,FALSE))</f>
        <v>53.625999999999998</v>
      </c>
      <c r="BD64">
        <f ca="1">IF(AND(ISNUMBER($BD$522),$B$419=1),$BD$522,HLOOKUP(INDIRECT(ADDRESS(2,COLUMN())),OFFSET($BN$2,0,0,ROW()-1,60),ROW()-1,FALSE))</f>
        <v>50.593000000000004</v>
      </c>
      <c r="BE64">
        <f ca="1">IF(AND(ISNUMBER($BE$522),$B$419=1),$BE$522,HLOOKUP(INDIRECT(ADDRESS(2,COLUMN())),OFFSET($BN$2,0,0,ROW()-1,60),ROW()-1,FALSE))</f>
        <v>47.576999999999998</v>
      </c>
      <c r="BF64">
        <f ca="1">IF(AND(ISNUMBER($BF$522),$B$419=1),$BF$522,HLOOKUP(INDIRECT(ADDRESS(2,COLUMN())),OFFSET($BN$2,0,0,ROW()-1,60),ROW()-1,FALSE))</f>
        <v>46.965000000000003</v>
      </c>
      <c r="BG64">
        <f ca="1">IF(AND(ISNUMBER($BG$522),$B$419=1),$BG$522,HLOOKUP(INDIRECT(ADDRESS(2,COLUMN())),OFFSET($BN$2,0,0,ROW()-1,60),ROW()-1,FALSE))</f>
        <v>51.807000000000002</v>
      </c>
      <c r="BH64">
        <f ca="1">IF(AND(ISNUMBER($BH$522),$B$419=1),$BH$522,HLOOKUP(INDIRECT(ADDRESS(2,COLUMN())),OFFSET($BN$2,0,0,ROW()-1,60),ROW()-1,FALSE))</f>
        <v>49.043999999999997</v>
      </c>
      <c r="BI64">
        <f ca="1">IF(AND(ISNUMBER($BI$522),$B$419=1),$BI$522,HLOOKUP(INDIRECT(ADDRESS(2,COLUMN())),OFFSET($BN$2,0,0,ROW()-1,60),ROW()-1,FALSE))</f>
        <v>48.965000000000003</v>
      </c>
      <c r="BJ64">
        <f ca="1">IF(AND(ISNUMBER($BJ$522),$B$419=1),$BJ$522,HLOOKUP(INDIRECT(ADDRESS(2,COLUMN())),OFFSET($BN$2,0,0,ROW()-1,60),ROW()-1,FALSE))</f>
        <v>45.779000000000003</v>
      </c>
      <c r="BK64">
        <f ca="1">IF(AND(ISNUMBER($BK$522),$B$419=1),$BK$522,HLOOKUP(INDIRECT(ADDRESS(2,COLUMN())),OFFSET($BN$2,0,0,ROW()-1,60),ROW()-1,FALSE))</f>
        <v>34.166999820000001</v>
      </c>
      <c r="BL64">
        <f ca="1">IF(AND(ISNUMBER($BL$522),$B$419=1),$BL$522,HLOOKUP(INDIRECT(ADDRESS(2,COLUMN())),OFFSET($BN$2,0,0,ROW()-1,60),ROW()-1,FALSE))</f>
        <v>28.966000000000001</v>
      </c>
      <c r="BM64">
        <f ca="1">IF(AND(ISNUMBER($BM$522),$B$419=1),$BM$522,HLOOKUP(INDIRECT(ADDRESS(2,COLUMN())),OFFSET($BN$2,0,0,ROW()-1,60),ROW()-1,FALSE))</f>
        <v>28.872</v>
      </c>
      <c r="BN64" t="str">
        <f>""</f>
        <v/>
      </c>
      <c r="BO64">
        <f>126.487</f>
        <v>126.48699999999999</v>
      </c>
      <c r="BP64">
        <f>120.765</f>
        <v>120.765</v>
      </c>
      <c r="BQ64">
        <f>119.614</f>
        <v>119.614</v>
      </c>
      <c r="BR64">
        <f>121.368</f>
        <v>121.36799999999999</v>
      </c>
      <c r="BS64">
        <f>124.559</f>
        <v>124.559</v>
      </c>
      <c r="BT64">
        <f>119.137</f>
        <v>119.137</v>
      </c>
      <c r="BU64">
        <f>111.333</f>
        <v>111.333</v>
      </c>
      <c r="BV64">
        <f>110.805</f>
        <v>110.80500000000001</v>
      </c>
      <c r="BW64">
        <f>112.801</f>
        <v>112.801</v>
      </c>
      <c r="BX64">
        <f>112.906</f>
        <v>112.90600000000001</v>
      </c>
      <c r="BY64">
        <f>107.736</f>
        <v>107.736</v>
      </c>
      <c r="BZ64">
        <f>105.926</f>
        <v>105.926</v>
      </c>
      <c r="CA64">
        <f>108.374</f>
        <v>108.374</v>
      </c>
      <c r="CB64">
        <f>105.189</f>
        <v>105.18899999999999</v>
      </c>
      <c r="CC64">
        <f>102.212</f>
        <v>102.212</v>
      </c>
      <c r="CD64">
        <f>102.782</f>
        <v>102.782</v>
      </c>
      <c r="CE64">
        <f>107.325</f>
        <v>107.325</v>
      </c>
      <c r="CF64">
        <f>97.903</f>
        <v>97.903000000000006</v>
      </c>
      <c r="CG64">
        <f>91.015</f>
        <v>91.015000000000001</v>
      </c>
      <c r="CH64">
        <f>88.689</f>
        <v>88.688999999999993</v>
      </c>
      <c r="CI64">
        <f>94.936</f>
        <v>94.936000000000007</v>
      </c>
      <c r="CJ64">
        <f>90.483</f>
        <v>90.483000000000004</v>
      </c>
      <c r="CK64">
        <f>87.335</f>
        <v>87.334999999999994</v>
      </c>
      <c r="CL64">
        <f>84.243</f>
        <v>84.242999999999995</v>
      </c>
      <c r="CM64">
        <f>89.14</f>
        <v>89.14</v>
      </c>
      <c r="CN64">
        <f>83.243</f>
        <v>83.242999999999995</v>
      </c>
      <c r="CO64">
        <f>72.101</f>
        <v>72.100999999999999</v>
      </c>
      <c r="CP64">
        <f>70.739</f>
        <v>70.739000000000004</v>
      </c>
      <c r="CQ64">
        <f>75.493</f>
        <v>75.492999999999995</v>
      </c>
      <c r="CR64">
        <f>69.473</f>
        <v>69.472999999999999</v>
      </c>
      <c r="CS64">
        <f>65.295</f>
        <v>65.295000000000002</v>
      </c>
      <c r="CT64">
        <f>66.042</f>
        <v>66.042000000000002</v>
      </c>
      <c r="CU64">
        <f>71.296</f>
        <v>71.296000000000006</v>
      </c>
      <c r="CV64">
        <f>70.048</f>
        <v>70.048000000000002</v>
      </c>
      <c r="CW64">
        <f>64.4</f>
        <v>64.400000000000006</v>
      </c>
      <c r="CX64">
        <f>65.158</f>
        <v>65.158000000000001</v>
      </c>
      <c r="CY64">
        <f>68.337</f>
        <v>68.337000000000003</v>
      </c>
      <c r="CZ64">
        <f>62.773</f>
        <v>62.773000000000003</v>
      </c>
      <c r="DA64">
        <f>57.005</f>
        <v>57.005000000000003</v>
      </c>
      <c r="DB64">
        <f>57.276</f>
        <v>57.276000000000003</v>
      </c>
      <c r="DC64">
        <f>61.978</f>
        <v>61.978000000000002</v>
      </c>
      <c r="DD64">
        <f>58.386</f>
        <v>58.386000000000003</v>
      </c>
      <c r="DE64">
        <f>55.334</f>
        <v>55.334000000000003</v>
      </c>
      <c r="DF64">
        <f>53.067</f>
        <v>53.067</v>
      </c>
      <c r="DG64">
        <f>58.335</f>
        <v>58.335000000000001</v>
      </c>
      <c r="DH64">
        <f>54.262</f>
        <v>54.262</v>
      </c>
      <c r="DI64">
        <f>50.528</f>
        <v>50.527999999999999</v>
      </c>
      <c r="DJ64">
        <f>48.198</f>
        <v>48.198</v>
      </c>
      <c r="DK64">
        <f>53.626</f>
        <v>53.625999999999998</v>
      </c>
      <c r="DL64">
        <f>50.593</f>
        <v>50.593000000000004</v>
      </c>
      <c r="DM64">
        <f>47.577</f>
        <v>47.576999999999998</v>
      </c>
      <c r="DN64">
        <f>46.965</f>
        <v>46.965000000000003</v>
      </c>
      <c r="DO64">
        <f>51.807</f>
        <v>51.807000000000002</v>
      </c>
      <c r="DP64">
        <f>49.044</f>
        <v>49.043999999999997</v>
      </c>
      <c r="DQ64">
        <f>48.965</f>
        <v>48.965000000000003</v>
      </c>
      <c r="DR64">
        <f>45.779</f>
        <v>45.779000000000003</v>
      </c>
      <c r="DS64">
        <f>34.16699982</f>
        <v>34.166999820000001</v>
      </c>
      <c r="DT64">
        <f>28.966</f>
        <v>28.966000000000001</v>
      </c>
      <c r="DU64">
        <f>28.872</f>
        <v>28.872</v>
      </c>
    </row>
    <row r="65" spans="1:125">
      <c r="A65" t="str">
        <f>"    VEREIT Inc"</f>
        <v xml:space="preserve">    VEREIT Inc</v>
      </c>
      <c r="B65" t="str">
        <f>"VER US Equity"</f>
        <v>VER US Equity</v>
      </c>
      <c r="C65" t="str">
        <f t="shared" si="9"/>
        <v>IS010</v>
      </c>
      <c r="D65" t="str">
        <f t="shared" si="10"/>
        <v>SALES_REV_TURN</v>
      </c>
      <c r="E65" t="str">
        <f t="shared" si="11"/>
        <v>动态</v>
      </c>
      <c r="F65" t="str">
        <f ca="1">IF(AND(ISNUMBER($F$523),$B$419=1),$F$523,HLOOKUP(INDIRECT(ADDRESS(2,COLUMN())),OFFSET($BN$2,0,0,ROW()-1,60),ROW()-1,FALSE))</f>
        <v/>
      </c>
      <c r="G65">
        <f ca="1">IF(AND(ISNUMBER($G$523),$B$419=1),$G$523,HLOOKUP(INDIRECT(ADDRESS(2,COLUMN())),OFFSET($BN$2,0,0,ROW()-1,60),ROW()-1,FALSE))</f>
        <v>316.59899999999999</v>
      </c>
      <c r="H65">
        <f ca="1">IF(AND(ISNUMBER($H$523),$B$419=1),$H$523,HLOOKUP(INDIRECT(ADDRESS(2,COLUMN())),OFFSET($BN$2,0,0,ROW()-1,60),ROW()-1,FALSE))</f>
        <v>333.72800000000001</v>
      </c>
      <c r="I65">
        <f ca="1">IF(AND(ISNUMBER($I$523),$B$419=1),$I$523,HLOOKUP(INDIRECT(ADDRESS(2,COLUMN())),OFFSET($BN$2,0,0,ROW()-1,60),ROW()-1,FALSE))</f>
        <v>336.93</v>
      </c>
      <c r="J65">
        <f ca="1">IF(AND(ISNUMBER($J$523),$B$419=1),$J$523,HLOOKUP(INDIRECT(ADDRESS(2,COLUMN())),OFFSET($BN$2,0,0,ROW()-1,60),ROW()-1,FALSE))</f>
        <v>348.029</v>
      </c>
      <c r="K65">
        <f ca="1">IF(AND(ISNUMBER($K$523),$B$419=1),$K$523,HLOOKUP(INDIRECT(ADDRESS(2,COLUMN())),OFFSET($BN$2,0,0,ROW()-1,60),ROW()-1,FALSE))</f>
        <v>351.86900000000003</v>
      </c>
      <c r="L65">
        <f ca="1">IF(AND(ISNUMBER($L$523),$B$419=1),$L$523,HLOOKUP(INDIRECT(ADDRESS(2,COLUMN())),OFFSET($BN$2,0,0,ROW()-1,60),ROW()-1,FALSE))</f>
        <v>362.91500000000002</v>
      </c>
      <c r="M65">
        <f ca="1">IF(AND(ISNUMBER($M$523),$B$419=1),$M$523,HLOOKUP(INDIRECT(ADDRESS(2,COLUMN())),OFFSET($BN$2,0,0,ROW()-1,60),ROW()-1,FALSE))</f>
        <v>371.01900000000001</v>
      </c>
      <c r="N65">
        <f ca="1">IF(AND(ISNUMBER($N$523),$B$419=1),$N$523,HLOOKUP(INDIRECT(ADDRESS(2,COLUMN())),OFFSET($BN$2,0,0,ROW()-1,60),ROW()-1,FALSE))</f>
        <v>369.02</v>
      </c>
      <c r="O65">
        <f ca="1">IF(AND(ISNUMBER($O$523),$B$419=1),$O$523,HLOOKUP(INDIRECT(ADDRESS(2,COLUMN())),OFFSET($BN$2,0,0,ROW()-1,60),ROW()-1,FALSE))</f>
        <v>383.37400000000002</v>
      </c>
      <c r="P65">
        <f ca="1">IF(AND(ISNUMBER($P$523),$B$419=1),$P$523,HLOOKUP(INDIRECT(ADDRESS(2,COLUMN())),OFFSET($BN$2,0,0,ROW()-1,60),ROW()-1,FALSE))</f>
        <v>384.95400000000001</v>
      </c>
      <c r="Q65">
        <f ca="1">IF(AND(ISNUMBER($Q$523),$B$419=1),$Q$523,HLOOKUP(INDIRECT(ADDRESS(2,COLUMN())),OFFSET($BN$2,0,0,ROW()-1,60),ROW()-1,FALSE))</f>
        <v>393.721</v>
      </c>
      <c r="R65">
        <f ca="1">IF(AND(ISNUMBER($R$523),$B$419=1),$R$523,HLOOKUP(INDIRECT(ADDRESS(2,COLUMN())),OFFSET($BN$2,0,0,ROW()-1,60),ROW()-1,FALSE))</f>
        <v>393.96800000000002</v>
      </c>
      <c r="S65">
        <f ca="1">IF(AND(ISNUMBER($S$523),$B$419=1),$S$523,HLOOKUP(INDIRECT(ADDRESS(2,COLUMN())),OFFSET($BN$2,0,0,ROW()-1,60),ROW()-1,FALSE))</f>
        <v>418.80700000000002</v>
      </c>
      <c r="T65">
        <f ca="1">IF(AND(ISNUMBER($T$523),$B$419=1),$T$523,HLOOKUP(INDIRECT(ADDRESS(2,COLUMN())),OFFSET($BN$2,0,0,ROW()-1,60),ROW()-1,FALSE))</f>
        <v>457.11799999999999</v>
      </c>
      <c r="U65">
        <f ca="1">IF(AND(ISNUMBER($U$523),$B$419=1),$U$523,HLOOKUP(INDIRECT(ADDRESS(2,COLUMN())),OFFSET($BN$2,0,0,ROW()-1,60),ROW()-1,FALSE))</f>
        <v>382.178</v>
      </c>
      <c r="V65">
        <f ca="1">IF(AND(ISNUMBER($V$523),$B$419=1),$V$523,HLOOKUP(INDIRECT(ADDRESS(2,COLUMN())),OFFSET($BN$2,0,0,ROW()-1,60),ROW()-1,FALSE))</f>
        <v>321.154</v>
      </c>
      <c r="W65">
        <f ca="1">IF(AND(ISNUMBER($W$523),$B$419=1),$W$523,HLOOKUP(INDIRECT(ADDRESS(2,COLUMN())),OFFSET($BN$2,0,0,ROW()-1,60),ROW()-1,FALSE))</f>
        <v>94.114999999999995</v>
      </c>
      <c r="X65">
        <f ca="1">IF(AND(ISNUMBER($X$523),$B$419=1),$X$523,HLOOKUP(INDIRECT(ADDRESS(2,COLUMN())),OFFSET($BN$2,0,0,ROW()-1,60),ROW()-1,FALSE))</f>
        <v>95.254999999999995</v>
      </c>
      <c r="Y65">
        <f ca="1">IF(AND(ISNUMBER($Y$523),$B$419=1),$Y$523,HLOOKUP(INDIRECT(ADDRESS(2,COLUMN())),OFFSET($BN$2,0,0,ROW()-1,60),ROW()-1,FALSE))</f>
        <v>54.945</v>
      </c>
      <c r="Z65">
        <f ca="1">IF(AND(ISNUMBER($Z$523),$B$419=1),$Z$523,HLOOKUP(INDIRECT(ADDRESS(2,COLUMN())),OFFSET($BN$2,0,0,ROW()-1,60),ROW()-1,FALSE))</f>
        <v>42.896999999999998</v>
      </c>
      <c r="AA65">
        <f ca="1">IF(AND(ISNUMBER($AA$523),$B$419=1),$AA$523,HLOOKUP(INDIRECT(ADDRESS(2,COLUMN())),OFFSET($BN$2,0,0,ROW()-1,60),ROW()-1,FALSE))</f>
        <v>30.074000000000002</v>
      </c>
      <c r="AB65">
        <f ca="1">IF(AND(ISNUMBER($AB$523),$B$419=1),$AB$523,HLOOKUP(INDIRECT(ADDRESS(2,COLUMN())),OFFSET($BN$2,0,0,ROW()-1,60),ROW()-1,FALSE))</f>
        <v>18.815999999999999</v>
      </c>
      <c r="AC65">
        <f ca="1">IF(AND(ISNUMBER($AC$523),$B$419=1),$AC$523,HLOOKUP(INDIRECT(ADDRESS(2,COLUMN())),OFFSET($BN$2,0,0,ROW()-1,60),ROW()-1,FALSE))</f>
        <v>11.43</v>
      </c>
      <c r="AD65">
        <f ca="1">IF(AND(ISNUMBER($AD$523),$B$419=1),$AD$523,HLOOKUP(INDIRECT(ADDRESS(2,COLUMN())),OFFSET($BN$2,0,0,ROW()-1,60),ROW()-1,FALSE))</f>
        <v>6.24</v>
      </c>
      <c r="AE65">
        <f ca="1">IF(AND(ISNUMBER($AE$523),$B$419=1),$AE$523,HLOOKUP(INDIRECT(ADDRESS(2,COLUMN())),OFFSET($BN$2,0,0,ROW()-1,60),ROW()-1,FALSE))</f>
        <v>0.90383599999999997</v>
      </c>
      <c r="AF65">
        <f ca="1">IF(AND(ISNUMBER($AF$523),$B$419=1),$AF$523,HLOOKUP(INDIRECT(ADDRESS(2,COLUMN())),OFFSET($BN$2,0,0,ROW()-1,60),ROW()-1,FALSE))</f>
        <v>0.57599999999999996</v>
      </c>
      <c r="AG65">
        <f ca="1">IF(AND(ISNUMBER($AG$523),$B$419=1),$AG$523,HLOOKUP(INDIRECT(ADDRESS(2,COLUMN())),OFFSET($BN$2,0,0,ROW()-1,60),ROW()-1,FALSE))</f>
        <v>0</v>
      </c>
      <c r="AH65">
        <f ca="1">IF(AND(ISNUMBER($AH$523),$B$419=1),$AH$523,HLOOKUP(INDIRECT(ADDRESS(2,COLUMN())),OFFSET($BN$2,0,0,ROW()-1,60),ROW()-1,FALSE))</f>
        <v>1.6951639999999999</v>
      </c>
      <c r="AI65" t="str">
        <f ca="1">IF(AND(ISNUMBER($AI$523),$B$419=1),$AI$523,HLOOKUP(INDIRECT(ADDRESS(2,COLUMN())),OFFSET($BN$2,0,0,ROW()-1,60),ROW()-1,FALSE))</f>
        <v/>
      </c>
      <c r="AJ65" t="str">
        <f ca="1">IF(AND(ISNUMBER($AJ$523),$B$419=1),$AJ$523,HLOOKUP(INDIRECT(ADDRESS(2,COLUMN())),OFFSET($BN$2,0,0,ROW()-1,60),ROW()-1,FALSE))</f>
        <v/>
      </c>
      <c r="AK65" t="str">
        <f ca="1">IF(AND(ISNUMBER($AK$523),$B$419=1),$AK$523,HLOOKUP(INDIRECT(ADDRESS(2,COLUMN())),OFFSET($BN$2,0,0,ROW()-1,60),ROW()-1,FALSE))</f>
        <v/>
      </c>
      <c r="AL65">
        <f ca="1">IF(AND(ISNUMBER($AL$523),$B$419=1),$AL$523,HLOOKUP(INDIRECT(ADDRESS(2,COLUMN())),OFFSET($BN$2,0,0,ROW()-1,60),ROW()-1,FALSE))</f>
        <v>1.749868</v>
      </c>
      <c r="AM65" t="str">
        <f ca="1">IF(AND(ISNUMBER($AM$523),$B$419=1),$AM$523,HLOOKUP(INDIRECT(ADDRESS(2,COLUMN())),OFFSET($BN$2,0,0,ROW()-1,60),ROW()-1,FALSE))</f>
        <v/>
      </c>
      <c r="AN65" t="str">
        <f ca="1">IF(AND(ISNUMBER($AN$523),$B$419=1),$AN$523,HLOOKUP(INDIRECT(ADDRESS(2,COLUMN())),OFFSET($BN$2,0,0,ROW()-1,60),ROW()-1,FALSE))</f>
        <v/>
      </c>
      <c r="AO65" t="str">
        <f ca="1">IF(AND(ISNUMBER($AO$523),$B$419=1),$AO$523,HLOOKUP(INDIRECT(ADDRESS(2,COLUMN())),OFFSET($BN$2,0,0,ROW()-1,60),ROW()-1,FALSE))</f>
        <v/>
      </c>
      <c r="AP65" t="str">
        <f ca="1">IF(AND(ISNUMBER($AP$523),$B$419=1),$AP$523,HLOOKUP(INDIRECT(ADDRESS(2,COLUMN())),OFFSET($BN$2,0,0,ROW()-1,60),ROW()-1,FALSE))</f>
        <v/>
      </c>
      <c r="AQ65" t="str">
        <f ca="1">IF(AND(ISNUMBER($AQ$523),$B$419=1),$AQ$523,HLOOKUP(INDIRECT(ADDRESS(2,COLUMN())),OFFSET($BN$2,0,0,ROW()-1,60),ROW()-1,FALSE))</f>
        <v/>
      </c>
      <c r="AR65" t="str">
        <f ca="1">IF(AND(ISNUMBER($AR$523),$B$419=1),$AR$523,HLOOKUP(INDIRECT(ADDRESS(2,COLUMN())),OFFSET($BN$2,0,0,ROW()-1,60),ROW()-1,FALSE))</f>
        <v/>
      </c>
      <c r="AS65" t="str">
        <f ca="1">IF(AND(ISNUMBER($AS$523),$B$419=1),$AS$523,HLOOKUP(INDIRECT(ADDRESS(2,COLUMN())),OFFSET($BN$2,0,0,ROW()-1,60),ROW()-1,FALSE))</f>
        <v/>
      </c>
      <c r="AT65" t="str">
        <f ca="1">IF(AND(ISNUMBER($AT$523),$B$419=1),$AT$523,HLOOKUP(INDIRECT(ADDRESS(2,COLUMN())),OFFSET($BN$2,0,0,ROW()-1,60),ROW()-1,FALSE))</f>
        <v/>
      </c>
      <c r="AU65" t="str">
        <f ca="1">IF(AND(ISNUMBER($AU$523),$B$419=1),$AU$523,HLOOKUP(INDIRECT(ADDRESS(2,COLUMN())),OFFSET($BN$2,0,0,ROW()-1,60),ROW()-1,FALSE))</f>
        <v/>
      </c>
      <c r="AV65" t="str">
        <f ca="1">IF(AND(ISNUMBER($AV$523),$B$419=1),$AV$523,HLOOKUP(INDIRECT(ADDRESS(2,COLUMN())),OFFSET($BN$2,0,0,ROW()-1,60),ROW()-1,FALSE))</f>
        <v/>
      </c>
      <c r="AW65" t="str">
        <f ca="1">IF(AND(ISNUMBER($AW$523),$B$419=1),$AW$523,HLOOKUP(INDIRECT(ADDRESS(2,COLUMN())),OFFSET($BN$2,0,0,ROW()-1,60),ROW()-1,FALSE))</f>
        <v/>
      </c>
      <c r="AX65" t="str">
        <f ca="1">IF(AND(ISNUMBER($AX$523),$B$419=1),$AX$523,HLOOKUP(INDIRECT(ADDRESS(2,COLUMN())),OFFSET($BN$2,0,0,ROW()-1,60),ROW()-1,FALSE))</f>
        <v/>
      </c>
      <c r="AY65" t="str">
        <f ca="1">IF(AND(ISNUMBER($AY$523),$B$419=1),$AY$523,HLOOKUP(INDIRECT(ADDRESS(2,COLUMN())),OFFSET($BN$2,0,0,ROW()-1,60),ROW()-1,FALSE))</f>
        <v/>
      </c>
      <c r="AZ65" t="str">
        <f ca="1">IF(AND(ISNUMBER($AZ$523),$B$419=1),$AZ$523,HLOOKUP(INDIRECT(ADDRESS(2,COLUMN())),OFFSET($BN$2,0,0,ROW()-1,60),ROW()-1,FALSE))</f>
        <v/>
      </c>
      <c r="BA65" t="str">
        <f ca="1">IF(AND(ISNUMBER($BA$523),$B$419=1),$BA$523,HLOOKUP(INDIRECT(ADDRESS(2,COLUMN())),OFFSET($BN$2,0,0,ROW()-1,60),ROW()-1,FALSE))</f>
        <v/>
      </c>
      <c r="BB65" t="str">
        <f ca="1">IF(AND(ISNUMBER($BB$523),$B$419=1),$BB$523,HLOOKUP(INDIRECT(ADDRESS(2,COLUMN())),OFFSET($BN$2,0,0,ROW()-1,60),ROW()-1,FALSE))</f>
        <v/>
      </c>
      <c r="BC65" t="str">
        <f ca="1">IF(AND(ISNUMBER($BC$523),$B$419=1),$BC$523,HLOOKUP(INDIRECT(ADDRESS(2,COLUMN())),OFFSET($BN$2,0,0,ROW()-1,60),ROW()-1,FALSE))</f>
        <v/>
      </c>
      <c r="BD65" t="str">
        <f ca="1">IF(AND(ISNUMBER($BD$523),$B$419=1),$BD$523,HLOOKUP(INDIRECT(ADDRESS(2,COLUMN())),OFFSET($BN$2,0,0,ROW()-1,60),ROW()-1,FALSE))</f>
        <v/>
      </c>
      <c r="BE65" t="str">
        <f ca="1">IF(AND(ISNUMBER($BE$523),$B$419=1),$BE$523,HLOOKUP(INDIRECT(ADDRESS(2,COLUMN())),OFFSET($BN$2,0,0,ROW()-1,60),ROW()-1,FALSE))</f>
        <v/>
      </c>
      <c r="BF65" t="str">
        <f ca="1">IF(AND(ISNUMBER($BF$523),$B$419=1),$BF$523,HLOOKUP(INDIRECT(ADDRESS(2,COLUMN())),OFFSET($BN$2,0,0,ROW()-1,60),ROW()-1,FALSE))</f>
        <v/>
      </c>
      <c r="BG65" t="str">
        <f ca="1">IF(AND(ISNUMBER($BG$523),$B$419=1),$BG$523,HLOOKUP(INDIRECT(ADDRESS(2,COLUMN())),OFFSET($BN$2,0,0,ROW()-1,60),ROW()-1,FALSE))</f>
        <v/>
      </c>
      <c r="BH65" t="str">
        <f ca="1">IF(AND(ISNUMBER($BH$523),$B$419=1),$BH$523,HLOOKUP(INDIRECT(ADDRESS(2,COLUMN())),OFFSET($BN$2,0,0,ROW()-1,60),ROW()-1,FALSE))</f>
        <v/>
      </c>
      <c r="BI65" t="str">
        <f ca="1">IF(AND(ISNUMBER($BI$523),$B$419=1),$BI$523,HLOOKUP(INDIRECT(ADDRESS(2,COLUMN())),OFFSET($BN$2,0,0,ROW()-1,60),ROW()-1,FALSE))</f>
        <v/>
      </c>
      <c r="BJ65" t="str">
        <f ca="1">IF(AND(ISNUMBER($BJ$523),$B$419=1),$BJ$523,HLOOKUP(INDIRECT(ADDRESS(2,COLUMN())),OFFSET($BN$2,0,0,ROW()-1,60),ROW()-1,FALSE))</f>
        <v/>
      </c>
      <c r="BK65" t="str">
        <f ca="1">IF(AND(ISNUMBER($BK$523),$B$419=1),$BK$523,HLOOKUP(INDIRECT(ADDRESS(2,COLUMN())),OFFSET($BN$2,0,0,ROW()-1,60),ROW()-1,FALSE))</f>
        <v/>
      </c>
      <c r="BL65" t="str">
        <f ca="1">IF(AND(ISNUMBER($BL$523),$B$419=1),$BL$523,HLOOKUP(INDIRECT(ADDRESS(2,COLUMN())),OFFSET($BN$2,0,0,ROW()-1,60),ROW()-1,FALSE))</f>
        <v/>
      </c>
      <c r="BM65" t="str">
        <f ca="1">IF(AND(ISNUMBER($BM$523),$B$419=1),$BM$523,HLOOKUP(INDIRECT(ADDRESS(2,COLUMN())),OFFSET($BN$2,0,0,ROW()-1,60),ROW()-1,FALSE))</f>
        <v/>
      </c>
      <c r="BN65" t="str">
        <f>""</f>
        <v/>
      </c>
      <c r="BO65">
        <f>316.599</f>
        <v>316.59899999999999</v>
      </c>
      <c r="BP65">
        <f>333.728</f>
        <v>333.72800000000001</v>
      </c>
      <c r="BQ65">
        <f>336.93</f>
        <v>336.93</v>
      </c>
      <c r="BR65">
        <f>348.029</f>
        <v>348.029</v>
      </c>
      <c r="BS65">
        <f>351.869</f>
        <v>351.86900000000003</v>
      </c>
      <c r="BT65">
        <f>362.915</f>
        <v>362.91500000000002</v>
      </c>
      <c r="BU65">
        <f>371.019</f>
        <v>371.01900000000001</v>
      </c>
      <c r="BV65">
        <f>369.02</f>
        <v>369.02</v>
      </c>
      <c r="BW65">
        <f>383.374</f>
        <v>383.37400000000002</v>
      </c>
      <c r="BX65">
        <f>384.954</f>
        <v>384.95400000000001</v>
      </c>
      <c r="BY65">
        <f>393.721</f>
        <v>393.721</v>
      </c>
      <c r="BZ65">
        <f>393.968</f>
        <v>393.96800000000002</v>
      </c>
      <c r="CA65">
        <f>418.807</f>
        <v>418.80700000000002</v>
      </c>
      <c r="CB65">
        <f>457.118</f>
        <v>457.11799999999999</v>
      </c>
      <c r="CC65">
        <f>382.178</f>
        <v>382.178</v>
      </c>
      <c r="CD65">
        <f>321.154</f>
        <v>321.154</v>
      </c>
      <c r="CE65">
        <f>94.115</f>
        <v>94.114999999999995</v>
      </c>
      <c r="CF65">
        <f>95.255</f>
        <v>95.254999999999995</v>
      </c>
      <c r="CG65">
        <f>54.945</f>
        <v>54.945</v>
      </c>
      <c r="CH65">
        <f>42.897</f>
        <v>42.896999999999998</v>
      </c>
      <c r="CI65">
        <f>30.074</f>
        <v>30.074000000000002</v>
      </c>
      <c r="CJ65">
        <f>18.816</f>
        <v>18.815999999999999</v>
      </c>
      <c r="CK65">
        <f>11.43</f>
        <v>11.43</v>
      </c>
      <c r="CL65">
        <f>6.24</f>
        <v>6.24</v>
      </c>
      <c r="CM65">
        <f>0.903836</f>
        <v>0.90383599999999997</v>
      </c>
      <c r="CN65">
        <f>0.576</f>
        <v>0.57599999999999996</v>
      </c>
      <c r="CO65">
        <f>0</f>
        <v>0</v>
      </c>
      <c r="CP65">
        <f>1.695164</f>
        <v>1.6951639999999999</v>
      </c>
      <c r="CQ65" t="str">
        <f>""</f>
        <v/>
      </c>
      <c r="CR65" t="str">
        <f>""</f>
        <v/>
      </c>
      <c r="CS65" t="str">
        <f>""</f>
        <v/>
      </c>
      <c r="CT65">
        <f>1.749868</f>
        <v>1.749868</v>
      </c>
      <c r="CU65" t="str">
        <f>""</f>
        <v/>
      </c>
      <c r="CV65" t="str">
        <f>""</f>
        <v/>
      </c>
      <c r="CW65" t="str">
        <f>""</f>
        <v/>
      </c>
      <c r="CX65" t="str">
        <f>""</f>
        <v/>
      </c>
      <c r="CY65" t="str">
        <f>""</f>
        <v/>
      </c>
      <c r="CZ65" t="str">
        <f>""</f>
        <v/>
      </c>
      <c r="DA65" t="str">
        <f>""</f>
        <v/>
      </c>
      <c r="DB65" t="str">
        <f>""</f>
        <v/>
      </c>
      <c r="DC65" t="str">
        <f>""</f>
        <v/>
      </c>
      <c r="DD65" t="str">
        <f>""</f>
        <v/>
      </c>
      <c r="DE65" t="str">
        <f>""</f>
        <v/>
      </c>
      <c r="DF65" t="str">
        <f>""</f>
        <v/>
      </c>
      <c r="DG65" t="str">
        <f>""</f>
        <v/>
      </c>
      <c r="DH65" t="str">
        <f>""</f>
        <v/>
      </c>
      <c r="DI65" t="str">
        <f>""</f>
        <v/>
      </c>
      <c r="DJ65" t="str">
        <f>""</f>
        <v/>
      </c>
      <c r="DK65" t="str">
        <f>""</f>
        <v/>
      </c>
      <c r="DL65" t="str">
        <f>""</f>
        <v/>
      </c>
      <c r="DM65" t="str">
        <f>""</f>
        <v/>
      </c>
      <c r="DN65" t="str">
        <f>""</f>
        <v/>
      </c>
      <c r="DO65" t="str">
        <f>""</f>
        <v/>
      </c>
      <c r="DP65" t="str">
        <f>""</f>
        <v/>
      </c>
      <c r="DQ65" t="str">
        <f>""</f>
        <v/>
      </c>
      <c r="DR65" t="str">
        <f>""</f>
        <v/>
      </c>
      <c r="DS65" t="str">
        <f>""</f>
        <v/>
      </c>
      <c r="DT65" t="str">
        <f>""</f>
        <v/>
      </c>
      <c r="DU65" t="str">
        <f>""</f>
        <v/>
      </c>
    </row>
    <row r="66" spans="1:125">
      <c r="A66" t="str">
        <f>"    Washington Prime Group Inc"</f>
        <v xml:space="preserve">    Washington Prime Group Inc</v>
      </c>
      <c r="B66" t="str">
        <f>"WPG US Equity"</f>
        <v>WPG US Equity</v>
      </c>
      <c r="C66" t="str">
        <f t="shared" si="9"/>
        <v>IS010</v>
      </c>
      <c r="D66" t="str">
        <f t="shared" si="10"/>
        <v>SALES_REV_TURN</v>
      </c>
      <c r="E66" t="str">
        <f t="shared" si="11"/>
        <v>动态</v>
      </c>
      <c r="F66" t="str">
        <f ca="1">IF(AND(ISNUMBER($F$524),$B$419=1),$F$524,HLOOKUP(INDIRECT(ADDRESS(2,COLUMN())),OFFSET($BN$2,0,0,ROW()-1,60),ROW()-1,FALSE))</f>
        <v/>
      </c>
      <c r="G66">
        <f ca="1">IF(AND(ISNUMBER($G$524),$B$419=1),$G$524,HLOOKUP(INDIRECT(ADDRESS(2,COLUMN())),OFFSET($BN$2,0,0,ROW()-1,60),ROW()-1,FALSE))</f>
        <v>187.23699999999999</v>
      </c>
      <c r="H66">
        <f ca="1">IF(AND(ISNUMBER($H$524),$B$419=1),$H$524,HLOOKUP(INDIRECT(ADDRESS(2,COLUMN())),OFFSET($BN$2,0,0,ROW()-1,60),ROW()-1,FALSE))</f>
        <v>179.32</v>
      </c>
      <c r="I66">
        <f ca="1">IF(AND(ISNUMBER($I$524),$B$419=1),$I$524,HLOOKUP(INDIRECT(ADDRESS(2,COLUMN())),OFFSET($BN$2,0,0,ROW()-1,60),ROW()-1,FALSE))</f>
        <v>189.17099999999999</v>
      </c>
      <c r="J66">
        <f ca="1">IF(AND(ISNUMBER($J$524),$B$419=1),$J$524,HLOOKUP(INDIRECT(ADDRESS(2,COLUMN())),OFFSET($BN$2,0,0,ROW()-1,60),ROW()-1,FALSE))</f>
        <v>202.39400000000001</v>
      </c>
      <c r="K66">
        <f ca="1">IF(AND(ISNUMBER($K$524),$B$419=1),$K$524,HLOOKUP(INDIRECT(ADDRESS(2,COLUMN())),OFFSET($BN$2,0,0,ROW()-1,60),ROW()-1,FALSE))</f>
        <v>217.785</v>
      </c>
      <c r="L66">
        <f ca="1">IF(AND(ISNUMBER($L$524),$B$419=1),$L$524,HLOOKUP(INDIRECT(ADDRESS(2,COLUMN())),OFFSET($BN$2,0,0,ROW()-1,60),ROW()-1,FALSE))</f>
        <v>209.922</v>
      </c>
      <c r="M66">
        <f ca="1">IF(AND(ISNUMBER($M$524),$B$419=1),$M$524,HLOOKUP(INDIRECT(ADDRESS(2,COLUMN())),OFFSET($BN$2,0,0,ROW()-1,60),ROW()-1,FALSE))</f>
        <v>205.738</v>
      </c>
      <c r="N66">
        <f ca="1">IF(AND(ISNUMBER($N$524),$B$419=1),$N$524,HLOOKUP(INDIRECT(ADDRESS(2,COLUMN())),OFFSET($BN$2,0,0,ROW()-1,60),ROW()-1,FALSE))</f>
        <v>210.03100000000001</v>
      </c>
      <c r="O66">
        <f ca="1">IF(AND(ISNUMBER($O$524),$B$419=1),$O$524,HLOOKUP(INDIRECT(ADDRESS(2,COLUMN())),OFFSET($BN$2,0,0,ROW()-1,60),ROW()-1,FALSE))</f>
        <v>229.37700000000001</v>
      </c>
      <c r="P66">
        <f ca="1">IF(AND(ISNUMBER($P$524),$B$419=1),$P$524,HLOOKUP(INDIRECT(ADDRESS(2,COLUMN())),OFFSET($BN$2,0,0,ROW()-1,60),ROW()-1,FALSE))</f>
        <v>216.739</v>
      </c>
      <c r="Q66">
        <f ca="1">IF(AND(ISNUMBER($Q$524),$B$419=1),$Q$524,HLOOKUP(INDIRECT(ADDRESS(2,COLUMN())),OFFSET($BN$2,0,0,ROW()-1,60),ROW()-1,FALSE))</f>
        <v>237.52799999999999</v>
      </c>
      <c r="R66">
        <f ca="1">IF(AND(ISNUMBER($R$524),$B$419=1),$R$524,HLOOKUP(INDIRECT(ADDRESS(2,COLUMN())),OFFSET($BN$2,0,0,ROW()-1,60),ROW()-1,FALSE))</f>
        <v>237.71799999999999</v>
      </c>
      <c r="S66">
        <f ca="1">IF(AND(ISNUMBER($S$524),$B$419=1),$S$524,HLOOKUP(INDIRECT(ADDRESS(2,COLUMN())),OFFSET($BN$2,0,0,ROW()-1,60),ROW()-1,FALSE))</f>
        <v>177.298</v>
      </c>
      <c r="T66">
        <f ca="1">IF(AND(ISNUMBER($T$524),$B$419=1),$T$524,HLOOKUP(INDIRECT(ADDRESS(2,COLUMN())),OFFSET($BN$2,0,0,ROW()-1,60),ROW()-1,FALSE))</f>
        <v>167.684</v>
      </c>
      <c r="U66">
        <f ca="1">IF(AND(ISNUMBER($U$524),$B$419=1),$U$524,HLOOKUP(INDIRECT(ADDRESS(2,COLUMN())),OFFSET($BN$2,0,0,ROW()-1,60),ROW()-1,FALSE))</f>
        <v>158.17500000000001</v>
      </c>
      <c r="V66">
        <f ca="1">IF(AND(ISNUMBER($V$524),$B$419=1),$V$524,HLOOKUP(INDIRECT(ADDRESS(2,COLUMN())),OFFSET($BN$2,0,0,ROW()-1,60),ROW()-1,FALSE))</f>
        <v>157.96899999999999</v>
      </c>
      <c r="W66" t="str">
        <f ca="1">IF(AND(ISNUMBER($W$524),$B$419=1),$W$524,HLOOKUP(INDIRECT(ADDRESS(2,COLUMN())),OFFSET($BN$2,0,0,ROW()-1,60),ROW()-1,FALSE))</f>
        <v/>
      </c>
      <c r="X66" t="str">
        <f ca="1">IF(AND(ISNUMBER($X$524),$B$419=1),$X$524,HLOOKUP(INDIRECT(ADDRESS(2,COLUMN())),OFFSET($BN$2,0,0,ROW()-1,60),ROW()-1,FALSE))</f>
        <v/>
      </c>
      <c r="Y66" t="str">
        <f ca="1">IF(AND(ISNUMBER($Y$524),$B$419=1),$Y$524,HLOOKUP(INDIRECT(ADDRESS(2,COLUMN())),OFFSET($BN$2,0,0,ROW()-1,60),ROW()-1,FALSE))</f>
        <v/>
      </c>
      <c r="Z66" t="str">
        <f ca="1">IF(AND(ISNUMBER($Z$524),$B$419=1),$Z$524,HLOOKUP(INDIRECT(ADDRESS(2,COLUMN())),OFFSET($BN$2,0,0,ROW()-1,60),ROW()-1,FALSE))</f>
        <v/>
      </c>
      <c r="AA66" t="str">
        <f ca="1">IF(AND(ISNUMBER($AA$524),$B$419=1),$AA$524,HLOOKUP(INDIRECT(ADDRESS(2,COLUMN())),OFFSET($BN$2,0,0,ROW()-1,60),ROW()-1,FALSE))</f>
        <v/>
      </c>
      <c r="AB66" t="str">
        <f ca="1">IF(AND(ISNUMBER($AB$524),$B$419=1),$AB$524,HLOOKUP(INDIRECT(ADDRESS(2,COLUMN())),OFFSET($BN$2,0,0,ROW()-1,60),ROW()-1,FALSE))</f>
        <v/>
      </c>
      <c r="AC66" t="str">
        <f ca="1">IF(AND(ISNUMBER($AC$524),$B$419=1),$AC$524,HLOOKUP(INDIRECT(ADDRESS(2,COLUMN())),OFFSET($BN$2,0,0,ROW()-1,60),ROW()-1,FALSE))</f>
        <v/>
      </c>
      <c r="AD66" t="str">
        <f ca="1">IF(AND(ISNUMBER($AD$524),$B$419=1),$AD$524,HLOOKUP(INDIRECT(ADDRESS(2,COLUMN())),OFFSET($BN$2,0,0,ROW()-1,60),ROW()-1,FALSE))</f>
        <v/>
      </c>
      <c r="AE66" t="str">
        <f ca="1">IF(AND(ISNUMBER($AE$524),$B$419=1),$AE$524,HLOOKUP(INDIRECT(ADDRESS(2,COLUMN())),OFFSET($BN$2,0,0,ROW()-1,60),ROW()-1,FALSE))</f>
        <v/>
      </c>
      <c r="AF66" t="str">
        <f ca="1">IF(AND(ISNUMBER($AF$524),$B$419=1),$AF$524,HLOOKUP(INDIRECT(ADDRESS(2,COLUMN())),OFFSET($BN$2,0,0,ROW()-1,60),ROW()-1,FALSE))</f>
        <v/>
      </c>
      <c r="AG66" t="str">
        <f ca="1">IF(AND(ISNUMBER($AG$524),$B$419=1),$AG$524,HLOOKUP(INDIRECT(ADDRESS(2,COLUMN())),OFFSET($BN$2,0,0,ROW()-1,60),ROW()-1,FALSE))</f>
        <v/>
      </c>
      <c r="AH66" t="str">
        <f ca="1">IF(AND(ISNUMBER($AH$524),$B$419=1),$AH$524,HLOOKUP(INDIRECT(ADDRESS(2,COLUMN())),OFFSET($BN$2,0,0,ROW()-1,60),ROW()-1,FALSE))</f>
        <v/>
      </c>
      <c r="AI66" t="str">
        <f ca="1">IF(AND(ISNUMBER($AI$524),$B$419=1),$AI$524,HLOOKUP(INDIRECT(ADDRESS(2,COLUMN())),OFFSET($BN$2,0,0,ROW()-1,60),ROW()-1,FALSE))</f>
        <v/>
      </c>
      <c r="AJ66" t="str">
        <f ca="1">IF(AND(ISNUMBER($AJ$524),$B$419=1),$AJ$524,HLOOKUP(INDIRECT(ADDRESS(2,COLUMN())),OFFSET($BN$2,0,0,ROW()-1,60),ROW()-1,FALSE))</f>
        <v/>
      </c>
      <c r="AK66" t="str">
        <f ca="1">IF(AND(ISNUMBER($AK$524),$B$419=1),$AK$524,HLOOKUP(INDIRECT(ADDRESS(2,COLUMN())),OFFSET($BN$2,0,0,ROW()-1,60),ROW()-1,FALSE))</f>
        <v/>
      </c>
      <c r="AL66" t="str">
        <f ca="1">IF(AND(ISNUMBER($AL$524),$B$419=1),$AL$524,HLOOKUP(INDIRECT(ADDRESS(2,COLUMN())),OFFSET($BN$2,0,0,ROW()-1,60),ROW()-1,FALSE))</f>
        <v/>
      </c>
      <c r="AM66" t="str">
        <f ca="1">IF(AND(ISNUMBER($AM$524),$B$419=1),$AM$524,HLOOKUP(INDIRECT(ADDRESS(2,COLUMN())),OFFSET($BN$2,0,0,ROW()-1,60),ROW()-1,FALSE))</f>
        <v/>
      </c>
      <c r="AN66" t="str">
        <f ca="1">IF(AND(ISNUMBER($AN$524),$B$419=1),$AN$524,HLOOKUP(INDIRECT(ADDRESS(2,COLUMN())),OFFSET($BN$2,0,0,ROW()-1,60),ROW()-1,FALSE))</f>
        <v/>
      </c>
      <c r="AO66" t="str">
        <f ca="1">IF(AND(ISNUMBER($AO$524),$B$419=1),$AO$524,HLOOKUP(INDIRECT(ADDRESS(2,COLUMN())),OFFSET($BN$2,0,0,ROW()-1,60),ROW()-1,FALSE))</f>
        <v/>
      </c>
      <c r="AP66" t="str">
        <f ca="1">IF(AND(ISNUMBER($AP$524),$B$419=1),$AP$524,HLOOKUP(INDIRECT(ADDRESS(2,COLUMN())),OFFSET($BN$2,0,0,ROW()-1,60),ROW()-1,FALSE))</f>
        <v/>
      </c>
      <c r="AQ66" t="str">
        <f ca="1">IF(AND(ISNUMBER($AQ$524),$B$419=1),$AQ$524,HLOOKUP(INDIRECT(ADDRESS(2,COLUMN())),OFFSET($BN$2,0,0,ROW()-1,60),ROW()-1,FALSE))</f>
        <v/>
      </c>
      <c r="AR66" t="str">
        <f ca="1">IF(AND(ISNUMBER($AR$524),$B$419=1),$AR$524,HLOOKUP(INDIRECT(ADDRESS(2,COLUMN())),OFFSET($BN$2,0,0,ROW()-1,60),ROW()-1,FALSE))</f>
        <v/>
      </c>
      <c r="AS66" t="str">
        <f ca="1">IF(AND(ISNUMBER($AS$524),$B$419=1),$AS$524,HLOOKUP(INDIRECT(ADDRESS(2,COLUMN())),OFFSET($BN$2,0,0,ROW()-1,60),ROW()-1,FALSE))</f>
        <v/>
      </c>
      <c r="AT66" t="str">
        <f ca="1">IF(AND(ISNUMBER($AT$524),$B$419=1),$AT$524,HLOOKUP(INDIRECT(ADDRESS(2,COLUMN())),OFFSET($BN$2,0,0,ROW()-1,60),ROW()-1,FALSE))</f>
        <v/>
      </c>
      <c r="AU66" t="str">
        <f ca="1">IF(AND(ISNUMBER($AU$524),$B$419=1),$AU$524,HLOOKUP(INDIRECT(ADDRESS(2,COLUMN())),OFFSET($BN$2,0,0,ROW()-1,60),ROW()-1,FALSE))</f>
        <v/>
      </c>
      <c r="AV66" t="str">
        <f ca="1">IF(AND(ISNUMBER($AV$524),$B$419=1),$AV$524,HLOOKUP(INDIRECT(ADDRESS(2,COLUMN())),OFFSET($BN$2,0,0,ROW()-1,60),ROW()-1,FALSE))</f>
        <v/>
      </c>
      <c r="AW66" t="str">
        <f ca="1">IF(AND(ISNUMBER($AW$524),$B$419=1),$AW$524,HLOOKUP(INDIRECT(ADDRESS(2,COLUMN())),OFFSET($BN$2,0,0,ROW()-1,60),ROW()-1,FALSE))</f>
        <v/>
      </c>
      <c r="AX66" t="str">
        <f ca="1">IF(AND(ISNUMBER($AX$524),$B$419=1),$AX$524,HLOOKUP(INDIRECT(ADDRESS(2,COLUMN())),OFFSET($BN$2,0,0,ROW()-1,60),ROW()-1,FALSE))</f>
        <v/>
      </c>
      <c r="AY66" t="str">
        <f ca="1">IF(AND(ISNUMBER($AY$524),$B$419=1),$AY$524,HLOOKUP(INDIRECT(ADDRESS(2,COLUMN())),OFFSET($BN$2,0,0,ROW()-1,60),ROW()-1,FALSE))</f>
        <v/>
      </c>
      <c r="AZ66" t="str">
        <f ca="1">IF(AND(ISNUMBER($AZ$524),$B$419=1),$AZ$524,HLOOKUP(INDIRECT(ADDRESS(2,COLUMN())),OFFSET($BN$2,0,0,ROW()-1,60),ROW()-1,FALSE))</f>
        <v/>
      </c>
      <c r="BA66" t="str">
        <f ca="1">IF(AND(ISNUMBER($BA$524),$B$419=1),$BA$524,HLOOKUP(INDIRECT(ADDRESS(2,COLUMN())),OFFSET($BN$2,0,0,ROW()-1,60),ROW()-1,FALSE))</f>
        <v/>
      </c>
      <c r="BB66" t="str">
        <f ca="1">IF(AND(ISNUMBER($BB$524),$B$419=1),$BB$524,HLOOKUP(INDIRECT(ADDRESS(2,COLUMN())),OFFSET($BN$2,0,0,ROW()-1,60),ROW()-1,FALSE))</f>
        <v/>
      </c>
      <c r="BC66" t="str">
        <f ca="1">IF(AND(ISNUMBER($BC$524),$B$419=1),$BC$524,HLOOKUP(INDIRECT(ADDRESS(2,COLUMN())),OFFSET($BN$2,0,0,ROW()-1,60),ROW()-1,FALSE))</f>
        <v/>
      </c>
      <c r="BD66" t="str">
        <f ca="1">IF(AND(ISNUMBER($BD$524),$B$419=1),$BD$524,HLOOKUP(INDIRECT(ADDRESS(2,COLUMN())),OFFSET($BN$2,0,0,ROW()-1,60),ROW()-1,FALSE))</f>
        <v/>
      </c>
      <c r="BE66" t="str">
        <f ca="1">IF(AND(ISNUMBER($BE$524),$B$419=1),$BE$524,HLOOKUP(INDIRECT(ADDRESS(2,COLUMN())),OFFSET($BN$2,0,0,ROW()-1,60),ROW()-1,FALSE))</f>
        <v/>
      </c>
      <c r="BF66" t="str">
        <f ca="1">IF(AND(ISNUMBER($BF$524),$B$419=1),$BF$524,HLOOKUP(INDIRECT(ADDRESS(2,COLUMN())),OFFSET($BN$2,0,0,ROW()-1,60),ROW()-1,FALSE))</f>
        <v/>
      </c>
      <c r="BG66" t="str">
        <f ca="1">IF(AND(ISNUMBER($BG$524),$B$419=1),$BG$524,HLOOKUP(INDIRECT(ADDRESS(2,COLUMN())),OFFSET($BN$2,0,0,ROW()-1,60),ROW()-1,FALSE))</f>
        <v/>
      </c>
      <c r="BH66" t="str">
        <f ca="1">IF(AND(ISNUMBER($BH$524),$B$419=1),$BH$524,HLOOKUP(INDIRECT(ADDRESS(2,COLUMN())),OFFSET($BN$2,0,0,ROW()-1,60),ROW()-1,FALSE))</f>
        <v/>
      </c>
      <c r="BI66" t="str">
        <f ca="1">IF(AND(ISNUMBER($BI$524),$B$419=1),$BI$524,HLOOKUP(INDIRECT(ADDRESS(2,COLUMN())),OFFSET($BN$2,0,0,ROW()-1,60),ROW()-1,FALSE))</f>
        <v/>
      </c>
      <c r="BJ66" t="str">
        <f ca="1">IF(AND(ISNUMBER($BJ$524),$B$419=1),$BJ$524,HLOOKUP(INDIRECT(ADDRESS(2,COLUMN())),OFFSET($BN$2,0,0,ROW()-1,60),ROW()-1,FALSE))</f>
        <v/>
      </c>
      <c r="BK66" t="str">
        <f ca="1">IF(AND(ISNUMBER($BK$524),$B$419=1),$BK$524,HLOOKUP(INDIRECT(ADDRESS(2,COLUMN())),OFFSET($BN$2,0,0,ROW()-1,60),ROW()-1,FALSE))</f>
        <v/>
      </c>
      <c r="BL66" t="str">
        <f ca="1">IF(AND(ISNUMBER($BL$524),$B$419=1),$BL$524,HLOOKUP(INDIRECT(ADDRESS(2,COLUMN())),OFFSET($BN$2,0,0,ROW()-1,60),ROW()-1,FALSE))</f>
        <v/>
      </c>
      <c r="BM66" t="str">
        <f ca="1">IF(AND(ISNUMBER($BM$524),$B$419=1),$BM$524,HLOOKUP(INDIRECT(ADDRESS(2,COLUMN())),OFFSET($BN$2,0,0,ROW()-1,60),ROW()-1,FALSE))</f>
        <v/>
      </c>
      <c r="BN66" t="str">
        <f>""</f>
        <v/>
      </c>
      <c r="BO66">
        <f>187.237</f>
        <v>187.23699999999999</v>
      </c>
      <c r="BP66">
        <f>179.32</f>
        <v>179.32</v>
      </c>
      <c r="BQ66">
        <f>189.171</f>
        <v>189.17099999999999</v>
      </c>
      <c r="BR66">
        <f>202.394</f>
        <v>202.39400000000001</v>
      </c>
      <c r="BS66">
        <f>217.785</f>
        <v>217.785</v>
      </c>
      <c r="BT66">
        <f>209.922</f>
        <v>209.922</v>
      </c>
      <c r="BU66">
        <f>205.738</f>
        <v>205.738</v>
      </c>
      <c r="BV66">
        <f>210.031</f>
        <v>210.03100000000001</v>
      </c>
      <c r="BW66">
        <f>229.377</f>
        <v>229.37700000000001</v>
      </c>
      <c r="BX66">
        <f>216.739</f>
        <v>216.739</v>
      </c>
      <c r="BY66">
        <f>237.528</f>
        <v>237.52799999999999</v>
      </c>
      <c r="BZ66">
        <f>237.718</f>
        <v>237.71799999999999</v>
      </c>
      <c r="CA66">
        <f>177.298</f>
        <v>177.298</v>
      </c>
      <c r="CB66">
        <f>167.684</f>
        <v>167.684</v>
      </c>
      <c r="CC66">
        <f>158.175</f>
        <v>158.17500000000001</v>
      </c>
      <c r="CD66">
        <f>157.969</f>
        <v>157.96899999999999</v>
      </c>
      <c r="CE66" t="str">
        <f>""</f>
        <v/>
      </c>
      <c r="CF66" t="str">
        <f>""</f>
        <v/>
      </c>
      <c r="CG66" t="str">
        <f>""</f>
        <v/>
      </c>
      <c r="CH66" t="str">
        <f>""</f>
        <v/>
      </c>
      <c r="CI66" t="str">
        <f>""</f>
        <v/>
      </c>
      <c r="CJ66" t="str">
        <f>""</f>
        <v/>
      </c>
      <c r="CK66" t="str">
        <f>""</f>
        <v/>
      </c>
      <c r="CL66" t="str">
        <f>""</f>
        <v/>
      </c>
      <c r="CM66" t="str">
        <f>""</f>
        <v/>
      </c>
      <c r="CN66" t="str">
        <f>""</f>
        <v/>
      </c>
      <c r="CO66" t="str">
        <f>""</f>
        <v/>
      </c>
      <c r="CP66" t="str">
        <f>""</f>
        <v/>
      </c>
      <c r="CQ66" t="str">
        <f>""</f>
        <v/>
      </c>
      <c r="CR66" t="str">
        <f>""</f>
        <v/>
      </c>
      <c r="CS66" t="str">
        <f>""</f>
        <v/>
      </c>
      <c r="CT66" t="str">
        <f>""</f>
        <v/>
      </c>
      <c r="CU66" t="str">
        <f>""</f>
        <v/>
      </c>
      <c r="CV66" t="str">
        <f>""</f>
        <v/>
      </c>
      <c r="CW66" t="str">
        <f>""</f>
        <v/>
      </c>
      <c r="CX66" t="str">
        <f>""</f>
        <v/>
      </c>
      <c r="CY66" t="str">
        <f>""</f>
        <v/>
      </c>
      <c r="CZ66" t="str">
        <f>""</f>
        <v/>
      </c>
      <c r="DA66" t="str">
        <f>""</f>
        <v/>
      </c>
      <c r="DB66" t="str">
        <f>""</f>
        <v/>
      </c>
      <c r="DC66" t="str">
        <f>""</f>
        <v/>
      </c>
      <c r="DD66" t="str">
        <f>""</f>
        <v/>
      </c>
      <c r="DE66" t="str">
        <f>""</f>
        <v/>
      </c>
      <c r="DF66" t="str">
        <f>""</f>
        <v/>
      </c>
      <c r="DG66" t="str">
        <f>""</f>
        <v/>
      </c>
      <c r="DH66" t="str">
        <f>""</f>
        <v/>
      </c>
      <c r="DI66" t="str">
        <f>""</f>
        <v/>
      </c>
      <c r="DJ66" t="str">
        <f>""</f>
        <v/>
      </c>
      <c r="DK66" t="str">
        <f>""</f>
        <v/>
      </c>
      <c r="DL66" t="str">
        <f>""</f>
        <v/>
      </c>
      <c r="DM66" t="str">
        <f>""</f>
        <v/>
      </c>
      <c r="DN66" t="str">
        <f>""</f>
        <v/>
      </c>
      <c r="DO66" t="str">
        <f>""</f>
        <v/>
      </c>
      <c r="DP66" t="str">
        <f>""</f>
        <v/>
      </c>
      <c r="DQ66" t="str">
        <f>""</f>
        <v/>
      </c>
      <c r="DR66" t="str">
        <f>""</f>
        <v/>
      </c>
      <c r="DS66" t="str">
        <f>""</f>
        <v/>
      </c>
      <c r="DT66" t="str">
        <f>""</f>
        <v/>
      </c>
      <c r="DU66" t="str">
        <f>""</f>
        <v/>
      </c>
    </row>
    <row r="67" spans="1:125">
      <c r="A67" t="str">
        <f>"    Weingarten Realty Investors"</f>
        <v xml:space="preserve">    Weingarten Realty Investors</v>
      </c>
      <c r="B67" t="str">
        <f>"WRI US Equity"</f>
        <v>WRI US Equity</v>
      </c>
      <c r="C67" t="str">
        <f t="shared" si="9"/>
        <v>IS010</v>
      </c>
      <c r="D67" t="str">
        <f t="shared" si="10"/>
        <v>SALES_REV_TURN</v>
      </c>
      <c r="E67" t="str">
        <f t="shared" si="11"/>
        <v>动态</v>
      </c>
      <c r="F67" t="str">
        <f ca="1">IF(AND(ISNUMBER($F$525),$B$419=1),$F$525,HLOOKUP(INDIRECT(ADDRESS(2,COLUMN())),OFFSET($BN$2,0,0,ROW()-1,60),ROW()-1,FALSE))</f>
        <v/>
      </c>
      <c r="G67">
        <f ca="1">IF(AND(ISNUMBER($G$525),$B$419=1),$G$525,HLOOKUP(INDIRECT(ADDRESS(2,COLUMN())),OFFSET($BN$2,0,0,ROW()-1,60),ROW()-1,FALSE))</f>
        <v>139.36699999999999</v>
      </c>
      <c r="H67">
        <f ca="1">IF(AND(ISNUMBER($H$525),$B$419=1),$H$525,HLOOKUP(INDIRECT(ADDRESS(2,COLUMN())),OFFSET($BN$2,0,0,ROW()-1,60),ROW()-1,FALSE))</f>
        <v>144.11000000000001</v>
      </c>
      <c r="I67">
        <f ca="1">IF(AND(ISNUMBER($I$525),$B$419=1),$I$525,HLOOKUP(INDIRECT(ADDRESS(2,COLUMN())),OFFSET($BN$2,0,0,ROW()-1,60),ROW()-1,FALSE))</f>
        <v>146.023</v>
      </c>
      <c r="J67">
        <f ca="1">IF(AND(ISNUMBER($J$525),$B$419=1),$J$525,HLOOKUP(INDIRECT(ADDRESS(2,COLUMN())),OFFSET($BN$2,0,0,ROW()-1,60),ROW()-1,FALSE))</f>
        <v>143.66300000000001</v>
      </c>
      <c r="K67">
        <f ca="1">IF(AND(ISNUMBER($K$525),$B$419=1),$K$525,HLOOKUP(INDIRECT(ADDRESS(2,COLUMN())),OFFSET($BN$2,0,0,ROW()-1,60),ROW()-1,FALSE))</f>
        <v>142.863</v>
      </c>
      <c r="L67">
        <f ca="1">IF(AND(ISNUMBER($L$525),$B$419=1),$L$525,HLOOKUP(INDIRECT(ADDRESS(2,COLUMN())),OFFSET($BN$2,0,0,ROW()-1,60),ROW()-1,FALSE))</f>
        <v>138.59899999999999</v>
      </c>
      <c r="M67">
        <f ca="1">IF(AND(ISNUMBER($M$525),$B$419=1),$M$525,HLOOKUP(INDIRECT(ADDRESS(2,COLUMN())),OFFSET($BN$2,0,0,ROW()-1,60),ROW()-1,FALSE))</f>
        <v>135.67599999999999</v>
      </c>
      <c r="N67">
        <f ca="1">IF(AND(ISNUMBER($N$525),$B$419=1),$N$525,HLOOKUP(INDIRECT(ADDRESS(2,COLUMN())),OFFSET($BN$2,0,0,ROW()-1,60),ROW()-1,FALSE))</f>
        <v>132.417</v>
      </c>
      <c r="O67">
        <f ca="1">IF(AND(ISNUMBER($O$525),$B$419=1),$O$525,HLOOKUP(INDIRECT(ADDRESS(2,COLUMN())),OFFSET($BN$2,0,0,ROW()-1,60),ROW()-1,FALSE))</f>
        <v>129.654</v>
      </c>
      <c r="P67">
        <f ca="1">IF(AND(ISNUMBER($P$525),$B$419=1),$P$525,HLOOKUP(INDIRECT(ADDRESS(2,COLUMN())),OFFSET($BN$2,0,0,ROW()-1,60),ROW()-1,FALSE))</f>
        <v>130.78700000000001</v>
      </c>
      <c r="Q67">
        <f ca="1">IF(AND(ISNUMBER($Q$525),$B$419=1),$Q$525,HLOOKUP(INDIRECT(ADDRESS(2,COLUMN())),OFFSET($BN$2,0,0,ROW()-1,60),ROW()-1,FALSE))</f>
        <v>126.804</v>
      </c>
      <c r="R67">
        <f ca="1">IF(AND(ISNUMBER($R$525),$B$419=1),$R$525,HLOOKUP(INDIRECT(ADDRESS(2,COLUMN())),OFFSET($BN$2,0,0,ROW()-1,60),ROW()-1,FALSE))</f>
        <v>125.599</v>
      </c>
      <c r="S67">
        <f ca="1">IF(AND(ISNUMBER($S$525),$B$419=1),$S$525,HLOOKUP(INDIRECT(ADDRESS(2,COLUMN())),OFFSET($BN$2,0,0,ROW()-1,60),ROW()-1,FALSE))</f>
        <v>126.102</v>
      </c>
      <c r="T67">
        <f ca="1">IF(AND(ISNUMBER($T$525),$B$419=1),$T$525,HLOOKUP(INDIRECT(ADDRESS(2,COLUMN())),OFFSET($BN$2,0,0,ROW()-1,60),ROW()-1,FALSE))</f>
        <v>130.52099999999999</v>
      </c>
      <c r="U67">
        <f ca="1">IF(AND(ISNUMBER($U$525),$B$419=1),$U$525,HLOOKUP(INDIRECT(ADDRESS(2,COLUMN())),OFFSET($BN$2,0,0,ROW()-1,60),ROW()-1,FALSE))</f>
        <v>130.191</v>
      </c>
      <c r="V67">
        <f ca="1">IF(AND(ISNUMBER($V$525),$B$419=1),$V$525,HLOOKUP(INDIRECT(ADDRESS(2,COLUMN())),OFFSET($BN$2,0,0,ROW()-1,60),ROW()-1,FALSE))</f>
        <v>127.592</v>
      </c>
      <c r="W67">
        <f ca="1">IF(AND(ISNUMBER($W$525),$B$419=1),$W$525,HLOOKUP(INDIRECT(ADDRESS(2,COLUMN())),OFFSET($BN$2,0,0,ROW()-1,60),ROW()-1,FALSE))</f>
        <v>126.071</v>
      </c>
      <c r="X67">
        <f ca="1">IF(AND(ISNUMBER($X$525),$B$419=1),$X$525,HLOOKUP(INDIRECT(ADDRESS(2,COLUMN())),OFFSET($BN$2,0,0,ROW()-1,60),ROW()-1,FALSE))</f>
        <v>123.30200000000001</v>
      </c>
      <c r="Y67">
        <f ca="1">IF(AND(ISNUMBER($Y$525),$B$419=1),$Y$525,HLOOKUP(INDIRECT(ADDRESS(2,COLUMN())),OFFSET($BN$2,0,0,ROW()-1,60),ROW()-1,FALSE))</f>
        <v>121.995</v>
      </c>
      <c r="Z67">
        <f ca="1">IF(AND(ISNUMBER($Z$525),$B$419=1),$Z$525,HLOOKUP(INDIRECT(ADDRESS(2,COLUMN())),OFFSET($BN$2,0,0,ROW()-1,60),ROW()-1,FALSE))</f>
        <v>117.827</v>
      </c>
      <c r="AA67">
        <f ca="1">IF(AND(ISNUMBER($AA$525),$B$419=1),$AA$525,HLOOKUP(INDIRECT(ADDRESS(2,COLUMN())),OFFSET($BN$2,0,0,ROW()-1,60),ROW()-1,FALSE))</f>
        <v>119.547</v>
      </c>
      <c r="AB67">
        <f ca="1">IF(AND(ISNUMBER($AB$525),$B$419=1),$AB$525,HLOOKUP(INDIRECT(ADDRESS(2,COLUMN())),OFFSET($BN$2,0,0,ROW()-1,60),ROW()-1,FALSE))</f>
        <v>122.319</v>
      </c>
      <c r="AC67">
        <f ca="1">IF(AND(ISNUMBER($AC$525),$B$419=1),$AC$525,HLOOKUP(INDIRECT(ADDRESS(2,COLUMN())),OFFSET($BN$2,0,0,ROW()-1,60),ROW()-1,FALSE))</f>
        <v>118.59699999999999</v>
      </c>
      <c r="AD67">
        <f ca="1">IF(AND(ISNUMBER($AD$525),$B$419=1),$AD$525,HLOOKUP(INDIRECT(ADDRESS(2,COLUMN())),OFFSET($BN$2,0,0,ROW()-1,60),ROW()-1,FALSE))</f>
        <v>118.80200000000001</v>
      </c>
      <c r="AE67">
        <f ca="1">IF(AND(ISNUMBER($AE$525),$B$419=1),$AE$525,HLOOKUP(INDIRECT(ADDRESS(2,COLUMN())),OFFSET($BN$2,0,0,ROW()-1,60),ROW()-1,FALSE))</f>
        <v>119.729</v>
      </c>
      <c r="AF67">
        <f ca="1">IF(AND(ISNUMBER($AF$525),$B$419=1),$AF$525,HLOOKUP(INDIRECT(ADDRESS(2,COLUMN())),OFFSET($BN$2,0,0,ROW()-1,60),ROW()-1,FALSE))</f>
        <v>122.869</v>
      </c>
      <c r="AG67">
        <f ca="1">IF(AND(ISNUMBER($AG$525),$B$419=1),$AG$525,HLOOKUP(INDIRECT(ADDRESS(2,COLUMN())),OFFSET($BN$2,0,0,ROW()-1,60),ROW()-1,FALSE))</f>
        <v>123.325</v>
      </c>
      <c r="AH67">
        <f ca="1">IF(AND(ISNUMBER($AH$525),$B$419=1),$AH$525,HLOOKUP(INDIRECT(ADDRESS(2,COLUMN())),OFFSET($BN$2,0,0,ROW()-1,60),ROW()-1,FALSE))</f>
        <v>118.107</v>
      </c>
      <c r="AI67">
        <f ca="1">IF(AND(ISNUMBER($AI$525),$B$419=1),$AI$525,HLOOKUP(INDIRECT(ADDRESS(2,COLUMN())),OFFSET($BN$2,0,0,ROW()-1,60),ROW()-1,FALSE))</f>
        <v>134.828</v>
      </c>
      <c r="AJ67">
        <f ca="1">IF(AND(ISNUMBER($AJ$525),$B$419=1),$AJ$525,HLOOKUP(INDIRECT(ADDRESS(2,COLUMN())),OFFSET($BN$2,0,0,ROW()-1,60),ROW()-1,FALSE))</f>
        <v>134.11799999999999</v>
      </c>
      <c r="AK67">
        <f ca="1">IF(AND(ISNUMBER($AK$525),$B$419=1),$AK$525,HLOOKUP(INDIRECT(ADDRESS(2,COLUMN())),OFFSET($BN$2,0,0,ROW()-1,60),ROW()-1,FALSE))</f>
        <v>137.791</v>
      </c>
      <c r="AL67">
        <f ca="1">IF(AND(ISNUMBER($AL$525),$B$419=1),$AL$525,HLOOKUP(INDIRECT(ADDRESS(2,COLUMN())),OFFSET($BN$2,0,0,ROW()-1,60),ROW()-1,FALSE))</f>
        <v>137.10499999999999</v>
      </c>
      <c r="AM67">
        <f ca="1">IF(AND(ISNUMBER($AM$525),$B$419=1),$AM$525,HLOOKUP(INDIRECT(ADDRESS(2,COLUMN())),OFFSET($BN$2,0,0,ROW()-1,60),ROW()-1,FALSE))</f>
        <v>142.166</v>
      </c>
      <c r="AN67">
        <f ca="1">IF(AND(ISNUMBER($AN$525),$B$419=1),$AN$525,HLOOKUP(INDIRECT(ADDRESS(2,COLUMN())),OFFSET($BN$2,0,0,ROW()-1,60),ROW()-1,FALSE))</f>
        <v>143.07300000000001</v>
      </c>
      <c r="AO67">
        <f ca="1">IF(AND(ISNUMBER($AO$525),$B$419=1),$AO$525,HLOOKUP(INDIRECT(ADDRESS(2,COLUMN())),OFFSET($BN$2,0,0,ROW()-1,60),ROW()-1,FALSE))</f>
        <v>142.41499999999999</v>
      </c>
      <c r="AP67">
        <f ca="1">IF(AND(ISNUMBER($AP$525),$B$419=1),$AP$525,HLOOKUP(INDIRECT(ADDRESS(2,COLUMN())),OFFSET($BN$2,0,0,ROW()-1,60),ROW()-1,FALSE))</f>
        <v>144.38200000000001</v>
      </c>
      <c r="AQ67">
        <f ca="1">IF(AND(ISNUMBER($AQ$525),$B$419=1),$AQ$525,HLOOKUP(INDIRECT(ADDRESS(2,COLUMN())),OFFSET($BN$2,0,0,ROW()-1,60),ROW()-1,FALSE))</f>
        <v>145.66200000000001</v>
      </c>
      <c r="AR67">
        <f ca="1">IF(AND(ISNUMBER($AR$525),$B$419=1),$AR$525,HLOOKUP(INDIRECT(ADDRESS(2,COLUMN())),OFFSET($BN$2,0,0,ROW()-1,60),ROW()-1,FALSE))</f>
        <v>153.96700000000001</v>
      </c>
      <c r="AS67">
        <f ca="1">IF(AND(ISNUMBER($AS$525),$B$419=1),$AS$525,HLOOKUP(INDIRECT(ADDRESS(2,COLUMN())),OFFSET($BN$2,0,0,ROW()-1,60),ROW()-1,FALSE))</f>
        <v>152.28399999999999</v>
      </c>
      <c r="AT67">
        <f ca="1">IF(AND(ISNUMBER($AT$525),$B$419=1),$AT$525,HLOOKUP(INDIRECT(ADDRESS(2,COLUMN())),OFFSET($BN$2,0,0,ROW()-1,60),ROW()-1,FALSE))</f>
        <v>151.50200000000001</v>
      </c>
      <c r="AU67">
        <f ca="1">IF(AND(ISNUMBER($AU$525),$B$419=1),$AU$525,HLOOKUP(INDIRECT(ADDRESS(2,COLUMN())),OFFSET($BN$2,0,0,ROW()-1,60),ROW()-1,FALSE))</f>
        <v>150.483</v>
      </c>
      <c r="AV67">
        <f ca="1">IF(AND(ISNUMBER($AV$525),$B$419=1),$AV$525,HLOOKUP(INDIRECT(ADDRESS(2,COLUMN())),OFFSET($BN$2,0,0,ROW()-1,60),ROW()-1,FALSE))</f>
        <v>152.929</v>
      </c>
      <c r="AW67">
        <f ca="1">IF(AND(ISNUMBER($AW$525),$B$419=1),$AW$525,HLOOKUP(INDIRECT(ADDRESS(2,COLUMN())),OFFSET($BN$2,0,0,ROW()-1,60),ROW()-1,FALSE))</f>
        <v>142.21600000000001</v>
      </c>
      <c r="AX67">
        <f ca="1">IF(AND(ISNUMBER($AX$525),$B$419=1),$AX$525,HLOOKUP(INDIRECT(ADDRESS(2,COLUMN())),OFFSET($BN$2,0,0,ROW()-1,60),ROW()-1,FALSE))</f>
        <v>144.4</v>
      </c>
      <c r="AY67">
        <f ca="1">IF(AND(ISNUMBER($AY$525),$B$419=1),$AY$525,HLOOKUP(INDIRECT(ADDRESS(2,COLUMN())),OFFSET($BN$2,0,0,ROW()-1,60),ROW()-1,FALSE))</f>
        <v>144.94200000000001</v>
      </c>
      <c r="AZ67">
        <f ca="1">IF(AND(ISNUMBER($AZ$525),$B$419=1),$AZ$525,HLOOKUP(INDIRECT(ADDRESS(2,COLUMN())),OFFSET($BN$2,0,0,ROW()-1,60),ROW()-1,FALSE))</f>
        <v>139.04300000000001</v>
      </c>
      <c r="BA67">
        <f ca="1">IF(AND(ISNUMBER($BA$525),$B$419=1),$BA$525,HLOOKUP(INDIRECT(ADDRESS(2,COLUMN())),OFFSET($BN$2,0,0,ROW()-1,60),ROW()-1,FALSE))</f>
        <v>132.53200000000001</v>
      </c>
      <c r="BB67">
        <f ca="1">IF(AND(ISNUMBER($BB$525),$B$419=1),$BB$525,HLOOKUP(INDIRECT(ADDRESS(2,COLUMN())),OFFSET($BN$2,0,0,ROW()-1,60),ROW()-1,FALSE))</f>
        <v>132.745</v>
      </c>
      <c r="BC67">
        <f ca="1">IF(AND(ISNUMBER($BC$525),$B$419=1),$BC$525,HLOOKUP(INDIRECT(ADDRESS(2,COLUMN())),OFFSET($BN$2,0,0,ROW()-1,60),ROW()-1,FALSE))</f>
        <v>120.331</v>
      </c>
      <c r="BD67">
        <f ca="1">IF(AND(ISNUMBER($BD$525),$B$419=1),$BD$525,HLOOKUP(INDIRECT(ADDRESS(2,COLUMN())),OFFSET($BN$2,0,0,ROW()-1,60),ROW()-1,FALSE))</f>
        <v>132.167</v>
      </c>
      <c r="BE67">
        <f ca="1">IF(AND(ISNUMBER($BE$525),$B$419=1),$BE$525,HLOOKUP(INDIRECT(ADDRESS(2,COLUMN())),OFFSET($BN$2,0,0,ROW()-1,60),ROW()-1,FALSE))</f>
        <v>130.89699999999999</v>
      </c>
      <c r="BF67">
        <f ca="1">IF(AND(ISNUMBER($BF$525),$B$419=1),$BF$525,HLOOKUP(INDIRECT(ADDRESS(2,COLUMN())),OFFSET($BN$2,0,0,ROW()-1,60),ROW()-1,FALSE))</f>
        <v>129.87299999999999</v>
      </c>
      <c r="BG67">
        <f ca="1">IF(AND(ISNUMBER($BG$525),$B$419=1),$BG$525,HLOOKUP(INDIRECT(ADDRESS(2,COLUMN())),OFFSET($BN$2,0,0,ROW()-1,60),ROW()-1,FALSE))</f>
        <v>131.25</v>
      </c>
      <c r="BH67">
        <f ca="1">IF(AND(ISNUMBER($BH$525),$B$419=1),$BH$525,HLOOKUP(INDIRECT(ADDRESS(2,COLUMN())),OFFSET($BN$2,0,0,ROW()-1,60),ROW()-1,FALSE))</f>
        <v>127.08</v>
      </c>
      <c r="BI67">
        <f ca="1">IF(AND(ISNUMBER($BI$525),$B$419=1),$BI$525,HLOOKUP(INDIRECT(ADDRESS(2,COLUMN())),OFFSET($BN$2,0,0,ROW()-1,60),ROW()-1,FALSE))</f>
        <v>121.1050034</v>
      </c>
      <c r="BJ67">
        <f ca="1">IF(AND(ISNUMBER($BJ$525),$B$419=1),$BJ$525,HLOOKUP(INDIRECT(ADDRESS(2,COLUMN())),OFFSET($BN$2,0,0,ROW()-1,60),ROW()-1,FALSE))</f>
        <v>116.00599699999999</v>
      </c>
      <c r="BK67">
        <f ca="1">IF(AND(ISNUMBER($BK$525),$B$419=1),$BK$525,HLOOKUP(INDIRECT(ADDRESS(2,COLUMN())),OFFSET($BN$2,0,0,ROW()-1,60),ROW()-1,FALSE))</f>
        <v>109.94499999999999</v>
      </c>
      <c r="BL67">
        <f ca="1">IF(AND(ISNUMBER($BL$525),$B$419=1),$BL$525,HLOOKUP(INDIRECT(ADDRESS(2,COLUMN())),OFFSET($BN$2,0,0,ROW()-1,60),ROW()-1,FALSE))</f>
        <v>106.378998</v>
      </c>
      <c r="BM67">
        <f ca="1">IF(AND(ISNUMBER($BM$525),$B$419=1),$BM$525,HLOOKUP(INDIRECT(ADDRESS(2,COLUMN())),OFFSET($BN$2,0,0,ROW()-1,60),ROW()-1,FALSE))</f>
        <v>101.99400300000001</v>
      </c>
      <c r="BN67" t="str">
        <f>""</f>
        <v/>
      </c>
      <c r="BO67">
        <f>139.367</f>
        <v>139.36699999999999</v>
      </c>
      <c r="BP67">
        <f>144.11</f>
        <v>144.11000000000001</v>
      </c>
      <c r="BQ67">
        <f>146.023</f>
        <v>146.023</v>
      </c>
      <c r="BR67">
        <f>143.663</f>
        <v>143.66300000000001</v>
      </c>
      <c r="BS67">
        <f>142.863</f>
        <v>142.863</v>
      </c>
      <c r="BT67">
        <f>138.599</f>
        <v>138.59899999999999</v>
      </c>
      <c r="BU67">
        <f>135.676</f>
        <v>135.67599999999999</v>
      </c>
      <c r="BV67">
        <f>132.417</f>
        <v>132.417</v>
      </c>
      <c r="BW67">
        <f>129.654</f>
        <v>129.654</v>
      </c>
      <c r="BX67">
        <f>130.787</f>
        <v>130.78700000000001</v>
      </c>
      <c r="BY67">
        <f>126.804</f>
        <v>126.804</v>
      </c>
      <c r="BZ67">
        <f>125.599</f>
        <v>125.599</v>
      </c>
      <c r="CA67">
        <f>126.102</f>
        <v>126.102</v>
      </c>
      <c r="CB67">
        <f>130.521</f>
        <v>130.52099999999999</v>
      </c>
      <c r="CC67">
        <f>130.191</f>
        <v>130.191</v>
      </c>
      <c r="CD67">
        <f>127.592</f>
        <v>127.592</v>
      </c>
      <c r="CE67">
        <f>126.071</f>
        <v>126.071</v>
      </c>
      <c r="CF67">
        <f>123.302</f>
        <v>123.30200000000001</v>
      </c>
      <c r="CG67">
        <f>121.995</f>
        <v>121.995</v>
      </c>
      <c r="CH67">
        <f>117.827</f>
        <v>117.827</v>
      </c>
      <c r="CI67">
        <f>119.547</f>
        <v>119.547</v>
      </c>
      <c r="CJ67">
        <f>122.319</f>
        <v>122.319</v>
      </c>
      <c r="CK67">
        <f>118.597</f>
        <v>118.59699999999999</v>
      </c>
      <c r="CL67">
        <f>118.802</f>
        <v>118.80200000000001</v>
      </c>
      <c r="CM67">
        <f>119.729</f>
        <v>119.729</v>
      </c>
      <c r="CN67">
        <f>122.869</f>
        <v>122.869</v>
      </c>
      <c r="CO67">
        <f>123.325</f>
        <v>123.325</v>
      </c>
      <c r="CP67">
        <f>118.107</f>
        <v>118.107</v>
      </c>
      <c r="CQ67">
        <f>134.828</f>
        <v>134.828</v>
      </c>
      <c r="CR67">
        <f>134.118</f>
        <v>134.11799999999999</v>
      </c>
      <c r="CS67">
        <f>137.791</f>
        <v>137.791</v>
      </c>
      <c r="CT67">
        <f>137.105</f>
        <v>137.10499999999999</v>
      </c>
      <c r="CU67">
        <f>142.166</f>
        <v>142.166</v>
      </c>
      <c r="CV67">
        <f>143.073</f>
        <v>143.07300000000001</v>
      </c>
      <c r="CW67">
        <f>142.415</f>
        <v>142.41499999999999</v>
      </c>
      <c r="CX67">
        <f>144.382</f>
        <v>144.38200000000001</v>
      </c>
      <c r="CY67">
        <f>145.662</f>
        <v>145.66200000000001</v>
      </c>
      <c r="CZ67">
        <f>153.967</f>
        <v>153.96700000000001</v>
      </c>
      <c r="DA67">
        <f>152.284</f>
        <v>152.28399999999999</v>
      </c>
      <c r="DB67">
        <f>151.502</f>
        <v>151.50200000000001</v>
      </c>
      <c r="DC67">
        <f>150.483</f>
        <v>150.483</v>
      </c>
      <c r="DD67">
        <f>152.929</f>
        <v>152.929</v>
      </c>
      <c r="DE67">
        <f>142.216</f>
        <v>142.21600000000001</v>
      </c>
      <c r="DF67">
        <f>144.4</f>
        <v>144.4</v>
      </c>
      <c r="DG67">
        <f>144.942</f>
        <v>144.94200000000001</v>
      </c>
      <c r="DH67">
        <f>139.043</f>
        <v>139.04300000000001</v>
      </c>
      <c r="DI67">
        <f>132.532</f>
        <v>132.53200000000001</v>
      </c>
      <c r="DJ67">
        <f>132.745</f>
        <v>132.745</v>
      </c>
      <c r="DK67">
        <f>120.331</f>
        <v>120.331</v>
      </c>
      <c r="DL67">
        <f>132.167</f>
        <v>132.167</v>
      </c>
      <c r="DM67">
        <f>130.897</f>
        <v>130.89699999999999</v>
      </c>
      <c r="DN67">
        <f>129.873</f>
        <v>129.87299999999999</v>
      </c>
      <c r="DO67">
        <f>131.25</f>
        <v>131.25</v>
      </c>
      <c r="DP67">
        <f>127.08</f>
        <v>127.08</v>
      </c>
      <c r="DQ67">
        <f>121.1050034</f>
        <v>121.1050034</v>
      </c>
      <c r="DR67">
        <f>116.005997</f>
        <v>116.00599699999999</v>
      </c>
      <c r="DS67">
        <f>109.945</f>
        <v>109.94499999999999</v>
      </c>
      <c r="DT67">
        <f>106.378998</f>
        <v>106.378998</v>
      </c>
      <c r="DU67">
        <f>101.994003</f>
        <v>101.99400300000001</v>
      </c>
    </row>
    <row r="68" spans="1:125">
      <c r="A68" t="str">
        <f>"营业净利润"</f>
        <v>营业净利润</v>
      </c>
      <c r="B68" t="str">
        <f>""</f>
        <v/>
      </c>
      <c r="E68" t="str">
        <f>"Median"</f>
        <v>Median</v>
      </c>
      <c r="F68" t="str">
        <f ca="1">IF(ISERROR(IF(MEDIAN($F$69:$F$83) = 0, "", MEDIAN($F$69:$F$83))), "", (IF(MEDIAN($F$69:$F$83) = 0, "", MEDIAN($F$69:$F$83))))</f>
        <v/>
      </c>
      <c r="G68">
        <f ca="1">IF(ISERROR(IF(MEDIAN($G$69:$G$83) = 0, "", MEDIAN($G$69:$G$83))), "", (IF(MEDIAN($G$69:$G$83) = 0, "", MEDIAN($G$69:$G$83))))</f>
        <v>146.58199999999999</v>
      </c>
      <c r="H68">
        <f ca="1">IF(ISERROR(IF(MEDIAN($H$69:$H$83) = 0, "", MEDIAN($H$69:$H$83))), "", (IF(MEDIAN($H$69:$H$83) = 0, "", MEDIAN($H$69:$H$83))))</f>
        <v>154.03200000000001</v>
      </c>
      <c r="I68">
        <f ca="1">IF(ISERROR(IF(MEDIAN($I$69:$I$83) = 0, "", MEDIAN($I$69:$I$83))), "", (IF(MEDIAN($I$69:$I$83) = 0, "", MEDIAN($I$69:$I$83))))</f>
        <v>164.97200000000001</v>
      </c>
      <c r="J68">
        <f ca="1">IF(ISERROR(IF(MEDIAN($J$69:$J$83) = 0, "", MEDIAN($J$69:$J$83))), "", (IF(MEDIAN($J$69:$J$83) = 0, "", MEDIAN($J$69:$J$83))))</f>
        <v>144.91800000000001</v>
      </c>
      <c r="K68">
        <f ca="1">IF(ISERROR(IF(MEDIAN($K$69:$K$83) = 0, "", MEDIAN($K$69:$K$83))), "", (IF(MEDIAN($K$69:$K$83) = 0, "", MEDIAN($K$69:$K$83))))</f>
        <v>146.41</v>
      </c>
      <c r="L68">
        <f ca="1">IF(ISERROR(IF(MEDIAN($L$69:$L$83) = 0, "", MEDIAN($L$69:$L$83))), "", (IF(MEDIAN($L$69:$L$83) = 0, "", MEDIAN($L$69:$L$83))))</f>
        <v>138.55099999999999</v>
      </c>
      <c r="M68">
        <f ca="1">IF(ISERROR(IF(MEDIAN($M$69:$M$83) = 0, "", MEDIAN($M$69:$M$83))), "", (IF(MEDIAN($M$69:$M$83) = 0, "", MEDIAN($M$69:$M$83))))</f>
        <v>136.17599999999999</v>
      </c>
      <c r="N68">
        <f ca="1">IF(ISERROR(IF(MEDIAN($N$69:$N$83) = 0, "", MEDIAN($N$69:$N$83))), "", (IF(MEDIAN($N$69:$N$83) = 0, "", MEDIAN($N$69:$N$83))))</f>
        <v>138.31700000000001</v>
      </c>
      <c r="O68">
        <f ca="1">IF(ISERROR(IF(MEDIAN($O$69:$O$83) = 0, "", MEDIAN($O$69:$O$83))), "", (IF(MEDIAN($O$69:$O$83) = 0, "", MEDIAN($O$69:$O$83))))</f>
        <v>150.136</v>
      </c>
      <c r="P68">
        <f ca="1">IF(ISERROR(IF(MEDIAN($P$69:$P$83) = 0, "", MEDIAN($P$69:$P$83))), "", (IF(MEDIAN($P$69:$P$83) = 0, "", MEDIAN($P$69:$P$83))))</f>
        <v>140.67699999999999</v>
      </c>
      <c r="Q68">
        <f ca="1">IF(ISERROR(IF(MEDIAN($Q$69:$Q$83) = 0, "", MEDIAN($Q$69:$Q$83))), "", (IF(MEDIAN($Q$69:$Q$83) = 0, "", MEDIAN($Q$69:$Q$83))))</f>
        <v>153.934</v>
      </c>
      <c r="R68">
        <f ca="1">IF(ISERROR(IF(MEDIAN($R$69:$R$83) = 0, "", MEDIAN($R$69:$R$83))), "", (IF(MEDIAN($R$69:$R$83) = 0, "", MEDIAN($R$69:$R$83))))</f>
        <v>151.036</v>
      </c>
      <c r="S68">
        <f ca="1">IF(ISERROR(IF(MEDIAN($S$69:$S$83) = 0, "", MEDIAN($S$69:$S$83))), "", (IF(MEDIAN($S$69:$S$83) = 0, "", MEDIAN($S$69:$S$83))))</f>
        <v>120.875</v>
      </c>
      <c r="T68">
        <f ca="1">IF(ISERROR(IF(MEDIAN($T$69:$T$83) = 0, "", MEDIAN($T$69:$T$83))), "", (IF(MEDIAN($T$69:$T$83) = 0, "", MEDIAN($T$69:$T$83))))</f>
        <v>113.83</v>
      </c>
      <c r="U68">
        <f ca="1">IF(ISERROR(IF(MEDIAN($U$69:$U$83) = 0, "", MEDIAN($U$69:$U$83))), "", (IF(MEDIAN($U$69:$U$83) = 0, "", MEDIAN($U$69:$U$83))))</f>
        <v>111.81399999999999</v>
      </c>
      <c r="V68">
        <f ca="1">IF(ISERROR(IF(MEDIAN($V$69:$V$83) = 0, "", MEDIAN($V$69:$V$83))), "", (IF(MEDIAN($V$69:$V$83) = 0, "", MEDIAN($V$69:$V$83))))</f>
        <v>110.363</v>
      </c>
      <c r="W68">
        <f ca="1">IF(ISERROR(IF(MEDIAN($W$69:$W$83) = 0, "", MEDIAN($W$69:$W$83))), "", (IF(MEDIAN($W$69:$W$83) = 0, "", MEDIAN($W$69:$W$83))))</f>
        <v>104.6095</v>
      </c>
      <c r="X68">
        <f ca="1">IF(ISERROR(IF(MEDIAN($X$69:$X$83) = 0, "", MEDIAN($X$69:$X$83))), "", (IF(MEDIAN($X$69:$X$83) = 0, "", MEDIAN($X$69:$X$83))))</f>
        <v>100.7975</v>
      </c>
      <c r="Y68">
        <f ca="1">IF(ISERROR(IF(MEDIAN($Y$69:$Y$83) = 0, "", MEDIAN($Y$69:$Y$83))), "", (IF(MEDIAN($Y$69:$Y$83) = 0, "", MEDIAN($Y$69:$Y$83))))</f>
        <v>99.424000000000007</v>
      </c>
      <c r="Z68">
        <f ca="1">IF(ISERROR(IF(MEDIAN($Z$69:$Z$83) = 0, "", MEDIAN($Z$69:$Z$83))), "", (IF(MEDIAN($Z$69:$Z$83) = 0, "", MEDIAN($Z$69:$Z$83))))</f>
        <v>97.88300000000001</v>
      </c>
      <c r="AA68">
        <f ca="1">IF(ISERROR(IF(MEDIAN($AA$69:$AA$83) = 0, "", MEDIAN($AA$69:$AA$83))), "", (IF(MEDIAN($AA$69:$AA$83) = 0, "", MEDIAN($AA$69:$AA$83))))</f>
        <v>97.886499999999998</v>
      </c>
      <c r="AB68">
        <f ca="1">IF(ISERROR(IF(MEDIAN($AB$69:$AB$83) = 0, "", MEDIAN($AB$69:$AB$83))), "", (IF(MEDIAN($AB$69:$AB$83) = 0, "", MEDIAN($AB$69:$AB$83))))</f>
        <v>97.779500000000013</v>
      </c>
      <c r="AC68">
        <f ca="1">IF(ISERROR(IF(MEDIAN($AC$69:$AC$83) = 0, "", MEDIAN($AC$69:$AC$83))), "", (IF(MEDIAN($AC$69:$AC$83) = 0, "", MEDIAN($AC$69:$AC$83))))</f>
        <v>96.948999999999998</v>
      </c>
      <c r="AD68">
        <f ca="1">IF(ISERROR(IF(MEDIAN($AD$69:$AD$83) = 0, "", MEDIAN($AD$69:$AD$83))), "", (IF(MEDIAN($AD$69:$AD$83) = 0, "", MEDIAN($AD$69:$AD$83))))</f>
        <v>97.53649999999999</v>
      </c>
      <c r="AE68">
        <f ca="1">IF(ISERROR(IF(MEDIAN($AE$69:$AE$83) = 0, "", MEDIAN($AE$69:$AE$83))), "", (IF(MEDIAN($AE$69:$AE$83) = 0, "", MEDIAN($AE$69:$AE$83))))</f>
        <v>94.210999999999999</v>
      </c>
      <c r="AF68">
        <f ca="1">IF(ISERROR(IF(MEDIAN($AF$69:$AF$83) = 0, "", MEDIAN($AF$69:$AF$83))), "", (IF(MEDIAN($AF$69:$AF$83) = 0, "", MEDIAN($AF$69:$AF$83))))</f>
        <v>92.372</v>
      </c>
      <c r="AG68">
        <f ca="1">IF(ISERROR(IF(MEDIAN($AG$69:$AG$83) = 0, "", MEDIAN($AG$69:$AG$83))), "", (IF(MEDIAN($AG$69:$AG$83) = 0, "", MEDIAN($AG$69:$AG$83))))</f>
        <v>93.698999999999998</v>
      </c>
      <c r="AH68">
        <f ca="1">IF(ISERROR(IF(MEDIAN($AH$69:$AH$83) = 0, "", MEDIAN($AH$69:$AH$83))), "", (IF(MEDIAN($AH$69:$AH$83) = 0, "", MEDIAN($AH$69:$AH$83))))</f>
        <v>90.986999999999995</v>
      </c>
      <c r="AI68">
        <f ca="1">IF(ISERROR(IF(MEDIAN($AI$69:$AI$83) = 0, "", MEDIAN($AI$69:$AI$83))), "", (IF(MEDIAN($AI$69:$AI$83) = 0, "", MEDIAN($AI$69:$AI$83))))</f>
        <v>90.53</v>
      </c>
      <c r="AJ68">
        <f ca="1">IF(ISERROR(IF(MEDIAN($AJ$69:$AJ$83) = 0, "", MEDIAN($AJ$69:$AJ$83))), "", (IF(MEDIAN($AJ$69:$AJ$83) = 0, "", MEDIAN($AJ$69:$AJ$83))))</f>
        <v>90.102000000000004</v>
      </c>
      <c r="AK68">
        <f ca="1">IF(ISERROR(IF(MEDIAN($AK$69:$AK$83) = 0, "", MEDIAN($AK$69:$AK$83))), "", (IF(MEDIAN($AK$69:$AK$83) = 0, "", MEDIAN($AK$69:$AK$83))))</f>
        <v>89.652000000000001</v>
      </c>
      <c r="AL68">
        <f ca="1">IF(ISERROR(IF(MEDIAN($AL$69:$AL$83) = 0, "", MEDIAN($AL$69:$AL$83))), "", (IF(MEDIAN($AL$69:$AL$83) = 0, "", MEDIAN($AL$69:$AL$83))))</f>
        <v>88.774000000000001</v>
      </c>
      <c r="AM68">
        <f ca="1">IF(ISERROR(IF(MEDIAN($AM$69:$AM$83) = 0, "", MEDIAN($AM$69:$AM$83))), "", (IF(MEDIAN($AM$69:$AM$83) = 0, "", MEDIAN($AM$69:$AM$83))))</f>
        <v>92.103593500000002</v>
      </c>
      <c r="AN68">
        <f ca="1">IF(ISERROR(IF(MEDIAN($AN$69:$AN$83) = 0, "", MEDIAN($AN$69:$AN$83))), "", (IF(MEDIAN($AN$69:$AN$83) = 0, "", MEDIAN($AN$69:$AN$83))))</f>
        <v>101.706</v>
      </c>
      <c r="AO68">
        <f ca="1">IF(ISERROR(IF(MEDIAN($AO$69:$AO$83) = 0, "", MEDIAN($AO$69:$AO$83))), "", (IF(MEDIAN($AO$69:$AO$83) = 0, "", MEDIAN($AO$69:$AO$83))))</f>
        <v>90.040499999999994</v>
      </c>
      <c r="AP68">
        <f ca="1">IF(ISERROR(IF(MEDIAN($AP$69:$AP$83) = 0, "", MEDIAN($AP$69:$AP$83))), "", (IF(MEDIAN($AP$69:$AP$83) = 0, "", MEDIAN($AP$69:$AP$83))))</f>
        <v>94.549499999999995</v>
      </c>
      <c r="AQ68">
        <f ca="1">IF(ISERROR(IF(MEDIAN($AQ$69:$AQ$83) = 0, "", MEDIAN($AQ$69:$AQ$83))), "", (IF(MEDIAN($AQ$69:$AQ$83) = 0, "", MEDIAN($AQ$69:$AQ$83))))</f>
        <v>100.790756</v>
      </c>
      <c r="AR68">
        <f ca="1">IF(ISERROR(IF(MEDIAN($AR$69:$AR$83) = 0, "", MEDIAN($AR$69:$AR$83))), "", (IF(MEDIAN($AR$69:$AR$83) = 0, "", MEDIAN($AR$69:$AR$83))))</f>
        <v>98.749499999999998</v>
      </c>
      <c r="AS68">
        <f ca="1">IF(ISERROR(IF(MEDIAN($AS$69:$AS$83) = 0, "", MEDIAN($AS$69:$AS$83))), "", (IF(MEDIAN($AS$69:$AS$83) = 0, "", MEDIAN($AS$69:$AS$83))))</f>
        <v>99.8155</v>
      </c>
      <c r="AT68">
        <f ca="1">IF(ISERROR(IF(MEDIAN($AT$69:$AT$83) = 0, "", MEDIAN($AT$69:$AT$83))), "", (IF(MEDIAN($AT$69:$AT$83) = 0, "", MEDIAN($AT$69:$AT$83))))</f>
        <v>96.686000000000007</v>
      </c>
      <c r="AU68">
        <f ca="1">IF(ISERROR(IF(MEDIAN($AU$69:$AU$83) = 0, "", MEDIAN($AU$69:$AU$83))), "", (IF(MEDIAN($AU$69:$AU$83) = 0, "", MEDIAN($AU$69:$AU$83))))</f>
        <v>93.152999999999992</v>
      </c>
      <c r="AV68">
        <f ca="1">IF(ISERROR(IF(MEDIAN($AV$69:$AV$83) = 0, "", MEDIAN($AV$69:$AV$83))), "", (IF(MEDIAN($AV$69:$AV$83) = 0, "", MEDIAN($AV$69:$AV$83))))</f>
        <v>95.613</v>
      </c>
      <c r="AW68">
        <f ca="1">IF(ISERROR(IF(MEDIAN($AW$69:$AW$83) = 0, "", MEDIAN($AW$69:$AW$83))), "", (IF(MEDIAN($AW$69:$AW$83) = 0, "", MEDIAN($AW$69:$AW$83))))</f>
        <v>90.693000000000012</v>
      </c>
      <c r="AX68">
        <f ca="1">IF(ISERROR(IF(MEDIAN($AX$69:$AX$83) = 0, "", MEDIAN($AX$69:$AX$83))), "", (IF(MEDIAN($AX$69:$AX$83) = 0, "", MEDIAN($AX$69:$AX$83))))</f>
        <v>91.755499999999998</v>
      </c>
      <c r="AY68">
        <f ca="1">IF(ISERROR(IF(MEDIAN($AY$69:$AY$83) = 0, "", MEDIAN($AY$69:$AY$83))), "", (IF(MEDIAN($AY$69:$AY$83) = 0, "", MEDIAN($AY$69:$AY$83))))</f>
        <v>90.607500000000002</v>
      </c>
      <c r="AZ68">
        <f ca="1">IF(ISERROR(IF(MEDIAN($AZ$69:$AZ$83) = 0, "", MEDIAN($AZ$69:$AZ$83))), "", (IF(MEDIAN($AZ$69:$AZ$83) = 0, "", MEDIAN($AZ$69:$AZ$83))))</f>
        <v>87.851500000000001</v>
      </c>
      <c r="BA68">
        <f ca="1">IF(ISERROR(IF(MEDIAN($BA$69:$BA$83) = 0, "", MEDIAN($BA$69:$BA$83))), "", (IF(MEDIAN($BA$69:$BA$83) = 0, "", MEDIAN($BA$69:$BA$83))))</f>
        <v>88.489499999999992</v>
      </c>
      <c r="BB68">
        <f ca="1">IF(ISERROR(IF(MEDIAN($BB$69:$BB$83) = 0, "", MEDIAN($BB$69:$BB$83))), "", (IF(MEDIAN($BB$69:$BB$83) = 0, "", MEDIAN($BB$69:$BB$83))))</f>
        <v>86.617500000000007</v>
      </c>
      <c r="BC68">
        <f ca="1">IF(ISERROR(IF(MEDIAN($BC$69:$BC$83) = 0, "", MEDIAN($BC$69:$BC$83))), "", (IF(MEDIAN($BC$69:$BC$83) = 0, "", MEDIAN($BC$69:$BC$83))))</f>
        <v>77.186000000000007</v>
      </c>
      <c r="BD68">
        <f ca="1">IF(ISERROR(IF(MEDIAN($BD$69:$BD$83) = 0, "", MEDIAN($BD$69:$BD$83))), "", (IF(MEDIAN($BD$69:$BD$83) = 0, "", MEDIAN($BD$69:$BD$83))))</f>
        <v>82.739000000000004</v>
      </c>
      <c r="BE68">
        <f ca="1">IF(ISERROR(IF(MEDIAN($BE$69:$BE$83) = 0, "", MEDIAN($BE$69:$BE$83))), "", (IF(MEDIAN($BE$69:$BE$83) = 0, "", MEDIAN($BE$69:$BE$83))))</f>
        <v>89.4375</v>
      </c>
      <c r="BF68">
        <f ca="1">IF(ISERROR(IF(MEDIAN($BF$69:$BF$83) = 0, "", MEDIAN($BF$69:$BF$83))), "", (IF(MEDIAN($BF$69:$BF$83) = 0, "", MEDIAN($BF$69:$BF$83))))</f>
        <v>82.619</v>
      </c>
      <c r="BG68">
        <f ca="1">IF(ISERROR(IF(MEDIAN($BG$69:$BG$83) = 0, "", MEDIAN($BG$69:$BG$83))), "", (IF(MEDIAN($BG$69:$BG$83) = 0, "", MEDIAN($BG$69:$BG$83))))</f>
        <v>82.32050000000001</v>
      </c>
      <c r="BH68">
        <f ca="1">IF(ISERROR(IF(MEDIAN($BH$69:$BH$83) = 0, "", MEDIAN($BH$69:$BH$83))), "", (IF(MEDIAN($BH$69:$BH$83) = 0, "", MEDIAN($BH$69:$BH$83))))</f>
        <v>80.129000000000005</v>
      </c>
      <c r="BI68">
        <f ca="1">IF(ISERROR(IF(MEDIAN($BI$69:$BI$83) = 0, "", MEDIAN($BI$69:$BI$83))), "", (IF(MEDIAN($BI$69:$BI$83) = 0, "", MEDIAN($BI$69:$BI$83))))</f>
        <v>78.502500115000004</v>
      </c>
      <c r="BJ68">
        <f ca="1">IF(ISERROR(IF(MEDIAN($BJ$69:$BJ$83) = 0, "", MEDIAN($BJ$69:$BJ$83))), "", (IF(MEDIAN($BJ$69:$BJ$83) = 0, "", MEDIAN($BJ$69:$BJ$83))))</f>
        <v>74.920001999999997</v>
      </c>
      <c r="BK68">
        <f ca="1">IF(ISERROR(IF(MEDIAN($BK$69:$BK$83) = 0, "", MEDIAN($BK$69:$BK$83))), "", (IF(MEDIAN($BK$69:$BK$83) = 0, "", MEDIAN($BK$69:$BK$83))))</f>
        <v>73.065500175000011</v>
      </c>
      <c r="BL68">
        <f ca="1">IF(ISERROR(IF(MEDIAN($BL$69:$BL$83) = 0, "", MEDIAN($BL$69:$BL$83))), "", (IF(MEDIAN($BL$69:$BL$83) = 0, "", MEDIAN($BL$69:$BL$83))))</f>
        <v>69.969498000000002</v>
      </c>
      <c r="BM68">
        <f ca="1">IF(ISERROR(IF(MEDIAN($BM$69:$BM$83) = 0, "", MEDIAN($BM$69:$BM$83))), "", (IF(MEDIAN($BM$69:$BM$83) = 0, "", MEDIAN($BM$69:$BM$83))))</f>
        <v>69.217998999999992</v>
      </c>
      <c r="BN68" t="str">
        <f>""</f>
        <v/>
      </c>
      <c r="BO68">
        <f>146.582</f>
        <v>146.58199999999999</v>
      </c>
      <c r="BP68">
        <f>154.032</f>
        <v>154.03200000000001</v>
      </c>
      <c r="BQ68">
        <f>164.972</f>
        <v>164.97200000000001</v>
      </c>
      <c r="BR68">
        <f>144.918</f>
        <v>144.91800000000001</v>
      </c>
      <c r="BS68">
        <f>146.41</f>
        <v>146.41</v>
      </c>
      <c r="BT68">
        <f>138.551</f>
        <v>138.55099999999999</v>
      </c>
      <c r="BU68">
        <f>136.176</f>
        <v>136.17599999999999</v>
      </c>
      <c r="BV68">
        <f>138.317</f>
        <v>138.31700000000001</v>
      </c>
      <c r="BW68">
        <f>150.136</f>
        <v>150.136</v>
      </c>
      <c r="BX68">
        <f>140.677</f>
        <v>140.67699999999999</v>
      </c>
      <c r="BY68">
        <f>153.934</f>
        <v>153.934</v>
      </c>
      <c r="BZ68">
        <f>151.036</f>
        <v>151.036</v>
      </c>
      <c r="CA68">
        <f>120.875</f>
        <v>120.875</v>
      </c>
      <c r="CB68">
        <f>113.83</f>
        <v>113.83</v>
      </c>
      <c r="CC68">
        <f>111.814</f>
        <v>111.81399999999999</v>
      </c>
      <c r="CD68">
        <f>110.363</f>
        <v>110.363</v>
      </c>
      <c r="CE68">
        <f>104.6095</f>
        <v>104.6095</v>
      </c>
      <c r="CF68">
        <f>100.7975</f>
        <v>100.7975</v>
      </c>
      <c r="CG68">
        <f>99.424</f>
        <v>99.424000000000007</v>
      </c>
      <c r="CH68">
        <f>97.883</f>
        <v>97.882999999999996</v>
      </c>
      <c r="CI68">
        <f>97.8865</f>
        <v>97.886499999999998</v>
      </c>
      <c r="CJ68">
        <f>97.7795</f>
        <v>97.779499999999999</v>
      </c>
      <c r="CK68">
        <f>96.949</f>
        <v>96.948999999999998</v>
      </c>
      <c r="CL68">
        <f>97.5365</f>
        <v>97.536500000000004</v>
      </c>
      <c r="CM68">
        <f>94.211</f>
        <v>94.210999999999999</v>
      </c>
      <c r="CN68">
        <f>92.372</f>
        <v>92.372</v>
      </c>
      <c r="CO68">
        <f>93.699</f>
        <v>93.698999999999998</v>
      </c>
      <c r="CP68">
        <f>90.987</f>
        <v>90.986999999999995</v>
      </c>
      <c r="CQ68">
        <f>90.53</f>
        <v>90.53</v>
      </c>
      <c r="CR68">
        <f>90.102</f>
        <v>90.102000000000004</v>
      </c>
      <c r="CS68">
        <f>89.652</f>
        <v>89.652000000000001</v>
      </c>
      <c r="CT68">
        <f>88.774</f>
        <v>88.774000000000001</v>
      </c>
      <c r="CU68">
        <f>92.1035935</f>
        <v>92.103593500000002</v>
      </c>
      <c r="CV68">
        <f>101.706</f>
        <v>101.706</v>
      </c>
      <c r="CW68">
        <f>90.0405</f>
        <v>90.040499999999994</v>
      </c>
      <c r="CX68">
        <f>94.5495</f>
        <v>94.549499999999995</v>
      </c>
      <c r="CY68">
        <f>100.790756</f>
        <v>100.790756</v>
      </c>
      <c r="CZ68">
        <f>98.7495</f>
        <v>98.749499999999998</v>
      </c>
      <c r="DA68">
        <f>99.8155</f>
        <v>99.8155</v>
      </c>
      <c r="DB68">
        <f>96.686</f>
        <v>96.686000000000007</v>
      </c>
      <c r="DC68">
        <f>93.153</f>
        <v>93.153000000000006</v>
      </c>
      <c r="DD68">
        <f>95.613</f>
        <v>95.613</v>
      </c>
      <c r="DE68">
        <f>90.693</f>
        <v>90.692999999999998</v>
      </c>
      <c r="DF68">
        <f>91.7555</f>
        <v>91.755499999999998</v>
      </c>
      <c r="DG68">
        <f>90.6075</f>
        <v>90.607500000000002</v>
      </c>
      <c r="DH68">
        <f>87.8515</f>
        <v>87.851500000000001</v>
      </c>
      <c r="DI68">
        <f>88.4895</f>
        <v>88.489500000000007</v>
      </c>
      <c r="DJ68">
        <f>86.6175</f>
        <v>86.617500000000007</v>
      </c>
      <c r="DK68">
        <f>77.186</f>
        <v>77.186000000000007</v>
      </c>
      <c r="DL68">
        <f>82.739</f>
        <v>82.739000000000004</v>
      </c>
      <c r="DM68">
        <f>89.4375</f>
        <v>89.4375</v>
      </c>
      <c r="DN68">
        <f>82.619</f>
        <v>82.619</v>
      </c>
      <c r="DO68">
        <f>82.3205</f>
        <v>82.320499999999996</v>
      </c>
      <c r="DP68">
        <f>80.129</f>
        <v>80.129000000000005</v>
      </c>
      <c r="DQ68">
        <f>78.50250011</f>
        <v>78.50250011</v>
      </c>
      <c r="DR68">
        <f>74.920002</f>
        <v>74.920001999999997</v>
      </c>
      <c r="DS68">
        <f>73.06550017</f>
        <v>73.065500170000007</v>
      </c>
      <c r="DT68">
        <f>69.969498</f>
        <v>69.969498000000002</v>
      </c>
      <c r="DU68">
        <f>69.217999</f>
        <v>69.217999000000006</v>
      </c>
    </row>
    <row r="69" spans="1:125">
      <c r="A69" t="str">
        <f>"    Brixmor Property Group Inc"</f>
        <v xml:space="preserve">    Brixmor Property Group Inc</v>
      </c>
      <c r="B69" t="str">
        <f>"BRX US Equity"</f>
        <v>BRX US Equity</v>
      </c>
      <c r="C69" t="str">
        <f t="shared" ref="C69:C83" si="12">"RR502"</f>
        <v>RR502</v>
      </c>
      <c r="D69" t="str">
        <f t="shared" ref="D69:D83" si="13">"NET_OPER_INCOME"</f>
        <v>NET_OPER_INCOME</v>
      </c>
      <c r="E69" t="str">
        <f t="shared" ref="E69:E83" si="14">"动态"</f>
        <v>动态</v>
      </c>
      <c r="F69" t="str">
        <f ca="1">IF(AND(ISNUMBER($F$526),$B$419=1),$F$526,HLOOKUP(INDIRECT(ADDRESS(2,COLUMN())),OFFSET($BN$2,0,0,ROW()-1,60),ROW()-1,FALSE))</f>
        <v/>
      </c>
      <c r="G69">
        <f ca="1">IF(AND(ISNUMBER($G$526),$B$419=1),$G$526,HLOOKUP(INDIRECT(ADDRESS(2,COLUMN())),OFFSET($BN$2,0,0,ROW()-1,60),ROW()-1,FALSE))</f>
        <v>275.541</v>
      </c>
      <c r="H69">
        <f ca="1">IF(AND(ISNUMBER($H$526),$B$419=1),$H$526,HLOOKUP(INDIRECT(ADDRESS(2,COLUMN())),OFFSET($BN$2,0,0,ROW()-1,60),ROW()-1,FALSE))</f>
        <v>267.99099999999999</v>
      </c>
      <c r="I69">
        <f ca="1">IF(AND(ISNUMBER($I$526),$B$419=1),$I$526,HLOOKUP(INDIRECT(ADDRESS(2,COLUMN())),OFFSET($BN$2,0,0,ROW()-1,60),ROW()-1,FALSE))</f>
        <v>276.75200000000001</v>
      </c>
      <c r="J69">
        <f ca="1">IF(AND(ISNUMBER($J$526),$B$419=1),$J$526,HLOOKUP(INDIRECT(ADDRESS(2,COLUMN())),OFFSET($BN$2,0,0,ROW()-1,60),ROW()-1,FALSE))</f>
        <v>276.34399999999999</v>
      </c>
      <c r="K69">
        <f ca="1">IF(AND(ISNUMBER($K$526),$B$419=1),$K$526,HLOOKUP(INDIRECT(ADDRESS(2,COLUMN())),OFFSET($BN$2,0,0,ROW()-1,60),ROW()-1,FALSE))</f>
        <v>279.541</v>
      </c>
      <c r="L69">
        <f ca="1">IF(AND(ISNUMBER($L$526),$B$419=1),$L$526,HLOOKUP(INDIRECT(ADDRESS(2,COLUMN())),OFFSET($BN$2,0,0,ROW()-1,60),ROW()-1,FALSE))</f>
        <v>269.51600000000002</v>
      </c>
      <c r="M69">
        <f ca="1">IF(AND(ISNUMBER($M$526),$B$419=1),$M$526,HLOOKUP(INDIRECT(ADDRESS(2,COLUMN())),OFFSET($BN$2,0,0,ROW()-1,60),ROW()-1,FALSE))</f>
        <v>268.65499999999997</v>
      </c>
      <c r="N69">
        <f ca="1">IF(AND(ISNUMBER($N$526),$B$419=1),$N$526,HLOOKUP(INDIRECT(ADDRESS(2,COLUMN())),OFFSET($BN$2,0,0,ROW()-1,60),ROW()-1,FALSE))</f>
        <v>276.46699999999998</v>
      </c>
      <c r="O69">
        <f ca="1">IF(AND(ISNUMBER($O$526),$B$419=1),$O$526,HLOOKUP(INDIRECT(ADDRESS(2,COLUMN())),OFFSET($BN$2,0,0,ROW()-1,60),ROW()-1,FALSE))</f>
        <v>279.30500000000001</v>
      </c>
      <c r="P69">
        <f ca="1">IF(AND(ISNUMBER($P$526),$B$419=1),$P$526,HLOOKUP(INDIRECT(ADDRESS(2,COLUMN())),OFFSET($BN$2,0,0,ROW()-1,60),ROW()-1,FALSE))</f>
        <v>265.661</v>
      </c>
      <c r="Q69">
        <f ca="1">IF(AND(ISNUMBER($Q$526),$B$419=1),$Q$526,HLOOKUP(INDIRECT(ADDRESS(2,COLUMN())),OFFSET($BN$2,0,0,ROW()-1,60),ROW()-1,FALSE))</f>
        <v>265.56799999999998</v>
      </c>
      <c r="R69">
        <f ca="1">IF(AND(ISNUMBER($R$526),$B$419=1),$R$526,HLOOKUP(INDIRECT(ADDRESS(2,COLUMN())),OFFSET($BN$2,0,0,ROW()-1,60),ROW()-1,FALSE))</f>
        <v>269.13499999999999</v>
      </c>
      <c r="S69">
        <f ca="1">IF(AND(ISNUMBER($S$526),$B$419=1),$S$526,HLOOKUP(INDIRECT(ADDRESS(2,COLUMN())),OFFSET($BN$2,0,0,ROW()-1,60),ROW()-1,FALSE))</f>
        <v>266.13499999999999</v>
      </c>
      <c r="T69">
        <f ca="1">IF(AND(ISNUMBER($T$526),$B$419=1),$T$526,HLOOKUP(INDIRECT(ADDRESS(2,COLUMN())),OFFSET($BN$2,0,0,ROW()-1,60),ROW()-1,FALSE))</f>
        <v>259.95299999999997</v>
      </c>
      <c r="U69">
        <f ca="1">IF(AND(ISNUMBER($U$526),$B$419=1),$U$526,HLOOKUP(INDIRECT(ADDRESS(2,COLUMN())),OFFSET($BN$2,0,0,ROW()-1,60),ROW()-1,FALSE))</f>
        <v>261.83</v>
      </c>
      <c r="V69">
        <f ca="1">IF(AND(ISNUMBER($V$526),$B$419=1),$V$526,HLOOKUP(INDIRECT(ADDRESS(2,COLUMN())),OFFSET($BN$2,0,0,ROW()-1,60),ROW()-1,FALSE))</f>
        <v>261.32799999999997</v>
      </c>
      <c r="W69">
        <f ca="1">IF(AND(ISNUMBER($W$526),$B$419=1),$W$526,HLOOKUP(INDIRECT(ADDRESS(2,COLUMN())),OFFSET($BN$2,0,0,ROW()-1,60),ROW()-1,FALSE))</f>
        <v>253.19200000000001</v>
      </c>
      <c r="X69">
        <f ca="1">IF(AND(ISNUMBER($X$526),$B$419=1),$X$526,HLOOKUP(INDIRECT(ADDRESS(2,COLUMN())),OFFSET($BN$2,0,0,ROW()-1,60),ROW()-1,FALSE))</f>
        <v>241.82900000000001</v>
      </c>
      <c r="Y69">
        <f ca="1">IF(AND(ISNUMBER($Y$526),$B$419=1),$Y$526,HLOOKUP(INDIRECT(ADDRESS(2,COLUMN())),OFFSET($BN$2,0,0,ROW()-1,60),ROW()-1,FALSE))</f>
        <v>234.61199999999999</v>
      </c>
      <c r="Z69">
        <f ca="1">IF(AND(ISNUMBER($Z$526),$B$419=1),$Z$526,HLOOKUP(INDIRECT(ADDRESS(2,COLUMN())),OFFSET($BN$2,0,0,ROW()-1,60),ROW()-1,FALSE))</f>
        <v>232.46100000000001</v>
      </c>
      <c r="AA69">
        <f ca="1">IF(AND(ISNUMBER($AA$526),$B$419=1),$AA$526,HLOOKUP(INDIRECT(ADDRESS(2,COLUMN())),OFFSET($BN$2,0,0,ROW()-1,60),ROW()-1,FALSE))</f>
        <v>241.54900000000001</v>
      </c>
      <c r="AB69">
        <f ca="1">IF(AND(ISNUMBER($AB$526),$B$419=1),$AB$526,HLOOKUP(INDIRECT(ADDRESS(2,COLUMN())),OFFSET($BN$2,0,0,ROW()-1,60),ROW()-1,FALSE))</f>
        <v>238.10900000000001</v>
      </c>
      <c r="AC69">
        <f ca="1">IF(AND(ISNUMBER($AC$526),$B$419=1),$AC$526,HLOOKUP(INDIRECT(ADDRESS(2,COLUMN())),OFFSET($BN$2,0,0,ROW()-1,60),ROW()-1,FALSE))</f>
        <v>233.768</v>
      </c>
      <c r="AD69">
        <f ca="1">IF(AND(ISNUMBER($AD$526),$B$419=1),$AD$526,HLOOKUP(INDIRECT(ADDRESS(2,COLUMN())),OFFSET($BN$2,0,0,ROW()-1,60),ROW()-1,FALSE))</f>
        <v>235.91499999999999</v>
      </c>
      <c r="AE69" t="str">
        <f ca="1">IF(AND(ISNUMBER($AE$526),$B$419=1),$AE$526,HLOOKUP(INDIRECT(ADDRESS(2,COLUMN())),OFFSET($BN$2,0,0,ROW()-1,60),ROW()-1,FALSE))</f>
        <v/>
      </c>
      <c r="AF69" t="str">
        <f ca="1">IF(AND(ISNUMBER($AF$526),$B$419=1),$AF$526,HLOOKUP(INDIRECT(ADDRESS(2,COLUMN())),OFFSET($BN$2,0,0,ROW()-1,60),ROW()-1,FALSE))</f>
        <v/>
      </c>
      <c r="AG69" t="str">
        <f ca="1">IF(AND(ISNUMBER($AG$526),$B$419=1),$AG$526,HLOOKUP(INDIRECT(ADDRESS(2,COLUMN())),OFFSET($BN$2,0,0,ROW()-1,60),ROW()-1,FALSE))</f>
        <v/>
      </c>
      <c r="AH69" t="str">
        <f ca="1">IF(AND(ISNUMBER($AH$526),$B$419=1),$AH$526,HLOOKUP(INDIRECT(ADDRESS(2,COLUMN())),OFFSET($BN$2,0,0,ROW()-1,60),ROW()-1,FALSE))</f>
        <v/>
      </c>
      <c r="AI69" t="str">
        <f ca="1">IF(AND(ISNUMBER($AI$526),$B$419=1),$AI$526,HLOOKUP(INDIRECT(ADDRESS(2,COLUMN())),OFFSET($BN$2,0,0,ROW()-1,60),ROW()-1,FALSE))</f>
        <v/>
      </c>
      <c r="AJ69" t="str">
        <f ca="1">IF(AND(ISNUMBER($AJ$526),$B$419=1),$AJ$526,HLOOKUP(INDIRECT(ADDRESS(2,COLUMN())),OFFSET($BN$2,0,0,ROW()-1,60),ROW()-1,FALSE))</f>
        <v/>
      </c>
      <c r="AK69" t="str">
        <f ca="1">IF(AND(ISNUMBER($AK$526),$B$419=1),$AK$526,HLOOKUP(INDIRECT(ADDRESS(2,COLUMN())),OFFSET($BN$2,0,0,ROW()-1,60),ROW()-1,FALSE))</f>
        <v/>
      </c>
      <c r="AL69" t="str">
        <f ca="1">IF(AND(ISNUMBER($AL$526),$B$419=1),$AL$526,HLOOKUP(INDIRECT(ADDRESS(2,COLUMN())),OFFSET($BN$2,0,0,ROW()-1,60),ROW()-1,FALSE))</f>
        <v/>
      </c>
      <c r="AM69" t="str">
        <f ca="1">IF(AND(ISNUMBER($AM$526),$B$419=1),$AM$526,HLOOKUP(INDIRECT(ADDRESS(2,COLUMN())),OFFSET($BN$2,0,0,ROW()-1,60),ROW()-1,FALSE))</f>
        <v/>
      </c>
      <c r="AN69" t="str">
        <f ca="1">IF(AND(ISNUMBER($AN$526),$B$419=1),$AN$526,HLOOKUP(INDIRECT(ADDRESS(2,COLUMN())),OFFSET($BN$2,0,0,ROW()-1,60),ROW()-1,FALSE))</f>
        <v/>
      </c>
      <c r="AO69" t="str">
        <f ca="1">IF(AND(ISNUMBER($AO$526),$B$419=1),$AO$526,HLOOKUP(INDIRECT(ADDRESS(2,COLUMN())),OFFSET($BN$2,0,0,ROW()-1,60),ROW()-1,FALSE))</f>
        <v/>
      </c>
      <c r="AP69" t="str">
        <f ca="1">IF(AND(ISNUMBER($AP$526),$B$419=1),$AP$526,HLOOKUP(INDIRECT(ADDRESS(2,COLUMN())),OFFSET($BN$2,0,0,ROW()-1,60),ROW()-1,FALSE))</f>
        <v/>
      </c>
      <c r="AQ69" t="str">
        <f ca="1">IF(AND(ISNUMBER($AQ$526),$B$419=1),$AQ$526,HLOOKUP(INDIRECT(ADDRESS(2,COLUMN())),OFFSET($BN$2,0,0,ROW()-1,60),ROW()-1,FALSE))</f>
        <v/>
      </c>
      <c r="AR69" t="str">
        <f ca="1">IF(AND(ISNUMBER($AR$526),$B$419=1),$AR$526,HLOOKUP(INDIRECT(ADDRESS(2,COLUMN())),OFFSET($BN$2,0,0,ROW()-1,60),ROW()-1,FALSE))</f>
        <v/>
      </c>
      <c r="AS69" t="str">
        <f ca="1">IF(AND(ISNUMBER($AS$526),$B$419=1),$AS$526,HLOOKUP(INDIRECT(ADDRESS(2,COLUMN())),OFFSET($BN$2,0,0,ROW()-1,60),ROW()-1,FALSE))</f>
        <v/>
      </c>
      <c r="AT69" t="str">
        <f ca="1">IF(AND(ISNUMBER($AT$526),$B$419=1),$AT$526,HLOOKUP(INDIRECT(ADDRESS(2,COLUMN())),OFFSET($BN$2,0,0,ROW()-1,60),ROW()-1,FALSE))</f>
        <v/>
      </c>
      <c r="AU69" t="str">
        <f ca="1">IF(AND(ISNUMBER($AU$526),$B$419=1),$AU$526,HLOOKUP(INDIRECT(ADDRESS(2,COLUMN())),OFFSET($BN$2,0,0,ROW()-1,60),ROW()-1,FALSE))</f>
        <v/>
      </c>
      <c r="AV69" t="str">
        <f ca="1">IF(AND(ISNUMBER($AV$526),$B$419=1),$AV$526,HLOOKUP(INDIRECT(ADDRESS(2,COLUMN())),OFFSET($BN$2,0,0,ROW()-1,60),ROW()-1,FALSE))</f>
        <v/>
      </c>
      <c r="AW69" t="str">
        <f ca="1">IF(AND(ISNUMBER($AW$526),$B$419=1),$AW$526,HLOOKUP(INDIRECT(ADDRESS(2,COLUMN())),OFFSET($BN$2,0,0,ROW()-1,60),ROW()-1,FALSE))</f>
        <v/>
      </c>
      <c r="AX69" t="str">
        <f ca="1">IF(AND(ISNUMBER($AX$526),$B$419=1),$AX$526,HLOOKUP(INDIRECT(ADDRESS(2,COLUMN())),OFFSET($BN$2,0,0,ROW()-1,60),ROW()-1,FALSE))</f>
        <v/>
      </c>
      <c r="AY69" t="str">
        <f ca="1">IF(AND(ISNUMBER($AY$526),$B$419=1),$AY$526,HLOOKUP(INDIRECT(ADDRESS(2,COLUMN())),OFFSET($BN$2,0,0,ROW()-1,60),ROW()-1,FALSE))</f>
        <v/>
      </c>
      <c r="AZ69" t="str">
        <f ca="1">IF(AND(ISNUMBER($AZ$526),$B$419=1),$AZ$526,HLOOKUP(INDIRECT(ADDRESS(2,COLUMN())),OFFSET($BN$2,0,0,ROW()-1,60),ROW()-1,FALSE))</f>
        <v/>
      </c>
      <c r="BA69" t="str">
        <f ca="1">IF(AND(ISNUMBER($BA$526),$B$419=1),$BA$526,HLOOKUP(INDIRECT(ADDRESS(2,COLUMN())),OFFSET($BN$2,0,0,ROW()-1,60),ROW()-1,FALSE))</f>
        <v/>
      </c>
      <c r="BB69" t="str">
        <f ca="1">IF(AND(ISNUMBER($BB$526),$B$419=1),$BB$526,HLOOKUP(INDIRECT(ADDRESS(2,COLUMN())),OFFSET($BN$2,0,0,ROW()-1,60),ROW()-1,FALSE))</f>
        <v/>
      </c>
      <c r="BC69" t="str">
        <f ca="1">IF(AND(ISNUMBER($BC$526),$B$419=1),$BC$526,HLOOKUP(INDIRECT(ADDRESS(2,COLUMN())),OFFSET($BN$2,0,0,ROW()-1,60),ROW()-1,FALSE))</f>
        <v/>
      </c>
      <c r="BD69" t="str">
        <f ca="1">IF(AND(ISNUMBER($BD$526),$B$419=1),$BD$526,HLOOKUP(INDIRECT(ADDRESS(2,COLUMN())),OFFSET($BN$2,0,0,ROW()-1,60),ROW()-1,FALSE))</f>
        <v/>
      </c>
      <c r="BE69" t="str">
        <f ca="1">IF(AND(ISNUMBER($BE$526),$B$419=1),$BE$526,HLOOKUP(INDIRECT(ADDRESS(2,COLUMN())),OFFSET($BN$2,0,0,ROW()-1,60),ROW()-1,FALSE))</f>
        <v/>
      </c>
      <c r="BF69" t="str">
        <f ca="1">IF(AND(ISNUMBER($BF$526),$B$419=1),$BF$526,HLOOKUP(INDIRECT(ADDRESS(2,COLUMN())),OFFSET($BN$2,0,0,ROW()-1,60),ROW()-1,FALSE))</f>
        <v/>
      </c>
      <c r="BG69" t="str">
        <f ca="1">IF(AND(ISNUMBER($BG$526),$B$419=1),$BG$526,HLOOKUP(INDIRECT(ADDRESS(2,COLUMN())),OFFSET($BN$2,0,0,ROW()-1,60),ROW()-1,FALSE))</f>
        <v/>
      </c>
      <c r="BH69" t="str">
        <f ca="1">IF(AND(ISNUMBER($BH$526),$B$419=1),$BH$526,HLOOKUP(INDIRECT(ADDRESS(2,COLUMN())),OFFSET($BN$2,0,0,ROW()-1,60),ROW()-1,FALSE))</f>
        <v/>
      </c>
      <c r="BI69" t="str">
        <f ca="1">IF(AND(ISNUMBER($BI$526),$B$419=1),$BI$526,HLOOKUP(INDIRECT(ADDRESS(2,COLUMN())),OFFSET($BN$2,0,0,ROW()-1,60),ROW()-1,FALSE))</f>
        <v/>
      </c>
      <c r="BJ69" t="str">
        <f ca="1">IF(AND(ISNUMBER($BJ$526),$B$419=1),$BJ$526,HLOOKUP(INDIRECT(ADDRESS(2,COLUMN())),OFFSET($BN$2,0,0,ROW()-1,60),ROW()-1,FALSE))</f>
        <v/>
      </c>
      <c r="BK69" t="str">
        <f ca="1">IF(AND(ISNUMBER($BK$526),$B$419=1),$BK$526,HLOOKUP(INDIRECT(ADDRESS(2,COLUMN())),OFFSET($BN$2,0,0,ROW()-1,60),ROW()-1,FALSE))</f>
        <v/>
      </c>
      <c r="BL69" t="str">
        <f ca="1">IF(AND(ISNUMBER($BL$526),$B$419=1),$BL$526,HLOOKUP(INDIRECT(ADDRESS(2,COLUMN())),OFFSET($BN$2,0,0,ROW()-1,60),ROW()-1,FALSE))</f>
        <v/>
      </c>
      <c r="BM69" t="str">
        <f ca="1">IF(AND(ISNUMBER($BM$526),$B$419=1),$BM$526,HLOOKUP(INDIRECT(ADDRESS(2,COLUMN())),OFFSET($BN$2,0,0,ROW()-1,60),ROW()-1,FALSE))</f>
        <v/>
      </c>
      <c r="BN69" t="str">
        <f>""</f>
        <v/>
      </c>
      <c r="BO69">
        <f>275.541</f>
        <v>275.541</v>
      </c>
      <c r="BP69">
        <f>267.991</f>
        <v>267.99099999999999</v>
      </c>
      <c r="BQ69">
        <f>276.752</f>
        <v>276.75200000000001</v>
      </c>
      <c r="BR69">
        <f>276.344</f>
        <v>276.34399999999999</v>
      </c>
      <c r="BS69">
        <f>279.541</f>
        <v>279.541</v>
      </c>
      <c r="BT69">
        <f>269.516</f>
        <v>269.51600000000002</v>
      </c>
      <c r="BU69">
        <f>268.655</f>
        <v>268.65499999999997</v>
      </c>
      <c r="BV69">
        <f>276.467</f>
        <v>276.46699999999998</v>
      </c>
      <c r="BW69">
        <f>279.305</f>
        <v>279.30500000000001</v>
      </c>
      <c r="BX69">
        <f>265.661</f>
        <v>265.661</v>
      </c>
      <c r="BY69">
        <f>265.568</f>
        <v>265.56799999999998</v>
      </c>
      <c r="BZ69">
        <f>269.135</f>
        <v>269.13499999999999</v>
      </c>
      <c r="CA69">
        <f>266.135</f>
        <v>266.13499999999999</v>
      </c>
      <c r="CB69">
        <f>259.953</f>
        <v>259.95299999999997</v>
      </c>
      <c r="CC69">
        <f>261.83</f>
        <v>261.83</v>
      </c>
      <c r="CD69">
        <f>261.328</f>
        <v>261.32799999999997</v>
      </c>
      <c r="CE69">
        <f>253.192</f>
        <v>253.19200000000001</v>
      </c>
      <c r="CF69">
        <f>241.829</f>
        <v>241.82900000000001</v>
      </c>
      <c r="CG69">
        <f>234.612</f>
        <v>234.61199999999999</v>
      </c>
      <c r="CH69">
        <f>232.461</f>
        <v>232.46100000000001</v>
      </c>
      <c r="CI69">
        <f>241.549</f>
        <v>241.54900000000001</v>
      </c>
      <c r="CJ69">
        <f>238.109</f>
        <v>238.10900000000001</v>
      </c>
      <c r="CK69">
        <f>233.768</f>
        <v>233.768</v>
      </c>
      <c r="CL69">
        <f>235.915</f>
        <v>235.91499999999999</v>
      </c>
      <c r="CM69" t="str">
        <f>""</f>
        <v/>
      </c>
      <c r="CN69" t="str">
        <f>""</f>
        <v/>
      </c>
      <c r="CO69" t="str">
        <f>""</f>
        <v/>
      </c>
      <c r="CP69" t="str">
        <f>""</f>
        <v/>
      </c>
      <c r="CQ69" t="str">
        <f>""</f>
        <v/>
      </c>
      <c r="CR69" t="str">
        <f>""</f>
        <v/>
      </c>
      <c r="CS69" t="str">
        <f>""</f>
        <v/>
      </c>
      <c r="CT69" t="str">
        <f>""</f>
        <v/>
      </c>
      <c r="CU69" t="str">
        <f>""</f>
        <v/>
      </c>
      <c r="CV69" t="str">
        <f>""</f>
        <v/>
      </c>
      <c r="CW69" t="str">
        <f>""</f>
        <v/>
      </c>
      <c r="CX69" t="str">
        <f>""</f>
        <v/>
      </c>
      <c r="CY69" t="str">
        <f>""</f>
        <v/>
      </c>
      <c r="CZ69" t="str">
        <f>""</f>
        <v/>
      </c>
      <c r="DA69" t="str">
        <f>""</f>
        <v/>
      </c>
      <c r="DB69" t="str">
        <f>""</f>
        <v/>
      </c>
      <c r="DC69" t="str">
        <f>""</f>
        <v/>
      </c>
      <c r="DD69" t="str">
        <f>""</f>
        <v/>
      </c>
      <c r="DE69" t="str">
        <f>""</f>
        <v/>
      </c>
      <c r="DF69" t="str">
        <f>""</f>
        <v/>
      </c>
      <c r="DG69" t="str">
        <f>""</f>
        <v/>
      </c>
      <c r="DH69" t="str">
        <f>""</f>
        <v/>
      </c>
      <c r="DI69" t="str">
        <f>""</f>
        <v/>
      </c>
      <c r="DJ69" t="str">
        <f>""</f>
        <v/>
      </c>
      <c r="DK69" t="str">
        <f>""</f>
        <v/>
      </c>
      <c r="DL69" t="str">
        <f>""</f>
        <v/>
      </c>
      <c r="DM69" t="str">
        <f>""</f>
        <v/>
      </c>
      <c r="DN69" t="str">
        <f>""</f>
        <v/>
      </c>
      <c r="DO69" t="str">
        <f>""</f>
        <v/>
      </c>
      <c r="DP69" t="str">
        <f>""</f>
        <v/>
      </c>
      <c r="DQ69" t="str">
        <f>""</f>
        <v/>
      </c>
      <c r="DR69" t="str">
        <f>""</f>
        <v/>
      </c>
      <c r="DS69" t="str">
        <f>""</f>
        <v/>
      </c>
      <c r="DT69" t="str">
        <f>""</f>
        <v/>
      </c>
      <c r="DU69" t="str">
        <f>""</f>
        <v/>
      </c>
    </row>
    <row r="70" spans="1:125">
      <c r="A70" t="str">
        <f>"    CBL &amp; Associates Properties In"</f>
        <v xml:space="preserve">    CBL &amp; Associates Properties In</v>
      </c>
      <c r="B70" t="str">
        <f>"CBL US Equity"</f>
        <v>CBL US Equity</v>
      </c>
      <c r="C70" t="str">
        <f t="shared" si="12"/>
        <v>RR502</v>
      </c>
      <c r="D70" t="str">
        <f t="shared" si="13"/>
        <v>NET_OPER_INCOME</v>
      </c>
      <c r="E70" t="str">
        <f t="shared" si="14"/>
        <v>动态</v>
      </c>
      <c r="F70" t="str">
        <f ca="1">IF(AND(ISNUMBER($F$527),$B$419=1),$F$527,HLOOKUP(INDIRECT(ADDRESS(2,COLUMN())),OFFSET($BN$2,0,0,ROW()-1,60),ROW()-1,FALSE))</f>
        <v/>
      </c>
      <c r="G70">
        <f ca="1">IF(AND(ISNUMBER($G$527),$B$419=1),$G$527,HLOOKUP(INDIRECT(ADDRESS(2,COLUMN())),OFFSET($BN$2,0,0,ROW()-1,60),ROW()-1,FALSE))</f>
        <v>168.12200000000001</v>
      </c>
      <c r="H70">
        <f ca="1">IF(AND(ISNUMBER($H$527),$B$419=1),$H$527,HLOOKUP(INDIRECT(ADDRESS(2,COLUMN())),OFFSET($BN$2,0,0,ROW()-1,60),ROW()-1,FALSE))</f>
        <v>159.27699999999999</v>
      </c>
      <c r="I70">
        <f ca="1">IF(AND(ISNUMBER($I$527),$B$419=1),$I$527,HLOOKUP(INDIRECT(ADDRESS(2,COLUMN())),OFFSET($BN$2,0,0,ROW()-1,60),ROW()-1,FALSE))</f>
        <v>167.44</v>
      </c>
      <c r="J70">
        <f ca="1">IF(AND(ISNUMBER($J$527),$B$419=1),$J$527,HLOOKUP(INDIRECT(ADDRESS(2,COLUMN())),OFFSET($BN$2,0,0,ROW()-1,60),ROW()-1,FALSE))</f>
        <v>166.185</v>
      </c>
      <c r="K70">
        <f ca="1">IF(AND(ISNUMBER($K$527),$B$419=1),$K$527,HLOOKUP(INDIRECT(ADDRESS(2,COLUMN())),OFFSET($BN$2,0,0,ROW()-1,60),ROW()-1,FALSE))</f>
        <v>187.715</v>
      </c>
      <c r="L70">
        <f ca="1">IF(AND(ISNUMBER($L$527),$B$419=1),$L$527,HLOOKUP(INDIRECT(ADDRESS(2,COLUMN())),OFFSET($BN$2,0,0,ROW()-1,60),ROW()-1,FALSE))</f>
        <v>174.357</v>
      </c>
      <c r="M70">
        <f ca="1">IF(AND(ISNUMBER($M$527),$B$419=1),$M$527,HLOOKUP(INDIRECT(ADDRESS(2,COLUMN())),OFFSET($BN$2,0,0,ROW()-1,60),ROW()-1,FALSE))</f>
        <v>183.20599999999999</v>
      </c>
      <c r="N70">
        <f ca="1">IF(AND(ISNUMBER($N$527),$B$419=1),$N$527,HLOOKUP(INDIRECT(ADDRESS(2,COLUMN())),OFFSET($BN$2,0,0,ROW()-1,60),ROW()-1,FALSE))</f>
        <v>180.107</v>
      </c>
      <c r="O70">
        <f ca="1">IF(AND(ISNUMBER($O$527),$B$419=1),$O$527,HLOOKUP(INDIRECT(ADDRESS(2,COLUMN())),OFFSET($BN$2,0,0,ROW()-1,60),ROW()-1,FALSE))</f>
        <v>202.72800000000001</v>
      </c>
      <c r="P70">
        <f ca="1">IF(AND(ISNUMBER($P$527),$B$419=1),$P$527,HLOOKUP(INDIRECT(ADDRESS(2,COLUMN())),OFFSET($BN$2,0,0,ROW()-1,60),ROW()-1,FALSE))</f>
        <v>181.744</v>
      </c>
      <c r="Q70">
        <f ca="1">IF(AND(ISNUMBER($Q$527),$B$419=1),$Q$527,HLOOKUP(INDIRECT(ADDRESS(2,COLUMN())),OFFSET($BN$2,0,0,ROW()-1,60),ROW()-1,FALSE))</f>
        <v>178.32599999999999</v>
      </c>
      <c r="R70">
        <f ca="1">IF(AND(ISNUMBER($R$527),$B$419=1),$R$527,HLOOKUP(INDIRECT(ADDRESS(2,COLUMN())),OFFSET($BN$2,0,0,ROW()-1,60),ROW()-1,FALSE))</f>
        <v>177.39500000000001</v>
      </c>
      <c r="S70">
        <f ca="1">IF(AND(ISNUMBER($S$527),$B$419=1),$S$527,HLOOKUP(INDIRECT(ADDRESS(2,COLUMN())),OFFSET($BN$2,0,0,ROW()-1,60),ROW()-1,FALSE))</f>
        <v>198.958</v>
      </c>
      <c r="T70">
        <f ca="1">IF(AND(ISNUMBER($T$527),$B$419=1),$T$527,HLOOKUP(INDIRECT(ADDRESS(2,COLUMN())),OFFSET($BN$2,0,0,ROW()-1,60),ROW()-1,FALSE))</f>
        <v>179.05500000000001</v>
      </c>
      <c r="U70">
        <f ca="1">IF(AND(ISNUMBER($U$527),$B$419=1),$U$527,HLOOKUP(INDIRECT(ADDRESS(2,COLUMN())),OFFSET($BN$2,0,0,ROW()-1,60),ROW()-1,FALSE))</f>
        <v>177.416</v>
      </c>
      <c r="V70">
        <f ca="1">IF(AND(ISNUMBER($V$527),$B$419=1),$V$527,HLOOKUP(INDIRECT(ADDRESS(2,COLUMN())),OFFSET($BN$2,0,0,ROW()-1,60),ROW()-1,FALSE))</f>
        <v>175.995</v>
      </c>
      <c r="W70">
        <f ca="1">IF(AND(ISNUMBER($W$527),$B$419=1),$W$527,HLOOKUP(INDIRECT(ADDRESS(2,COLUMN())),OFFSET($BN$2,0,0,ROW()-1,60),ROW()-1,FALSE))</f>
        <v>196.584</v>
      </c>
      <c r="X70">
        <f ca="1">IF(AND(ISNUMBER($X$527),$B$419=1),$X$527,HLOOKUP(INDIRECT(ADDRESS(2,COLUMN())),OFFSET($BN$2,0,0,ROW()-1,60),ROW()-1,FALSE))</f>
        <v>173.66200000000001</v>
      </c>
      <c r="Y70">
        <f ca="1">IF(AND(ISNUMBER($Y$527),$B$419=1),$Y$527,HLOOKUP(INDIRECT(ADDRESS(2,COLUMN())),OFFSET($BN$2,0,0,ROW()-1,60),ROW()-1,FALSE))</f>
        <v>177.60300000000001</v>
      </c>
      <c r="Z70">
        <f ca="1">IF(AND(ISNUMBER($Z$527),$B$419=1),$Z$527,HLOOKUP(INDIRECT(ADDRESS(2,COLUMN())),OFFSET($BN$2,0,0,ROW()-1,60),ROW()-1,FALSE))</f>
        <v>174.89599999999999</v>
      </c>
      <c r="AA70">
        <f ca="1">IF(AND(ISNUMBER($AA$527),$B$419=1),$AA$527,HLOOKUP(INDIRECT(ADDRESS(2,COLUMN())),OFFSET($BN$2,0,0,ROW()-1,60),ROW()-1,FALSE))</f>
        <v>194.95099999999999</v>
      </c>
      <c r="AB70">
        <f ca="1">IF(AND(ISNUMBER($AB$527),$B$419=1),$AB$527,HLOOKUP(INDIRECT(ADDRESS(2,COLUMN())),OFFSET($BN$2,0,0,ROW()-1,60),ROW()-1,FALSE))</f>
        <v>170.46100000000001</v>
      </c>
      <c r="AC70">
        <f ca="1">IF(AND(ISNUMBER($AC$527),$B$419=1),$AC$527,HLOOKUP(INDIRECT(ADDRESS(2,COLUMN())),OFFSET($BN$2,0,0,ROW()-1,60),ROW()-1,FALSE))</f>
        <v>172.25800000000001</v>
      </c>
      <c r="AD70">
        <f ca="1">IF(AND(ISNUMBER($AD$527),$B$419=1),$AD$527,HLOOKUP(INDIRECT(ADDRESS(2,COLUMN())),OFFSET($BN$2,0,0,ROW()-1,60),ROW()-1,FALSE))</f>
        <v>166.458</v>
      </c>
      <c r="AE70">
        <f ca="1">IF(AND(ISNUMBER($AE$527),$B$419=1),$AE$527,HLOOKUP(INDIRECT(ADDRESS(2,COLUMN())),OFFSET($BN$2,0,0,ROW()-1,60),ROW()-1,FALSE))</f>
        <v>186.06</v>
      </c>
      <c r="AF70">
        <f ca="1">IF(AND(ISNUMBER($AF$527),$B$419=1),$AF$527,HLOOKUP(INDIRECT(ADDRESS(2,COLUMN())),OFFSET($BN$2,0,0,ROW()-1,60),ROW()-1,FALSE))</f>
        <v>183.08600000000001</v>
      </c>
      <c r="AG70">
        <f ca="1">IF(AND(ISNUMBER($AG$527),$B$419=1),$AG$527,HLOOKUP(INDIRECT(ADDRESS(2,COLUMN())),OFFSET($BN$2,0,0,ROW()-1,60),ROW()-1,FALSE))</f>
        <v>178.37</v>
      </c>
      <c r="AH70">
        <f ca="1">IF(AND(ISNUMBER($AH$527),$B$419=1),$AH$527,HLOOKUP(INDIRECT(ADDRESS(2,COLUMN())),OFFSET($BN$2,0,0,ROW()-1,60),ROW()-1,FALSE))</f>
        <v>177.316</v>
      </c>
      <c r="AI70">
        <f ca="1">IF(AND(ISNUMBER($AI$527),$B$419=1),$AI$527,HLOOKUP(INDIRECT(ADDRESS(2,COLUMN())),OFFSET($BN$2,0,0,ROW()-1,60),ROW()-1,FALSE))</f>
        <v>202.98400000000001</v>
      </c>
      <c r="AJ70">
        <f ca="1">IF(AND(ISNUMBER($AJ$527),$B$419=1),$AJ$527,HLOOKUP(INDIRECT(ADDRESS(2,COLUMN())),OFFSET($BN$2,0,0,ROW()-1,60),ROW()-1,FALSE))</f>
        <v>178.42400000000001</v>
      </c>
      <c r="AK70">
        <f ca="1">IF(AND(ISNUMBER($AK$527),$B$419=1),$AK$527,HLOOKUP(INDIRECT(ADDRESS(2,COLUMN())),OFFSET($BN$2,0,0,ROW()-1,60),ROW()-1,FALSE))</f>
        <v>176.25399999999999</v>
      </c>
      <c r="AL70">
        <f ca="1">IF(AND(ISNUMBER($AL$527),$B$419=1),$AL$527,HLOOKUP(INDIRECT(ADDRESS(2,COLUMN())),OFFSET($BN$2,0,0,ROW()-1,60),ROW()-1,FALSE))</f>
        <v>176.71299999999999</v>
      </c>
      <c r="AM70">
        <f ca="1">IF(AND(ISNUMBER($AM$527),$B$419=1),$AM$527,HLOOKUP(INDIRECT(ADDRESS(2,COLUMN())),OFFSET($BN$2,0,0,ROW()-1,60),ROW()-1,FALSE))</f>
        <v>204.06399999999999</v>
      </c>
      <c r="AN70">
        <f ca="1">IF(AND(ISNUMBER($AN$527),$B$419=1),$AN$527,HLOOKUP(INDIRECT(ADDRESS(2,COLUMN())),OFFSET($BN$2,0,0,ROW()-1,60),ROW()-1,FALSE))</f>
        <v>175.47399999999999</v>
      </c>
      <c r="AO70">
        <f ca="1">IF(AND(ISNUMBER($AO$527),$B$419=1),$AO$527,HLOOKUP(INDIRECT(ADDRESS(2,COLUMN())),OFFSET($BN$2,0,0,ROW()-1,60),ROW()-1,FALSE))</f>
        <v>182.327</v>
      </c>
      <c r="AP70">
        <f ca="1">IF(AND(ISNUMBER($AP$527),$B$419=1),$AP$527,HLOOKUP(INDIRECT(ADDRESS(2,COLUMN())),OFFSET($BN$2,0,0,ROW()-1,60),ROW()-1,FALSE))</f>
        <v>180.80500000000001</v>
      </c>
      <c r="AQ70">
        <f ca="1">IF(AND(ISNUMBER($AQ$527),$B$419=1),$AQ$527,HLOOKUP(INDIRECT(ADDRESS(2,COLUMN())),OFFSET($BN$2,0,0,ROW()-1,60),ROW()-1,FALSE))</f>
        <v>203.63300000000001</v>
      </c>
      <c r="AR70">
        <f ca="1">IF(AND(ISNUMBER($AR$527),$B$419=1),$AR$527,HLOOKUP(INDIRECT(ADDRESS(2,COLUMN())),OFFSET($BN$2,0,0,ROW()-1,60),ROW()-1,FALSE))</f>
        <v>191.89400000000001</v>
      </c>
      <c r="AS70">
        <f ca="1">IF(AND(ISNUMBER($AS$527),$B$419=1),$AS$527,HLOOKUP(INDIRECT(ADDRESS(2,COLUMN())),OFFSET($BN$2,0,0,ROW()-1,60),ROW()-1,FALSE))</f>
        <v>183.19800000000001</v>
      </c>
      <c r="AT70">
        <f ca="1">IF(AND(ISNUMBER($AT$527),$B$419=1),$AT$527,HLOOKUP(INDIRECT(ADDRESS(2,COLUMN())),OFFSET($BN$2,0,0,ROW()-1,60),ROW()-1,FALSE))</f>
        <v>183.51499999999999</v>
      </c>
      <c r="AU70">
        <f ca="1">IF(AND(ISNUMBER($AU$527),$B$419=1),$AU$527,HLOOKUP(INDIRECT(ADDRESS(2,COLUMN())),OFFSET($BN$2,0,0,ROW()-1,60),ROW()-1,FALSE))</f>
        <v>202.83600000000001</v>
      </c>
      <c r="AV70">
        <f ca="1">IF(AND(ISNUMBER($AV$527),$B$419=1),$AV$527,HLOOKUP(INDIRECT(ADDRESS(2,COLUMN())),OFFSET($BN$2,0,0,ROW()-1,60),ROW()-1,FALSE))</f>
        <v>168.09</v>
      </c>
      <c r="AW70">
        <f ca="1">IF(AND(ISNUMBER($AW$527),$B$419=1),$AW$527,HLOOKUP(INDIRECT(ADDRESS(2,COLUMN())),OFFSET($BN$2,0,0,ROW()-1,60),ROW()-1,FALSE))</f>
        <v>166.97</v>
      </c>
      <c r="AX70">
        <f ca="1">IF(AND(ISNUMBER($AX$527),$B$419=1),$AX$527,HLOOKUP(INDIRECT(ADDRESS(2,COLUMN())),OFFSET($BN$2,0,0,ROW()-1,60),ROW()-1,FALSE))</f>
        <v>165.036</v>
      </c>
      <c r="AY70">
        <f ca="1">IF(AND(ISNUMBER($AY$527),$B$419=1),$AY$527,HLOOKUP(INDIRECT(ADDRESS(2,COLUMN())),OFFSET($BN$2,0,0,ROW()-1,60),ROW()-1,FALSE))</f>
        <v>187.13900000000001</v>
      </c>
      <c r="AZ70">
        <f ca="1">IF(AND(ISNUMBER($AZ$527),$B$419=1),$AZ$527,HLOOKUP(INDIRECT(ADDRESS(2,COLUMN())),OFFSET($BN$2,0,0,ROW()-1,60),ROW()-1,FALSE))</f>
        <v>164.58799999999999</v>
      </c>
      <c r="BA70">
        <f ca="1">IF(AND(ISNUMBER($BA$527),$B$419=1),$BA$527,HLOOKUP(INDIRECT(ADDRESS(2,COLUMN())),OFFSET($BN$2,0,0,ROW()-1,60),ROW()-1,FALSE))</f>
        <v>159.35599999999999</v>
      </c>
      <c r="BB70">
        <f ca="1">IF(AND(ISNUMBER($BB$527),$B$419=1),$BB$527,HLOOKUP(INDIRECT(ADDRESS(2,COLUMN())),OFFSET($BN$2,0,0,ROW()-1,60),ROW()-1,FALSE))</f>
        <v>166.75800000000001</v>
      </c>
      <c r="BC70">
        <f ca="1">IF(AND(ISNUMBER($BC$527),$B$419=1),$BC$527,HLOOKUP(INDIRECT(ADDRESS(2,COLUMN())),OFFSET($BN$2,0,0,ROW()-1,60),ROW()-1,FALSE))</f>
        <v>178.75299999999999</v>
      </c>
      <c r="BD70">
        <f ca="1">IF(AND(ISNUMBER($BD$527),$B$419=1),$BD$527,HLOOKUP(INDIRECT(ADDRESS(2,COLUMN())),OFFSET($BN$2,0,0,ROW()-1,60),ROW()-1,FALSE))</f>
        <v>154.38900000000001</v>
      </c>
      <c r="BE70">
        <f ca="1">IF(AND(ISNUMBER($BE$527),$B$419=1),$BE$527,HLOOKUP(INDIRECT(ADDRESS(2,COLUMN())),OFFSET($BN$2,0,0,ROW()-1,60),ROW()-1,FALSE))</f>
        <v>138.54599999999999</v>
      </c>
      <c r="BF70">
        <f ca="1">IF(AND(ISNUMBER($BF$527),$B$419=1),$BF$527,HLOOKUP(INDIRECT(ADDRESS(2,COLUMN())),OFFSET($BN$2,0,0,ROW()-1,60),ROW()-1,FALSE))</f>
        <v>146.70400000000001</v>
      </c>
      <c r="BG70">
        <f ca="1">IF(AND(ISNUMBER($BG$527),$B$419=1),$BG$527,HLOOKUP(INDIRECT(ADDRESS(2,COLUMN())),OFFSET($BN$2,0,0,ROW()-1,60),ROW()-1,FALSE))</f>
        <v>155.54</v>
      </c>
      <c r="BH70">
        <f ca="1">IF(AND(ISNUMBER($BH$527),$B$419=1),$BH$527,HLOOKUP(INDIRECT(ADDRESS(2,COLUMN())),OFFSET($BN$2,0,0,ROW()-1,60),ROW()-1,FALSE))</f>
        <v>129.80099999999999</v>
      </c>
      <c r="BI70">
        <f ca="1">IF(AND(ISNUMBER($BI$527),$B$419=1),$BI$527,HLOOKUP(INDIRECT(ADDRESS(2,COLUMN())),OFFSET($BN$2,0,0,ROW()-1,60),ROW()-1,FALSE))</f>
        <v>119.035005</v>
      </c>
      <c r="BJ70">
        <f ca="1">IF(AND(ISNUMBER($BJ$527),$B$419=1),$BJ$527,HLOOKUP(INDIRECT(ADDRESS(2,COLUMN())),OFFSET($BN$2,0,0,ROW()-1,60),ROW()-1,FALSE))</f>
        <v>117.302004</v>
      </c>
      <c r="BK70">
        <f ca="1">IF(AND(ISNUMBER($BK$527),$B$419=1),$BK$527,HLOOKUP(INDIRECT(ADDRESS(2,COLUMN())),OFFSET($BN$2,0,0,ROW()-1,60),ROW()-1,FALSE))</f>
        <v>125.640001</v>
      </c>
      <c r="BL70">
        <f ca="1">IF(AND(ISNUMBER($BL$527),$B$419=1),$BL$527,HLOOKUP(INDIRECT(ADDRESS(2,COLUMN())),OFFSET($BN$2,0,0,ROW()-1,60),ROW()-1,FALSE))</f>
        <v>112.213004</v>
      </c>
      <c r="BM70">
        <f ca="1">IF(AND(ISNUMBER($BM$527),$B$419=1),$BM$527,HLOOKUP(INDIRECT(ADDRESS(2,COLUMN())),OFFSET($BN$2,0,0,ROW()-1,60),ROW()-1,FALSE))</f>
        <v>110.436994</v>
      </c>
      <c r="BN70" t="str">
        <f>""</f>
        <v/>
      </c>
      <c r="BO70">
        <f>168.122</f>
        <v>168.12200000000001</v>
      </c>
      <c r="BP70">
        <f>159.277</f>
        <v>159.27699999999999</v>
      </c>
      <c r="BQ70">
        <f>167.44</f>
        <v>167.44</v>
      </c>
      <c r="BR70">
        <f>166.185</f>
        <v>166.185</v>
      </c>
      <c r="BS70">
        <f>187.715</f>
        <v>187.715</v>
      </c>
      <c r="BT70">
        <f>174.357</f>
        <v>174.357</v>
      </c>
      <c r="BU70">
        <f>183.206</f>
        <v>183.20599999999999</v>
      </c>
      <c r="BV70">
        <f>180.107</f>
        <v>180.107</v>
      </c>
      <c r="BW70">
        <f>202.728</f>
        <v>202.72800000000001</v>
      </c>
      <c r="BX70">
        <f>181.744</f>
        <v>181.744</v>
      </c>
      <c r="BY70">
        <f>178.326</f>
        <v>178.32599999999999</v>
      </c>
      <c r="BZ70">
        <f>177.395</f>
        <v>177.39500000000001</v>
      </c>
      <c r="CA70">
        <f>198.958</f>
        <v>198.958</v>
      </c>
      <c r="CB70">
        <f>179.055</f>
        <v>179.05500000000001</v>
      </c>
      <c r="CC70">
        <f>177.416</f>
        <v>177.416</v>
      </c>
      <c r="CD70">
        <f>175.995</f>
        <v>175.995</v>
      </c>
      <c r="CE70">
        <f>196.584</f>
        <v>196.584</v>
      </c>
      <c r="CF70">
        <f>173.662</f>
        <v>173.66200000000001</v>
      </c>
      <c r="CG70">
        <f>177.603</f>
        <v>177.60300000000001</v>
      </c>
      <c r="CH70">
        <f>174.896</f>
        <v>174.89599999999999</v>
      </c>
      <c r="CI70">
        <f>194.951</f>
        <v>194.95099999999999</v>
      </c>
      <c r="CJ70">
        <f>170.461</f>
        <v>170.46100000000001</v>
      </c>
      <c r="CK70">
        <f>172.258</f>
        <v>172.25800000000001</v>
      </c>
      <c r="CL70">
        <f>166.458</f>
        <v>166.458</v>
      </c>
      <c r="CM70">
        <f>186.06</f>
        <v>186.06</v>
      </c>
      <c r="CN70">
        <f>183.086</f>
        <v>183.08600000000001</v>
      </c>
      <c r="CO70">
        <f>178.37</f>
        <v>178.37</v>
      </c>
      <c r="CP70">
        <f>177.316</f>
        <v>177.316</v>
      </c>
      <c r="CQ70">
        <f>202.984</f>
        <v>202.98400000000001</v>
      </c>
      <c r="CR70">
        <f>178.424</f>
        <v>178.42400000000001</v>
      </c>
      <c r="CS70">
        <f>176.254</f>
        <v>176.25399999999999</v>
      </c>
      <c r="CT70">
        <f>176.713</f>
        <v>176.71299999999999</v>
      </c>
      <c r="CU70">
        <f>204.064</f>
        <v>204.06399999999999</v>
      </c>
      <c r="CV70">
        <f>175.474</f>
        <v>175.47399999999999</v>
      </c>
      <c r="CW70">
        <f>182.327</f>
        <v>182.327</v>
      </c>
      <c r="CX70">
        <f>180.805</f>
        <v>180.80500000000001</v>
      </c>
      <c r="CY70">
        <f>203.633</f>
        <v>203.63300000000001</v>
      </c>
      <c r="CZ70">
        <f>191.894</f>
        <v>191.89400000000001</v>
      </c>
      <c r="DA70">
        <f>183.198</f>
        <v>183.19800000000001</v>
      </c>
      <c r="DB70">
        <f>183.515</f>
        <v>183.51499999999999</v>
      </c>
      <c r="DC70">
        <f>202.836</f>
        <v>202.83600000000001</v>
      </c>
      <c r="DD70">
        <f>168.09</f>
        <v>168.09</v>
      </c>
      <c r="DE70">
        <f>166.97</f>
        <v>166.97</v>
      </c>
      <c r="DF70">
        <f>165.036</f>
        <v>165.036</v>
      </c>
      <c r="DG70">
        <f>187.139</f>
        <v>187.13900000000001</v>
      </c>
      <c r="DH70">
        <f>164.588</f>
        <v>164.58799999999999</v>
      </c>
      <c r="DI70">
        <f>159.356</f>
        <v>159.35599999999999</v>
      </c>
      <c r="DJ70">
        <f>166.758</f>
        <v>166.75800000000001</v>
      </c>
      <c r="DK70">
        <f>178.753</f>
        <v>178.75299999999999</v>
      </c>
      <c r="DL70">
        <f>154.389</f>
        <v>154.38900000000001</v>
      </c>
      <c r="DM70">
        <f>138.546</f>
        <v>138.54599999999999</v>
      </c>
      <c r="DN70">
        <f>146.704</f>
        <v>146.70400000000001</v>
      </c>
      <c r="DO70">
        <f>155.54</f>
        <v>155.54</v>
      </c>
      <c r="DP70">
        <f>129.801</f>
        <v>129.80099999999999</v>
      </c>
      <c r="DQ70">
        <f>119.035005</f>
        <v>119.035005</v>
      </c>
      <c r="DR70">
        <f>117.302004</f>
        <v>117.302004</v>
      </c>
      <c r="DS70">
        <f>125.640001</f>
        <v>125.640001</v>
      </c>
      <c r="DT70">
        <f>112.213004</f>
        <v>112.213004</v>
      </c>
      <c r="DU70">
        <f>110.436994</f>
        <v>110.436994</v>
      </c>
    </row>
    <row r="71" spans="1:125">
      <c r="A71" t="str">
        <f>"    DDR Corp"</f>
        <v xml:space="preserve">    DDR Corp</v>
      </c>
      <c r="B71" t="str">
        <f>"DDR US Equity"</f>
        <v>DDR US Equity</v>
      </c>
      <c r="C71" t="str">
        <f t="shared" si="12"/>
        <v>RR502</v>
      </c>
      <c r="D71" t="str">
        <f t="shared" si="13"/>
        <v>NET_OPER_INCOME</v>
      </c>
      <c r="E71" t="str">
        <f t="shared" si="14"/>
        <v>动态</v>
      </c>
      <c r="F71" t="str">
        <f ca="1">IF(AND(ISNUMBER($F$528),$B$419=1),$F$528,HLOOKUP(INDIRECT(ADDRESS(2,COLUMN())),OFFSET($BN$2,0,0,ROW()-1,60),ROW()-1,FALSE))</f>
        <v/>
      </c>
      <c r="G71">
        <f ca="1">IF(AND(ISNUMBER($G$528),$B$419=1),$G$528,HLOOKUP(INDIRECT(ADDRESS(2,COLUMN())),OFFSET($BN$2,0,0,ROW()-1,60),ROW()-1,FALSE))</f>
        <v>139.02600000000001</v>
      </c>
      <c r="H71">
        <f ca="1">IF(AND(ISNUMBER($H$528),$B$419=1),$H$528,HLOOKUP(INDIRECT(ADDRESS(2,COLUMN())),OFFSET($BN$2,0,0,ROW()-1,60),ROW()-1,FALSE))</f>
        <v>154.03200000000001</v>
      </c>
      <c r="I71">
        <f ca="1">IF(AND(ISNUMBER($I$528),$B$419=1),$I$528,HLOOKUP(INDIRECT(ADDRESS(2,COLUMN())),OFFSET($BN$2,0,0,ROW()-1,60),ROW()-1,FALSE))</f>
        <v>164.97200000000001</v>
      </c>
      <c r="J71">
        <f ca="1">IF(AND(ISNUMBER($J$528),$B$419=1),$J$528,HLOOKUP(INDIRECT(ADDRESS(2,COLUMN())),OFFSET($BN$2,0,0,ROW()-1,60),ROW()-1,FALSE))</f>
        <v>168.48400000000001</v>
      </c>
      <c r="K71">
        <f ca="1">IF(AND(ISNUMBER($K$528),$B$419=1),$K$528,HLOOKUP(INDIRECT(ADDRESS(2,COLUMN())),OFFSET($BN$2,0,0,ROW()-1,60),ROW()-1,FALSE))</f>
        <v>162.452</v>
      </c>
      <c r="L71">
        <f ca="1">IF(AND(ISNUMBER($L$528),$B$419=1),$L$528,HLOOKUP(INDIRECT(ADDRESS(2,COLUMN())),OFFSET($BN$2,0,0,ROW()-1,60),ROW()-1,FALSE))</f>
        <v>179.173</v>
      </c>
      <c r="M71">
        <f ca="1">IF(AND(ISNUMBER($M$528),$B$419=1),$M$528,HLOOKUP(INDIRECT(ADDRESS(2,COLUMN())),OFFSET($BN$2,0,0,ROW()-1,60),ROW()-1,FALSE))</f>
        <v>180.69499999999999</v>
      </c>
      <c r="N71">
        <f ca="1">IF(AND(ISNUMBER($N$528),$B$419=1),$N$528,HLOOKUP(INDIRECT(ADDRESS(2,COLUMN())),OFFSET($BN$2,0,0,ROW()-1,60),ROW()-1,FALSE))</f>
        <v>176.06</v>
      </c>
      <c r="O71">
        <f ca="1">IF(AND(ISNUMBER($O$528),$B$419=1),$O$528,HLOOKUP(INDIRECT(ADDRESS(2,COLUMN())),OFFSET($BN$2,0,0,ROW()-1,60),ROW()-1,FALSE))</f>
        <v>170.36799999999999</v>
      </c>
      <c r="P71">
        <f ca="1">IF(AND(ISNUMBER($P$528),$B$419=1),$P$528,HLOOKUP(INDIRECT(ADDRESS(2,COLUMN())),OFFSET($BN$2,0,0,ROW()-1,60),ROW()-1,FALSE))</f>
        <v>178.125</v>
      </c>
      <c r="Q71">
        <f ca="1">IF(AND(ISNUMBER($Q$528),$B$419=1),$Q$528,HLOOKUP(INDIRECT(ADDRESS(2,COLUMN())),OFFSET($BN$2,0,0,ROW()-1,60),ROW()-1,FALSE))</f>
        <v>183.49700000000001</v>
      </c>
      <c r="R71">
        <f ca="1">IF(AND(ISNUMBER($R$528),$B$419=1),$R$528,HLOOKUP(INDIRECT(ADDRESS(2,COLUMN())),OFFSET($BN$2,0,0,ROW()-1,60),ROW()-1,FALSE))</f>
        <v>182.47</v>
      </c>
      <c r="S71">
        <f ca="1">IF(AND(ISNUMBER($S$528),$B$419=1),$S$528,HLOOKUP(INDIRECT(ADDRESS(2,COLUMN())),OFFSET($BN$2,0,0,ROW()-1,60),ROW()-1,FALSE))</f>
        <v>172.49600000000001</v>
      </c>
      <c r="T71">
        <f ca="1">IF(AND(ISNUMBER($T$528),$B$419=1),$T$528,HLOOKUP(INDIRECT(ADDRESS(2,COLUMN())),OFFSET($BN$2,0,0,ROW()-1,60),ROW()-1,FALSE))</f>
        <v>166.73099999999999</v>
      </c>
      <c r="U71">
        <f ca="1">IF(AND(ISNUMBER($U$528),$B$419=1),$U$528,HLOOKUP(INDIRECT(ADDRESS(2,COLUMN())),OFFSET($BN$2,0,0,ROW()-1,60),ROW()-1,FALSE))</f>
        <v>164.875</v>
      </c>
      <c r="V71">
        <f ca="1">IF(AND(ISNUMBER($V$528),$B$419=1),$V$528,HLOOKUP(INDIRECT(ADDRESS(2,COLUMN())),OFFSET($BN$2,0,0,ROW()-1,60),ROW()-1,FALSE))</f>
        <v>163.26499999999999</v>
      </c>
      <c r="W71">
        <f ca="1">IF(AND(ISNUMBER($W$528),$B$419=1),$W$528,HLOOKUP(INDIRECT(ADDRESS(2,COLUMN())),OFFSET($BN$2,0,0,ROW()-1,60),ROW()-1,FALSE))</f>
        <v>155.59299999999999</v>
      </c>
      <c r="X71">
        <f ca="1">IF(AND(ISNUMBER($X$528),$B$419=1),$X$528,HLOOKUP(INDIRECT(ADDRESS(2,COLUMN())),OFFSET($BN$2,0,0,ROW()-1,60),ROW()-1,FALSE))</f>
        <v>137.70500000000001</v>
      </c>
      <c r="Y71">
        <f ca="1">IF(AND(ISNUMBER($Y$528),$B$419=1),$Y$528,HLOOKUP(INDIRECT(ADDRESS(2,COLUMN())),OFFSET($BN$2,0,0,ROW()-1,60),ROW()-1,FALSE))</f>
        <v>136.27099999999999</v>
      </c>
      <c r="Z71">
        <f ca="1">IF(AND(ISNUMBER($Z$528),$B$419=1),$Z$528,HLOOKUP(INDIRECT(ADDRESS(2,COLUMN())),OFFSET($BN$2,0,0,ROW()-1,60),ROW()-1,FALSE))</f>
        <v>135.98599999999999</v>
      </c>
      <c r="AA71">
        <f ca="1">IF(AND(ISNUMBER($AA$528),$B$419=1),$AA$528,HLOOKUP(INDIRECT(ADDRESS(2,COLUMN())),OFFSET($BN$2,0,0,ROW()-1,60),ROW()-1,FALSE))</f>
        <v>135.851</v>
      </c>
      <c r="AB71">
        <f ca="1">IF(AND(ISNUMBER($AB$528),$B$419=1),$AB$528,HLOOKUP(INDIRECT(ADDRESS(2,COLUMN())),OFFSET($BN$2,0,0,ROW()-1,60),ROW()-1,FALSE))</f>
        <v>130.42599999999999</v>
      </c>
      <c r="AC71">
        <f ca="1">IF(AND(ISNUMBER($AC$528),$B$419=1),$AC$528,HLOOKUP(INDIRECT(ADDRESS(2,COLUMN())),OFFSET($BN$2,0,0,ROW()-1,60),ROW()-1,FALSE))</f>
        <v>128.86600000000001</v>
      </c>
      <c r="AD71">
        <f ca="1">IF(AND(ISNUMBER($AD$528),$B$419=1),$AD$528,HLOOKUP(INDIRECT(ADDRESS(2,COLUMN())),OFFSET($BN$2,0,0,ROW()-1,60),ROW()-1,FALSE))</f>
        <v>126.194</v>
      </c>
      <c r="AE71">
        <f ca="1">IF(AND(ISNUMBER($AE$528),$B$419=1),$AE$528,HLOOKUP(INDIRECT(ADDRESS(2,COLUMN())),OFFSET($BN$2,0,0,ROW()-1,60),ROW()-1,FALSE))</f>
        <v>127.042</v>
      </c>
      <c r="AF71">
        <f ca="1">IF(AND(ISNUMBER($AF$528),$B$419=1),$AF$528,HLOOKUP(INDIRECT(ADDRESS(2,COLUMN())),OFFSET($BN$2,0,0,ROW()-1,60),ROW()-1,FALSE))</f>
        <v>120.209</v>
      </c>
      <c r="AG71">
        <f ca="1">IF(AND(ISNUMBER($AG$528),$B$419=1),$AG$528,HLOOKUP(INDIRECT(ADDRESS(2,COLUMN())),OFFSET($BN$2,0,0,ROW()-1,60),ROW()-1,FALSE))</f>
        <v>120.18899999999999</v>
      </c>
      <c r="AH71">
        <f ca="1">IF(AND(ISNUMBER($AH$528),$B$419=1),$AH$528,HLOOKUP(INDIRECT(ADDRESS(2,COLUMN())),OFFSET($BN$2,0,0,ROW()-1,60),ROW()-1,FALSE))</f>
        <v>124.002</v>
      </c>
      <c r="AI71">
        <f ca="1">IF(AND(ISNUMBER($AI$528),$B$419=1),$AI$528,HLOOKUP(INDIRECT(ADDRESS(2,COLUMN())),OFFSET($BN$2,0,0,ROW()-1,60),ROW()-1,FALSE))</f>
        <v>126.167</v>
      </c>
      <c r="AJ71">
        <f ca="1">IF(AND(ISNUMBER($AJ$528),$B$419=1),$AJ$528,HLOOKUP(INDIRECT(ADDRESS(2,COLUMN())),OFFSET($BN$2,0,0,ROW()-1,60),ROW()-1,FALSE))</f>
        <v>125.32599999999999</v>
      </c>
      <c r="AK71">
        <f ca="1">IF(AND(ISNUMBER($AK$528),$B$419=1),$AK$528,HLOOKUP(INDIRECT(ADDRESS(2,COLUMN())),OFFSET($BN$2,0,0,ROW()-1,60),ROW()-1,FALSE))</f>
        <v>135.95099999999999</v>
      </c>
      <c r="AL71">
        <f ca="1">IF(AND(ISNUMBER($AL$528),$B$419=1),$AL$528,HLOOKUP(INDIRECT(ADDRESS(2,COLUMN())),OFFSET($BN$2,0,0,ROW()-1,60),ROW()-1,FALSE))</f>
        <v>133.97200000000001</v>
      </c>
      <c r="AM71">
        <f ca="1">IF(AND(ISNUMBER($AM$528),$B$419=1),$AM$528,HLOOKUP(INDIRECT(ADDRESS(2,COLUMN())),OFFSET($BN$2,0,0,ROW()-1,60),ROW()-1,FALSE))</f>
        <v>133.74199999999999</v>
      </c>
      <c r="AN71">
        <f ca="1">IF(AND(ISNUMBER($AN$528),$B$419=1),$AN$528,HLOOKUP(INDIRECT(ADDRESS(2,COLUMN())),OFFSET($BN$2,0,0,ROW()-1,60),ROW()-1,FALSE))</f>
        <v>128.745</v>
      </c>
      <c r="AO71">
        <f ca="1">IF(AND(ISNUMBER($AO$528),$B$419=1),$AO$528,HLOOKUP(INDIRECT(ADDRESS(2,COLUMN())),OFFSET($BN$2,0,0,ROW()-1,60),ROW()-1,FALSE))</f>
        <v>131.06399999999999</v>
      </c>
      <c r="AP71">
        <f ca="1">IF(AND(ISNUMBER($AP$528),$B$419=1),$AP$528,HLOOKUP(INDIRECT(ADDRESS(2,COLUMN())),OFFSET($BN$2,0,0,ROW()-1,60),ROW()-1,FALSE))</f>
        <v>137.90100000000001</v>
      </c>
      <c r="AQ71">
        <f ca="1">IF(AND(ISNUMBER($AQ$528),$B$419=1),$AQ$528,HLOOKUP(INDIRECT(ADDRESS(2,COLUMN())),OFFSET($BN$2,0,0,ROW()-1,60),ROW()-1,FALSE))</f>
        <v>146.58600000000001</v>
      </c>
      <c r="AR71">
        <f ca="1">IF(AND(ISNUMBER($AR$528),$B$419=1),$AR$528,HLOOKUP(INDIRECT(ADDRESS(2,COLUMN())),OFFSET($BN$2,0,0,ROW()-1,60),ROW()-1,FALSE))</f>
        <v>153.87100000000001</v>
      </c>
      <c r="AS71">
        <f ca="1">IF(AND(ISNUMBER($AS$528),$B$419=1),$AS$528,HLOOKUP(INDIRECT(ADDRESS(2,COLUMN())),OFFSET($BN$2,0,0,ROW()-1,60),ROW()-1,FALSE))</f>
        <v>154.43</v>
      </c>
      <c r="AT71">
        <f ca="1">IF(AND(ISNUMBER($AT$528),$B$419=1),$AT$528,HLOOKUP(INDIRECT(ADDRESS(2,COLUMN())),OFFSET($BN$2,0,0,ROW()-1,60),ROW()-1,FALSE))</f>
        <v>165.29900000000001</v>
      </c>
      <c r="AU71">
        <f ca="1">IF(AND(ISNUMBER($AU$528),$B$419=1),$AU$528,HLOOKUP(INDIRECT(ADDRESS(2,COLUMN())),OFFSET($BN$2,0,0,ROW()-1,60),ROW()-1,FALSE))</f>
        <v>166.47200000000001</v>
      </c>
      <c r="AV71">
        <f ca="1">IF(AND(ISNUMBER($AV$528),$B$419=1),$AV$528,HLOOKUP(INDIRECT(ADDRESS(2,COLUMN())),OFFSET($BN$2,0,0,ROW()-1,60),ROW()-1,FALSE))</f>
        <v>165.215</v>
      </c>
      <c r="AW71">
        <f ca="1">IF(AND(ISNUMBER($AW$528),$B$419=1),$AW$528,HLOOKUP(INDIRECT(ADDRESS(2,COLUMN())),OFFSET($BN$2,0,0,ROW()-1,60),ROW()-1,FALSE))</f>
        <v>179.245</v>
      </c>
      <c r="AX71">
        <f ca="1">IF(AND(ISNUMBER($AX$528),$B$419=1),$AX$528,HLOOKUP(INDIRECT(ADDRESS(2,COLUMN())),OFFSET($BN$2,0,0,ROW()-1,60),ROW()-1,FALSE))</f>
        <v>153.482</v>
      </c>
      <c r="AY71">
        <f ca="1">IF(AND(ISNUMBER($AY$528),$B$419=1),$AY$528,HLOOKUP(INDIRECT(ADDRESS(2,COLUMN())),OFFSET($BN$2,0,0,ROW()-1,60),ROW()-1,FALSE))</f>
        <v>132.041</v>
      </c>
      <c r="AZ71">
        <f ca="1">IF(AND(ISNUMBER($AZ$528),$B$419=1),$AZ$528,HLOOKUP(INDIRECT(ADDRESS(2,COLUMN())),OFFSET($BN$2,0,0,ROW()-1,60),ROW()-1,FALSE))</f>
        <v>138.34899999999999</v>
      </c>
      <c r="BA71">
        <f ca="1">IF(AND(ISNUMBER($BA$528),$B$419=1),$BA$528,HLOOKUP(INDIRECT(ADDRESS(2,COLUMN())),OFFSET($BN$2,0,0,ROW()-1,60),ROW()-1,FALSE))</f>
        <v>134.36000000000001</v>
      </c>
      <c r="BB71">
        <f ca="1">IF(AND(ISNUMBER($BB$528),$B$419=1),$BB$528,HLOOKUP(INDIRECT(ADDRESS(2,COLUMN())),OFFSET($BN$2,0,0,ROW()-1,60),ROW()-1,FALSE))</f>
        <v>139.05799999999999</v>
      </c>
      <c r="BC71">
        <f ca="1">IF(AND(ISNUMBER($BC$528),$B$419=1),$BC$528,HLOOKUP(INDIRECT(ADDRESS(2,COLUMN())),OFFSET($BN$2,0,0,ROW()-1,60),ROW()-1,FALSE))</f>
        <v>135.096</v>
      </c>
      <c r="BD71">
        <f ca="1">IF(AND(ISNUMBER($BD$528),$B$419=1),$BD$528,HLOOKUP(INDIRECT(ADDRESS(2,COLUMN())),OFFSET($BN$2,0,0,ROW()-1,60),ROW()-1,FALSE))</f>
        <v>127.274</v>
      </c>
      <c r="BE71">
        <f ca="1">IF(AND(ISNUMBER($BE$528),$B$419=1),$BE$528,HLOOKUP(INDIRECT(ADDRESS(2,COLUMN())),OFFSET($BN$2,0,0,ROW()-1,60),ROW()-1,FALSE))</f>
        <v>128.261</v>
      </c>
      <c r="BF71">
        <f ca="1">IF(AND(ISNUMBER($BF$528),$B$419=1),$BF$528,HLOOKUP(INDIRECT(ADDRESS(2,COLUMN())),OFFSET($BN$2,0,0,ROW()-1,60),ROW()-1,FALSE))</f>
        <v>122.852</v>
      </c>
      <c r="BG71">
        <f ca="1">IF(AND(ISNUMBER($BG$528),$B$419=1),$BG$528,HLOOKUP(INDIRECT(ADDRESS(2,COLUMN())),OFFSET($BN$2,0,0,ROW()-1,60),ROW()-1,FALSE))</f>
        <v>113.292</v>
      </c>
      <c r="BH71">
        <f ca="1">IF(AND(ISNUMBER($BH$528),$B$419=1),$BH$528,HLOOKUP(INDIRECT(ADDRESS(2,COLUMN())),OFFSET($BN$2,0,0,ROW()-1,60),ROW()-1,FALSE))</f>
        <v>116.499</v>
      </c>
      <c r="BI71">
        <f ca="1">IF(AND(ISNUMBER($BI$528),$B$419=1),$BI$528,HLOOKUP(INDIRECT(ADDRESS(2,COLUMN())),OFFSET($BN$2,0,0,ROW()-1,60),ROW()-1,FALSE))</f>
        <v>105.652</v>
      </c>
      <c r="BJ71">
        <f ca="1">IF(AND(ISNUMBER($BJ$528),$B$419=1),$BJ$528,HLOOKUP(INDIRECT(ADDRESS(2,COLUMN())),OFFSET($BN$2,0,0,ROW()-1,60),ROW()-1,FALSE))</f>
        <v>88.551000000000002</v>
      </c>
      <c r="BK71">
        <f ca="1">IF(AND(ISNUMBER($BK$528),$B$419=1),$BK$528,HLOOKUP(INDIRECT(ADDRESS(2,COLUMN())),OFFSET($BN$2,0,0,ROW()-1,60),ROW()-1,FALSE))</f>
        <v>84.738000150000005</v>
      </c>
      <c r="BL71">
        <f ca="1">IF(AND(ISNUMBER($BL$528),$B$419=1),$BL$528,HLOOKUP(INDIRECT(ADDRESS(2,COLUMN())),OFFSET($BN$2,0,0,ROW()-1,60),ROW()-1,FALSE))</f>
        <v>87.248999999999995</v>
      </c>
      <c r="BM71">
        <f ca="1">IF(AND(ISNUMBER($BM$528),$B$419=1),$BM$528,HLOOKUP(INDIRECT(ADDRESS(2,COLUMN())),OFFSET($BN$2,0,0,ROW()-1,60),ROW()-1,FALSE))</f>
        <v>89.397000000000006</v>
      </c>
      <c r="BN71" t="str">
        <f>""</f>
        <v/>
      </c>
      <c r="BO71">
        <f>139.026</f>
        <v>139.02600000000001</v>
      </c>
      <c r="BP71">
        <f>154.032</f>
        <v>154.03200000000001</v>
      </c>
      <c r="BQ71">
        <f>164.972</f>
        <v>164.97200000000001</v>
      </c>
      <c r="BR71">
        <f>168.484</f>
        <v>168.48400000000001</v>
      </c>
      <c r="BS71">
        <f>162.452</f>
        <v>162.452</v>
      </c>
      <c r="BT71">
        <f>179.173</f>
        <v>179.173</v>
      </c>
      <c r="BU71">
        <f>180.695</f>
        <v>180.69499999999999</v>
      </c>
      <c r="BV71">
        <f>176.06</f>
        <v>176.06</v>
      </c>
      <c r="BW71">
        <f>170.368</f>
        <v>170.36799999999999</v>
      </c>
      <c r="BX71">
        <f>178.125</f>
        <v>178.125</v>
      </c>
      <c r="BY71">
        <f>183.497</f>
        <v>183.49700000000001</v>
      </c>
      <c r="BZ71">
        <f>182.47</f>
        <v>182.47</v>
      </c>
      <c r="CA71">
        <f>172.496</f>
        <v>172.49600000000001</v>
      </c>
      <c r="CB71">
        <f>166.731</f>
        <v>166.73099999999999</v>
      </c>
      <c r="CC71">
        <f>164.875</f>
        <v>164.875</v>
      </c>
      <c r="CD71">
        <f>163.265</f>
        <v>163.26499999999999</v>
      </c>
      <c r="CE71">
        <f>155.593</f>
        <v>155.59299999999999</v>
      </c>
      <c r="CF71">
        <f>137.705</f>
        <v>137.70500000000001</v>
      </c>
      <c r="CG71">
        <f>136.271</f>
        <v>136.27099999999999</v>
      </c>
      <c r="CH71">
        <f>135.986</f>
        <v>135.98599999999999</v>
      </c>
      <c r="CI71">
        <f>135.851</f>
        <v>135.851</v>
      </c>
      <c r="CJ71">
        <f>130.426</f>
        <v>130.42599999999999</v>
      </c>
      <c r="CK71">
        <f>128.866</f>
        <v>128.86600000000001</v>
      </c>
      <c r="CL71">
        <f>126.194</f>
        <v>126.194</v>
      </c>
      <c r="CM71">
        <f>127.042</f>
        <v>127.042</v>
      </c>
      <c r="CN71">
        <f>120.209</f>
        <v>120.209</v>
      </c>
      <c r="CO71">
        <f>120.189</f>
        <v>120.18899999999999</v>
      </c>
      <c r="CP71">
        <f>124.002</f>
        <v>124.002</v>
      </c>
      <c r="CQ71">
        <f>126.167</f>
        <v>126.167</v>
      </c>
      <c r="CR71">
        <f>125.326</f>
        <v>125.32599999999999</v>
      </c>
      <c r="CS71">
        <f>135.951</f>
        <v>135.95099999999999</v>
      </c>
      <c r="CT71">
        <f>133.972</f>
        <v>133.97200000000001</v>
      </c>
      <c r="CU71">
        <f>133.742</f>
        <v>133.74199999999999</v>
      </c>
      <c r="CV71">
        <f>128.745</f>
        <v>128.745</v>
      </c>
      <c r="CW71">
        <f>131.064</f>
        <v>131.06399999999999</v>
      </c>
      <c r="CX71">
        <f>137.901</f>
        <v>137.90100000000001</v>
      </c>
      <c r="CY71">
        <f>146.586</f>
        <v>146.58600000000001</v>
      </c>
      <c r="CZ71">
        <f>153.871</f>
        <v>153.87100000000001</v>
      </c>
      <c r="DA71">
        <f>154.43</f>
        <v>154.43</v>
      </c>
      <c r="DB71">
        <f>165.299</f>
        <v>165.29900000000001</v>
      </c>
      <c r="DC71">
        <f>166.472</f>
        <v>166.47200000000001</v>
      </c>
      <c r="DD71">
        <f>165.215</f>
        <v>165.215</v>
      </c>
      <c r="DE71">
        <f>179.245</f>
        <v>179.245</v>
      </c>
      <c r="DF71">
        <f>153.482</f>
        <v>153.482</v>
      </c>
      <c r="DG71">
        <f>132.041</f>
        <v>132.041</v>
      </c>
      <c r="DH71">
        <f>138.349</f>
        <v>138.34899999999999</v>
      </c>
      <c r="DI71">
        <f>134.36</f>
        <v>134.36000000000001</v>
      </c>
      <c r="DJ71">
        <f>139.058</f>
        <v>139.05799999999999</v>
      </c>
      <c r="DK71">
        <f>135.096</f>
        <v>135.096</v>
      </c>
      <c r="DL71">
        <f>127.274</f>
        <v>127.274</v>
      </c>
      <c r="DM71">
        <f>128.261</f>
        <v>128.261</v>
      </c>
      <c r="DN71">
        <f>122.852</f>
        <v>122.852</v>
      </c>
      <c r="DO71">
        <f>113.292</f>
        <v>113.292</v>
      </c>
      <c r="DP71">
        <f>116.499</f>
        <v>116.499</v>
      </c>
      <c r="DQ71">
        <f>105.652</f>
        <v>105.652</v>
      </c>
      <c r="DR71">
        <f>88.551</f>
        <v>88.551000000000002</v>
      </c>
      <c r="DS71">
        <f>84.73800015</f>
        <v>84.738000150000005</v>
      </c>
      <c r="DT71">
        <f>87.249</f>
        <v>87.248999999999995</v>
      </c>
      <c r="DU71">
        <f>89.397</f>
        <v>89.397000000000006</v>
      </c>
    </row>
    <row r="72" spans="1:125">
      <c r="A72" t="str">
        <f>"    Federal Realty Investment Trus"</f>
        <v xml:space="preserve">    Federal Realty Investment Trus</v>
      </c>
      <c r="B72" t="str">
        <f>"FRT US Equity"</f>
        <v>FRT US Equity</v>
      </c>
      <c r="C72" t="str">
        <f t="shared" si="12"/>
        <v>RR502</v>
      </c>
      <c r="D72" t="str">
        <f t="shared" si="13"/>
        <v>NET_OPER_INCOME</v>
      </c>
      <c r="E72" t="str">
        <f t="shared" si="14"/>
        <v>动态</v>
      </c>
      <c r="F72" t="str">
        <f ca="1">IF(AND(ISNUMBER($F$529),$B$419=1),$F$529,HLOOKUP(INDIRECT(ADDRESS(2,COLUMN())),OFFSET($BN$2,0,0,ROW()-1,60),ROW()-1,FALSE))</f>
        <v/>
      </c>
      <c r="G72">
        <f ca="1">IF(AND(ISNUMBER($G$529),$B$419=1),$G$529,HLOOKUP(INDIRECT(ADDRESS(2,COLUMN())),OFFSET($BN$2,0,0,ROW()-1,60),ROW()-1,FALSE))</f>
        <v>146.58199999999999</v>
      </c>
      <c r="H72">
        <f ca="1">IF(AND(ISNUMBER($H$529),$B$419=1),$H$529,HLOOKUP(INDIRECT(ADDRESS(2,COLUMN())),OFFSET($BN$2,0,0,ROW()-1,60),ROW()-1,FALSE))</f>
        <v>143.30600000000001</v>
      </c>
      <c r="I72">
        <f ca="1">IF(AND(ISNUMBER($I$529),$B$419=1),$I$529,HLOOKUP(INDIRECT(ADDRESS(2,COLUMN())),OFFSET($BN$2,0,0,ROW()-1,60),ROW()-1,FALSE))</f>
        <v>140.596</v>
      </c>
      <c r="J72">
        <f ca="1">IF(AND(ISNUMBER($J$529),$B$419=1),$J$529,HLOOKUP(INDIRECT(ADDRESS(2,COLUMN())),OFFSET($BN$2,0,0,ROW()-1,60),ROW()-1,FALSE))</f>
        <v>138.24799999999999</v>
      </c>
      <c r="K72">
        <f ca="1">IF(AND(ISNUMBER($K$529),$B$419=1),$K$529,HLOOKUP(INDIRECT(ADDRESS(2,COLUMN())),OFFSET($BN$2,0,0,ROW()-1,60),ROW()-1,FALSE))</f>
        <v>136.80799999999999</v>
      </c>
      <c r="L72">
        <f ca="1">IF(AND(ISNUMBER($L$529),$B$419=1),$L$529,HLOOKUP(INDIRECT(ADDRESS(2,COLUMN())),OFFSET($BN$2,0,0,ROW()-1,60),ROW()-1,FALSE))</f>
        <v>133.90799999999999</v>
      </c>
      <c r="M72">
        <f ca="1">IF(AND(ISNUMBER($M$529),$B$419=1),$M$529,HLOOKUP(INDIRECT(ADDRESS(2,COLUMN())),OFFSET($BN$2,0,0,ROW()-1,60),ROW()-1,FALSE))</f>
        <v>132.56</v>
      </c>
      <c r="N72">
        <f ca="1">IF(AND(ISNUMBER($N$529),$B$419=1),$N$529,HLOOKUP(INDIRECT(ADDRESS(2,COLUMN())),OFFSET($BN$2,0,0,ROW()-1,60),ROW()-1,FALSE))</f>
        <v>129.69499999999999</v>
      </c>
      <c r="O72">
        <f ca="1">IF(AND(ISNUMBER($O$529),$B$419=1),$O$529,HLOOKUP(INDIRECT(ADDRESS(2,COLUMN())),OFFSET($BN$2,0,0,ROW()-1,60),ROW()-1,FALSE))</f>
        <v>127.149</v>
      </c>
      <c r="P72">
        <f ca="1">IF(AND(ISNUMBER($P$529),$B$419=1),$P$529,HLOOKUP(INDIRECT(ADDRESS(2,COLUMN())),OFFSET($BN$2,0,0,ROW()-1,60),ROW()-1,FALSE))</f>
        <v>125.319</v>
      </c>
      <c r="Q72">
        <f ca="1">IF(AND(ISNUMBER($Q$529),$B$419=1),$Q$529,HLOOKUP(INDIRECT(ADDRESS(2,COLUMN())),OFFSET($BN$2,0,0,ROW()-1,60),ROW()-1,FALSE))</f>
        <v>122.59399999999999</v>
      </c>
      <c r="R72">
        <f ca="1">IF(AND(ISNUMBER($R$529),$B$419=1),$R$529,HLOOKUP(INDIRECT(ADDRESS(2,COLUMN())),OFFSET($BN$2,0,0,ROW()-1,60),ROW()-1,FALSE))</f>
        <v>119.333</v>
      </c>
      <c r="S72">
        <f ca="1">IF(AND(ISNUMBER($S$529),$B$419=1),$S$529,HLOOKUP(INDIRECT(ADDRESS(2,COLUMN())),OFFSET($BN$2,0,0,ROW()-1,60),ROW()-1,FALSE))</f>
        <v>118.392</v>
      </c>
      <c r="T72">
        <f ca="1">IF(AND(ISNUMBER($T$529),$B$419=1),$T$529,HLOOKUP(INDIRECT(ADDRESS(2,COLUMN())),OFFSET($BN$2,0,0,ROW()-1,60),ROW()-1,FALSE))</f>
        <v>113.83</v>
      </c>
      <c r="U72">
        <f ca="1">IF(AND(ISNUMBER($U$529),$B$419=1),$U$529,HLOOKUP(INDIRECT(ADDRESS(2,COLUMN())),OFFSET($BN$2,0,0,ROW()-1,60),ROW()-1,FALSE))</f>
        <v>111.81399999999999</v>
      </c>
      <c r="V72">
        <f ca="1">IF(AND(ISNUMBER($V$529),$B$419=1),$V$529,HLOOKUP(INDIRECT(ADDRESS(2,COLUMN())),OFFSET($BN$2,0,0,ROW()-1,60),ROW()-1,FALSE))</f>
        <v>110.363</v>
      </c>
      <c r="W72">
        <f ca="1">IF(AND(ISNUMBER($W$529),$B$419=1),$W$529,HLOOKUP(INDIRECT(ADDRESS(2,COLUMN())),OFFSET($BN$2,0,0,ROW()-1,60),ROW()-1,FALSE))</f>
        <v>109.858</v>
      </c>
      <c r="X72">
        <f ca="1">IF(AND(ISNUMBER($X$529),$B$419=1),$X$529,HLOOKUP(INDIRECT(ADDRESS(2,COLUMN())),OFFSET($BN$2,0,0,ROW()-1,60),ROW()-1,FALSE))</f>
        <v>106.863</v>
      </c>
      <c r="Y72">
        <f ca="1">IF(AND(ISNUMBER($Y$529),$B$419=1),$Y$529,HLOOKUP(INDIRECT(ADDRESS(2,COLUMN())),OFFSET($BN$2,0,0,ROW()-1,60),ROW()-1,FALSE))</f>
        <v>107.371</v>
      </c>
      <c r="Z72">
        <f ca="1">IF(AND(ISNUMBER($Z$529),$B$419=1),$Z$529,HLOOKUP(INDIRECT(ADDRESS(2,COLUMN())),OFFSET($BN$2,0,0,ROW()-1,60),ROW()-1,FALSE))</f>
        <v>105.54300000000001</v>
      </c>
      <c r="AA72">
        <f ca="1">IF(AND(ISNUMBER($AA$529),$B$419=1),$AA$529,HLOOKUP(INDIRECT(ADDRESS(2,COLUMN())),OFFSET($BN$2,0,0,ROW()-1,60),ROW()-1,FALSE))</f>
        <v>105.003</v>
      </c>
      <c r="AB72">
        <f ca="1">IF(AND(ISNUMBER($AB$529),$B$419=1),$AB$529,HLOOKUP(INDIRECT(ADDRESS(2,COLUMN())),OFFSET($BN$2,0,0,ROW()-1,60),ROW()-1,FALSE))</f>
        <v>100.51600000000001</v>
      </c>
      <c r="AC72">
        <f ca="1">IF(AND(ISNUMBER($AC$529),$B$419=1),$AC$529,HLOOKUP(INDIRECT(ADDRESS(2,COLUMN())),OFFSET($BN$2,0,0,ROW()-1,60),ROW()-1,FALSE))</f>
        <v>98.352999999999994</v>
      </c>
      <c r="AD72">
        <f ca="1">IF(AND(ISNUMBER($AD$529),$B$419=1),$AD$529,HLOOKUP(INDIRECT(ADDRESS(2,COLUMN())),OFFSET($BN$2,0,0,ROW()-1,60),ROW()-1,FALSE))</f>
        <v>98.494</v>
      </c>
      <c r="AE72">
        <f ca="1">IF(AND(ISNUMBER($AE$529),$B$419=1),$AE$529,HLOOKUP(INDIRECT(ADDRESS(2,COLUMN())),OFFSET($BN$2,0,0,ROW()-1,60),ROW()-1,FALSE))</f>
        <v>94.210999999999999</v>
      </c>
      <c r="AF72">
        <f ca="1">IF(AND(ISNUMBER($AF$529),$B$419=1),$AF$529,HLOOKUP(INDIRECT(ADDRESS(2,COLUMN())),OFFSET($BN$2,0,0,ROW()-1,60),ROW()-1,FALSE))</f>
        <v>92.372</v>
      </c>
      <c r="AG72">
        <f ca="1">IF(AND(ISNUMBER($AG$529),$B$419=1),$AG$529,HLOOKUP(INDIRECT(ADDRESS(2,COLUMN())),OFFSET($BN$2,0,0,ROW()-1,60),ROW()-1,FALSE))</f>
        <v>92.32</v>
      </c>
      <c r="AH72">
        <f ca="1">IF(AND(ISNUMBER($AH$529),$B$419=1),$AH$529,HLOOKUP(INDIRECT(ADDRESS(2,COLUMN())),OFFSET($BN$2,0,0,ROW()-1,60),ROW()-1,FALSE))</f>
        <v>89.629000000000005</v>
      </c>
      <c r="AI72">
        <f ca="1">IF(AND(ISNUMBER($AI$529),$B$419=1),$AI$529,HLOOKUP(INDIRECT(ADDRESS(2,COLUMN())),OFFSET($BN$2,0,0,ROW()-1,60),ROW()-1,FALSE))</f>
        <v>90.855000000000004</v>
      </c>
      <c r="AJ72">
        <f ca="1">IF(AND(ISNUMBER($AJ$529),$B$419=1),$AJ$529,HLOOKUP(INDIRECT(ADDRESS(2,COLUMN())),OFFSET($BN$2,0,0,ROW()-1,60),ROW()-1,FALSE))</f>
        <v>87.311999999999998</v>
      </c>
      <c r="AK72">
        <f ca="1">IF(AND(ISNUMBER($AK$529),$B$419=1),$AK$529,HLOOKUP(INDIRECT(ADDRESS(2,COLUMN())),OFFSET($BN$2,0,0,ROW()-1,60),ROW()-1,FALSE))</f>
        <v>89.296999999999997</v>
      </c>
      <c r="AL72">
        <f ca="1">IF(AND(ISNUMBER($AL$529),$B$419=1),$AL$529,HLOOKUP(INDIRECT(ADDRESS(2,COLUMN())),OFFSET($BN$2,0,0,ROW()-1,60),ROW()-1,FALSE))</f>
        <v>86.355999999999995</v>
      </c>
      <c r="AM72">
        <f ca="1">IF(AND(ISNUMBER($AM$529),$B$419=1),$AM$529,HLOOKUP(INDIRECT(ADDRESS(2,COLUMN())),OFFSET($BN$2,0,0,ROW()-1,60),ROW()-1,FALSE))</f>
        <v>87.974000000000004</v>
      </c>
      <c r="AN72">
        <f ca="1">IF(AND(ISNUMBER($AN$529),$B$419=1),$AN$529,HLOOKUP(INDIRECT(ADDRESS(2,COLUMN())),OFFSET($BN$2,0,0,ROW()-1,60),ROW()-1,FALSE))</f>
        <v>87.316999999999993</v>
      </c>
      <c r="AO72">
        <f ca="1">IF(AND(ISNUMBER($AO$529),$B$419=1),$AO$529,HLOOKUP(INDIRECT(ADDRESS(2,COLUMN())),OFFSET($BN$2,0,0,ROW()-1,60),ROW()-1,FALSE))</f>
        <v>86.188999999999993</v>
      </c>
      <c r="AP72">
        <f ca="1">IF(AND(ISNUMBER($AP$529),$B$419=1),$AP$529,HLOOKUP(INDIRECT(ADDRESS(2,COLUMN())),OFFSET($BN$2,0,0,ROW()-1,60),ROW()-1,FALSE))</f>
        <v>84.677000000000007</v>
      </c>
      <c r="AQ72">
        <f ca="1">IF(AND(ISNUMBER($AQ$529),$B$419=1),$AQ$529,HLOOKUP(INDIRECT(ADDRESS(2,COLUMN())),OFFSET($BN$2,0,0,ROW()-1,60),ROW()-1,FALSE))</f>
        <v>87.25</v>
      </c>
      <c r="AR72">
        <f ca="1">IF(AND(ISNUMBER($AR$529),$B$419=1),$AR$529,HLOOKUP(INDIRECT(ADDRESS(2,COLUMN())),OFFSET($BN$2,0,0,ROW()-1,60),ROW()-1,FALSE))</f>
        <v>84.355000000000004</v>
      </c>
      <c r="AS72">
        <f ca="1">IF(AND(ISNUMBER($AS$529),$B$419=1),$AS$529,HLOOKUP(INDIRECT(ADDRESS(2,COLUMN())),OFFSET($BN$2,0,0,ROW()-1,60),ROW()-1,FALSE))</f>
        <v>82.674999999999997</v>
      </c>
      <c r="AT72">
        <f ca="1">IF(AND(ISNUMBER($AT$529),$B$419=1),$AT$529,HLOOKUP(INDIRECT(ADDRESS(2,COLUMN())),OFFSET($BN$2,0,0,ROW()-1,60),ROW()-1,FALSE))</f>
        <v>82.215999999999994</v>
      </c>
      <c r="AU72">
        <f ca="1">IF(AND(ISNUMBER($AU$529),$B$419=1),$AU$529,HLOOKUP(INDIRECT(ADDRESS(2,COLUMN())),OFFSET($BN$2,0,0,ROW()-1,60),ROW()-1,FALSE))</f>
        <v>82.62</v>
      </c>
      <c r="AV72">
        <f ca="1">IF(AND(ISNUMBER($AV$529),$B$419=1),$AV$529,HLOOKUP(INDIRECT(ADDRESS(2,COLUMN())),OFFSET($BN$2,0,0,ROW()-1,60),ROW()-1,FALSE))</f>
        <v>80.546000000000006</v>
      </c>
      <c r="AW72">
        <f ca="1">IF(AND(ISNUMBER($AW$529),$B$419=1),$AW$529,HLOOKUP(INDIRECT(ADDRESS(2,COLUMN())),OFFSET($BN$2,0,0,ROW()-1,60),ROW()-1,FALSE))</f>
        <v>80.564999999999998</v>
      </c>
      <c r="AX72">
        <f ca="1">IF(AND(ISNUMBER($AX$529),$B$419=1),$AX$529,HLOOKUP(INDIRECT(ADDRESS(2,COLUMN())),OFFSET($BN$2,0,0,ROW()-1,60),ROW()-1,FALSE))</f>
        <v>76.897000000000006</v>
      </c>
      <c r="AY72">
        <f ca="1">IF(AND(ISNUMBER($AY$529),$B$419=1),$AY$529,HLOOKUP(INDIRECT(ADDRESS(2,COLUMN())),OFFSET($BN$2,0,0,ROW()-1,60),ROW()-1,FALSE))</f>
        <v>65.147999999999996</v>
      </c>
      <c r="AZ72">
        <f ca="1">IF(AND(ISNUMBER($AZ$529),$B$419=1),$AZ$529,HLOOKUP(INDIRECT(ADDRESS(2,COLUMN())),OFFSET($BN$2,0,0,ROW()-1,60),ROW()-1,FALSE))</f>
        <v>77.001000000000005</v>
      </c>
      <c r="BA72">
        <f ca="1">IF(AND(ISNUMBER($BA$529),$B$419=1),$BA$529,HLOOKUP(INDIRECT(ADDRESS(2,COLUMN())),OFFSET($BN$2,0,0,ROW()-1,60),ROW()-1,FALSE))</f>
        <v>74.521000000000001</v>
      </c>
      <c r="BB72">
        <f ca="1">IF(AND(ISNUMBER($BB$529),$B$419=1),$BB$529,HLOOKUP(INDIRECT(ADDRESS(2,COLUMN())),OFFSET($BN$2,0,0,ROW()-1,60),ROW()-1,FALSE))</f>
        <v>72.347999999999999</v>
      </c>
      <c r="BC72">
        <f ca="1">IF(AND(ISNUMBER($BC$529),$B$419=1),$BC$529,HLOOKUP(INDIRECT(ADDRESS(2,COLUMN())),OFFSET($BN$2,0,0,ROW()-1,60),ROW()-1,FALSE))</f>
        <v>66.775999999999996</v>
      </c>
      <c r="BD72">
        <f ca="1">IF(AND(ISNUMBER($BD$529),$B$419=1),$BD$529,HLOOKUP(INDIRECT(ADDRESS(2,COLUMN())),OFFSET($BN$2,0,0,ROW()-1,60),ROW()-1,FALSE))</f>
        <v>69.495000000000005</v>
      </c>
      <c r="BE72">
        <f ca="1">IF(AND(ISNUMBER($BE$529),$B$419=1),$BE$529,HLOOKUP(INDIRECT(ADDRESS(2,COLUMN())),OFFSET($BN$2,0,0,ROW()-1,60),ROW()-1,FALSE))</f>
        <v>67.656000000000006</v>
      </c>
      <c r="BF72">
        <f ca="1">IF(AND(ISNUMBER($BF$529),$B$419=1),$BF$529,HLOOKUP(INDIRECT(ADDRESS(2,COLUMN())),OFFSET($BN$2,0,0,ROW()-1,60),ROW()-1,FALSE))</f>
        <v>65.513000000000005</v>
      </c>
      <c r="BG72">
        <f ca="1">IF(AND(ISNUMBER($BG$529),$B$419=1),$BG$529,HLOOKUP(INDIRECT(ADDRESS(2,COLUMN())),OFFSET($BN$2,0,0,ROW()-1,60),ROW()-1,FALSE))</f>
        <v>59.822998050000002</v>
      </c>
      <c r="BH72">
        <f ca="1">IF(AND(ISNUMBER($BH$529),$B$419=1),$BH$529,HLOOKUP(INDIRECT(ADDRESS(2,COLUMN())),OFFSET($BN$2,0,0,ROW()-1,60),ROW()-1,FALSE))</f>
        <v>65.478999999999999</v>
      </c>
      <c r="BI72">
        <f ca="1">IF(AND(ISNUMBER($BI$529),$B$419=1),$BI$529,HLOOKUP(INDIRECT(ADDRESS(2,COLUMN())),OFFSET($BN$2,0,0,ROW()-1,60),ROW()-1,FALSE))</f>
        <v>60.109996799999998</v>
      </c>
      <c r="BJ72">
        <f ca="1">IF(AND(ISNUMBER($BJ$529),$B$419=1),$BJ$529,HLOOKUP(INDIRECT(ADDRESS(2,COLUMN())),OFFSET($BN$2,0,0,ROW()-1,60),ROW()-1,FALSE))</f>
        <v>58.018999999999998</v>
      </c>
      <c r="BK72">
        <f ca="1">IF(AND(ISNUMBER($BK$529),$B$419=1),$BK$529,HLOOKUP(INDIRECT(ADDRESS(2,COLUMN())),OFFSET($BN$2,0,0,ROW()-1,60),ROW()-1,FALSE))</f>
        <v>60.558999999999997</v>
      </c>
      <c r="BL72">
        <f ca="1">IF(AND(ISNUMBER($BL$529),$B$419=1),$BL$529,HLOOKUP(INDIRECT(ADDRESS(2,COLUMN())),OFFSET($BN$2,0,0,ROW()-1,60),ROW()-1,FALSE))</f>
        <v>53.262999999999998</v>
      </c>
      <c r="BM72">
        <f ca="1">IF(AND(ISNUMBER($BM$529),$B$419=1),$BM$529,HLOOKUP(INDIRECT(ADDRESS(2,COLUMN())),OFFSET($BN$2,0,0,ROW()-1,60),ROW()-1,FALSE))</f>
        <v>52.393999999999998</v>
      </c>
      <c r="BN72" t="str">
        <f>""</f>
        <v/>
      </c>
      <c r="BO72">
        <f>146.582</f>
        <v>146.58199999999999</v>
      </c>
      <c r="BP72">
        <f>143.306</f>
        <v>143.30600000000001</v>
      </c>
      <c r="BQ72">
        <f>140.596</f>
        <v>140.596</v>
      </c>
      <c r="BR72">
        <f>138.248</f>
        <v>138.24799999999999</v>
      </c>
      <c r="BS72">
        <f>136.808</f>
        <v>136.80799999999999</v>
      </c>
      <c r="BT72">
        <f>133.908</f>
        <v>133.90799999999999</v>
      </c>
      <c r="BU72">
        <f>132.56</f>
        <v>132.56</v>
      </c>
      <c r="BV72">
        <f>129.695</f>
        <v>129.69499999999999</v>
      </c>
      <c r="BW72">
        <f>127.149</f>
        <v>127.149</v>
      </c>
      <c r="BX72">
        <f>125.319</f>
        <v>125.319</v>
      </c>
      <c r="BY72">
        <f>122.594</f>
        <v>122.59399999999999</v>
      </c>
      <c r="BZ72">
        <f>119.333</f>
        <v>119.333</v>
      </c>
      <c r="CA72">
        <f>118.392</f>
        <v>118.392</v>
      </c>
      <c r="CB72">
        <f>113.83</f>
        <v>113.83</v>
      </c>
      <c r="CC72">
        <f>111.814</f>
        <v>111.81399999999999</v>
      </c>
      <c r="CD72">
        <f>110.363</f>
        <v>110.363</v>
      </c>
      <c r="CE72">
        <f>109.858</f>
        <v>109.858</v>
      </c>
      <c r="CF72">
        <f>106.863</f>
        <v>106.863</v>
      </c>
      <c r="CG72">
        <f>107.371</f>
        <v>107.371</v>
      </c>
      <c r="CH72">
        <f>105.543</f>
        <v>105.54300000000001</v>
      </c>
      <c r="CI72">
        <f>105.003</f>
        <v>105.003</v>
      </c>
      <c r="CJ72">
        <f>100.516</f>
        <v>100.51600000000001</v>
      </c>
      <c r="CK72">
        <f>98.353</f>
        <v>98.352999999999994</v>
      </c>
      <c r="CL72">
        <f>98.494</f>
        <v>98.494</v>
      </c>
      <c r="CM72">
        <f>94.211</f>
        <v>94.210999999999999</v>
      </c>
      <c r="CN72">
        <f>92.372</f>
        <v>92.372</v>
      </c>
      <c r="CO72">
        <f>92.32</f>
        <v>92.32</v>
      </c>
      <c r="CP72">
        <f>89.629</f>
        <v>89.629000000000005</v>
      </c>
      <c r="CQ72">
        <f>90.855</f>
        <v>90.855000000000004</v>
      </c>
      <c r="CR72">
        <f>87.312</f>
        <v>87.311999999999998</v>
      </c>
      <c r="CS72">
        <f>89.297</f>
        <v>89.296999999999997</v>
      </c>
      <c r="CT72">
        <f>86.356</f>
        <v>86.355999999999995</v>
      </c>
      <c r="CU72">
        <f>87.974</f>
        <v>87.974000000000004</v>
      </c>
      <c r="CV72">
        <f>87.317</f>
        <v>87.316999999999993</v>
      </c>
      <c r="CW72">
        <f>86.189</f>
        <v>86.188999999999993</v>
      </c>
      <c r="CX72">
        <f>84.677</f>
        <v>84.677000000000007</v>
      </c>
      <c r="CY72">
        <f>87.25</f>
        <v>87.25</v>
      </c>
      <c r="CZ72">
        <f>84.355</f>
        <v>84.355000000000004</v>
      </c>
      <c r="DA72">
        <f>82.675</f>
        <v>82.674999999999997</v>
      </c>
      <c r="DB72">
        <f>82.216</f>
        <v>82.215999999999994</v>
      </c>
      <c r="DC72">
        <f>82.62</f>
        <v>82.62</v>
      </c>
      <c r="DD72">
        <f>80.546</f>
        <v>80.546000000000006</v>
      </c>
      <c r="DE72">
        <f>80.565</f>
        <v>80.564999999999998</v>
      </c>
      <c r="DF72">
        <f>76.897</f>
        <v>76.897000000000006</v>
      </c>
      <c r="DG72">
        <f>65.148</f>
        <v>65.147999999999996</v>
      </c>
      <c r="DH72">
        <f>77.001</f>
        <v>77.001000000000005</v>
      </c>
      <c r="DI72">
        <f>74.521</f>
        <v>74.521000000000001</v>
      </c>
      <c r="DJ72">
        <f>72.348</f>
        <v>72.347999999999999</v>
      </c>
      <c r="DK72">
        <f>66.776</f>
        <v>66.775999999999996</v>
      </c>
      <c r="DL72">
        <f>69.495</f>
        <v>69.495000000000005</v>
      </c>
      <c r="DM72">
        <f>67.656</f>
        <v>67.656000000000006</v>
      </c>
      <c r="DN72">
        <f>65.513</f>
        <v>65.513000000000005</v>
      </c>
      <c r="DO72">
        <f>59.82299805</f>
        <v>59.822998050000002</v>
      </c>
      <c r="DP72">
        <f>65.479</f>
        <v>65.478999999999999</v>
      </c>
      <c r="DQ72">
        <f>60.1099968</f>
        <v>60.109996799999998</v>
      </c>
      <c r="DR72">
        <f>58.019</f>
        <v>58.018999999999998</v>
      </c>
      <c r="DS72">
        <f>60.559</f>
        <v>60.558999999999997</v>
      </c>
      <c r="DT72">
        <f>53.263</f>
        <v>53.262999999999998</v>
      </c>
      <c r="DU72">
        <f>52.394</f>
        <v>52.393999999999998</v>
      </c>
    </row>
    <row r="73" spans="1:125">
      <c r="A73" t="str">
        <f>"    Kimco Realty Corp"</f>
        <v xml:space="preserve">    Kimco Realty Corp</v>
      </c>
      <c r="B73" t="str">
        <f>"KIM US Equity"</f>
        <v>KIM US Equity</v>
      </c>
      <c r="C73" t="str">
        <f t="shared" si="12"/>
        <v>RR502</v>
      </c>
      <c r="D73" t="str">
        <f t="shared" si="13"/>
        <v>NET_OPER_INCOME</v>
      </c>
      <c r="E73" t="str">
        <f t="shared" si="14"/>
        <v>动态</v>
      </c>
      <c r="F73" t="str">
        <f ca="1">IF(AND(ISNUMBER($F$530),$B$419=1),$F$530,HLOOKUP(INDIRECT(ADDRESS(2,COLUMN())),OFFSET($BN$2,0,0,ROW()-1,60),ROW()-1,FALSE))</f>
        <v/>
      </c>
      <c r="G73">
        <f ca="1">IF(AND(ISNUMBER($G$530),$B$419=1),$G$530,HLOOKUP(INDIRECT(ADDRESS(2,COLUMN())),OFFSET($BN$2,0,0,ROW()-1,60),ROW()-1,FALSE))</f>
        <v>230.65</v>
      </c>
      <c r="H73">
        <f ca="1">IF(AND(ISNUMBER($H$530),$B$419=1),$H$530,HLOOKUP(INDIRECT(ADDRESS(2,COLUMN())),OFFSET($BN$2,0,0,ROW()-1,60),ROW()-1,FALSE))</f>
        <v>220.52099999999999</v>
      </c>
      <c r="I73">
        <f ca="1">IF(AND(ISNUMBER($I$530),$B$419=1),$I$530,HLOOKUP(INDIRECT(ADDRESS(2,COLUMN())),OFFSET($BN$2,0,0,ROW()-1,60),ROW()-1,FALSE))</f>
        <v>220.22900000000001</v>
      </c>
      <c r="J73">
        <f ca="1">IF(AND(ISNUMBER($J$530),$B$419=1),$J$530,HLOOKUP(INDIRECT(ADDRESS(2,COLUMN())),OFFSET($BN$2,0,0,ROW()-1,60),ROW()-1,FALSE))</f>
        <v>218.30600000000001</v>
      </c>
      <c r="K73">
        <f ca="1">IF(AND(ISNUMBER($K$530),$B$419=1),$K$530,HLOOKUP(INDIRECT(ADDRESS(2,COLUMN())),OFFSET($BN$2,0,0,ROW()-1,60),ROW()-1,FALSE))</f>
        <v>215.114</v>
      </c>
      <c r="L73">
        <f ca="1">IF(AND(ISNUMBER($L$530),$B$419=1),$L$530,HLOOKUP(INDIRECT(ADDRESS(2,COLUMN())),OFFSET($BN$2,0,0,ROW()-1,60),ROW()-1,FALSE))</f>
        <v>212.05500000000001</v>
      </c>
      <c r="M73">
        <f ca="1">IF(AND(ISNUMBER($M$530),$B$419=1),$M$530,HLOOKUP(INDIRECT(ADDRESS(2,COLUMN())),OFFSET($BN$2,0,0,ROW()-1,60),ROW()-1,FALSE))</f>
        <v>219.74600000000001</v>
      </c>
      <c r="N73">
        <f ca="1">IF(AND(ISNUMBER($N$530),$B$419=1),$N$530,HLOOKUP(INDIRECT(ADDRESS(2,COLUMN())),OFFSET($BN$2,0,0,ROW()-1,60),ROW()-1,FALSE))</f>
        <v>225.35900000000001</v>
      </c>
      <c r="O73">
        <f ca="1">IF(AND(ISNUMBER($O$530),$B$419=1),$O$530,HLOOKUP(INDIRECT(ADDRESS(2,COLUMN())),OFFSET($BN$2,0,0,ROW()-1,60),ROW()-1,FALSE))</f>
        <v>220.14099999999999</v>
      </c>
      <c r="P73">
        <f ca="1">IF(AND(ISNUMBER($P$530),$B$419=1),$P$530,HLOOKUP(INDIRECT(ADDRESS(2,COLUMN())),OFFSET($BN$2,0,0,ROW()-1,60),ROW()-1,FALSE))</f>
        <v>213.983</v>
      </c>
      <c r="Q73">
        <f ca="1">IF(AND(ISNUMBER($Q$530),$B$419=1),$Q$530,HLOOKUP(INDIRECT(ADDRESS(2,COLUMN())),OFFSET($BN$2,0,0,ROW()-1,60),ROW()-1,FALSE))</f>
        <v>218.24</v>
      </c>
      <c r="R73">
        <f ca="1">IF(AND(ISNUMBER($R$530),$B$419=1),$R$530,HLOOKUP(INDIRECT(ADDRESS(2,COLUMN())),OFFSET($BN$2,0,0,ROW()-1,60),ROW()-1,FALSE))</f>
        <v>209.928</v>
      </c>
      <c r="S73">
        <f ca="1">IF(AND(ISNUMBER($S$530),$B$419=1),$S$530,HLOOKUP(INDIRECT(ADDRESS(2,COLUMN())),OFFSET($BN$2,0,0,ROW()-1,60),ROW()-1,FALSE))</f>
        <v>193.417</v>
      </c>
      <c r="T73">
        <f ca="1">IF(AND(ISNUMBER($T$530),$B$419=1),$T$530,HLOOKUP(INDIRECT(ADDRESS(2,COLUMN())),OFFSET($BN$2,0,0,ROW()-1,60),ROW()-1,FALSE))</f>
        <v>189.64400000000001</v>
      </c>
      <c r="U73">
        <f ca="1">IF(AND(ISNUMBER($U$530),$B$419=1),$U$530,HLOOKUP(INDIRECT(ADDRESS(2,COLUMN())),OFFSET($BN$2,0,0,ROW()-1,60),ROW()-1,FALSE))</f>
        <v>182.75700000000001</v>
      </c>
      <c r="V73">
        <f ca="1">IF(AND(ISNUMBER($V$530),$B$419=1),$V$530,HLOOKUP(INDIRECT(ADDRESS(2,COLUMN())),OFFSET($BN$2,0,0,ROW()-1,60),ROW()-1,FALSE))</f>
        <v>169.46199999999999</v>
      </c>
      <c r="W73">
        <f ca="1">IF(AND(ISNUMBER($W$530),$B$419=1),$W$530,HLOOKUP(INDIRECT(ADDRESS(2,COLUMN())),OFFSET($BN$2,0,0,ROW()-1,60),ROW()-1,FALSE))</f>
        <v>164.928</v>
      </c>
      <c r="X73">
        <f ca="1">IF(AND(ISNUMBER($X$530),$B$419=1),$X$530,HLOOKUP(INDIRECT(ADDRESS(2,COLUMN())),OFFSET($BN$2,0,0,ROW()-1,60),ROW()-1,FALSE))</f>
        <v>166.22499999999999</v>
      </c>
      <c r="Y73">
        <f ca="1">IF(AND(ISNUMBER($Y$530),$B$419=1),$Y$530,HLOOKUP(INDIRECT(ADDRESS(2,COLUMN())),OFFSET($BN$2,0,0,ROW()-1,60),ROW()-1,FALSE))</f>
        <v>182.44499999999999</v>
      </c>
      <c r="Z73">
        <f ca="1">IF(AND(ISNUMBER($Z$530),$B$419=1),$Z$530,HLOOKUP(INDIRECT(ADDRESS(2,COLUMN())),OFFSET($BN$2,0,0,ROW()-1,60),ROW()-1,FALSE))</f>
        <v>169.571</v>
      </c>
      <c r="AA73">
        <f ca="1">IF(AND(ISNUMBER($AA$530),$B$419=1),$AA$530,HLOOKUP(INDIRECT(ADDRESS(2,COLUMN())),OFFSET($BN$2,0,0,ROW()-1,60),ROW()-1,FALSE))</f>
        <v>161.03</v>
      </c>
      <c r="AB73">
        <f ca="1">IF(AND(ISNUMBER($AB$530),$B$419=1),$AB$530,HLOOKUP(INDIRECT(ADDRESS(2,COLUMN())),OFFSET($BN$2,0,0,ROW()-1,60),ROW()-1,FALSE))</f>
        <v>165.43700000000001</v>
      </c>
      <c r="AC73">
        <f ca="1">IF(AND(ISNUMBER($AC$530),$B$419=1),$AC$530,HLOOKUP(INDIRECT(ADDRESS(2,COLUMN())),OFFSET($BN$2,0,0,ROW()-1,60),ROW()-1,FALSE))</f>
        <v>168.85400000000001</v>
      </c>
      <c r="AD73">
        <f ca="1">IF(AND(ISNUMBER($AD$530),$B$419=1),$AD$530,HLOOKUP(INDIRECT(ADDRESS(2,COLUMN())),OFFSET($BN$2,0,0,ROW()-1,60),ROW()-1,FALSE))</f>
        <v>166.15899999999999</v>
      </c>
      <c r="AE73">
        <f ca="1">IF(AND(ISNUMBER($AE$530),$B$419=1),$AE$530,HLOOKUP(INDIRECT(ADDRESS(2,COLUMN())),OFFSET($BN$2,0,0,ROW()-1,60),ROW()-1,FALSE))</f>
        <v>159.44499999999999</v>
      </c>
      <c r="AF73">
        <f ca="1">IF(AND(ISNUMBER($AF$530),$B$419=1),$AF$530,HLOOKUP(INDIRECT(ADDRESS(2,COLUMN())),OFFSET($BN$2,0,0,ROW()-1,60),ROW()-1,FALSE))</f>
        <v>154.428</v>
      </c>
      <c r="AG73">
        <f ca="1">IF(AND(ISNUMBER($AG$530),$B$419=1),$AG$530,HLOOKUP(INDIRECT(ADDRESS(2,COLUMN())),OFFSET($BN$2,0,0,ROW()-1,60),ROW()-1,FALSE))</f>
        <v>161.25800000000001</v>
      </c>
      <c r="AH73">
        <f ca="1">IF(AND(ISNUMBER($AH$530),$B$419=1),$AH$530,HLOOKUP(INDIRECT(ADDRESS(2,COLUMN())),OFFSET($BN$2,0,0,ROW()-1,60),ROW()-1,FALSE))</f>
        <v>159.327</v>
      </c>
      <c r="AI73">
        <f ca="1">IF(AND(ISNUMBER($AI$530),$B$419=1),$AI$530,HLOOKUP(INDIRECT(ADDRESS(2,COLUMN())),OFFSET($BN$2,0,0,ROW()-1,60),ROW()-1,FALSE))</f>
        <v>157.42500000000001</v>
      </c>
      <c r="AJ73">
        <f ca="1">IF(AND(ISNUMBER($AJ$530),$B$419=1),$AJ$530,HLOOKUP(INDIRECT(ADDRESS(2,COLUMN())),OFFSET($BN$2,0,0,ROW()-1,60),ROW()-1,FALSE))</f>
        <v>155.21199999999999</v>
      </c>
      <c r="AK73">
        <f ca="1">IF(AND(ISNUMBER($AK$530),$B$419=1),$AK$530,HLOOKUP(INDIRECT(ADDRESS(2,COLUMN())),OFFSET($BN$2,0,0,ROW()-1,60),ROW()-1,FALSE))</f>
        <v>158.417</v>
      </c>
      <c r="AL73">
        <f ca="1">IF(AND(ISNUMBER($AL$530),$B$419=1),$AL$530,HLOOKUP(INDIRECT(ADDRESS(2,COLUMN())),OFFSET($BN$2,0,0,ROW()-1,60),ROW()-1,FALSE))</f>
        <v>158.78299999999999</v>
      </c>
      <c r="AM73">
        <f ca="1">IF(AND(ISNUMBER($AM$530),$B$419=1),$AM$530,HLOOKUP(INDIRECT(ADDRESS(2,COLUMN())),OFFSET($BN$2,0,0,ROW()-1,60),ROW()-1,FALSE))</f>
        <v>152.86799999999999</v>
      </c>
      <c r="AN73">
        <f ca="1">IF(AND(ISNUMBER($AN$530),$B$419=1),$AN$530,HLOOKUP(INDIRECT(ADDRESS(2,COLUMN())),OFFSET($BN$2,0,0,ROW()-1,60),ROW()-1,FALSE))</f>
        <v>142.65</v>
      </c>
      <c r="AO73">
        <f ca="1">IF(AND(ISNUMBER($AO$530),$B$419=1),$AO$530,HLOOKUP(INDIRECT(ADDRESS(2,COLUMN())),OFFSET($BN$2,0,0,ROW()-1,60),ROW()-1,FALSE))</f>
        <v>143.95699999999999</v>
      </c>
      <c r="AP73">
        <f ca="1">IF(AND(ISNUMBER($AP$530),$B$419=1),$AP$530,HLOOKUP(INDIRECT(ADDRESS(2,COLUMN())),OFFSET($BN$2,0,0,ROW()-1,60),ROW()-1,FALSE))</f>
        <v>144.93100000000001</v>
      </c>
      <c r="AQ73">
        <f ca="1">IF(AND(ISNUMBER($AQ$530),$B$419=1),$AQ$530,HLOOKUP(INDIRECT(ADDRESS(2,COLUMN())),OFFSET($BN$2,0,0,ROW()-1,60),ROW()-1,FALSE))</f>
        <v>150.96899999999999</v>
      </c>
      <c r="AR73">
        <f ca="1">IF(AND(ISNUMBER($AR$530),$B$419=1),$AR$530,HLOOKUP(INDIRECT(ADDRESS(2,COLUMN())),OFFSET($BN$2,0,0,ROW()-1,60),ROW()-1,FALSE))</f>
        <v>148.80199999999999</v>
      </c>
      <c r="AS73">
        <f ca="1">IF(AND(ISNUMBER($AS$530),$B$419=1),$AS$530,HLOOKUP(INDIRECT(ADDRESS(2,COLUMN())),OFFSET($BN$2,0,0,ROW()-1,60),ROW()-1,FALSE))</f>
        <v>144.018</v>
      </c>
      <c r="AT73">
        <f ca="1">IF(AND(ISNUMBER($AT$530),$B$419=1),$AT$530,HLOOKUP(INDIRECT(ADDRESS(2,COLUMN())),OFFSET($BN$2,0,0,ROW()-1,60),ROW()-1,FALSE))</f>
        <v>146.51499999999999</v>
      </c>
      <c r="AU73">
        <f ca="1">IF(AND(ISNUMBER($AU$530),$B$419=1),$AU$530,HLOOKUP(INDIRECT(ADDRESS(2,COLUMN())),OFFSET($BN$2,0,0,ROW()-1,60),ROW()-1,FALSE))</f>
        <v>137.76400000000001</v>
      </c>
      <c r="AV73">
        <f ca="1">IF(AND(ISNUMBER($AV$530),$B$419=1),$AV$530,HLOOKUP(INDIRECT(ADDRESS(2,COLUMN())),OFFSET($BN$2,0,0,ROW()-1,60),ROW()-1,FALSE))</f>
        <v>138.346</v>
      </c>
      <c r="AW73">
        <f ca="1">IF(AND(ISNUMBER($AW$530),$B$419=1),$AW$530,HLOOKUP(INDIRECT(ADDRESS(2,COLUMN())),OFFSET($BN$2,0,0,ROW()-1,60),ROW()-1,FALSE))</f>
        <v>136.791</v>
      </c>
      <c r="AX73">
        <f ca="1">IF(AND(ISNUMBER($AX$530),$B$419=1),$AX$530,HLOOKUP(INDIRECT(ADDRESS(2,COLUMN())),OFFSET($BN$2,0,0,ROW()-1,60),ROW()-1,FALSE))</f>
        <v>132.74</v>
      </c>
      <c r="AY73">
        <f ca="1">IF(AND(ISNUMBER($AY$530),$B$419=1),$AY$530,HLOOKUP(INDIRECT(ADDRESS(2,COLUMN())),OFFSET($BN$2,0,0,ROW()-1,60),ROW()-1,FALSE))</f>
        <v>133.833</v>
      </c>
      <c r="AZ73">
        <f ca="1">IF(AND(ISNUMBER($AZ$530),$B$419=1),$AZ$530,HLOOKUP(INDIRECT(ADDRESS(2,COLUMN())),OFFSET($BN$2,0,0,ROW()-1,60),ROW()-1,FALSE))</f>
        <v>108.84399999999999</v>
      </c>
      <c r="BA73">
        <f ca="1">IF(AND(ISNUMBER($BA$530),$B$419=1),$BA$530,HLOOKUP(INDIRECT(ADDRESS(2,COLUMN())),OFFSET($BN$2,0,0,ROW()-1,60),ROW()-1,FALSE))</f>
        <v>119.16</v>
      </c>
      <c r="BB73">
        <f ca="1">IF(AND(ISNUMBER($BB$530),$B$419=1),$BB$530,HLOOKUP(INDIRECT(ADDRESS(2,COLUMN())),OFFSET($BN$2,0,0,ROW()-1,60),ROW()-1,FALSE))</f>
        <v>107.55500000000001</v>
      </c>
      <c r="BC73">
        <f ca="1">IF(AND(ISNUMBER($BC$530),$B$419=1),$BC$530,HLOOKUP(INDIRECT(ADDRESS(2,COLUMN())),OFFSET($BN$2,0,0,ROW()-1,60),ROW()-1,FALSE))</f>
        <v>97.715999999999994</v>
      </c>
      <c r="BD73">
        <f ca="1">IF(AND(ISNUMBER($BD$530),$B$419=1),$BD$530,HLOOKUP(INDIRECT(ADDRESS(2,COLUMN())),OFFSET($BN$2,0,0,ROW()-1,60),ROW()-1,FALSE))</f>
        <v>102.652</v>
      </c>
      <c r="BE73">
        <f ca="1">IF(AND(ISNUMBER($BE$530),$B$419=1),$BE$530,HLOOKUP(INDIRECT(ADDRESS(2,COLUMN())),OFFSET($BN$2,0,0,ROW()-1,60),ROW()-1,FALSE))</f>
        <v>100.976</v>
      </c>
      <c r="BF73">
        <f ca="1">IF(AND(ISNUMBER($BF$530),$B$419=1),$BF$530,HLOOKUP(INDIRECT(ADDRESS(2,COLUMN())),OFFSET($BN$2,0,0,ROW()-1,60),ROW()-1,FALSE))</f>
        <v>100.974</v>
      </c>
      <c r="BG73">
        <f ca="1">IF(AND(ISNUMBER($BG$530),$B$419=1),$BG$530,HLOOKUP(INDIRECT(ADDRESS(2,COLUMN())),OFFSET($BN$2,0,0,ROW()-1,60),ROW()-1,FALSE))</f>
        <v>96.363</v>
      </c>
      <c r="BH73">
        <f ca="1">IF(AND(ISNUMBER($BH$530),$B$419=1),$BH$530,HLOOKUP(INDIRECT(ADDRESS(2,COLUMN())),OFFSET($BN$2,0,0,ROW()-1,60),ROW()-1,FALSE))</f>
        <v>95.78</v>
      </c>
      <c r="BI73">
        <f ca="1">IF(AND(ISNUMBER($BI$530),$B$419=1),$BI$530,HLOOKUP(INDIRECT(ADDRESS(2,COLUMN())),OFFSET($BN$2,0,0,ROW()-1,60),ROW()-1,FALSE))</f>
        <v>104.501</v>
      </c>
      <c r="BJ73">
        <f ca="1">IF(AND(ISNUMBER($BJ$530),$B$419=1),$BJ$530,HLOOKUP(INDIRECT(ADDRESS(2,COLUMN())),OFFSET($BN$2,0,0,ROW()-1,60),ROW()-1,FALSE))</f>
        <v>109.14</v>
      </c>
      <c r="BK73">
        <f ca="1">IF(AND(ISNUMBER($BK$530),$B$419=1),$BK$530,HLOOKUP(INDIRECT(ADDRESS(2,COLUMN())),OFFSET($BN$2,0,0,ROW()-1,60),ROW()-1,FALSE))</f>
        <v>97.557000000000002</v>
      </c>
      <c r="BL73">
        <f ca="1">IF(AND(ISNUMBER($BL$530),$B$419=1),$BL$530,HLOOKUP(INDIRECT(ADDRESS(2,COLUMN())),OFFSET($BN$2,0,0,ROW()-1,60),ROW()-1,FALSE))</f>
        <v>91.856995580000003</v>
      </c>
      <c r="BM73">
        <f ca="1">IF(AND(ISNUMBER($BM$530),$B$419=1),$BM$530,HLOOKUP(INDIRECT(ADDRESS(2,COLUMN())),OFFSET($BN$2,0,0,ROW()-1,60),ROW()-1,FALSE))</f>
        <v>88.042000000000002</v>
      </c>
      <c r="BN73" t="str">
        <f>""</f>
        <v/>
      </c>
      <c r="BO73">
        <f>230.65</f>
        <v>230.65</v>
      </c>
      <c r="BP73">
        <f>220.521</f>
        <v>220.52099999999999</v>
      </c>
      <c r="BQ73">
        <f>220.229</f>
        <v>220.22900000000001</v>
      </c>
      <c r="BR73">
        <f>218.306</f>
        <v>218.30600000000001</v>
      </c>
      <c r="BS73">
        <f>215.114</f>
        <v>215.114</v>
      </c>
      <c r="BT73">
        <f>212.055</f>
        <v>212.05500000000001</v>
      </c>
      <c r="BU73">
        <f>219.746</f>
        <v>219.74600000000001</v>
      </c>
      <c r="BV73">
        <f>225.359</f>
        <v>225.35900000000001</v>
      </c>
      <c r="BW73">
        <f>220.141</f>
        <v>220.14099999999999</v>
      </c>
      <c r="BX73">
        <f>213.983</f>
        <v>213.983</v>
      </c>
      <c r="BY73">
        <f>218.24</f>
        <v>218.24</v>
      </c>
      <c r="BZ73">
        <f>209.928</f>
        <v>209.928</v>
      </c>
      <c r="CA73">
        <f>193.417</f>
        <v>193.417</v>
      </c>
      <c r="CB73">
        <f>189.644</f>
        <v>189.64400000000001</v>
      </c>
      <c r="CC73">
        <f>182.757</f>
        <v>182.75700000000001</v>
      </c>
      <c r="CD73">
        <f>169.462</f>
        <v>169.46199999999999</v>
      </c>
      <c r="CE73">
        <f>164.928</f>
        <v>164.928</v>
      </c>
      <c r="CF73">
        <f>166.225</f>
        <v>166.22499999999999</v>
      </c>
      <c r="CG73">
        <f>182.445</f>
        <v>182.44499999999999</v>
      </c>
      <c r="CH73">
        <f>169.571</f>
        <v>169.571</v>
      </c>
      <c r="CI73">
        <f>161.03</f>
        <v>161.03</v>
      </c>
      <c r="CJ73">
        <f>165.437</f>
        <v>165.43700000000001</v>
      </c>
      <c r="CK73">
        <f>168.854</f>
        <v>168.85400000000001</v>
      </c>
      <c r="CL73">
        <f>166.159</f>
        <v>166.15899999999999</v>
      </c>
      <c r="CM73">
        <f>159.445</f>
        <v>159.44499999999999</v>
      </c>
      <c r="CN73">
        <f>154.428</f>
        <v>154.428</v>
      </c>
      <c r="CO73">
        <f>161.258</f>
        <v>161.25800000000001</v>
      </c>
      <c r="CP73">
        <f>159.327</f>
        <v>159.327</v>
      </c>
      <c r="CQ73">
        <f>157.425</f>
        <v>157.42500000000001</v>
      </c>
      <c r="CR73">
        <f>155.212</f>
        <v>155.21199999999999</v>
      </c>
      <c r="CS73">
        <f>158.417</f>
        <v>158.417</v>
      </c>
      <c r="CT73">
        <f>158.783</f>
        <v>158.78299999999999</v>
      </c>
      <c r="CU73">
        <f>152.868</f>
        <v>152.86799999999999</v>
      </c>
      <c r="CV73">
        <f>142.65</f>
        <v>142.65</v>
      </c>
      <c r="CW73">
        <f>143.957</f>
        <v>143.95699999999999</v>
      </c>
      <c r="CX73">
        <f>144.931</f>
        <v>144.93100000000001</v>
      </c>
      <c r="CY73">
        <f>150.969</f>
        <v>150.96899999999999</v>
      </c>
      <c r="CZ73">
        <f>148.802</f>
        <v>148.80199999999999</v>
      </c>
      <c r="DA73">
        <f>144.018</f>
        <v>144.018</v>
      </c>
      <c r="DB73">
        <f>146.515</f>
        <v>146.51499999999999</v>
      </c>
      <c r="DC73">
        <f>137.764</f>
        <v>137.76400000000001</v>
      </c>
      <c r="DD73">
        <f>138.346</f>
        <v>138.346</v>
      </c>
      <c r="DE73">
        <f>136.791</f>
        <v>136.791</v>
      </c>
      <c r="DF73">
        <f>132.74</f>
        <v>132.74</v>
      </c>
      <c r="DG73">
        <f>133.833</f>
        <v>133.833</v>
      </c>
      <c r="DH73">
        <f>108.844</f>
        <v>108.84399999999999</v>
      </c>
      <c r="DI73">
        <f>119.16</f>
        <v>119.16</v>
      </c>
      <c r="DJ73">
        <f>107.555</f>
        <v>107.55500000000001</v>
      </c>
      <c r="DK73">
        <f>97.716</f>
        <v>97.715999999999994</v>
      </c>
      <c r="DL73">
        <f>102.652</f>
        <v>102.652</v>
      </c>
      <c r="DM73">
        <f>100.976</f>
        <v>100.976</v>
      </c>
      <c r="DN73">
        <f>100.974</f>
        <v>100.974</v>
      </c>
      <c r="DO73">
        <f>96.363</f>
        <v>96.363</v>
      </c>
      <c r="DP73">
        <f>95.78</f>
        <v>95.78</v>
      </c>
      <c r="DQ73">
        <f>104.501</f>
        <v>104.501</v>
      </c>
      <c r="DR73">
        <f>109.14</f>
        <v>109.14</v>
      </c>
      <c r="DS73">
        <f>97.557</f>
        <v>97.557000000000002</v>
      </c>
      <c r="DT73">
        <f>91.85699558</f>
        <v>91.856995580000003</v>
      </c>
      <c r="DU73">
        <f>88.042</f>
        <v>88.042000000000002</v>
      </c>
    </row>
    <row r="74" spans="1:125">
      <c r="A74" t="str">
        <f>"    National Retail Properties Inc"</f>
        <v xml:space="preserve">    National Retail Properties Inc</v>
      </c>
      <c r="B74" t="str">
        <f>"NNN US Equity"</f>
        <v>NNN US Equity</v>
      </c>
      <c r="C74" t="str">
        <f t="shared" si="12"/>
        <v>RR502</v>
      </c>
      <c r="D74" t="str">
        <f t="shared" si="13"/>
        <v>NET_OPER_INCOME</v>
      </c>
      <c r="E74" t="str">
        <f t="shared" si="14"/>
        <v>动态</v>
      </c>
      <c r="F74" t="str">
        <f ca="1">IF(AND(ISNUMBER($F$531),$B$419=1),$F$531,HLOOKUP(INDIRECT(ADDRESS(2,COLUMN())),OFFSET($BN$2,0,0,ROW()-1,60),ROW()-1,FALSE))</f>
        <v/>
      </c>
      <c r="G74">
        <f ca="1">IF(AND(ISNUMBER($G$531),$B$419=1),$G$531,HLOOKUP(INDIRECT(ADDRESS(2,COLUMN())),OFFSET($BN$2,0,0,ROW()-1,60),ROW()-1,FALSE))</f>
        <v>143.06</v>
      </c>
      <c r="H74">
        <f ca="1">IF(AND(ISNUMBER($H$531),$B$419=1),$H$531,HLOOKUP(INDIRECT(ADDRESS(2,COLUMN())),OFFSET($BN$2,0,0,ROW()-1,60),ROW()-1,FALSE))</f>
        <v>141.67599999999999</v>
      </c>
      <c r="I74">
        <f ca="1">IF(AND(ISNUMBER($I$531),$B$419=1),$I$531,HLOOKUP(INDIRECT(ADDRESS(2,COLUMN())),OFFSET($BN$2,0,0,ROW()-1,60),ROW()-1,FALSE))</f>
        <v>139.77199999999999</v>
      </c>
      <c r="J74">
        <f ca="1">IF(AND(ISNUMBER($J$531),$B$419=1),$J$531,HLOOKUP(INDIRECT(ADDRESS(2,COLUMN())),OFFSET($BN$2,0,0,ROW()-1,60),ROW()-1,FALSE))</f>
        <v>135.238</v>
      </c>
      <c r="K74">
        <f ca="1">IF(AND(ISNUMBER($K$531),$B$419=1),$K$531,HLOOKUP(INDIRECT(ADDRESS(2,COLUMN())),OFFSET($BN$2,0,0,ROW()-1,60),ROW()-1,FALSE))</f>
        <v>134.124</v>
      </c>
      <c r="L74">
        <f ca="1">IF(AND(ISNUMBER($L$531),$B$419=1),$L$531,HLOOKUP(INDIRECT(ADDRESS(2,COLUMN())),OFFSET($BN$2,0,0,ROW()-1,60),ROW()-1,FALSE))</f>
        <v>128.73599999999999</v>
      </c>
      <c r="M74">
        <f ca="1">IF(AND(ISNUMBER($M$531),$B$419=1),$M$531,HLOOKUP(INDIRECT(ADDRESS(2,COLUMN())),OFFSET($BN$2,0,0,ROW()-1,60),ROW()-1,FALSE))</f>
        <v>125.26300000000001</v>
      </c>
      <c r="N74">
        <f ca="1">IF(AND(ISNUMBER($N$531),$B$419=1),$N$531,HLOOKUP(INDIRECT(ADDRESS(2,COLUMN())),OFFSET($BN$2,0,0,ROW()-1,60),ROW()-1,FALSE))</f>
        <v>120.922</v>
      </c>
      <c r="O74">
        <f ca="1">IF(AND(ISNUMBER($O$531),$B$419=1),$O$531,HLOOKUP(INDIRECT(ADDRESS(2,COLUMN())),OFFSET($BN$2,0,0,ROW()-1,60),ROW()-1,FALSE))</f>
        <v>120.092</v>
      </c>
      <c r="P74">
        <f ca="1">IF(AND(ISNUMBER($P$531),$B$419=1),$P$531,HLOOKUP(INDIRECT(ADDRESS(2,COLUMN())),OFFSET($BN$2,0,0,ROW()-1,60),ROW()-1,FALSE))</f>
        <v>117.236</v>
      </c>
      <c r="Q74">
        <f ca="1">IF(AND(ISNUMBER($Q$531),$B$419=1),$Q$531,HLOOKUP(INDIRECT(ADDRESS(2,COLUMN())),OFFSET($BN$2,0,0,ROW()-1,60),ROW()-1,FALSE))</f>
        <v>111.49299999999999</v>
      </c>
      <c r="R74">
        <f ca="1">IF(AND(ISNUMBER($R$531),$B$419=1),$R$531,HLOOKUP(INDIRECT(ADDRESS(2,COLUMN())),OFFSET($BN$2,0,0,ROW()-1,60),ROW()-1,FALSE))</f>
        <v>110.41500000000001</v>
      </c>
      <c r="S74">
        <f ca="1">IF(AND(ISNUMBER($S$531),$B$419=1),$S$531,HLOOKUP(INDIRECT(ADDRESS(2,COLUMN())),OFFSET($BN$2,0,0,ROW()-1,60),ROW()-1,FALSE))</f>
        <v>109.105</v>
      </c>
      <c r="T74">
        <f ca="1">IF(AND(ISNUMBER($T$531),$B$419=1),$T$531,HLOOKUP(INDIRECT(ADDRESS(2,COLUMN())),OFFSET($BN$2,0,0,ROW()-1,60),ROW()-1,FALSE))</f>
        <v>103.93</v>
      </c>
      <c r="U74">
        <f ca="1">IF(AND(ISNUMBER($U$531),$B$419=1),$U$531,HLOOKUP(INDIRECT(ADDRESS(2,COLUMN())),OFFSET($BN$2,0,0,ROW()-1,60),ROW()-1,FALSE))</f>
        <v>99.435000000000002</v>
      </c>
      <c r="V74">
        <f ca="1">IF(AND(ISNUMBER($V$531),$B$419=1),$V$531,HLOOKUP(INDIRECT(ADDRESS(2,COLUMN())),OFFSET($BN$2,0,0,ROW()-1,60),ROW()-1,FALSE))</f>
        <v>98.037000000000006</v>
      </c>
      <c r="W74">
        <f ca="1">IF(AND(ISNUMBER($W$531),$B$419=1),$W$531,HLOOKUP(INDIRECT(ADDRESS(2,COLUMN())),OFFSET($BN$2,0,0,ROW()-1,60),ROW()-1,FALSE))</f>
        <v>97.491</v>
      </c>
      <c r="X74">
        <f ca="1">IF(AND(ISNUMBER($X$531),$B$419=1),$X$531,HLOOKUP(INDIRECT(ADDRESS(2,COLUMN())),OFFSET($BN$2,0,0,ROW()-1,60),ROW()-1,FALSE))</f>
        <v>94.731999999999999</v>
      </c>
      <c r="Y74">
        <f ca="1">IF(AND(ISNUMBER($Y$531),$B$419=1),$Y$531,HLOOKUP(INDIRECT(ADDRESS(2,COLUMN())),OFFSET($BN$2,0,0,ROW()-1,60),ROW()-1,FALSE))</f>
        <v>90.474000000000004</v>
      </c>
      <c r="Z74">
        <f ca="1">IF(AND(ISNUMBER($Z$531),$B$419=1),$Z$531,HLOOKUP(INDIRECT(ADDRESS(2,COLUMN())),OFFSET($BN$2,0,0,ROW()-1,60),ROW()-1,FALSE))</f>
        <v>87.001999999999995</v>
      </c>
      <c r="AA74">
        <f ca="1">IF(AND(ISNUMBER($AA$531),$B$419=1),$AA$531,HLOOKUP(INDIRECT(ADDRESS(2,COLUMN())),OFFSET($BN$2,0,0,ROW()-1,60),ROW()-1,FALSE))</f>
        <v>83.361000000000004</v>
      </c>
      <c r="AB74">
        <f ca="1">IF(AND(ISNUMBER($AB$531),$B$419=1),$AB$531,HLOOKUP(INDIRECT(ADDRESS(2,COLUMN())),OFFSET($BN$2,0,0,ROW()-1,60),ROW()-1,FALSE))</f>
        <v>78.873000000000005</v>
      </c>
      <c r="AC74">
        <f ca="1">IF(AND(ISNUMBER($AC$531),$B$419=1),$AC$531,HLOOKUP(INDIRECT(ADDRESS(2,COLUMN())),OFFSET($BN$2,0,0,ROW()-1,60),ROW()-1,FALSE))</f>
        <v>75.262</v>
      </c>
      <c r="AD74">
        <f ca="1">IF(AND(ISNUMBER($AD$531),$B$419=1),$AD$531,HLOOKUP(INDIRECT(ADDRESS(2,COLUMN())),OFFSET($BN$2,0,0,ROW()-1,60),ROW()-1,FALSE))</f>
        <v>70.718999999999994</v>
      </c>
      <c r="AE74">
        <f ca="1">IF(AND(ISNUMBER($AE$531),$B$419=1),$AE$531,HLOOKUP(INDIRECT(ADDRESS(2,COLUMN())),OFFSET($BN$2,0,0,ROW()-1,60),ROW()-1,FALSE))</f>
        <v>66.748000000000005</v>
      </c>
      <c r="AF74">
        <f ca="1">IF(AND(ISNUMBER($AF$531),$B$419=1),$AF$531,HLOOKUP(INDIRECT(ADDRESS(2,COLUMN())),OFFSET($BN$2,0,0,ROW()-1,60),ROW()-1,FALSE))</f>
        <v>60.39</v>
      </c>
      <c r="AG74">
        <f ca="1">IF(AND(ISNUMBER($AG$531),$B$419=1),$AG$531,HLOOKUP(INDIRECT(ADDRESS(2,COLUMN())),OFFSET($BN$2,0,0,ROW()-1,60),ROW()-1,FALSE))</f>
        <v>55.933</v>
      </c>
      <c r="AH74">
        <f ca="1">IF(AND(ISNUMBER($AH$531),$B$419=1),$AH$531,HLOOKUP(INDIRECT(ADDRESS(2,COLUMN())),OFFSET($BN$2,0,0,ROW()-1,60),ROW()-1,FALSE))</f>
        <v>55.75</v>
      </c>
      <c r="AI74">
        <f ca="1">IF(AND(ISNUMBER($AI$531),$B$419=1),$AI$531,HLOOKUP(INDIRECT(ADDRESS(2,COLUMN())),OFFSET($BN$2,0,0,ROW()-1,60),ROW()-1,FALSE))</f>
        <v>54.408999999999999</v>
      </c>
      <c r="AJ74">
        <f ca="1">IF(AND(ISNUMBER($AJ$531),$B$419=1),$AJ$531,HLOOKUP(INDIRECT(ADDRESS(2,COLUMN())),OFFSET($BN$2,0,0,ROW()-1,60),ROW()-1,FALSE))</f>
        <v>51.25</v>
      </c>
      <c r="AK74">
        <f ca="1">IF(AND(ISNUMBER($AK$531),$B$419=1),$AK$531,HLOOKUP(INDIRECT(ADDRESS(2,COLUMN())),OFFSET($BN$2,0,0,ROW()-1,60),ROW()-1,FALSE))</f>
        <v>50.683</v>
      </c>
      <c r="AL74">
        <f ca="1">IF(AND(ISNUMBER($AL$531),$B$419=1),$AL$531,HLOOKUP(INDIRECT(ADDRESS(2,COLUMN())),OFFSET($BN$2,0,0,ROW()-1,60),ROW()-1,FALSE))</f>
        <v>50.259</v>
      </c>
      <c r="AM74">
        <f ca="1">IF(AND(ISNUMBER($AM$531),$B$419=1),$AM$531,HLOOKUP(INDIRECT(ADDRESS(2,COLUMN())),OFFSET($BN$2,0,0,ROW()-1,60),ROW()-1,FALSE))</f>
        <v>51.643000000000001</v>
      </c>
      <c r="AN74">
        <f ca="1">IF(AND(ISNUMBER($AN$531),$B$419=1),$AN$531,HLOOKUP(INDIRECT(ADDRESS(2,COLUMN())),OFFSET($BN$2,0,0,ROW()-1,60),ROW()-1,FALSE))</f>
        <v>50.777999999999999</v>
      </c>
      <c r="AO74">
        <f ca="1">IF(AND(ISNUMBER($AO$531),$B$419=1),$AO$531,HLOOKUP(INDIRECT(ADDRESS(2,COLUMN())),OFFSET($BN$2,0,0,ROW()-1,60),ROW()-1,FALSE))</f>
        <v>52.031999999999996</v>
      </c>
      <c r="AP74">
        <f ca="1">IF(AND(ISNUMBER($AP$531),$B$419=1),$AP$531,HLOOKUP(INDIRECT(ADDRESS(2,COLUMN())),OFFSET($BN$2,0,0,ROW()-1,60),ROW()-1,FALSE))</f>
        <v>51.83</v>
      </c>
      <c r="AQ74">
        <f ca="1">IF(AND(ISNUMBER($AQ$531),$B$419=1),$AQ$531,HLOOKUP(INDIRECT(ADDRESS(2,COLUMN())),OFFSET($BN$2,0,0,ROW()-1,60),ROW()-1,FALSE))</f>
        <v>52.192</v>
      </c>
      <c r="AR74">
        <f ca="1">IF(AND(ISNUMBER($AR$531),$B$419=1),$AR$531,HLOOKUP(INDIRECT(ADDRESS(2,COLUMN())),OFFSET($BN$2,0,0,ROW()-1,60),ROW()-1,FALSE))</f>
        <v>53.732999999999997</v>
      </c>
      <c r="AS74">
        <f ca="1">IF(AND(ISNUMBER($AS$531),$B$419=1),$AS$531,HLOOKUP(INDIRECT(ADDRESS(2,COLUMN())),OFFSET($BN$2,0,0,ROW()-1,60),ROW()-1,FALSE))</f>
        <v>50.764000000000003</v>
      </c>
      <c r="AT74">
        <f ca="1">IF(AND(ISNUMBER($AT$531),$B$419=1),$AT$531,HLOOKUP(INDIRECT(ADDRESS(2,COLUMN())),OFFSET($BN$2,0,0,ROW()-1,60),ROW()-1,FALSE))</f>
        <v>49.027999999999999</v>
      </c>
      <c r="AU74">
        <f ca="1">IF(AND(ISNUMBER($AU$531),$B$419=1),$AU$531,HLOOKUP(INDIRECT(ADDRESS(2,COLUMN())),OFFSET($BN$2,0,0,ROW()-1,60),ROW()-1,FALSE))</f>
        <v>43.194000000000003</v>
      </c>
      <c r="AV74">
        <f ca="1">IF(AND(ISNUMBER($AV$531),$B$419=1),$AV$531,HLOOKUP(INDIRECT(ADDRESS(2,COLUMN())),OFFSET($BN$2,0,0,ROW()-1,60),ROW()-1,FALSE))</f>
        <v>41.46</v>
      </c>
      <c r="AW74">
        <f ca="1">IF(AND(ISNUMBER($AW$531),$B$419=1),$AW$531,HLOOKUP(INDIRECT(ADDRESS(2,COLUMN())),OFFSET($BN$2,0,0,ROW()-1,60),ROW()-1,FALSE))</f>
        <v>40.153001310000001</v>
      </c>
      <c r="AX74">
        <f ca="1">IF(AND(ISNUMBER($AX$531),$B$419=1),$AX$531,HLOOKUP(INDIRECT(ADDRESS(2,COLUMN())),OFFSET($BN$2,0,0,ROW()-1,60),ROW()-1,FALSE))</f>
        <v>35.029000000000003</v>
      </c>
      <c r="AY74">
        <f ca="1">IF(AND(ISNUMBER($AY$531),$B$419=1),$AY$531,HLOOKUP(INDIRECT(ADDRESS(2,COLUMN())),OFFSET($BN$2,0,0,ROW()-1,60),ROW()-1,FALSE))</f>
        <v>31.949001549999998</v>
      </c>
      <c r="AZ74">
        <f ca="1">IF(AND(ISNUMBER($AZ$531),$B$419=1),$AZ$531,HLOOKUP(INDIRECT(ADDRESS(2,COLUMN())),OFFSET($BN$2,0,0,ROW()-1,60),ROW()-1,FALSE))</f>
        <v>30.268000000000001</v>
      </c>
      <c r="BA74">
        <f ca="1">IF(AND(ISNUMBER($BA$531),$B$419=1),$BA$531,HLOOKUP(INDIRECT(ADDRESS(2,COLUMN())),OFFSET($BN$2,0,0,ROW()-1,60),ROW()-1,FALSE))</f>
        <v>28.487000349999999</v>
      </c>
      <c r="BB74">
        <f ca="1">IF(AND(ISNUMBER($BB$531),$B$419=1),$BB$531,HLOOKUP(INDIRECT(ADDRESS(2,COLUMN())),OFFSET($BN$2,0,0,ROW()-1,60),ROW()-1,FALSE))</f>
        <v>28.577999999999999</v>
      </c>
      <c r="BC74">
        <f ca="1">IF(AND(ISNUMBER($BC$531),$B$419=1),$BC$531,HLOOKUP(INDIRECT(ADDRESS(2,COLUMN())),OFFSET($BN$2,0,0,ROW()-1,60),ROW()-1,FALSE))</f>
        <v>22.651999709999998</v>
      </c>
      <c r="BD74">
        <f ca="1">IF(AND(ISNUMBER($BD$531),$B$419=1),$BD$531,HLOOKUP(INDIRECT(ADDRESS(2,COLUMN())),OFFSET($BN$2,0,0,ROW()-1,60),ROW()-1,FALSE))</f>
        <v>23.837000969999998</v>
      </c>
      <c r="BE74">
        <f ca="1">IF(AND(ISNUMBER($BE$531),$B$419=1),$BE$531,HLOOKUP(INDIRECT(ADDRESS(2,COLUMN())),OFFSET($BN$2,0,0,ROW()-1,60),ROW()-1,FALSE))</f>
        <v>22.919000919999998</v>
      </c>
      <c r="BF74">
        <f ca="1">IF(AND(ISNUMBER($BF$531),$B$419=1),$BF$531,HLOOKUP(INDIRECT(ADDRESS(2,COLUMN())),OFFSET($BN$2,0,0,ROW()-1,60),ROW()-1,FALSE))</f>
        <v>21.905999999999999</v>
      </c>
      <c r="BG74">
        <f ca="1">IF(AND(ISNUMBER($BG$531),$B$419=1),$BG$531,HLOOKUP(INDIRECT(ADDRESS(2,COLUMN())),OFFSET($BN$2,0,0,ROW()-1,60),ROW()-1,FALSE))</f>
        <v>26.538</v>
      </c>
      <c r="BH74">
        <f ca="1">IF(AND(ISNUMBER($BH$531),$B$419=1),$BH$531,HLOOKUP(INDIRECT(ADDRESS(2,COLUMN())),OFFSET($BN$2,0,0,ROW()-1,60),ROW()-1,FALSE))</f>
        <v>25.641999999999999</v>
      </c>
      <c r="BI74">
        <f ca="1">IF(AND(ISNUMBER($BI$531),$B$419=1),$BI$531,HLOOKUP(INDIRECT(ADDRESS(2,COLUMN())),OFFSET($BN$2,0,0,ROW()-1,60),ROW()-1,FALSE))</f>
        <v>26.448</v>
      </c>
      <c r="BJ74">
        <f ca="1">IF(AND(ISNUMBER($BJ$531),$B$419=1),$BJ$531,HLOOKUP(INDIRECT(ADDRESS(2,COLUMN())),OFFSET($BN$2,0,0,ROW()-1,60),ROW()-1,FALSE))</f>
        <v>26.577000000000002</v>
      </c>
      <c r="BK74">
        <f ca="1">IF(AND(ISNUMBER($BK$531),$B$419=1),$BK$531,HLOOKUP(INDIRECT(ADDRESS(2,COLUMN())),OFFSET($BN$2,0,0,ROW()-1,60),ROW()-1,FALSE))</f>
        <v>22.015000000000001</v>
      </c>
      <c r="BL74">
        <f ca="1">IF(AND(ISNUMBER($BL$531),$B$419=1),$BL$531,HLOOKUP(INDIRECT(ADDRESS(2,COLUMN())),OFFSET($BN$2,0,0,ROW()-1,60),ROW()-1,FALSE))</f>
        <v>21.84500074</v>
      </c>
      <c r="BM74">
        <f ca="1">IF(AND(ISNUMBER($BM$531),$B$419=1),$BM$531,HLOOKUP(INDIRECT(ADDRESS(2,COLUMN())),OFFSET($BN$2,0,0,ROW()-1,60),ROW()-1,FALSE))</f>
        <v>20.94</v>
      </c>
      <c r="BN74" t="str">
        <f>""</f>
        <v/>
      </c>
      <c r="BO74">
        <f>143.06</f>
        <v>143.06</v>
      </c>
      <c r="BP74">
        <f>141.676</f>
        <v>141.67599999999999</v>
      </c>
      <c r="BQ74">
        <f>139.772</f>
        <v>139.77199999999999</v>
      </c>
      <c r="BR74">
        <f>135.238</f>
        <v>135.238</v>
      </c>
      <c r="BS74">
        <f>134.124</f>
        <v>134.124</v>
      </c>
      <c r="BT74">
        <f>128.736</f>
        <v>128.73599999999999</v>
      </c>
      <c r="BU74">
        <f>125.263</f>
        <v>125.26300000000001</v>
      </c>
      <c r="BV74">
        <f>120.922</f>
        <v>120.922</v>
      </c>
      <c r="BW74">
        <f>120.092</f>
        <v>120.092</v>
      </c>
      <c r="BX74">
        <f>117.236</f>
        <v>117.236</v>
      </c>
      <c r="BY74">
        <f>111.493</f>
        <v>111.49299999999999</v>
      </c>
      <c r="BZ74">
        <f>110.415</f>
        <v>110.41500000000001</v>
      </c>
      <c r="CA74">
        <f>109.105</f>
        <v>109.105</v>
      </c>
      <c r="CB74">
        <f>103.93</f>
        <v>103.93</v>
      </c>
      <c r="CC74">
        <f>99.435</f>
        <v>99.435000000000002</v>
      </c>
      <c r="CD74">
        <f>98.037</f>
        <v>98.037000000000006</v>
      </c>
      <c r="CE74">
        <f>97.491</f>
        <v>97.491</v>
      </c>
      <c r="CF74">
        <f>94.732</f>
        <v>94.731999999999999</v>
      </c>
      <c r="CG74">
        <f>90.474</f>
        <v>90.474000000000004</v>
      </c>
      <c r="CH74">
        <f>87.002</f>
        <v>87.001999999999995</v>
      </c>
      <c r="CI74">
        <f>83.361</f>
        <v>83.361000000000004</v>
      </c>
      <c r="CJ74">
        <f>78.873</f>
        <v>78.873000000000005</v>
      </c>
      <c r="CK74">
        <f>75.262</f>
        <v>75.262</v>
      </c>
      <c r="CL74">
        <f>70.719</f>
        <v>70.718999999999994</v>
      </c>
      <c r="CM74">
        <f>66.748</f>
        <v>66.748000000000005</v>
      </c>
      <c r="CN74">
        <f>60.39</f>
        <v>60.39</v>
      </c>
      <c r="CO74">
        <f>55.933</f>
        <v>55.933</v>
      </c>
      <c r="CP74">
        <f>55.75</f>
        <v>55.75</v>
      </c>
      <c r="CQ74">
        <f>54.409</f>
        <v>54.408999999999999</v>
      </c>
      <c r="CR74">
        <f>51.25</f>
        <v>51.25</v>
      </c>
      <c r="CS74">
        <f>50.683</f>
        <v>50.683</v>
      </c>
      <c r="CT74">
        <f>50.259</f>
        <v>50.259</v>
      </c>
      <c r="CU74">
        <f>51.643</f>
        <v>51.643000000000001</v>
      </c>
      <c r="CV74">
        <f>50.778</f>
        <v>50.777999999999999</v>
      </c>
      <c r="CW74">
        <f>52.032</f>
        <v>52.031999999999996</v>
      </c>
      <c r="CX74">
        <f>51.83</f>
        <v>51.83</v>
      </c>
      <c r="CY74">
        <f>52.192</f>
        <v>52.192</v>
      </c>
      <c r="CZ74">
        <f>53.733</f>
        <v>53.732999999999997</v>
      </c>
      <c r="DA74">
        <f>50.764</f>
        <v>50.764000000000003</v>
      </c>
      <c r="DB74">
        <f>49.028</f>
        <v>49.027999999999999</v>
      </c>
      <c r="DC74">
        <f>43.194</f>
        <v>43.194000000000003</v>
      </c>
      <c r="DD74">
        <f>41.46</f>
        <v>41.46</v>
      </c>
      <c r="DE74">
        <f>40.15300131</f>
        <v>40.153001310000001</v>
      </c>
      <c r="DF74">
        <f>35.029</f>
        <v>35.029000000000003</v>
      </c>
      <c r="DG74">
        <f>31.94900155</f>
        <v>31.949001549999998</v>
      </c>
      <c r="DH74">
        <f>30.268</f>
        <v>30.268000000000001</v>
      </c>
      <c r="DI74">
        <f>28.48700035</f>
        <v>28.487000349999999</v>
      </c>
      <c r="DJ74">
        <f>28.578</f>
        <v>28.577999999999999</v>
      </c>
      <c r="DK74">
        <f>22.65199971</f>
        <v>22.651999709999998</v>
      </c>
      <c r="DL74">
        <f>23.83700097</f>
        <v>23.837000969999998</v>
      </c>
      <c r="DM74">
        <f>22.91900092</f>
        <v>22.919000919999998</v>
      </c>
      <c r="DN74">
        <f>21.906</f>
        <v>21.905999999999999</v>
      </c>
      <c r="DO74">
        <f>26.538</f>
        <v>26.538</v>
      </c>
      <c r="DP74">
        <f>25.642</f>
        <v>25.641999999999999</v>
      </c>
      <c r="DQ74">
        <f>26.448</f>
        <v>26.448</v>
      </c>
      <c r="DR74">
        <f>26.577</f>
        <v>26.577000000000002</v>
      </c>
      <c r="DS74">
        <f>22.015</f>
        <v>22.015000000000001</v>
      </c>
      <c r="DT74">
        <f>21.84500074</f>
        <v>21.84500074</v>
      </c>
      <c r="DU74">
        <f>20.94</f>
        <v>20.94</v>
      </c>
    </row>
    <row r="75" spans="1:125">
      <c r="A75" t="str">
        <f>"    Realty Income Corp"</f>
        <v xml:space="preserve">    Realty Income Corp</v>
      </c>
      <c r="B75" t="str">
        <f>"O US Equity"</f>
        <v>O US Equity</v>
      </c>
      <c r="C75" t="str">
        <f t="shared" si="12"/>
        <v>RR502</v>
      </c>
      <c r="D75" t="str">
        <f t="shared" si="13"/>
        <v>NET_OPER_INCOME</v>
      </c>
      <c r="E75" t="str">
        <f t="shared" si="14"/>
        <v>动态</v>
      </c>
      <c r="F75" t="str">
        <f ca="1">IF(AND(ISNUMBER($F$532),$B$419=1),$F$532,HLOOKUP(INDIRECT(ADDRESS(2,COLUMN())),OFFSET($BN$2,0,0,ROW()-1,60),ROW()-1,FALSE))</f>
        <v/>
      </c>
      <c r="G75">
        <f ca="1">IF(AND(ISNUMBER($G$532),$B$419=1),$G$532,HLOOKUP(INDIRECT(ADDRESS(2,COLUMN())),OFFSET($BN$2,0,0,ROW()-1,60),ROW()-1,FALSE))</f>
        <v>293.41199999999998</v>
      </c>
      <c r="H75">
        <f ca="1">IF(AND(ISNUMBER($H$532),$B$419=1),$H$532,HLOOKUP(INDIRECT(ADDRESS(2,COLUMN())),OFFSET($BN$2,0,0,ROW()-1,60),ROW()-1,FALSE))</f>
        <v>288.12099999999998</v>
      </c>
      <c r="I75">
        <f ca="1">IF(AND(ISNUMBER($I$532),$B$419=1),$I$532,HLOOKUP(INDIRECT(ADDRESS(2,COLUMN())),OFFSET($BN$2,0,0,ROW()-1,60),ROW()-1,FALSE))</f>
        <v>283.31900000000002</v>
      </c>
      <c r="J75">
        <f ca="1">IF(AND(ISNUMBER($J$532),$B$419=1),$J$532,HLOOKUP(INDIRECT(ADDRESS(2,COLUMN())),OFFSET($BN$2,0,0,ROW()-1,60),ROW()-1,FALSE))</f>
        <v>277.97500000000002</v>
      </c>
      <c r="K75">
        <f ca="1">IF(AND(ISNUMBER($K$532),$B$419=1),$K$532,HLOOKUP(INDIRECT(ADDRESS(2,COLUMN())),OFFSET($BN$2,0,0,ROW()-1,60),ROW()-1,FALSE))</f>
        <v>269.17599999999999</v>
      </c>
      <c r="L75">
        <f ca="1">IF(AND(ISNUMBER($L$532),$B$419=1),$L$532,HLOOKUP(INDIRECT(ADDRESS(2,COLUMN())),OFFSET($BN$2,0,0,ROW()-1,60),ROW()-1,FALSE))</f>
        <v>261.178</v>
      </c>
      <c r="M75">
        <f ca="1">IF(AND(ISNUMBER($M$532),$B$419=1),$M$532,HLOOKUP(INDIRECT(ADDRESS(2,COLUMN())),OFFSET($BN$2,0,0,ROW()-1,60),ROW()-1,FALSE))</f>
        <v>256.49700000000001</v>
      </c>
      <c r="N75">
        <f ca="1">IF(AND(ISNUMBER($N$532),$B$419=1),$N$532,HLOOKUP(INDIRECT(ADDRESS(2,COLUMN())),OFFSET($BN$2,0,0,ROW()-1,60),ROW()-1,FALSE))</f>
        <v>250.80099999999999</v>
      </c>
      <c r="O75">
        <f ca="1">IF(AND(ISNUMBER($O$532),$B$419=1),$O$532,HLOOKUP(INDIRECT(ADDRESS(2,COLUMN())),OFFSET($BN$2,0,0,ROW()-1,60),ROW()-1,FALSE))</f>
        <v>250.095</v>
      </c>
      <c r="P75">
        <f ca="1">IF(AND(ISNUMBER($P$532),$B$419=1),$P$532,HLOOKUP(INDIRECT(ADDRESS(2,COLUMN())),OFFSET($BN$2,0,0,ROW()-1,60),ROW()-1,FALSE))</f>
        <v>244.22300000000001</v>
      </c>
      <c r="Q75">
        <f ca="1">IF(AND(ISNUMBER($Q$532),$B$419=1),$Q$532,HLOOKUP(INDIRECT(ADDRESS(2,COLUMN())),OFFSET($BN$2,0,0,ROW()-1,60),ROW()-1,FALSE))</f>
        <v>238.101</v>
      </c>
      <c r="R75">
        <f ca="1">IF(AND(ISNUMBER($R$532),$B$419=1),$R$532,HLOOKUP(INDIRECT(ADDRESS(2,COLUMN())),OFFSET($BN$2,0,0,ROW()-1,60),ROW()-1,FALSE))</f>
        <v>231.10900000000001</v>
      </c>
      <c r="S75">
        <f ca="1">IF(AND(ISNUMBER($S$532),$B$419=1),$S$532,HLOOKUP(INDIRECT(ADDRESS(2,COLUMN())),OFFSET($BN$2,0,0,ROW()-1,60),ROW()-1,FALSE))</f>
        <v>226.48400000000001</v>
      </c>
      <c r="T75">
        <f ca="1">IF(AND(ISNUMBER($T$532),$B$419=1),$T$532,HLOOKUP(INDIRECT(ADDRESS(2,COLUMN())),OFFSET($BN$2,0,0,ROW()-1,60),ROW()-1,FALSE))</f>
        <v>222.33699999999999</v>
      </c>
      <c r="U75">
        <f ca="1">IF(AND(ISNUMBER($U$532),$B$419=1),$U$532,HLOOKUP(INDIRECT(ADDRESS(2,COLUMN())),OFFSET($BN$2,0,0,ROW()-1,60),ROW()-1,FALSE))</f>
        <v>217.91</v>
      </c>
      <c r="V75">
        <f ca="1">IF(AND(ISNUMBER($V$532),$B$419=1),$V$532,HLOOKUP(INDIRECT(ADDRESS(2,COLUMN())),OFFSET($BN$2,0,0,ROW()-1,60),ROW()-1,FALSE))</f>
        <v>209.97200000000001</v>
      </c>
      <c r="W75">
        <f ca="1">IF(AND(ISNUMBER($W$532),$B$419=1),$W$532,HLOOKUP(INDIRECT(ADDRESS(2,COLUMN())),OFFSET($BN$2,0,0,ROW()-1,60),ROW()-1,FALSE))</f>
        <v>201.26400000000001</v>
      </c>
      <c r="X75">
        <f ca="1">IF(AND(ISNUMBER($X$532),$B$419=1),$X$532,HLOOKUP(INDIRECT(ADDRESS(2,COLUMN())),OFFSET($BN$2,0,0,ROW()-1,60),ROW()-1,FALSE))</f>
        <v>191.97300000000001</v>
      </c>
      <c r="Y75">
        <f ca="1">IF(AND(ISNUMBER($Y$532),$B$419=1),$Y$532,HLOOKUP(INDIRECT(ADDRESS(2,COLUMN())),OFFSET($BN$2,0,0,ROW()-1,60),ROW()-1,FALSE))</f>
        <v>176.82</v>
      </c>
      <c r="Z75">
        <f ca="1">IF(AND(ISNUMBER($Z$532),$B$419=1),$Z$532,HLOOKUP(INDIRECT(ADDRESS(2,COLUMN())),OFFSET($BN$2,0,0,ROW()-1,60),ROW()-1,FALSE))</f>
        <v>164.25299999999999</v>
      </c>
      <c r="AA75">
        <f ca="1">IF(AND(ISNUMBER($AA$532),$B$419=1),$AA$532,HLOOKUP(INDIRECT(ADDRESS(2,COLUMN())),OFFSET($BN$2,0,0,ROW()-1,60),ROW()-1,FALSE))</f>
        <v>126.23099999999999</v>
      </c>
      <c r="AB75">
        <f ca="1">IF(AND(ISNUMBER($AB$532),$B$419=1),$AB$532,HLOOKUP(INDIRECT(ADDRESS(2,COLUMN())),OFFSET($BN$2,0,0,ROW()-1,60),ROW()-1,FALSE))</f>
        <v>115.26300000000001</v>
      </c>
      <c r="AC75">
        <f ca="1">IF(AND(ISNUMBER($AC$532),$B$419=1),$AC$532,HLOOKUP(INDIRECT(ADDRESS(2,COLUMN())),OFFSET($BN$2,0,0,ROW()-1,60),ROW()-1,FALSE))</f>
        <v>110.782</v>
      </c>
      <c r="AD75">
        <f ca="1">IF(AND(ISNUMBER($AD$532),$B$419=1),$AD$532,HLOOKUP(INDIRECT(ADDRESS(2,COLUMN())),OFFSET($BN$2,0,0,ROW()-1,60),ROW()-1,FALSE))</f>
        <v>109.898</v>
      </c>
      <c r="AE75">
        <f ca="1">IF(AND(ISNUMBER($AE$532),$B$419=1),$AE$532,HLOOKUP(INDIRECT(ADDRESS(2,COLUMN())),OFFSET($BN$2,0,0,ROW()-1,60),ROW()-1,FALSE))</f>
        <v>109.02800000000001</v>
      </c>
      <c r="AF75">
        <f ca="1">IF(AND(ISNUMBER($AF$532),$B$419=1),$AF$532,HLOOKUP(INDIRECT(ADDRESS(2,COLUMN())),OFFSET($BN$2,0,0,ROW()-1,60),ROW()-1,FALSE))</f>
        <v>104.08499999999999</v>
      </c>
      <c r="AG75">
        <f ca="1">IF(AND(ISNUMBER($AG$532),$B$419=1),$AG$532,HLOOKUP(INDIRECT(ADDRESS(2,COLUMN())),OFFSET($BN$2,0,0,ROW()-1,60),ROW()-1,FALSE))</f>
        <v>99.763999999999996</v>
      </c>
      <c r="AH75">
        <f ca="1">IF(AND(ISNUMBER($AH$532),$B$419=1),$AH$532,HLOOKUP(INDIRECT(ADDRESS(2,COLUMN())),OFFSET($BN$2,0,0,ROW()-1,60),ROW()-1,FALSE))</f>
        <v>95.44</v>
      </c>
      <c r="AI75">
        <f ca="1">IF(AND(ISNUMBER($AI$532),$B$419=1),$AI$532,HLOOKUP(INDIRECT(ADDRESS(2,COLUMN())),OFFSET($BN$2,0,0,ROW()-1,60),ROW()-1,FALSE))</f>
        <v>90.204999999999998</v>
      </c>
      <c r="AJ75">
        <f ca="1">IF(AND(ISNUMBER($AJ$532),$B$419=1),$AJ$532,HLOOKUP(INDIRECT(ADDRESS(2,COLUMN())),OFFSET($BN$2,0,0,ROW()-1,60),ROW()-1,FALSE))</f>
        <v>85.007000000000005</v>
      </c>
      <c r="AK75">
        <f ca="1">IF(AND(ISNUMBER($AK$532),$B$419=1),$AK$532,HLOOKUP(INDIRECT(ADDRESS(2,COLUMN())),OFFSET($BN$2,0,0,ROW()-1,60),ROW()-1,FALSE))</f>
        <v>80.555999999999997</v>
      </c>
      <c r="AL75">
        <f ca="1">IF(AND(ISNUMBER($AL$532),$B$419=1),$AL$532,HLOOKUP(INDIRECT(ADDRESS(2,COLUMN())),OFFSET($BN$2,0,0,ROW()-1,60),ROW()-1,FALSE))</f>
        <v>80.540999999999997</v>
      </c>
      <c r="AM75">
        <f ca="1">IF(AND(ISNUMBER($AM$532),$B$419=1),$AM$532,HLOOKUP(INDIRECT(ADDRESS(2,COLUMN())),OFFSET($BN$2,0,0,ROW()-1,60),ROW()-1,FALSE))</f>
        <v>79.823999999999998</v>
      </c>
      <c r="AN75">
        <f ca="1">IF(AND(ISNUMBER($AN$532),$B$419=1),$AN$532,HLOOKUP(INDIRECT(ADDRESS(2,COLUMN())),OFFSET($BN$2,0,0,ROW()-1,60),ROW()-1,FALSE))</f>
        <v>79.563999999999993</v>
      </c>
      <c r="AO75">
        <f ca="1">IF(AND(ISNUMBER($AO$532),$B$419=1),$AO$532,HLOOKUP(INDIRECT(ADDRESS(2,COLUMN())),OFFSET($BN$2,0,0,ROW()-1,60),ROW()-1,FALSE))</f>
        <v>79.430000000000007</v>
      </c>
      <c r="AP75">
        <f ca="1">IF(AND(ISNUMBER($AP$532),$B$419=1),$AP$532,HLOOKUP(INDIRECT(ADDRESS(2,COLUMN())),OFFSET($BN$2,0,0,ROW()-1,60),ROW()-1,FALSE))</f>
        <v>79.638000000000005</v>
      </c>
      <c r="AQ75">
        <f ca="1">IF(AND(ISNUMBER($AQ$532),$B$419=1),$AQ$532,HLOOKUP(INDIRECT(ADDRESS(2,COLUMN())),OFFSET($BN$2,0,0,ROW()-1,60),ROW()-1,FALSE))</f>
        <v>80.531999999999996</v>
      </c>
      <c r="AR75">
        <f ca="1">IF(AND(ISNUMBER($AR$532),$B$419=1),$AR$532,HLOOKUP(INDIRECT(ADDRESS(2,COLUMN())),OFFSET($BN$2,0,0,ROW()-1,60),ROW()-1,FALSE))</f>
        <v>80.221000000000004</v>
      </c>
      <c r="AS75">
        <f ca="1">IF(AND(ISNUMBER($AS$532),$B$419=1),$AS$532,HLOOKUP(INDIRECT(ADDRESS(2,COLUMN())),OFFSET($BN$2,0,0,ROW()-1,60),ROW()-1,FALSE))</f>
        <v>80.896000000000001</v>
      </c>
      <c r="AT75">
        <f ca="1">IF(AND(ISNUMBER($AT$532),$B$419=1),$AT$532,HLOOKUP(INDIRECT(ADDRESS(2,COLUMN())),OFFSET($BN$2,0,0,ROW()-1,60),ROW()-1,FALSE))</f>
        <v>80.025000000000006</v>
      </c>
      <c r="AU75">
        <f ca="1">IF(AND(ISNUMBER($AU$532),$B$419=1),$AU$532,HLOOKUP(INDIRECT(ADDRESS(2,COLUMN())),OFFSET($BN$2,0,0,ROW()-1,60),ROW()-1,FALSE))</f>
        <v>76.566000000000003</v>
      </c>
      <c r="AV75">
        <f ca="1">IF(AND(ISNUMBER($AV$532),$B$419=1),$AV$532,HLOOKUP(INDIRECT(ADDRESS(2,COLUMN())),OFFSET($BN$2,0,0,ROW()-1,60),ROW()-1,FALSE))</f>
        <v>71.413996280000006</v>
      </c>
      <c r="AW75">
        <f ca="1">IF(AND(ISNUMBER($AW$532),$B$419=1),$AW$532,HLOOKUP(INDIRECT(ADDRESS(2,COLUMN())),OFFSET($BN$2,0,0,ROW()-1,60),ROW()-1,FALSE))</f>
        <v>69.153999510000006</v>
      </c>
      <c r="AX75">
        <f ca="1">IF(AND(ISNUMBER($AX$532),$B$419=1),$AX$532,HLOOKUP(INDIRECT(ADDRESS(2,COLUMN())),OFFSET($BN$2,0,0,ROW()-1,60),ROW()-1,FALSE))</f>
        <v>68.316999999999993</v>
      </c>
      <c r="AY75">
        <f ca="1">IF(AND(ISNUMBER($AY$532),$B$419=1),$AY$532,HLOOKUP(INDIRECT(ADDRESS(2,COLUMN())),OFFSET($BN$2,0,0,ROW()-1,60),ROW()-1,FALSE))</f>
        <v>66.844999999999999</v>
      </c>
      <c r="AZ75">
        <f ca="1">IF(AND(ISNUMBER($AZ$532),$B$419=1),$AZ$532,HLOOKUP(INDIRECT(ADDRESS(2,COLUMN())),OFFSET($BN$2,0,0,ROW()-1,60),ROW()-1,FALSE))</f>
        <v>58.131999999999998</v>
      </c>
      <c r="BA75">
        <f ca="1">IF(AND(ISNUMBER($BA$532),$B$419=1),$BA$532,HLOOKUP(INDIRECT(ADDRESS(2,COLUMN())),OFFSET($BN$2,0,0,ROW()-1,60),ROW()-1,FALSE))</f>
        <v>55.01899856</v>
      </c>
      <c r="BB75">
        <f ca="1">IF(AND(ISNUMBER($BB$532),$B$419=1),$BB$532,HLOOKUP(INDIRECT(ADDRESS(2,COLUMN())),OFFSET($BN$2,0,0,ROW()-1,60),ROW()-1,FALSE))</f>
        <v>54.171999999999997</v>
      </c>
      <c r="BC75">
        <f ca="1">IF(AND(ISNUMBER($BC$532),$B$419=1),$BC$532,HLOOKUP(INDIRECT(ADDRESS(2,COLUMN())),OFFSET($BN$2,0,0,ROW()-1,60),ROW()-1,FALSE))</f>
        <v>52.442999999999998</v>
      </c>
      <c r="BD75">
        <f ca="1">IF(AND(ISNUMBER($BD$532),$B$419=1),$BD$532,HLOOKUP(INDIRECT(ADDRESS(2,COLUMN())),OFFSET($BN$2,0,0,ROW()-1,60),ROW()-1,FALSE))</f>
        <v>47.748999480000002</v>
      </c>
      <c r="BE75">
        <f ca="1">IF(AND(ISNUMBER($BE$532),$B$419=1),$BE$532,HLOOKUP(INDIRECT(ADDRESS(2,COLUMN())),OFFSET($BN$2,0,0,ROW()-1,60),ROW()-1,FALSE))</f>
        <v>46.072001810000003</v>
      </c>
      <c r="BF75">
        <f ca="1">IF(AND(ISNUMBER($BF$532),$B$419=1),$BF$532,HLOOKUP(INDIRECT(ADDRESS(2,COLUMN())),OFFSET($BN$2,0,0,ROW()-1,60),ROW()-1,FALSE))</f>
        <v>45.67099881</v>
      </c>
      <c r="BG75">
        <f ca="1">IF(AND(ISNUMBER($BG$532),$B$419=1),$BG$532,HLOOKUP(INDIRECT(ADDRESS(2,COLUMN())),OFFSET($BN$2,0,0,ROW()-1,60),ROW()-1,FALSE))</f>
        <v>42.161999999999999</v>
      </c>
      <c r="BH75">
        <f ca="1">IF(AND(ISNUMBER($BH$532),$B$419=1),$BH$532,HLOOKUP(INDIRECT(ADDRESS(2,COLUMN())),OFFSET($BN$2,0,0,ROW()-1,60),ROW()-1,FALSE))</f>
        <v>42.88</v>
      </c>
      <c r="BI75">
        <f ca="1">IF(AND(ISNUMBER($BI$532),$B$419=1),$BI$532,HLOOKUP(INDIRECT(ADDRESS(2,COLUMN())),OFFSET($BN$2,0,0,ROW()-1,60),ROW()-1,FALSE))</f>
        <v>42.786000000000001</v>
      </c>
      <c r="BJ75">
        <f ca="1">IF(AND(ISNUMBER($BJ$532),$B$419=1),$BJ$532,HLOOKUP(INDIRECT(ADDRESS(2,COLUMN())),OFFSET($BN$2,0,0,ROW()-1,60),ROW()-1,FALSE))</f>
        <v>41.161998629999999</v>
      </c>
      <c r="BK75">
        <f ca="1">IF(AND(ISNUMBER($BK$532),$B$419=1),$BK$532,HLOOKUP(INDIRECT(ADDRESS(2,COLUMN())),OFFSET($BN$2,0,0,ROW()-1,60),ROW()-1,FALSE))</f>
        <v>39.021998519999997</v>
      </c>
      <c r="BL75">
        <f ca="1">IF(AND(ISNUMBER($BL$532),$B$419=1),$BL$532,HLOOKUP(INDIRECT(ADDRESS(2,COLUMN())),OFFSET($BN$2,0,0,ROW()-1,60),ROW()-1,FALSE))</f>
        <v>35.396998170000003</v>
      </c>
      <c r="BM75">
        <f ca="1">IF(AND(ISNUMBER($BM$532),$B$419=1),$BM$532,HLOOKUP(INDIRECT(ADDRESS(2,COLUMN())),OFFSET($BN$2,0,0,ROW()-1,60),ROW()-1,FALSE))</f>
        <v>34.829000469999997</v>
      </c>
      <c r="BN75" t="str">
        <f>""</f>
        <v/>
      </c>
      <c r="BO75">
        <f>293.412</f>
        <v>293.41199999999998</v>
      </c>
      <c r="BP75">
        <f>288.121</f>
        <v>288.12099999999998</v>
      </c>
      <c r="BQ75">
        <f>283.319</f>
        <v>283.31900000000002</v>
      </c>
      <c r="BR75">
        <f>277.975</f>
        <v>277.97500000000002</v>
      </c>
      <c r="BS75">
        <f>269.176</f>
        <v>269.17599999999999</v>
      </c>
      <c r="BT75">
        <f>261.178</f>
        <v>261.178</v>
      </c>
      <c r="BU75">
        <f>256.497</f>
        <v>256.49700000000001</v>
      </c>
      <c r="BV75">
        <f>250.801</f>
        <v>250.80099999999999</v>
      </c>
      <c r="BW75">
        <f>250.095</f>
        <v>250.095</v>
      </c>
      <c r="BX75">
        <f>244.223</f>
        <v>244.22300000000001</v>
      </c>
      <c r="BY75">
        <f>238.101</f>
        <v>238.101</v>
      </c>
      <c r="BZ75">
        <f>231.109</f>
        <v>231.10900000000001</v>
      </c>
      <c r="CA75">
        <f>226.484</f>
        <v>226.48400000000001</v>
      </c>
      <c r="CB75">
        <f>222.337</f>
        <v>222.33699999999999</v>
      </c>
      <c r="CC75">
        <f>217.91</f>
        <v>217.91</v>
      </c>
      <c r="CD75">
        <f>209.972</f>
        <v>209.97200000000001</v>
      </c>
      <c r="CE75">
        <f>201.264</f>
        <v>201.26400000000001</v>
      </c>
      <c r="CF75">
        <f>191.973</f>
        <v>191.97300000000001</v>
      </c>
      <c r="CG75">
        <f>176.82</f>
        <v>176.82</v>
      </c>
      <c r="CH75">
        <f>164.253</f>
        <v>164.25299999999999</v>
      </c>
      <c r="CI75">
        <f>126.231</f>
        <v>126.23099999999999</v>
      </c>
      <c r="CJ75">
        <f>115.263</f>
        <v>115.26300000000001</v>
      </c>
      <c r="CK75">
        <f>110.782</f>
        <v>110.782</v>
      </c>
      <c r="CL75">
        <f>109.898</f>
        <v>109.898</v>
      </c>
      <c r="CM75">
        <f>109.028</f>
        <v>109.02800000000001</v>
      </c>
      <c r="CN75">
        <f>104.085</f>
        <v>104.08499999999999</v>
      </c>
      <c r="CO75">
        <f>99.764</f>
        <v>99.763999999999996</v>
      </c>
      <c r="CP75">
        <f>95.44</f>
        <v>95.44</v>
      </c>
      <c r="CQ75">
        <f>90.205</f>
        <v>90.204999999999998</v>
      </c>
      <c r="CR75">
        <f>85.007</f>
        <v>85.007000000000005</v>
      </c>
      <c r="CS75">
        <f>80.556</f>
        <v>80.555999999999997</v>
      </c>
      <c r="CT75">
        <f>80.541</f>
        <v>80.540999999999997</v>
      </c>
      <c r="CU75">
        <f>79.824</f>
        <v>79.823999999999998</v>
      </c>
      <c r="CV75">
        <f>79.564</f>
        <v>79.563999999999993</v>
      </c>
      <c r="CW75">
        <f>79.43</f>
        <v>79.430000000000007</v>
      </c>
      <c r="CX75">
        <f>79.638</f>
        <v>79.638000000000005</v>
      </c>
      <c r="CY75">
        <f>80.532</f>
        <v>80.531999999999996</v>
      </c>
      <c r="CZ75">
        <f>80.221</f>
        <v>80.221000000000004</v>
      </c>
      <c r="DA75">
        <f>80.896</f>
        <v>80.896000000000001</v>
      </c>
      <c r="DB75">
        <f>80.025</f>
        <v>80.025000000000006</v>
      </c>
      <c r="DC75">
        <f>76.566</f>
        <v>76.566000000000003</v>
      </c>
      <c r="DD75">
        <f>71.41399628</f>
        <v>71.413996280000006</v>
      </c>
      <c r="DE75">
        <f>69.15399951</f>
        <v>69.153999510000006</v>
      </c>
      <c r="DF75">
        <f>68.317</f>
        <v>68.316999999999993</v>
      </c>
      <c r="DG75">
        <f>66.845</f>
        <v>66.844999999999999</v>
      </c>
      <c r="DH75">
        <f>58.132</f>
        <v>58.131999999999998</v>
      </c>
      <c r="DI75">
        <f>55.01899856</f>
        <v>55.01899856</v>
      </c>
      <c r="DJ75">
        <f>54.172</f>
        <v>54.171999999999997</v>
      </c>
      <c r="DK75">
        <f>52.443</f>
        <v>52.442999999999998</v>
      </c>
      <c r="DL75">
        <f>47.74899948</f>
        <v>47.748999480000002</v>
      </c>
      <c r="DM75">
        <f>46.07200181</f>
        <v>46.072001810000003</v>
      </c>
      <c r="DN75">
        <f>45.67099881</f>
        <v>45.67099881</v>
      </c>
      <c r="DO75">
        <f>42.162</f>
        <v>42.161999999999999</v>
      </c>
      <c r="DP75">
        <f>42.88</f>
        <v>42.88</v>
      </c>
      <c r="DQ75">
        <f>42.786</f>
        <v>42.786000000000001</v>
      </c>
      <c r="DR75">
        <f>41.16199863</f>
        <v>41.161998629999999</v>
      </c>
      <c r="DS75">
        <f>39.02199852</f>
        <v>39.021998519999997</v>
      </c>
      <c r="DT75">
        <f>35.39699817</f>
        <v>35.396998170000003</v>
      </c>
      <c r="DU75">
        <f>34.82900047</f>
        <v>34.829000469999997</v>
      </c>
    </row>
    <row r="76" spans="1:125">
      <c r="A76" t="str">
        <f>"    Regency Centers Corp"</f>
        <v xml:space="preserve">    Regency Centers Corp</v>
      </c>
      <c r="B76" t="str">
        <f>"REG US Equity"</f>
        <v>REG US Equity</v>
      </c>
      <c r="C76" t="str">
        <f t="shared" si="12"/>
        <v>RR502</v>
      </c>
      <c r="D76" t="str">
        <f t="shared" si="13"/>
        <v>NET_OPER_INCOME</v>
      </c>
      <c r="E76" t="str">
        <f t="shared" si="14"/>
        <v>动态</v>
      </c>
      <c r="F76" t="str">
        <f ca="1">IF(AND(ISNUMBER($F$533),$B$419=1),$F$533,HLOOKUP(INDIRECT(ADDRESS(2,COLUMN())),OFFSET($BN$2,0,0,ROW()-1,60),ROW()-1,FALSE))</f>
        <v/>
      </c>
      <c r="G76">
        <f ca="1">IF(AND(ISNUMBER($G$533),$B$419=1),$G$533,HLOOKUP(INDIRECT(ADDRESS(2,COLUMN())),OFFSET($BN$2,0,0,ROW()-1,60),ROW()-1,FALSE))</f>
        <v>194.56299999999999</v>
      </c>
      <c r="H76">
        <f ca="1">IF(AND(ISNUMBER($H$533),$B$419=1),$H$533,HLOOKUP(INDIRECT(ADDRESS(2,COLUMN())),OFFSET($BN$2,0,0,ROW()-1,60),ROW()-1,FALSE))</f>
        <v>194.80600000000001</v>
      </c>
      <c r="I76">
        <f ca="1">IF(AND(ISNUMBER($I$533),$B$419=1),$I$533,HLOOKUP(INDIRECT(ADDRESS(2,COLUMN())),OFFSET($BN$2,0,0,ROW()-1,60),ROW()-1,FALSE))</f>
        <v>196.32900000000001</v>
      </c>
      <c r="J76">
        <f ca="1">IF(AND(ISNUMBER($J$533),$B$419=1),$J$533,HLOOKUP(INDIRECT(ADDRESS(2,COLUMN())),OFFSET($BN$2,0,0,ROW()-1,60),ROW()-1,FALSE))</f>
        <v>144.91800000000001</v>
      </c>
      <c r="K76">
        <f ca="1">IF(AND(ISNUMBER($K$533),$B$419=1),$K$533,HLOOKUP(INDIRECT(ADDRESS(2,COLUMN())),OFFSET($BN$2,0,0,ROW()-1,60),ROW()-1,FALSE))</f>
        <v>117.607</v>
      </c>
      <c r="L76">
        <f ca="1">IF(AND(ISNUMBER($L$533),$B$419=1),$L$533,HLOOKUP(INDIRECT(ADDRESS(2,COLUMN())),OFFSET($BN$2,0,0,ROW()-1,60),ROW()-1,FALSE))</f>
        <v>112.337</v>
      </c>
      <c r="M76">
        <f ca="1">IF(AND(ISNUMBER($M$533),$B$419=1),$M$533,HLOOKUP(INDIRECT(ADDRESS(2,COLUMN())),OFFSET($BN$2,0,0,ROW()-1,60),ROW()-1,FALSE))</f>
        <v>111.934</v>
      </c>
      <c r="N76">
        <f ca="1">IF(AND(ISNUMBER($N$533),$B$419=1),$N$533,HLOOKUP(INDIRECT(ADDRESS(2,COLUMN())),OFFSET($BN$2,0,0,ROW()-1,60),ROW()-1,FALSE))</f>
        <v>111.07299999999999</v>
      </c>
      <c r="O76">
        <f ca="1">IF(AND(ISNUMBER($O$533),$B$419=1),$O$533,HLOOKUP(INDIRECT(ADDRESS(2,COLUMN())),OFFSET($BN$2,0,0,ROW()-1,60),ROW()-1,FALSE))</f>
        <v>109.295</v>
      </c>
      <c r="P76">
        <f ca="1">IF(AND(ISNUMBER($P$533),$B$419=1),$P$533,HLOOKUP(INDIRECT(ADDRESS(2,COLUMN())),OFFSET($BN$2,0,0,ROW()-1,60),ROW()-1,FALSE))</f>
        <v>106.26300000000001</v>
      </c>
      <c r="Q76">
        <f ca="1">IF(AND(ISNUMBER($Q$533),$B$419=1),$Q$533,HLOOKUP(INDIRECT(ADDRESS(2,COLUMN())),OFFSET($BN$2,0,0,ROW()-1,60),ROW()-1,FALSE))</f>
        <v>105.277</v>
      </c>
      <c r="R76">
        <f ca="1">IF(AND(ISNUMBER($R$533),$B$419=1),$R$533,HLOOKUP(INDIRECT(ADDRESS(2,COLUMN())),OFFSET($BN$2,0,0,ROW()-1,60),ROW()-1,FALSE))</f>
        <v>104.096</v>
      </c>
      <c r="S76">
        <f ca="1">IF(AND(ISNUMBER($S$533),$B$419=1),$S$533,HLOOKUP(INDIRECT(ADDRESS(2,COLUMN())),OFFSET($BN$2,0,0,ROW()-1,60),ROW()-1,FALSE))</f>
        <v>102.027</v>
      </c>
      <c r="T76">
        <f ca="1">IF(AND(ISNUMBER($T$533),$B$419=1),$T$533,HLOOKUP(INDIRECT(ADDRESS(2,COLUMN())),OFFSET($BN$2,0,0,ROW()-1,60),ROW()-1,FALSE))</f>
        <v>100.578</v>
      </c>
      <c r="U76">
        <f ca="1">IF(AND(ISNUMBER($U$533),$B$419=1),$U$533,HLOOKUP(INDIRECT(ADDRESS(2,COLUMN())),OFFSET($BN$2,0,0,ROW()-1,60),ROW()-1,FALSE))</f>
        <v>100.496</v>
      </c>
      <c r="V76">
        <f ca="1">IF(AND(ISNUMBER($V$533),$B$419=1),$V$533,HLOOKUP(INDIRECT(ADDRESS(2,COLUMN())),OFFSET($BN$2,0,0,ROW()-1,60),ROW()-1,FALSE))</f>
        <v>97.975999999999999</v>
      </c>
      <c r="W76">
        <f ca="1">IF(AND(ISNUMBER($W$533),$B$419=1),$W$533,HLOOKUP(INDIRECT(ADDRESS(2,COLUMN())),OFFSET($BN$2,0,0,ROW()-1,60),ROW()-1,FALSE))</f>
        <v>92.992999999999995</v>
      </c>
      <c r="X76">
        <f ca="1">IF(AND(ISNUMBER($X$533),$B$419=1),$X$533,HLOOKUP(INDIRECT(ADDRESS(2,COLUMN())),OFFSET($BN$2,0,0,ROW()-1,60),ROW()-1,FALSE))</f>
        <v>90.188999999999993</v>
      </c>
      <c r="Y76">
        <f ca="1">IF(AND(ISNUMBER($Y$533),$B$419=1),$Y$533,HLOOKUP(INDIRECT(ADDRESS(2,COLUMN())),OFFSET($BN$2,0,0,ROW()-1,60),ROW()-1,FALSE))</f>
        <v>91.075999999999993</v>
      </c>
      <c r="Z76">
        <f ca="1">IF(AND(ISNUMBER($Z$533),$B$419=1),$Z$533,HLOOKUP(INDIRECT(ADDRESS(2,COLUMN())),OFFSET($BN$2,0,0,ROW()-1,60),ROW()-1,FALSE))</f>
        <v>90.006</v>
      </c>
      <c r="AA76">
        <f ca="1">IF(AND(ISNUMBER($AA$533),$B$419=1),$AA$533,HLOOKUP(INDIRECT(ADDRESS(2,COLUMN())),OFFSET($BN$2,0,0,ROW()-1,60),ROW()-1,FALSE))</f>
        <v>87.346999999999994</v>
      </c>
      <c r="AB76">
        <f ca="1">IF(AND(ISNUMBER($AB$533),$B$419=1),$AB$533,HLOOKUP(INDIRECT(ADDRESS(2,COLUMN())),OFFSET($BN$2,0,0,ROW()-1,60),ROW()-1,FALSE))</f>
        <v>86.897000000000006</v>
      </c>
      <c r="AC76">
        <f ca="1">IF(AND(ISNUMBER($AC$533),$B$419=1),$AC$533,HLOOKUP(INDIRECT(ADDRESS(2,COLUMN())),OFFSET($BN$2,0,0,ROW()-1,60),ROW()-1,FALSE))</f>
        <v>95.545000000000002</v>
      </c>
      <c r="AD76">
        <f ca="1">IF(AND(ISNUMBER($AD$533),$B$419=1),$AD$533,HLOOKUP(INDIRECT(ADDRESS(2,COLUMN())),OFFSET($BN$2,0,0,ROW()-1,60),ROW()-1,FALSE))</f>
        <v>92.614000000000004</v>
      </c>
      <c r="AE76">
        <f ca="1">IF(AND(ISNUMBER($AE$533),$B$419=1),$AE$533,HLOOKUP(INDIRECT(ADDRESS(2,COLUMN())),OFFSET($BN$2,0,0,ROW()-1,60),ROW()-1,FALSE))</f>
        <v>91.893000000000001</v>
      </c>
      <c r="AF76">
        <f ca="1">IF(AND(ISNUMBER($AF$533),$B$419=1),$AF$533,HLOOKUP(INDIRECT(ADDRESS(2,COLUMN())),OFFSET($BN$2,0,0,ROW()-1,60),ROW()-1,FALSE))</f>
        <v>92.146000000000001</v>
      </c>
      <c r="AG76">
        <f ca="1">IF(AND(ISNUMBER($AG$533),$B$419=1),$AG$533,HLOOKUP(INDIRECT(ADDRESS(2,COLUMN())),OFFSET($BN$2,0,0,ROW()-1,60),ROW()-1,FALSE))</f>
        <v>93.698999999999998</v>
      </c>
      <c r="AH76">
        <f ca="1">IF(AND(ISNUMBER($AH$533),$B$419=1),$AH$533,HLOOKUP(INDIRECT(ADDRESS(2,COLUMN())),OFFSET($BN$2,0,0,ROW()-1,60),ROW()-1,FALSE))</f>
        <v>90.986999999999995</v>
      </c>
      <c r="AI76">
        <f ca="1">IF(AND(ISNUMBER($AI$533),$B$419=1),$AI$533,HLOOKUP(INDIRECT(ADDRESS(2,COLUMN())),OFFSET($BN$2,0,0,ROW()-1,60),ROW()-1,FALSE))</f>
        <v>88.187946999999994</v>
      </c>
      <c r="AJ76">
        <f ca="1">IF(AND(ISNUMBER($AJ$533),$B$419=1),$AJ$533,HLOOKUP(INDIRECT(ADDRESS(2,COLUMN())),OFFSET($BN$2,0,0,ROW()-1,60),ROW()-1,FALSE))</f>
        <v>89.858000000000004</v>
      </c>
      <c r="AK76">
        <f ca="1">IF(AND(ISNUMBER($AK$533),$B$419=1),$AK$533,HLOOKUP(INDIRECT(ADDRESS(2,COLUMN())),OFFSET($BN$2,0,0,ROW()-1,60),ROW()-1,FALSE))</f>
        <v>89.652000000000001</v>
      </c>
      <c r="AL76">
        <f ca="1">IF(AND(ISNUMBER($AL$533),$B$419=1),$AL$533,HLOOKUP(INDIRECT(ADDRESS(2,COLUMN())),OFFSET($BN$2,0,0,ROW()-1,60),ROW()-1,FALSE))</f>
        <v>91.986999999999995</v>
      </c>
      <c r="AM76">
        <f ca="1">IF(AND(ISNUMBER($AM$533),$B$419=1),$AM$533,HLOOKUP(INDIRECT(ADDRESS(2,COLUMN())),OFFSET($BN$2,0,0,ROW()-1,60),ROW()-1,FALSE))</f>
        <v>91.575187</v>
      </c>
      <c r="AN76">
        <f ca="1">IF(AND(ISNUMBER($AN$533),$B$419=1),$AN$533,HLOOKUP(INDIRECT(ADDRESS(2,COLUMN())),OFFSET($BN$2,0,0,ROW()-1,60),ROW()-1,FALSE))</f>
        <v>101.706</v>
      </c>
      <c r="AO76">
        <f ca="1">IF(AND(ISNUMBER($AO$533),$B$419=1),$AO$533,HLOOKUP(INDIRECT(ADDRESS(2,COLUMN())),OFFSET($BN$2,0,0,ROW()-1,60),ROW()-1,FALSE))</f>
        <v>85.893000000000001</v>
      </c>
      <c r="AP76">
        <f ca="1">IF(AND(ISNUMBER($AP$533),$B$419=1),$AP$533,HLOOKUP(INDIRECT(ADDRESS(2,COLUMN())),OFFSET($BN$2,0,0,ROW()-1,60),ROW()-1,FALSE))</f>
        <v>89.772999999999996</v>
      </c>
      <c r="AQ76">
        <f ca="1">IF(AND(ISNUMBER($AQ$533),$B$419=1),$AQ$533,HLOOKUP(INDIRECT(ADDRESS(2,COLUMN())),OFFSET($BN$2,0,0,ROW()-1,60),ROW()-1,FALSE))</f>
        <v>113.217512</v>
      </c>
      <c r="AR76">
        <f ca="1">IF(AND(ISNUMBER($AR$533),$B$419=1),$AR$533,HLOOKUP(INDIRECT(ADDRESS(2,COLUMN())),OFFSET($BN$2,0,0,ROW()-1,60),ROW()-1,FALSE))</f>
        <v>93.786000000000001</v>
      </c>
      <c r="AS76">
        <f ca="1">IF(AND(ISNUMBER($AS$533),$B$419=1),$AS$533,HLOOKUP(INDIRECT(ADDRESS(2,COLUMN())),OFFSET($BN$2,0,0,ROW()-1,60),ROW()-1,FALSE))</f>
        <v>94.320999999999998</v>
      </c>
      <c r="AT76">
        <f ca="1">IF(AND(ISNUMBER($AT$533),$B$419=1),$AT$533,HLOOKUP(INDIRECT(ADDRESS(2,COLUMN())),OFFSET($BN$2,0,0,ROW()-1,60),ROW()-1,FALSE))</f>
        <v>88.548000000000002</v>
      </c>
      <c r="AU76">
        <f ca="1">IF(AND(ISNUMBER($AU$533),$B$419=1),$AU$533,HLOOKUP(INDIRECT(ADDRESS(2,COLUMN())),OFFSET($BN$2,0,0,ROW()-1,60),ROW()-1,FALSE))</f>
        <v>83.866</v>
      </c>
      <c r="AV76">
        <f ca="1">IF(AND(ISNUMBER($AV$533),$B$419=1),$AV$533,HLOOKUP(INDIRECT(ADDRESS(2,COLUMN())),OFFSET($BN$2,0,0,ROW()-1,60),ROW()-1,FALSE))</f>
        <v>89.894999999999996</v>
      </c>
      <c r="AW76">
        <f ca="1">IF(AND(ISNUMBER($AW$533),$B$419=1),$AW$533,HLOOKUP(INDIRECT(ADDRESS(2,COLUMN())),OFFSET($BN$2,0,0,ROW()-1,60),ROW()-1,FALSE))</f>
        <v>83.117000000000004</v>
      </c>
      <c r="AX76">
        <f ca="1">IF(AND(ISNUMBER($AX$533),$B$419=1),$AX$533,HLOOKUP(INDIRECT(ADDRESS(2,COLUMN())),OFFSET($BN$2,0,0,ROW()-1,60),ROW()-1,FALSE))</f>
        <v>82.069000000000003</v>
      </c>
      <c r="AY76">
        <f ca="1">IF(AND(ISNUMBER($AY$533),$B$419=1),$AY$533,HLOOKUP(INDIRECT(ADDRESS(2,COLUMN())),OFFSET($BN$2,0,0,ROW()-1,60),ROW()-1,FALSE))</f>
        <v>82.924000000000007</v>
      </c>
      <c r="AZ76">
        <f ca="1">IF(AND(ISNUMBER($AZ$533),$B$419=1),$AZ$533,HLOOKUP(INDIRECT(ADDRESS(2,COLUMN())),OFFSET($BN$2,0,0,ROW()-1,60),ROW()-1,FALSE))</f>
        <v>79.811000000000007</v>
      </c>
      <c r="BA76">
        <f ca="1">IF(AND(ISNUMBER($BA$533),$B$419=1),$BA$533,HLOOKUP(INDIRECT(ADDRESS(2,COLUMN())),OFFSET($BN$2,0,0,ROW()-1,60),ROW()-1,FALSE))</f>
        <v>82.447000000000003</v>
      </c>
      <c r="BB76">
        <f ca="1">IF(AND(ISNUMBER($BB$533),$B$419=1),$BB$533,HLOOKUP(INDIRECT(ADDRESS(2,COLUMN())),OFFSET($BN$2,0,0,ROW()-1,60),ROW()-1,FALSE))</f>
        <v>78.009</v>
      </c>
      <c r="BC76">
        <f ca="1">IF(AND(ISNUMBER($BC$533),$B$419=1),$BC$533,HLOOKUP(INDIRECT(ADDRESS(2,COLUMN())),OFFSET($BN$2,0,0,ROW()-1,60),ROW()-1,FALSE))</f>
        <v>68.222999999999999</v>
      </c>
      <c r="BD76">
        <f ca="1">IF(AND(ISNUMBER($BD$533),$B$419=1),$BD$533,HLOOKUP(INDIRECT(ADDRESS(2,COLUMN())),OFFSET($BN$2,0,0,ROW()-1,60),ROW()-1,FALSE))</f>
        <v>71.739999999999995</v>
      </c>
      <c r="BE76">
        <f ca="1">IF(AND(ISNUMBER($BE$533),$B$419=1),$BE$533,HLOOKUP(INDIRECT(ADDRESS(2,COLUMN())),OFFSET($BN$2,0,0,ROW()-1,60),ROW()-1,FALSE))</f>
        <v>84.55</v>
      </c>
      <c r="BF76">
        <f ca="1">IF(AND(ISNUMBER($BF$533),$B$419=1),$BF$533,HLOOKUP(INDIRECT(ADDRESS(2,COLUMN())),OFFSET($BN$2,0,0,ROW()-1,60),ROW()-1,FALSE))</f>
        <v>70.968999999999994</v>
      </c>
      <c r="BG76">
        <f ca="1">IF(AND(ISNUMBER($BG$533),$B$419=1),$BG$533,HLOOKUP(INDIRECT(ADDRESS(2,COLUMN())),OFFSET($BN$2,0,0,ROW()-1,60),ROW()-1,FALSE))</f>
        <v>73.796000000000006</v>
      </c>
      <c r="BH76">
        <f ca="1">IF(AND(ISNUMBER($BH$533),$B$419=1),$BH$533,HLOOKUP(INDIRECT(ADDRESS(2,COLUMN())),OFFSET($BN$2,0,0,ROW()-1,60),ROW()-1,FALSE))</f>
        <v>69.117000000000004</v>
      </c>
      <c r="BI76">
        <f ca="1">IF(AND(ISNUMBER($BI$533),$B$419=1),$BI$533,HLOOKUP(INDIRECT(ADDRESS(2,COLUMN())),OFFSET($BN$2,0,0,ROW()-1,60),ROW()-1,FALSE))</f>
        <v>70.140997999999996</v>
      </c>
      <c r="BJ76">
        <f ca="1">IF(AND(ISNUMBER($BJ$533),$B$419=1),$BJ$533,HLOOKUP(INDIRECT(ADDRESS(2,COLUMN())),OFFSET($BN$2,0,0,ROW()-1,60),ROW()-1,FALSE))</f>
        <v>66.83</v>
      </c>
      <c r="BK76">
        <f ca="1">IF(AND(ISNUMBER($BK$533),$B$419=1),$BK$533,HLOOKUP(INDIRECT(ADDRESS(2,COLUMN())),OFFSET($BN$2,0,0,ROW()-1,60),ROW()-1,FALSE))</f>
        <v>67.539001350000007</v>
      </c>
      <c r="BL76">
        <f ca="1">IF(AND(ISNUMBER($BL$533),$B$419=1),$BL$533,HLOOKUP(INDIRECT(ADDRESS(2,COLUMN())),OFFSET($BN$2,0,0,ROW()-1,60),ROW()-1,FALSE))</f>
        <v>66.185997999999998</v>
      </c>
      <c r="BM76">
        <f ca="1">IF(AND(ISNUMBER($BM$533),$B$419=1),$BM$533,HLOOKUP(INDIRECT(ADDRESS(2,COLUMN())),OFFSET($BN$2,0,0,ROW()-1,60),ROW()-1,FALSE))</f>
        <v>65.995001999999999</v>
      </c>
      <c r="BN76" t="str">
        <f>""</f>
        <v/>
      </c>
      <c r="BO76">
        <f>194.563</f>
        <v>194.56299999999999</v>
      </c>
      <c r="BP76">
        <f>194.806</f>
        <v>194.80600000000001</v>
      </c>
      <c r="BQ76">
        <f>196.329</f>
        <v>196.32900000000001</v>
      </c>
      <c r="BR76">
        <f>144.918</f>
        <v>144.91800000000001</v>
      </c>
      <c r="BS76">
        <f>117.607</f>
        <v>117.607</v>
      </c>
      <c r="BT76">
        <f>112.337</f>
        <v>112.337</v>
      </c>
      <c r="BU76">
        <f>111.934</f>
        <v>111.934</v>
      </c>
      <c r="BV76">
        <f>111.073</f>
        <v>111.07299999999999</v>
      </c>
      <c r="BW76">
        <f>109.295</f>
        <v>109.295</v>
      </c>
      <c r="BX76">
        <f>106.263</f>
        <v>106.26300000000001</v>
      </c>
      <c r="BY76">
        <f>105.277</f>
        <v>105.277</v>
      </c>
      <c r="BZ76">
        <f>104.096</f>
        <v>104.096</v>
      </c>
      <c r="CA76">
        <f>102.027</f>
        <v>102.027</v>
      </c>
      <c r="CB76">
        <f>100.578</f>
        <v>100.578</v>
      </c>
      <c r="CC76">
        <f>100.496</f>
        <v>100.496</v>
      </c>
      <c r="CD76">
        <f>97.976</f>
        <v>97.975999999999999</v>
      </c>
      <c r="CE76">
        <f>92.993</f>
        <v>92.992999999999995</v>
      </c>
      <c r="CF76">
        <f>90.189</f>
        <v>90.188999999999993</v>
      </c>
      <c r="CG76">
        <f>91.076</f>
        <v>91.075999999999993</v>
      </c>
      <c r="CH76">
        <f>90.006</f>
        <v>90.006</v>
      </c>
      <c r="CI76">
        <f>87.347</f>
        <v>87.346999999999994</v>
      </c>
      <c r="CJ76">
        <f>86.897</f>
        <v>86.897000000000006</v>
      </c>
      <c r="CK76">
        <f>95.545</f>
        <v>95.545000000000002</v>
      </c>
      <c r="CL76">
        <f>92.614</f>
        <v>92.614000000000004</v>
      </c>
      <c r="CM76">
        <f>91.893</f>
        <v>91.893000000000001</v>
      </c>
      <c r="CN76">
        <f>92.146</f>
        <v>92.146000000000001</v>
      </c>
      <c r="CO76">
        <f>93.699</f>
        <v>93.698999999999998</v>
      </c>
      <c r="CP76">
        <f>90.987</f>
        <v>90.986999999999995</v>
      </c>
      <c r="CQ76">
        <f>88.187947</f>
        <v>88.187946999999994</v>
      </c>
      <c r="CR76">
        <f>89.858</f>
        <v>89.858000000000004</v>
      </c>
      <c r="CS76">
        <f>89.652</f>
        <v>89.652000000000001</v>
      </c>
      <c r="CT76">
        <f>91.987</f>
        <v>91.986999999999995</v>
      </c>
      <c r="CU76">
        <f>91.575187</f>
        <v>91.575187</v>
      </c>
      <c r="CV76">
        <f>101.706</f>
        <v>101.706</v>
      </c>
      <c r="CW76">
        <f>85.893</f>
        <v>85.893000000000001</v>
      </c>
      <c r="CX76">
        <f>89.773</f>
        <v>89.772999999999996</v>
      </c>
      <c r="CY76">
        <f>113.217512</f>
        <v>113.217512</v>
      </c>
      <c r="CZ76">
        <f>93.786</f>
        <v>93.786000000000001</v>
      </c>
      <c r="DA76">
        <f>94.321</f>
        <v>94.320999999999998</v>
      </c>
      <c r="DB76">
        <f>88.548</f>
        <v>88.548000000000002</v>
      </c>
      <c r="DC76">
        <f>83.866</f>
        <v>83.866</v>
      </c>
      <c r="DD76">
        <f>89.895</f>
        <v>89.894999999999996</v>
      </c>
      <c r="DE76">
        <f>83.117</f>
        <v>83.117000000000004</v>
      </c>
      <c r="DF76">
        <f>82.069</f>
        <v>82.069000000000003</v>
      </c>
      <c r="DG76">
        <f>82.924</f>
        <v>82.924000000000007</v>
      </c>
      <c r="DH76">
        <f>79.811</f>
        <v>79.811000000000007</v>
      </c>
      <c r="DI76">
        <f>82.447</f>
        <v>82.447000000000003</v>
      </c>
      <c r="DJ76">
        <f>78.009</f>
        <v>78.009</v>
      </c>
      <c r="DK76">
        <f>68.223</f>
        <v>68.222999999999999</v>
      </c>
      <c r="DL76">
        <f>71.74</f>
        <v>71.739999999999995</v>
      </c>
      <c r="DM76">
        <f>84.55</f>
        <v>84.55</v>
      </c>
      <c r="DN76">
        <f>70.969</f>
        <v>70.968999999999994</v>
      </c>
      <c r="DO76">
        <f>73.796</f>
        <v>73.796000000000006</v>
      </c>
      <c r="DP76">
        <f>69.117</f>
        <v>69.117000000000004</v>
      </c>
      <c r="DQ76">
        <f>70.140998</f>
        <v>70.140997999999996</v>
      </c>
      <c r="DR76">
        <f>66.83</f>
        <v>66.83</v>
      </c>
      <c r="DS76">
        <f>67.53900135</f>
        <v>67.539001350000007</v>
      </c>
      <c r="DT76">
        <f>66.185998</f>
        <v>66.185997999999998</v>
      </c>
      <c r="DU76">
        <f>65.995002</f>
        <v>65.995001999999999</v>
      </c>
    </row>
    <row r="77" spans="1:125">
      <c r="A77" t="str">
        <f>"    Retail Opportunity Investments"</f>
        <v xml:space="preserve">    Retail Opportunity Investments</v>
      </c>
      <c r="B77" t="str">
        <f>"ROIC US Equity"</f>
        <v>ROIC US Equity</v>
      </c>
      <c r="C77" t="str">
        <f t="shared" si="12"/>
        <v>RR502</v>
      </c>
      <c r="D77" t="str">
        <f t="shared" si="13"/>
        <v>NET_OPER_INCOME</v>
      </c>
      <c r="E77" t="str">
        <f t="shared" si="14"/>
        <v>动态</v>
      </c>
      <c r="F77" t="str">
        <f ca="1">IF(AND(ISNUMBER($F$534),$B$419=1),$F$534,HLOOKUP(INDIRECT(ADDRESS(2,COLUMN())),OFFSET($BN$2,0,0,ROW()-1,60),ROW()-1,FALSE))</f>
        <v/>
      </c>
      <c r="G77">
        <f ca="1">IF(AND(ISNUMBER($G$534),$B$419=1),$G$534,HLOOKUP(INDIRECT(ADDRESS(2,COLUMN())),OFFSET($BN$2,0,0,ROW()-1,60),ROW()-1,FALSE))</f>
        <v>53.021000000000001</v>
      </c>
      <c r="H77">
        <f ca="1">IF(AND(ISNUMBER($H$534),$B$419=1),$H$534,HLOOKUP(INDIRECT(ADDRESS(2,COLUMN())),OFFSET($BN$2,0,0,ROW()-1,60),ROW()-1,FALSE))</f>
        <v>50.292999999999999</v>
      </c>
      <c r="I77">
        <f ca="1">IF(AND(ISNUMBER($I$534),$B$419=1),$I$534,HLOOKUP(INDIRECT(ADDRESS(2,COLUMN())),OFFSET($BN$2,0,0,ROW()-1,60),ROW()-1,FALSE))</f>
        <v>48.475000000000001</v>
      </c>
      <c r="J77">
        <f ca="1">IF(AND(ISNUMBER($J$534),$B$419=1),$J$534,HLOOKUP(INDIRECT(ADDRESS(2,COLUMN())),OFFSET($BN$2,0,0,ROW()-1,60),ROW()-1,FALSE))</f>
        <v>48.779000000000003</v>
      </c>
      <c r="K77">
        <f ca="1">IF(AND(ISNUMBER($K$534),$B$419=1),$K$534,HLOOKUP(INDIRECT(ADDRESS(2,COLUMN())),OFFSET($BN$2,0,0,ROW()-1,60),ROW()-1,FALSE))</f>
        <v>47.017000000000003</v>
      </c>
      <c r="L77">
        <f ca="1">IF(AND(ISNUMBER($L$534),$B$419=1),$L$534,HLOOKUP(INDIRECT(ADDRESS(2,COLUMN())),OFFSET($BN$2,0,0,ROW()-1,60),ROW()-1,FALSE))</f>
        <v>44.052999999999997</v>
      </c>
      <c r="M77">
        <f ca="1">IF(AND(ISNUMBER($M$534),$B$419=1),$M$534,HLOOKUP(INDIRECT(ADDRESS(2,COLUMN())),OFFSET($BN$2,0,0,ROW()-1,60),ROW()-1,FALSE))</f>
        <v>43.9</v>
      </c>
      <c r="N77">
        <f ca="1">IF(AND(ISNUMBER($N$534),$B$419=1),$N$534,HLOOKUP(INDIRECT(ADDRESS(2,COLUMN())),OFFSET($BN$2,0,0,ROW()-1,60),ROW()-1,FALSE))</f>
        <v>42.555</v>
      </c>
      <c r="O77">
        <f ca="1">IF(AND(ISNUMBER($O$534),$B$419=1),$O$534,HLOOKUP(INDIRECT(ADDRESS(2,COLUMN())),OFFSET($BN$2,0,0,ROW()-1,60),ROW()-1,FALSE))</f>
        <v>37.741</v>
      </c>
      <c r="P77">
        <f ca="1">IF(AND(ISNUMBER($P$534),$B$419=1),$P$534,HLOOKUP(INDIRECT(ADDRESS(2,COLUMN())),OFFSET($BN$2,0,0,ROW()-1,60),ROW()-1,FALSE))</f>
        <v>35.715000000000003</v>
      </c>
      <c r="Q77">
        <f ca="1">IF(AND(ISNUMBER($Q$534),$B$419=1),$Q$534,HLOOKUP(INDIRECT(ADDRESS(2,COLUMN())),OFFSET($BN$2,0,0,ROW()-1,60),ROW()-1,FALSE))</f>
        <v>34.329000000000001</v>
      </c>
      <c r="R77">
        <f ca="1">IF(AND(ISNUMBER($R$534),$B$419=1),$R$534,HLOOKUP(INDIRECT(ADDRESS(2,COLUMN())),OFFSET($BN$2,0,0,ROW()-1,60),ROW()-1,FALSE))</f>
        <v>33.234000000000002</v>
      </c>
      <c r="S77">
        <f ca="1">IF(AND(ISNUMBER($S$534),$B$419=1),$S$534,HLOOKUP(INDIRECT(ADDRESS(2,COLUMN())),OFFSET($BN$2,0,0,ROW()-1,60),ROW()-1,FALSE))</f>
        <v>30.058077999999998</v>
      </c>
      <c r="T77">
        <f ca="1">IF(AND(ISNUMBER($T$534),$B$419=1),$T$534,HLOOKUP(INDIRECT(ADDRESS(2,COLUMN())),OFFSET($BN$2,0,0,ROW()-1,60),ROW()-1,FALSE))</f>
        <v>29.677074000000001</v>
      </c>
      <c r="U77">
        <f ca="1">IF(AND(ISNUMBER($U$534),$B$419=1),$U$534,HLOOKUP(INDIRECT(ADDRESS(2,COLUMN())),OFFSET($BN$2,0,0,ROW()-1,60),ROW()-1,FALSE))</f>
        <v>26.762286</v>
      </c>
      <c r="V77">
        <f ca="1">IF(AND(ISNUMBER($V$534),$B$419=1),$V$534,HLOOKUP(INDIRECT(ADDRESS(2,COLUMN())),OFFSET($BN$2,0,0,ROW()-1,60),ROW()-1,FALSE))</f>
        <v>25.300999999999998</v>
      </c>
      <c r="W77">
        <f ca="1">IF(AND(ISNUMBER($W$534),$B$419=1),$W$534,HLOOKUP(INDIRECT(ADDRESS(2,COLUMN())),OFFSET($BN$2,0,0,ROW()-1,60),ROW()-1,FALSE))</f>
        <v>23.045779</v>
      </c>
      <c r="X77">
        <f ca="1">IF(AND(ISNUMBER($X$534),$B$419=1),$X$534,HLOOKUP(INDIRECT(ADDRESS(2,COLUMN())),OFFSET($BN$2,0,0,ROW()-1,60),ROW()-1,FALSE))</f>
        <v>18.257750000000001</v>
      </c>
      <c r="Y77">
        <f ca="1">IF(AND(ISNUMBER($Y$534),$B$419=1),$Y$534,HLOOKUP(INDIRECT(ADDRESS(2,COLUMN())),OFFSET($BN$2,0,0,ROW()-1,60),ROW()-1,FALSE))</f>
        <v>18.770997999999999</v>
      </c>
      <c r="Z77">
        <f ca="1">IF(AND(ISNUMBER($Z$534),$B$419=1),$Z$534,HLOOKUP(INDIRECT(ADDRESS(2,COLUMN())),OFFSET($BN$2,0,0,ROW()-1,60),ROW()-1,FALSE))</f>
        <v>17.706330999999999</v>
      </c>
      <c r="AA77">
        <f ca="1">IF(AND(ISNUMBER($AA$534),$B$419=1),$AA$534,HLOOKUP(INDIRECT(ADDRESS(2,COLUMN())),OFFSET($BN$2,0,0,ROW()-1,60),ROW()-1,FALSE))</f>
        <v>15.614443</v>
      </c>
      <c r="AB77">
        <f ca="1">IF(AND(ISNUMBER($AB$534),$B$419=1),$AB$534,HLOOKUP(INDIRECT(ADDRESS(2,COLUMN())),OFFSET($BN$2,0,0,ROW()-1,60),ROW()-1,FALSE))</f>
        <v>13.84497</v>
      </c>
      <c r="AC77">
        <f ca="1">IF(AND(ISNUMBER($AC$534),$B$419=1),$AC$534,HLOOKUP(INDIRECT(ADDRESS(2,COLUMN())),OFFSET($BN$2,0,0,ROW()-1,60),ROW()-1,FALSE))</f>
        <v>12.592262</v>
      </c>
      <c r="AD77">
        <f ca="1">IF(AND(ISNUMBER($AD$534),$B$419=1),$AD$534,HLOOKUP(INDIRECT(ADDRESS(2,COLUMN())),OFFSET($BN$2,0,0,ROW()-1,60),ROW()-1,FALSE))</f>
        <v>11.876955000000001</v>
      </c>
      <c r="AE77">
        <f ca="1">IF(AND(ISNUMBER($AE$534),$B$419=1),$AE$534,HLOOKUP(INDIRECT(ADDRESS(2,COLUMN())),OFFSET($BN$2,0,0,ROW()-1,60),ROW()-1,FALSE))</f>
        <v>11.861602</v>
      </c>
      <c r="AF77">
        <f ca="1">IF(AND(ISNUMBER($AF$534),$B$419=1),$AF$534,HLOOKUP(INDIRECT(ADDRESS(2,COLUMN())),OFFSET($BN$2,0,0,ROW()-1,60),ROW()-1,FALSE))</f>
        <v>9.6708239999999996</v>
      </c>
      <c r="AG77">
        <f ca="1">IF(AND(ISNUMBER($AG$534),$B$419=1),$AG$534,HLOOKUP(INDIRECT(ADDRESS(2,COLUMN())),OFFSET($BN$2,0,0,ROW()-1,60),ROW()-1,FALSE))</f>
        <v>7.9316199999999997</v>
      </c>
      <c r="AH77">
        <f ca="1">IF(AND(ISNUMBER($AH$534),$B$419=1),$AH$534,HLOOKUP(INDIRECT(ADDRESS(2,COLUMN())),OFFSET($BN$2,0,0,ROW()-1,60),ROW()-1,FALSE))</f>
        <v>6.9384959999999998</v>
      </c>
      <c r="AI77">
        <f ca="1">IF(AND(ISNUMBER($AI$534),$B$419=1),$AI$534,HLOOKUP(INDIRECT(ADDRESS(2,COLUMN())),OFFSET($BN$2,0,0,ROW()-1,60),ROW()-1,FALSE))</f>
        <v>4.2986789999999999</v>
      </c>
      <c r="AJ77">
        <f ca="1">IF(AND(ISNUMBER($AJ$534),$B$419=1),$AJ$534,HLOOKUP(INDIRECT(ADDRESS(2,COLUMN())),OFFSET($BN$2,0,0,ROW()-1,60),ROW()-1,FALSE))</f>
        <v>3.3685239999999999</v>
      </c>
      <c r="AK77">
        <f ca="1">IF(AND(ISNUMBER($AK$534),$B$419=1),$AK$534,HLOOKUP(INDIRECT(ADDRESS(2,COLUMN())),OFFSET($BN$2,0,0,ROW()-1,60),ROW()-1,FALSE))</f>
        <v>2.019495</v>
      </c>
      <c r="AL77">
        <f ca="1">IF(AND(ISNUMBER($AL$534),$B$419=1),$AL$534,HLOOKUP(INDIRECT(ADDRESS(2,COLUMN())),OFFSET($BN$2,0,0,ROW()-1,60),ROW()-1,FALSE))</f>
        <v>1.02841</v>
      </c>
      <c r="AM77" t="str">
        <f ca="1">IF(AND(ISNUMBER($AM$534),$B$419=1),$AM$534,HLOOKUP(INDIRECT(ADDRESS(2,COLUMN())),OFFSET($BN$2,0,0,ROW()-1,60),ROW()-1,FALSE))</f>
        <v/>
      </c>
      <c r="AN77" t="str">
        <f ca="1">IF(AND(ISNUMBER($AN$534),$B$419=1),$AN$534,HLOOKUP(INDIRECT(ADDRESS(2,COLUMN())),OFFSET($BN$2,0,0,ROW()-1,60),ROW()-1,FALSE))</f>
        <v/>
      </c>
      <c r="AO77" t="str">
        <f ca="1">IF(AND(ISNUMBER($AO$534),$B$419=1),$AO$534,HLOOKUP(INDIRECT(ADDRESS(2,COLUMN())),OFFSET($BN$2,0,0,ROW()-1,60),ROW()-1,FALSE))</f>
        <v/>
      </c>
      <c r="AP77" t="str">
        <f ca="1">IF(AND(ISNUMBER($AP$534),$B$419=1),$AP$534,HLOOKUP(INDIRECT(ADDRESS(2,COLUMN())),OFFSET($BN$2,0,0,ROW()-1,60),ROW()-1,FALSE))</f>
        <v/>
      </c>
      <c r="AQ77" t="str">
        <f ca="1">IF(AND(ISNUMBER($AQ$534),$B$419=1),$AQ$534,HLOOKUP(INDIRECT(ADDRESS(2,COLUMN())),OFFSET($BN$2,0,0,ROW()-1,60),ROW()-1,FALSE))</f>
        <v/>
      </c>
      <c r="AR77" t="str">
        <f ca="1">IF(AND(ISNUMBER($AR$534),$B$419=1),$AR$534,HLOOKUP(INDIRECT(ADDRESS(2,COLUMN())),OFFSET($BN$2,0,0,ROW()-1,60),ROW()-1,FALSE))</f>
        <v/>
      </c>
      <c r="AS77" t="str">
        <f ca="1">IF(AND(ISNUMBER($AS$534),$B$419=1),$AS$534,HLOOKUP(INDIRECT(ADDRESS(2,COLUMN())),OFFSET($BN$2,0,0,ROW()-1,60),ROW()-1,FALSE))</f>
        <v/>
      </c>
      <c r="AT77" t="str">
        <f ca="1">IF(AND(ISNUMBER($AT$534),$B$419=1),$AT$534,HLOOKUP(INDIRECT(ADDRESS(2,COLUMN())),OFFSET($BN$2,0,0,ROW()-1,60),ROW()-1,FALSE))</f>
        <v/>
      </c>
      <c r="AU77" t="str">
        <f ca="1">IF(AND(ISNUMBER($AU$534),$B$419=1),$AU$534,HLOOKUP(INDIRECT(ADDRESS(2,COLUMN())),OFFSET($BN$2,0,0,ROW()-1,60),ROW()-1,FALSE))</f>
        <v/>
      </c>
      <c r="AV77" t="str">
        <f ca="1">IF(AND(ISNUMBER($AV$534),$B$419=1),$AV$534,HLOOKUP(INDIRECT(ADDRESS(2,COLUMN())),OFFSET($BN$2,0,0,ROW()-1,60),ROW()-1,FALSE))</f>
        <v/>
      </c>
      <c r="AW77" t="str">
        <f ca="1">IF(AND(ISNUMBER($AW$534),$B$419=1),$AW$534,HLOOKUP(INDIRECT(ADDRESS(2,COLUMN())),OFFSET($BN$2,0,0,ROW()-1,60),ROW()-1,FALSE))</f>
        <v/>
      </c>
      <c r="AX77" t="str">
        <f ca="1">IF(AND(ISNUMBER($AX$534),$B$419=1),$AX$534,HLOOKUP(INDIRECT(ADDRESS(2,COLUMN())),OFFSET($BN$2,0,0,ROW()-1,60),ROW()-1,FALSE))</f>
        <v/>
      </c>
      <c r="AY77" t="str">
        <f ca="1">IF(AND(ISNUMBER($AY$534),$B$419=1),$AY$534,HLOOKUP(INDIRECT(ADDRESS(2,COLUMN())),OFFSET($BN$2,0,0,ROW()-1,60),ROW()-1,FALSE))</f>
        <v/>
      </c>
      <c r="AZ77" t="str">
        <f ca="1">IF(AND(ISNUMBER($AZ$534),$B$419=1),$AZ$534,HLOOKUP(INDIRECT(ADDRESS(2,COLUMN())),OFFSET($BN$2,0,0,ROW()-1,60),ROW()-1,FALSE))</f>
        <v/>
      </c>
      <c r="BA77" t="str">
        <f ca="1">IF(AND(ISNUMBER($BA$534),$B$419=1),$BA$534,HLOOKUP(INDIRECT(ADDRESS(2,COLUMN())),OFFSET($BN$2,0,0,ROW()-1,60),ROW()-1,FALSE))</f>
        <v/>
      </c>
      <c r="BB77" t="str">
        <f ca="1">IF(AND(ISNUMBER($BB$534),$B$419=1),$BB$534,HLOOKUP(INDIRECT(ADDRESS(2,COLUMN())),OFFSET($BN$2,0,0,ROW()-1,60),ROW()-1,FALSE))</f>
        <v/>
      </c>
      <c r="BC77" t="str">
        <f ca="1">IF(AND(ISNUMBER($BC$534),$B$419=1),$BC$534,HLOOKUP(INDIRECT(ADDRESS(2,COLUMN())),OFFSET($BN$2,0,0,ROW()-1,60),ROW()-1,FALSE))</f>
        <v/>
      </c>
      <c r="BD77" t="str">
        <f ca="1">IF(AND(ISNUMBER($BD$534),$B$419=1),$BD$534,HLOOKUP(INDIRECT(ADDRESS(2,COLUMN())),OFFSET($BN$2,0,0,ROW()-1,60),ROW()-1,FALSE))</f>
        <v/>
      </c>
      <c r="BE77" t="str">
        <f ca="1">IF(AND(ISNUMBER($BE$534),$B$419=1),$BE$534,HLOOKUP(INDIRECT(ADDRESS(2,COLUMN())),OFFSET($BN$2,0,0,ROW()-1,60),ROW()-1,FALSE))</f>
        <v/>
      </c>
      <c r="BF77" t="str">
        <f ca="1">IF(AND(ISNUMBER($BF$534),$B$419=1),$BF$534,HLOOKUP(INDIRECT(ADDRESS(2,COLUMN())),OFFSET($BN$2,0,0,ROW()-1,60),ROW()-1,FALSE))</f>
        <v/>
      </c>
      <c r="BG77" t="str">
        <f ca="1">IF(AND(ISNUMBER($BG$534),$B$419=1),$BG$534,HLOOKUP(INDIRECT(ADDRESS(2,COLUMN())),OFFSET($BN$2,0,0,ROW()-1,60),ROW()-1,FALSE))</f>
        <v/>
      </c>
      <c r="BH77" t="str">
        <f ca="1">IF(AND(ISNUMBER($BH$534),$B$419=1),$BH$534,HLOOKUP(INDIRECT(ADDRESS(2,COLUMN())),OFFSET($BN$2,0,0,ROW()-1,60),ROW()-1,FALSE))</f>
        <v/>
      </c>
      <c r="BI77" t="str">
        <f ca="1">IF(AND(ISNUMBER($BI$534),$B$419=1),$BI$534,HLOOKUP(INDIRECT(ADDRESS(2,COLUMN())),OFFSET($BN$2,0,0,ROW()-1,60),ROW()-1,FALSE))</f>
        <v/>
      </c>
      <c r="BJ77" t="str">
        <f ca="1">IF(AND(ISNUMBER($BJ$534),$B$419=1),$BJ$534,HLOOKUP(INDIRECT(ADDRESS(2,COLUMN())),OFFSET($BN$2,0,0,ROW()-1,60),ROW()-1,FALSE))</f>
        <v/>
      </c>
      <c r="BK77" t="str">
        <f ca="1">IF(AND(ISNUMBER($BK$534),$B$419=1),$BK$534,HLOOKUP(INDIRECT(ADDRESS(2,COLUMN())),OFFSET($BN$2,0,0,ROW()-1,60),ROW()-1,FALSE))</f>
        <v/>
      </c>
      <c r="BL77" t="str">
        <f ca="1">IF(AND(ISNUMBER($BL$534),$B$419=1),$BL$534,HLOOKUP(INDIRECT(ADDRESS(2,COLUMN())),OFFSET($BN$2,0,0,ROW()-1,60),ROW()-1,FALSE))</f>
        <v/>
      </c>
      <c r="BM77" t="str">
        <f ca="1">IF(AND(ISNUMBER($BM$534),$B$419=1),$BM$534,HLOOKUP(INDIRECT(ADDRESS(2,COLUMN())),OFFSET($BN$2,0,0,ROW()-1,60),ROW()-1,FALSE))</f>
        <v/>
      </c>
      <c r="BN77" t="str">
        <f>""</f>
        <v/>
      </c>
      <c r="BO77">
        <f>53.021</f>
        <v>53.021000000000001</v>
      </c>
      <c r="BP77">
        <f>50.293</f>
        <v>50.292999999999999</v>
      </c>
      <c r="BQ77">
        <f>48.475</f>
        <v>48.475000000000001</v>
      </c>
      <c r="BR77">
        <f>48.779</f>
        <v>48.779000000000003</v>
      </c>
      <c r="BS77">
        <f>47.017</f>
        <v>47.017000000000003</v>
      </c>
      <c r="BT77">
        <f>44.053</f>
        <v>44.052999999999997</v>
      </c>
      <c r="BU77">
        <f>43.9</f>
        <v>43.9</v>
      </c>
      <c r="BV77">
        <f>42.555</f>
        <v>42.555</v>
      </c>
      <c r="BW77">
        <f>37.741</f>
        <v>37.741</v>
      </c>
      <c r="BX77">
        <f>35.715</f>
        <v>35.715000000000003</v>
      </c>
      <c r="BY77">
        <f>34.329</f>
        <v>34.329000000000001</v>
      </c>
      <c r="BZ77">
        <f>33.234</f>
        <v>33.234000000000002</v>
      </c>
      <c r="CA77">
        <f>30.058078</f>
        <v>30.058077999999998</v>
      </c>
      <c r="CB77">
        <f>29.677074</f>
        <v>29.677074000000001</v>
      </c>
      <c r="CC77">
        <f>26.762286</f>
        <v>26.762286</v>
      </c>
      <c r="CD77">
        <f>25.301</f>
        <v>25.300999999999998</v>
      </c>
      <c r="CE77">
        <f>23.045779</f>
        <v>23.045779</v>
      </c>
      <c r="CF77">
        <f>18.25775</f>
        <v>18.257750000000001</v>
      </c>
      <c r="CG77">
        <f>18.770998</f>
        <v>18.770997999999999</v>
      </c>
      <c r="CH77">
        <f>17.706331</f>
        <v>17.706330999999999</v>
      </c>
      <c r="CI77">
        <f>15.614443</f>
        <v>15.614443</v>
      </c>
      <c r="CJ77">
        <f>13.84497</f>
        <v>13.84497</v>
      </c>
      <c r="CK77">
        <f>12.592262</f>
        <v>12.592262</v>
      </c>
      <c r="CL77">
        <f>11.876955</f>
        <v>11.876955000000001</v>
      </c>
      <c r="CM77">
        <f>11.861602</f>
        <v>11.861602</v>
      </c>
      <c r="CN77">
        <f>9.670824</f>
        <v>9.6708239999999996</v>
      </c>
      <c r="CO77">
        <f>7.93162</f>
        <v>7.9316199999999997</v>
      </c>
      <c r="CP77">
        <f>6.938496</f>
        <v>6.9384959999999998</v>
      </c>
      <c r="CQ77">
        <f>4.298679</f>
        <v>4.2986789999999999</v>
      </c>
      <c r="CR77">
        <f>3.368524</f>
        <v>3.3685239999999999</v>
      </c>
      <c r="CS77">
        <f>2.019495</f>
        <v>2.019495</v>
      </c>
      <c r="CT77">
        <f>1.02841</f>
        <v>1.02841</v>
      </c>
      <c r="CU77" t="str">
        <f>""</f>
        <v/>
      </c>
      <c r="CV77" t="str">
        <f>""</f>
        <v/>
      </c>
      <c r="CW77" t="str">
        <f>""</f>
        <v/>
      </c>
      <c r="CX77" t="str">
        <f>""</f>
        <v/>
      </c>
      <c r="CY77" t="str">
        <f>""</f>
        <v/>
      </c>
      <c r="CZ77" t="str">
        <f>""</f>
        <v/>
      </c>
      <c r="DA77" t="str">
        <f>""</f>
        <v/>
      </c>
      <c r="DB77" t="str">
        <f>""</f>
        <v/>
      </c>
      <c r="DC77" t="str">
        <f>""</f>
        <v/>
      </c>
      <c r="DD77" t="str">
        <f>""</f>
        <v/>
      </c>
      <c r="DE77" t="str">
        <f>""</f>
        <v/>
      </c>
      <c r="DF77" t="str">
        <f>""</f>
        <v/>
      </c>
      <c r="DG77" t="str">
        <f>""</f>
        <v/>
      </c>
      <c r="DH77" t="str">
        <f>""</f>
        <v/>
      </c>
      <c r="DI77" t="str">
        <f>""</f>
        <v/>
      </c>
      <c r="DJ77" t="str">
        <f>""</f>
        <v/>
      </c>
      <c r="DK77" t="str">
        <f>""</f>
        <v/>
      </c>
      <c r="DL77" t="str">
        <f>""</f>
        <v/>
      </c>
      <c r="DM77" t="str">
        <f>""</f>
        <v/>
      </c>
      <c r="DN77" t="str">
        <f>""</f>
        <v/>
      </c>
      <c r="DO77" t="str">
        <f>""</f>
        <v/>
      </c>
      <c r="DP77" t="str">
        <f>""</f>
        <v/>
      </c>
      <c r="DQ77" t="str">
        <f>""</f>
        <v/>
      </c>
      <c r="DR77" t="str">
        <f>""</f>
        <v/>
      </c>
      <c r="DS77" t="str">
        <f>""</f>
        <v/>
      </c>
      <c r="DT77" t="str">
        <f>""</f>
        <v/>
      </c>
      <c r="DU77" t="str">
        <f>""</f>
        <v/>
      </c>
    </row>
    <row r="78" spans="1:125">
      <c r="A78" t="str">
        <f>"    Retail Properties of America I"</f>
        <v xml:space="preserve">    Retail Properties of America I</v>
      </c>
      <c r="B78" t="str">
        <f>"RPAI US Equity"</f>
        <v>RPAI US Equity</v>
      </c>
      <c r="C78" t="str">
        <f t="shared" si="12"/>
        <v>RR502</v>
      </c>
      <c r="D78" t="str">
        <f t="shared" si="13"/>
        <v>NET_OPER_INCOME</v>
      </c>
      <c r="E78" t="str">
        <f t="shared" si="14"/>
        <v>动态</v>
      </c>
      <c r="F78" t="str">
        <f ca="1">IF(AND(ISNUMBER($F$535),$B$419=1),$F$535,HLOOKUP(INDIRECT(ADDRESS(2,COLUMN())),OFFSET($BN$2,0,0,ROW()-1,60),ROW()-1,FALSE))</f>
        <v/>
      </c>
      <c r="G78">
        <f ca="1">IF(AND(ISNUMBER($G$535),$B$419=1),$G$535,HLOOKUP(INDIRECT(ADDRESS(2,COLUMN())),OFFSET($BN$2,0,0,ROW()-1,60),ROW()-1,FALSE))</f>
        <v>85.804000000000002</v>
      </c>
      <c r="H78">
        <f ca="1">IF(AND(ISNUMBER($H$535),$B$419=1),$H$535,HLOOKUP(INDIRECT(ADDRESS(2,COLUMN())),OFFSET($BN$2,0,0,ROW()-1,60),ROW()-1,FALSE))</f>
        <v>87.566000000000003</v>
      </c>
      <c r="I78">
        <f ca="1">IF(AND(ISNUMBER($I$535),$B$419=1),$I$535,HLOOKUP(INDIRECT(ADDRESS(2,COLUMN())),OFFSET($BN$2,0,0,ROW()-1,60),ROW()-1,FALSE))</f>
        <v>93.05</v>
      </c>
      <c r="J78">
        <f ca="1">IF(AND(ISNUMBER($J$535),$B$419=1),$J$535,HLOOKUP(INDIRECT(ADDRESS(2,COLUMN())),OFFSET($BN$2,0,0,ROW()-1,60),ROW()-1,FALSE))</f>
        <v>97.016999999999996</v>
      </c>
      <c r="K78">
        <f ca="1">IF(AND(ISNUMBER($K$535),$B$419=1),$K$535,HLOOKUP(INDIRECT(ADDRESS(2,COLUMN())),OFFSET($BN$2,0,0,ROW()-1,60),ROW()-1,FALSE))</f>
        <v>97.741</v>
      </c>
      <c r="L78">
        <f ca="1">IF(AND(ISNUMBER($L$535),$B$419=1),$L$535,HLOOKUP(INDIRECT(ADDRESS(2,COLUMN())),OFFSET($BN$2,0,0,ROW()-1,60),ROW()-1,FALSE))</f>
        <v>102.535</v>
      </c>
      <c r="M78">
        <f ca="1">IF(AND(ISNUMBER($M$535),$B$419=1),$M$535,HLOOKUP(INDIRECT(ADDRESS(2,COLUMN())),OFFSET($BN$2,0,0,ROW()-1,60),ROW()-1,FALSE))</f>
        <v>103.666</v>
      </c>
      <c r="N78">
        <f ca="1">IF(AND(ISNUMBER($N$535),$B$419=1),$N$535,HLOOKUP(INDIRECT(ADDRESS(2,COLUMN())),OFFSET($BN$2,0,0,ROW()-1,60),ROW()-1,FALSE))</f>
        <v>102.616</v>
      </c>
      <c r="O78">
        <f ca="1">IF(AND(ISNUMBER($O$535),$B$419=1),$O$535,HLOOKUP(INDIRECT(ADDRESS(2,COLUMN())),OFFSET($BN$2,0,0,ROW()-1,60),ROW()-1,FALSE))</f>
        <v>102.694</v>
      </c>
      <c r="P78">
        <f ca="1">IF(AND(ISNUMBER($P$535),$B$419=1),$P$535,HLOOKUP(INDIRECT(ADDRESS(2,COLUMN())),OFFSET($BN$2,0,0,ROW()-1,60),ROW()-1,FALSE))</f>
        <v>101.914</v>
      </c>
      <c r="Q78">
        <f ca="1">IF(AND(ISNUMBER($Q$535),$B$419=1),$Q$535,HLOOKUP(INDIRECT(ADDRESS(2,COLUMN())),OFFSET($BN$2,0,0,ROW()-1,60),ROW()-1,FALSE))</f>
        <v>104.79900000000001</v>
      </c>
      <c r="R78">
        <f ca="1">IF(AND(ISNUMBER($R$535),$B$419=1),$R$535,HLOOKUP(INDIRECT(ADDRESS(2,COLUMN())),OFFSET($BN$2,0,0,ROW()-1,60),ROW()-1,FALSE))</f>
        <v>104.883</v>
      </c>
      <c r="S78">
        <f ca="1">IF(AND(ISNUMBER($S$535),$B$419=1),$S$535,HLOOKUP(INDIRECT(ADDRESS(2,COLUMN())),OFFSET($BN$2,0,0,ROW()-1,60),ROW()-1,FALSE))</f>
        <v>104.015</v>
      </c>
      <c r="T78">
        <f ca="1">IF(AND(ISNUMBER($T$535),$B$419=1),$T$535,HLOOKUP(INDIRECT(ADDRESS(2,COLUMN())),OFFSET($BN$2,0,0,ROW()-1,60),ROW()-1,FALSE))</f>
        <v>105.161</v>
      </c>
      <c r="U78">
        <f ca="1">IF(AND(ISNUMBER($U$535),$B$419=1),$U$535,HLOOKUP(INDIRECT(ADDRESS(2,COLUMN())),OFFSET($BN$2,0,0,ROW()-1,60),ROW()-1,FALSE))</f>
        <v>103.318</v>
      </c>
      <c r="V78">
        <f ca="1">IF(AND(ISNUMBER($V$535),$B$419=1),$V$535,HLOOKUP(INDIRECT(ADDRESS(2,COLUMN())),OFFSET($BN$2,0,0,ROW()-1,60),ROW()-1,FALSE))</f>
        <v>102.339</v>
      </c>
      <c r="W78">
        <f ca="1">IF(AND(ISNUMBER($W$535),$B$419=1),$W$535,HLOOKUP(INDIRECT(ADDRESS(2,COLUMN())),OFFSET($BN$2,0,0,ROW()-1,60),ROW()-1,FALSE))</f>
        <v>99.361000000000004</v>
      </c>
      <c r="X78">
        <f ca="1">IF(AND(ISNUMBER($X$535),$B$419=1),$X$535,HLOOKUP(INDIRECT(ADDRESS(2,COLUMN())),OFFSET($BN$2,0,0,ROW()-1,60),ROW()-1,FALSE))</f>
        <v>93.921000000000006</v>
      </c>
      <c r="Y78">
        <f ca="1">IF(AND(ISNUMBER($Y$535),$B$419=1),$Y$535,HLOOKUP(INDIRECT(ADDRESS(2,COLUMN())),OFFSET($BN$2,0,0,ROW()-1,60),ROW()-1,FALSE))</f>
        <v>91.477000000000004</v>
      </c>
      <c r="Z78">
        <f ca="1">IF(AND(ISNUMBER($Z$535),$B$419=1),$Z$535,HLOOKUP(INDIRECT(ADDRESS(2,COLUMN())),OFFSET($BN$2,0,0,ROW()-1,60),ROW()-1,FALSE))</f>
        <v>90.222999999999999</v>
      </c>
      <c r="AA78">
        <f ca="1">IF(AND(ISNUMBER($AA$535),$B$419=1),$AA$535,HLOOKUP(INDIRECT(ADDRESS(2,COLUMN())),OFFSET($BN$2,0,0,ROW()-1,60),ROW()-1,FALSE))</f>
        <v>90.77</v>
      </c>
      <c r="AB78">
        <f ca="1">IF(AND(ISNUMBER($AB$535),$B$419=1),$AB$535,HLOOKUP(INDIRECT(ADDRESS(2,COLUMN())),OFFSET($BN$2,0,0,ROW()-1,60),ROW()-1,FALSE))</f>
        <v>95.043000000000006</v>
      </c>
      <c r="AC78">
        <f ca="1">IF(AND(ISNUMBER($AC$535),$B$419=1),$AC$535,HLOOKUP(INDIRECT(ADDRESS(2,COLUMN())),OFFSET($BN$2,0,0,ROW()-1,60),ROW()-1,FALSE))</f>
        <v>94.471000000000004</v>
      </c>
      <c r="AD78">
        <f ca="1">IF(AND(ISNUMBER($AD$535),$B$419=1),$AD$535,HLOOKUP(INDIRECT(ADDRESS(2,COLUMN())),OFFSET($BN$2,0,0,ROW()-1,60),ROW()-1,FALSE))</f>
        <v>96.578999999999994</v>
      </c>
      <c r="AE78">
        <f ca="1">IF(AND(ISNUMBER($AE$535),$B$419=1),$AE$535,HLOOKUP(INDIRECT(ADDRESS(2,COLUMN())),OFFSET($BN$2,0,0,ROW()-1,60),ROW()-1,FALSE))</f>
        <v>95.215000000000003</v>
      </c>
      <c r="AF78">
        <f ca="1">IF(AND(ISNUMBER($AF$535),$B$419=1),$AF$535,HLOOKUP(INDIRECT(ADDRESS(2,COLUMN())),OFFSET($BN$2,0,0,ROW()-1,60),ROW()-1,FALSE))</f>
        <v>101.41500000000001</v>
      </c>
      <c r="AG78">
        <f ca="1">IF(AND(ISNUMBER($AG$535),$B$419=1),$AG$535,HLOOKUP(INDIRECT(ADDRESS(2,COLUMN())),OFFSET($BN$2,0,0,ROW()-1,60),ROW()-1,FALSE))</f>
        <v>100.392</v>
      </c>
      <c r="AH78">
        <f ca="1">IF(AND(ISNUMBER($AH$535),$B$419=1),$AH$535,HLOOKUP(INDIRECT(ADDRESS(2,COLUMN())),OFFSET($BN$2,0,0,ROW()-1,60),ROW()-1,FALSE))</f>
        <v>102.19499999999999</v>
      </c>
      <c r="AI78">
        <f ca="1">IF(AND(ISNUMBER($AI$535),$B$419=1),$AI$535,HLOOKUP(INDIRECT(ADDRESS(2,COLUMN())),OFFSET($BN$2,0,0,ROW()-1,60),ROW()-1,FALSE))</f>
        <v>96.760999999999996</v>
      </c>
      <c r="AJ78">
        <f ca="1">IF(AND(ISNUMBER($AJ$535),$B$419=1),$AJ$535,HLOOKUP(INDIRECT(ADDRESS(2,COLUMN())),OFFSET($BN$2,0,0,ROW()-1,60),ROW()-1,FALSE))</f>
        <v>110.145</v>
      </c>
      <c r="AK78" t="str">
        <f ca="1">IF(AND(ISNUMBER($AK$535),$B$419=1),$AK$535,HLOOKUP(INDIRECT(ADDRESS(2,COLUMN())),OFFSET($BN$2,0,0,ROW()-1,60),ROW()-1,FALSE))</f>
        <v/>
      </c>
      <c r="AL78" t="str">
        <f ca="1">IF(AND(ISNUMBER($AL$535),$B$419=1),$AL$535,HLOOKUP(INDIRECT(ADDRESS(2,COLUMN())),OFFSET($BN$2,0,0,ROW()-1,60),ROW()-1,FALSE))</f>
        <v/>
      </c>
      <c r="AM78" t="str">
        <f ca="1">IF(AND(ISNUMBER($AM$535),$B$419=1),$AM$535,HLOOKUP(INDIRECT(ADDRESS(2,COLUMN())),OFFSET($BN$2,0,0,ROW()-1,60),ROW()-1,FALSE))</f>
        <v/>
      </c>
      <c r="AN78">
        <f ca="1">IF(AND(ISNUMBER($AN$535),$B$419=1),$AN$535,HLOOKUP(INDIRECT(ADDRESS(2,COLUMN())),OFFSET($BN$2,0,0,ROW()-1,60),ROW()-1,FALSE))</f>
        <v>105.629</v>
      </c>
      <c r="AO78" t="str">
        <f ca="1">IF(AND(ISNUMBER($AO$535),$B$419=1),$AO$535,HLOOKUP(INDIRECT(ADDRESS(2,COLUMN())),OFFSET($BN$2,0,0,ROW()-1,60),ROW()-1,FALSE))</f>
        <v/>
      </c>
      <c r="AP78" t="str">
        <f ca="1">IF(AND(ISNUMBER($AP$535),$B$419=1),$AP$535,HLOOKUP(INDIRECT(ADDRESS(2,COLUMN())),OFFSET($BN$2,0,0,ROW()-1,60),ROW()-1,FALSE))</f>
        <v/>
      </c>
      <c r="AQ78" t="str">
        <f ca="1">IF(AND(ISNUMBER($AQ$535),$B$419=1),$AQ$535,HLOOKUP(INDIRECT(ADDRESS(2,COLUMN())),OFFSET($BN$2,0,0,ROW()-1,60),ROW()-1,FALSE))</f>
        <v/>
      </c>
      <c r="AR78" t="str">
        <f ca="1">IF(AND(ISNUMBER($AR$535),$B$419=1),$AR$535,HLOOKUP(INDIRECT(ADDRESS(2,COLUMN())),OFFSET($BN$2,0,0,ROW()-1,60),ROW()-1,FALSE))</f>
        <v/>
      </c>
      <c r="AS78" t="str">
        <f ca="1">IF(AND(ISNUMBER($AS$535),$B$419=1),$AS$535,HLOOKUP(INDIRECT(ADDRESS(2,COLUMN())),OFFSET($BN$2,0,0,ROW()-1,60),ROW()-1,FALSE))</f>
        <v/>
      </c>
      <c r="AT78" t="str">
        <f ca="1">IF(AND(ISNUMBER($AT$535),$B$419=1),$AT$535,HLOOKUP(INDIRECT(ADDRESS(2,COLUMN())),OFFSET($BN$2,0,0,ROW()-1,60),ROW()-1,FALSE))</f>
        <v/>
      </c>
      <c r="AU78" t="str">
        <f ca="1">IF(AND(ISNUMBER($AU$535),$B$419=1),$AU$535,HLOOKUP(INDIRECT(ADDRESS(2,COLUMN())),OFFSET($BN$2,0,0,ROW()-1,60),ROW()-1,FALSE))</f>
        <v/>
      </c>
      <c r="AV78" t="str">
        <f ca="1">IF(AND(ISNUMBER($AV$535),$B$419=1),$AV$535,HLOOKUP(INDIRECT(ADDRESS(2,COLUMN())),OFFSET($BN$2,0,0,ROW()-1,60),ROW()-1,FALSE))</f>
        <v/>
      </c>
      <c r="AW78" t="str">
        <f ca="1">IF(AND(ISNUMBER($AW$535),$B$419=1),$AW$535,HLOOKUP(INDIRECT(ADDRESS(2,COLUMN())),OFFSET($BN$2,0,0,ROW()-1,60),ROW()-1,FALSE))</f>
        <v/>
      </c>
      <c r="AX78" t="str">
        <f ca="1">IF(AND(ISNUMBER($AX$535),$B$419=1),$AX$535,HLOOKUP(INDIRECT(ADDRESS(2,COLUMN())),OFFSET($BN$2,0,0,ROW()-1,60),ROW()-1,FALSE))</f>
        <v/>
      </c>
      <c r="AY78" t="str">
        <f ca="1">IF(AND(ISNUMBER($AY$535),$B$419=1),$AY$535,HLOOKUP(INDIRECT(ADDRESS(2,COLUMN())),OFFSET($BN$2,0,0,ROW()-1,60),ROW()-1,FALSE))</f>
        <v/>
      </c>
      <c r="AZ78" t="str">
        <f ca="1">IF(AND(ISNUMBER($AZ$535),$B$419=1),$AZ$535,HLOOKUP(INDIRECT(ADDRESS(2,COLUMN())),OFFSET($BN$2,0,0,ROW()-1,60),ROW()-1,FALSE))</f>
        <v/>
      </c>
      <c r="BA78" t="str">
        <f ca="1">IF(AND(ISNUMBER($BA$535),$B$419=1),$BA$535,HLOOKUP(INDIRECT(ADDRESS(2,COLUMN())),OFFSET($BN$2,0,0,ROW()-1,60),ROW()-1,FALSE))</f>
        <v/>
      </c>
      <c r="BB78" t="str">
        <f ca="1">IF(AND(ISNUMBER($BB$535),$B$419=1),$BB$535,HLOOKUP(INDIRECT(ADDRESS(2,COLUMN())),OFFSET($BN$2,0,0,ROW()-1,60),ROW()-1,FALSE))</f>
        <v/>
      </c>
      <c r="BC78" t="str">
        <f ca="1">IF(AND(ISNUMBER($BC$535),$B$419=1),$BC$535,HLOOKUP(INDIRECT(ADDRESS(2,COLUMN())),OFFSET($BN$2,0,0,ROW()-1,60),ROW()-1,FALSE))</f>
        <v/>
      </c>
      <c r="BD78" t="str">
        <f ca="1">IF(AND(ISNUMBER($BD$535),$B$419=1),$BD$535,HLOOKUP(INDIRECT(ADDRESS(2,COLUMN())),OFFSET($BN$2,0,0,ROW()-1,60),ROW()-1,FALSE))</f>
        <v/>
      </c>
      <c r="BE78" t="str">
        <f ca="1">IF(AND(ISNUMBER($BE$535),$B$419=1),$BE$535,HLOOKUP(INDIRECT(ADDRESS(2,COLUMN())),OFFSET($BN$2,0,0,ROW()-1,60),ROW()-1,FALSE))</f>
        <v/>
      </c>
      <c r="BF78" t="str">
        <f ca="1">IF(AND(ISNUMBER($BF$535),$B$419=1),$BF$535,HLOOKUP(INDIRECT(ADDRESS(2,COLUMN())),OFFSET($BN$2,0,0,ROW()-1,60),ROW()-1,FALSE))</f>
        <v/>
      </c>
      <c r="BG78" t="str">
        <f ca="1">IF(AND(ISNUMBER($BG$535),$B$419=1),$BG$535,HLOOKUP(INDIRECT(ADDRESS(2,COLUMN())),OFFSET($BN$2,0,0,ROW()-1,60),ROW()-1,FALSE))</f>
        <v/>
      </c>
      <c r="BH78" t="str">
        <f ca="1">IF(AND(ISNUMBER($BH$535),$B$419=1),$BH$535,HLOOKUP(INDIRECT(ADDRESS(2,COLUMN())),OFFSET($BN$2,0,0,ROW()-1,60),ROW()-1,FALSE))</f>
        <v/>
      </c>
      <c r="BI78" t="str">
        <f ca="1">IF(AND(ISNUMBER($BI$535),$B$419=1),$BI$535,HLOOKUP(INDIRECT(ADDRESS(2,COLUMN())),OFFSET($BN$2,0,0,ROW()-1,60),ROW()-1,FALSE))</f>
        <v/>
      </c>
      <c r="BJ78" t="str">
        <f ca="1">IF(AND(ISNUMBER($BJ$535),$B$419=1),$BJ$535,HLOOKUP(INDIRECT(ADDRESS(2,COLUMN())),OFFSET($BN$2,0,0,ROW()-1,60),ROW()-1,FALSE))</f>
        <v/>
      </c>
      <c r="BK78" t="str">
        <f ca="1">IF(AND(ISNUMBER($BK$535),$B$419=1),$BK$535,HLOOKUP(INDIRECT(ADDRESS(2,COLUMN())),OFFSET($BN$2,0,0,ROW()-1,60),ROW()-1,FALSE))</f>
        <v/>
      </c>
      <c r="BL78" t="str">
        <f ca="1">IF(AND(ISNUMBER($BL$535),$B$419=1),$BL$535,HLOOKUP(INDIRECT(ADDRESS(2,COLUMN())),OFFSET($BN$2,0,0,ROW()-1,60),ROW()-1,FALSE))</f>
        <v/>
      </c>
      <c r="BM78" t="str">
        <f ca="1">IF(AND(ISNUMBER($BM$535),$B$419=1),$BM$535,HLOOKUP(INDIRECT(ADDRESS(2,COLUMN())),OFFSET($BN$2,0,0,ROW()-1,60),ROW()-1,FALSE))</f>
        <v/>
      </c>
      <c r="BN78" t="str">
        <f>""</f>
        <v/>
      </c>
      <c r="BO78">
        <f>85.804</f>
        <v>85.804000000000002</v>
      </c>
      <c r="BP78">
        <f>87.566</f>
        <v>87.566000000000003</v>
      </c>
      <c r="BQ78">
        <f>93.05</f>
        <v>93.05</v>
      </c>
      <c r="BR78">
        <f>97.017</f>
        <v>97.016999999999996</v>
      </c>
      <c r="BS78">
        <f>97.741</f>
        <v>97.741</v>
      </c>
      <c r="BT78">
        <f>102.535</f>
        <v>102.535</v>
      </c>
      <c r="BU78">
        <f>103.666</f>
        <v>103.666</v>
      </c>
      <c r="BV78">
        <f>102.616</f>
        <v>102.616</v>
      </c>
      <c r="BW78">
        <f>102.694</f>
        <v>102.694</v>
      </c>
      <c r="BX78">
        <f>101.914</f>
        <v>101.914</v>
      </c>
      <c r="BY78">
        <f>104.799</f>
        <v>104.79900000000001</v>
      </c>
      <c r="BZ78">
        <f>104.883</f>
        <v>104.883</v>
      </c>
      <c r="CA78">
        <f>104.015</f>
        <v>104.015</v>
      </c>
      <c r="CB78">
        <f>105.161</f>
        <v>105.161</v>
      </c>
      <c r="CC78">
        <f>103.318</f>
        <v>103.318</v>
      </c>
      <c r="CD78">
        <f>102.339</f>
        <v>102.339</v>
      </c>
      <c r="CE78">
        <f>99.361</f>
        <v>99.361000000000004</v>
      </c>
      <c r="CF78">
        <f>93.921</f>
        <v>93.921000000000006</v>
      </c>
      <c r="CG78">
        <f>91.477</f>
        <v>91.477000000000004</v>
      </c>
      <c r="CH78">
        <f>90.223</f>
        <v>90.222999999999999</v>
      </c>
      <c r="CI78">
        <f>90.77</f>
        <v>90.77</v>
      </c>
      <c r="CJ78">
        <f>95.043</f>
        <v>95.043000000000006</v>
      </c>
      <c r="CK78">
        <f>94.471</f>
        <v>94.471000000000004</v>
      </c>
      <c r="CL78">
        <f>96.579</f>
        <v>96.578999999999994</v>
      </c>
      <c r="CM78">
        <f>95.215</f>
        <v>95.215000000000003</v>
      </c>
      <c r="CN78">
        <f>101.415</f>
        <v>101.41500000000001</v>
      </c>
      <c r="CO78">
        <f>100.392</f>
        <v>100.392</v>
      </c>
      <c r="CP78">
        <f>102.195</f>
        <v>102.19499999999999</v>
      </c>
      <c r="CQ78">
        <f>96.761</f>
        <v>96.760999999999996</v>
      </c>
      <c r="CR78">
        <f>110.145</f>
        <v>110.145</v>
      </c>
      <c r="CS78" t="str">
        <f>""</f>
        <v/>
      </c>
      <c r="CT78" t="str">
        <f>""</f>
        <v/>
      </c>
      <c r="CU78" t="str">
        <f>""</f>
        <v/>
      </c>
      <c r="CV78">
        <f>105.629</f>
        <v>105.629</v>
      </c>
      <c r="CW78" t="str">
        <f>""</f>
        <v/>
      </c>
      <c r="CX78" t="str">
        <f>""</f>
        <v/>
      </c>
      <c r="CY78" t="str">
        <f>""</f>
        <v/>
      </c>
      <c r="CZ78" t="str">
        <f>""</f>
        <v/>
      </c>
      <c r="DA78" t="str">
        <f>""</f>
        <v/>
      </c>
      <c r="DB78" t="str">
        <f>""</f>
        <v/>
      </c>
      <c r="DC78" t="str">
        <f>""</f>
        <v/>
      </c>
      <c r="DD78" t="str">
        <f>""</f>
        <v/>
      </c>
      <c r="DE78" t="str">
        <f>""</f>
        <v/>
      </c>
      <c r="DF78" t="str">
        <f>""</f>
        <v/>
      </c>
      <c r="DG78" t="str">
        <f>""</f>
        <v/>
      </c>
      <c r="DH78" t="str">
        <f>""</f>
        <v/>
      </c>
      <c r="DI78" t="str">
        <f>""</f>
        <v/>
      </c>
      <c r="DJ78" t="str">
        <f>""</f>
        <v/>
      </c>
      <c r="DK78" t="str">
        <f>""</f>
        <v/>
      </c>
      <c r="DL78" t="str">
        <f>""</f>
        <v/>
      </c>
      <c r="DM78" t="str">
        <f>""</f>
        <v/>
      </c>
      <c r="DN78" t="str">
        <f>""</f>
        <v/>
      </c>
      <c r="DO78" t="str">
        <f>""</f>
        <v/>
      </c>
      <c r="DP78" t="str">
        <f>""</f>
        <v/>
      </c>
      <c r="DQ78" t="str">
        <f>""</f>
        <v/>
      </c>
      <c r="DR78" t="str">
        <f>""</f>
        <v/>
      </c>
      <c r="DS78" t="str">
        <f>""</f>
        <v/>
      </c>
      <c r="DT78" t="str">
        <f>""</f>
        <v/>
      </c>
      <c r="DU78" t="str">
        <f>""</f>
        <v/>
      </c>
    </row>
    <row r="79" spans="1:125">
      <c r="A79" t="str">
        <f>"    Simon Property Group Inc"</f>
        <v xml:space="preserve">    Simon Property Group Inc</v>
      </c>
      <c r="B79" t="str">
        <f>"SPG US Equity"</f>
        <v>SPG US Equity</v>
      </c>
      <c r="C79" t="str">
        <f t="shared" si="12"/>
        <v>RR502</v>
      </c>
      <c r="D79" t="str">
        <f t="shared" si="13"/>
        <v>NET_OPER_INCOME</v>
      </c>
      <c r="E79" t="str">
        <f t="shared" si="14"/>
        <v>动态</v>
      </c>
      <c r="F79" t="str">
        <f ca="1">IF(AND(ISNUMBER($F$536),$B$419=1),$F$536,HLOOKUP(INDIRECT(ADDRESS(2,COLUMN())),OFFSET($BN$2,0,0,ROW()-1,60),ROW()-1,FALSE))</f>
        <v/>
      </c>
      <c r="G79">
        <f ca="1">IF(AND(ISNUMBER($G$536),$B$419=1),$G$536,HLOOKUP(INDIRECT(ADDRESS(2,COLUMN())),OFFSET($BN$2,0,0,ROW()-1,60),ROW()-1,FALSE))</f>
        <v>1062.922</v>
      </c>
      <c r="H79">
        <f ca="1">IF(AND(ISNUMBER($H$536),$B$419=1),$H$536,HLOOKUP(INDIRECT(ADDRESS(2,COLUMN())),OFFSET($BN$2,0,0,ROW()-1,60),ROW()-1,FALSE))</f>
        <v>1021.359</v>
      </c>
      <c r="I79">
        <f ca="1">IF(AND(ISNUMBER($I$536),$B$419=1),$I$536,HLOOKUP(INDIRECT(ADDRESS(2,COLUMN())),OFFSET($BN$2,0,0,ROW()-1,60),ROW()-1,FALSE))</f>
        <v>1014.228</v>
      </c>
      <c r="J79">
        <f ca="1">IF(AND(ISNUMBER($J$536),$B$419=1),$J$536,HLOOKUP(INDIRECT(ADDRESS(2,COLUMN())),OFFSET($BN$2,0,0,ROW()-1,60),ROW()-1,FALSE))</f>
        <v>1012.208</v>
      </c>
      <c r="K79">
        <f ca="1">IF(AND(ISNUMBER($K$536),$B$419=1),$K$536,HLOOKUP(INDIRECT(ADDRESS(2,COLUMN())),OFFSET($BN$2,0,0,ROW()-1,60),ROW()-1,FALSE))</f>
        <v>1067.021</v>
      </c>
      <c r="L79">
        <f ca="1">IF(AND(ISNUMBER($L$536),$B$419=1),$L$536,HLOOKUP(INDIRECT(ADDRESS(2,COLUMN())),OFFSET($BN$2,0,0,ROW()-1,60),ROW()-1,FALSE))</f>
        <v>1012.099</v>
      </c>
      <c r="M79">
        <f ca="1">IF(AND(ISNUMBER($M$536),$B$419=1),$M$536,HLOOKUP(INDIRECT(ADDRESS(2,COLUMN())),OFFSET($BN$2,0,0,ROW()-1,60),ROW()-1,FALSE))</f>
        <v>986.73900000000003</v>
      </c>
      <c r="N79">
        <f ca="1">IF(AND(ISNUMBER($N$536),$B$419=1),$N$536,HLOOKUP(INDIRECT(ADDRESS(2,COLUMN())),OFFSET($BN$2,0,0,ROW()-1,60),ROW()-1,FALSE))</f>
        <v>978.87900000000002</v>
      </c>
      <c r="O79">
        <f ca="1">IF(AND(ISNUMBER($O$536),$B$419=1),$O$536,HLOOKUP(INDIRECT(ADDRESS(2,COLUMN())),OFFSET($BN$2,0,0,ROW()-1,60),ROW()-1,FALSE))</f>
        <v>1035.9780000000001</v>
      </c>
      <c r="P79">
        <f ca="1">IF(AND(ISNUMBER($P$536),$B$419=1),$P$536,HLOOKUP(INDIRECT(ADDRESS(2,COLUMN())),OFFSET($BN$2,0,0,ROW()-1,60),ROW()-1,FALSE))</f>
        <v>957.68200000000002</v>
      </c>
      <c r="Q79">
        <f ca="1">IF(AND(ISNUMBER($Q$536),$B$419=1),$Q$536,HLOOKUP(INDIRECT(ADDRESS(2,COLUMN())),OFFSET($BN$2,0,0,ROW()-1,60),ROW()-1,FALSE))</f>
        <v>939.28399999999999</v>
      </c>
      <c r="R79">
        <f ca="1">IF(AND(ISNUMBER($R$536),$B$419=1),$R$536,HLOOKUP(INDIRECT(ADDRESS(2,COLUMN())),OFFSET($BN$2,0,0,ROW()-1,60),ROW()-1,FALSE))</f>
        <v>912.51499999999999</v>
      </c>
      <c r="S79">
        <f ca="1">IF(AND(ISNUMBER($S$536),$B$419=1),$S$536,HLOOKUP(INDIRECT(ADDRESS(2,COLUMN())),OFFSET($BN$2,0,0,ROW()-1,60),ROW()-1,FALSE))</f>
        <v>974.14099999999996</v>
      </c>
      <c r="T79">
        <f ca="1">IF(AND(ISNUMBER($T$536),$B$419=1),$T$536,HLOOKUP(INDIRECT(ADDRESS(2,COLUMN())),OFFSET($BN$2,0,0,ROW()-1,60),ROW()-1,FALSE))</f>
        <v>915.83100000000002</v>
      </c>
      <c r="U79">
        <f ca="1">IF(AND(ISNUMBER($U$536),$B$419=1),$U$536,HLOOKUP(INDIRECT(ADDRESS(2,COLUMN())),OFFSET($BN$2,0,0,ROW()-1,60),ROW()-1,FALSE))</f>
        <v>892.20699999999999</v>
      </c>
      <c r="V79">
        <f ca="1">IF(AND(ISNUMBER($V$536),$B$419=1),$V$536,HLOOKUP(INDIRECT(ADDRESS(2,COLUMN())),OFFSET($BN$2,0,0,ROW()-1,60),ROW()-1,FALSE))</f>
        <v>868.39800000000002</v>
      </c>
      <c r="W79">
        <f ca="1">IF(AND(ISNUMBER($W$536),$B$419=1),$W$536,HLOOKUP(INDIRECT(ADDRESS(2,COLUMN())),OFFSET($BN$2,0,0,ROW()-1,60),ROW()-1,FALSE))</f>
        <v>929.87400000000002</v>
      </c>
      <c r="X79">
        <f ca="1">IF(AND(ISNUMBER($X$536),$B$419=1),$X$536,HLOOKUP(INDIRECT(ADDRESS(2,COLUMN())),OFFSET($BN$2,0,0,ROW()-1,60),ROW()-1,FALSE))</f>
        <v>856.61599999999999</v>
      </c>
      <c r="Y79">
        <f ca="1">IF(AND(ISNUMBER($Y$536),$B$419=1),$Y$536,HLOOKUP(INDIRECT(ADDRESS(2,COLUMN())),OFFSET($BN$2,0,0,ROW()-1,60),ROW()-1,FALSE))</f>
        <v>820.71</v>
      </c>
      <c r="Z79">
        <f ca="1">IF(AND(ISNUMBER($Z$536),$B$419=1),$Z$536,HLOOKUP(INDIRECT(ADDRESS(2,COLUMN())),OFFSET($BN$2,0,0,ROW()-1,60),ROW()-1,FALSE))</f>
        <v>913.70500000000004</v>
      </c>
      <c r="AA79">
        <f ca="1">IF(AND(ISNUMBER($AA$536),$B$419=1),$AA$536,HLOOKUP(INDIRECT(ADDRESS(2,COLUMN())),OFFSET($BN$2,0,0,ROW()-1,60),ROW()-1,FALSE))</f>
        <v>987.37900000000002</v>
      </c>
      <c r="AB79">
        <f ca="1">IF(AND(ISNUMBER($AB$536),$B$419=1),$AB$536,HLOOKUP(INDIRECT(ADDRESS(2,COLUMN())),OFFSET($BN$2,0,0,ROW()-1,60),ROW()-1,FALSE))</f>
        <v>892.20399999999995</v>
      </c>
      <c r="AC79">
        <f ca="1">IF(AND(ISNUMBER($AC$536),$B$419=1),$AC$536,HLOOKUP(INDIRECT(ADDRESS(2,COLUMN())),OFFSET($BN$2,0,0,ROW()-1,60),ROW()-1,FALSE))</f>
        <v>858.43299999999999</v>
      </c>
      <c r="AD79">
        <f ca="1">IF(AND(ISNUMBER($AD$536),$B$419=1),$AD$536,HLOOKUP(INDIRECT(ADDRESS(2,COLUMN())),OFFSET($BN$2,0,0,ROW()-1,60),ROW()-1,FALSE))</f>
        <v>818.27200000000005</v>
      </c>
      <c r="AE79">
        <f ca="1">IF(AND(ISNUMBER($AE$536),$B$419=1),$AE$536,HLOOKUP(INDIRECT(ADDRESS(2,COLUMN())),OFFSET($BN$2,0,0,ROW()-1,60),ROW()-1,FALSE))</f>
        <v>852.80799999999999</v>
      </c>
      <c r="AF79">
        <f ca="1">IF(AND(ISNUMBER($AF$536),$B$419=1),$AF$536,HLOOKUP(INDIRECT(ADDRESS(2,COLUMN())),OFFSET($BN$2,0,0,ROW()-1,60),ROW()-1,FALSE))</f>
        <v>766.98299999999995</v>
      </c>
      <c r="AG79">
        <f ca="1">IF(AND(ISNUMBER($AG$536),$B$419=1),$AG$536,HLOOKUP(INDIRECT(ADDRESS(2,COLUMN())),OFFSET($BN$2,0,0,ROW()-1,60),ROW()-1,FALSE))</f>
        <v>736.36800000000005</v>
      </c>
      <c r="AH79">
        <f ca="1">IF(AND(ISNUMBER($AH$536),$B$419=1),$AH$536,HLOOKUP(INDIRECT(ADDRESS(2,COLUMN())),OFFSET($BN$2,0,0,ROW()-1,60),ROW()-1,FALSE))</f>
        <v>727.86300000000006</v>
      </c>
      <c r="AI79">
        <f ca="1">IF(AND(ISNUMBER($AI$536),$B$419=1),$AI$536,HLOOKUP(INDIRECT(ADDRESS(2,COLUMN())),OFFSET($BN$2,0,0,ROW()-1,60),ROW()-1,FALSE))</f>
        <v>799.70600000000002</v>
      </c>
      <c r="AJ79">
        <f ca="1">IF(AND(ISNUMBER($AJ$536),$B$419=1),$AJ$536,HLOOKUP(INDIRECT(ADDRESS(2,COLUMN())),OFFSET($BN$2,0,0,ROW()-1,60),ROW()-1,FALSE))</f>
        <v>691.44200000000001</v>
      </c>
      <c r="AK79">
        <f ca="1">IF(AND(ISNUMBER($AK$536),$B$419=1),$AK$536,HLOOKUP(INDIRECT(ADDRESS(2,COLUMN())),OFFSET($BN$2,0,0,ROW()-1,60),ROW()-1,FALSE))</f>
        <v>655.89700000000005</v>
      </c>
      <c r="AL79">
        <f ca="1">IF(AND(ISNUMBER($AL$536),$B$419=1),$AL$536,HLOOKUP(INDIRECT(ADDRESS(2,COLUMN())),OFFSET($BN$2,0,0,ROW()-1,60),ROW()-1,FALSE))</f>
        <v>638.23900000000003</v>
      </c>
      <c r="AM79">
        <f ca="1">IF(AND(ISNUMBER($AM$536),$B$419=1),$AM$536,HLOOKUP(INDIRECT(ADDRESS(2,COLUMN())),OFFSET($BN$2,0,0,ROW()-1,60),ROW()-1,FALSE))</f>
        <v>713.99099999999999</v>
      </c>
      <c r="AN79">
        <f ca="1">IF(AND(ISNUMBER($AN$536),$B$419=1),$AN$536,HLOOKUP(INDIRECT(ADDRESS(2,COLUMN())),OFFSET($BN$2,0,0,ROW()-1,60),ROW()-1,FALSE))</f>
        <v>652.45899999999995</v>
      </c>
      <c r="AO79">
        <f ca="1">IF(AND(ISNUMBER($AO$536),$B$419=1),$AO$536,HLOOKUP(INDIRECT(ADDRESS(2,COLUMN())),OFFSET($BN$2,0,0,ROW()-1,60),ROW()-1,FALSE))</f>
        <v>638.79200000000003</v>
      </c>
      <c r="AP79">
        <f ca="1">IF(AND(ISNUMBER($AP$536),$B$419=1),$AP$536,HLOOKUP(INDIRECT(ADDRESS(2,COLUMN())),OFFSET($BN$2,0,0,ROW()-1,60),ROW()-1,FALSE))</f>
        <v>637.84299999999996</v>
      </c>
      <c r="AQ79">
        <f ca="1">IF(AND(ISNUMBER($AQ$536),$B$419=1),$AQ$536,HLOOKUP(INDIRECT(ADDRESS(2,COLUMN())),OFFSET($BN$2,0,0,ROW()-1,60),ROW()-1,FALSE))</f>
        <v>717.42899999999997</v>
      </c>
      <c r="AR79">
        <f ca="1">IF(AND(ISNUMBER($AR$536),$B$419=1),$AR$536,HLOOKUP(INDIRECT(ADDRESS(2,COLUMN())),OFFSET($BN$2,0,0,ROW()-1,60),ROW()-1,FALSE))</f>
        <v>639.24900000000002</v>
      </c>
      <c r="AS79">
        <f ca="1">IF(AND(ISNUMBER($AS$536),$B$419=1),$AS$536,HLOOKUP(INDIRECT(ADDRESS(2,COLUMN())),OFFSET($BN$2,0,0,ROW()-1,60),ROW()-1,FALSE))</f>
        <v>633.77200000000005</v>
      </c>
      <c r="AT79">
        <f ca="1">IF(AND(ISNUMBER($AT$536),$B$419=1),$AT$536,HLOOKUP(INDIRECT(ADDRESS(2,COLUMN())),OFFSET($BN$2,0,0,ROW()-1,60),ROW()-1,FALSE))</f>
        <v>604.92600000000004</v>
      </c>
      <c r="AU79">
        <f ca="1">IF(AND(ISNUMBER($AU$536),$B$419=1),$AU$536,HLOOKUP(INDIRECT(ADDRESS(2,COLUMN())),OFFSET($BN$2,0,0,ROW()-1,60),ROW()-1,FALSE))</f>
        <v>706.97299999999996</v>
      </c>
      <c r="AV79">
        <f ca="1">IF(AND(ISNUMBER($AV$536),$B$419=1),$AV$536,HLOOKUP(INDIRECT(ADDRESS(2,COLUMN())),OFFSET($BN$2,0,0,ROW()-1,60),ROW()-1,FALSE))</f>
        <v>612.41</v>
      </c>
      <c r="AW79">
        <f ca="1">IF(AND(ISNUMBER($AW$536),$B$419=1),$AW$536,HLOOKUP(INDIRECT(ADDRESS(2,COLUMN())),OFFSET($BN$2,0,0,ROW()-1,60),ROW()-1,FALSE))</f>
        <v>555.90700000000004</v>
      </c>
      <c r="AX79">
        <f ca="1">IF(AND(ISNUMBER($AX$536),$B$419=1),$AX$536,HLOOKUP(INDIRECT(ADDRESS(2,COLUMN())),OFFSET($BN$2,0,0,ROW()-1,60),ROW()-1,FALSE))</f>
        <v>543.94500000000005</v>
      </c>
      <c r="AY79">
        <f ca="1">IF(AND(ISNUMBER($AY$536),$B$419=1),$AY$536,HLOOKUP(INDIRECT(ADDRESS(2,COLUMN())),OFFSET($BN$2,0,0,ROW()-1,60),ROW()-1,FALSE))</f>
        <v>594.14400000000001</v>
      </c>
      <c r="AZ79">
        <f ca="1">IF(AND(ISNUMBER($AZ$536),$B$419=1),$AZ$536,HLOOKUP(INDIRECT(ADDRESS(2,COLUMN())),OFFSET($BN$2,0,0,ROW()-1,60),ROW()-1,FALSE))</f>
        <v>543.33799999999997</v>
      </c>
      <c r="BA79">
        <f ca="1">IF(AND(ISNUMBER($BA$536),$B$419=1),$BA$536,HLOOKUP(INDIRECT(ADDRESS(2,COLUMN())),OFFSET($BN$2,0,0,ROW()-1,60),ROW()-1,FALSE))</f>
        <v>524.25800000000004</v>
      </c>
      <c r="BB79">
        <f ca="1">IF(AND(ISNUMBER($BB$536),$B$419=1),$BB$536,HLOOKUP(INDIRECT(ADDRESS(2,COLUMN())),OFFSET($BN$2,0,0,ROW()-1,60),ROW()-1,FALSE))</f>
        <v>514.24199999999996</v>
      </c>
      <c r="BC79">
        <f ca="1">IF(AND(ISNUMBER($BC$536),$B$419=1),$BC$536,HLOOKUP(INDIRECT(ADDRESS(2,COLUMN())),OFFSET($BN$2,0,0,ROW()-1,60),ROW()-1,FALSE))</f>
        <v>562.38499999999999</v>
      </c>
      <c r="BD79">
        <f ca="1">IF(AND(ISNUMBER($BD$536),$B$419=1),$BD$536,HLOOKUP(INDIRECT(ADDRESS(2,COLUMN())),OFFSET($BN$2,0,0,ROW()-1,60),ROW()-1,FALSE))</f>
        <v>506.20400000000001</v>
      </c>
      <c r="BE79">
        <f ca="1">IF(AND(ISNUMBER($BE$536),$B$419=1),$BE$536,HLOOKUP(INDIRECT(ADDRESS(2,COLUMN())),OFFSET($BN$2,0,0,ROW()-1,60),ROW()-1,FALSE))</f>
        <v>497.96699999999998</v>
      </c>
      <c r="BF79">
        <f ca="1">IF(AND(ISNUMBER($BF$536),$B$419=1),$BF$536,HLOOKUP(INDIRECT(ADDRESS(2,COLUMN())),OFFSET($BN$2,0,0,ROW()-1,60),ROW()-1,FALSE))</f>
        <v>488.435</v>
      </c>
      <c r="BG79">
        <f ca="1">IF(AND(ISNUMBER($BG$536),$B$419=1),$BG$536,HLOOKUP(INDIRECT(ADDRESS(2,COLUMN())),OFFSET($BN$2,0,0,ROW()-1,60),ROW()-1,FALSE))</f>
        <v>507.084</v>
      </c>
      <c r="BH79">
        <f ca="1">IF(AND(ISNUMBER($BH$536),$B$419=1),$BH$536,HLOOKUP(INDIRECT(ADDRESS(2,COLUMN())),OFFSET($BN$2,0,0,ROW()-1,60),ROW()-1,FALSE))</f>
        <v>389.27600000000001</v>
      </c>
      <c r="BI79">
        <f ca="1">IF(AND(ISNUMBER($BI$536),$B$419=1),$BI$536,HLOOKUP(INDIRECT(ADDRESS(2,COLUMN())),OFFSET($BN$2,0,0,ROW()-1,60),ROW()-1,FALSE))</f>
        <v>386.99299999999999</v>
      </c>
      <c r="BJ79">
        <f ca="1">IF(AND(ISNUMBER($BJ$536),$B$419=1),$BJ$536,HLOOKUP(INDIRECT(ADDRESS(2,COLUMN())),OFFSET($BN$2,0,0,ROW()-1,60),ROW()-1,FALSE))</f>
        <v>376.47300000000001</v>
      </c>
      <c r="BK79">
        <f ca="1">IF(AND(ISNUMBER($BK$536),$B$419=1),$BK$536,HLOOKUP(INDIRECT(ADDRESS(2,COLUMN())),OFFSET($BN$2,0,0,ROW()-1,60),ROW()-1,FALSE))</f>
        <v>321.95299999999997</v>
      </c>
      <c r="BL79">
        <f ca="1">IF(AND(ISNUMBER($BL$536),$B$419=1),$BL$536,HLOOKUP(INDIRECT(ADDRESS(2,COLUMN())),OFFSET($BN$2,0,0,ROW()-1,60),ROW()-1,FALSE))</f>
        <v>360.86200000000002</v>
      </c>
      <c r="BM79">
        <f ca="1">IF(AND(ISNUMBER($BM$536),$B$419=1),$BM$536,HLOOKUP(INDIRECT(ADDRESS(2,COLUMN())),OFFSET($BN$2,0,0,ROW()-1,60),ROW()-1,FALSE))</f>
        <v>354.50400000000002</v>
      </c>
      <c r="BN79" t="str">
        <f>""</f>
        <v/>
      </c>
      <c r="BO79">
        <f>1062.922</f>
        <v>1062.922</v>
      </c>
      <c r="BP79">
        <f>1021.359</f>
        <v>1021.359</v>
      </c>
      <c r="BQ79">
        <f>1014.228</f>
        <v>1014.228</v>
      </c>
      <c r="BR79">
        <f>1012.208</f>
        <v>1012.208</v>
      </c>
      <c r="BS79">
        <f>1067.021</f>
        <v>1067.021</v>
      </c>
      <c r="BT79">
        <f>1012.099</f>
        <v>1012.099</v>
      </c>
      <c r="BU79">
        <f>986.739</f>
        <v>986.73900000000003</v>
      </c>
      <c r="BV79">
        <f>978.879</f>
        <v>978.87900000000002</v>
      </c>
      <c r="BW79">
        <f>1035.978</f>
        <v>1035.9780000000001</v>
      </c>
      <c r="BX79">
        <f>957.682</f>
        <v>957.68200000000002</v>
      </c>
      <c r="BY79">
        <f>939.284</f>
        <v>939.28399999999999</v>
      </c>
      <c r="BZ79">
        <f>912.515</f>
        <v>912.51499999999999</v>
      </c>
      <c r="CA79">
        <f>974.141</f>
        <v>974.14099999999996</v>
      </c>
      <c r="CB79">
        <f>915.831</f>
        <v>915.83100000000002</v>
      </c>
      <c r="CC79">
        <f>892.207</f>
        <v>892.20699999999999</v>
      </c>
      <c r="CD79">
        <f>868.398</f>
        <v>868.39800000000002</v>
      </c>
      <c r="CE79">
        <f>929.874</f>
        <v>929.87400000000002</v>
      </c>
      <c r="CF79">
        <f>856.616</f>
        <v>856.61599999999999</v>
      </c>
      <c r="CG79">
        <f>820.71</f>
        <v>820.71</v>
      </c>
      <c r="CH79">
        <f>913.705</f>
        <v>913.70500000000004</v>
      </c>
      <c r="CI79">
        <f>987.379</f>
        <v>987.37900000000002</v>
      </c>
      <c r="CJ79">
        <f>892.204</f>
        <v>892.20399999999995</v>
      </c>
      <c r="CK79">
        <f>858.433</f>
        <v>858.43299999999999</v>
      </c>
      <c r="CL79">
        <f>818.272</f>
        <v>818.27200000000005</v>
      </c>
      <c r="CM79">
        <f>852.808</f>
        <v>852.80799999999999</v>
      </c>
      <c r="CN79">
        <f>766.983</f>
        <v>766.98299999999995</v>
      </c>
      <c r="CO79">
        <f>736.368</f>
        <v>736.36800000000005</v>
      </c>
      <c r="CP79">
        <f>727.863</f>
        <v>727.86300000000006</v>
      </c>
      <c r="CQ79">
        <f>799.706</f>
        <v>799.70600000000002</v>
      </c>
      <c r="CR79">
        <f>691.442</f>
        <v>691.44200000000001</v>
      </c>
      <c r="CS79">
        <f>655.897</f>
        <v>655.89700000000005</v>
      </c>
      <c r="CT79">
        <f>638.239</f>
        <v>638.23900000000003</v>
      </c>
      <c r="CU79">
        <f>713.991</f>
        <v>713.99099999999999</v>
      </c>
      <c r="CV79">
        <f>652.459</f>
        <v>652.45899999999995</v>
      </c>
      <c r="CW79">
        <f>638.792</f>
        <v>638.79200000000003</v>
      </c>
      <c r="CX79">
        <f>637.843</f>
        <v>637.84299999999996</v>
      </c>
      <c r="CY79">
        <f>717.429</f>
        <v>717.42899999999997</v>
      </c>
      <c r="CZ79">
        <f>639.249</f>
        <v>639.24900000000002</v>
      </c>
      <c r="DA79">
        <f>633.772</f>
        <v>633.77200000000005</v>
      </c>
      <c r="DB79">
        <f>604.926</f>
        <v>604.92600000000004</v>
      </c>
      <c r="DC79">
        <f>706.973</f>
        <v>706.97299999999996</v>
      </c>
      <c r="DD79">
        <f>612.41</f>
        <v>612.41</v>
      </c>
      <c r="DE79">
        <f>555.907</f>
        <v>555.90700000000004</v>
      </c>
      <c r="DF79">
        <f>543.945</f>
        <v>543.94500000000005</v>
      </c>
      <c r="DG79">
        <f>594.144</f>
        <v>594.14400000000001</v>
      </c>
      <c r="DH79">
        <f>543.338</f>
        <v>543.33799999999997</v>
      </c>
      <c r="DI79">
        <f>524.258</f>
        <v>524.25800000000004</v>
      </c>
      <c r="DJ79">
        <f>514.242</f>
        <v>514.24199999999996</v>
      </c>
      <c r="DK79">
        <f>562.385</f>
        <v>562.38499999999999</v>
      </c>
      <c r="DL79">
        <f>506.204</f>
        <v>506.20400000000001</v>
      </c>
      <c r="DM79">
        <f>497.967</f>
        <v>497.96699999999998</v>
      </c>
      <c r="DN79">
        <f>488.435</f>
        <v>488.435</v>
      </c>
      <c r="DO79">
        <f>507.084</f>
        <v>507.084</v>
      </c>
      <c r="DP79">
        <f>389.276</f>
        <v>389.27600000000001</v>
      </c>
      <c r="DQ79">
        <f>386.993</f>
        <v>386.99299999999999</v>
      </c>
      <c r="DR79">
        <f>376.473</f>
        <v>376.47300000000001</v>
      </c>
      <c r="DS79">
        <f>321.953</f>
        <v>321.95299999999997</v>
      </c>
      <c r="DT79">
        <f>360.862</f>
        <v>360.86200000000002</v>
      </c>
      <c r="DU79">
        <f>354.504</f>
        <v>354.50400000000002</v>
      </c>
    </row>
    <row r="80" spans="1:125">
      <c r="A80" t="str">
        <f>"    Tanger Factory Outlet Centers"</f>
        <v xml:space="preserve">    Tanger Factory Outlet Centers</v>
      </c>
      <c r="B80" t="str">
        <f>"SKT US Equity"</f>
        <v>SKT US Equity</v>
      </c>
      <c r="C80" t="str">
        <f t="shared" si="12"/>
        <v>RR502</v>
      </c>
      <c r="D80" t="str">
        <f t="shared" si="13"/>
        <v>NET_OPER_INCOME</v>
      </c>
      <c r="E80" t="str">
        <f t="shared" si="14"/>
        <v>动态</v>
      </c>
      <c r="F80" t="str">
        <f ca="1">IF(AND(ISNUMBER($F$537),$B$419=1),$F$537,HLOOKUP(INDIRECT(ADDRESS(2,COLUMN())),OFFSET($BN$2,0,0,ROW()-1,60),ROW()-1,FALSE))</f>
        <v/>
      </c>
      <c r="G80">
        <f ca="1">IF(AND(ISNUMBER($G$537),$B$419=1),$G$537,HLOOKUP(INDIRECT(ADDRESS(2,COLUMN())),OFFSET($BN$2,0,0,ROW()-1,60),ROW()-1,FALSE))</f>
        <v>84.103999999999999</v>
      </c>
      <c r="H80">
        <f ca="1">IF(AND(ISNUMBER($H$537),$B$419=1),$H$537,HLOOKUP(INDIRECT(ADDRESS(2,COLUMN())),OFFSET($BN$2,0,0,ROW()-1,60),ROW()-1,FALSE))</f>
        <v>80.683999999999997</v>
      </c>
      <c r="I80">
        <f ca="1">IF(AND(ISNUMBER($I$537),$B$419=1),$I$537,HLOOKUP(INDIRECT(ADDRESS(2,COLUMN())),OFFSET($BN$2,0,0,ROW()-1,60),ROW()-1,FALSE))</f>
        <v>80.108999999999995</v>
      </c>
      <c r="J80">
        <f ca="1">IF(AND(ISNUMBER($J$537),$B$419=1),$J$537,HLOOKUP(INDIRECT(ADDRESS(2,COLUMN())),OFFSET($BN$2,0,0,ROW()-1,60),ROW()-1,FALSE))</f>
        <v>78.974999999999994</v>
      </c>
      <c r="K80">
        <f ca="1">IF(AND(ISNUMBER($K$537),$B$419=1),$K$537,HLOOKUP(INDIRECT(ADDRESS(2,COLUMN())),OFFSET($BN$2,0,0,ROW()-1,60),ROW()-1,FALSE))</f>
        <v>80.504000000000005</v>
      </c>
      <c r="L80">
        <f ca="1">IF(AND(ISNUMBER($L$537),$B$419=1),$L$537,HLOOKUP(INDIRECT(ADDRESS(2,COLUMN())),OFFSET($BN$2,0,0,ROW()-1,60),ROW()-1,FALSE))</f>
        <v>79.052999999999997</v>
      </c>
      <c r="M80">
        <f ca="1">IF(AND(ISNUMBER($M$537),$B$419=1),$M$537,HLOOKUP(INDIRECT(ADDRESS(2,COLUMN())),OFFSET($BN$2,0,0,ROW()-1,60),ROW()-1,FALSE))</f>
        <v>74.403000000000006</v>
      </c>
      <c r="N80">
        <f ca="1">IF(AND(ISNUMBER($N$537),$B$419=1),$N$537,HLOOKUP(INDIRECT(ADDRESS(2,COLUMN())),OFFSET($BN$2,0,0,ROW()-1,60),ROW()-1,FALSE))</f>
        <v>71.262</v>
      </c>
      <c r="O80">
        <f ca="1">IF(AND(ISNUMBER($O$537),$B$419=1),$O$537,HLOOKUP(INDIRECT(ADDRESS(2,COLUMN())),OFFSET($BN$2,0,0,ROW()-1,60),ROW()-1,FALSE))</f>
        <v>73.384</v>
      </c>
      <c r="P80">
        <f ca="1">IF(AND(ISNUMBER($P$537),$B$419=1),$P$537,HLOOKUP(INDIRECT(ADDRESS(2,COLUMN())),OFFSET($BN$2,0,0,ROW()-1,60),ROW()-1,FALSE))</f>
        <v>74.03</v>
      </c>
      <c r="Q80">
        <f ca="1">IF(AND(ISNUMBER($Q$537),$B$419=1),$Q$537,HLOOKUP(INDIRECT(ADDRESS(2,COLUMN())),OFFSET($BN$2,0,0,ROW()-1,60),ROW()-1,FALSE))</f>
        <v>71.049000000000007</v>
      </c>
      <c r="R80">
        <f ca="1">IF(AND(ISNUMBER($R$537),$B$419=1),$R$537,HLOOKUP(INDIRECT(ADDRESS(2,COLUMN())),OFFSET($BN$2,0,0,ROW()-1,60),ROW()-1,FALSE))</f>
        <v>66.772999999999996</v>
      </c>
      <c r="S80">
        <f ca="1">IF(AND(ISNUMBER($S$537),$B$419=1),$S$537,HLOOKUP(INDIRECT(ADDRESS(2,COLUMN())),OFFSET($BN$2,0,0,ROW()-1,60),ROW()-1,FALSE))</f>
        <v>71.557000000000002</v>
      </c>
      <c r="T80">
        <f ca="1">IF(AND(ISNUMBER($T$537),$B$419=1),$T$537,HLOOKUP(INDIRECT(ADDRESS(2,COLUMN())),OFFSET($BN$2,0,0,ROW()-1,60),ROW()-1,FALSE))</f>
        <v>70.135999999999996</v>
      </c>
      <c r="U80">
        <f ca="1">IF(AND(ISNUMBER($U$537),$B$419=1),$U$537,HLOOKUP(INDIRECT(ADDRESS(2,COLUMN())),OFFSET($BN$2,0,0,ROW()-1,60),ROW()-1,FALSE))</f>
        <v>66.656000000000006</v>
      </c>
      <c r="V80">
        <f ca="1">IF(AND(ISNUMBER($V$537),$B$419=1),$V$537,HLOOKUP(INDIRECT(ADDRESS(2,COLUMN())),OFFSET($BN$2,0,0,ROW()-1,60),ROW()-1,FALSE))</f>
        <v>65.14</v>
      </c>
      <c r="W80">
        <f ca="1">IF(AND(ISNUMBER($W$537),$B$419=1),$W$537,HLOOKUP(INDIRECT(ADDRESS(2,COLUMN())),OFFSET($BN$2,0,0,ROW()-1,60),ROW()-1,FALSE))</f>
        <v>71.233000000000004</v>
      </c>
      <c r="X80">
        <f ca="1">IF(AND(ISNUMBER($X$537),$B$419=1),$X$537,HLOOKUP(INDIRECT(ADDRESS(2,COLUMN())),OFFSET($BN$2,0,0,ROW()-1,60),ROW()-1,FALSE))</f>
        <v>64.936000000000007</v>
      </c>
      <c r="Y80">
        <f ca="1">IF(AND(ISNUMBER($Y$537),$B$419=1),$Y$537,HLOOKUP(INDIRECT(ADDRESS(2,COLUMN())),OFFSET($BN$2,0,0,ROW()-1,60),ROW()-1,FALSE))</f>
        <v>59.904000000000003</v>
      </c>
      <c r="Z80">
        <f ca="1">IF(AND(ISNUMBER($Z$537),$B$419=1),$Z$537,HLOOKUP(INDIRECT(ADDRESS(2,COLUMN())),OFFSET($BN$2,0,0,ROW()-1,60),ROW()-1,FALSE))</f>
        <v>58.432000000000002</v>
      </c>
      <c r="AA80">
        <f ca="1">IF(AND(ISNUMBER($AA$537),$B$419=1),$AA$537,HLOOKUP(INDIRECT(ADDRESS(2,COLUMN())),OFFSET($BN$2,0,0,ROW()-1,60),ROW()-1,FALSE))</f>
        <v>62.250999999999998</v>
      </c>
      <c r="AB80">
        <f ca="1">IF(AND(ISNUMBER($AB$537),$B$419=1),$AB$537,HLOOKUP(INDIRECT(ADDRESS(2,COLUMN())),OFFSET($BN$2,0,0,ROW()-1,60),ROW()-1,FALSE))</f>
        <v>59.874000000000002</v>
      </c>
      <c r="AC80">
        <f ca="1">IF(AND(ISNUMBER($AC$537),$B$419=1),$AC$537,HLOOKUP(INDIRECT(ADDRESS(2,COLUMN())),OFFSET($BN$2,0,0,ROW()-1,60),ROW()-1,FALSE))</f>
        <v>57.213000000000001</v>
      </c>
      <c r="AD80">
        <f ca="1">IF(AND(ISNUMBER($AD$537),$B$419=1),$AD$537,HLOOKUP(INDIRECT(ADDRESS(2,COLUMN())),OFFSET($BN$2,0,0,ROW()-1,60),ROW()-1,FALSE))</f>
        <v>56.350999999999999</v>
      </c>
      <c r="AE80">
        <f ca="1">IF(AND(ISNUMBER($AE$537),$B$419=1),$AE$537,HLOOKUP(INDIRECT(ADDRESS(2,COLUMN())),OFFSET($BN$2,0,0,ROW()-1,60),ROW()-1,FALSE))</f>
        <v>59.512999999999998</v>
      </c>
      <c r="AF80">
        <f ca="1">IF(AND(ISNUMBER($AF$537),$B$419=1),$AF$537,HLOOKUP(INDIRECT(ADDRESS(2,COLUMN())),OFFSET($BN$2,0,0,ROW()-1,60),ROW()-1,FALSE))</f>
        <v>55.494</v>
      </c>
      <c r="AG80">
        <f ca="1">IF(AND(ISNUMBER($AG$537),$B$419=1),$AG$537,HLOOKUP(INDIRECT(ADDRESS(2,COLUMN())),OFFSET($BN$2,0,0,ROW()-1,60),ROW()-1,FALSE))</f>
        <v>46.381</v>
      </c>
      <c r="AH80">
        <f ca="1">IF(AND(ISNUMBER($AH$537),$B$419=1),$AH$537,HLOOKUP(INDIRECT(ADDRESS(2,COLUMN())),OFFSET($BN$2,0,0,ROW()-1,60),ROW()-1,FALSE))</f>
        <v>44.707000000000001</v>
      </c>
      <c r="AI80">
        <f ca="1">IF(AND(ISNUMBER($AI$537),$B$419=1),$AI$537,HLOOKUP(INDIRECT(ADDRESS(2,COLUMN())),OFFSET($BN$2,0,0,ROW()-1,60),ROW()-1,FALSE))</f>
        <v>46.621000000000002</v>
      </c>
      <c r="AJ80">
        <f ca="1">IF(AND(ISNUMBER($AJ$537),$B$419=1),$AJ$537,HLOOKUP(INDIRECT(ADDRESS(2,COLUMN())),OFFSET($BN$2,0,0,ROW()-1,60),ROW()-1,FALSE))</f>
        <v>44.338999999999999</v>
      </c>
      <c r="AK80">
        <f ca="1">IF(AND(ISNUMBER($AK$537),$B$419=1),$AK$537,HLOOKUP(INDIRECT(ADDRESS(2,COLUMN())),OFFSET($BN$2,0,0,ROW()-1,60),ROW()-1,FALSE))</f>
        <v>41.322000000000003</v>
      </c>
      <c r="AL80">
        <f ca="1">IF(AND(ISNUMBER($AL$537),$B$419=1),$AL$537,HLOOKUP(INDIRECT(ADDRESS(2,COLUMN())),OFFSET($BN$2,0,0,ROW()-1,60),ROW()-1,FALSE))</f>
        <v>41.972000000000001</v>
      </c>
      <c r="AM80">
        <f ca="1">IF(AND(ISNUMBER($AM$537),$B$419=1),$AM$537,HLOOKUP(INDIRECT(ADDRESS(2,COLUMN())),OFFSET($BN$2,0,0,ROW()-1,60),ROW()-1,FALSE))</f>
        <v>44.656999999999996</v>
      </c>
      <c r="AN80">
        <f ca="1">IF(AND(ISNUMBER($AN$537),$B$419=1),$AN$537,HLOOKUP(INDIRECT(ADDRESS(2,COLUMN())),OFFSET($BN$2,0,0,ROW()-1,60),ROW()-1,FALSE))</f>
        <v>43.192</v>
      </c>
      <c r="AO80">
        <f ca="1">IF(AND(ISNUMBER($AO$537),$B$419=1),$AO$537,HLOOKUP(INDIRECT(ADDRESS(2,COLUMN())),OFFSET($BN$2,0,0,ROW()-1,60),ROW()-1,FALSE))</f>
        <v>41.819000000000003</v>
      </c>
      <c r="AP80">
        <f ca="1">IF(AND(ISNUMBER($AP$537),$B$419=1),$AP$537,HLOOKUP(INDIRECT(ADDRESS(2,COLUMN())),OFFSET($BN$2,0,0,ROW()-1,60),ROW()-1,FALSE))</f>
        <v>41.706000000000003</v>
      </c>
      <c r="AQ80">
        <f ca="1">IF(AND(ISNUMBER($AQ$537),$B$419=1),$AQ$537,HLOOKUP(INDIRECT(ADDRESS(2,COLUMN())),OFFSET($BN$2,0,0,ROW()-1,60),ROW()-1,FALSE))</f>
        <v>45.061</v>
      </c>
      <c r="AR80">
        <f ca="1">IF(AND(ISNUMBER($AR$537),$B$419=1),$AR$537,HLOOKUP(INDIRECT(ADDRESS(2,COLUMN())),OFFSET($BN$2,0,0,ROW()-1,60),ROW()-1,FALSE))</f>
        <v>39.929000000000002</v>
      </c>
      <c r="AS80">
        <f ca="1">IF(AND(ISNUMBER($AS$537),$B$419=1),$AS$537,HLOOKUP(INDIRECT(ADDRESS(2,COLUMN())),OFFSET($BN$2,0,0,ROW()-1,60),ROW()-1,FALSE))</f>
        <v>37.909999999999997</v>
      </c>
      <c r="AT80">
        <f ca="1">IF(AND(ISNUMBER($AT$537),$B$419=1),$AT$537,HLOOKUP(INDIRECT(ADDRESS(2,COLUMN())),OFFSET($BN$2,0,0,ROW()-1,60),ROW()-1,FALSE))</f>
        <v>36.668999999999997</v>
      </c>
      <c r="AU80">
        <f ca="1">IF(AND(ISNUMBER($AU$537),$B$419=1),$AU$537,HLOOKUP(INDIRECT(ADDRESS(2,COLUMN())),OFFSET($BN$2,0,0,ROW()-1,60),ROW()-1,FALSE))</f>
        <v>39.524999999999999</v>
      </c>
      <c r="AV80">
        <f ca="1">IF(AND(ISNUMBER($AV$537),$B$419=1),$AV$537,HLOOKUP(INDIRECT(ADDRESS(2,COLUMN())),OFFSET($BN$2,0,0,ROW()-1,60),ROW()-1,FALSE))</f>
        <v>37.073</v>
      </c>
      <c r="AW80">
        <f ca="1">IF(AND(ISNUMBER($AW$537),$B$419=1),$AW$537,HLOOKUP(INDIRECT(ADDRESS(2,COLUMN())),OFFSET($BN$2,0,0,ROW()-1,60),ROW()-1,FALSE))</f>
        <v>35.921999999999997</v>
      </c>
      <c r="AX80">
        <f ca="1">IF(AND(ISNUMBER($AX$537),$B$419=1),$AX$537,HLOOKUP(INDIRECT(ADDRESS(2,COLUMN())),OFFSET($BN$2,0,0,ROW()-1,60),ROW()-1,FALSE))</f>
        <v>34.655999999999999</v>
      </c>
      <c r="AY80">
        <f ca="1">IF(AND(ISNUMBER($AY$537),$B$419=1),$AY$537,HLOOKUP(INDIRECT(ADDRESS(2,COLUMN())),OFFSET($BN$2,0,0,ROW()-1,60),ROW()-1,FALSE))</f>
        <v>36.192999999999998</v>
      </c>
      <c r="AZ80">
        <f ca="1">IF(AND(ISNUMBER($AZ$537),$B$419=1),$AZ$537,HLOOKUP(INDIRECT(ADDRESS(2,COLUMN())),OFFSET($BN$2,0,0,ROW()-1,60),ROW()-1,FALSE))</f>
        <v>34.246000000000002</v>
      </c>
      <c r="BA80">
        <f ca="1">IF(AND(ISNUMBER($BA$537),$B$419=1),$BA$537,HLOOKUP(INDIRECT(ADDRESS(2,COLUMN())),OFFSET($BN$2,0,0,ROW()-1,60),ROW()-1,FALSE))</f>
        <v>33.029000000000003</v>
      </c>
      <c r="BB80">
        <f ca="1">IF(AND(ISNUMBER($BB$537),$B$419=1),$BB$537,HLOOKUP(INDIRECT(ADDRESS(2,COLUMN())),OFFSET($BN$2,0,0,ROW()-1,60),ROW()-1,FALSE))</f>
        <v>32.078000000000003</v>
      </c>
      <c r="BC80">
        <f ca="1">IF(AND(ISNUMBER($BC$537),$B$419=1),$BC$537,HLOOKUP(INDIRECT(ADDRESS(2,COLUMN())),OFFSET($BN$2,0,0,ROW()-1,60),ROW()-1,FALSE))</f>
        <v>34.180999999999997</v>
      </c>
      <c r="BD80">
        <f ca="1">IF(AND(ISNUMBER($BD$537),$B$419=1),$BD$537,HLOOKUP(INDIRECT(ADDRESS(2,COLUMN())),OFFSET($BN$2,0,0,ROW()-1,60),ROW()-1,FALSE))</f>
        <v>33.475999999999999</v>
      </c>
      <c r="BE80">
        <f ca="1">IF(AND(ISNUMBER($BE$537),$B$419=1),$BE$537,HLOOKUP(INDIRECT(ADDRESS(2,COLUMN())),OFFSET($BN$2,0,0,ROW()-1,60),ROW()-1,FALSE))</f>
        <v>32.252000000000002</v>
      </c>
      <c r="BF80">
        <f ca="1">IF(AND(ISNUMBER($BF$537),$B$419=1),$BF$537,HLOOKUP(INDIRECT(ADDRESS(2,COLUMN())),OFFSET($BN$2,0,0,ROW()-1,60),ROW()-1,FALSE))</f>
        <v>30.335000000000001</v>
      </c>
      <c r="BG80">
        <f ca="1">IF(AND(ISNUMBER($BG$537),$B$419=1),$BG$537,HLOOKUP(INDIRECT(ADDRESS(2,COLUMN())),OFFSET($BN$2,0,0,ROW()-1,60),ROW()-1,FALSE))</f>
        <v>33.658999999999999</v>
      </c>
      <c r="BH80">
        <f ca="1">IF(AND(ISNUMBER($BH$537),$B$419=1),$BH$537,HLOOKUP(INDIRECT(ADDRESS(2,COLUMN())),OFFSET($BN$2,0,0,ROW()-1,60),ROW()-1,FALSE))</f>
        <v>32.274999999999999</v>
      </c>
      <c r="BI80">
        <f ca="1">IF(AND(ISNUMBER($BI$537),$B$419=1),$BI$537,HLOOKUP(INDIRECT(ADDRESS(2,COLUMN())),OFFSET($BN$2,0,0,ROW()-1,60),ROW()-1,FALSE))</f>
        <v>31.643999999999998</v>
      </c>
      <c r="BJ80">
        <f ca="1">IF(AND(ISNUMBER($BJ$537),$B$419=1),$BJ$537,HLOOKUP(INDIRECT(ADDRESS(2,COLUMN())),OFFSET($BN$2,0,0,ROW()-1,60),ROW()-1,FALSE))</f>
        <v>31.21</v>
      </c>
      <c r="BK80">
        <f ca="1">IF(AND(ISNUMBER($BK$537),$B$419=1),$BK$537,HLOOKUP(INDIRECT(ADDRESS(2,COLUMN())),OFFSET($BN$2,0,0,ROW()-1,60),ROW()-1,FALSE))</f>
        <v>22.31200123</v>
      </c>
      <c r="BL80">
        <f ca="1">IF(AND(ISNUMBER($BL$537),$B$419=1),$BL$537,HLOOKUP(INDIRECT(ADDRESS(2,COLUMN())),OFFSET($BN$2,0,0,ROW()-1,60),ROW()-1,FALSE))</f>
        <v>18.399000000000001</v>
      </c>
      <c r="BM80">
        <f ca="1">IF(AND(ISNUMBER($BM$537),$B$419=1),$BM$537,HLOOKUP(INDIRECT(ADDRESS(2,COLUMN())),OFFSET($BN$2,0,0,ROW()-1,60),ROW()-1,FALSE))</f>
        <v>18.332000000000001</v>
      </c>
      <c r="BN80" t="str">
        <f>""</f>
        <v/>
      </c>
      <c r="BO80">
        <f>84.104</f>
        <v>84.103999999999999</v>
      </c>
      <c r="BP80">
        <f>80.684</f>
        <v>80.683999999999997</v>
      </c>
      <c r="BQ80">
        <f>80.109</f>
        <v>80.108999999999995</v>
      </c>
      <c r="BR80">
        <f>78.975</f>
        <v>78.974999999999994</v>
      </c>
      <c r="BS80">
        <f>80.504</f>
        <v>80.504000000000005</v>
      </c>
      <c r="BT80">
        <f>79.053</f>
        <v>79.052999999999997</v>
      </c>
      <c r="BU80">
        <f>74.403</f>
        <v>74.403000000000006</v>
      </c>
      <c r="BV80">
        <f>71.262</f>
        <v>71.262</v>
      </c>
      <c r="BW80">
        <f>73.384</f>
        <v>73.384</v>
      </c>
      <c r="BX80">
        <f>74.03</f>
        <v>74.03</v>
      </c>
      <c r="BY80">
        <f>71.049</f>
        <v>71.049000000000007</v>
      </c>
      <c r="BZ80">
        <f>66.773</f>
        <v>66.772999999999996</v>
      </c>
      <c r="CA80">
        <f>71.557</f>
        <v>71.557000000000002</v>
      </c>
      <c r="CB80">
        <f>70.136</f>
        <v>70.135999999999996</v>
      </c>
      <c r="CC80">
        <f>66.656</f>
        <v>66.656000000000006</v>
      </c>
      <c r="CD80">
        <f>65.14</f>
        <v>65.14</v>
      </c>
      <c r="CE80">
        <f>71.233</f>
        <v>71.233000000000004</v>
      </c>
      <c r="CF80">
        <f>64.936</f>
        <v>64.936000000000007</v>
      </c>
      <c r="CG80">
        <f>59.904</f>
        <v>59.904000000000003</v>
      </c>
      <c r="CH80">
        <f>58.432</f>
        <v>58.432000000000002</v>
      </c>
      <c r="CI80">
        <f>62.251</f>
        <v>62.250999999999998</v>
      </c>
      <c r="CJ80">
        <f>59.874</f>
        <v>59.874000000000002</v>
      </c>
      <c r="CK80">
        <f>57.213</f>
        <v>57.213000000000001</v>
      </c>
      <c r="CL80">
        <f>56.351</f>
        <v>56.350999999999999</v>
      </c>
      <c r="CM80">
        <f>59.513</f>
        <v>59.512999999999998</v>
      </c>
      <c r="CN80">
        <f>55.494</f>
        <v>55.494</v>
      </c>
      <c r="CO80">
        <f>46.381</f>
        <v>46.381</v>
      </c>
      <c r="CP80">
        <f>44.707</f>
        <v>44.707000000000001</v>
      </c>
      <c r="CQ80">
        <f>46.621</f>
        <v>46.621000000000002</v>
      </c>
      <c r="CR80">
        <f>44.339</f>
        <v>44.338999999999999</v>
      </c>
      <c r="CS80">
        <f>41.322</f>
        <v>41.322000000000003</v>
      </c>
      <c r="CT80">
        <f>41.972</f>
        <v>41.972000000000001</v>
      </c>
      <c r="CU80">
        <f>44.657</f>
        <v>44.656999999999996</v>
      </c>
      <c r="CV80">
        <f>43.192</f>
        <v>43.192</v>
      </c>
      <c r="CW80">
        <f>41.819</f>
        <v>41.819000000000003</v>
      </c>
      <c r="CX80">
        <f>41.706</f>
        <v>41.706000000000003</v>
      </c>
      <c r="CY80">
        <f>45.061</f>
        <v>45.061</v>
      </c>
      <c r="CZ80">
        <f>39.929</f>
        <v>39.929000000000002</v>
      </c>
      <c r="DA80">
        <f>37.91</f>
        <v>37.909999999999997</v>
      </c>
      <c r="DB80">
        <f>36.669</f>
        <v>36.668999999999997</v>
      </c>
      <c r="DC80">
        <f>39.525</f>
        <v>39.524999999999999</v>
      </c>
      <c r="DD80">
        <f>37.073</f>
        <v>37.073</v>
      </c>
      <c r="DE80">
        <f>35.922</f>
        <v>35.921999999999997</v>
      </c>
      <c r="DF80">
        <f>34.656</f>
        <v>34.655999999999999</v>
      </c>
      <c r="DG80">
        <f>36.193</f>
        <v>36.192999999999998</v>
      </c>
      <c r="DH80">
        <f>34.246</f>
        <v>34.246000000000002</v>
      </c>
      <c r="DI80">
        <f>33.029</f>
        <v>33.029000000000003</v>
      </c>
      <c r="DJ80">
        <f>32.078</f>
        <v>32.078000000000003</v>
      </c>
      <c r="DK80">
        <f>34.181</f>
        <v>34.180999999999997</v>
      </c>
      <c r="DL80">
        <f>33.476</f>
        <v>33.475999999999999</v>
      </c>
      <c r="DM80">
        <f>32.252</f>
        <v>32.252000000000002</v>
      </c>
      <c r="DN80">
        <f>30.335</f>
        <v>30.335000000000001</v>
      </c>
      <c r="DO80">
        <f>33.659</f>
        <v>33.658999999999999</v>
      </c>
      <c r="DP80">
        <f>32.275</f>
        <v>32.274999999999999</v>
      </c>
      <c r="DQ80">
        <f>31.644</f>
        <v>31.643999999999998</v>
      </c>
      <c r="DR80">
        <f>31.21</f>
        <v>31.21</v>
      </c>
      <c r="DS80">
        <f>22.31200123</f>
        <v>22.31200123</v>
      </c>
      <c r="DT80">
        <f>18.399</f>
        <v>18.399000000000001</v>
      </c>
      <c r="DU80">
        <f>18.332</f>
        <v>18.332000000000001</v>
      </c>
    </row>
    <row r="81" spans="1:125">
      <c r="A81" t="str">
        <f>"    VEREIT Inc"</f>
        <v xml:space="preserve">    VEREIT Inc</v>
      </c>
      <c r="B81" t="str">
        <f>"VER US Equity"</f>
        <v>VER US Equity</v>
      </c>
      <c r="C81" t="str">
        <f t="shared" si="12"/>
        <v>RR502</v>
      </c>
      <c r="D81" t="str">
        <f t="shared" si="13"/>
        <v>NET_OPER_INCOME</v>
      </c>
      <c r="E81" t="str">
        <f t="shared" si="14"/>
        <v>动态</v>
      </c>
      <c r="F81" t="str">
        <f ca="1">IF(AND(ISNUMBER($F$538),$B$419=1),$F$538,HLOOKUP(INDIRECT(ADDRESS(2,COLUMN())),OFFSET($BN$2,0,0,ROW()-1,60),ROW()-1,FALSE))</f>
        <v/>
      </c>
      <c r="G81">
        <f ca="1">IF(AND(ISNUMBER($G$538),$B$419=1),$G$538,HLOOKUP(INDIRECT(ADDRESS(2,COLUMN())),OFFSET($BN$2,0,0,ROW()-1,60),ROW()-1,FALSE))</f>
        <v>258.13499999999999</v>
      </c>
      <c r="H81">
        <f ca="1">IF(AND(ISNUMBER($H$538),$B$419=1),$H$538,HLOOKUP(INDIRECT(ADDRESS(2,COLUMN())),OFFSET($BN$2,0,0,ROW()-1,60),ROW()-1,FALSE))</f>
        <v>249.32300000000001</v>
      </c>
      <c r="I81">
        <f ca="1">IF(AND(ISNUMBER($I$538),$B$419=1),$I$538,HLOOKUP(INDIRECT(ADDRESS(2,COLUMN())),OFFSET($BN$2,0,0,ROW()-1,60),ROW()-1,FALSE))</f>
        <v>251.79</v>
      </c>
      <c r="J81">
        <f ca="1">IF(AND(ISNUMBER($J$538),$B$419=1),$J$538,HLOOKUP(INDIRECT(ADDRESS(2,COLUMN())),OFFSET($BN$2,0,0,ROW()-1,60),ROW()-1,FALSE))</f>
        <v>257.06299999999999</v>
      </c>
      <c r="K81">
        <f ca="1">IF(AND(ISNUMBER($K$538),$B$419=1),$K$538,HLOOKUP(INDIRECT(ADDRESS(2,COLUMN())),OFFSET($BN$2,0,0,ROW()-1,60),ROW()-1,FALSE))</f>
        <v>260.40100000000001</v>
      </c>
      <c r="L81">
        <f ca="1">IF(AND(ISNUMBER($L$538),$B$419=1),$L$538,HLOOKUP(INDIRECT(ADDRESS(2,COLUMN())),OFFSET($BN$2,0,0,ROW()-1,60),ROW()-1,FALSE))</f>
        <v>262.666</v>
      </c>
      <c r="M81">
        <f ca="1">IF(AND(ISNUMBER($M$538),$B$419=1),$M$538,HLOOKUP(INDIRECT(ADDRESS(2,COLUMN())),OFFSET($BN$2,0,0,ROW()-1,60),ROW()-1,FALSE))</f>
        <v>266.178</v>
      </c>
      <c r="N81">
        <f ca="1">IF(AND(ISNUMBER($N$538),$B$419=1),$N$538,HLOOKUP(INDIRECT(ADDRESS(2,COLUMN())),OFFSET($BN$2,0,0,ROW()-1,60),ROW()-1,FALSE))</f>
        <v>271.08999999999997</v>
      </c>
      <c r="O81">
        <f ca="1">IF(AND(ISNUMBER($O$538),$B$419=1),$O$538,HLOOKUP(INDIRECT(ADDRESS(2,COLUMN())),OFFSET($BN$2,0,0,ROW()-1,60),ROW()-1,FALSE))</f>
        <v>280.21300000000002</v>
      </c>
      <c r="P81">
        <f ca="1">IF(AND(ISNUMBER($P$538),$B$419=1),$P$538,HLOOKUP(INDIRECT(ADDRESS(2,COLUMN())),OFFSET($BN$2,0,0,ROW()-1,60),ROW()-1,FALSE))</f>
        <v>297.92</v>
      </c>
      <c r="Q81">
        <f ca="1">IF(AND(ISNUMBER($Q$538),$B$419=1),$Q$538,HLOOKUP(INDIRECT(ADDRESS(2,COLUMN())),OFFSET($BN$2,0,0,ROW()-1,60),ROW()-1,FALSE))</f>
        <v>304.875</v>
      </c>
      <c r="R81">
        <f ca="1">IF(AND(ISNUMBER($R$538),$B$419=1),$R$538,HLOOKUP(INDIRECT(ADDRESS(2,COLUMN())),OFFSET($BN$2,0,0,ROW()-1,60),ROW()-1,FALSE))</f>
        <v>309.72899999999998</v>
      </c>
      <c r="S81">
        <f ca="1">IF(AND(ISNUMBER($S$538),$B$419=1),$S$538,HLOOKUP(INDIRECT(ADDRESS(2,COLUMN())),OFFSET($BN$2,0,0,ROW()-1,60),ROW()-1,FALSE))</f>
        <v>309.87900000000002</v>
      </c>
      <c r="T81">
        <f ca="1">IF(AND(ISNUMBER($T$538),$B$419=1),$T$538,HLOOKUP(INDIRECT(ADDRESS(2,COLUMN())),OFFSET($BN$2,0,0,ROW()-1,60),ROW()-1,FALSE))</f>
        <v>309.33699999999999</v>
      </c>
      <c r="U81">
        <f ca="1">IF(AND(ISNUMBER($U$538),$B$419=1),$U$538,HLOOKUP(INDIRECT(ADDRESS(2,COLUMN())),OFFSET($BN$2,0,0,ROW()-1,60),ROW()-1,FALSE))</f>
        <v>268.16500000000002</v>
      </c>
      <c r="V81">
        <f ca="1">IF(AND(ISNUMBER($V$538),$B$419=1),$V$538,HLOOKUP(INDIRECT(ADDRESS(2,COLUMN())),OFFSET($BN$2,0,0,ROW()-1,60),ROW()-1,FALSE))</f>
        <v>187.35499999999999</v>
      </c>
      <c r="W81">
        <f ca="1">IF(AND(ISNUMBER($W$538),$B$419=1),$W$538,HLOOKUP(INDIRECT(ADDRESS(2,COLUMN())),OFFSET($BN$2,0,0,ROW()-1,60),ROW()-1,FALSE))</f>
        <v>74.426000000000002</v>
      </c>
      <c r="X81">
        <f ca="1">IF(AND(ISNUMBER($X$538),$B$419=1),$X$538,HLOOKUP(INDIRECT(ADDRESS(2,COLUMN())),OFFSET($BN$2,0,0,ROW()-1,60),ROW()-1,FALSE))</f>
        <v>84.299000000000007</v>
      </c>
      <c r="Y81">
        <f ca="1">IF(AND(ISNUMBER($Y$538),$B$419=1),$Y$538,HLOOKUP(INDIRECT(ADDRESS(2,COLUMN())),OFFSET($BN$2,0,0,ROW()-1,60),ROW()-1,FALSE))</f>
        <v>49.578000000000003</v>
      </c>
      <c r="Z81">
        <f ca="1">IF(AND(ISNUMBER($Z$538),$B$419=1),$Z$538,HLOOKUP(INDIRECT(ADDRESS(2,COLUMN())),OFFSET($BN$2,0,0,ROW()-1,60),ROW()-1,FALSE))</f>
        <v>38.438000000000002</v>
      </c>
      <c r="AA81">
        <f ca="1">IF(AND(ISNUMBER($AA$538),$B$419=1),$AA$538,HLOOKUP(INDIRECT(ADDRESS(2,COLUMN())),OFFSET($BN$2,0,0,ROW()-1,60),ROW()-1,FALSE))</f>
        <v>27.018000000000001</v>
      </c>
      <c r="AB81">
        <f ca="1">IF(AND(ISNUMBER($AB$538),$B$419=1),$AB$538,HLOOKUP(INDIRECT(ADDRESS(2,COLUMN())),OFFSET($BN$2,0,0,ROW()-1,60),ROW()-1,FALSE))</f>
        <v>17.225000000000001</v>
      </c>
      <c r="AC81">
        <f ca="1">IF(AND(ISNUMBER($AC$538),$B$419=1),$AC$538,HLOOKUP(INDIRECT(ADDRESS(2,COLUMN())),OFFSET($BN$2,0,0,ROW()-1,60),ROW()-1,FALSE))</f>
        <v>11.041</v>
      </c>
      <c r="AD81">
        <f ca="1">IF(AND(ISNUMBER($AD$538),$B$419=1),$AD$538,HLOOKUP(INDIRECT(ADDRESS(2,COLUMN())),OFFSET($BN$2,0,0,ROW()-1,60),ROW()-1,FALSE))</f>
        <v>5.7910000000000004</v>
      </c>
      <c r="AE81">
        <f ca="1">IF(AND(ISNUMBER($AE$538),$B$419=1),$AE$538,HLOOKUP(INDIRECT(ADDRESS(2,COLUMN())),OFFSET($BN$2,0,0,ROW()-1,60),ROW()-1,FALSE))</f>
        <v>0.59783600000000003</v>
      </c>
      <c r="AF81">
        <f ca="1">IF(AND(ISNUMBER($AF$538),$B$419=1),$AF$538,HLOOKUP(INDIRECT(ADDRESS(2,COLUMN())),OFFSET($BN$2,0,0,ROW()-1,60),ROW()-1,FALSE))</f>
        <v>0.57599999999999996</v>
      </c>
      <c r="AG81">
        <f ca="1">IF(AND(ISNUMBER($AG$538),$B$419=1),$AG$538,HLOOKUP(INDIRECT(ADDRESS(2,COLUMN())),OFFSET($BN$2,0,0,ROW()-1,60),ROW()-1,FALSE))</f>
        <v>0</v>
      </c>
      <c r="AH81">
        <f ca="1">IF(AND(ISNUMBER($AH$538),$B$419=1),$AH$538,HLOOKUP(INDIRECT(ADDRESS(2,COLUMN())),OFFSET($BN$2,0,0,ROW()-1,60),ROW()-1,FALSE))</f>
        <v>1.6951639999999999</v>
      </c>
      <c r="AI81" t="str">
        <f ca="1">IF(AND(ISNUMBER($AI$538),$B$419=1),$AI$538,HLOOKUP(INDIRECT(ADDRESS(2,COLUMN())),OFFSET($BN$2,0,0,ROW()-1,60),ROW()-1,FALSE))</f>
        <v/>
      </c>
      <c r="AJ81" t="str">
        <f ca="1">IF(AND(ISNUMBER($AJ$538),$B$419=1),$AJ$538,HLOOKUP(INDIRECT(ADDRESS(2,COLUMN())),OFFSET($BN$2,0,0,ROW()-1,60),ROW()-1,FALSE))</f>
        <v/>
      </c>
      <c r="AK81" t="str">
        <f ca="1">IF(AND(ISNUMBER($AK$538),$B$419=1),$AK$538,HLOOKUP(INDIRECT(ADDRESS(2,COLUMN())),OFFSET($BN$2,0,0,ROW()-1,60),ROW()-1,FALSE))</f>
        <v/>
      </c>
      <c r="AL81">
        <f ca="1">IF(AND(ISNUMBER($AL$538),$B$419=1),$AL$538,HLOOKUP(INDIRECT(ADDRESS(2,COLUMN())),OFFSET($BN$2,0,0,ROW()-1,60),ROW()-1,FALSE))</f>
        <v>1.749868</v>
      </c>
      <c r="AM81" t="str">
        <f ca="1">IF(AND(ISNUMBER($AM$538),$B$419=1),$AM$538,HLOOKUP(INDIRECT(ADDRESS(2,COLUMN())),OFFSET($BN$2,0,0,ROW()-1,60),ROW()-1,FALSE))</f>
        <v/>
      </c>
      <c r="AN81" t="str">
        <f ca="1">IF(AND(ISNUMBER($AN$538),$B$419=1),$AN$538,HLOOKUP(INDIRECT(ADDRESS(2,COLUMN())),OFFSET($BN$2,0,0,ROW()-1,60),ROW()-1,FALSE))</f>
        <v/>
      </c>
      <c r="AO81" t="str">
        <f ca="1">IF(AND(ISNUMBER($AO$538),$B$419=1),$AO$538,HLOOKUP(INDIRECT(ADDRESS(2,COLUMN())),OFFSET($BN$2,0,0,ROW()-1,60),ROW()-1,FALSE))</f>
        <v/>
      </c>
      <c r="AP81" t="str">
        <f ca="1">IF(AND(ISNUMBER($AP$538),$B$419=1),$AP$538,HLOOKUP(INDIRECT(ADDRESS(2,COLUMN())),OFFSET($BN$2,0,0,ROW()-1,60),ROW()-1,FALSE))</f>
        <v/>
      </c>
      <c r="AQ81" t="str">
        <f ca="1">IF(AND(ISNUMBER($AQ$538),$B$419=1),$AQ$538,HLOOKUP(INDIRECT(ADDRESS(2,COLUMN())),OFFSET($BN$2,0,0,ROW()-1,60),ROW()-1,FALSE))</f>
        <v/>
      </c>
      <c r="AR81" t="str">
        <f ca="1">IF(AND(ISNUMBER($AR$538),$B$419=1),$AR$538,HLOOKUP(INDIRECT(ADDRESS(2,COLUMN())),OFFSET($BN$2,0,0,ROW()-1,60),ROW()-1,FALSE))</f>
        <v/>
      </c>
      <c r="AS81" t="str">
        <f ca="1">IF(AND(ISNUMBER($AS$538),$B$419=1),$AS$538,HLOOKUP(INDIRECT(ADDRESS(2,COLUMN())),OFFSET($BN$2,0,0,ROW()-1,60),ROW()-1,FALSE))</f>
        <v/>
      </c>
      <c r="AT81" t="str">
        <f ca="1">IF(AND(ISNUMBER($AT$538),$B$419=1),$AT$538,HLOOKUP(INDIRECT(ADDRESS(2,COLUMN())),OFFSET($BN$2,0,0,ROW()-1,60),ROW()-1,FALSE))</f>
        <v/>
      </c>
      <c r="AU81" t="str">
        <f ca="1">IF(AND(ISNUMBER($AU$538),$B$419=1),$AU$538,HLOOKUP(INDIRECT(ADDRESS(2,COLUMN())),OFFSET($BN$2,0,0,ROW()-1,60),ROW()-1,FALSE))</f>
        <v/>
      </c>
      <c r="AV81" t="str">
        <f ca="1">IF(AND(ISNUMBER($AV$538),$B$419=1),$AV$538,HLOOKUP(INDIRECT(ADDRESS(2,COLUMN())),OFFSET($BN$2,0,0,ROW()-1,60),ROW()-1,FALSE))</f>
        <v/>
      </c>
      <c r="AW81" t="str">
        <f ca="1">IF(AND(ISNUMBER($AW$538),$B$419=1),$AW$538,HLOOKUP(INDIRECT(ADDRESS(2,COLUMN())),OFFSET($BN$2,0,0,ROW()-1,60),ROW()-1,FALSE))</f>
        <v/>
      </c>
      <c r="AX81" t="str">
        <f ca="1">IF(AND(ISNUMBER($AX$538),$B$419=1),$AX$538,HLOOKUP(INDIRECT(ADDRESS(2,COLUMN())),OFFSET($BN$2,0,0,ROW()-1,60),ROW()-1,FALSE))</f>
        <v/>
      </c>
      <c r="AY81" t="str">
        <f ca="1">IF(AND(ISNUMBER($AY$538),$B$419=1),$AY$538,HLOOKUP(INDIRECT(ADDRESS(2,COLUMN())),OFFSET($BN$2,0,0,ROW()-1,60),ROW()-1,FALSE))</f>
        <v/>
      </c>
      <c r="AZ81" t="str">
        <f ca="1">IF(AND(ISNUMBER($AZ$538),$B$419=1),$AZ$538,HLOOKUP(INDIRECT(ADDRESS(2,COLUMN())),OFFSET($BN$2,0,0,ROW()-1,60),ROW()-1,FALSE))</f>
        <v/>
      </c>
      <c r="BA81" t="str">
        <f ca="1">IF(AND(ISNUMBER($BA$538),$B$419=1),$BA$538,HLOOKUP(INDIRECT(ADDRESS(2,COLUMN())),OFFSET($BN$2,0,0,ROW()-1,60),ROW()-1,FALSE))</f>
        <v/>
      </c>
      <c r="BB81" t="str">
        <f ca="1">IF(AND(ISNUMBER($BB$538),$B$419=1),$BB$538,HLOOKUP(INDIRECT(ADDRESS(2,COLUMN())),OFFSET($BN$2,0,0,ROW()-1,60),ROW()-1,FALSE))</f>
        <v/>
      </c>
      <c r="BC81" t="str">
        <f ca="1">IF(AND(ISNUMBER($BC$538),$B$419=1),$BC$538,HLOOKUP(INDIRECT(ADDRESS(2,COLUMN())),OFFSET($BN$2,0,0,ROW()-1,60),ROW()-1,FALSE))</f>
        <v/>
      </c>
      <c r="BD81" t="str">
        <f ca="1">IF(AND(ISNUMBER($BD$538),$B$419=1),$BD$538,HLOOKUP(INDIRECT(ADDRESS(2,COLUMN())),OFFSET($BN$2,0,0,ROW()-1,60),ROW()-1,FALSE))</f>
        <v/>
      </c>
      <c r="BE81" t="str">
        <f ca="1">IF(AND(ISNUMBER($BE$538),$B$419=1),$BE$538,HLOOKUP(INDIRECT(ADDRESS(2,COLUMN())),OFFSET($BN$2,0,0,ROW()-1,60),ROW()-1,FALSE))</f>
        <v/>
      </c>
      <c r="BF81" t="str">
        <f ca="1">IF(AND(ISNUMBER($BF$538),$B$419=1),$BF$538,HLOOKUP(INDIRECT(ADDRESS(2,COLUMN())),OFFSET($BN$2,0,0,ROW()-1,60),ROW()-1,FALSE))</f>
        <v/>
      </c>
      <c r="BG81" t="str">
        <f ca="1">IF(AND(ISNUMBER($BG$538),$B$419=1),$BG$538,HLOOKUP(INDIRECT(ADDRESS(2,COLUMN())),OFFSET($BN$2,0,0,ROW()-1,60),ROW()-1,FALSE))</f>
        <v/>
      </c>
      <c r="BH81" t="str">
        <f ca="1">IF(AND(ISNUMBER($BH$538),$B$419=1),$BH$538,HLOOKUP(INDIRECT(ADDRESS(2,COLUMN())),OFFSET($BN$2,0,0,ROW()-1,60),ROW()-1,FALSE))</f>
        <v/>
      </c>
      <c r="BI81" t="str">
        <f ca="1">IF(AND(ISNUMBER($BI$538),$B$419=1),$BI$538,HLOOKUP(INDIRECT(ADDRESS(2,COLUMN())),OFFSET($BN$2,0,0,ROW()-1,60),ROW()-1,FALSE))</f>
        <v/>
      </c>
      <c r="BJ81" t="str">
        <f ca="1">IF(AND(ISNUMBER($BJ$538),$B$419=1),$BJ$538,HLOOKUP(INDIRECT(ADDRESS(2,COLUMN())),OFFSET($BN$2,0,0,ROW()-1,60),ROW()-1,FALSE))</f>
        <v/>
      </c>
      <c r="BK81" t="str">
        <f ca="1">IF(AND(ISNUMBER($BK$538),$B$419=1),$BK$538,HLOOKUP(INDIRECT(ADDRESS(2,COLUMN())),OFFSET($BN$2,0,0,ROW()-1,60),ROW()-1,FALSE))</f>
        <v/>
      </c>
      <c r="BL81" t="str">
        <f ca="1">IF(AND(ISNUMBER($BL$538),$B$419=1),$BL$538,HLOOKUP(INDIRECT(ADDRESS(2,COLUMN())),OFFSET($BN$2,0,0,ROW()-1,60),ROW()-1,FALSE))</f>
        <v/>
      </c>
      <c r="BM81" t="str">
        <f ca="1">IF(AND(ISNUMBER($BM$538),$B$419=1),$BM$538,HLOOKUP(INDIRECT(ADDRESS(2,COLUMN())),OFFSET($BN$2,0,0,ROW()-1,60),ROW()-1,FALSE))</f>
        <v/>
      </c>
      <c r="BN81" t="str">
        <f>""</f>
        <v/>
      </c>
      <c r="BO81">
        <f>258.135</f>
        <v>258.13499999999999</v>
      </c>
      <c r="BP81">
        <f>249.323</f>
        <v>249.32300000000001</v>
      </c>
      <c r="BQ81">
        <f>251.79</f>
        <v>251.79</v>
      </c>
      <c r="BR81">
        <f>257.063</f>
        <v>257.06299999999999</v>
      </c>
      <c r="BS81">
        <f>260.401</f>
        <v>260.40100000000001</v>
      </c>
      <c r="BT81">
        <f>262.666</f>
        <v>262.666</v>
      </c>
      <c r="BU81">
        <f>266.178</f>
        <v>266.178</v>
      </c>
      <c r="BV81">
        <f>271.09</f>
        <v>271.08999999999997</v>
      </c>
      <c r="BW81">
        <f>280.213</f>
        <v>280.21300000000002</v>
      </c>
      <c r="BX81">
        <f>297.92</f>
        <v>297.92</v>
      </c>
      <c r="BY81">
        <f>304.875</f>
        <v>304.875</v>
      </c>
      <c r="BZ81">
        <f>309.729</f>
        <v>309.72899999999998</v>
      </c>
      <c r="CA81">
        <f>309.879</f>
        <v>309.87900000000002</v>
      </c>
      <c r="CB81">
        <f>309.337</f>
        <v>309.33699999999999</v>
      </c>
      <c r="CC81">
        <f>268.165</f>
        <v>268.16500000000002</v>
      </c>
      <c r="CD81">
        <f>187.355</f>
        <v>187.35499999999999</v>
      </c>
      <c r="CE81">
        <f>74.426</f>
        <v>74.426000000000002</v>
      </c>
      <c r="CF81">
        <f>84.299</f>
        <v>84.299000000000007</v>
      </c>
      <c r="CG81">
        <f>49.578</f>
        <v>49.578000000000003</v>
      </c>
      <c r="CH81">
        <f>38.438</f>
        <v>38.438000000000002</v>
      </c>
      <c r="CI81">
        <f>27.018</f>
        <v>27.018000000000001</v>
      </c>
      <c r="CJ81">
        <f>17.225</f>
        <v>17.225000000000001</v>
      </c>
      <c r="CK81">
        <f>11.041</f>
        <v>11.041</v>
      </c>
      <c r="CL81">
        <f>5.791</f>
        <v>5.7910000000000004</v>
      </c>
      <c r="CM81">
        <f>0.597836</f>
        <v>0.59783600000000003</v>
      </c>
      <c r="CN81">
        <f>0.576</f>
        <v>0.57599999999999996</v>
      </c>
      <c r="CO81">
        <f>0</f>
        <v>0</v>
      </c>
      <c r="CP81">
        <f>1.695164</f>
        <v>1.6951639999999999</v>
      </c>
      <c r="CQ81" t="str">
        <f>""</f>
        <v/>
      </c>
      <c r="CR81" t="str">
        <f>""</f>
        <v/>
      </c>
      <c r="CS81" t="str">
        <f>""</f>
        <v/>
      </c>
      <c r="CT81">
        <f>1.749868</f>
        <v>1.749868</v>
      </c>
      <c r="CU81" t="str">
        <f>""</f>
        <v/>
      </c>
      <c r="CV81" t="str">
        <f>""</f>
        <v/>
      </c>
      <c r="CW81" t="str">
        <f>""</f>
        <v/>
      </c>
      <c r="CX81" t="str">
        <f>""</f>
        <v/>
      </c>
      <c r="CY81" t="str">
        <f>""</f>
        <v/>
      </c>
      <c r="CZ81" t="str">
        <f>""</f>
        <v/>
      </c>
      <c r="DA81" t="str">
        <f>""</f>
        <v/>
      </c>
      <c r="DB81" t="str">
        <f>""</f>
        <v/>
      </c>
      <c r="DC81" t="str">
        <f>""</f>
        <v/>
      </c>
      <c r="DD81" t="str">
        <f>""</f>
        <v/>
      </c>
      <c r="DE81" t="str">
        <f>""</f>
        <v/>
      </c>
      <c r="DF81" t="str">
        <f>""</f>
        <v/>
      </c>
      <c r="DG81" t="str">
        <f>""</f>
        <v/>
      </c>
      <c r="DH81" t="str">
        <f>""</f>
        <v/>
      </c>
      <c r="DI81" t="str">
        <f>""</f>
        <v/>
      </c>
      <c r="DJ81" t="str">
        <f>""</f>
        <v/>
      </c>
      <c r="DK81" t="str">
        <f>""</f>
        <v/>
      </c>
      <c r="DL81" t="str">
        <f>""</f>
        <v/>
      </c>
      <c r="DM81" t="str">
        <f>""</f>
        <v/>
      </c>
      <c r="DN81" t="str">
        <f>""</f>
        <v/>
      </c>
      <c r="DO81" t="str">
        <f>""</f>
        <v/>
      </c>
      <c r="DP81" t="str">
        <f>""</f>
        <v/>
      </c>
      <c r="DQ81" t="str">
        <f>""</f>
        <v/>
      </c>
      <c r="DR81" t="str">
        <f>""</f>
        <v/>
      </c>
      <c r="DS81" t="str">
        <f>""</f>
        <v/>
      </c>
      <c r="DT81" t="str">
        <f>""</f>
        <v/>
      </c>
      <c r="DU81" t="str">
        <f>""</f>
        <v/>
      </c>
    </row>
    <row r="82" spans="1:125">
      <c r="A82" t="str">
        <f>"    Washington Prime Group Inc"</f>
        <v xml:space="preserve">    Washington Prime Group Inc</v>
      </c>
      <c r="B82" t="str">
        <f>"WPG US Equity"</f>
        <v>WPG US Equity</v>
      </c>
      <c r="C82" t="str">
        <f t="shared" si="12"/>
        <v>RR502</v>
      </c>
      <c r="D82" t="str">
        <f t="shared" si="13"/>
        <v>NET_OPER_INCOME</v>
      </c>
      <c r="E82" t="str">
        <f t="shared" si="14"/>
        <v>动态</v>
      </c>
      <c r="F82" t="str">
        <f ca="1">IF(AND(ISNUMBER($F$539),$B$419=1),$F$539,HLOOKUP(INDIRECT(ADDRESS(2,COLUMN())),OFFSET($BN$2,0,0,ROW()-1,60),ROW()-1,FALSE))</f>
        <v/>
      </c>
      <c r="G82">
        <f ca="1">IF(AND(ISNUMBER($G$539),$B$419=1),$G$539,HLOOKUP(INDIRECT(ADDRESS(2,COLUMN())),OFFSET($BN$2,0,0,ROW()-1,60),ROW()-1,FALSE))</f>
        <v>127.51600000000001</v>
      </c>
      <c r="H82">
        <f ca="1">IF(AND(ISNUMBER($H$539),$B$419=1),$H$539,HLOOKUP(INDIRECT(ADDRESS(2,COLUMN())),OFFSET($BN$2,0,0,ROW()-1,60),ROW()-1,FALSE))</f>
        <v>119.47199999999999</v>
      </c>
      <c r="I82">
        <f ca="1">IF(AND(ISNUMBER($I$539),$B$419=1),$I$539,HLOOKUP(INDIRECT(ADDRESS(2,COLUMN())),OFFSET($BN$2,0,0,ROW()-1,60),ROW()-1,FALSE))</f>
        <v>127.483</v>
      </c>
      <c r="J82">
        <f ca="1">IF(AND(ISNUMBER($J$539),$B$419=1),$J$539,HLOOKUP(INDIRECT(ADDRESS(2,COLUMN())),OFFSET($BN$2,0,0,ROW()-1,60),ROW()-1,FALSE))</f>
        <v>135.96</v>
      </c>
      <c r="K82">
        <f ca="1">IF(AND(ISNUMBER($K$539),$B$419=1),$K$539,HLOOKUP(INDIRECT(ADDRESS(2,COLUMN())),OFFSET($BN$2,0,0,ROW()-1,60),ROW()-1,FALSE))</f>
        <v>146.41</v>
      </c>
      <c r="L82">
        <f ca="1">IF(AND(ISNUMBER($L$539),$B$419=1),$L$539,HLOOKUP(INDIRECT(ADDRESS(2,COLUMN())),OFFSET($BN$2,0,0,ROW()-1,60),ROW()-1,FALSE))</f>
        <v>138.55099999999999</v>
      </c>
      <c r="M82">
        <f ca="1">IF(AND(ISNUMBER($M$539),$B$419=1),$M$539,HLOOKUP(INDIRECT(ADDRESS(2,COLUMN())),OFFSET($BN$2,0,0,ROW()-1,60),ROW()-1,FALSE))</f>
        <v>136.17599999999999</v>
      </c>
      <c r="N82">
        <f ca="1">IF(AND(ISNUMBER($N$539),$B$419=1),$N$539,HLOOKUP(INDIRECT(ADDRESS(2,COLUMN())),OFFSET($BN$2,0,0,ROW()-1,60),ROW()-1,FALSE))</f>
        <v>138.31700000000001</v>
      </c>
      <c r="O82">
        <f ca="1">IF(AND(ISNUMBER($O$539),$B$419=1),$O$539,HLOOKUP(INDIRECT(ADDRESS(2,COLUMN())),OFFSET($BN$2,0,0,ROW()-1,60),ROW()-1,FALSE))</f>
        <v>150.136</v>
      </c>
      <c r="P82">
        <f ca="1">IF(AND(ISNUMBER($P$539),$B$419=1),$P$539,HLOOKUP(INDIRECT(ADDRESS(2,COLUMN())),OFFSET($BN$2,0,0,ROW()-1,60),ROW()-1,FALSE))</f>
        <v>140.67699999999999</v>
      </c>
      <c r="Q82">
        <f ca="1">IF(AND(ISNUMBER($Q$539),$B$419=1),$Q$539,HLOOKUP(INDIRECT(ADDRESS(2,COLUMN())),OFFSET($BN$2,0,0,ROW()-1,60),ROW()-1,FALSE))</f>
        <v>153.934</v>
      </c>
      <c r="R82">
        <f ca="1">IF(AND(ISNUMBER($R$539),$B$419=1),$R$539,HLOOKUP(INDIRECT(ADDRESS(2,COLUMN())),OFFSET($BN$2,0,0,ROW()-1,60),ROW()-1,FALSE))</f>
        <v>151.036</v>
      </c>
      <c r="S82">
        <f ca="1">IF(AND(ISNUMBER($S$539),$B$419=1),$S$539,HLOOKUP(INDIRECT(ADDRESS(2,COLUMN())),OFFSET($BN$2,0,0,ROW()-1,60),ROW()-1,FALSE))</f>
        <v>120.875</v>
      </c>
      <c r="T82">
        <f ca="1">IF(AND(ISNUMBER($T$539),$B$419=1),$T$539,HLOOKUP(INDIRECT(ADDRESS(2,COLUMN())),OFFSET($BN$2,0,0,ROW()-1,60),ROW()-1,FALSE))</f>
        <v>109.755</v>
      </c>
      <c r="U82">
        <f ca="1">IF(AND(ISNUMBER($U$539),$B$419=1),$U$539,HLOOKUP(INDIRECT(ADDRESS(2,COLUMN())),OFFSET($BN$2,0,0,ROW()-1,60),ROW()-1,FALSE))</f>
        <v>105.057</v>
      </c>
      <c r="V82">
        <f ca="1">IF(AND(ISNUMBER($V$539),$B$419=1),$V$539,HLOOKUP(INDIRECT(ADDRESS(2,COLUMN())),OFFSET($BN$2,0,0,ROW()-1,60),ROW()-1,FALSE))</f>
        <v>102.78</v>
      </c>
      <c r="W82" t="str">
        <f ca="1">IF(AND(ISNUMBER($W$539),$B$419=1),$W$539,HLOOKUP(INDIRECT(ADDRESS(2,COLUMN())),OFFSET($BN$2,0,0,ROW()-1,60),ROW()-1,FALSE))</f>
        <v/>
      </c>
      <c r="X82" t="str">
        <f ca="1">IF(AND(ISNUMBER($X$539),$B$419=1),$X$539,HLOOKUP(INDIRECT(ADDRESS(2,COLUMN())),OFFSET($BN$2,0,0,ROW()-1,60),ROW()-1,FALSE))</f>
        <v/>
      </c>
      <c r="Y82" t="str">
        <f ca="1">IF(AND(ISNUMBER($Y$539),$B$419=1),$Y$539,HLOOKUP(INDIRECT(ADDRESS(2,COLUMN())),OFFSET($BN$2,0,0,ROW()-1,60),ROW()-1,FALSE))</f>
        <v/>
      </c>
      <c r="Z82" t="str">
        <f ca="1">IF(AND(ISNUMBER($Z$539),$B$419=1),$Z$539,HLOOKUP(INDIRECT(ADDRESS(2,COLUMN())),OFFSET($BN$2,0,0,ROW()-1,60),ROW()-1,FALSE))</f>
        <v/>
      </c>
      <c r="AA82" t="str">
        <f ca="1">IF(AND(ISNUMBER($AA$539),$B$419=1),$AA$539,HLOOKUP(INDIRECT(ADDRESS(2,COLUMN())),OFFSET($BN$2,0,0,ROW()-1,60),ROW()-1,FALSE))</f>
        <v/>
      </c>
      <c r="AB82" t="str">
        <f ca="1">IF(AND(ISNUMBER($AB$539),$B$419=1),$AB$539,HLOOKUP(INDIRECT(ADDRESS(2,COLUMN())),OFFSET($BN$2,0,0,ROW()-1,60),ROW()-1,FALSE))</f>
        <v/>
      </c>
      <c r="AC82" t="str">
        <f ca="1">IF(AND(ISNUMBER($AC$539),$B$419=1),$AC$539,HLOOKUP(INDIRECT(ADDRESS(2,COLUMN())),OFFSET($BN$2,0,0,ROW()-1,60),ROW()-1,FALSE))</f>
        <v/>
      </c>
      <c r="AD82" t="str">
        <f ca="1">IF(AND(ISNUMBER($AD$539),$B$419=1),$AD$539,HLOOKUP(INDIRECT(ADDRESS(2,COLUMN())),OFFSET($BN$2,0,0,ROW()-1,60),ROW()-1,FALSE))</f>
        <v/>
      </c>
      <c r="AE82" t="str">
        <f ca="1">IF(AND(ISNUMBER($AE$539),$B$419=1),$AE$539,HLOOKUP(INDIRECT(ADDRESS(2,COLUMN())),OFFSET($BN$2,0,0,ROW()-1,60),ROW()-1,FALSE))</f>
        <v/>
      </c>
      <c r="AF82" t="str">
        <f ca="1">IF(AND(ISNUMBER($AF$539),$B$419=1),$AF$539,HLOOKUP(INDIRECT(ADDRESS(2,COLUMN())),OFFSET($BN$2,0,0,ROW()-1,60),ROW()-1,FALSE))</f>
        <v/>
      </c>
      <c r="AG82" t="str">
        <f ca="1">IF(AND(ISNUMBER($AG$539),$B$419=1),$AG$539,HLOOKUP(INDIRECT(ADDRESS(2,COLUMN())),OFFSET($BN$2,0,0,ROW()-1,60),ROW()-1,FALSE))</f>
        <v/>
      </c>
      <c r="AH82" t="str">
        <f ca="1">IF(AND(ISNUMBER($AH$539),$B$419=1),$AH$539,HLOOKUP(INDIRECT(ADDRESS(2,COLUMN())),OFFSET($BN$2,0,0,ROW()-1,60),ROW()-1,FALSE))</f>
        <v/>
      </c>
      <c r="AI82" t="str">
        <f ca="1">IF(AND(ISNUMBER($AI$539),$B$419=1),$AI$539,HLOOKUP(INDIRECT(ADDRESS(2,COLUMN())),OFFSET($BN$2,0,0,ROW()-1,60),ROW()-1,FALSE))</f>
        <v/>
      </c>
      <c r="AJ82" t="str">
        <f ca="1">IF(AND(ISNUMBER($AJ$539),$B$419=1),$AJ$539,HLOOKUP(INDIRECT(ADDRESS(2,COLUMN())),OFFSET($BN$2,0,0,ROW()-1,60),ROW()-1,FALSE))</f>
        <v/>
      </c>
      <c r="AK82" t="str">
        <f ca="1">IF(AND(ISNUMBER($AK$539),$B$419=1),$AK$539,HLOOKUP(INDIRECT(ADDRESS(2,COLUMN())),OFFSET($BN$2,0,0,ROW()-1,60),ROW()-1,FALSE))</f>
        <v/>
      </c>
      <c r="AL82" t="str">
        <f ca="1">IF(AND(ISNUMBER($AL$539),$B$419=1),$AL$539,HLOOKUP(INDIRECT(ADDRESS(2,COLUMN())),OFFSET($BN$2,0,0,ROW()-1,60),ROW()-1,FALSE))</f>
        <v/>
      </c>
      <c r="AM82" t="str">
        <f ca="1">IF(AND(ISNUMBER($AM$539),$B$419=1),$AM$539,HLOOKUP(INDIRECT(ADDRESS(2,COLUMN())),OFFSET($BN$2,0,0,ROW()-1,60),ROW()-1,FALSE))</f>
        <v/>
      </c>
      <c r="AN82" t="str">
        <f ca="1">IF(AND(ISNUMBER($AN$539),$B$419=1),$AN$539,HLOOKUP(INDIRECT(ADDRESS(2,COLUMN())),OFFSET($BN$2,0,0,ROW()-1,60),ROW()-1,FALSE))</f>
        <v/>
      </c>
      <c r="AO82" t="str">
        <f ca="1">IF(AND(ISNUMBER($AO$539),$B$419=1),$AO$539,HLOOKUP(INDIRECT(ADDRESS(2,COLUMN())),OFFSET($BN$2,0,0,ROW()-1,60),ROW()-1,FALSE))</f>
        <v/>
      </c>
      <c r="AP82" t="str">
        <f ca="1">IF(AND(ISNUMBER($AP$539),$B$419=1),$AP$539,HLOOKUP(INDIRECT(ADDRESS(2,COLUMN())),OFFSET($BN$2,0,0,ROW()-1,60),ROW()-1,FALSE))</f>
        <v/>
      </c>
      <c r="AQ82" t="str">
        <f ca="1">IF(AND(ISNUMBER($AQ$539),$B$419=1),$AQ$539,HLOOKUP(INDIRECT(ADDRESS(2,COLUMN())),OFFSET($BN$2,0,0,ROW()-1,60),ROW()-1,FALSE))</f>
        <v/>
      </c>
      <c r="AR82" t="str">
        <f ca="1">IF(AND(ISNUMBER($AR$539),$B$419=1),$AR$539,HLOOKUP(INDIRECT(ADDRESS(2,COLUMN())),OFFSET($BN$2,0,0,ROW()-1,60),ROW()-1,FALSE))</f>
        <v/>
      </c>
      <c r="AS82" t="str">
        <f ca="1">IF(AND(ISNUMBER($AS$539),$B$419=1),$AS$539,HLOOKUP(INDIRECT(ADDRESS(2,COLUMN())),OFFSET($BN$2,0,0,ROW()-1,60),ROW()-1,FALSE))</f>
        <v/>
      </c>
      <c r="AT82" t="str">
        <f ca="1">IF(AND(ISNUMBER($AT$539),$B$419=1),$AT$539,HLOOKUP(INDIRECT(ADDRESS(2,COLUMN())),OFFSET($BN$2,0,0,ROW()-1,60),ROW()-1,FALSE))</f>
        <v/>
      </c>
      <c r="AU82" t="str">
        <f ca="1">IF(AND(ISNUMBER($AU$539),$B$419=1),$AU$539,HLOOKUP(INDIRECT(ADDRESS(2,COLUMN())),OFFSET($BN$2,0,0,ROW()-1,60),ROW()-1,FALSE))</f>
        <v/>
      </c>
      <c r="AV82" t="str">
        <f ca="1">IF(AND(ISNUMBER($AV$539),$B$419=1),$AV$539,HLOOKUP(INDIRECT(ADDRESS(2,COLUMN())),OFFSET($BN$2,0,0,ROW()-1,60),ROW()-1,FALSE))</f>
        <v/>
      </c>
      <c r="AW82" t="str">
        <f ca="1">IF(AND(ISNUMBER($AW$539),$B$419=1),$AW$539,HLOOKUP(INDIRECT(ADDRESS(2,COLUMN())),OFFSET($BN$2,0,0,ROW()-1,60),ROW()-1,FALSE))</f>
        <v/>
      </c>
      <c r="AX82" t="str">
        <f ca="1">IF(AND(ISNUMBER($AX$539),$B$419=1),$AX$539,HLOOKUP(INDIRECT(ADDRESS(2,COLUMN())),OFFSET($BN$2,0,0,ROW()-1,60),ROW()-1,FALSE))</f>
        <v/>
      </c>
      <c r="AY82" t="str">
        <f ca="1">IF(AND(ISNUMBER($AY$539),$B$419=1),$AY$539,HLOOKUP(INDIRECT(ADDRESS(2,COLUMN())),OFFSET($BN$2,0,0,ROW()-1,60),ROW()-1,FALSE))</f>
        <v/>
      </c>
      <c r="AZ82" t="str">
        <f ca="1">IF(AND(ISNUMBER($AZ$539),$B$419=1),$AZ$539,HLOOKUP(INDIRECT(ADDRESS(2,COLUMN())),OFFSET($BN$2,0,0,ROW()-1,60),ROW()-1,FALSE))</f>
        <v/>
      </c>
      <c r="BA82" t="str">
        <f ca="1">IF(AND(ISNUMBER($BA$539),$B$419=1),$BA$539,HLOOKUP(INDIRECT(ADDRESS(2,COLUMN())),OFFSET($BN$2,0,0,ROW()-1,60),ROW()-1,FALSE))</f>
        <v/>
      </c>
      <c r="BB82" t="str">
        <f ca="1">IF(AND(ISNUMBER($BB$539),$B$419=1),$BB$539,HLOOKUP(INDIRECT(ADDRESS(2,COLUMN())),OFFSET($BN$2,0,0,ROW()-1,60),ROW()-1,FALSE))</f>
        <v/>
      </c>
      <c r="BC82" t="str">
        <f ca="1">IF(AND(ISNUMBER($BC$539),$B$419=1),$BC$539,HLOOKUP(INDIRECT(ADDRESS(2,COLUMN())),OFFSET($BN$2,0,0,ROW()-1,60),ROW()-1,FALSE))</f>
        <v/>
      </c>
      <c r="BD82" t="str">
        <f ca="1">IF(AND(ISNUMBER($BD$539),$B$419=1),$BD$539,HLOOKUP(INDIRECT(ADDRESS(2,COLUMN())),OFFSET($BN$2,0,0,ROW()-1,60),ROW()-1,FALSE))</f>
        <v/>
      </c>
      <c r="BE82" t="str">
        <f ca="1">IF(AND(ISNUMBER($BE$539),$B$419=1),$BE$539,HLOOKUP(INDIRECT(ADDRESS(2,COLUMN())),OFFSET($BN$2,0,0,ROW()-1,60),ROW()-1,FALSE))</f>
        <v/>
      </c>
      <c r="BF82" t="str">
        <f ca="1">IF(AND(ISNUMBER($BF$539),$B$419=1),$BF$539,HLOOKUP(INDIRECT(ADDRESS(2,COLUMN())),OFFSET($BN$2,0,0,ROW()-1,60),ROW()-1,FALSE))</f>
        <v/>
      </c>
      <c r="BG82" t="str">
        <f ca="1">IF(AND(ISNUMBER($BG$539),$B$419=1),$BG$539,HLOOKUP(INDIRECT(ADDRESS(2,COLUMN())),OFFSET($BN$2,0,0,ROW()-1,60),ROW()-1,FALSE))</f>
        <v/>
      </c>
      <c r="BH82" t="str">
        <f ca="1">IF(AND(ISNUMBER($BH$539),$B$419=1),$BH$539,HLOOKUP(INDIRECT(ADDRESS(2,COLUMN())),OFFSET($BN$2,0,0,ROW()-1,60),ROW()-1,FALSE))</f>
        <v/>
      </c>
      <c r="BI82" t="str">
        <f ca="1">IF(AND(ISNUMBER($BI$539),$B$419=1),$BI$539,HLOOKUP(INDIRECT(ADDRESS(2,COLUMN())),OFFSET($BN$2,0,0,ROW()-1,60),ROW()-1,FALSE))</f>
        <v/>
      </c>
      <c r="BJ82" t="str">
        <f ca="1">IF(AND(ISNUMBER($BJ$539),$B$419=1),$BJ$539,HLOOKUP(INDIRECT(ADDRESS(2,COLUMN())),OFFSET($BN$2,0,0,ROW()-1,60),ROW()-1,FALSE))</f>
        <v/>
      </c>
      <c r="BK82" t="str">
        <f ca="1">IF(AND(ISNUMBER($BK$539),$B$419=1),$BK$539,HLOOKUP(INDIRECT(ADDRESS(2,COLUMN())),OFFSET($BN$2,0,0,ROW()-1,60),ROW()-1,FALSE))</f>
        <v/>
      </c>
      <c r="BL82" t="str">
        <f ca="1">IF(AND(ISNUMBER($BL$539),$B$419=1),$BL$539,HLOOKUP(INDIRECT(ADDRESS(2,COLUMN())),OFFSET($BN$2,0,0,ROW()-1,60),ROW()-1,FALSE))</f>
        <v/>
      </c>
      <c r="BM82" t="str">
        <f ca="1">IF(AND(ISNUMBER($BM$539),$B$419=1),$BM$539,HLOOKUP(INDIRECT(ADDRESS(2,COLUMN())),OFFSET($BN$2,0,0,ROW()-1,60),ROW()-1,FALSE))</f>
        <v/>
      </c>
      <c r="BN82" t="str">
        <f>""</f>
        <v/>
      </c>
      <c r="BO82">
        <f>127.516</f>
        <v>127.51600000000001</v>
      </c>
      <c r="BP82">
        <f>119.472</f>
        <v>119.47199999999999</v>
      </c>
      <c r="BQ82">
        <f>127.483</f>
        <v>127.483</v>
      </c>
      <c r="BR82">
        <f>135.96</f>
        <v>135.96</v>
      </c>
      <c r="BS82">
        <f>146.41</f>
        <v>146.41</v>
      </c>
      <c r="BT82">
        <f>138.551</f>
        <v>138.55099999999999</v>
      </c>
      <c r="BU82">
        <f>136.176</f>
        <v>136.17599999999999</v>
      </c>
      <c r="BV82">
        <f>138.317</f>
        <v>138.31700000000001</v>
      </c>
      <c r="BW82">
        <f>150.136</f>
        <v>150.136</v>
      </c>
      <c r="BX82">
        <f>140.677</f>
        <v>140.67699999999999</v>
      </c>
      <c r="BY82">
        <f>153.934</f>
        <v>153.934</v>
      </c>
      <c r="BZ82">
        <f>151.036</f>
        <v>151.036</v>
      </c>
      <c r="CA82">
        <f>120.875</f>
        <v>120.875</v>
      </c>
      <c r="CB82">
        <f>109.755</f>
        <v>109.755</v>
      </c>
      <c r="CC82">
        <f>105.057</f>
        <v>105.057</v>
      </c>
      <c r="CD82">
        <f>102.78</f>
        <v>102.78</v>
      </c>
      <c r="CE82" t="str">
        <f>""</f>
        <v/>
      </c>
      <c r="CF82" t="str">
        <f>""</f>
        <v/>
      </c>
      <c r="CG82" t="str">
        <f>""</f>
        <v/>
      </c>
      <c r="CH82" t="str">
        <f>""</f>
        <v/>
      </c>
      <c r="CI82" t="str">
        <f>""</f>
        <v/>
      </c>
      <c r="CJ82" t="str">
        <f>""</f>
        <v/>
      </c>
      <c r="CK82" t="str">
        <f>""</f>
        <v/>
      </c>
      <c r="CL82" t="str">
        <f>""</f>
        <v/>
      </c>
      <c r="CM82" t="str">
        <f>""</f>
        <v/>
      </c>
      <c r="CN82" t="str">
        <f>""</f>
        <v/>
      </c>
      <c r="CO82" t="str">
        <f>""</f>
        <v/>
      </c>
      <c r="CP82" t="str">
        <f>""</f>
        <v/>
      </c>
      <c r="CQ82" t="str">
        <f>""</f>
        <v/>
      </c>
      <c r="CR82" t="str">
        <f>""</f>
        <v/>
      </c>
      <c r="CS82" t="str">
        <f>""</f>
        <v/>
      </c>
      <c r="CT82" t="str">
        <f>""</f>
        <v/>
      </c>
      <c r="CU82" t="str">
        <f>""</f>
        <v/>
      </c>
      <c r="CV82" t="str">
        <f>""</f>
        <v/>
      </c>
      <c r="CW82" t="str">
        <f>""</f>
        <v/>
      </c>
      <c r="CX82" t="str">
        <f>""</f>
        <v/>
      </c>
      <c r="CY82" t="str">
        <f>""</f>
        <v/>
      </c>
      <c r="CZ82" t="str">
        <f>""</f>
        <v/>
      </c>
      <c r="DA82" t="str">
        <f>""</f>
        <v/>
      </c>
      <c r="DB82" t="str">
        <f>""</f>
        <v/>
      </c>
      <c r="DC82" t="str">
        <f>""</f>
        <v/>
      </c>
      <c r="DD82" t="str">
        <f>""</f>
        <v/>
      </c>
      <c r="DE82" t="str">
        <f>""</f>
        <v/>
      </c>
      <c r="DF82" t="str">
        <f>""</f>
        <v/>
      </c>
      <c r="DG82" t="str">
        <f>""</f>
        <v/>
      </c>
      <c r="DH82" t="str">
        <f>""</f>
        <v/>
      </c>
      <c r="DI82" t="str">
        <f>""</f>
        <v/>
      </c>
      <c r="DJ82" t="str">
        <f>""</f>
        <v/>
      </c>
      <c r="DK82" t="str">
        <f>""</f>
        <v/>
      </c>
      <c r="DL82" t="str">
        <f>""</f>
        <v/>
      </c>
      <c r="DM82" t="str">
        <f>""</f>
        <v/>
      </c>
      <c r="DN82" t="str">
        <f>""</f>
        <v/>
      </c>
      <c r="DO82" t="str">
        <f>""</f>
        <v/>
      </c>
      <c r="DP82" t="str">
        <f>""</f>
        <v/>
      </c>
      <c r="DQ82" t="str">
        <f>""</f>
        <v/>
      </c>
      <c r="DR82" t="str">
        <f>""</f>
        <v/>
      </c>
      <c r="DS82" t="str">
        <f>""</f>
        <v/>
      </c>
      <c r="DT82" t="str">
        <f>""</f>
        <v/>
      </c>
      <c r="DU82" t="str">
        <f>""</f>
        <v/>
      </c>
    </row>
    <row r="83" spans="1:125">
      <c r="A83" t="str">
        <f>"    Weingarten Realty Investors"</f>
        <v xml:space="preserve">    Weingarten Realty Investors</v>
      </c>
      <c r="B83" t="str">
        <f>"WRI US Equity"</f>
        <v>WRI US Equity</v>
      </c>
      <c r="C83" t="str">
        <f t="shared" si="12"/>
        <v>RR502</v>
      </c>
      <c r="D83" t="str">
        <f t="shared" si="13"/>
        <v>NET_OPER_INCOME</v>
      </c>
      <c r="E83" t="str">
        <f t="shared" si="14"/>
        <v>动态</v>
      </c>
      <c r="F83" t="str">
        <f ca="1">IF(AND(ISNUMBER($F$540),$B$419=1),$F$540,HLOOKUP(INDIRECT(ADDRESS(2,COLUMN())),OFFSET($BN$2,0,0,ROW()-1,60),ROW()-1,FALSE))</f>
        <v/>
      </c>
      <c r="G83">
        <f ca="1">IF(AND(ISNUMBER($G$540),$B$419=1),$G$540,HLOOKUP(INDIRECT(ADDRESS(2,COLUMN())),OFFSET($BN$2,0,0,ROW()-1,60),ROW()-1,FALSE))</f>
        <v>92.578999999999994</v>
      </c>
      <c r="H83">
        <f ca="1">IF(AND(ISNUMBER($H$540),$B$419=1),$H$540,HLOOKUP(INDIRECT(ADDRESS(2,COLUMN())),OFFSET($BN$2,0,0,ROW()-1,60),ROW()-1,FALSE))</f>
        <v>94.617000000000004</v>
      </c>
      <c r="I83">
        <f ca="1">IF(AND(ISNUMBER($I$540),$B$419=1),$I$540,HLOOKUP(INDIRECT(ADDRESS(2,COLUMN())),OFFSET($BN$2,0,0,ROW()-1,60),ROW()-1,FALSE))</f>
        <v>95.11</v>
      </c>
      <c r="J83">
        <f ca="1">IF(AND(ISNUMBER($J$540),$B$419=1),$J$540,HLOOKUP(INDIRECT(ADDRESS(2,COLUMN())),OFFSET($BN$2,0,0,ROW()-1,60),ROW()-1,FALSE))</f>
        <v>93.391000000000005</v>
      </c>
      <c r="K83">
        <f ca="1">IF(AND(ISNUMBER($K$540),$B$419=1),$K$540,HLOOKUP(INDIRECT(ADDRESS(2,COLUMN())),OFFSET($BN$2,0,0,ROW()-1,60),ROW()-1,FALSE))</f>
        <v>97.397999999999996</v>
      </c>
      <c r="L83">
        <f ca="1">IF(AND(ISNUMBER($L$540),$B$419=1),$L$540,HLOOKUP(INDIRECT(ADDRESS(2,COLUMN())),OFFSET($BN$2,0,0,ROW()-1,60),ROW()-1,FALSE))</f>
        <v>94.608000000000004</v>
      </c>
      <c r="M83">
        <f ca="1">IF(AND(ISNUMBER($M$540),$B$419=1),$M$540,HLOOKUP(INDIRECT(ADDRESS(2,COLUMN())),OFFSET($BN$2,0,0,ROW()-1,60),ROW()-1,FALSE))</f>
        <v>90.93</v>
      </c>
      <c r="N83">
        <f ca="1">IF(AND(ISNUMBER($N$540),$B$419=1),$N$540,HLOOKUP(INDIRECT(ADDRESS(2,COLUMN())),OFFSET($BN$2,0,0,ROW()-1,60),ROW()-1,FALSE))</f>
        <v>89.116</v>
      </c>
      <c r="O83">
        <f ca="1">IF(AND(ISNUMBER($O$540),$B$419=1),$O$540,HLOOKUP(INDIRECT(ADDRESS(2,COLUMN())),OFFSET($BN$2,0,0,ROW()-1,60),ROW()-1,FALSE))</f>
        <v>87.68</v>
      </c>
      <c r="P83">
        <f ca="1">IF(AND(ISNUMBER($P$540),$B$419=1),$P$540,HLOOKUP(INDIRECT(ADDRESS(2,COLUMN())),OFFSET($BN$2,0,0,ROW()-1,60),ROW()-1,FALSE))</f>
        <v>88.192999999999998</v>
      </c>
      <c r="Q83">
        <f ca="1">IF(AND(ISNUMBER($Q$540),$B$419=1),$Q$540,HLOOKUP(INDIRECT(ADDRESS(2,COLUMN())),OFFSET($BN$2,0,0,ROW()-1,60),ROW()-1,FALSE))</f>
        <v>86.611999999999995</v>
      </c>
      <c r="R83">
        <f ca="1">IF(AND(ISNUMBER($R$540),$B$419=1),$R$540,HLOOKUP(INDIRECT(ADDRESS(2,COLUMN())),OFFSET($BN$2,0,0,ROW()-1,60),ROW()-1,FALSE))</f>
        <v>85.445999999999998</v>
      </c>
      <c r="S83">
        <f ca="1">IF(AND(ISNUMBER($S$540),$B$419=1),$S$540,HLOOKUP(INDIRECT(ADDRESS(2,COLUMN())),OFFSET($BN$2,0,0,ROW()-1,60),ROW()-1,FALSE))</f>
        <v>85.052000000000007</v>
      </c>
      <c r="T83">
        <f ca="1">IF(AND(ISNUMBER($T$540),$B$419=1),$T$540,HLOOKUP(INDIRECT(ADDRESS(2,COLUMN())),OFFSET($BN$2,0,0,ROW()-1,60),ROW()-1,FALSE))</f>
        <v>89.108000000000004</v>
      </c>
      <c r="U83">
        <f ca="1">IF(AND(ISNUMBER($U$540),$B$419=1),$U$540,HLOOKUP(INDIRECT(ADDRESS(2,COLUMN())),OFFSET($BN$2,0,0,ROW()-1,60),ROW()-1,FALSE))</f>
        <v>87.513000000000005</v>
      </c>
      <c r="V83">
        <f ca="1">IF(AND(ISNUMBER($V$540),$B$419=1),$V$540,HLOOKUP(INDIRECT(ADDRESS(2,COLUMN())),OFFSET($BN$2,0,0,ROW()-1,60),ROW()-1,FALSE))</f>
        <v>85.369</v>
      </c>
      <c r="W83">
        <f ca="1">IF(AND(ISNUMBER($W$540),$B$419=1),$W$540,HLOOKUP(INDIRECT(ADDRESS(2,COLUMN())),OFFSET($BN$2,0,0,ROW()-1,60),ROW()-1,FALSE))</f>
        <v>82.504000000000005</v>
      </c>
      <c r="X83">
        <f ca="1">IF(AND(ISNUMBER($X$540),$B$419=1),$X$540,HLOOKUP(INDIRECT(ADDRESS(2,COLUMN())),OFFSET($BN$2,0,0,ROW()-1,60),ROW()-1,FALSE))</f>
        <v>81.213999999999999</v>
      </c>
      <c r="Y83">
        <f ca="1">IF(AND(ISNUMBER($Y$540),$B$419=1),$Y$540,HLOOKUP(INDIRECT(ADDRESS(2,COLUMN())),OFFSET($BN$2,0,0,ROW()-1,60),ROW()-1,FALSE))</f>
        <v>80.418000000000006</v>
      </c>
      <c r="Z83">
        <f ca="1">IF(AND(ISNUMBER($Z$540),$B$419=1),$Z$540,HLOOKUP(INDIRECT(ADDRESS(2,COLUMN())),OFFSET($BN$2,0,0,ROW()-1,60),ROW()-1,FALSE))</f>
        <v>78.59</v>
      </c>
      <c r="AA83">
        <f ca="1">IF(AND(ISNUMBER($AA$540),$B$419=1),$AA$540,HLOOKUP(INDIRECT(ADDRESS(2,COLUMN())),OFFSET($BN$2,0,0,ROW()-1,60),ROW()-1,FALSE))</f>
        <v>80.355000000000004</v>
      </c>
      <c r="AB83">
        <f ca="1">IF(AND(ISNUMBER($AB$540),$B$419=1),$AB$540,HLOOKUP(INDIRECT(ADDRESS(2,COLUMN())),OFFSET($BN$2,0,0,ROW()-1,60),ROW()-1,FALSE))</f>
        <v>79.521000000000001</v>
      </c>
      <c r="AC83">
        <f ca="1">IF(AND(ISNUMBER($AC$540),$B$419=1),$AC$540,HLOOKUP(INDIRECT(ADDRESS(2,COLUMN())),OFFSET($BN$2,0,0,ROW()-1,60),ROW()-1,FALSE))</f>
        <v>79.131</v>
      </c>
      <c r="AD83">
        <f ca="1">IF(AND(ISNUMBER($AD$540),$B$419=1),$AD$540,HLOOKUP(INDIRECT(ADDRESS(2,COLUMN())),OFFSET($BN$2,0,0,ROW()-1,60),ROW()-1,FALSE))</f>
        <v>79.873999999999995</v>
      </c>
      <c r="AE83">
        <f ca="1">IF(AND(ISNUMBER($AE$540),$B$419=1),$AE$540,HLOOKUP(INDIRECT(ADDRESS(2,COLUMN())),OFFSET($BN$2,0,0,ROW()-1,60),ROW()-1,FALSE))</f>
        <v>79.962999999999994</v>
      </c>
      <c r="AF83">
        <f ca="1">IF(AND(ISNUMBER($AF$540),$B$419=1),$AF$540,HLOOKUP(INDIRECT(ADDRESS(2,COLUMN())),OFFSET($BN$2,0,0,ROW()-1,60),ROW()-1,FALSE))</f>
        <v>82.593999999999994</v>
      </c>
      <c r="AG83">
        <f ca="1">IF(AND(ISNUMBER($AG$540),$B$419=1),$AG$540,HLOOKUP(INDIRECT(ADDRESS(2,COLUMN())),OFFSET($BN$2,0,0,ROW()-1,60),ROW()-1,FALSE))</f>
        <v>80.460999999999999</v>
      </c>
      <c r="AH83">
        <f ca="1">IF(AND(ISNUMBER($AH$540),$B$419=1),$AH$540,HLOOKUP(INDIRECT(ADDRESS(2,COLUMN())),OFFSET($BN$2,0,0,ROW()-1,60),ROW()-1,FALSE))</f>
        <v>79.75</v>
      </c>
      <c r="AI83">
        <f ca="1">IF(AND(ISNUMBER($AI$540),$B$419=1),$AI$540,HLOOKUP(INDIRECT(ADDRESS(2,COLUMN())),OFFSET($BN$2,0,0,ROW()-1,60),ROW()-1,FALSE))</f>
        <v>89.061999999999998</v>
      </c>
      <c r="AJ83">
        <f ca="1">IF(AND(ISNUMBER($AJ$540),$B$419=1),$AJ$540,HLOOKUP(INDIRECT(ADDRESS(2,COLUMN())),OFFSET($BN$2,0,0,ROW()-1,60),ROW()-1,FALSE))</f>
        <v>90.346000000000004</v>
      </c>
      <c r="AK83">
        <f ca="1">IF(AND(ISNUMBER($AK$540),$B$419=1),$AK$540,HLOOKUP(INDIRECT(ADDRESS(2,COLUMN())),OFFSET($BN$2,0,0,ROW()-1,60),ROW()-1,FALSE))</f>
        <v>92.521000000000001</v>
      </c>
      <c r="AL83">
        <f ca="1">IF(AND(ISNUMBER($AL$540),$B$419=1),$AL$540,HLOOKUP(INDIRECT(ADDRESS(2,COLUMN())),OFFSET($BN$2,0,0,ROW()-1,60),ROW()-1,FALSE))</f>
        <v>91.191999999999993</v>
      </c>
      <c r="AM83">
        <f ca="1">IF(AND(ISNUMBER($AM$540),$B$419=1),$AM$540,HLOOKUP(INDIRECT(ADDRESS(2,COLUMN())),OFFSET($BN$2,0,0,ROW()-1,60),ROW()-1,FALSE))</f>
        <v>92.632000000000005</v>
      </c>
      <c r="AN83">
        <f ca="1">IF(AND(ISNUMBER($AN$540),$B$419=1),$AN$540,HLOOKUP(INDIRECT(ADDRESS(2,COLUMN())),OFFSET($BN$2,0,0,ROW()-1,60),ROW()-1,FALSE))</f>
        <v>94.569000000000003</v>
      </c>
      <c r="AO83">
        <f ca="1">IF(AND(ISNUMBER($AO$540),$B$419=1),$AO$540,HLOOKUP(INDIRECT(ADDRESS(2,COLUMN())),OFFSET($BN$2,0,0,ROW()-1,60),ROW()-1,FALSE))</f>
        <v>93.891999999999996</v>
      </c>
      <c r="AP83">
        <f ca="1">IF(AND(ISNUMBER($AP$540),$B$419=1),$AP$540,HLOOKUP(INDIRECT(ADDRESS(2,COLUMN())),OFFSET($BN$2,0,0,ROW()-1,60),ROW()-1,FALSE))</f>
        <v>99.325999999999993</v>
      </c>
      <c r="AQ83">
        <f ca="1">IF(AND(ISNUMBER($AQ$540),$B$419=1),$AQ$540,HLOOKUP(INDIRECT(ADDRESS(2,COLUMN())),OFFSET($BN$2,0,0,ROW()-1,60),ROW()-1,FALSE))</f>
        <v>88.364000000000004</v>
      </c>
      <c r="AR83">
        <f ca="1">IF(AND(ISNUMBER($AR$540),$B$419=1),$AR$540,HLOOKUP(INDIRECT(ADDRESS(2,COLUMN())),OFFSET($BN$2,0,0,ROW()-1,60),ROW()-1,FALSE))</f>
        <v>103.71299999999999</v>
      </c>
      <c r="AS83">
        <f ca="1">IF(AND(ISNUMBER($AS$540),$B$419=1),$AS$540,HLOOKUP(INDIRECT(ADDRESS(2,COLUMN())),OFFSET($BN$2,0,0,ROW()-1,60),ROW()-1,FALSE))</f>
        <v>105.31</v>
      </c>
      <c r="AT83">
        <f ca="1">IF(AND(ISNUMBER($AT$540),$B$419=1),$AT$540,HLOOKUP(INDIRECT(ADDRESS(2,COLUMN())),OFFSET($BN$2,0,0,ROW()-1,60),ROW()-1,FALSE))</f>
        <v>104.824</v>
      </c>
      <c r="AU83">
        <f ca="1">IF(AND(ISNUMBER($AU$540),$B$419=1),$AU$540,HLOOKUP(INDIRECT(ADDRESS(2,COLUMN())),OFFSET($BN$2,0,0,ROW()-1,60),ROW()-1,FALSE))</f>
        <v>102.44</v>
      </c>
      <c r="AV83">
        <f ca="1">IF(AND(ISNUMBER($AV$540),$B$419=1),$AV$540,HLOOKUP(INDIRECT(ADDRESS(2,COLUMN())),OFFSET($BN$2,0,0,ROW()-1,60),ROW()-1,FALSE))</f>
        <v>101.331</v>
      </c>
      <c r="AW83">
        <f ca="1">IF(AND(ISNUMBER($AW$540),$B$419=1),$AW$540,HLOOKUP(INDIRECT(ADDRESS(2,COLUMN())),OFFSET($BN$2,0,0,ROW()-1,60),ROW()-1,FALSE))</f>
        <v>98.269000000000005</v>
      </c>
      <c r="AX83">
        <f ca="1">IF(AND(ISNUMBER($AX$540),$B$419=1),$AX$540,HLOOKUP(INDIRECT(ADDRESS(2,COLUMN())),OFFSET($BN$2,0,0,ROW()-1,60),ROW()-1,FALSE))</f>
        <v>101.44199999999999</v>
      </c>
      <c r="AY83">
        <f ca="1">IF(AND(ISNUMBER($AY$540),$B$419=1),$AY$540,HLOOKUP(INDIRECT(ADDRESS(2,COLUMN())),OFFSET($BN$2,0,0,ROW()-1,60),ROW()-1,FALSE))</f>
        <v>98.290999999999997</v>
      </c>
      <c r="AZ83">
        <f ca="1">IF(AND(ISNUMBER($AZ$540),$B$419=1),$AZ$540,HLOOKUP(INDIRECT(ADDRESS(2,COLUMN())),OFFSET($BN$2,0,0,ROW()-1,60),ROW()-1,FALSE))</f>
        <v>95.891999999999996</v>
      </c>
      <c r="BA83">
        <f ca="1">IF(AND(ISNUMBER($BA$540),$B$419=1),$BA$540,HLOOKUP(INDIRECT(ADDRESS(2,COLUMN())),OFFSET($BN$2,0,0,ROW()-1,60),ROW()-1,FALSE))</f>
        <v>94.531999999999996</v>
      </c>
      <c r="BB83">
        <f ca="1">IF(AND(ISNUMBER($BB$540),$B$419=1),$BB$540,HLOOKUP(INDIRECT(ADDRESS(2,COLUMN())),OFFSET($BN$2,0,0,ROW()-1,60),ROW()-1,FALSE))</f>
        <v>95.225999999999999</v>
      </c>
      <c r="BC83">
        <f ca="1">IF(AND(ISNUMBER($BC$540),$B$419=1),$BC$540,HLOOKUP(INDIRECT(ADDRESS(2,COLUMN())),OFFSET($BN$2,0,0,ROW()-1,60),ROW()-1,FALSE))</f>
        <v>86.149000000000001</v>
      </c>
      <c r="BD83">
        <f ca="1">IF(AND(ISNUMBER($BD$540),$B$419=1),$BD$540,HLOOKUP(INDIRECT(ADDRESS(2,COLUMN())),OFFSET($BN$2,0,0,ROW()-1,60),ROW()-1,FALSE))</f>
        <v>93.738</v>
      </c>
      <c r="BE83">
        <f ca="1">IF(AND(ISNUMBER($BE$540),$B$419=1),$BE$540,HLOOKUP(INDIRECT(ADDRESS(2,COLUMN())),OFFSET($BN$2,0,0,ROW()-1,60),ROW()-1,FALSE))</f>
        <v>94.325000000000003</v>
      </c>
      <c r="BF83">
        <f ca="1">IF(AND(ISNUMBER($BF$540),$B$419=1),$BF$540,HLOOKUP(INDIRECT(ADDRESS(2,COLUMN())),OFFSET($BN$2,0,0,ROW()-1,60),ROW()-1,FALSE))</f>
        <v>94.269000000000005</v>
      </c>
      <c r="BG83">
        <f ca="1">IF(AND(ISNUMBER($BG$540),$B$419=1),$BG$540,HLOOKUP(INDIRECT(ADDRESS(2,COLUMN())),OFFSET($BN$2,0,0,ROW()-1,60),ROW()-1,FALSE))</f>
        <v>90.844999999999999</v>
      </c>
      <c r="BH83">
        <f ca="1">IF(AND(ISNUMBER($BH$540),$B$419=1),$BH$540,HLOOKUP(INDIRECT(ADDRESS(2,COLUMN())),OFFSET($BN$2,0,0,ROW()-1,60),ROW()-1,FALSE))</f>
        <v>91.141000000000005</v>
      </c>
      <c r="BI83">
        <f ca="1">IF(AND(ISNUMBER($BI$540),$B$419=1),$BI$540,HLOOKUP(INDIRECT(ADDRESS(2,COLUMN())),OFFSET($BN$2,0,0,ROW()-1,60),ROW()-1,FALSE))</f>
        <v>86.864002229999997</v>
      </c>
      <c r="BJ83">
        <f ca="1">IF(AND(ISNUMBER($BJ$540),$B$419=1),$BJ$540,HLOOKUP(INDIRECT(ADDRESS(2,COLUMN())),OFFSET($BN$2,0,0,ROW()-1,60),ROW()-1,FALSE))</f>
        <v>83.010003999999995</v>
      </c>
      <c r="BK83">
        <f ca="1">IF(AND(ISNUMBER($BK$540),$B$419=1),$BK$540,HLOOKUP(INDIRECT(ADDRESS(2,COLUMN())),OFFSET($BN$2,0,0,ROW()-1,60),ROW()-1,FALSE))</f>
        <v>78.591999000000001</v>
      </c>
      <c r="BL83">
        <f ca="1">IF(AND(ISNUMBER($BL$540),$B$419=1),$BL$540,HLOOKUP(INDIRECT(ADDRESS(2,COLUMN())),OFFSET($BN$2,0,0,ROW()-1,60),ROW()-1,FALSE))</f>
        <v>73.752998000000005</v>
      </c>
      <c r="BM83">
        <f ca="1">IF(AND(ISNUMBER($BM$540),$B$419=1),$BM$540,HLOOKUP(INDIRECT(ADDRESS(2,COLUMN())),OFFSET($BN$2,0,0,ROW()-1,60),ROW()-1,FALSE))</f>
        <v>72.440995999999998</v>
      </c>
      <c r="BN83" t="str">
        <f>""</f>
        <v/>
      </c>
      <c r="BO83">
        <f>92.579</f>
        <v>92.578999999999994</v>
      </c>
      <c r="BP83">
        <f>94.617</f>
        <v>94.617000000000004</v>
      </c>
      <c r="BQ83">
        <f>95.11</f>
        <v>95.11</v>
      </c>
      <c r="BR83">
        <f>93.391</f>
        <v>93.391000000000005</v>
      </c>
      <c r="BS83">
        <f>97.398</f>
        <v>97.397999999999996</v>
      </c>
      <c r="BT83">
        <f>94.608</f>
        <v>94.608000000000004</v>
      </c>
      <c r="BU83">
        <f>90.93</f>
        <v>90.93</v>
      </c>
      <c r="BV83">
        <f>89.116</f>
        <v>89.116</v>
      </c>
      <c r="BW83">
        <f>87.68</f>
        <v>87.68</v>
      </c>
      <c r="BX83">
        <f>88.193</f>
        <v>88.192999999999998</v>
      </c>
      <c r="BY83">
        <f>86.612</f>
        <v>86.611999999999995</v>
      </c>
      <c r="BZ83">
        <f>85.446</f>
        <v>85.445999999999998</v>
      </c>
      <c r="CA83">
        <f>85.052</f>
        <v>85.052000000000007</v>
      </c>
      <c r="CB83">
        <f>89.108</f>
        <v>89.108000000000004</v>
      </c>
      <c r="CC83">
        <f>87.513</f>
        <v>87.513000000000005</v>
      </c>
      <c r="CD83">
        <f>85.369</f>
        <v>85.369</v>
      </c>
      <c r="CE83">
        <f>82.504</f>
        <v>82.504000000000005</v>
      </c>
      <c r="CF83">
        <f>81.214</f>
        <v>81.213999999999999</v>
      </c>
      <c r="CG83">
        <f>80.418</f>
        <v>80.418000000000006</v>
      </c>
      <c r="CH83">
        <f>78.59</f>
        <v>78.59</v>
      </c>
      <c r="CI83">
        <f>80.355</f>
        <v>80.355000000000004</v>
      </c>
      <c r="CJ83">
        <f>79.521</f>
        <v>79.521000000000001</v>
      </c>
      <c r="CK83">
        <f>79.131</f>
        <v>79.131</v>
      </c>
      <c r="CL83">
        <f>79.874</f>
        <v>79.873999999999995</v>
      </c>
      <c r="CM83">
        <f>79.963</f>
        <v>79.962999999999994</v>
      </c>
      <c r="CN83">
        <f>82.594</f>
        <v>82.593999999999994</v>
      </c>
      <c r="CO83">
        <f>80.461</f>
        <v>80.460999999999999</v>
      </c>
      <c r="CP83">
        <f>79.75</f>
        <v>79.75</v>
      </c>
      <c r="CQ83">
        <f>89.062</f>
        <v>89.061999999999998</v>
      </c>
      <c r="CR83">
        <f>90.346</f>
        <v>90.346000000000004</v>
      </c>
      <c r="CS83">
        <f>92.521</f>
        <v>92.521000000000001</v>
      </c>
      <c r="CT83">
        <f>91.192</f>
        <v>91.191999999999993</v>
      </c>
      <c r="CU83">
        <f>92.632</f>
        <v>92.632000000000005</v>
      </c>
      <c r="CV83">
        <f>94.569</f>
        <v>94.569000000000003</v>
      </c>
      <c r="CW83">
        <f>93.892</f>
        <v>93.891999999999996</v>
      </c>
      <c r="CX83">
        <f>99.326</f>
        <v>99.325999999999993</v>
      </c>
      <c r="CY83">
        <f>88.364</f>
        <v>88.364000000000004</v>
      </c>
      <c r="CZ83">
        <f>103.713</f>
        <v>103.71299999999999</v>
      </c>
      <c r="DA83">
        <f>105.31</f>
        <v>105.31</v>
      </c>
      <c r="DB83">
        <f>104.824</f>
        <v>104.824</v>
      </c>
      <c r="DC83">
        <f>102.44</f>
        <v>102.44</v>
      </c>
      <c r="DD83">
        <f>101.331</f>
        <v>101.331</v>
      </c>
      <c r="DE83">
        <f>98.269</f>
        <v>98.269000000000005</v>
      </c>
      <c r="DF83">
        <f>101.442</f>
        <v>101.44199999999999</v>
      </c>
      <c r="DG83">
        <f>98.291</f>
        <v>98.290999999999997</v>
      </c>
      <c r="DH83">
        <f>95.892</f>
        <v>95.891999999999996</v>
      </c>
      <c r="DI83">
        <f>94.532</f>
        <v>94.531999999999996</v>
      </c>
      <c r="DJ83">
        <f>95.226</f>
        <v>95.225999999999999</v>
      </c>
      <c r="DK83">
        <f>86.149</f>
        <v>86.149000000000001</v>
      </c>
      <c r="DL83">
        <f>93.738</f>
        <v>93.738</v>
      </c>
      <c r="DM83">
        <f>94.325</f>
        <v>94.325000000000003</v>
      </c>
      <c r="DN83">
        <f>94.269</f>
        <v>94.269000000000005</v>
      </c>
      <c r="DO83">
        <f>90.845</f>
        <v>90.844999999999999</v>
      </c>
      <c r="DP83">
        <f>91.141</f>
        <v>91.141000000000005</v>
      </c>
      <c r="DQ83">
        <f>86.86400223</f>
        <v>86.864002229999997</v>
      </c>
      <c r="DR83">
        <f>83.010004</f>
        <v>83.010003999999995</v>
      </c>
      <c r="DS83">
        <f>78.591999</f>
        <v>78.591999000000001</v>
      </c>
      <c r="DT83">
        <f>73.752998</f>
        <v>73.752998000000005</v>
      </c>
      <c r="DU83">
        <f>72.440996</f>
        <v>72.440995999999998</v>
      </c>
    </row>
    <row r="84" spans="1:125">
      <c r="A84" t="str">
        <f>"EBITDA"</f>
        <v>EBITDA</v>
      </c>
      <c r="B84" t="str">
        <f>""</f>
        <v/>
      </c>
      <c r="E84" t="str">
        <f>"Median"</f>
        <v>Median</v>
      </c>
      <c r="F84" t="str">
        <f ca="1">IF(ISERROR(IF(MEDIAN($F$85:$F$99) = 0, "", MEDIAN($F$85:$F$99))), "", (IF(MEDIAN($F$85:$F$99) = 0, "", MEDIAN($F$85:$F$99))))</f>
        <v/>
      </c>
      <c r="G84">
        <f ca="1">IF(ISERROR(IF(MEDIAN($G$85:$G$99) = 0, "", MEDIAN($G$85:$G$99))), "", (IF(MEDIAN($G$85:$G$99) = 0, "", MEDIAN($G$85:$G$99))))</f>
        <v>139.55099999999999</v>
      </c>
      <c r="H84">
        <f ca="1">IF(ISERROR(IF(MEDIAN($H$85:$H$99) = 0, "", MEDIAN($H$85:$H$99))), "", (IF(MEDIAN($H$85:$H$99) = 0, "", MEDIAN($H$85:$H$99))))</f>
        <v>135.05799999999999</v>
      </c>
      <c r="I84">
        <f ca="1">IF(ISERROR(IF(MEDIAN($I$85:$I$99) = 0, "", MEDIAN($I$85:$I$99))), "", (IF(MEDIAN($I$85:$I$99) = 0, "", MEDIAN($I$85:$I$99))))</f>
        <v>123.917</v>
      </c>
      <c r="J84">
        <f ca="1">IF(ISERROR(IF(MEDIAN($J$85:$J$99) = 0, "", MEDIAN($J$85:$J$99))), "", (IF(MEDIAN($J$85:$J$99) = 0, "", MEDIAN($J$85:$J$99))))</f>
        <v>125.64400000000001</v>
      </c>
      <c r="K84">
        <f ca="1">IF(ISERROR(IF(MEDIAN($K$85:$K$99) = 0, "", MEDIAN($K$85:$K$99))), "", (IF(MEDIAN($K$85:$K$99) = 0, "", MEDIAN($K$85:$K$99))))</f>
        <v>134.06299999999999</v>
      </c>
      <c r="L84">
        <f ca="1">IF(ISERROR(IF(MEDIAN($L$85:$L$99) = 0, "", MEDIAN($L$85:$L$99))), "", (IF(MEDIAN($L$85:$L$99) = 0, "", MEDIAN($L$85:$L$99))))</f>
        <v>108.605</v>
      </c>
      <c r="M84">
        <f ca="1">IF(ISERROR(IF(MEDIAN($M$85:$M$99) = 0, "", MEDIAN($M$85:$M$99))), "", (IF(MEDIAN($M$85:$M$99) = 0, "", MEDIAN($M$85:$M$99))))</f>
        <v>124.595</v>
      </c>
      <c r="N84">
        <f ca="1">IF(ISERROR(IF(MEDIAN($N$85:$N$99) = 0, "", MEDIAN($N$85:$N$99))), "", (IF(MEDIAN($N$85:$N$99) = 0, "", MEDIAN($N$85:$N$99))))</f>
        <v>125.755</v>
      </c>
      <c r="O84">
        <f ca="1">IF(ISERROR(IF(MEDIAN($O$85:$O$99) = 0, "", MEDIAN($O$85:$O$99))), "", (IF(MEDIAN($O$85:$O$99) = 0, "", MEDIAN($O$85:$O$99))))</f>
        <v>86.91</v>
      </c>
      <c r="P84">
        <f ca="1">IF(ISERROR(IF(MEDIAN($P$85:$P$99) = 0, "", MEDIAN($P$85:$P$99))), "", (IF(MEDIAN($P$85:$P$99) = 0, "", MEDIAN($P$85:$P$99))))</f>
        <v>119.63500000000001</v>
      </c>
      <c r="Q84">
        <f ca="1">IF(ISERROR(IF(MEDIAN($Q$85:$Q$99) = 0, "", MEDIAN($Q$85:$Q$99))), "", (IF(MEDIAN($Q$85:$Q$99) = 0, "", MEDIAN($Q$85:$Q$99))))</f>
        <v>133.399</v>
      </c>
      <c r="R84">
        <f ca="1">IF(ISERROR(IF(MEDIAN($R$85:$R$99) = 0, "", MEDIAN($R$85:$R$99))), "", (IF(MEDIAN($R$85:$R$99) = 0, "", MEDIAN($R$85:$R$99))))</f>
        <v>114.10599999999999</v>
      </c>
      <c r="S84">
        <f ca="1">IF(ISERROR(IF(MEDIAN($S$85:$S$99) = 0, "", MEDIAN($S$85:$S$99))), "", (IF(MEDIAN($S$85:$S$99) = 0, "", MEDIAN($S$85:$S$99))))</f>
        <v>108.96</v>
      </c>
      <c r="T84">
        <f ca="1">IF(ISERROR(IF(MEDIAN($T$85:$T$99) = 0, "", MEDIAN($T$85:$T$99))), "", (IF(MEDIAN($T$85:$T$99) = 0, "", MEDIAN($T$85:$T$99))))</f>
        <v>110.282</v>
      </c>
      <c r="U84">
        <f ca="1">IF(ISERROR(IF(MEDIAN($U$85:$U$99) = 0, "", MEDIAN($U$85:$U$99))), "", (IF(MEDIAN($U$85:$U$99) = 0, "", MEDIAN($U$85:$U$99))))</f>
        <v>109.254</v>
      </c>
      <c r="V84">
        <f ca="1">IF(ISERROR(IF(MEDIAN($V$85:$V$99) = 0, "", MEDIAN($V$85:$V$99))), "", (IF(MEDIAN($V$85:$V$99) = 0, "", MEDIAN($V$85:$V$99))))</f>
        <v>101.292</v>
      </c>
      <c r="W84">
        <f ca="1">IF(ISERROR(IF(MEDIAN($W$85:$W$99) = 0, "", MEDIAN($W$85:$W$99))), "", (IF(MEDIAN($W$85:$W$99) = 0, "", MEDIAN($W$85:$W$99))))</f>
        <v>97.265000000000001</v>
      </c>
      <c r="X84">
        <f ca="1">IF(ISERROR(IF(MEDIAN($X$85:$X$99) = 0, "", MEDIAN($X$85:$X$99))), "", (IF(MEDIAN($X$85:$X$99) = 0, "", MEDIAN($X$85:$X$99))))</f>
        <v>84.944999999999993</v>
      </c>
      <c r="Y84">
        <f ca="1">IF(ISERROR(IF(MEDIAN($Y$85:$Y$99) = 0, "", MEDIAN($Y$85:$Y$99))), "", (IF(MEDIAN($Y$85:$Y$99) = 0, "", MEDIAN($Y$85:$Y$99))))</f>
        <v>95.960499999999996</v>
      </c>
      <c r="Z84">
        <f ca="1">IF(ISERROR(IF(MEDIAN($Z$85:$Z$99) = 0, "", MEDIAN($Z$85:$Z$99))), "", (IF(MEDIAN($Z$85:$Z$99) = 0, "", MEDIAN($Z$85:$Z$99))))</f>
        <v>95.491500000000002</v>
      </c>
      <c r="AA84">
        <f ca="1">IF(ISERROR(IF(MEDIAN($AA$85:$AA$99) = 0, "", MEDIAN($AA$85:$AA$99))), "", (IF(MEDIAN($AA$85:$AA$99) = 0, "", MEDIAN($AA$85:$AA$99))))</f>
        <v>94.952500000000001</v>
      </c>
      <c r="AB84">
        <f ca="1">IF(ISERROR(IF(MEDIAN($AB$85:$AB$99) = 0, "", MEDIAN($AB$85:$AB$99))), "", (IF(MEDIAN($AB$85:$AB$99) = 0, "", MEDIAN($AB$85:$AB$99))))</f>
        <v>94.098000000000013</v>
      </c>
      <c r="AC84">
        <f ca="1">IF(ISERROR(IF(MEDIAN($AC$85:$AC$99) = 0, "", MEDIAN($AC$85:$AC$99))), "", (IF(MEDIAN($AC$85:$AC$99) = 0, "", MEDIAN($AC$85:$AC$99))))</f>
        <v>87.126000000000005</v>
      </c>
      <c r="AD84">
        <f ca="1">IF(ISERROR(IF(MEDIAN($AD$85:$AD$99) = 0, "", MEDIAN($AD$85:$AD$99))), "", (IF(MEDIAN($AD$85:$AD$99) = 0, "", MEDIAN($AD$85:$AD$99))))</f>
        <v>96.084000000000003</v>
      </c>
      <c r="AE84">
        <f ca="1">IF(ISERROR(IF(MEDIAN($AE$85:$AE$99) = 0, "", MEDIAN($AE$85:$AE$99))), "", (IF(MEDIAN($AE$85:$AE$99) = 0, "", MEDIAN($AE$85:$AE$99))))</f>
        <v>89.085999999999999</v>
      </c>
      <c r="AF84">
        <f ca="1">IF(ISERROR(IF(MEDIAN($AF$85:$AF$99) = 0, "", MEDIAN($AF$85:$AF$99))), "", (IF(MEDIAN($AF$85:$AF$99) = 0, "", MEDIAN($AF$85:$AF$99))))</f>
        <v>79.055000000000007</v>
      </c>
      <c r="AG84">
        <f ca="1">IF(ISERROR(IF(MEDIAN($AG$85:$AG$99) = 0, "", MEDIAN($AG$85:$AG$99))), "", (IF(MEDIAN($AG$85:$AG$99) = 0, "", MEDIAN($AG$85:$AG$99))))</f>
        <v>90.628</v>
      </c>
      <c r="AH84">
        <f ca="1">IF(ISERROR(IF(MEDIAN($AH$85:$AH$99) = 0, "", MEDIAN($AH$85:$AH$99))), "", (IF(MEDIAN($AH$85:$AH$99) = 0, "", MEDIAN($AH$85:$AH$99))))</f>
        <v>80.787999999999997</v>
      </c>
      <c r="AI84">
        <f ca="1">IF(ISERROR(IF(MEDIAN($AI$85:$AI$99) = 0, "", MEDIAN($AI$85:$AI$99))), "", (IF(MEDIAN($AI$85:$AI$99) = 0, "", MEDIAN($AI$85:$AI$99))))</f>
        <v>85.085499999999996</v>
      </c>
      <c r="AJ84">
        <f ca="1">IF(ISERROR(IF(MEDIAN($AJ$85:$AJ$99) = 0, "", MEDIAN($AJ$85:$AJ$99))), "", (IF(MEDIAN($AJ$85:$AJ$99) = 0, "", MEDIAN($AJ$85:$AJ$99))))</f>
        <v>85.0715</v>
      </c>
      <c r="AK84">
        <f ca="1">IF(ISERROR(IF(MEDIAN($AK$85:$AK$99) = 0, "", MEDIAN($AK$85:$AK$99))), "", (IF(MEDIAN($AK$85:$AK$99) = 0, "", MEDIAN($AK$85:$AK$99))))</f>
        <v>74.409000000000006</v>
      </c>
      <c r="AL84">
        <f ca="1">IF(ISERROR(IF(MEDIAN($AL$85:$AL$99) = 0, "", MEDIAN($AL$85:$AL$99))), "", (IF(MEDIAN($AL$85:$AL$99) = 0, "", MEDIAN($AL$85:$AL$99))))</f>
        <v>80.663000000000011</v>
      </c>
      <c r="AM84">
        <f ca="1">IF(ISERROR(IF(MEDIAN($AM$85:$AM$99) = 0, "", MEDIAN($AM$85:$AM$99))), "", (IF(MEDIAN($AM$85:$AM$99) = 0, "", MEDIAN($AM$85:$AM$99))))</f>
        <v>85.100999999999999</v>
      </c>
      <c r="AN84">
        <f ca="1">IF(ISERROR(IF(MEDIAN($AN$85:$AN$99) = 0, "", MEDIAN($AN$85:$AN$99))), "", (IF(MEDIAN($AN$85:$AN$99) = 0, "", MEDIAN($AN$85:$AN$99))))</f>
        <v>84.245999999999995</v>
      </c>
      <c r="AO84">
        <f ca="1">IF(ISERROR(IF(MEDIAN($AO$85:$AO$99) = 0, "", MEDIAN($AO$85:$AO$99))), "", (IF(MEDIAN($AO$85:$AO$99) = 0, "", MEDIAN($AO$85:$AO$99))))</f>
        <v>79.764499999999998</v>
      </c>
      <c r="AP84">
        <f ca="1">IF(ISERROR(IF(MEDIAN($AP$85:$AP$99) = 0, "", MEDIAN($AP$85:$AP$99))), "", (IF(MEDIAN($AP$85:$AP$99) = 0, "", MEDIAN($AP$85:$AP$99))))</f>
        <v>86.588499999999996</v>
      </c>
      <c r="AQ84">
        <f ca="1">IF(ISERROR(IF(MEDIAN($AQ$85:$AQ$99) = 0, "", MEDIAN($AQ$85:$AQ$99))), "", (IF(MEDIAN($AQ$85:$AQ$99) = 0, "", MEDIAN($AQ$85:$AQ$99))))</f>
        <v>89.768865000000005</v>
      </c>
      <c r="AR84">
        <f ca="1">IF(ISERROR(IF(MEDIAN($AR$85:$AR$99) = 0, "", MEDIAN($AR$85:$AR$99))), "", (IF(MEDIAN($AR$85:$AR$99) = 0, "", MEDIAN($AR$85:$AR$99))))</f>
        <v>93.736500000000007</v>
      </c>
      <c r="AS84">
        <f ca="1">IF(ISERROR(IF(MEDIAN($AS$85:$AS$99) = 0, "", MEDIAN($AS$85:$AS$99))), "", (IF(MEDIAN($AS$85:$AS$99) = 0, "", MEDIAN($AS$85:$AS$99))))</f>
        <v>83.445999999999998</v>
      </c>
      <c r="AT84">
        <f ca="1">IF(ISERROR(IF(MEDIAN($AT$85:$AT$99) = 0, "", MEDIAN($AT$85:$AT$99))), "", (IF(MEDIAN($AT$85:$AT$99) = 0, "", MEDIAN($AT$85:$AT$99))))</f>
        <v>90.741</v>
      </c>
      <c r="AU84">
        <f ca="1">IF(ISERROR(IF(MEDIAN($AU$85:$AU$99) = 0, "", MEDIAN($AU$85:$AU$99))), "", (IF(MEDIAN($AU$85:$AU$99) = 0, "", MEDIAN($AU$85:$AU$99))))</f>
        <v>79.685000000000002</v>
      </c>
      <c r="AV84">
        <f ca="1">IF(ISERROR(IF(MEDIAN($AV$85:$AV$99) = 0, "", MEDIAN($AV$85:$AV$99))), "", (IF(MEDIAN($AV$85:$AV$99) = 0, "", MEDIAN($AV$85:$AV$99))))</f>
        <v>80.164000000000001</v>
      </c>
      <c r="AW84">
        <f ca="1">IF(ISERROR(IF(MEDIAN($AW$85:$AW$99) = 0, "", MEDIAN($AW$85:$AW$99))), "", (IF(MEDIAN($AW$85:$AW$99) = 0, "", MEDIAN($AW$85:$AW$99))))</f>
        <v>79.739000000000004</v>
      </c>
      <c r="AX84">
        <f ca="1">IF(ISERROR(IF(MEDIAN($AX$85:$AX$99) = 0, "", MEDIAN($AX$85:$AX$99))), "", (IF(MEDIAN($AX$85:$AX$99) = 0, "", MEDIAN($AX$85:$AX$99))))</f>
        <v>88.424999999999997</v>
      </c>
      <c r="AY84">
        <f ca="1">IF(ISERROR(IF(MEDIAN($AY$85:$AY$99) = 0, "", MEDIAN($AY$85:$AY$99))), "", (IF(MEDIAN($AY$85:$AY$99) = 0, "", MEDIAN($AY$85:$AY$99))))</f>
        <v>68.605999999999995</v>
      </c>
      <c r="AZ84">
        <f ca="1">IF(ISERROR(IF(MEDIAN($AZ$85:$AZ$99) = 0, "", MEDIAN($AZ$85:$AZ$99))), "", (IF(MEDIAN($AZ$85:$AZ$99) = 0, "", MEDIAN($AZ$85:$AZ$99))))</f>
        <v>73.887</v>
      </c>
      <c r="BA84">
        <f ca="1">IF(ISERROR(IF(MEDIAN($BA$85:$BA$99) = 0, "", MEDIAN($BA$85:$BA$99))), "", (IF(MEDIAN($BA$85:$BA$99) = 0, "", MEDIAN($BA$85:$BA$99))))</f>
        <v>73.212000000000003</v>
      </c>
      <c r="BB84">
        <f ca="1">IF(ISERROR(IF(MEDIAN($BB$85:$BB$99) = 0, "", MEDIAN($BB$85:$BB$99))), "", (IF(MEDIAN($BB$85:$BB$99) = 0, "", MEDIAN($BB$85:$BB$99))))</f>
        <v>71.656999999999996</v>
      </c>
      <c r="BC84">
        <f ca="1">IF(ISERROR(IF(MEDIAN($BC$85:$BC$99) = 0, "", MEDIAN($BC$85:$BC$99))), "", (IF(MEDIAN($BC$85:$BC$99) = 0, "", MEDIAN($BC$85:$BC$99))))</f>
        <v>74.509</v>
      </c>
      <c r="BD84">
        <f ca="1">IF(ISERROR(IF(MEDIAN($BD$85:$BD$99) = 0, "", MEDIAN($BD$85:$BD$99))), "", (IF(MEDIAN($BD$85:$BD$99) = 0, "", MEDIAN($BD$85:$BD$99))))</f>
        <v>80.623500000000007</v>
      </c>
      <c r="BE84">
        <f ca="1">IF(ISERROR(IF(MEDIAN($BE$85:$BE$99) = 0, "", MEDIAN($BE$85:$BE$99))), "", (IF(MEDIAN($BE$85:$BE$99) = 0, "", MEDIAN($BE$85:$BE$99))))</f>
        <v>75.078999999999994</v>
      </c>
      <c r="BF84">
        <f ca="1">IF(ISERROR(IF(MEDIAN($BF$85:$BF$99) = 0, "", MEDIAN($BF$85:$BF$99))), "", (IF(MEDIAN($BF$85:$BF$99) = 0, "", MEDIAN($BF$85:$BF$99))))</f>
        <v>65.927000000000007</v>
      </c>
      <c r="BG84">
        <f ca="1">IF(ISERROR(IF(MEDIAN($BG$85:$BG$99) = 0, "", MEDIAN($BG$85:$BG$99))), "", (IF(MEDIAN($BG$85:$BG$99) = 0, "", MEDIAN($BG$85:$BG$99))))</f>
        <v>78.616500000000002</v>
      </c>
      <c r="BH84">
        <f ca="1">IF(ISERROR(IF(MEDIAN($BH$85:$BH$99) = 0, "", MEDIAN($BH$85:$BH$99))), "", (IF(MEDIAN($BH$85:$BH$99) = 0, "", MEDIAN($BH$85:$BH$99))))</f>
        <v>95.635999999999996</v>
      </c>
      <c r="BI84">
        <f ca="1">IF(ISERROR(IF(MEDIAN($BI$85:$BI$99) = 0, "", MEDIAN($BI$85:$BI$99))), "", (IF(MEDIAN($BI$85:$BI$99) = 0, "", MEDIAN($BI$85:$BI$99))))</f>
        <v>63.647001269999997</v>
      </c>
      <c r="BJ84">
        <f ca="1">IF(ISERROR(IF(MEDIAN($BJ$85:$BJ$99) = 0, "", MEDIAN($BJ$85:$BJ$99))), "", (IF(MEDIAN($BJ$85:$BJ$99) = 0, "", MEDIAN($BJ$85:$BJ$99))))</f>
        <v>62.079000000000001</v>
      </c>
      <c r="BK84">
        <f ca="1">IF(ISERROR(IF(MEDIAN($BK$85:$BK$99) = 0, "", MEDIAN($BK$85:$BK$99))), "", (IF(MEDIAN($BK$85:$BK$99) = 0, "", MEDIAN($BK$85:$BK$99))))</f>
        <v>60.195498865000005</v>
      </c>
      <c r="BL84">
        <f ca="1">IF(ISERROR(IF(MEDIAN($BL$85:$BL$99) = 0, "", MEDIAN($BL$85:$BL$99))), "", (IF(MEDIAN($BL$85:$BL$99) = 0, "", MEDIAN($BL$85:$BL$99))))</f>
        <v>73.917998999999995</v>
      </c>
      <c r="BM84">
        <f ca="1">IF(ISERROR(IF(MEDIAN($BM$85:$BM$99) = 0, "", MEDIAN($BM$85:$BM$99))), "", (IF(MEDIAN($BM$85:$BM$99) = 0, "", MEDIAN($BM$85:$BM$99))))</f>
        <v>71.542998999999995</v>
      </c>
      <c r="BN84" t="str">
        <f>""</f>
        <v/>
      </c>
      <c r="BO84">
        <f>139.551</f>
        <v>139.55099999999999</v>
      </c>
      <c r="BP84">
        <f>135.058</f>
        <v>135.05799999999999</v>
      </c>
      <c r="BQ84">
        <f>123.917</f>
        <v>123.917</v>
      </c>
      <c r="BR84">
        <f>125.644</f>
        <v>125.64400000000001</v>
      </c>
      <c r="BS84">
        <f>134.063</f>
        <v>134.06299999999999</v>
      </c>
      <c r="BT84">
        <f>108.605</f>
        <v>108.605</v>
      </c>
      <c r="BU84">
        <f>124.595</f>
        <v>124.595</v>
      </c>
      <c r="BV84">
        <f>125.755</f>
        <v>125.755</v>
      </c>
      <c r="BW84">
        <f>86.91</f>
        <v>86.91</v>
      </c>
      <c r="BX84">
        <f>119.635</f>
        <v>119.63500000000001</v>
      </c>
      <c r="BY84">
        <f>133.399</f>
        <v>133.399</v>
      </c>
      <c r="BZ84">
        <f>114.106</f>
        <v>114.10599999999999</v>
      </c>
      <c r="CA84">
        <f>108.96</f>
        <v>108.96</v>
      </c>
      <c r="CB84">
        <f>110.282</f>
        <v>110.282</v>
      </c>
      <c r="CC84">
        <f>109.254</f>
        <v>109.254</v>
      </c>
      <c r="CD84">
        <f>101.292</f>
        <v>101.292</v>
      </c>
      <c r="CE84">
        <f>97.265</f>
        <v>97.265000000000001</v>
      </c>
      <c r="CF84">
        <f>84.945</f>
        <v>84.944999999999993</v>
      </c>
      <c r="CG84">
        <f>95.9605</f>
        <v>95.960499999999996</v>
      </c>
      <c r="CH84">
        <f>95.4915</f>
        <v>95.491500000000002</v>
      </c>
      <c r="CI84">
        <f>94.9525</f>
        <v>94.952500000000001</v>
      </c>
      <c r="CJ84">
        <f>94.098</f>
        <v>94.097999999999999</v>
      </c>
      <c r="CK84">
        <f>87.126</f>
        <v>87.126000000000005</v>
      </c>
      <c r="CL84">
        <f>96.084</f>
        <v>96.084000000000003</v>
      </c>
      <c r="CM84">
        <f>89.086</f>
        <v>89.085999999999999</v>
      </c>
      <c r="CN84">
        <f>79.055</f>
        <v>79.055000000000007</v>
      </c>
      <c r="CO84">
        <f>90.628</f>
        <v>90.628</v>
      </c>
      <c r="CP84">
        <f>80.788</f>
        <v>80.787999999999997</v>
      </c>
      <c r="CQ84">
        <f>85.0855</f>
        <v>85.085499999999996</v>
      </c>
      <c r="CR84">
        <f>85.0715</f>
        <v>85.0715</v>
      </c>
      <c r="CS84">
        <f>74.409</f>
        <v>74.409000000000006</v>
      </c>
      <c r="CT84">
        <f>80.663</f>
        <v>80.662999999999997</v>
      </c>
      <c r="CU84">
        <f>85.101</f>
        <v>85.100999999999999</v>
      </c>
      <c r="CV84">
        <f>84.246</f>
        <v>84.245999999999995</v>
      </c>
      <c r="CW84">
        <f>79.7645</f>
        <v>79.764499999999998</v>
      </c>
      <c r="CX84">
        <f>86.5885</f>
        <v>86.588499999999996</v>
      </c>
      <c r="CY84">
        <f>89.768865</f>
        <v>89.768865000000005</v>
      </c>
      <c r="CZ84">
        <f>93.7365</f>
        <v>93.736500000000007</v>
      </c>
      <c r="DA84">
        <f>83.446</f>
        <v>83.445999999999998</v>
      </c>
      <c r="DB84">
        <f>90.741</f>
        <v>90.741</v>
      </c>
      <c r="DC84">
        <f>79.685</f>
        <v>79.685000000000002</v>
      </c>
      <c r="DD84">
        <f>80.164</f>
        <v>80.164000000000001</v>
      </c>
      <c r="DE84">
        <f>79.739</f>
        <v>79.739000000000004</v>
      </c>
      <c r="DF84">
        <f>88.425</f>
        <v>88.424999999999997</v>
      </c>
      <c r="DG84">
        <f>68.606</f>
        <v>68.605999999999995</v>
      </c>
      <c r="DH84">
        <f>73.887</f>
        <v>73.887</v>
      </c>
      <c r="DI84">
        <f>73.212</f>
        <v>73.212000000000003</v>
      </c>
      <c r="DJ84">
        <f>71.657</f>
        <v>71.656999999999996</v>
      </c>
      <c r="DK84">
        <f>74.509</f>
        <v>74.509</v>
      </c>
      <c r="DL84">
        <f>80.6235</f>
        <v>80.623500000000007</v>
      </c>
      <c r="DM84">
        <f>75.079</f>
        <v>75.078999999999994</v>
      </c>
      <c r="DN84">
        <f>65.927</f>
        <v>65.927000000000007</v>
      </c>
      <c r="DO84">
        <f>78.6165</f>
        <v>78.616500000000002</v>
      </c>
      <c r="DP84">
        <f>95.636</f>
        <v>95.635999999999996</v>
      </c>
      <c r="DQ84">
        <f>63.64700127</f>
        <v>63.647001269999997</v>
      </c>
      <c r="DR84">
        <f>62.079</f>
        <v>62.079000000000001</v>
      </c>
      <c r="DS84">
        <f>60.19549886</f>
        <v>60.195498860000001</v>
      </c>
      <c r="DT84">
        <f>73.917999</f>
        <v>73.917998999999995</v>
      </c>
      <c r="DU84">
        <f>71.542999</f>
        <v>71.542998999999995</v>
      </c>
    </row>
    <row r="85" spans="1:125">
      <c r="A85" t="str">
        <f>"    Brixmor Property Group Inc"</f>
        <v xml:space="preserve">    Brixmor Property Group Inc</v>
      </c>
      <c r="B85" t="str">
        <f>"BRX US Equity"</f>
        <v>BRX US Equity</v>
      </c>
      <c r="C85" t="str">
        <f t="shared" ref="C85:C99" si="15">"RR009"</f>
        <v>RR009</v>
      </c>
      <c r="D85" t="str">
        <f t="shared" ref="D85:D99" si="16">"EBITDA"</f>
        <v>EBITDA</v>
      </c>
      <c r="E85" t="str">
        <f t="shared" ref="E85:E99" si="17">"动态"</f>
        <v>动态</v>
      </c>
      <c r="F85" t="str">
        <f ca="1">IF(AND(ISNUMBER($F$541),$B$419=1),$F$541,HLOOKUP(INDIRECT(ADDRESS(2,COLUMN())),OFFSET($BN$2,0,0,ROW()-1,60),ROW()-1,FALSE))</f>
        <v/>
      </c>
      <c r="G85">
        <f ca="1">IF(AND(ISNUMBER($G$541),$B$419=1),$G$541,HLOOKUP(INDIRECT(ADDRESS(2,COLUMN())),OFFSET($BN$2,0,0,ROW()-1,60),ROW()-1,FALSE))</f>
        <v>195.58600000000001</v>
      </c>
      <c r="H85">
        <f ca="1">IF(AND(ISNUMBER($H$541),$B$419=1),$H$541,HLOOKUP(INDIRECT(ADDRESS(2,COLUMN())),OFFSET($BN$2,0,0,ROW()-1,60),ROW()-1,FALSE))</f>
        <v>196.15299999999999</v>
      </c>
      <c r="I85">
        <f ca="1">IF(AND(ISNUMBER($I$541),$B$419=1),$I$541,HLOOKUP(INDIRECT(ADDRESS(2,COLUMN())),OFFSET($BN$2,0,0,ROW()-1,60),ROW()-1,FALSE))</f>
        <v>202.51900000000001</v>
      </c>
      <c r="J85">
        <f ca="1">IF(AND(ISNUMBER($J$541),$B$419=1),$J$541,HLOOKUP(INDIRECT(ADDRESS(2,COLUMN())),OFFSET($BN$2,0,0,ROW()-1,60),ROW()-1,FALSE))</f>
        <v>206.42500000000001</v>
      </c>
      <c r="K85">
        <f ca="1">IF(AND(ISNUMBER($K$541),$B$419=1),$K$541,HLOOKUP(INDIRECT(ADDRESS(2,COLUMN())),OFFSET($BN$2,0,0,ROW()-1,60),ROW()-1,FALSE))</f>
        <v>207.92699999999999</v>
      </c>
      <c r="L85">
        <f ca="1">IF(AND(ISNUMBER($L$541),$B$419=1),$L$541,HLOOKUP(INDIRECT(ADDRESS(2,COLUMN())),OFFSET($BN$2,0,0,ROW()-1,60),ROW()-1,FALSE))</f>
        <v>204.393</v>
      </c>
      <c r="M85">
        <f ca="1">IF(AND(ISNUMBER($M$541),$B$419=1),$M$541,HLOOKUP(INDIRECT(ADDRESS(2,COLUMN())),OFFSET($BN$2,0,0,ROW()-1,60),ROW()-1,FALSE))</f>
        <v>202.042</v>
      </c>
      <c r="N85">
        <f ca="1">IF(AND(ISNUMBER($N$541),$B$419=1),$N$541,HLOOKUP(INDIRECT(ADDRESS(2,COLUMN())),OFFSET($BN$2,0,0,ROW()-1,60),ROW()-1,FALSE))</f>
        <v>209.18</v>
      </c>
      <c r="O85">
        <f ca="1">IF(AND(ISNUMBER($O$541),$B$419=1),$O$541,HLOOKUP(INDIRECT(ADDRESS(2,COLUMN())),OFFSET($BN$2,0,0,ROW()-1,60),ROW()-1,FALSE))</f>
        <v>200.99799999999999</v>
      </c>
      <c r="P85">
        <f ca="1">IF(AND(ISNUMBER($P$541),$B$419=1),$P$541,HLOOKUP(INDIRECT(ADDRESS(2,COLUMN())),OFFSET($BN$2,0,0,ROW()-1,60),ROW()-1,FALSE))</f>
        <v>205.68799999999999</v>
      </c>
      <c r="Q85">
        <f ca="1">IF(AND(ISNUMBER($Q$541),$B$419=1),$Q$541,HLOOKUP(INDIRECT(ADDRESS(2,COLUMN())),OFFSET($BN$2,0,0,ROW()-1,60),ROW()-1,FALSE))</f>
        <v>203.75299999999999</v>
      </c>
      <c r="R85">
        <f ca="1">IF(AND(ISNUMBER($R$541),$B$419=1),$R$541,HLOOKUP(INDIRECT(ADDRESS(2,COLUMN())),OFFSET($BN$2,0,0,ROW()-1,60),ROW()-1,FALSE))</f>
        <v>188.39699999999999</v>
      </c>
      <c r="S85">
        <f ca="1">IF(AND(ISNUMBER($S$541),$B$419=1),$S$541,HLOOKUP(INDIRECT(ADDRESS(2,COLUMN())),OFFSET($BN$2,0,0,ROW()-1,60),ROW()-1,FALSE))</f>
        <v>199.797</v>
      </c>
      <c r="T85">
        <f ca="1">IF(AND(ISNUMBER($T$541),$B$419=1),$T$541,HLOOKUP(INDIRECT(ADDRESS(2,COLUMN())),OFFSET($BN$2,0,0,ROW()-1,60),ROW()-1,FALSE))</f>
        <v>199.07400000000001</v>
      </c>
      <c r="U85">
        <f ca="1">IF(AND(ISNUMBER($U$541),$B$419=1),$U$541,HLOOKUP(INDIRECT(ADDRESS(2,COLUMN())),OFFSET($BN$2,0,0,ROW()-1,60),ROW()-1,FALSE))</f>
        <v>197.79300000000001</v>
      </c>
      <c r="V85">
        <f ca="1">IF(AND(ISNUMBER($V$541),$B$419=1),$V$541,HLOOKUP(INDIRECT(ADDRESS(2,COLUMN())),OFFSET($BN$2,0,0,ROW()-1,60),ROW()-1,FALSE))</f>
        <v>194.619</v>
      </c>
      <c r="W85">
        <f ca="1">IF(AND(ISNUMBER($W$541),$B$419=1),$W$541,HLOOKUP(INDIRECT(ADDRESS(2,COLUMN())),OFFSET($BN$2,0,0,ROW()-1,60),ROW()-1,FALSE))</f>
        <v>161.72200000000001</v>
      </c>
      <c r="X85">
        <f ca="1">IF(AND(ISNUMBER($X$541),$B$419=1),$X$541,HLOOKUP(INDIRECT(ADDRESS(2,COLUMN())),OFFSET($BN$2,0,0,ROW()-1,60),ROW()-1,FALSE))</f>
        <v>177.465</v>
      </c>
      <c r="Y85">
        <f ca="1">IF(AND(ISNUMBER($Y$541),$B$419=1),$Y$541,HLOOKUP(INDIRECT(ADDRESS(2,COLUMN())),OFFSET($BN$2,0,0,ROW()-1,60),ROW()-1,FALSE))</f>
        <v>177.50299999999999</v>
      </c>
      <c r="Z85">
        <f ca="1">IF(AND(ISNUMBER($Z$541),$B$419=1),$Z$541,HLOOKUP(INDIRECT(ADDRESS(2,COLUMN())),OFFSET($BN$2,0,0,ROW()-1,60),ROW()-1,FALSE))</f>
        <v>171.96299999999999</v>
      </c>
      <c r="AA85">
        <f ca="1">IF(AND(ISNUMBER($AA$541),$B$419=1),$AA$541,HLOOKUP(INDIRECT(ADDRESS(2,COLUMN())),OFFSET($BN$2,0,0,ROW()-1,60),ROW()-1,FALSE))</f>
        <v>178</v>
      </c>
      <c r="AB85">
        <f ca="1">IF(AND(ISNUMBER($AB$541),$B$419=1),$AB$541,HLOOKUP(INDIRECT(ADDRESS(2,COLUMN())),OFFSET($BN$2,0,0,ROW()-1,60),ROW()-1,FALSE))</f>
        <v>176.37</v>
      </c>
      <c r="AC85">
        <f ca="1">IF(AND(ISNUMBER($AC$541),$B$419=1),$AC$541,HLOOKUP(INDIRECT(ADDRESS(2,COLUMN())),OFFSET($BN$2,0,0,ROW()-1,60),ROW()-1,FALSE))</f>
        <v>170.102</v>
      </c>
      <c r="AD85">
        <f ca="1">IF(AND(ISNUMBER($AD$541),$B$419=1),$AD$541,HLOOKUP(INDIRECT(ADDRESS(2,COLUMN())),OFFSET($BN$2,0,0,ROW()-1,60),ROW()-1,FALSE))</f>
        <v>168.161</v>
      </c>
      <c r="AE85" t="str">
        <f ca="1">IF(AND(ISNUMBER($AE$541),$B$419=1),$AE$541,HLOOKUP(INDIRECT(ADDRESS(2,COLUMN())),OFFSET($BN$2,0,0,ROW()-1,60),ROW()-1,FALSE))</f>
        <v/>
      </c>
      <c r="AF85" t="str">
        <f ca="1">IF(AND(ISNUMBER($AF$541),$B$419=1),$AF$541,HLOOKUP(INDIRECT(ADDRESS(2,COLUMN())),OFFSET($BN$2,0,0,ROW()-1,60),ROW()-1,FALSE))</f>
        <v/>
      </c>
      <c r="AG85" t="str">
        <f ca="1">IF(AND(ISNUMBER($AG$541),$B$419=1),$AG$541,HLOOKUP(INDIRECT(ADDRESS(2,COLUMN())),OFFSET($BN$2,0,0,ROW()-1,60),ROW()-1,FALSE))</f>
        <v/>
      </c>
      <c r="AH85" t="str">
        <f ca="1">IF(AND(ISNUMBER($AH$541),$B$419=1),$AH$541,HLOOKUP(INDIRECT(ADDRESS(2,COLUMN())),OFFSET($BN$2,0,0,ROW()-1,60),ROW()-1,FALSE))</f>
        <v/>
      </c>
      <c r="AI85" t="str">
        <f ca="1">IF(AND(ISNUMBER($AI$541),$B$419=1),$AI$541,HLOOKUP(INDIRECT(ADDRESS(2,COLUMN())),OFFSET($BN$2,0,0,ROW()-1,60),ROW()-1,FALSE))</f>
        <v/>
      </c>
      <c r="AJ85" t="str">
        <f ca="1">IF(AND(ISNUMBER($AJ$541),$B$419=1),$AJ$541,HLOOKUP(INDIRECT(ADDRESS(2,COLUMN())),OFFSET($BN$2,0,0,ROW()-1,60),ROW()-1,FALSE))</f>
        <v/>
      </c>
      <c r="AK85" t="str">
        <f ca="1">IF(AND(ISNUMBER($AK$541),$B$419=1),$AK$541,HLOOKUP(INDIRECT(ADDRESS(2,COLUMN())),OFFSET($BN$2,0,0,ROW()-1,60),ROW()-1,FALSE))</f>
        <v/>
      </c>
      <c r="AL85" t="str">
        <f ca="1">IF(AND(ISNUMBER($AL$541),$B$419=1),$AL$541,HLOOKUP(INDIRECT(ADDRESS(2,COLUMN())),OFFSET($BN$2,0,0,ROW()-1,60),ROW()-1,FALSE))</f>
        <v/>
      </c>
      <c r="AM85" t="str">
        <f ca="1">IF(AND(ISNUMBER($AM$541),$B$419=1),$AM$541,HLOOKUP(INDIRECT(ADDRESS(2,COLUMN())),OFFSET($BN$2,0,0,ROW()-1,60),ROW()-1,FALSE))</f>
        <v/>
      </c>
      <c r="AN85" t="str">
        <f ca="1">IF(AND(ISNUMBER($AN$541),$B$419=1),$AN$541,HLOOKUP(INDIRECT(ADDRESS(2,COLUMN())),OFFSET($BN$2,0,0,ROW()-1,60),ROW()-1,FALSE))</f>
        <v/>
      </c>
      <c r="AO85" t="str">
        <f ca="1">IF(AND(ISNUMBER($AO$541),$B$419=1),$AO$541,HLOOKUP(INDIRECT(ADDRESS(2,COLUMN())),OFFSET($BN$2,0,0,ROW()-1,60),ROW()-1,FALSE))</f>
        <v/>
      </c>
      <c r="AP85" t="str">
        <f ca="1">IF(AND(ISNUMBER($AP$541),$B$419=1),$AP$541,HLOOKUP(INDIRECT(ADDRESS(2,COLUMN())),OFFSET($BN$2,0,0,ROW()-1,60),ROW()-1,FALSE))</f>
        <v/>
      </c>
      <c r="AQ85" t="str">
        <f ca="1">IF(AND(ISNUMBER($AQ$541),$B$419=1),$AQ$541,HLOOKUP(INDIRECT(ADDRESS(2,COLUMN())),OFFSET($BN$2,0,0,ROW()-1,60),ROW()-1,FALSE))</f>
        <v/>
      </c>
      <c r="AR85" t="str">
        <f ca="1">IF(AND(ISNUMBER($AR$541),$B$419=1),$AR$541,HLOOKUP(INDIRECT(ADDRESS(2,COLUMN())),OFFSET($BN$2,0,0,ROW()-1,60),ROW()-1,FALSE))</f>
        <v/>
      </c>
      <c r="AS85" t="str">
        <f ca="1">IF(AND(ISNUMBER($AS$541),$B$419=1),$AS$541,HLOOKUP(INDIRECT(ADDRESS(2,COLUMN())),OFFSET($BN$2,0,0,ROW()-1,60),ROW()-1,FALSE))</f>
        <v/>
      </c>
      <c r="AT85" t="str">
        <f ca="1">IF(AND(ISNUMBER($AT$541),$B$419=1),$AT$541,HLOOKUP(INDIRECT(ADDRESS(2,COLUMN())),OFFSET($BN$2,0,0,ROW()-1,60),ROW()-1,FALSE))</f>
        <v/>
      </c>
      <c r="AU85" t="str">
        <f ca="1">IF(AND(ISNUMBER($AU$541),$B$419=1),$AU$541,HLOOKUP(INDIRECT(ADDRESS(2,COLUMN())),OFFSET($BN$2,0,0,ROW()-1,60),ROW()-1,FALSE))</f>
        <v/>
      </c>
      <c r="AV85" t="str">
        <f ca="1">IF(AND(ISNUMBER($AV$541),$B$419=1),$AV$541,HLOOKUP(INDIRECT(ADDRESS(2,COLUMN())),OFFSET($BN$2,0,0,ROW()-1,60),ROW()-1,FALSE))</f>
        <v/>
      </c>
      <c r="AW85" t="str">
        <f ca="1">IF(AND(ISNUMBER($AW$541),$B$419=1),$AW$541,HLOOKUP(INDIRECT(ADDRESS(2,COLUMN())),OFFSET($BN$2,0,0,ROW()-1,60),ROW()-1,FALSE))</f>
        <v/>
      </c>
      <c r="AX85" t="str">
        <f ca="1">IF(AND(ISNUMBER($AX$541),$B$419=1),$AX$541,HLOOKUP(INDIRECT(ADDRESS(2,COLUMN())),OFFSET($BN$2,0,0,ROW()-1,60),ROW()-1,FALSE))</f>
        <v/>
      </c>
      <c r="AY85" t="str">
        <f ca="1">IF(AND(ISNUMBER($AY$541),$B$419=1),$AY$541,HLOOKUP(INDIRECT(ADDRESS(2,COLUMN())),OFFSET($BN$2,0,0,ROW()-1,60),ROW()-1,FALSE))</f>
        <v/>
      </c>
      <c r="AZ85" t="str">
        <f ca="1">IF(AND(ISNUMBER($AZ$541),$B$419=1),$AZ$541,HLOOKUP(INDIRECT(ADDRESS(2,COLUMN())),OFFSET($BN$2,0,0,ROW()-1,60),ROW()-1,FALSE))</f>
        <v/>
      </c>
      <c r="BA85" t="str">
        <f ca="1">IF(AND(ISNUMBER($BA$541),$B$419=1),$BA$541,HLOOKUP(INDIRECT(ADDRESS(2,COLUMN())),OFFSET($BN$2,0,0,ROW()-1,60),ROW()-1,FALSE))</f>
        <v/>
      </c>
      <c r="BB85" t="str">
        <f ca="1">IF(AND(ISNUMBER($BB$541),$B$419=1),$BB$541,HLOOKUP(INDIRECT(ADDRESS(2,COLUMN())),OFFSET($BN$2,0,0,ROW()-1,60),ROW()-1,FALSE))</f>
        <v/>
      </c>
      <c r="BC85" t="str">
        <f ca="1">IF(AND(ISNUMBER($BC$541),$B$419=1),$BC$541,HLOOKUP(INDIRECT(ADDRESS(2,COLUMN())),OFFSET($BN$2,0,0,ROW()-1,60),ROW()-1,FALSE))</f>
        <v/>
      </c>
      <c r="BD85" t="str">
        <f ca="1">IF(AND(ISNUMBER($BD$541),$B$419=1),$BD$541,HLOOKUP(INDIRECT(ADDRESS(2,COLUMN())),OFFSET($BN$2,0,0,ROW()-1,60),ROW()-1,FALSE))</f>
        <v/>
      </c>
      <c r="BE85" t="str">
        <f ca="1">IF(AND(ISNUMBER($BE$541),$B$419=1),$BE$541,HLOOKUP(INDIRECT(ADDRESS(2,COLUMN())),OFFSET($BN$2,0,0,ROW()-1,60),ROW()-1,FALSE))</f>
        <v/>
      </c>
      <c r="BF85" t="str">
        <f ca="1">IF(AND(ISNUMBER($BF$541),$B$419=1),$BF$541,HLOOKUP(INDIRECT(ADDRESS(2,COLUMN())),OFFSET($BN$2,0,0,ROW()-1,60),ROW()-1,FALSE))</f>
        <v/>
      </c>
      <c r="BG85" t="str">
        <f ca="1">IF(AND(ISNUMBER($BG$541),$B$419=1),$BG$541,HLOOKUP(INDIRECT(ADDRESS(2,COLUMN())),OFFSET($BN$2,0,0,ROW()-1,60),ROW()-1,FALSE))</f>
        <v/>
      </c>
      <c r="BH85" t="str">
        <f ca="1">IF(AND(ISNUMBER($BH$541),$B$419=1),$BH$541,HLOOKUP(INDIRECT(ADDRESS(2,COLUMN())),OFFSET($BN$2,0,0,ROW()-1,60),ROW()-1,FALSE))</f>
        <v/>
      </c>
      <c r="BI85" t="str">
        <f ca="1">IF(AND(ISNUMBER($BI$541),$B$419=1),$BI$541,HLOOKUP(INDIRECT(ADDRESS(2,COLUMN())),OFFSET($BN$2,0,0,ROW()-1,60),ROW()-1,FALSE))</f>
        <v/>
      </c>
      <c r="BJ85" t="str">
        <f ca="1">IF(AND(ISNUMBER($BJ$541),$B$419=1),$BJ$541,HLOOKUP(INDIRECT(ADDRESS(2,COLUMN())),OFFSET($BN$2,0,0,ROW()-1,60),ROW()-1,FALSE))</f>
        <v/>
      </c>
      <c r="BK85" t="str">
        <f ca="1">IF(AND(ISNUMBER($BK$541),$B$419=1),$BK$541,HLOOKUP(INDIRECT(ADDRESS(2,COLUMN())),OFFSET($BN$2,0,0,ROW()-1,60),ROW()-1,FALSE))</f>
        <v/>
      </c>
      <c r="BL85" t="str">
        <f ca="1">IF(AND(ISNUMBER($BL$541),$B$419=1),$BL$541,HLOOKUP(INDIRECT(ADDRESS(2,COLUMN())),OFFSET($BN$2,0,0,ROW()-1,60),ROW()-1,FALSE))</f>
        <v/>
      </c>
      <c r="BM85" t="str">
        <f ca="1">IF(AND(ISNUMBER($BM$541),$B$419=1),$BM$541,HLOOKUP(INDIRECT(ADDRESS(2,COLUMN())),OFFSET($BN$2,0,0,ROW()-1,60),ROW()-1,FALSE))</f>
        <v/>
      </c>
      <c r="BN85" t="str">
        <f>""</f>
        <v/>
      </c>
      <c r="BO85">
        <f>195.586</f>
        <v>195.58600000000001</v>
      </c>
      <c r="BP85">
        <f>196.153</f>
        <v>196.15299999999999</v>
      </c>
      <c r="BQ85">
        <f>202.519</f>
        <v>202.51900000000001</v>
      </c>
      <c r="BR85">
        <f>206.425</f>
        <v>206.42500000000001</v>
      </c>
      <c r="BS85">
        <f>207.927</f>
        <v>207.92699999999999</v>
      </c>
      <c r="BT85">
        <f>204.393</f>
        <v>204.393</v>
      </c>
      <c r="BU85">
        <f>202.042</f>
        <v>202.042</v>
      </c>
      <c r="BV85">
        <f>209.18</f>
        <v>209.18</v>
      </c>
      <c r="BW85">
        <f>200.998</f>
        <v>200.99799999999999</v>
      </c>
      <c r="BX85">
        <f>205.688</f>
        <v>205.68799999999999</v>
      </c>
      <c r="BY85">
        <f>203.753</f>
        <v>203.75299999999999</v>
      </c>
      <c r="BZ85">
        <f>188.397</f>
        <v>188.39699999999999</v>
      </c>
      <c r="CA85">
        <f>199.797</f>
        <v>199.797</v>
      </c>
      <c r="CB85">
        <f>199.074</f>
        <v>199.07400000000001</v>
      </c>
      <c r="CC85">
        <f>197.793</f>
        <v>197.79300000000001</v>
      </c>
      <c r="CD85">
        <f>194.619</f>
        <v>194.619</v>
      </c>
      <c r="CE85">
        <f>161.722</f>
        <v>161.72200000000001</v>
      </c>
      <c r="CF85">
        <f>177.465</f>
        <v>177.465</v>
      </c>
      <c r="CG85">
        <f>177.503</f>
        <v>177.50299999999999</v>
      </c>
      <c r="CH85">
        <f>171.963</f>
        <v>171.96299999999999</v>
      </c>
      <c r="CI85">
        <f>178</f>
        <v>178</v>
      </c>
      <c r="CJ85">
        <f>176.37</f>
        <v>176.37</v>
      </c>
      <c r="CK85">
        <f>170.102</f>
        <v>170.102</v>
      </c>
      <c r="CL85">
        <f>168.161</f>
        <v>168.161</v>
      </c>
      <c r="CM85" t="str">
        <f>""</f>
        <v/>
      </c>
      <c r="CN85" t="str">
        <f>""</f>
        <v/>
      </c>
      <c r="CO85" t="str">
        <f>""</f>
        <v/>
      </c>
      <c r="CP85" t="str">
        <f>""</f>
        <v/>
      </c>
      <c r="CQ85" t="str">
        <f>""</f>
        <v/>
      </c>
      <c r="CR85" t="str">
        <f>""</f>
        <v/>
      </c>
      <c r="CS85" t="str">
        <f>""</f>
        <v/>
      </c>
      <c r="CT85" t="str">
        <f>""</f>
        <v/>
      </c>
      <c r="CU85" t="str">
        <f>""</f>
        <v/>
      </c>
      <c r="CV85" t="str">
        <f>""</f>
        <v/>
      </c>
      <c r="CW85" t="str">
        <f>""</f>
        <v/>
      </c>
      <c r="CX85" t="str">
        <f>""</f>
        <v/>
      </c>
      <c r="CY85" t="str">
        <f>""</f>
        <v/>
      </c>
      <c r="CZ85" t="str">
        <f>""</f>
        <v/>
      </c>
      <c r="DA85" t="str">
        <f>""</f>
        <v/>
      </c>
      <c r="DB85" t="str">
        <f>""</f>
        <v/>
      </c>
      <c r="DC85" t="str">
        <f>""</f>
        <v/>
      </c>
      <c r="DD85" t="str">
        <f>""</f>
        <v/>
      </c>
      <c r="DE85" t="str">
        <f>""</f>
        <v/>
      </c>
      <c r="DF85" t="str">
        <f>""</f>
        <v/>
      </c>
      <c r="DG85" t="str">
        <f>""</f>
        <v/>
      </c>
      <c r="DH85" t="str">
        <f>""</f>
        <v/>
      </c>
      <c r="DI85" t="str">
        <f>""</f>
        <v/>
      </c>
      <c r="DJ85" t="str">
        <f>""</f>
        <v/>
      </c>
      <c r="DK85" t="str">
        <f>""</f>
        <v/>
      </c>
      <c r="DL85" t="str">
        <f>""</f>
        <v/>
      </c>
      <c r="DM85" t="str">
        <f>""</f>
        <v/>
      </c>
      <c r="DN85" t="str">
        <f>""</f>
        <v/>
      </c>
      <c r="DO85" t="str">
        <f>""</f>
        <v/>
      </c>
      <c r="DP85" t="str">
        <f>""</f>
        <v/>
      </c>
      <c r="DQ85" t="str">
        <f>""</f>
        <v/>
      </c>
      <c r="DR85" t="str">
        <f>""</f>
        <v/>
      </c>
      <c r="DS85" t="str">
        <f>""</f>
        <v/>
      </c>
      <c r="DT85" t="str">
        <f>""</f>
        <v/>
      </c>
      <c r="DU85" t="str">
        <f>""</f>
        <v/>
      </c>
    </row>
    <row r="86" spans="1:125">
      <c r="A86" t="str">
        <f>"    CBL &amp; Associates Properties In"</f>
        <v xml:space="preserve">    CBL &amp; Associates Properties In</v>
      </c>
      <c r="B86" t="str">
        <f>"CBL US Equity"</f>
        <v>CBL US Equity</v>
      </c>
      <c r="C86" t="str">
        <f t="shared" si="15"/>
        <v>RR009</v>
      </c>
      <c r="D86" t="str">
        <f t="shared" si="16"/>
        <v>EBITDA</v>
      </c>
      <c r="E86" t="str">
        <f t="shared" si="17"/>
        <v>动态</v>
      </c>
      <c r="F86" t="str">
        <f ca="1">IF(AND(ISNUMBER($F$542),$B$419=1),$F$542,HLOOKUP(INDIRECT(ADDRESS(2,COLUMN())),OFFSET($BN$2,0,0,ROW()-1,60),ROW()-1,FALSE))</f>
        <v/>
      </c>
      <c r="G86">
        <f ca="1">IF(AND(ISNUMBER($G$542),$B$419=1),$G$542,HLOOKUP(INDIRECT(ADDRESS(2,COLUMN())),OFFSET($BN$2,0,0,ROW()-1,60),ROW()-1,FALSE))</f>
        <v>156.072</v>
      </c>
      <c r="H86">
        <f ca="1">IF(AND(ISNUMBER($H$542),$B$419=1),$H$542,HLOOKUP(INDIRECT(ADDRESS(2,COLUMN())),OFFSET($BN$2,0,0,ROW()-1,60),ROW()-1,FALSE))</f>
        <v>121.541</v>
      </c>
      <c r="I86">
        <f ca="1">IF(AND(ISNUMBER($I$542),$B$419=1),$I$542,HLOOKUP(INDIRECT(ADDRESS(2,COLUMN())),OFFSET($BN$2,0,0,ROW()-1,60),ROW()-1,FALSE))</f>
        <v>104.68</v>
      </c>
      <c r="J86">
        <f ca="1">IF(AND(ISNUMBER($J$542),$B$419=1),$J$542,HLOOKUP(INDIRECT(ADDRESS(2,COLUMN())),OFFSET($BN$2,0,0,ROW()-1,60),ROW()-1,FALSE))</f>
        <v>147.571</v>
      </c>
      <c r="K86">
        <f ca="1">IF(AND(ISNUMBER($K$542),$B$419=1),$K$542,HLOOKUP(INDIRECT(ADDRESS(2,COLUMN())),OFFSET($BN$2,0,0,ROW()-1,60),ROW()-1,FALSE))</f>
        <v>173.52</v>
      </c>
      <c r="L86">
        <f ca="1">IF(AND(ISNUMBER($L$542),$B$419=1),$L$542,HLOOKUP(INDIRECT(ADDRESS(2,COLUMN())),OFFSET($BN$2,0,0,ROW()-1,60),ROW()-1,FALSE))</f>
        <v>108.605</v>
      </c>
      <c r="M86">
        <f ca="1">IF(AND(ISNUMBER($M$542),$B$419=1),$M$542,HLOOKUP(INDIRECT(ADDRESS(2,COLUMN())),OFFSET($BN$2,0,0,ROW()-1,60),ROW()-1,FALSE))</f>
        <v>124.595</v>
      </c>
      <c r="N86">
        <f ca="1">IF(AND(ISNUMBER($N$542),$B$419=1),$N$542,HLOOKUP(INDIRECT(ADDRESS(2,COLUMN())),OFFSET($BN$2,0,0,ROW()-1,60),ROW()-1,FALSE))</f>
        <v>139.714</v>
      </c>
      <c r="O86">
        <f ca="1">IF(AND(ISNUMBER($O$542),$B$419=1),$O$542,HLOOKUP(INDIRECT(ADDRESS(2,COLUMN())),OFFSET($BN$2,0,0,ROW()-1,60),ROW()-1,FALSE))</f>
        <v>85.331999999999994</v>
      </c>
      <c r="P86">
        <f ca="1">IF(AND(ISNUMBER($P$542),$B$419=1),$P$542,HLOOKUP(INDIRECT(ADDRESS(2,COLUMN())),OFFSET($BN$2,0,0,ROW()-1,60),ROW()-1,FALSE))</f>
        <v>167.40600000000001</v>
      </c>
      <c r="Q86">
        <f ca="1">IF(AND(ISNUMBER($Q$542),$B$419=1),$Q$542,HLOOKUP(INDIRECT(ADDRESS(2,COLUMN())),OFFSET($BN$2,0,0,ROW()-1,60),ROW()-1,FALSE))</f>
        <v>161.30500000000001</v>
      </c>
      <c r="R86">
        <f ca="1">IF(AND(ISNUMBER($R$542),$B$419=1),$R$542,HLOOKUP(INDIRECT(ADDRESS(2,COLUMN())),OFFSET($BN$2,0,0,ROW()-1,60),ROW()-1,FALSE))</f>
        <v>161.12299999999999</v>
      </c>
      <c r="S86">
        <f ca="1">IF(AND(ISNUMBER($S$542),$B$419=1),$S$542,HLOOKUP(INDIRECT(ADDRESS(2,COLUMN())),OFFSET($BN$2,0,0,ROW()-1,60),ROW()-1,FALSE))</f>
        <v>183.261</v>
      </c>
      <c r="T86">
        <f ca="1">IF(AND(ISNUMBER($T$542),$B$419=1),$T$542,HLOOKUP(INDIRECT(ADDRESS(2,COLUMN())),OFFSET($BN$2,0,0,ROW()-1,60),ROW()-1,FALSE))</f>
        <v>170.142</v>
      </c>
      <c r="U86">
        <f ca="1">IF(AND(ISNUMBER($U$542),$B$419=1),$U$542,HLOOKUP(INDIRECT(ADDRESS(2,COLUMN())),OFFSET($BN$2,0,0,ROW()-1,60),ROW()-1,FALSE))</f>
        <v>168</v>
      </c>
      <c r="V86">
        <f ca="1">IF(AND(ISNUMBER($V$542),$B$419=1),$V$542,HLOOKUP(INDIRECT(ADDRESS(2,COLUMN())),OFFSET($BN$2,0,0,ROW()-1,60),ROW()-1,FALSE))</f>
        <v>145.381</v>
      </c>
      <c r="W86">
        <f ca="1">IF(AND(ISNUMBER($W$542),$B$419=1),$W$542,HLOOKUP(INDIRECT(ADDRESS(2,COLUMN())),OFFSET($BN$2,0,0,ROW()-1,60),ROW()-1,FALSE))</f>
        <v>135.339</v>
      </c>
      <c r="X86">
        <f ca="1">IF(AND(ISNUMBER($X$542),$B$419=1),$X$542,HLOOKUP(INDIRECT(ADDRESS(2,COLUMN())),OFFSET($BN$2,0,0,ROW()-1,60),ROW()-1,FALSE))</f>
        <v>168.352</v>
      </c>
      <c r="Y86">
        <f ca="1">IF(AND(ISNUMBER($Y$542),$B$419=1),$Y$542,HLOOKUP(INDIRECT(ADDRESS(2,COLUMN())),OFFSET($BN$2,0,0,ROW()-1,60),ROW()-1,FALSE))</f>
        <v>147.73099999999999</v>
      </c>
      <c r="Z86">
        <f ca="1">IF(AND(ISNUMBER($Z$542),$B$419=1),$Z$542,HLOOKUP(INDIRECT(ADDRESS(2,COLUMN())),OFFSET($BN$2,0,0,ROW()-1,60),ROW()-1,FALSE))</f>
        <v>164.95500000000001</v>
      </c>
      <c r="AA86">
        <f ca="1">IF(AND(ISNUMBER($AA$542),$B$419=1),$AA$542,HLOOKUP(INDIRECT(ADDRESS(2,COLUMN())),OFFSET($BN$2,0,0,ROW()-1,60),ROW()-1,FALSE))</f>
        <v>163.23099999999999</v>
      </c>
      <c r="AB86">
        <f ca="1">IF(AND(ISNUMBER($AB$542),$B$419=1),$AB$542,HLOOKUP(INDIRECT(ADDRESS(2,COLUMN())),OFFSET($BN$2,0,0,ROW()-1,60),ROW()-1,FALSE))</f>
        <v>161.30500000000001</v>
      </c>
      <c r="AC86">
        <f ca="1">IF(AND(ISNUMBER($AC$542),$B$419=1),$AC$542,HLOOKUP(INDIRECT(ADDRESS(2,COLUMN())),OFFSET($BN$2,0,0,ROW()-1,60),ROW()-1,FALSE))</f>
        <v>162.107</v>
      </c>
      <c r="AD86">
        <f ca="1">IF(AND(ISNUMBER($AD$542),$B$419=1),$AD$542,HLOOKUP(INDIRECT(ADDRESS(2,COLUMN())),OFFSET($BN$2,0,0,ROW()-1,60),ROW()-1,FALSE))</f>
        <v>155.24700000000001</v>
      </c>
      <c r="AE86">
        <f ca="1">IF(AND(ISNUMBER($AE$542),$B$419=1),$AE$542,HLOOKUP(INDIRECT(ADDRESS(2,COLUMN())),OFFSET($BN$2,0,0,ROW()-1,60),ROW()-1,FALSE))</f>
        <v>178.399</v>
      </c>
      <c r="AF86">
        <f ca="1">IF(AND(ISNUMBER($AF$542),$B$419=1),$AF$542,HLOOKUP(INDIRECT(ADDRESS(2,COLUMN())),OFFSET($BN$2,0,0,ROW()-1,60),ROW()-1,FALSE))</f>
        <v>122.685</v>
      </c>
      <c r="AG86">
        <f ca="1">IF(AND(ISNUMBER($AG$542),$B$419=1),$AG$542,HLOOKUP(INDIRECT(ADDRESS(2,COLUMN())),OFFSET($BN$2,0,0,ROW()-1,60),ROW()-1,FALSE))</f>
        <v>168.678</v>
      </c>
      <c r="AH86">
        <f ca="1">IF(AND(ISNUMBER($AH$542),$B$419=1),$AH$542,HLOOKUP(INDIRECT(ADDRESS(2,COLUMN())),OFFSET($BN$2,0,0,ROW()-1,60),ROW()-1,FALSE))</f>
        <v>166.68799999999999</v>
      </c>
      <c r="AI86">
        <f ca="1">IF(AND(ISNUMBER($AI$542),$B$419=1),$AI$542,HLOOKUP(INDIRECT(ADDRESS(2,COLUMN())),OFFSET($BN$2,0,0,ROW()-1,60),ROW()-1,FALSE))</f>
        <v>179.93600000000001</v>
      </c>
      <c r="AJ86">
        <f ca="1">IF(AND(ISNUMBER($AJ$542),$B$419=1),$AJ$542,HLOOKUP(INDIRECT(ADDRESS(2,COLUMN())),OFFSET($BN$2,0,0,ROW()-1,60),ROW()-1,FALSE))</f>
        <v>168.90700000000001</v>
      </c>
      <c r="AK86">
        <f ca="1">IF(AND(ISNUMBER($AK$542),$B$419=1),$AK$542,HLOOKUP(INDIRECT(ADDRESS(2,COLUMN())),OFFSET($BN$2,0,0,ROW()-1,60),ROW()-1,FALSE))</f>
        <v>168.72200000000001</v>
      </c>
      <c r="AL86">
        <f ca="1">IF(AND(ISNUMBER($AL$542),$B$419=1),$AL$542,HLOOKUP(INDIRECT(ADDRESS(2,COLUMN())),OFFSET($BN$2,0,0,ROW()-1,60),ROW()-1,FALSE))</f>
        <v>167.727</v>
      </c>
      <c r="AM86">
        <f ca="1">IF(AND(ISNUMBER($AM$542),$B$419=1),$AM$542,HLOOKUP(INDIRECT(ADDRESS(2,COLUMN())),OFFSET($BN$2,0,0,ROW()-1,60),ROW()-1,FALSE))</f>
        <v>80.593999999999994</v>
      </c>
      <c r="AN86">
        <f ca="1">IF(AND(ISNUMBER($AN$542),$B$419=1),$AN$542,HLOOKUP(INDIRECT(ADDRESS(2,COLUMN())),OFFSET($BN$2,0,0,ROW()-1,60),ROW()-1,FALSE))</f>
        <v>163.553</v>
      </c>
      <c r="AO86">
        <f ca="1">IF(AND(ISNUMBER($AO$542),$B$419=1),$AO$542,HLOOKUP(INDIRECT(ADDRESS(2,COLUMN())),OFFSET($BN$2,0,0,ROW()-1,60),ROW()-1,FALSE))</f>
        <v>173.04300000000001</v>
      </c>
      <c r="AP86">
        <f ca="1">IF(AND(ISNUMBER($AP$542),$B$419=1),$AP$542,HLOOKUP(INDIRECT(ADDRESS(2,COLUMN())),OFFSET($BN$2,0,0,ROW()-1,60),ROW()-1,FALSE))</f>
        <v>171.03200000000001</v>
      </c>
      <c r="AQ86">
        <f ca="1">IF(AND(ISNUMBER($AQ$542),$B$419=1),$AQ$542,HLOOKUP(INDIRECT(ADDRESS(2,COLUMN())),OFFSET($BN$2,0,0,ROW()-1,60),ROW()-1,FALSE))</f>
        <v>175.46100000000001</v>
      </c>
      <c r="AR86">
        <f ca="1">IF(AND(ISNUMBER($AR$542),$B$419=1),$AR$542,HLOOKUP(INDIRECT(ADDRESS(2,COLUMN())),OFFSET($BN$2,0,0,ROW()-1,60),ROW()-1,FALSE))</f>
        <v>183.86500000000001</v>
      </c>
      <c r="AS86">
        <f ca="1">IF(AND(ISNUMBER($AS$542),$B$419=1),$AS$542,HLOOKUP(INDIRECT(ADDRESS(2,COLUMN())),OFFSET($BN$2,0,0,ROW()-1,60),ROW()-1,FALSE))</f>
        <v>171.73</v>
      </c>
      <c r="AT86">
        <f ca="1">IF(AND(ISNUMBER($AT$542),$B$419=1),$AT$542,HLOOKUP(INDIRECT(ADDRESS(2,COLUMN())),OFFSET($BN$2,0,0,ROW()-1,60),ROW()-1,FALSE))</f>
        <v>171.31200000000001</v>
      </c>
      <c r="AU86">
        <f ca="1">IF(AND(ISNUMBER($AU$542),$B$419=1),$AU$542,HLOOKUP(INDIRECT(ADDRESS(2,COLUMN())),OFFSET($BN$2,0,0,ROW()-1,60),ROW()-1,FALSE))</f>
        <v>191.04499999999999</v>
      </c>
      <c r="AV86">
        <f ca="1">IF(AND(ISNUMBER($AV$542),$B$419=1),$AV$542,HLOOKUP(INDIRECT(ADDRESS(2,COLUMN())),OFFSET($BN$2,0,0,ROW()-1,60),ROW()-1,FALSE))</f>
        <v>159.054</v>
      </c>
      <c r="AW86">
        <f ca="1">IF(AND(ISNUMBER($AW$542),$B$419=1),$AW$542,HLOOKUP(INDIRECT(ADDRESS(2,COLUMN())),OFFSET($BN$2,0,0,ROW()-1,60),ROW()-1,FALSE))</f>
        <v>158.262</v>
      </c>
      <c r="AX86">
        <f ca="1">IF(AND(ISNUMBER($AX$542),$B$419=1),$AX$542,HLOOKUP(INDIRECT(ADDRESS(2,COLUMN())),OFFSET($BN$2,0,0,ROW()-1,60),ROW()-1,FALSE))</f>
        <v>158.03700000000001</v>
      </c>
      <c r="AY86">
        <f ca="1">IF(AND(ISNUMBER($AY$542),$B$419=1),$AY$542,HLOOKUP(INDIRECT(ADDRESS(2,COLUMN())),OFFSET($BN$2,0,0,ROW()-1,60),ROW()-1,FALSE))</f>
        <v>180.33099999999999</v>
      </c>
      <c r="AZ86">
        <f ca="1">IF(AND(ISNUMBER($AZ$542),$B$419=1),$AZ$542,HLOOKUP(INDIRECT(ADDRESS(2,COLUMN())),OFFSET($BN$2,0,0,ROW()-1,60),ROW()-1,FALSE))</f>
        <v>155.04400000000001</v>
      </c>
      <c r="BA86">
        <f ca="1">IF(AND(ISNUMBER($BA$542),$B$419=1),$BA$542,HLOOKUP(INDIRECT(ADDRESS(2,COLUMN())),OFFSET($BN$2,0,0,ROW()-1,60),ROW()-1,FALSE))</f>
        <v>153.22900000000001</v>
      </c>
      <c r="BB86">
        <f ca="1">IF(AND(ISNUMBER($BB$542),$B$419=1),$BB$542,HLOOKUP(INDIRECT(ADDRESS(2,COLUMN())),OFFSET($BN$2,0,0,ROW()-1,60),ROW()-1,FALSE))</f>
        <v>160.29</v>
      </c>
      <c r="BC86">
        <f ca="1">IF(AND(ISNUMBER($BC$542),$B$419=1),$BC$542,HLOOKUP(INDIRECT(ADDRESS(2,COLUMN())),OFFSET($BN$2,0,0,ROW()-1,60),ROW()-1,FALSE))</f>
        <v>177.619</v>
      </c>
      <c r="BD86">
        <f ca="1">IF(AND(ISNUMBER($BD$542),$B$419=1),$BD$542,HLOOKUP(INDIRECT(ADDRESS(2,COLUMN())),OFFSET($BN$2,0,0,ROW()-1,60),ROW()-1,FALSE))</f>
        <v>148.196</v>
      </c>
      <c r="BE86">
        <f ca="1">IF(AND(ISNUMBER($BE$542),$B$419=1),$BE$542,HLOOKUP(INDIRECT(ADDRESS(2,COLUMN())),OFFSET($BN$2,0,0,ROW()-1,60),ROW()-1,FALSE))</f>
        <v>133.09200000000001</v>
      </c>
      <c r="BF86">
        <f ca="1">IF(AND(ISNUMBER($BF$542),$B$419=1),$BF$542,HLOOKUP(INDIRECT(ADDRESS(2,COLUMN())),OFFSET($BN$2,0,0,ROW()-1,60),ROW()-1,FALSE))</f>
        <v>140.90100000000001</v>
      </c>
      <c r="BG86">
        <f ca="1">IF(AND(ISNUMBER($BG$542),$B$419=1),$BG$542,HLOOKUP(INDIRECT(ADDRESS(2,COLUMN())),OFFSET($BN$2,0,0,ROW()-1,60),ROW()-1,FALSE))</f>
        <v>148.666</v>
      </c>
      <c r="BH86">
        <f ca="1">IF(AND(ISNUMBER($BH$542),$B$419=1),$BH$542,HLOOKUP(INDIRECT(ADDRESS(2,COLUMN())),OFFSET($BN$2,0,0,ROW()-1,60),ROW()-1,FALSE))</f>
        <v>146.74700200000001</v>
      </c>
      <c r="BI86">
        <f ca="1">IF(AND(ISNUMBER($BI$542),$B$419=1),$BI$542,HLOOKUP(INDIRECT(ADDRESS(2,COLUMN())),OFFSET($BN$2,0,0,ROW()-1,60),ROW()-1,FALSE))</f>
        <v>103.986</v>
      </c>
      <c r="BJ86">
        <f ca="1">IF(AND(ISNUMBER($BJ$542),$B$419=1),$BJ$542,HLOOKUP(INDIRECT(ADDRESS(2,COLUMN())),OFFSET($BN$2,0,0,ROW()-1,60),ROW()-1,FALSE))</f>
        <v>101.49300100000001</v>
      </c>
      <c r="BK86">
        <f ca="1">IF(AND(ISNUMBER($BK$542),$B$419=1),$BK$542,HLOOKUP(INDIRECT(ADDRESS(2,COLUMN())),OFFSET($BN$2,0,0,ROW()-1,60),ROW()-1,FALSE))</f>
        <v>118.161</v>
      </c>
      <c r="BL86">
        <f ca="1">IF(AND(ISNUMBER($BL$542),$B$419=1),$BL$542,HLOOKUP(INDIRECT(ADDRESS(2,COLUMN())),OFFSET($BN$2,0,0,ROW()-1,60),ROW()-1,FALSE))</f>
        <v>123.052997</v>
      </c>
      <c r="BM86">
        <f ca="1">IF(AND(ISNUMBER($BM$542),$B$419=1),$BM$542,HLOOKUP(INDIRECT(ADDRESS(2,COLUMN())),OFFSET($BN$2,0,0,ROW()-1,60),ROW()-1,FALSE))</f>
        <v>99.199995999999999</v>
      </c>
      <c r="BN86" t="str">
        <f>""</f>
        <v/>
      </c>
      <c r="BO86">
        <f>156.072</f>
        <v>156.072</v>
      </c>
      <c r="BP86">
        <f>121.541</f>
        <v>121.541</v>
      </c>
      <c r="BQ86">
        <f>104.68</f>
        <v>104.68</v>
      </c>
      <c r="BR86">
        <f>147.571</f>
        <v>147.571</v>
      </c>
      <c r="BS86">
        <f>173.52</f>
        <v>173.52</v>
      </c>
      <c r="BT86">
        <f>108.605</f>
        <v>108.605</v>
      </c>
      <c r="BU86">
        <f>124.595</f>
        <v>124.595</v>
      </c>
      <c r="BV86">
        <f>139.714</f>
        <v>139.714</v>
      </c>
      <c r="BW86">
        <f>85.332</f>
        <v>85.331999999999994</v>
      </c>
      <c r="BX86">
        <f>167.406</f>
        <v>167.40600000000001</v>
      </c>
      <c r="BY86">
        <f>161.305</f>
        <v>161.30500000000001</v>
      </c>
      <c r="BZ86">
        <f>161.123</f>
        <v>161.12299999999999</v>
      </c>
      <c r="CA86">
        <f>183.261</f>
        <v>183.261</v>
      </c>
      <c r="CB86">
        <f>170.142</f>
        <v>170.142</v>
      </c>
      <c r="CC86">
        <f>168</f>
        <v>168</v>
      </c>
      <c r="CD86">
        <f>145.381</f>
        <v>145.381</v>
      </c>
      <c r="CE86">
        <f>135.339</f>
        <v>135.339</v>
      </c>
      <c r="CF86">
        <f>168.352</f>
        <v>168.352</v>
      </c>
      <c r="CG86">
        <f>147.731</f>
        <v>147.73099999999999</v>
      </c>
      <c r="CH86">
        <f>164.955</f>
        <v>164.95500000000001</v>
      </c>
      <c r="CI86">
        <f>163.231</f>
        <v>163.23099999999999</v>
      </c>
      <c r="CJ86">
        <f>161.305</f>
        <v>161.30500000000001</v>
      </c>
      <c r="CK86">
        <f>162.107</f>
        <v>162.107</v>
      </c>
      <c r="CL86">
        <f>155.247</f>
        <v>155.24700000000001</v>
      </c>
      <c r="CM86">
        <f>178.399</f>
        <v>178.399</v>
      </c>
      <c r="CN86">
        <f>122.685</f>
        <v>122.685</v>
      </c>
      <c r="CO86">
        <f>168.678</f>
        <v>168.678</v>
      </c>
      <c r="CP86">
        <f>166.688</f>
        <v>166.68799999999999</v>
      </c>
      <c r="CQ86">
        <f>179.936</f>
        <v>179.93600000000001</v>
      </c>
      <c r="CR86">
        <f>168.907</f>
        <v>168.90700000000001</v>
      </c>
      <c r="CS86">
        <f>168.722</f>
        <v>168.72200000000001</v>
      </c>
      <c r="CT86">
        <f>167.727</f>
        <v>167.727</v>
      </c>
      <c r="CU86">
        <f>80.594</f>
        <v>80.593999999999994</v>
      </c>
      <c r="CV86">
        <f>163.553</f>
        <v>163.553</v>
      </c>
      <c r="CW86">
        <f>173.043</f>
        <v>173.04300000000001</v>
      </c>
      <c r="CX86">
        <f>171.032</f>
        <v>171.03200000000001</v>
      </c>
      <c r="CY86">
        <f>175.461</f>
        <v>175.46100000000001</v>
      </c>
      <c r="CZ86">
        <f>183.865</f>
        <v>183.86500000000001</v>
      </c>
      <c r="DA86">
        <f>171.73</f>
        <v>171.73</v>
      </c>
      <c r="DB86">
        <f>171.312</f>
        <v>171.31200000000001</v>
      </c>
      <c r="DC86">
        <f>191.045</f>
        <v>191.04499999999999</v>
      </c>
      <c r="DD86">
        <f>159.054</f>
        <v>159.054</v>
      </c>
      <c r="DE86">
        <f>158.262</f>
        <v>158.262</v>
      </c>
      <c r="DF86">
        <f>158.037</f>
        <v>158.03700000000001</v>
      </c>
      <c r="DG86">
        <f>180.331</f>
        <v>180.33099999999999</v>
      </c>
      <c r="DH86">
        <f>155.044</f>
        <v>155.04400000000001</v>
      </c>
      <c r="DI86">
        <f>153.229</f>
        <v>153.22900000000001</v>
      </c>
      <c r="DJ86">
        <f>160.29</f>
        <v>160.29</v>
      </c>
      <c r="DK86">
        <f>177.619</f>
        <v>177.619</v>
      </c>
      <c r="DL86">
        <f>148.196</f>
        <v>148.196</v>
      </c>
      <c r="DM86">
        <f>133.092</f>
        <v>133.09200000000001</v>
      </c>
      <c r="DN86">
        <f>140.901</f>
        <v>140.90100000000001</v>
      </c>
      <c r="DO86">
        <f>148.666</f>
        <v>148.666</v>
      </c>
      <c r="DP86">
        <f>146.747002</f>
        <v>146.74700200000001</v>
      </c>
      <c r="DQ86">
        <f>103.986</f>
        <v>103.986</v>
      </c>
      <c r="DR86">
        <f>101.493001</f>
        <v>101.49300100000001</v>
      </c>
      <c r="DS86">
        <f>118.161</f>
        <v>118.161</v>
      </c>
      <c r="DT86">
        <f>123.052997</f>
        <v>123.052997</v>
      </c>
      <c r="DU86">
        <f>99.199996</f>
        <v>99.199995999999999</v>
      </c>
    </row>
    <row r="87" spans="1:125">
      <c r="A87" t="str">
        <f>"    DDR Corp"</f>
        <v xml:space="preserve">    DDR Corp</v>
      </c>
      <c r="B87" t="str">
        <f>"DDR US Equity"</f>
        <v>DDR US Equity</v>
      </c>
      <c r="C87" t="str">
        <f t="shared" si="15"/>
        <v>RR009</v>
      </c>
      <c r="D87" t="str">
        <f t="shared" si="16"/>
        <v>EBITDA</v>
      </c>
      <c r="E87" t="str">
        <f t="shared" si="17"/>
        <v>动态</v>
      </c>
      <c r="F87" t="str">
        <f ca="1">IF(AND(ISNUMBER($F$543),$B$419=1),$F$543,HLOOKUP(INDIRECT(ADDRESS(2,COLUMN())),OFFSET($BN$2,0,0,ROW()-1,60),ROW()-1,FALSE))</f>
        <v/>
      </c>
      <c r="G87">
        <f ca="1">IF(AND(ISNUMBER($G$543),$B$419=1),$G$543,HLOOKUP(INDIRECT(ADDRESS(2,COLUMN())),OFFSET($BN$2,0,0,ROW()-1,60),ROW()-1,FALSE))</f>
        <v>-148.27199999999999</v>
      </c>
      <c r="H87">
        <f ca="1">IF(AND(ISNUMBER($H$543),$B$419=1),$H$543,HLOOKUP(INDIRECT(ADDRESS(2,COLUMN())),OFFSET($BN$2,0,0,ROW()-1,60),ROW()-1,FALSE))</f>
        <v>135.05799999999999</v>
      </c>
      <c r="I87">
        <f ca="1">IF(AND(ISNUMBER($I$543),$B$419=1),$I$543,HLOOKUP(INDIRECT(ADDRESS(2,COLUMN())),OFFSET($BN$2,0,0,ROW()-1,60),ROW()-1,FALSE))</f>
        <v>119.441</v>
      </c>
      <c r="J87">
        <f ca="1">IF(AND(ISNUMBER($J$543),$B$419=1),$J$543,HLOOKUP(INDIRECT(ADDRESS(2,COLUMN())),OFFSET($BN$2,0,0,ROW()-1,60),ROW()-1,FALSE))</f>
        <v>120.056</v>
      </c>
      <c r="K87">
        <f ca="1">IF(AND(ISNUMBER($K$543),$B$419=1),$K$543,HLOOKUP(INDIRECT(ADDRESS(2,COLUMN())),OFFSET($BN$2,0,0,ROW()-1,60),ROW()-1,FALSE))</f>
        <v>141.18899999999999</v>
      </c>
      <c r="L87">
        <f ca="1">IF(AND(ISNUMBER($L$543),$B$419=1),$L$543,HLOOKUP(INDIRECT(ADDRESS(2,COLUMN())),OFFSET($BN$2,0,0,ROW()-1,60),ROW()-1,FALSE))</f>
        <v>61.969000000000001</v>
      </c>
      <c r="M87">
        <f ca="1">IF(AND(ISNUMBER($M$543),$B$419=1),$M$543,HLOOKUP(INDIRECT(ADDRESS(2,COLUMN())),OFFSET($BN$2,0,0,ROW()-1,60),ROW()-1,FALSE))</f>
        <v>166.958</v>
      </c>
      <c r="N87">
        <f ca="1">IF(AND(ISNUMBER($N$543),$B$419=1),$N$543,HLOOKUP(INDIRECT(ADDRESS(2,COLUMN())),OFFSET($BN$2,0,0,ROW()-1,60),ROW()-1,FALSE))</f>
        <v>163.505</v>
      </c>
      <c r="O87">
        <f ca="1">IF(AND(ISNUMBER($O$543),$B$419=1),$O$543,HLOOKUP(INDIRECT(ADDRESS(2,COLUMN())),OFFSET($BN$2,0,0,ROW()-1,60),ROW()-1,FALSE))</f>
        <v>156.53700000000001</v>
      </c>
      <c r="P87">
        <f ca="1">IF(AND(ISNUMBER($P$543),$B$419=1),$P$543,HLOOKUP(INDIRECT(ADDRESS(2,COLUMN())),OFFSET($BN$2,0,0,ROW()-1,60),ROW()-1,FALSE))</f>
        <v>166.191</v>
      </c>
      <c r="Q87">
        <f ca="1">IF(AND(ISNUMBER($Q$543),$B$419=1),$Q$543,HLOOKUP(INDIRECT(ADDRESS(2,COLUMN())),OFFSET($BN$2,0,0,ROW()-1,60),ROW()-1,FALSE))</f>
        <v>164.226</v>
      </c>
      <c r="R87">
        <f ca="1">IF(AND(ISNUMBER($R$543),$B$419=1),$R$543,HLOOKUP(INDIRECT(ADDRESS(2,COLUMN())),OFFSET($BN$2,0,0,ROW()-1,60),ROW()-1,FALSE))</f>
        <v>-115.146</v>
      </c>
      <c r="S87">
        <f ca="1">IF(AND(ISNUMBER($S$543),$B$419=1),$S$543,HLOOKUP(INDIRECT(ADDRESS(2,COLUMN())),OFFSET($BN$2,0,0,ROW()-1,60),ROW()-1,FALSE))</f>
        <v>121.623</v>
      </c>
      <c r="T87">
        <f ca="1">IF(AND(ISNUMBER($T$543),$B$419=1),$T$543,HLOOKUP(INDIRECT(ADDRESS(2,COLUMN())),OFFSET($BN$2,0,0,ROW()-1,60),ROW()-1,FALSE))</f>
        <v>157.495</v>
      </c>
      <c r="U87">
        <f ca="1">IF(AND(ISNUMBER($U$543),$B$419=1),$U$543,HLOOKUP(INDIRECT(ADDRESS(2,COLUMN())),OFFSET($BN$2,0,0,ROW()-1,60),ROW()-1,FALSE))</f>
        <v>144.239</v>
      </c>
      <c r="V87">
        <f ca="1">IF(AND(ISNUMBER($V$543),$B$419=1),$V$543,HLOOKUP(INDIRECT(ADDRESS(2,COLUMN())),OFFSET($BN$2,0,0,ROW()-1,60),ROW()-1,FALSE))</f>
        <v>144.94499999999999</v>
      </c>
      <c r="W87">
        <f ca="1">IF(AND(ISNUMBER($W$543),$B$419=1),$W$543,HLOOKUP(INDIRECT(ADDRESS(2,COLUMN())),OFFSET($BN$2,0,0,ROW()-1,60),ROW()-1,FALSE))</f>
        <v>149.04900000000001</v>
      </c>
      <c r="X87">
        <f ca="1">IF(AND(ISNUMBER($X$543),$B$419=1),$X$543,HLOOKUP(INDIRECT(ADDRESS(2,COLUMN())),OFFSET($BN$2,0,0,ROW()-1,60),ROW()-1,FALSE))</f>
        <v>119.732</v>
      </c>
      <c r="Y87">
        <f ca="1">IF(AND(ISNUMBER($Y$543),$B$419=1),$Y$543,HLOOKUP(INDIRECT(ADDRESS(2,COLUMN())),OFFSET($BN$2,0,0,ROW()-1,60),ROW()-1,FALSE))</f>
        <v>121.4</v>
      </c>
      <c r="Z87">
        <f ca="1">IF(AND(ISNUMBER($Z$543),$B$419=1),$Z$543,HLOOKUP(INDIRECT(ADDRESS(2,COLUMN())),OFFSET($BN$2,0,0,ROW()-1,60),ROW()-1,FALSE))</f>
        <v>122.486</v>
      </c>
      <c r="AA87">
        <f ca="1">IF(AND(ISNUMBER($AA$543),$B$419=1),$AA$543,HLOOKUP(INDIRECT(ADDRESS(2,COLUMN())),OFFSET($BN$2,0,0,ROW()-1,60),ROW()-1,FALSE))</f>
        <v>114.749</v>
      </c>
      <c r="AB87">
        <f ca="1">IF(AND(ISNUMBER($AB$543),$B$419=1),$AB$543,HLOOKUP(INDIRECT(ADDRESS(2,COLUMN())),OFFSET($BN$2,0,0,ROW()-1,60),ROW()-1,FALSE))</f>
        <v>95.683000000000007</v>
      </c>
      <c r="AC87">
        <f ca="1">IF(AND(ISNUMBER($AC$543),$B$419=1),$AC$543,HLOOKUP(INDIRECT(ADDRESS(2,COLUMN())),OFFSET($BN$2,0,0,ROW()-1,60),ROW()-1,FALSE))</f>
        <v>74.852000000000004</v>
      </c>
      <c r="AD87">
        <f ca="1">IF(AND(ISNUMBER($AD$543),$B$419=1),$AD$543,HLOOKUP(INDIRECT(ADDRESS(2,COLUMN())),OFFSET($BN$2,0,0,ROW()-1,60),ROW()-1,FALSE))</f>
        <v>113.303</v>
      </c>
      <c r="AE87">
        <f ca="1">IF(AND(ISNUMBER($AE$543),$B$419=1),$AE$543,HLOOKUP(INDIRECT(ADDRESS(2,COLUMN())),OFFSET($BN$2,0,0,ROW()-1,60),ROW()-1,FALSE))</f>
        <v>112.63200000000001</v>
      </c>
      <c r="AF87">
        <f ca="1">IF(AND(ISNUMBER($AF$543),$B$419=1),$AF$543,HLOOKUP(INDIRECT(ADDRESS(2,COLUMN())),OFFSET($BN$2,0,0,ROW()-1,60),ROW()-1,FALSE))</f>
        <v>65.801000000000002</v>
      </c>
      <c r="AG87">
        <f ca="1">IF(AND(ISNUMBER($AG$543),$B$419=1),$AG$543,HLOOKUP(INDIRECT(ADDRESS(2,COLUMN())),OFFSET($BN$2,0,0,ROW()-1,60),ROW()-1,FALSE))</f>
        <v>106.565</v>
      </c>
      <c r="AH87">
        <f ca="1">IF(AND(ISNUMBER($AH$543),$B$419=1),$AH$543,HLOOKUP(INDIRECT(ADDRESS(2,COLUMN())),OFFSET($BN$2,0,0,ROW()-1,60),ROW()-1,FALSE))</f>
        <v>98.302000000000007</v>
      </c>
      <c r="AI87">
        <f ca="1">IF(AND(ISNUMBER($AI$543),$B$419=1),$AI$543,HLOOKUP(INDIRECT(ADDRESS(2,COLUMN())),OFFSET($BN$2,0,0,ROW()-1,60),ROW()-1,FALSE))</f>
        <v>95.363</v>
      </c>
      <c r="AJ87">
        <f ca="1">IF(AND(ISNUMBER($AJ$543),$B$419=1),$AJ$543,HLOOKUP(INDIRECT(ADDRESS(2,COLUMN())),OFFSET($BN$2,0,0,ROW()-1,60),ROW()-1,FALSE))</f>
        <v>109.117</v>
      </c>
      <c r="AK87">
        <f ca="1">IF(AND(ISNUMBER($AK$543),$B$419=1),$AK$543,HLOOKUP(INDIRECT(ADDRESS(2,COLUMN())),OFFSET($BN$2,0,0,ROW()-1,60),ROW()-1,FALSE))</f>
        <v>39.392000000000003</v>
      </c>
      <c r="AL87">
        <f ca="1">IF(AND(ISNUMBER($AL$543),$B$419=1),$AL$543,HLOOKUP(INDIRECT(ADDRESS(2,COLUMN())),OFFSET($BN$2,0,0,ROW()-1,60),ROW()-1,FALSE))</f>
        <v>118.146</v>
      </c>
      <c r="AM87">
        <f ca="1">IF(AND(ISNUMBER($AM$543),$B$419=1),$AM$543,HLOOKUP(INDIRECT(ADDRESS(2,COLUMN())),OFFSET($BN$2,0,0,ROW()-1,60),ROW()-1,FALSE))</f>
        <v>130.81299999999999</v>
      </c>
      <c r="AN87">
        <f ca="1">IF(AND(ISNUMBER($AN$543),$B$419=1),$AN$543,HLOOKUP(INDIRECT(ADDRESS(2,COLUMN())),OFFSET($BN$2,0,0,ROW()-1,60),ROW()-1,FALSE))</f>
        <v>47.607999999999997</v>
      </c>
      <c r="AO87">
        <f ca="1">IF(AND(ISNUMBER($AO$543),$B$419=1),$AO$543,HLOOKUP(INDIRECT(ADDRESS(2,COLUMN())),OFFSET($BN$2,0,0,ROW()-1,60),ROW()-1,FALSE))</f>
        <v>20.288</v>
      </c>
      <c r="AP87">
        <f ca="1">IF(AND(ISNUMBER($AP$543),$B$419=1),$AP$543,HLOOKUP(INDIRECT(ADDRESS(2,COLUMN())),OFFSET($BN$2,0,0,ROW()-1,60),ROW()-1,FALSE))</f>
        <v>119.595</v>
      </c>
      <c r="AQ87">
        <f ca="1">IF(AND(ISNUMBER($AQ$543),$B$419=1),$AQ$543,HLOOKUP(INDIRECT(ADDRESS(2,COLUMN())),OFFSET($BN$2,0,0,ROW()-1,60),ROW()-1,FALSE))</f>
        <v>202.54900000000001</v>
      </c>
      <c r="AR87">
        <f ca="1">IF(AND(ISNUMBER($AR$543),$B$419=1),$AR$543,HLOOKUP(INDIRECT(ADDRESS(2,COLUMN())),OFFSET($BN$2,0,0,ROW()-1,60),ROW()-1,FALSE))</f>
        <v>141.85599999999999</v>
      </c>
      <c r="AS87">
        <f ca="1">IF(AND(ISNUMBER($AS$543),$B$419=1),$AS$543,HLOOKUP(INDIRECT(ADDRESS(2,COLUMN())),OFFSET($BN$2,0,0,ROW()-1,60),ROW()-1,FALSE))</f>
        <v>85.581999999999994</v>
      </c>
      <c r="AT87">
        <f ca="1">IF(AND(ISNUMBER($AT$543),$B$419=1),$AT$543,HLOOKUP(INDIRECT(ADDRESS(2,COLUMN())),OFFSET($BN$2,0,0,ROW()-1,60),ROW()-1,FALSE))</f>
        <v>152.68799999999999</v>
      </c>
      <c r="AU87" t="str">
        <f ca="1">IF(AND(ISNUMBER($AU$543),$B$419=1),$AU$543,HLOOKUP(INDIRECT(ADDRESS(2,COLUMN())),OFFSET($BN$2,0,0,ROW()-1,60),ROW()-1,FALSE))</f>
        <v/>
      </c>
      <c r="AV87" t="str">
        <f ca="1">IF(AND(ISNUMBER($AV$543),$B$419=1),$AV$543,HLOOKUP(INDIRECT(ADDRESS(2,COLUMN())),OFFSET($BN$2,0,0,ROW()-1,60),ROW()-1,FALSE))</f>
        <v/>
      </c>
      <c r="AW87" t="str">
        <f ca="1">IF(AND(ISNUMBER($AW$543),$B$419=1),$AW$543,HLOOKUP(INDIRECT(ADDRESS(2,COLUMN())),OFFSET($BN$2,0,0,ROW()-1,60),ROW()-1,FALSE))</f>
        <v/>
      </c>
      <c r="AX87">
        <f ca="1">IF(AND(ISNUMBER($AX$543),$B$419=1),$AX$543,HLOOKUP(INDIRECT(ADDRESS(2,COLUMN())),OFFSET($BN$2,0,0,ROW()-1,60),ROW()-1,FALSE))</f>
        <v>144.375</v>
      </c>
      <c r="AY87" t="str">
        <f ca="1">IF(AND(ISNUMBER($AY$543),$B$419=1),$AY$543,HLOOKUP(INDIRECT(ADDRESS(2,COLUMN())),OFFSET($BN$2,0,0,ROW()-1,60),ROW()-1,FALSE))</f>
        <v/>
      </c>
      <c r="AZ87" t="str">
        <f ca="1">IF(AND(ISNUMBER($AZ$543),$B$419=1),$AZ$543,HLOOKUP(INDIRECT(ADDRESS(2,COLUMN())),OFFSET($BN$2,0,0,ROW()-1,60),ROW()-1,FALSE))</f>
        <v/>
      </c>
      <c r="BA87" t="str">
        <f ca="1">IF(AND(ISNUMBER($BA$543),$B$419=1),$BA$543,HLOOKUP(INDIRECT(ADDRESS(2,COLUMN())),OFFSET($BN$2,0,0,ROW()-1,60),ROW()-1,FALSE))</f>
        <v/>
      </c>
      <c r="BB87" t="str">
        <f ca="1">IF(AND(ISNUMBER($BB$543),$B$419=1),$BB$543,HLOOKUP(INDIRECT(ADDRESS(2,COLUMN())),OFFSET($BN$2,0,0,ROW()-1,60),ROW()-1,FALSE))</f>
        <v/>
      </c>
      <c r="BC87">
        <f ca="1">IF(AND(ISNUMBER($BC$543),$B$419=1),$BC$543,HLOOKUP(INDIRECT(ADDRESS(2,COLUMN())),OFFSET($BN$2,0,0,ROW()-1,60),ROW()-1,FALSE))</f>
        <v>213.88900000000001</v>
      </c>
      <c r="BD87">
        <f ca="1">IF(AND(ISNUMBER($BD$543),$B$419=1),$BD$543,HLOOKUP(INDIRECT(ADDRESS(2,COLUMN())),OFFSET($BN$2,0,0,ROW()-1,60),ROW()-1,FALSE))</f>
        <v>120.685</v>
      </c>
      <c r="BE87" t="str">
        <f ca="1">IF(AND(ISNUMBER($BE$543),$B$419=1),$BE$543,HLOOKUP(INDIRECT(ADDRESS(2,COLUMN())),OFFSET($BN$2,0,0,ROW()-1,60),ROW()-1,FALSE))</f>
        <v/>
      </c>
      <c r="BF87" t="str">
        <f ca="1">IF(AND(ISNUMBER($BF$543),$B$419=1),$BF$543,HLOOKUP(INDIRECT(ADDRESS(2,COLUMN())),OFFSET($BN$2,0,0,ROW()-1,60),ROW()-1,FALSE))</f>
        <v/>
      </c>
      <c r="BG87">
        <f ca="1">IF(AND(ISNUMBER($BG$543),$B$419=1),$BG$543,HLOOKUP(INDIRECT(ADDRESS(2,COLUMN())),OFFSET($BN$2,0,0,ROW()-1,60),ROW()-1,FALSE))</f>
        <v>105.01600000000001</v>
      </c>
      <c r="BH87">
        <f ca="1">IF(AND(ISNUMBER($BH$543),$B$419=1),$BH$543,HLOOKUP(INDIRECT(ADDRESS(2,COLUMN())),OFFSET($BN$2,0,0,ROW()-1,60),ROW()-1,FALSE))</f>
        <v>107.884</v>
      </c>
      <c r="BI87" t="str">
        <f ca="1">IF(AND(ISNUMBER($BI$543),$B$419=1),$BI$543,HLOOKUP(INDIRECT(ADDRESS(2,COLUMN())),OFFSET($BN$2,0,0,ROW()-1,60),ROW()-1,FALSE))</f>
        <v/>
      </c>
      <c r="BJ87" t="str">
        <f ca="1">IF(AND(ISNUMBER($BJ$543),$B$419=1),$BJ$543,HLOOKUP(INDIRECT(ADDRESS(2,COLUMN())),OFFSET($BN$2,0,0,ROW()-1,60),ROW()-1,FALSE))</f>
        <v/>
      </c>
      <c r="BK87" t="str">
        <f ca="1">IF(AND(ISNUMBER($BK$543),$B$419=1),$BK$543,HLOOKUP(INDIRECT(ADDRESS(2,COLUMN())),OFFSET($BN$2,0,0,ROW()-1,60),ROW()-1,FALSE))</f>
        <v/>
      </c>
      <c r="BL87" t="str">
        <f ca="1">IF(AND(ISNUMBER($BL$543),$B$419=1),$BL$543,HLOOKUP(INDIRECT(ADDRESS(2,COLUMN())),OFFSET($BN$2,0,0,ROW()-1,60),ROW()-1,FALSE))</f>
        <v/>
      </c>
      <c r="BM87" t="str">
        <f ca="1">IF(AND(ISNUMBER($BM$543),$B$419=1),$BM$543,HLOOKUP(INDIRECT(ADDRESS(2,COLUMN())),OFFSET($BN$2,0,0,ROW()-1,60),ROW()-1,FALSE))</f>
        <v/>
      </c>
      <c r="BN87" t="str">
        <f>""</f>
        <v/>
      </c>
      <c r="BO87">
        <f>-148.272</f>
        <v>-148.27199999999999</v>
      </c>
      <c r="BP87">
        <f>135.058</f>
        <v>135.05799999999999</v>
      </c>
      <c r="BQ87">
        <f>119.441</f>
        <v>119.441</v>
      </c>
      <c r="BR87">
        <f>120.056</f>
        <v>120.056</v>
      </c>
      <c r="BS87">
        <f>141.189</f>
        <v>141.18899999999999</v>
      </c>
      <c r="BT87">
        <f>61.969</f>
        <v>61.969000000000001</v>
      </c>
      <c r="BU87">
        <f>166.958</f>
        <v>166.958</v>
      </c>
      <c r="BV87">
        <f>163.505</f>
        <v>163.505</v>
      </c>
      <c r="BW87">
        <f>156.537</f>
        <v>156.53700000000001</v>
      </c>
      <c r="BX87">
        <f>166.191</f>
        <v>166.191</v>
      </c>
      <c r="BY87">
        <f>164.226</f>
        <v>164.226</v>
      </c>
      <c r="BZ87">
        <f>-115.146</f>
        <v>-115.146</v>
      </c>
      <c r="CA87">
        <f>121.623</f>
        <v>121.623</v>
      </c>
      <c r="CB87">
        <f>157.495</f>
        <v>157.495</v>
      </c>
      <c r="CC87">
        <f>144.239</f>
        <v>144.239</v>
      </c>
      <c r="CD87">
        <f>144.945</f>
        <v>144.94499999999999</v>
      </c>
      <c r="CE87">
        <f>149.049</f>
        <v>149.04900000000001</v>
      </c>
      <c r="CF87">
        <f>119.732</f>
        <v>119.732</v>
      </c>
      <c r="CG87">
        <f>121.4</f>
        <v>121.4</v>
      </c>
      <c r="CH87">
        <f>122.486</f>
        <v>122.486</v>
      </c>
      <c r="CI87">
        <f>114.749</f>
        <v>114.749</v>
      </c>
      <c r="CJ87">
        <f>95.683</f>
        <v>95.683000000000007</v>
      </c>
      <c r="CK87">
        <f>74.852</f>
        <v>74.852000000000004</v>
      </c>
      <c r="CL87">
        <f>113.303</f>
        <v>113.303</v>
      </c>
      <c r="CM87">
        <f>112.632</f>
        <v>112.63200000000001</v>
      </c>
      <c r="CN87">
        <f>65.801</f>
        <v>65.801000000000002</v>
      </c>
      <c r="CO87">
        <f>106.565</f>
        <v>106.565</v>
      </c>
      <c r="CP87">
        <f>98.302</f>
        <v>98.302000000000007</v>
      </c>
      <c r="CQ87">
        <f>95.363</f>
        <v>95.363</v>
      </c>
      <c r="CR87">
        <f>109.117</f>
        <v>109.117</v>
      </c>
      <c r="CS87">
        <f>39.392</f>
        <v>39.392000000000003</v>
      </c>
      <c r="CT87">
        <f>118.146</f>
        <v>118.146</v>
      </c>
      <c r="CU87">
        <f>130.813</f>
        <v>130.81299999999999</v>
      </c>
      <c r="CV87">
        <f>47.608</f>
        <v>47.607999999999997</v>
      </c>
      <c r="CW87">
        <f>20.288</f>
        <v>20.288</v>
      </c>
      <c r="CX87">
        <f>119.595</f>
        <v>119.595</v>
      </c>
      <c r="CY87">
        <f>202.549</f>
        <v>202.54900000000001</v>
      </c>
      <c r="CZ87">
        <f>141.856</f>
        <v>141.85599999999999</v>
      </c>
      <c r="DA87">
        <f>85.582</f>
        <v>85.581999999999994</v>
      </c>
      <c r="DB87">
        <f>152.688</f>
        <v>152.68799999999999</v>
      </c>
      <c r="DC87" t="str">
        <f>""</f>
        <v/>
      </c>
      <c r="DD87" t="str">
        <f>""</f>
        <v/>
      </c>
      <c r="DE87" t="str">
        <f>""</f>
        <v/>
      </c>
      <c r="DF87">
        <f>144.375</f>
        <v>144.375</v>
      </c>
      <c r="DG87" t="str">
        <f>""</f>
        <v/>
      </c>
      <c r="DH87" t="str">
        <f>""</f>
        <v/>
      </c>
      <c r="DI87" t="str">
        <f>""</f>
        <v/>
      </c>
      <c r="DJ87" t="str">
        <f>""</f>
        <v/>
      </c>
      <c r="DK87">
        <f>213.889</f>
        <v>213.88900000000001</v>
      </c>
      <c r="DL87">
        <f>120.685</f>
        <v>120.685</v>
      </c>
      <c r="DM87" t="str">
        <f>""</f>
        <v/>
      </c>
      <c r="DN87" t="str">
        <f>""</f>
        <v/>
      </c>
      <c r="DO87">
        <f>105.016</f>
        <v>105.01600000000001</v>
      </c>
      <c r="DP87">
        <f>107.884</f>
        <v>107.884</v>
      </c>
      <c r="DQ87" t="str">
        <f>""</f>
        <v/>
      </c>
      <c r="DR87" t="str">
        <f>""</f>
        <v/>
      </c>
      <c r="DS87" t="str">
        <f>""</f>
        <v/>
      </c>
      <c r="DT87" t="str">
        <f>""</f>
        <v/>
      </c>
      <c r="DU87" t="str">
        <f>""</f>
        <v/>
      </c>
    </row>
    <row r="88" spans="1:125">
      <c r="A88" t="str">
        <f>"    Federal Realty Investment Trus"</f>
        <v xml:space="preserve">    Federal Realty Investment Trus</v>
      </c>
      <c r="B88" t="str">
        <f>"FRT US Equity"</f>
        <v>FRT US Equity</v>
      </c>
      <c r="C88" t="str">
        <f t="shared" si="15"/>
        <v>RR009</v>
      </c>
      <c r="D88" t="str">
        <f t="shared" si="16"/>
        <v>EBITDA</v>
      </c>
      <c r="E88" t="str">
        <f t="shared" si="17"/>
        <v>动态</v>
      </c>
      <c r="F88" t="str">
        <f ca="1">IF(AND(ISNUMBER($F$544),$B$419=1),$F$544,HLOOKUP(INDIRECT(ADDRESS(2,COLUMN())),OFFSET($BN$2,0,0,ROW()-1,60),ROW()-1,FALSE))</f>
        <v/>
      </c>
      <c r="G88">
        <f ca="1">IF(AND(ISNUMBER($G$544),$B$419=1),$G$544,HLOOKUP(INDIRECT(ADDRESS(2,COLUMN())),OFFSET($BN$2,0,0,ROW()-1,60),ROW()-1,FALSE))</f>
        <v>139.55099999999999</v>
      </c>
      <c r="H88">
        <f ca="1">IF(AND(ISNUMBER($H$544),$B$419=1),$H$544,HLOOKUP(INDIRECT(ADDRESS(2,COLUMN())),OFFSET($BN$2,0,0,ROW()-1,60),ROW()-1,FALSE))</f>
        <v>140.108</v>
      </c>
      <c r="I88">
        <f ca="1">IF(AND(ISNUMBER($I$544),$B$419=1),$I$544,HLOOKUP(INDIRECT(ADDRESS(2,COLUMN())),OFFSET($BN$2,0,0,ROW()-1,60),ROW()-1,FALSE))</f>
        <v>135.756</v>
      </c>
      <c r="J88">
        <f ca="1">IF(AND(ISNUMBER($J$544),$B$419=1),$J$544,HLOOKUP(INDIRECT(ADDRESS(2,COLUMN())),OFFSET($BN$2,0,0,ROW()-1,60),ROW()-1,FALSE))</f>
        <v>132.923</v>
      </c>
      <c r="K88">
        <f ca="1">IF(AND(ISNUMBER($K$544),$B$419=1),$K$544,HLOOKUP(INDIRECT(ADDRESS(2,COLUMN())),OFFSET($BN$2,0,0,ROW()-1,60),ROW()-1,FALSE))</f>
        <v>131.92500000000001</v>
      </c>
      <c r="L88">
        <f ca="1">IF(AND(ISNUMBER($L$544),$B$419=1),$L$544,HLOOKUP(INDIRECT(ADDRESS(2,COLUMN())),OFFSET($BN$2,0,0,ROW()-1,60),ROW()-1,FALSE))</f>
        <v>129.364</v>
      </c>
      <c r="M88">
        <f ca="1">IF(AND(ISNUMBER($M$544),$B$419=1),$M$544,HLOOKUP(INDIRECT(ADDRESS(2,COLUMN())),OFFSET($BN$2,0,0,ROW()-1,60),ROW()-1,FALSE))</f>
        <v>128.57</v>
      </c>
      <c r="N88">
        <f ca="1">IF(AND(ISNUMBER($N$544),$B$419=1),$N$544,HLOOKUP(INDIRECT(ADDRESS(2,COLUMN())),OFFSET($BN$2,0,0,ROW()-1,60),ROW()-1,FALSE))</f>
        <v>124.721</v>
      </c>
      <c r="O88">
        <f ca="1">IF(AND(ISNUMBER($O$544),$B$419=1),$O$544,HLOOKUP(INDIRECT(ADDRESS(2,COLUMN())),OFFSET($BN$2,0,0,ROW()-1,60),ROW()-1,FALSE))</f>
        <v>122.337</v>
      </c>
      <c r="P88">
        <f ca="1">IF(AND(ISNUMBER($P$544),$B$419=1),$P$544,HLOOKUP(INDIRECT(ADDRESS(2,COLUMN())),OFFSET($BN$2,0,0,ROW()-1,60),ROW()-1,FALSE))</f>
        <v>119.63500000000001</v>
      </c>
      <c r="Q88">
        <f ca="1">IF(AND(ISNUMBER($Q$544),$B$419=1),$Q$544,HLOOKUP(INDIRECT(ADDRESS(2,COLUMN())),OFFSET($BN$2,0,0,ROW()-1,60),ROW()-1,FALSE))</f>
        <v>118.872</v>
      </c>
      <c r="R88">
        <f ca="1">IF(AND(ISNUMBER($R$544),$B$419=1),$R$544,HLOOKUP(INDIRECT(ADDRESS(2,COLUMN())),OFFSET($BN$2,0,0,ROW()-1,60),ROW()-1,FALSE))</f>
        <v>114.10599999999999</v>
      </c>
      <c r="S88">
        <f ca="1">IF(AND(ISNUMBER($S$544),$B$419=1),$S$544,HLOOKUP(INDIRECT(ADDRESS(2,COLUMN())),OFFSET($BN$2,0,0,ROW()-1,60),ROW()-1,FALSE))</f>
        <v>115.021</v>
      </c>
      <c r="T88">
        <f ca="1">IF(AND(ISNUMBER($T$544),$B$419=1),$T$544,HLOOKUP(INDIRECT(ADDRESS(2,COLUMN())),OFFSET($BN$2,0,0,ROW()-1,60),ROW()-1,FALSE))</f>
        <v>110.282</v>
      </c>
      <c r="U88">
        <f ca="1">IF(AND(ISNUMBER($U$544),$B$419=1),$U$544,HLOOKUP(INDIRECT(ADDRESS(2,COLUMN())),OFFSET($BN$2,0,0,ROW()-1,60),ROW()-1,FALSE))</f>
        <v>109.254</v>
      </c>
      <c r="V88">
        <f ca="1">IF(AND(ISNUMBER($V$544),$B$419=1),$V$544,HLOOKUP(INDIRECT(ADDRESS(2,COLUMN())),OFFSET($BN$2,0,0,ROW()-1,60),ROW()-1,FALSE))</f>
        <v>107.294</v>
      </c>
      <c r="W88">
        <f ca="1">IF(AND(ISNUMBER($W$544),$B$419=1),$W$544,HLOOKUP(INDIRECT(ADDRESS(2,COLUMN())),OFFSET($BN$2,0,0,ROW()-1,60),ROW()-1,FALSE))</f>
        <v>104.684</v>
      </c>
      <c r="X88">
        <f ca="1">IF(AND(ISNUMBER($X$544),$B$419=1),$X$544,HLOOKUP(INDIRECT(ADDRESS(2,COLUMN())),OFFSET($BN$2,0,0,ROW()-1,60),ROW()-1,FALSE))</f>
        <v>104.10899999999999</v>
      </c>
      <c r="Y88">
        <f ca="1">IF(AND(ISNUMBER($Y$544),$B$419=1),$Y$544,HLOOKUP(INDIRECT(ADDRESS(2,COLUMN())),OFFSET($BN$2,0,0,ROW()-1,60),ROW()-1,FALSE))</f>
        <v>103.34099999999999</v>
      </c>
      <c r="Z88">
        <f ca="1">IF(AND(ISNUMBER($Z$544),$B$419=1),$Z$544,HLOOKUP(INDIRECT(ADDRESS(2,COLUMN())),OFFSET($BN$2,0,0,ROW()-1,60),ROW()-1,FALSE))</f>
        <v>103.126</v>
      </c>
      <c r="AA88">
        <f ca="1">IF(AND(ISNUMBER($AA$544),$B$419=1),$AA$544,HLOOKUP(INDIRECT(ADDRESS(2,COLUMN())),OFFSET($BN$2,0,0,ROW()-1,60),ROW()-1,FALSE))</f>
        <v>100.827</v>
      </c>
      <c r="AB88">
        <f ca="1">IF(AND(ISNUMBER($AB$544),$B$419=1),$AB$544,HLOOKUP(INDIRECT(ADDRESS(2,COLUMN())),OFFSET($BN$2,0,0,ROW()-1,60),ROW()-1,FALSE))</f>
        <v>102.05500000000001</v>
      </c>
      <c r="AC88">
        <f ca="1">IF(AND(ISNUMBER($AC$544),$B$419=1),$AC$544,HLOOKUP(INDIRECT(ADDRESS(2,COLUMN())),OFFSET($BN$2,0,0,ROW()-1,60),ROW()-1,FALSE))</f>
        <v>96.977999999999994</v>
      </c>
      <c r="AD88">
        <f ca="1">IF(AND(ISNUMBER($AD$544),$B$419=1),$AD$544,HLOOKUP(INDIRECT(ADDRESS(2,COLUMN())),OFFSET($BN$2,0,0,ROW()-1,60),ROW()-1,FALSE))</f>
        <v>97.117999999999995</v>
      </c>
      <c r="AE88">
        <f ca="1">IF(AND(ISNUMBER($AE$544),$B$419=1),$AE$544,HLOOKUP(INDIRECT(ADDRESS(2,COLUMN())),OFFSET($BN$2,0,0,ROW()-1,60),ROW()-1,FALSE))</f>
        <v>89.085999999999999</v>
      </c>
      <c r="AF88">
        <f ca="1">IF(AND(ISNUMBER($AF$544),$B$419=1),$AF$544,HLOOKUP(INDIRECT(ADDRESS(2,COLUMN())),OFFSET($BN$2,0,0,ROW()-1,60),ROW()-1,FALSE))</f>
        <v>88.84</v>
      </c>
      <c r="AG88">
        <f ca="1">IF(AND(ISNUMBER($AG$544),$B$419=1),$AG$544,HLOOKUP(INDIRECT(ADDRESS(2,COLUMN())),OFFSET($BN$2,0,0,ROW()-1,60),ROW()-1,FALSE))</f>
        <v>89.397000000000006</v>
      </c>
      <c r="AH88">
        <f ca="1">IF(AND(ISNUMBER($AH$544),$B$419=1),$AH$544,HLOOKUP(INDIRECT(ADDRESS(2,COLUMN())),OFFSET($BN$2,0,0,ROW()-1,60),ROW()-1,FALSE))</f>
        <v>86.941999999999993</v>
      </c>
      <c r="AI88">
        <f ca="1">IF(AND(ISNUMBER($AI$544),$B$419=1),$AI$544,HLOOKUP(INDIRECT(ADDRESS(2,COLUMN())),OFFSET($BN$2,0,0,ROW()-1,60),ROW()-1,FALSE))</f>
        <v>88.878</v>
      </c>
      <c r="AJ88">
        <f ca="1">IF(AND(ISNUMBER($AJ$544),$B$419=1),$AJ$544,HLOOKUP(INDIRECT(ADDRESS(2,COLUMN())),OFFSET($BN$2,0,0,ROW()-1,60),ROW()-1,FALSE))</f>
        <v>85.486999999999995</v>
      </c>
      <c r="AK88">
        <f ca="1">IF(AND(ISNUMBER($AK$544),$B$419=1),$AK$544,HLOOKUP(INDIRECT(ADDRESS(2,COLUMN())),OFFSET($BN$2,0,0,ROW()-1,60),ROW()-1,FALSE))</f>
        <v>87.019000000000005</v>
      </c>
      <c r="AL88">
        <f ca="1">IF(AND(ISNUMBER($AL$544),$B$419=1),$AL$544,HLOOKUP(INDIRECT(ADDRESS(2,COLUMN())),OFFSET($BN$2,0,0,ROW()-1,60),ROW()-1,FALSE))</f>
        <v>87.914000000000001</v>
      </c>
      <c r="AM88">
        <f ca="1">IF(AND(ISNUMBER($AM$544),$B$419=1),$AM$544,HLOOKUP(INDIRECT(ADDRESS(2,COLUMN())),OFFSET($BN$2,0,0,ROW()-1,60),ROW()-1,FALSE))</f>
        <v>91.762</v>
      </c>
      <c r="AN88">
        <f ca="1">IF(AND(ISNUMBER($AN$544),$B$419=1),$AN$544,HLOOKUP(INDIRECT(ADDRESS(2,COLUMN())),OFFSET($BN$2,0,0,ROW()-1,60),ROW()-1,FALSE))</f>
        <v>86.061000000000007</v>
      </c>
      <c r="AO88">
        <f ca="1">IF(AND(ISNUMBER($AO$544),$B$419=1),$AO$544,HLOOKUP(INDIRECT(ADDRESS(2,COLUMN())),OFFSET($BN$2,0,0,ROW()-1,60),ROW()-1,FALSE))</f>
        <v>85.036000000000001</v>
      </c>
      <c r="AP88">
        <f ca="1">IF(AND(ISNUMBER($AP$544),$B$419=1),$AP$544,HLOOKUP(INDIRECT(ADDRESS(2,COLUMN())),OFFSET($BN$2,0,0,ROW()-1,60),ROW()-1,FALSE))</f>
        <v>62.77</v>
      </c>
      <c r="AQ88">
        <f ca="1">IF(AND(ISNUMBER($AQ$544),$B$419=1),$AQ$544,HLOOKUP(INDIRECT(ADDRESS(2,COLUMN())),OFFSET($BN$2,0,0,ROW()-1,60),ROW()-1,FALSE))</f>
        <v>83.186000000000007</v>
      </c>
      <c r="AR88">
        <f ca="1">IF(AND(ISNUMBER($AR$544),$B$419=1),$AR$544,HLOOKUP(INDIRECT(ADDRESS(2,COLUMN())),OFFSET($BN$2,0,0,ROW()-1,60),ROW()-1,FALSE))</f>
        <v>84.088999999999999</v>
      </c>
      <c r="AS88">
        <f ca="1">IF(AND(ISNUMBER($AS$544),$B$419=1),$AS$544,HLOOKUP(INDIRECT(ADDRESS(2,COLUMN())),OFFSET($BN$2,0,0,ROW()-1,60),ROW()-1,FALSE))</f>
        <v>81.31</v>
      </c>
      <c r="AT88">
        <f ca="1">IF(AND(ISNUMBER($AT$544),$B$419=1),$AT$544,HLOOKUP(INDIRECT(ADDRESS(2,COLUMN())),OFFSET($BN$2,0,0,ROW()-1,60),ROW()-1,FALSE))</f>
        <v>79.787000000000006</v>
      </c>
      <c r="AU88">
        <f ca="1">IF(AND(ISNUMBER($AU$544),$B$419=1),$AU$544,HLOOKUP(INDIRECT(ADDRESS(2,COLUMN())),OFFSET($BN$2,0,0,ROW()-1,60),ROW()-1,FALSE))</f>
        <v>79.685000000000002</v>
      </c>
      <c r="AV88">
        <f ca="1">IF(AND(ISNUMBER($AV$544),$B$419=1),$AV$544,HLOOKUP(INDIRECT(ADDRESS(2,COLUMN())),OFFSET($BN$2,0,0,ROW()-1,60),ROW()-1,FALSE))</f>
        <v>80.164000000000001</v>
      </c>
      <c r="AW88">
        <f ca="1">IF(AND(ISNUMBER($AW$544),$B$419=1),$AW$544,HLOOKUP(INDIRECT(ADDRESS(2,COLUMN())),OFFSET($BN$2,0,0,ROW()-1,60),ROW()-1,FALSE))</f>
        <v>79.739000000000004</v>
      </c>
      <c r="AX88">
        <f ca="1">IF(AND(ISNUMBER($AX$544),$B$419=1),$AX$544,HLOOKUP(INDIRECT(ADDRESS(2,COLUMN())),OFFSET($BN$2,0,0,ROW()-1,60),ROW()-1,FALSE))</f>
        <v>76.585999999999999</v>
      </c>
      <c r="AY88">
        <f ca="1">IF(AND(ISNUMBER($AY$544),$B$419=1),$AY$544,HLOOKUP(INDIRECT(ADDRESS(2,COLUMN())),OFFSET($BN$2,0,0,ROW()-1,60),ROW()-1,FALSE))</f>
        <v>68.605999999999995</v>
      </c>
      <c r="AZ88">
        <f ca="1">IF(AND(ISNUMBER($AZ$544),$B$419=1),$AZ$544,HLOOKUP(INDIRECT(ADDRESS(2,COLUMN())),OFFSET($BN$2,0,0,ROW()-1,60),ROW()-1,FALSE))</f>
        <v>73.887</v>
      </c>
      <c r="BA88">
        <f ca="1">IF(AND(ISNUMBER($BA$544),$B$419=1),$BA$544,HLOOKUP(INDIRECT(ADDRESS(2,COLUMN())),OFFSET($BN$2,0,0,ROW()-1,60),ROW()-1,FALSE))</f>
        <v>73.212000000000003</v>
      </c>
      <c r="BB88">
        <f ca="1">IF(AND(ISNUMBER($BB$544),$B$419=1),$BB$544,HLOOKUP(INDIRECT(ADDRESS(2,COLUMN())),OFFSET($BN$2,0,0,ROW()-1,60),ROW()-1,FALSE))</f>
        <v>71.656999999999996</v>
      </c>
      <c r="BC88">
        <f ca="1">IF(AND(ISNUMBER($BC$544),$B$419=1),$BC$544,HLOOKUP(INDIRECT(ADDRESS(2,COLUMN())),OFFSET($BN$2,0,0,ROW()-1,60),ROW()-1,FALSE))</f>
        <v>69.015000000000001</v>
      </c>
      <c r="BD88">
        <f ca="1">IF(AND(ISNUMBER($BD$544),$B$419=1),$BD$544,HLOOKUP(INDIRECT(ADDRESS(2,COLUMN())),OFFSET($BN$2,0,0,ROW()-1,60),ROW()-1,FALSE))</f>
        <v>66.733000000000004</v>
      </c>
      <c r="BE88">
        <f ca="1">IF(AND(ISNUMBER($BE$544),$B$419=1),$BE$544,HLOOKUP(INDIRECT(ADDRESS(2,COLUMN())),OFFSET($BN$2,0,0,ROW()-1,60),ROW()-1,FALSE))</f>
        <v>68.215999999999994</v>
      </c>
      <c r="BF88">
        <f ca="1">IF(AND(ISNUMBER($BF$544),$B$419=1),$BF$544,HLOOKUP(INDIRECT(ADDRESS(2,COLUMN())),OFFSET($BN$2,0,0,ROW()-1,60),ROW()-1,FALSE))</f>
        <v>65.278999999999996</v>
      </c>
      <c r="BG88">
        <f ca="1">IF(AND(ISNUMBER($BG$544),$B$419=1),$BG$544,HLOOKUP(INDIRECT(ADDRESS(2,COLUMN())),OFFSET($BN$2,0,0,ROW()-1,60),ROW()-1,FALSE))</f>
        <v>61.768999100000002</v>
      </c>
      <c r="BH88">
        <f ca="1">IF(AND(ISNUMBER($BH$544),$B$419=1),$BH$544,HLOOKUP(INDIRECT(ADDRESS(2,COLUMN())),OFFSET($BN$2,0,0,ROW()-1,60),ROW()-1,FALSE))</f>
        <v>106.72799999999999</v>
      </c>
      <c r="BI88">
        <f ca="1">IF(AND(ISNUMBER($BI$544),$B$419=1),$BI$544,HLOOKUP(INDIRECT(ADDRESS(2,COLUMN())),OFFSET($BN$2,0,0,ROW()-1,60),ROW()-1,FALSE))</f>
        <v>63.647001269999997</v>
      </c>
      <c r="BJ88">
        <f ca="1">IF(AND(ISNUMBER($BJ$544),$B$419=1),$BJ$544,HLOOKUP(INDIRECT(ADDRESS(2,COLUMN())),OFFSET($BN$2,0,0,ROW()-1,60),ROW()-1,FALSE))</f>
        <v>60.366999999999997</v>
      </c>
      <c r="BK88">
        <f ca="1">IF(AND(ISNUMBER($BK$544),$B$419=1),$BK$544,HLOOKUP(INDIRECT(ADDRESS(2,COLUMN())),OFFSET($BN$2,0,0,ROW()-1,60),ROW()-1,FALSE))</f>
        <v>64.057000000000002</v>
      </c>
      <c r="BL88">
        <f ca="1">IF(AND(ISNUMBER($BL$544),$B$419=1),$BL$544,HLOOKUP(INDIRECT(ADDRESS(2,COLUMN())),OFFSET($BN$2,0,0,ROW()-1,60),ROW()-1,FALSE))</f>
        <v>91.491</v>
      </c>
      <c r="BM88">
        <f ca="1">IF(AND(ISNUMBER($BM$544),$B$419=1),$BM$544,HLOOKUP(INDIRECT(ADDRESS(2,COLUMN())),OFFSET($BN$2,0,0,ROW()-1,60),ROW()-1,FALSE))</f>
        <v>72.542000000000002</v>
      </c>
      <c r="BN88" t="str">
        <f>""</f>
        <v/>
      </c>
      <c r="BO88">
        <f>139.551</f>
        <v>139.55099999999999</v>
      </c>
      <c r="BP88">
        <f>140.108</f>
        <v>140.108</v>
      </c>
      <c r="BQ88">
        <f>135.756</f>
        <v>135.756</v>
      </c>
      <c r="BR88">
        <f>132.923</f>
        <v>132.923</v>
      </c>
      <c r="BS88">
        <f>131.925</f>
        <v>131.92500000000001</v>
      </c>
      <c r="BT88">
        <f>129.364</f>
        <v>129.364</v>
      </c>
      <c r="BU88">
        <f>128.57</f>
        <v>128.57</v>
      </c>
      <c r="BV88">
        <f>124.721</f>
        <v>124.721</v>
      </c>
      <c r="BW88">
        <f>122.337</f>
        <v>122.337</v>
      </c>
      <c r="BX88">
        <f>119.635</f>
        <v>119.63500000000001</v>
      </c>
      <c r="BY88">
        <f>118.872</f>
        <v>118.872</v>
      </c>
      <c r="BZ88">
        <f>114.106</f>
        <v>114.10599999999999</v>
      </c>
      <c r="CA88">
        <f>115.021</f>
        <v>115.021</v>
      </c>
      <c r="CB88">
        <f>110.282</f>
        <v>110.282</v>
      </c>
      <c r="CC88">
        <f>109.254</f>
        <v>109.254</v>
      </c>
      <c r="CD88">
        <f>107.294</f>
        <v>107.294</v>
      </c>
      <c r="CE88">
        <f>104.684</f>
        <v>104.684</v>
      </c>
      <c r="CF88">
        <f>104.109</f>
        <v>104.10899999999999</v>
      </c>
      <c r="CG88">
        <f>103.341</f>
        <v>103.34099999999999</v>
      </c>
      <c r="CH88">
        <f>103.126</f>
        <v>103.126</v>
      </c>
      <c r="CI88">
        <f>100.827</f>
        <v>100.827</v>
      </c>
      <c r="CJ88">
        <f>102.055</f>
        <v>102.05500000000001</v>
      </c>
      <c r="CK88">
        <f>96.978</f>
        <v>96.977999999999994</v>
      </c>
      <c r="CL88">
        <f>97.118</f>
        <v>97.117999999999995</v>
      </c>
      <c r="CM88">
        <f>89.086</f>
        <v>89.085999999999999</v>
      </c>
      <c r="CN88">
        <f>88.84</f>
        <v>88.84</v>
      </c>
      <c r="CO88">
        <f>89.397</f>
        <v>89.397000000000006</v>
      </c>
      <c r="CP88">
        <f>86.942</f>
        <v>86.941999999999993</v>
      </c>
      <c r="CQ88">
        <f>88.878</f>
        <v>88.878</v>
      </c>
      <c r="CR88">
        <f>85.487</f>
        <v>85.486999999999995</v>
      </c>
      <c r="CS88">
        <f>87.019</f>
        <v>87.019000000000005</v>
      </c>
      <c r="CT88">
        <f>87.914</f>
        <v>87.914000000000001</v>
      </c>
      <c r="CU88">
        <f>91.762</f>
        <v>91.762</v>
      </c>
      <c r="CV88">
        <f>86.061</f>
        <v>86.061000000000007</v>
      </c>
      <c r="CW88">
        <f>85.036</f>
        <v>85.036000000000001</v>
      </c>
      <c r="CX88">
        <f>62.77</f>
        <v>62.77</v>
      </c>
      <c r="CY88">
        <f>83.186</f>
        <v>83.186000000000007</v>
      </c>
      <c r="CZ88">
        <f>84.089</f>
        <v>84.088999999999999</v>
      </c>
      <c r="DA88">
        <f>81.31</f>
        <v>81.31</v>
      </c>
      <c r="DB88">
        <f>79.787</f>
        <v>79.787000000000006</v>
      </c>
      <c r="DC88">
        <f>79.685</f>
        <v>79.685000000000002</v>
      </c>
      <c r="DD88">
        <f>80.164</f>
        <v>80.164000000000001</v>
      </c>
      <c r="DE88">
        <f>79.739</f>
        <v>79.739000000000004</v>
      </c>
      <c r="DF88">
        <f>76.586</f>
        <v>76.585999999999999</v>
      </c>
      <c r="DG88">
        <f>68.606</f>
        <v>68.605999999999995</v>
      </c>
      <c r="DH88">
        <f>73.887</f>
        <v>73.887</v>
      </c>
      <c r="DI88">
        <f>73.212</f>
        <v>73.212000000000003</v>
      </c>
      <c r="DJ88">
        <f>71.657</f>
        <v>71.656999999999996</v>
      </c>
      <c r="DK88">
        <f>69.015</f>
        <v>69.015000000000001</v>
      </c>
      <c r="DL88">
        <f>66.733</f>
        <v>66.733000000000004</v>
      </c>
      <c r="DM88">
        <f>68.216</f>
        <v>68.215999999999994</v>
      </c>
      <c r="DN88">
        <f>65.279</f>
        <v>65.278999999999996</v>
      </c>
      <c r="DO88">
        <f>61.7689991</f>
        <v>61.768999100000002</v>
      </c>
      <c r="DP88">
        <f>106.728</f>
        <v>106.72799999999999</v>
      </c>
      <c r="DQ88">
        <f>63.64700127</f>
        <v>63.647001269999997</v>
      </c>
      <c r="DR88">
        <f>60.367</f>
        <v>60.366999999999997</v>
      </c>
      <c r="DS88">
        <f>64.057</f>
        <v>64.057000000000002</v>
      </c>
      <c r="DT88">
        <f>91.491</f>
        <v>91.491</v>
      </c>
      <c r="DU88">
        <f>72.542</f>
        <v>72.542000000000002</v>
      </c>
    </row>
    <row r="89" spans="1:125">
      <c r="A89" t="str">
        <f>"    Kimco Realty Corp"</f>
        <v xml:space="preserve">    Kimco Realty Corp</v>
      </c>
      <c r="B89" t="str">
        <f>"KIM US Equity"</f>
        <v>KIM US Equity</v>
      </c>
      <c r="C89" t="str">
        <f t="shared" si="15"/>
        <v>RR009</v>
      </c>
      <c r="D89" t="str">
        <f t="shared" si="16"/>
        <v>EBITDA</v>
      </c>
      <c r="E89" t="str">
        <f t="shared" si="17"/>
        <v>动态</v>
      </c>
      <c r="F89" t="str">
        <f ca="1">IF(AND(ISNUMBER($F$545),$B$419=1),$F$545,HLOOKUP(INDIRECT(ADDRESS(2,COLUMN())),OFFSET($BN$2,0,0,ROW()-1,60),ROW()-1,FALSE))</f>
        <v/>
      </c>
      <c r="G89">
        <f ca="1">IF(AND(ISNUMBER($G$545),$B$419=1),$G$545,HLOOKUP(INDIRECT(ADDRESS(2,COLUMN())),OFFSET($BN$2,0,0,ROW()-1,60),ROW()-1,FALSE))</f>
        <v>164.11</v>
      </c>
      <c r="H89">
        <f ca="1">IF(AND(ISNUMBER($H$545),$B$419=1),$H$545,HLOOKUP(INDIRECT(ADDRESS(2,COLUMN())),OFFSET($BN$2,0,0,ROW()-1,60),ROW()-1,FALSE))</f>
        <v>188.28800000000001</v>
      </c>
      <c r="I89">
        <f ca="1">IF(AND(ISNUMBER($I$545),$B$419=1),$I$545,HLOOKUP(INDIRECT(ADDRESS(2,COLUMN())),OFFSET($BN$2,0,0,ROW()-1,60),ROW()-1,FALSE))</f>
        <v>161.18100000000001</v>
      </c>
      <c r="J89">
        <f ca="1">IF(AND(ISNUMBER($J$545),$B$419=1),$J$545,HLOOKUP(INDIRECT(ADDRESS(2,COLUMN())),OFFSET($BN$2,0,0,ROW()-1,60),ROW()-1,FALSE))</f>
        <v>184.71100000000001</v>
      </c>
      <c r="K89">
        <f ca="1">IF(AND(ISNUMBER($K$545),$B$419=1),$K$545,HLOOKUP(INDIRECT(ADDRESS(2,COLUMN())),OFFSET($BN$2,0,0,ROW()-1,60),ROW()-1,FALSE))</f>
        <v>162.70099999999999</v>
      </c>
      <c r="L89">
        <f ca="1">IF(AND(ISNUMBER($L$545),$B$419=1),$L$545,HLOOKUP(INDIRECT(ADDRESS(2,COLUMN())),OFFSET($BN$2,0,0,ROW()-1,60),ROW()-1,FALSE))</f>
        <v>172.90700000000001</v>
      </c>
      <c r="M89">
        <f ca="1">IF(AND(ISNUMBER($M$545),$B$419=1),$M$545,HLOOKUP(INDIRECT(ADDRESS(2,COLUMN())),OFFSET($BN$2,0,0,ROW()-1,60),ROW()-1,FALSE))</f>
        <v>136.41999999999999</v>
      </c>
      <c r="N89">
        <f ca="1">IF(AND(ISNUMBER($N$545),$B$419=1),$N$545,HLOOKUP(INDIRECT(ADDRESS(2,COLUMN())),OFFSET($BN$2,0,0,ROW()-1,60),ROW()-1,FALSE))</f>
        <v>184.11500000000001</v>
      </c>
      <c r="O89">
        <f ca="1">IF(AND(ISNUMBER($O$545),$B$419=1),$O$545,HLOOKUP(INDIRECT(ADDRESS(2,COLUMN())),OFFSET($BN$2,0,0,ROW()-1,60),ROW()-1,FALSE))</f>
        <v>168.50200000000001</v>
      </c>
      <c r="P89">
        <f ca="1">IF(AND(ISNUMBER($P$545),$B$419=1),$P$545,HLOOKUP(INDIRECT(ADDRESS(2,COLUMN())),OFFSET($BN$2,0,0,ROW()-1,60),ROW()-1,FALSE))</f>
        <v>178.69499999999999</v>
      </c>
      <c r="Q89">
        <f ca="1">IF(AND(ISNUMBER($Q$545),$B$419=1),$Q$545,HLOOKUP(INDIRECT(ADDRESS(2,COLUMN())),OFFSET($BN$2,0,0,ROW()-1,60),ROW()-1,FALSE))</f>
        <v>172.36699999999999</v>
      </c>
      <c r="R89">
        <f ca="1">IF(AND(ISNUMBER($R$545),$B$419=1),$R$545,HLOOKUP(INDIRECT(ADDRESS(2,COLUMN())),OFFSET($BN$2,0,0,ROW()-1,60),ROW()-1,FALSE))</f>
        <v>168.535</v>
      </c>
      <c r="S89">
        <f ca="1">IF(AND(ISNUMBER($S$545),$B$419=1),$S$545,HLOOKUP(INDIRECT(ADDRESS(2,COLUMN())),OFFSET($BN$2,0,0,ROW()-1,60),ROW()-1,FALSE))</f>
        <v>153.946</v>
      </c>
      <c r="T89">
        <f ca="1">IF(AND(ISNUMBER($T$545),$B$419=1),$T$545,HLOOKUP(INDIRECT(ADDRESS(2,COLUMN())),OFFSET($BN$2,0,0,ROW()-1,60),ROW()-1,FALSE))</f>
        <v>161.00800000000001</v>
      </c>
      <c r="U89">
        <f ca="1">IF(AND(ISNUMBER($U$545),$B$419=1),$U$545,HLOOKUP(INDIRECT(ADDRESS(2,COLUMN())),OFFSET($BN$2,0,0,ROW()-1,60),ROW()-1,FALSE))</f>
        <v>132.12</v>
      </c>
      <c r="V89">
        <f ca="1">IF(AND(ISNUMBER($V$545),$B$419=1),$V$545,HLOOKUP(INDIRECT(ADDRESS(2,COLUMN())),OFFSET($BN$2,0,0,ROW()-1,60),ROW()-1,FALSE))</f>
        <v>136.334</v>
      </c>
      <c r="W89">
        <f ca="1">IF(AND(ISNUMBER($W$545),$B$419=1),$W$545,HLOOKUP(INDIRECT(ADDRESS(2,COLUMN())),OFFSET($BN$2,0,0,ROW()-1,60),ROW()-1,FALSE))</f>
        <v>138.91900000000001</v>
      </c>
      <c r="X89">
        <f ca="1">IF(AND(ISNUMBER($X$545),$B$419=1),$X$545,HLOOKUP(INDIRECT(ADDRESS(2,COLUMN())),OFFSET($BN$2,0,0,ROW()-1,60),ROW()-1,FALSE))</f>
        <v>81.09</v>
      </c>
      <c r="Y89">
        <f ca="1">IF(AND(ISNUMBER($Y$545),$B$419=1),$Y$545,HLOOKUP(INDIRECT(ADDRESS(2,COLUMN())),OFFSET($BN$2,0,0,ROW()-1,60),ROW()-1,FALSE))</f>
        <v>113.253</v>
      </c>
      <c r="Z89">
        <f ca="1">IF(AND(ISNUMBER($Z$545),$B$419=1),$Z$545,HLOOKUP(INDIRECT(ADDRESS(2,COLUMN())),OFFSET($BN$2,0,0,ROW()-1,60),ROW()-1,FALSE))</f>
        <v>137.11799999999999</v>
      </c>
      <c r="AA89">
        <f ca="1">IF(AND(ISNUMBER($AA$545),$B$419=1),$AA$545,HLOOKUP(INDIRECT(ADDRESS(2,COLUMN())),OFFSET($BN$2,0,0,ROW()-1,60),ROW()-1,FALSE))</f>
        <v>126.587</v>
      </c>
      <c r="AB89">
        <f ca="1">IF(AND(ISNUMBER($AB$545),$B$419=1),$AB$545,HLOOKUP(INDIRECT(ADDRESS(2,COLUMN())),OFFSET($BN$2,0,0,ROW()-1,60),ROW()-1,FALSE))</f>
        <v>137.58799999999999</v>
      </c>
      <c r="AC89">
        <f ca="1">IF(AND(ISNUMBER($AC$545),$B$419=1),$AC$545,HLOOKUP(INDIRECT(ADDRESS(2,COLUMN())),OFFSET($BN$2,0,0,ROW()-1,60),ROW()-1,FALSE))</f>
        <v>141.87799999999999</v>
      </c>
      <c r="AD89">
        <f ca="1">IF(AND(ISNUMBER($AD$545),$B$419=1),$AD$545,HLOOKUP(INDIRECT(ADDRESS(2,COLUMN())),OFFSET($BN$2,0,0,ROW()-1,60),ROW()-1,FALSE))</f>
        <v>133.744</v>
      </c>
      <c r="AE89">
        <f ca="1">IF(AND(ISNUMBER($AE$545),$B$419=1),$AE$545,HLOOKUP(INDIRECT(ADDRESS(2,COLUMN())),OFFSET($BN$2,0,0,ROW()-1,60),ROW()-1,FALSE))</f>
        <v>126.22199999999999</v>
      </c>
      <c r="AF89">
        <f ca="1">IF(AND(ISNUMBER($AF$545),$B$419=1),$AF$545,HLOOKUP(INDIRECT(ADDRESS(2,COLUMN())),OFFSET($BN$2,0,0,ROW()-1,60),ROW()-1,FALSE))</f>
        <v>123.20099999999999</v>
      </c>
      <c r="AG89">
        <f ca="1">IF(AND(ISNUMBER($AG$545),$B$419=1),$AG$545,HLOOKUP(INDIRECT(ADDRESS(2,COLUMN())),OFFSET($BN$2,0,0,ROW()-1,60),ROW()-1,FALSE))</f>
        <v>130.74799999999999</v>
      </c>
      <c r="AH89">
        <f ca="1">IF(AND(ISNUMBER($AH$545),$B$419=1),$AH$545,HLOOKUP(INDIRECT(ADDRESS(2,COLUMN())),OFFSET($BN$2,0,0,ROW()-1,60),ROW()-1,FALSE))</f>
        <v>132.26300000000001</v>
      </c>
      <c r="AI89">
        <f ca="1">IF(AND(ISNUMBER($AI$545),$B$419=1),$AI$545,HLOOKUP(INDIRECT(ADDRESS(2,COLUMN())),OFFSET($BN$2,0,0,ROW()-1,60),ROW()-1,FALSE))</f>
        <v>123.69</v>
      </c>
      <c r="AJ89">
        <f ca="1">IF(AND(ISNUMBER($AJ$545),$B$419=1),$AJ$545,HLOOKUP(INDIRECT(ADDRESS(2,COLUMN())),OFFSET($BN$2,0,0,ROW()-1,60),ROW()-1,FALSE))</f>
        <v>132.52500000000001</v>
      </c>
      <c r="AK89">
        <f ca="1">IF(AND(ISNUMBER($AK$545),$B$419=1),$AK$545,HLOOKUP(INDIRECT(ADDRESS(2,COLUMN())),OFFSET($BN$2,0,0,ROW()-1,60),ROW()-1,FALSE))</f>
        <v>136.66</v>
      </c>
      <c r="AL89">
        <f ca="1">IF(AND(ISNUMBER($AL$545),$B$419=1),$AL$545,HLOOKUP(INDIRECT(ADDRESS(2,COLUMN())),OFFSET($BN$2,0,0,ROW()-1,60),ROW()-1,FALSE))</f>
        <v>139.68299999999999</v>
      </c>
      <c r="AM89">
        <f ca="1">IF(AND(ISNUMBER($AM$545),$B$419=1),$AM$545,HLOOKUP(INDIRECT(ADDRESS(2,COLUMN())),OFFSET($BN$2,0,0,ROW()-1,60),ROW()-1,FALSE))</f>
        <v>141.04900000000001</v>
      </c>
      <c r="AN89">
        <f ca="1">IF(AND(ISNUMBER($AN$545),$B$419=1),$AN$545,HLOOKUP(INDIRECT(ADDRESS(2,COLUMN())),OFFSET($BN$2,0,0,ROW()-1,60),ROW()-1,FALSE))</f>
        <v>129.00800000000001</v>
      </c>
      <c r="AO89">
        <f ca="1">IF(AND(ISNUMBER($AO$545),$B$419=1),$AO$545,HLOOKUP(INDIRECT(ADDRESS(2,COLUMN())),OFFSET($BN$2,0,0,ROW()-1,60),ROW()-1,FALSE))</f>
        <v>91.885999999999996</v>
      </c>
      <c r="AP89">
        <f ca="1">IF(AND(ISNUMBER($AP$545),$B$419=1),$AP$545,HLOOKUP(INDIRECT(ADDRESS(2,COLUMN())),OFFSET($BN$2,0,0,ROW()-1,60),ROW()-1,FALSE))</f>
        <v>127.53400000000001</v>
      </c>
      <c r="AQ89">
        <f ca="1">IF(AND(ISNUMBER($AQ$545),$B$419=1),$AQ$545,HLOOKUP(INDIRECT(ADDRESS(2,COLUMN())),OFFSET($BN$2,0,0,ROW()-1,60),ROW()-1,FALSE))</f>
        <v>128.75399999999999</v>
      </c>
      <c r="AR89">
        <f ca="1">IF(AND(ISNUMBER($AR$545),$B$419=1),$AR$545,HLOOKUP(INDIRECT(ADDRESS(2,COLUMN())),OFFSET($BN$2,0,0,ROW()-1,60),ROW()-1,FALSE))</f>
        <v>147.386</v>
      </c>
      <c r="AS89">
        <f ca="1">IF(AND(ISNUMBER($AS$545),$B$419=1),$AS$545,HLOOKUP(INDIRECT(ADDRESS(2,COLUMN())),OFFSET($BN$2,0,0,ROW()-1,60),ROW()-1,FALSE))</f>
        <v>156.15</v>
      </c>
      <c r="AT89">
        <f ca="1">IF(AND(ISNUMBER($AT$545),$B$419=1),$AT$545,HLOOKUP(INDIRECT(ADDRESS(2,COLUMN())),OFFSET($BN$2,0,0,ROW()-1,60),ROW()-1,FALSE))</f>
        <v>147.31800000000001</v>
      </c>
      <c r="AU89">
        <f ca="1">IF(AND(ISNUMBER($AU$545),$B$419=1),$AU$545,HLOOKUP(INDIRECT(ADDRESS(2,COLUMN())),OFFSET($BN$2,0,0,ROW()-1,60),ROW()-1,FALSE))</f>
        <v>119.86799999999999</v>
      </c>
      <c r="AV89">
        <f ca="1">IF(AND(ISNUMBER($AV$545),$B$419=1),$AV$545,HLOOKUP(INDIRECT(ADDRESS(2,COLUMN())),OFFSET($BN$2,0,0,ROW()-1,60),ROW()-1,FALSE))</f>
        <v>133.47399999999999</v>
      </c>
      <c r="AW89">
        <f ca="1">IF(AND(ISNUMBER($AW$545),$B$419=1),$AW$545,HLOOKUP(INDIRECT(ADDRESS(2,COLUMN())),OFFSET($BN$2,0,0,ROW()-1,60),ROW()-1,FALSE))</f>
        <v>149.91300000000001</v>
      </c>
      <c r="AX89">
        <f ca="1">IF(AND(ISNUMBER($AX$545),$B$419=1),$AX$545,HLOOKUP(INDIRECT(ADDRESS(2,COLUMN())),OFFSET($BN$2,0,0,ROW()-1,60),ROW()-1,FALSE))</f>
        <v>128.12700000000001</v>
      </c>
      <c r="AY89">
        <f ca="1">IF(AND(ISNUMBER($AY$545),$B$419=1),$AY$545,HLOOKUP(INDIRECT(ADDRESS(2,COLUMN())),OFFSET($BN$2,0,0,ROW()-1,60),ROW()-1,FALSE))</f>
        <v>194.29300000000001</v>
      </c>
      <c r="AZ89">
        <f ca="1">IF(AND(ISNUMBER($AZ$545),$B$419=1),$AZ$545,HLOOKUP(INDIRECT(ADDRESS(2,COLUMN())),OFFSET($BN$2,0,0,ROW()-1,60),ROW()-1,FALSE))</f>
        <v>87.525999999999996</v>
      </c>
      <c r="BA89">
        <f ca="1">IF(AND(ISNUMBER($BA$545),$B$419=1),$BA$545,HLOOKUP(INDIRECT(ADDRESS(2,COLUMN())),OFFSET($BN$2,0,0,ROW()-1,60),ROW()-1,FALSE))</f>
        <v>140.34700000000001</v>
      </c>
      <c r="BB89">
        <f ca="1">IF(AND(ISNUMBER($BB$545),$B$419=1),$BB$545,HLOOKUP(INDIRECT(ADDRESS(2,COLUMN())),OFFSET($BN$2,0,0,ROW()-1,60),ROW()-1,FALSE))</f>
        <v>114.816</v>
      </c>
      <c r="BC89">
        <f ca="1">IF(AND(ISNUMBER($BC$545),$B$419=1),$BC$545,HLOOKUP(INDIRECT(ADDRESS(2,COLUMN())),OFFSET($BN$2,0,0,ROW()-1,60),ROW()-1,FALSE))</f>
        <v>80.003</v>
      </c>
      <c r="BD89">
        <f ca="1">IF(AND(ISNUMBER($BD$545),$B$419=1),$BD$545,HLOOKUP(INDIRECT(ADDRESS(2,COLUMN())),OFFSET($BN$2,0,0,ROW()-1,60),ROW()-1,FALSE))</f>
        <v>99.963999999999999</v>
      </c>
      <c r="BE89">
        <f ca="1">IF(AND(ISNUMBER($BE$545),$B$419=1),$BE$545,HLOOKUP(INDIRECT(ADDRESS(2,COLUMN())),OFFSET($BN$2,0,0,ROW()-1,60),ROW()-1,FALSE))</f>
        <v>116.46599999999999</v>
      </c>
      <c r="BF89">
        <f ca="1">IF(AND(ISNUMBER($BF$545),$B$419=1),$BF$545,HLOOKUP(INDIRECT(ADDRESS(2,COLUMN())),OFFSET($BN$2,0,0,ROW()-1,60),ROW()-1,FALSE))</f>
        <v>108.56100000000001</v>
      </c>
      <c r="BG89">
        <f ca="1">IF(AND(ISNUMBER($BG$545),$B$419=1),$BG$545,HLOOKUP(INDIRECT(ADDRESS(2,COLUMN())),OFFSET($BN$2,0,0,ROW()-1,60),ROW()-1,FALSE))</f>
        <v>104.339</v>
      </c>
      <c r="BH89">
        <f ca="1">IF(AND(ISNUMBER($BH$545),$B$419=1),$BH$545,HLOOKUP(INDIRECT(ADDRESS(2,COLUMN())),OFFSET($BN$2,0,0,ROW()-1,60),ROW()-1,FALSE))</f>
        <v>102.08199999999999</v>
      </c>
      <c r="BI89">
        <f ca="1">IF(AND(ISNUMBER($BI$545),$B$419=1),$BI$545,HLOOKUP(INDIRECT(ADDRESS(2,COLUMN())),OFFSET($BN$2,0,0,ROW()-1,60),ROW()-1,FALSE))</f>
        <v>97.043000000000006</v>
      </c>
      <c r="BJ89">
        <f ca="1">IF(AND(ISNUMBER($BJ$545),$B$419=1),$BJ$545,HLOOKUP(INDIRECT(ADDRESS(2,COLUMN())),OFFSET($BN$2,0,0,ROW()-1,60),ROW()-1,FALSE))</f>
        <v>102.60299999999999</v>
      </c>
      <c r="BK89" t="str">
        <f ca="1">IF(AND(ISNUMBER($BK$545),$B$419=1),$BK$545,HLOOKUP(INDIRECT(ADDRESS(2,COLUMN())),OFFSET($BN$2,0,0,ROW()-1,60),ROW()-1,FALSE))</f>
        <v/>
      </c>
      <c r="BL89">
        <f ca="1">IF(AND(ISNUMBER($BL$545),$B$419=1),$BL$545,HLOOKUP(INDIRECT(ADDRESS(2,COLUMN())),OFFSET($BN$2,0,0,ROW()-1,60),ROW()-1,FALSE))</f>
        <v>97.18400192</v>
      </c>
      <c r="BM89">
        <f ca="1">IF(AND(ISNUMBER($BM$545),$B$419=1),$BM$545,HLOOKUP(INDIRECT(ADDRESS(2,COLUMN())),OFFSET($BN$2,0,0,ROW()-1,60),ROW()-1,FALSE))</f>
        <v>86.727999999999994</v>
      </c>
      <c r="BN89" t="str">
        <f>""</f>
        <v/>
      </c>
      <c r="BO89">
        <f>164.11</f>
        <v>164.11</v>
      </c>
      <c r="BP89">
        <f>188.288</f>
        <v>188.28800000000001</v>
      </c>
      <c r="BQ89">
        <f>161.181</f>
        <v>161.18100000000001</v>
      </c>
      <c r="BR89">
        <f>184.711</f>
        <v>184.71100000000001</v>
      </c>
      <c r="BS89">
        <f>162.701</f>
        <v>162.70099999999999</v>
      </c>
      <c r="BT89">
        <f>172.907</f>
        <v>172.90700000000001</v>
      </c>
      <c r="BU89">
        <f>136.42</f>
        <v>136.41999999999999</v>
      </c>
      <c r="BV89">
        <f>184.115</f>
        <v>184.11500000000001</v>
      </c>
      <c r="BW89">
        <f>168.502</f>
        <v>168.50200000000001</v>
      </c>
      <c r="BX89">
        <f>178.695</f>
        <v>178.69499999999999</v>
      </c>
      <c r="BY89">
        <f>172.367</f>
        <v>172.36699999999999</v>
      </c>
      <c r="BZ89">
        <f>168.535</f>
        <v>168.535</v>
      </c>
      <c r="CA89">
        <f>153.946</f>
        <v>153.946</v>
      </c>
      <c r="CB89">
        <f>161.008</f>
        <v>161.00800000000001</v>
      </c>
      <c r="CC89">
        <f>132.12</f>
        <v>132.12</v>
      </c>
      <c r="CD89">
        <f>136.334</f>
        <v>136.334</v>
      </c>
      <c r="CE89">
        <f>138.919</f>
        <v>138.91900000000001</v>
      </c>
      <c r="CF89">
        <f>81.09</f>
        <v>81.09</v>
      </c>
      <c r="CG89">
        <f>113.253</f>
        <v>113.253</v>
      </c>
      <c r="CH89">
        <f>137.118</f>
        <v>137.11799999999999</v>
      </c>
      <c r="CI89">
        <f>126.587</f>
        <v>126.587</v>
      </c>
      <c r="CJ89">
        <f>137.588</f>
        <v>137.58799999999999</v>
      </c>
      <c r="CK89">
        <f>141.878</f>
        <v>141.87799999999999</v>
      </c>
      <c r="CL89">
        <f>133.744</f>
        <v>133.744</v>
      </c>
      <c r="CM89">
        <f>126.222</f>
        <v>126.22199999999999</v>
      </c>
      <c r="CN89">
        <f>123.201</f>
        <v>123.20099999999999</v>
      </c>
      <c r="CO89">
        <f>130.748</f>
        <v>130.74799999999999</v>
      </c>
      <c r="CP89">
        <f>132.263</f>
        <v>132.26300000000001</v>
      </c>
      <c r="CQ89">
        <f>123.69</f>
        <v>123.69</v>
      </c>
      <c r="CR89">
        <f>132.525</f>
        <v>132.52500000000001</v>
      </c>
      <c r="CS89">
        <f>136.66</f>
        <v>136.66</v>
      </c>
      <c r="CT89">
        <f>139.683</f>
        <v>139.68299999999999</v>
      </c>
      <c r="CU89">
        <f>141.049</f>
        <v>141.04900000000001</v>
      </c>
      <c r="CV89">
        <f>129.008</f>
        <v>129.00800000000001</v>
      </c>
      <c r="CW89">
        <f>91.886</f>
        <v>91.885999999999996</v>
      </c>
      <c r="CX89">
        <f>127.534</f>
        <v>127.53400000000001</v>
      </c>
      <c r="CY89">
        <f>128.754</f>
        <v>128.75399999999999</v>
      </c>
      <c r="CZ89">
        <f>147.386</f>
        <v>147.386</v>
      </c>
      <c r="DA89">
        <f>156.15</f>
        <v>156.15</v>
      </c>
      <c r="DB89">
        <f>147.318</f>
        <v>147.31800000000001</v>
      </c>
      <c r="DC89">
        <f>119.868</f>
        <v>119.86799999999999</v>
      </c>
      <c r="DD89">
        <f>133.474</f>
        <v>133.47399999999999</v>
      </c>
      <c r="DE89">
        <f>149.913</f>
        <v>149.91300000000001</v>
      </c>
      <c r="DF89">
        <f>128.127</f>
        <v>128.12700000000001</v>
      </c>
      <c r="DG89">
        <f>194.293</f>
        <v>194.29300000000001</v>
      </c>
      <c r="DH89">
        <f>87.526</f>
        <v>87.525999999999996</v>
      </c>
      <c r="DI89">
        <f>140.347</f>
        <v>140.34700000000001</v>
      </c>
      <c r="DJ89">
        <f>114.816</f>
        <v>114.816</v>
      </c>
      <c r="DK89">
        <f>80.003</f>
        <v>80.003</v>
      </c>
      <c r="DL89">
        <f>99.964</f>
        <v>99.963999999999999</v>
      </c>
      <c r="DM89">
        <f>116.466</f>
        <v>116.46599999999999</v>
      </c>
      <c r="DN89">
        <f>108.561</f>
        <v>108.56100000000001</v>
      </c>
      <c r="DO89">
        <f>104.339</f>
        <v>104.339</v>
      </c>
      <c r="DP89">
        <f>102.082</f>
        <v>102.08199999999999</v>
      </c>
      <c r="DQ89">
        <f>97.043</f>
        <v>97.043000000000006</v>
      </c>
      <c r="DR89">
        <f>102.603</f>
        <v>102.60299999999999</v>
      </c>
      <c r="DS89" t="str">
        <f>""</f>
        <v/>
      </c>
      <c r="DT89">
        <f>97.18400192</f>
        <v>97.18400192</v>
      </c>
      <c r="DU89">
        <f>86.728</f>
        <v>86.727999999999994</v>
      </c>
    </row>
    <row r="90" spans="1:125">
      <c r="A90" t="str">
        <f>"    National Retail Properties Inc"</f>
        <v xml:space="preserve">    National Retail Properties Inc</v>
      </c>
      <c r="B90" t="str">
        <f>"NNN US Equity"</f>
        <v>NNN US Equity</v>
      </c>
      <c r="C90" t="str">
        <f t="shared" si="15"/>
        <v>RR009</v>
      </c>
      <c r="D90" t="str">
        <f t="shared" si="16"/>
        <v>EBITDA</v>
      </c>
      <c r="E90" t="str">
        <f t="shared" si="17"/>
        <v>动态</v>
      </c>
      <c r="F90" t="str">
        <f ca="1">IF(AND(ISNUMBER($F$546),$B$419=1),$F$546,HLOOKUP(INDIRECT(ADDRESS(2,COLUMN())),OFFSET($BN$2,0,0,ROW()-1,60),ROW()-1,FALSE))</f>
        <v/>
      </c>
      <c r="G90">
        <f ca="1">IF(AND(ISNUMBER($G$546),$B$419=1),$G$546,HLOOKUP(INDIRECT(ADDRESS(2,COLUMN())),OFFSET($BN$2,0,0,ROW()-1,60),ROW()-1,FALSE))</f>
        <v>127.169</v>
      </c>
      <c r="H90">
        <f ca="1">IF(AND(ISNUMBER($H$546),$B$419=1),$H$546,HLOOKUP(INDIRECT(ADDRESS(2,COLUMN())),OFFSET($BN$2,0,0,ROW()-1,60),ROW()-1,FALSE))</f>
        <v>134.49299999999999</v>
      </c>
      <c r="I90">
        <f ca="1">IF(AND(ISNUMBER($I$546),$B$419=1),$I$546,HLOOKUP(INDIRECT(ADDRESS(2,COLUMN())),OFFSET($BN$2,0,0,ROW()-1,60),ROW()-1,FALSE))</f>
        <v>123.917</v>
      </c>
      <c r="J90">
        <f ca="1">IF(AND(ISNUMBER($J$546),$B$419=1),$J$546,HLOOKUP(INDIRECT(ADDRESS(2,COLUMN())),OFFSET($BN$2,0,0,ROW()-1,60),ROW()-1,FALSE))</f>
        <v>125.64400000000001</v>
      </c>
      <c r="K90">
        <f ca="1">IF(AND(ISNUMBER($K$546),$B$419=1),$K$546,HLOOKUP(INDIRECT(ADDRESS(2,COLUMN())),OFFSET($BN$2,0,0,ROW()-1,60),ROW()-1,FALSE))</f>
        <v>124.898</v>
      </c>
      <c r="L90">
        <f ca="1">IF(AND(ISNUMBER($L$546),$B$419=1),$L$546,HLOOKUP(INDIRECT(ADDRESS(2,COLUMN())),OFFSET($BN$2,0,0,ROW()-1,60),ROW()-1,FALSE))</f>
        <v>109.58799999999999</v>
      </c>
      <c r="M90">
        <f ca="1">IF(AND(ISNUMBER($M$546),$B$419=1),$M$546,HLOOKUP(INDIRECT(ADDRESS(2,COLUMN())),OFFSET($BN$2,0,0,ROW()-1,60),ROW()-1,FALSE))</f>
        <v>111.533</v>
      </c>
      <c r="N90">
        <f ca="1">IF(AND(ISNUMBER($N$546),$B$419=1),$N$546,HLOOKUP(INDIRECT(ADDRESS(2,COLUMN())),OFFSET($BN$2,0,0,ROW()-1,60),ROW()-1,FALSE))</f>
        <v>112.152</v>
      </c>
      <c r="O90">
        <f ca="1">IF(AND(ISNUMBER($O$546),$B$419=1),$O$546,HLOOKUP(INDIRECT(ADDRESS(2,COLUMN())),OFFSET($BN$2,0,0,ROW()-1,60),ROW()-1,FALSE))</f>
        <v>110.386</v>
      </c>
      <c r="P90">
        <f ca="1">IF(AND(ISNUMBER($P$546),$B$419=1),$P$546,HLOOKUP(INDIRECT(ADDRESS(2,COLUMN())),OFFSET($BN$2,0,0,ROW()-1,60),ROW()-1,FALSE))</f>
        <v>109.66800000000001</v>
      </c>
      <c r="Q90">
        <f ca="1">IF(AND(ISNUMBER($Q$546),$B$419=1),$Q$546,HLOOKUP(INDIRECT(ADDRESS(2,COLUMN())),OFFSET($BN$2,0,0,ROW()-1,60),ROW()-1,FALSE))</f>
        <v>101.60599999999999</v>
      </c>
      <c r="R90">
        <f ca="1">IF(AND(ISNUMBER($R$546),$B$419=1),$R$546,HLOOKUP(INDIRECT(ADDRESS(2,COLUMN())),OFFSET($BN$2,0,0,ROW()-1,60),ROW()-1,FALSE))</f>
        <v>101.795</v>
      </c>
      <c r="S90">
        <f ca="1">IF(AND(ISNUMBER($S$546),$B$419=1),$S$546,HLOOKUP(INDIRECT(ADDRESS(2,COLUMN())),OFFSET($BN$2,0,0,ROW()-1,60),ROW()-1,FALSE))</f>
        <v>102.16800000000001</v>
      </c>
      <c r="T90">
        <f ca="1">IF(AND(ISNUMBER($T$546),$B$419=1),$T$546,HLOOKUP(INDIRECT(ADDRESS(2,COLUMN())),OFFSET($BN$2,0,0,ROW()-1,60),ROW()-1,FALSE))</f>
        <v>96.171000000000006</v>
      </c>
      <c r="U90">
        <f ca="1">IF(AND(ISNUMBER($U$546),$B$419=1),$U$546,HLOOKUP(INDIRECT(ADDRESS(2,COLUMN())),OFFSET($BN$2,0,0,ROW()-1,60),ROW()-1,FALSE))</f>
        <v>92.626999999999995</v>
      </c>
      <c r="V90">
        <f ca="1">IF(AND(ISNUMBER($V$546),$B$419=1),$V$546,HLOOKUP(INDIRECT(ADDRESS(2,COLUMN())),OFFSET($BN$2,0,0,ROW()-1,60),ROW()-1,FALSE))</f>
        <v>90.254999999999995</v>
      </c>
      <c r="W90">
        <f ca="1">IF(AND(ISNUMBER($W$546),$B$419=1),$W$546,HLOOKUP(INDIRECT(ADDRESS(2,COLUMN())),OFFSET($BN$2,0,0,ROW()-1,60),ROW()-1,FALSE))</f>
        <v>89.846000000000004</v>
      </c>
      <c r="X90">
        <f ca="1">IF(AND(ISNUMBER($X$546),$B$419=1),$X$546,HLOOKUP(INDIRECT(ADDRESS(2,COLUMN())),OFFSET($BN$2,0,0,ROW()-1,60),ROW()-1,FALSE))</f>
        <v>88.8</v>
      </c>
      <c r="Y90">
        <f ca="1">IF(AND(ISNUMBER($Y$546),$B$419=1),$Y$546,HLOOKUP(INDIRECT(ADDRESS(2,COLUMN())),OFFSET($BN$2,0,0,ROW()-1,60),ROW()-1,FALSE))</f>
        <v>82.325000000000003</v>
      </c>
      <c r="Z90">
        <f ca="1">IF(AND(ISNUMBER($Z$546),$B$419=1),$Z$546,HLOOKUP(INDIRECT(ADDRESS(2,COLUMN())),OFFSET($BN$2,0,0,ROW()-1,60),ROW()-1,FALSE))</f>
        <v>77.474000000000004</v>
      </c>
      <c r="AA90">
        <f ca="1">IF(AND(ISNUMBER($AA$546),$B$419=1),$AA$546,HLOOKUP(INDIRECT(ADDRESS(2,COLUMN())),OFFSET($BN$2,0,0,ROW()-1,60),ROW()-1,FALSE))</f>
        <v>75.622</v>
      </c>
      <c r="AB90">
        <f ca="1">IF(AND(ISNUMBER($AB$546),$B$419=1),$AB$546,HLOOKUP(INDIRECT(ADDRESS(2,COLUMN())),OFFSET($BN$2,0,0,ROW()-1,60),ROW()-1,FALSE))</f>
        <v>68.974000000000004</v>
      </c>
      <c r="AC90">
        <f ca="1">IF(AND(ISNUMBER($AC$546),$B$419=1),$AC$546,HLOOKUP(INDIRECT(ADDRESS(2,COLUMN())),OFFSET($BN$2,0,0,ROW()-1,60),ROW()-1,FALSE))</f>
        <v>68.338999999999999</v>
      </c>
      <c r="AD90">
        <f ca="1">IF(AND(ISNUMBER($AD$546),$B$419=1),$AD$546,HLOOKUP(INDIRECT(ADDRESS(2,COLUMN())),OFFSET($BN$2,0,0,ROW()-1,60),ROW()-1,FALSE))</f>
        <v>65.83</v>
      </c>
      <c r="AE90">
        <f ca="1">IF(AND(ISNUMBER($AE$546),$B$419=1),$AE$546,HLOOKUP(INDIRECT(ADDRESS(2,COLUMN())),OFFSET($BN$2,0,0,ROW()-1,60),ROW()-1,FALSE))</f>
        <v>61.462000000000003</v>
      </c>
      <c r="AF90">
        <f ca="1">IF(AND(ISNUMBER($AF$546),$B$419=1),$AF$546,HLOOKUP(INDIRECT(ADDRESS(2,COLUMN())),OFFSET($BN$2,0,0,ROW()-1,60),ROW()-1,FALSE))</f>
        <v>56.341999999999999</v>
      </c>
      <c r="AG90">
        <f ca="1">IF(AND(ISNUMBER($AG$546),$B$419=1),$AG$546,HLOOKUP(INDIRECT(ADDRESS(2,COLUMN())),OFFSET($BN$2,0,0,ROW()-1,60),ROW()-1,FALSE))</f>
        <v>52.043999999999997</v>
      </c>
      <c r="AH90">
        <f ca="1">IF(AND(ISNUMBER($AH$546),$B$419=1),$AH$546,HLOOKUP(INDIRECT(ADDRESS(2,COLUMN())),OFFSET($BN$2,0,0,ROW()-1,60),ROW()-1,FALSE))</f>
        <v>51.331000000000003</v>
      </c>
      <c r="AI90">
        <f ca="1">IF(AND(ISNUMBER($AI$546),$B$419=1),$AI$546,HLOOKUP(INDIRECT(ADDRESS(2,COLUMN())),OFFSET($BN$2,0,0,ROW()-1,60),ROW()-1,FALSE))</f>
        <v>43.116</v>
      </c>
      <c r="AJ90">
        <f ca="1">IF(AND(ISNUMBER($AJ$546),$B$419=1),$AJ$546,HLOOKUP(INDIRECT(ADDRESS(2,COLUMN())),OFFSET($BN$2,0,0,ROW()-1,60),ROW()-1,FALSE))</f>
        <v>48.332000000000001</v>
      </c>
      <c r="AK90">
        <f ca="1">IF(AND(ISNUMBER($AK$546),$B$419=1),$AK$546,HLOOKUP(INDIRECT(ADDRESS(2,COLUMN())),OFFSET($BN$2,0,0,ROW()-1,60),ROW()-1,FALSE))</f>
        <v>47.981000000000002</v>
      </c>
      <c r="AL90">
        <f ca="1">IF(AND(ISNUMBER($AL$546),$B$419=1),$AL$546,HLOOKUP(INDIRECT(ADDRESS(2,COLUMN())),OFFSET($BN$2,0,0,ROW()-1,60),ROW()-1,FALSE))</f>
        <v>43.863</v>
      </c>
      <c r="AM90">
        <f ca="1">IF(AND(ISNUMBER($AM$546),$B$419=1),$AM$546,HLOOKUP(INDIRECT(ADDRESS(2,COLUMN())),OFFSET($BN$2,0,0,ROW()-1,60),ROW()-1,FALSE))</f>
        <v>21.271000000000001</v>
      </c>
      <c r="AN90">
        <f ca="1">IF(AND(ISNUMBER($AN$546),$B$419=1),$AN$546,HLOOKUP(INDIRECT(ADDRESS(2,COLUMN())),OFFSET($BN$2,0,0,ROW()-1,60),ROW()-1,FALSE))</f>
        <v>48.814999999999998</v>
      </c>
      <c r="AO90">
        <f ca="1">IF(AND(ISNUMBER($AO$546),$B$419=1),$AO$546,HLOOKUP(INDIRECT(ADDRESS(2,COLUMN())),OFFSET($BN$2,0,0,ROW()-1,60),ROW()-1,FALSE))</f>
        <v>49.271999999999998</v>
      </c>
      <c r="AP90">
        <f ca="1">IF(AND(ISNUMBER($AP$546),$B$419=1),$AP$546,HLOOKUP(INDIRECT(ADDRESS(2,COLUMN())),OFFSET($BN$2,0,0,ROW()-1,60),ROW()-1,FALSE))</f>
        <v>49.030999999999999</v>
      </c>
      <c r="AQ90">
        <f ca="1">IF(AND(ISNUMBER($AQ$546),$B$419=1),$AQ$546,HLOOKUP(INDIRECT(ADDRESS(2,COLUMN())),OFFSET($BN$2,0,0,ROW()-1,60),ROW()-1,FALSE))</f>
        <v>48.337000000000003</v>
      </c>
      <c r="AR90">
        <f ca="1">IF(AND(ISNUMBER($AR$546),$B$419=1),$AR$546,HLOOKUP(INDIRECT(ADDRESS(2,COLUMN())),OFFSET($BN$2,0,0,ROW()-1,60),ROW()-1,FALSE))</f>
        <v>51.1</v>
      </c>
      <c r="AS90">
        <f ca="1">IF(AND(ISNUMBER($AS$546),$B$419=1),$AS$546,HLOOKUP(INDIRECT(ADDRESS(2,COLUMN())),OFFSET($BN$2,0,0,ROW()-1,60),ROW()-1,FALSE))</f>
        <v>48.322000000000003</v>
      </c>
      <c r="AT90">
        <f ca="1">IF(AND(ISNUMBER($AT$546),$B$419=1),$AT$546,HLOOKUP(INDIRECT(ADDRESS(2,COLUMN())),OFFSET($BN$2,0,0,ROW()-1,60),ROW()-1,FALSE))</f>
        <v>44.308</v>
      </c>
      <c r="AU90">
        <f ca="1">IF(AND(ISNUMBER($AU$546),$B$419=1),$AU$546,HLOOKUP(INDIRECT(ADDRESS(2,COLUMN())),OFFSET($BN$2,0,0,ROW()-1,60),ROW()-1,FALSE))</f>
        <v>38.786999999999999</v>
      </c>
      <c r="AV90">
        <f ca="1">IF(AND(ISNUMBER($AV$546),$B$419=1),$AV$546,HLOOKUP(INDIRECT(ADDRESS(2,COLUMN())),OFFSET($BN$2,0,0,ROW()-1,60),ROW()-1,FALSE))</f>
        <v>39.807000000000002</v>
      </c>
      <c r="AW90">
        <f ca="1">IF(AND(ISNUMBER($AW$546),$B$419=1),$AW$546,HLOOKUP(INDIRECT(ADDRESS(2,COLUMN())),OFFSET($BN$2,0,0,ROW()-1,60),ROW()-1,FALSE))</f>
        <v>38.326001169999998</v>
      </c>
      <c r="AX90">
        <f ca="1">IF(AND(ISNUMBER($AX$546),$B$419=1),$AX$546,HLOOKUP(INDIRECT(ADDRESS(2,COLUMN())),OFFSET($BN$2,0,0,ROW()-1,60),ROW()-1,FALSE))</f>
        <v>33.444000000000003</v>
      </c>
      <c r="AY90">
        <f ca="1">IF(AND(ISNUMBER($AY$546),$B$419=1),$AY$546,HLOOKUP(INDIRECT(ADDRESS(2,COLUMN())),OFFSET($BN$2,0,0,ROW()-1,60),ROW()-1,FALSE))</f>
        <v>29.142000199999998</v>
      </c>
      <c r="AZ90">
        <f ca="1">IF(AND(ISNUMBER($AZ$546),$B$419=1),$AZ$546,HLOOKUP(INDIRECT(ADDRESS(2,COLUMN())),OFFSET($BN$2,0,0,ROW()-1,60),ROW()-1,FALSE))</f>
        <v>30.053000000000001</v>
      </c>
      <c r="BA90">
        <f ca="1">IF(AND(ISNUMBER($BA$546),$B$419=1),$BA$546,HLOOKUP(INDIRECT(ADDRESS(2,COLUMN())),OFFSET($BN$2,0,0,ROW()-1,60),ROW()-1,FALSE))</f>
        <v>27.70200109</v>
      </c>
      <c r="BB90">
        <f ca="1">IF(AND(ISNUMBER($BB$546),$B$419=1),$BB$546,HLOOKUP(INDIRECT(ADDRESS(2,COLUMN())),OFFSET($BN$2,0,0,ROW()-1,60),ROW()-1,FALSE))</f>
        <v>29.443999999999999</v>
      </c>
      <c r="BC90">
        <f ca="1">IF(AND(ISNUMBER($BC$546),$B$419=1),$BC$546,HLOOKUP(INDIRECT(ADDRESS(2,COLUMN())),OFFSET($BN$2,0,0,ROW()-1,60),ROW()-1,FALSE))</f>
        <v>23.295000550000001</v>
      </c>
      <c r="BD90">
        <f ca="1">IF(AND(ISNUMBER($BD$546),$B$419=1),$BD$546,HLOOKUP(INDIRECT(ADDRESS(2,COLUMN())),OFFSET($BN$2,0,0,ROW()-1,60),ROW()-1,FALSE))</f>
        <v>26.596000669999999</v>
      </c>
      <c r="BE90">
        <f ca="1">IF(AND(ISNUMBER($BE$546),$B$419=1),$BE$546,HLOOKUP(INDIRECT(ADDRESS(2,COLUMN())),OFFSET($BN$2,0,0,ROW()-1,60),ROW()-1,FALSE))</f>
        <v>25.385999680000001</v>
      </c>
      <c r="BF90">
        <f ca="1">IF(AND(ISNUMBER($BF$546),$B$419=1),$BF$546,HLOOKUP(INDIRECT(ADDRESS(2,COLUMN())),OFFSET($BN$2,0,0,ROW()-1,60),ROW()-1,FALSE))</f>
        <v>22.385999999999999</v>
      </c>
      <c r="BG90">
        <f ca="1">IF(AND(ISNUMBER($BG$546),$B$419=1),$BG$546,HLOOKUP(INDIRECT(ADDRESS(2,COLUMN())),OFFSET($BN$2,0,0,ROW()-1,60),ROW()-1,FALSE))</f>
        <v>23.143000000000001</v>
      </c>
      <c r="BH90">
        <f ca="1">IF(AND(ISNUMBER($BH$546),$B$419=1),$BH$546,HLOOKUP(INDIRECT(ADDRESS(2,COLUMN())),OFFSET($BN$2,0,0,ROW()-1,60),ROW()-1,FALSE))</f>
        <v>23.739000000000001</v>
      </c>
      <c r="BI90">
        <f ca="1">IF(AND(ISNUMBER($BI$546),$B$419=1),$BI$546,HLOOKUP(INDIRECT(ADDRESS(2,COLUMN())),OFFSET($BN$2,0,0,ROW()-1,60),ROW()-1,FALSE))</f>
        <v>20.49</v>
      </c>
      <c r="BJ90">
        <f ca="1">IF(AND(ISNUMBER($BJ$546),$B$419=1),$BJ$546,HLOOKUP(INDIRECT(ADDRESS(2,COLUMN())),OFFSET($BN$2,0,0,ROW()-1,60),ROW()-1,FALSE))</f>
        <v>23.625</v>
      </c>
      <c r="BK90">
        <f ca="1">IF(AND(ISNUMBER($BK$546),$B$419=1),$BK$546,HLOOKUP(INDIRECT(ADDRESS(2,COLUMN())),OFFSET($BN$2,0,0,ROW()-1,60),ROW()-1,FALSE))</f>
        <v>23.456</v>
      </c>
      <c r="BL90">
        <f ca="1">IF(AND(ISNUMBER($BL$546),$B$419=1),$BL$546,HLOOKUP(INDIRECT(ADDRESS(2,COLUMN())),OFFSET($BN$2,0,0,ROW()-1,60),ROW()-1,FALSE))</f>
        <v>19.996999979999998</v>
      </c>
      <c r="BM90">
        <f ca="1">IF(AND(ISNUMBER($BM$546),$B$419=1),$BM$546,HLOOKUP(INDIRECT(ADDRESS(2,COLUMN())),OFFSET($BN$2,0,0,ROW()-1,60),ROW()-1,FALSE))</f>
        <v>17.507000000000001</v>
      </c>
      <c r="BN90" t="str">
        <f>""</f>
        <v/>
      </c>
      <c r="BO90">
        <f>127.169</f>
        <v>127.169</v>
      </c>
      <c r="BP90">
        <f>134.493</f>
        <v>134.49299999999999</v>
      </c>
      <c r="BQ90">
        <f>123.917</f>
        <v>123.917</v>
      </c>
      <c r="BR90">
        <f>125.644</f>
        <v>125.64400000000001</v>
      </c>
      <c r="BS90">
        <f>124.898</f>
        <v>124.898</v>
      </c>
      <c r="BT90">
        <f>109.588</f>
        <v>109.58799999999999</v>
      </c>
      <c r="BU90">
        <f>111.533</f>
        <v>111.533</v>
      </c>
      <c r="BV90">
        <f>112.152</f>
        <v>112.152</v>
      </c>
      <c r="BW90">
        <f>110.386</f>
        <v>110.386</v>
      </c>
      <c r="BX90">
        <f>109.668</f>
        <v>109.66800000000001</v>
      </c>
      <c r="BY90">
        <f>101.606</f>
        <v>101.60599999999999</v>
      </c>
      <c r="BZ90">
        <f>101.795</f>
        <v>101.795</v>
      </c>
      <c r="CA90">
        <f>102.168</f>
        <v>102.16800000000001</v>
      </c>
      <c r="CB90">
        <f>96.171</f>
        <v>96.171000000000006</v>
      </c>
      <c r="CC90">
        <f>92.627</f>
        <v>92.626999999999995</v>
      </c>
      <c r="CD90">
        <f>90.255</f>
        <v>90.254999999999995</v>
      </c>
      <c r="CE90">
        <f>89.846</f>
        <v>89.846000000000004</v>
      </c>
      <c r="CF90">
        <f>88.8</f>
        <v>88.8</v>
      </c>
      <c r="CG90">
        <f>82.325</f>
        <v>82.325000000000003</v>
      </c>
      <c r="CH90">
        <f>77.474</f>
        <v>77.474000000000004</v>
      </c>
      <c r="CI90">
        <f>75.622</f>
        <v>75.622</v>
      </c>
      <c r="CJ90">
        <f>68.974</f>
        <v>68.974000000000004</v>
      </c>
      <c r="CK90">
        <f>68.339</f>
        <v>68.338999999999999</v>
      </c>
      <c r="CL90">
        <f>65.83</f>
        <v>65.83</v>
      </c>
      <c r="CM90">
        <f>61.462</f>
        <v>61.462000000000003</v>
      </c>
      <c r="CN90">
        <f>56.342</f>
        <v>56.341999999999999</v>
      </c>
      <c r="CO90">
        <f>52.044</f>
        <v>52.043999999999997</v>
      </c>
      <c r="CP90">
        <f>51.331</f>
        <v>51.331000000000003</v>
      </c>
      <c r="CQ90">
        <f>43.116</f>
        <v>43.116</v>
      </c>
      <c r="CR90">
        <f>48.332</f>
        <v>48.332000000000001</v>
      </c>
      <c r="CS90">
        <f>47.981</f>
        <v>47.981000000000002</v>
      </c>
      <c r="CT90">
        <f>43.863</f>
        <v>43.863</v>
      </c>
      <c r="CU90">
        <f>21.271</f>
        <v>21.271000000000001</v>
      </c>
      <c r="CV90">
        <f>48.815</f>
        <v>48.814999999999998</v>
      </c>
      <c r="CW90">
        <f>49.272</f>
        <v>49.271999999999998</v>
      </c>
      <c r="CX90">
        <f>49.031</f>
        <v>49.030999999999999</v>
      </c>
      <c r="CY90">
        <f>48.337</f>
        <v>48.337000000000003</v>
      </c>
      <c r="CZ90">
        <f>51.1</f>
        <v>51.1</v>
      </c>
      <c r="DA90">
        <f>48.322</f>
        <v>48.322000000000003</v>
      </c>
      <c r="DB90">
        <f>44.308</f>
        <v>44.308</v>
      </c>
      <c r="DC90">
        <f>38.787</f>
        <v>38.786999999999999</v>
      </c>
      <c r="DD90">
        <f>39.807</f>
        <v>39.807000000000002</v>
      </c>
      <c r="DE90">
        <f>38.32600117</f>
        <v>38.326001169999998</v>
      </c>
      <c r="DF90">
        <f>33.444</f>
        <v>33.444000000000003</v>
      </c>
      <c r="DG90">
        <f>29.1420002</f>
        <v>29.142000199999998</v>
      </c>
      <c r="DH90">
        <f>30.053</f>
        <v>30.053000000000001</v>
      </c>
      <c r="DI90">
        <f>27.70200109</f>
        <v>27.70200109</v>
      </c>
      <c r="DJ90">
        <f>29.444</f>
        <v>29.443999999999999</v>
      </c>
      <c r="DK90">
        <f>23.29500055</f>
        <v>23.295000550000001</v>
      </c>
      <c r="DL90">
        <f>26.59600067</f>
        <v>26.596000669999999</v>
      </c>
      <c r="DM90">
        <f>25.38599968</f>
        <v>25.385999680000001</v>
      </c>
      <c r="DN90">
        <f>22.386</f>
        <v>22.385999999999999</v>
      </c>
      <c r="DO90">
        <f>23.143</f>
        <v>23.143000000000001</v>
      </c>
      <c r="DP90">
        <f>23.739</f>
        <v>23.739000000000001</v>
      </c>
      <c r="DQ90">
        <f>20.49</f>
        <v>20.49</v>
      </c>
      <c r="DR90">
        <f>23.625</f>
        <v>23.625</v>
      </c>
      <c r="DS90">
        <f>23.456</f>
        <v>23.456</v>
      </c>
      <c r="DT90">
        <f>19.99699998</f>
        <v>19.996999979999998</v>
      </c>
      <c r="DU90">
        <f>17.507</f>
        <v>17.507000000000001</v>
      </c>
    </row>
    <row r="91" spans="1:125">
      <c r="A91" t="str">
        <f>"    Realty Income Corp"</f>
        <v xml:space="preserve">    Realty Income Corp</v>
      </c>
      <c r="B91" t="str">
        <f>"O US Equity"</f>
        <v>O US Equity</v>
      </c>
      <c r="C91" t="str">
        <f t="shared" si="15"/>
        <v>RR009</v>
      </c>
      <c r="D91" t="str">
        <f t="shared" si="16"/>
        <v>EBITDA</v>
      </c>
      <c r="E91" t="str">
        <f t="shared" si="17"/>
        <v>动态</v>
      </c>
      <c r="F91" t="str">
        <f ca="1">IF(AND(ISNUMBER($F$547),$B$419=1),$F$547,HLOOKUP(INDIRECT(ADDRESS(2,COLUMN())),OFFSET($BN$2,0,0,ROW()-1,60),ROW()-1,FALSE))</f>
        <v/>
      </c>
      <c r="G91">
        <f ca="1">IF(AND(ISNUMBER($G$547),$B$419=1),$G$547,HLOOKUP(INDIRECT(ADDRESS(2,COLUMN())),OFFSET($BN$2,0,0,ROW()-1,60),ROW()-1,FALSE))</f>
        <v>272.10399999999998</v>
      </c>
      <c r="H91">
        <f ca="1">IF(AND(ISNUMBER($H$547),$B$419=1),$H$547,HLOOKUP(INDIRECT(ADDRESS(2,COLUMN())),OFFSET($BN$2,0,0,ROW()-1,60),ROW()-1,FALSE))</f>
        <v>275.40699999999998</v>
      </c>
      <c r="I91">
        <f ca="1">IF(AND(ISNUMBER($I$547),$B$419=1),$I$547,HLOOKUP(INDIRECT(ADDRESS(2,COLUMN())),OFFSET($BN$2,0,0,ROW()-1,60),ROW()-1,FALSE))</f>
        <v>265.62900000000002</v>
      </c>
      <c r="J91">
        <f ca="1">IF(AND(ISNUMBER($J$547),$B$419=1),$J$547,HLOOKUP(INDIRECT(ADDRESS(2,COLUMN())),OFFSET($BN$2,0,0,ROW()-1,60),ROW()-1,FALSE))</f>
        <v>259.952</v>
      </c>
      <c r="K91">
        <f ca="1">IF(AND(ISNUMBER($K$547),$B$419=1),$K$547,HLOOKUP(INDIRECT(ADDRESS(2,COLUMN())),OFFSET($BN$2,0,0,ROW()-1,60),ROW()-1,FALSE))</f>
        <v>253.16300000000001</v>
      </c>
      <c r="L91">
        <f ca="1">IF(AND(ISNUMBER($L$547),$B$419=1),$L$547,HLOOKUP(INDIRECT(ADDRESS(2,COLUMN())),OFFSET($BN$2,0,0,ROW()-1,60),ROW()-1,FALSE))</f>
        <v>240.63</v>
      </c>
      <c r="M91">
        <f ca="1">IF(AND(ISNUMBER($M$547),$B$419=1),$M$547,HLOOKUP(INDIRECT(ADDRESS(2,COLUMN())),OFFSET($BN$2,0,0,ROW()-1,60),ROW()-1,FALSE))</f>
        <v>236.114</v>
      </c>
      <c r="N91">
        <f ca="1">IF(AND(ISNUMBER($N$547),$B$419=1),$N$547,HLOOKUP(INDIRECT(ADDRESS(2,COLUMN())),OFFSET($BN$2,0,0,ROW()-1,60),ROW()-1,FALSE))</f>
        <v>237.77</v>
      </c>
      <c r="O91">
        <f ca="1">IF(AND(ISNUMBER($O$547),$B$419=1),$O$547,HLOOKUP(INDIRECT(ADDRESS(2,COLUMN())),OFFSET($BN$2,0,0,ROW()-1,60),ROW()-1,FALSE))</f>
        <v>236.42699999999999</v>
      </c>
      <c r="P91">
        <f ca="1">IF(AND(ISNUMBER($P$547),$B$419=1),$P$547,HLOOKUP(INDIRECT(ADDRESS(2,COLUMN())),OFFSET($BN$2,0,0,ROW()-1,60),ROW()-1,FALSE))</f>
        <v>230.62200000000001</v>
      </c>
      <c r="Q91">
        <f ca="1">IF(AND(ISNUMBER($Q$547),$B$419=1),$Q$547,HLOOKUP(INDIRECT(ADDRESS(2,COLUMN())),OFFSET($BN$2,0,0,ROW()-1,60),ROW()-1,FALSE))</f>
        <v>226.31399999999999</v>
      </c>
      <c r="R91">
        <f ca="1">IF(AND(ISNUMBER($R$547),$B$419=1),$R$547,HLOOKUP(INDIRECT(ADDRESS(2,COLUMN())),OFFSET($BN$2,0,0,ROW()-1,60),ROW()-1,FALSE))</f>
        <v>220.029</v>
      </c>
      <c r="S91">
        <f ca="1">IF(AND(ISNUMBER($S$547),$B$419=1),$S$547,HLOOKUP(INDIRECT(ADDRESS(2,COLUMN())),OFFSET($BN$2,0,0,ROW()-1,60),ROW()-1,FALSE))</f>
        <v>202.48699999999999</v>
      </c>
      <c r="T91">
        <f ca="1">IF(AND(ISNUMBER($T$547),$B$419=1),$T$547,HLOOKUP(INDIRECT(ADDRESS(2,COLUMN())),OFFSET($BN$2,0,0,ROW()-1,60),ROW()-1,FALSE))</f>
        <v>219.571</v>
      </c>
      <c r="U91">
        <f ca="1">IF(AND(ISNUMBER($U$547),$B$419=1),$U$547,HLOOKUP(INDIRECT(ADDRESS(2,COLUMN())),OFFSET($BN$2,0,0,ROW()-1,60),ROW()-1,FALSE))</f>
        <v>206.93199999999999</v>
      </c>
      <c r="V91">
        <f ca="1">IF(AND(ISNUMBER($V$547),$B$419=1),$V$547,HLOOKUP(INDIRECT(ADDRESS(2,COLUMN())),OFFSET($BN$2,0,0,ROW()-1,60),ROW()-1,FALSE))</f>
        <v>198.10900000000001</v>
      </c>
      <c r="W91">
        <f ca="1">IF(AND(ISNUMBER($W$547),$B$419=1),$W$547,HLOOKUP(INDIRECT(ADDRESS(2,COLUMN())),OFFSET($BN$2,0,0,ROW()-1,60),ROW()-1,FALSE))</f>
        <v>186.441</v>
      </c>
      <c r="X91">
        <f ca="1">IF(AND(ISNUMBER($X$547),$B$419=1),$X$547,HLOOKUP(INDIRECT(ADDRESS(2,COLUMN())),OFFSET($BN$2,0,0,ROW()-1,60),ROW()-1,FALSE))</f>
        <v>176.73400000000001</v>
      </c>
      <c r="Y91">
        <f ca="1">IF(AND(ISNUMBER($Y$547),$B$419=1),$Y$547,HLOOKUP(INDIRECT(ADDRESS(2,COLUMN())),OFFSET($BN$2,0,0,ROW()-1,60),ROW()-1,FALSE))</f>
        <v>165.99600000000001</v>
      </c>
      <c r="Z91">
        <f ca="1">IF(AND(ISNUMBER($Z$547),$B$419=1),$Z$547,HLOOKUP(INDIRECT(ADDRESS(2,COLUMN())),OFFSET($BN$2,0,0,ROW()-1,60),ROW()-1,FALSE))</f>
        <v>142.292</v>
      </c>
      <c r="AA91">
        <f ca="1">IF(AND(ISNUMBER($AA$547),$B$419=1),$AA$547,HLOOKUP(INDIRECT(ADDRESS(2,COLUMN())),OFFSET($BN$2,0,0,ROW()-1,60),ROW()-1,FALSE))</f>
        <v>113.863</v>
      </c>
      <c r="AB91">
        <f ca="1">IF(AND(ISNUMBER($AB$547),$B$419=1),$AB$547,HLOOKUP(INDIRECT(ADDRESS(2,COLUMN())),OFFSET($BN$2,0,0,ROW()-1,60),ROW()-1,FALSE))</f>
        <v>100.483</v>
      </c>
      <c r="AC91">
        <f ca="1">IF(AND(ISNUMBER($AC$547),$B$419=1),$AC$547,HLOOKUP(INDIRECT(ADDRESS(2,COLUMN())),OFFSET($BN$2,0,0,ROW()-1,60),ROW()-1,FALSE))</f>
        <v>101.887</v>
      </c>
      <c r="AD91">
        <f ca="1">IF(AND(ISNUMBER($AD$547),$B$419=1),$AD$547,HLOOKUP(INDIRECT(ADDRESS(2,COLUMN())),OFFSET($BN$2,0,0,ROW()-1,60),ROW()-1,FALSE))</f>
        <v>100.982</v>
      </c>
      <c r="AE91">
        <f ca="1">IF(AND(ISNUMBER($AE$547),$B$419=1),$AE$547,HLOOKUP(INDIRECT(ADDRESS(2,COLUMN())),OFFSET($BN$2,0,0,ROW()-1,60),ROW()-1,FALSE))</f>
        <v>98.078000000000003</v>
      </c>
      <c r="AF91">
        <f ca="1">IF(AND(ISNUMBER($AF$547),$B$419=1),$AF$547,HLOOKUP(INDIRECT(ADDRESS(2,COLUMN())),OFFSET($BN$2,0,0,ROW()-1,60),ROW()-1,FALSE))</f>
        <v>97.370999999999995</v>
      </c>
      <c r="AG91">
        <f ca="1">IF(AND(ISNUMBER($AG$547),$B$419=1),$AG$547,HLOOKUP(INDIRECT(ADDRESS(2,COLUMN())),OFFSET($BN$2,0,0,ROW()-1,60),ROW()-1,FALSE))</f>
        <v>91.858999999999995</v>
      </c>
      <c r="AH91">
        <f ca="1">IF(AND(ISNUMBER($AH$547),$B$419=1),$AH$547,HLOOKUP(INDIRECT(ADDRESS(2,COLUMN())),OFFSET($BN$2,0,0,ROW()-1,60),ROW()-1,FALSE))</f>
        <v>87.709000000000003</v>
      </c>
      <c r="AI91">
        <f ca="1">IF(AND(ISNUMBER($AI$547),$B$419=1),$AI$547,HLOOKUP(INDIRECT(ADDRESS(2,COLUMN())),OFFSET($BN$2,0,0,ROW()-1,60),ROW()-1,FALSE))</f>
        <v>81.293000000000006</v>
      </c>
      <c r="AJ91">
        <f ca="1">IF(AND(ISNUMBER($AJ$547),$B$419=1),$AJ$547,HLOOKUP(INDIRECT(ADDRESS(2,COLUMN())),OFFSET($BN$2,0,0,ROW()-1,60),ROW()-1,FALSE))</f>
        <v>78.849999999999994</v>
      </c>
      <c r="AK91">
        <f ca="1">IF(AND(ISNUMBER($AK$547),$B$419=1),$AK$547,HLOOKUP(INDIRECT(ADDRESS(2,COLUMN())),OFFSET($BN$2,0,0,ROW()-1,60),ROW()-1,FALSE))</f>
        <v>74.052999999999997</v>
      </c>
      <c r="AL91">
        <f ca="1">IF(AND(ISNUMBER($AL$547),$B$419=1),$AL$547,HLOOKUP(INDIRECT(ADDRESS(2,COLUMN())),OFFSET($BN$2,0,0,ROW()-1,60),ROW()-1,FALSE))</f>
        <v>73.936000000000007</v>
      </c>
      <c r="AM91">
        <f ca="1">IF(AND(ISNUMBER($AM$547),$B$419=1),$AM$547,HLOOKUP(INDIRECT(ADDRESS(2,COLUMN())),OFFSET($BN$2,0,0,ROW()-1,60),ROW()-1,FALSE))</f>
        <v>74.132000000000005</v>
      </c>
      <c r="AN91">
        <f ca="1">IF(AND(ISNUMBER($AN$547),$B$419=1),$AN$547,HLOOKUP(INDIRECT(ADDRESS(2,COLUMN())),OFFSET($BN$2,0,0,ROW()-1,60),ROW()-1,FALSE))</f>
        <v>74.852000000000004</v>
      </c>
      <c r="AO91">
        <f ca="1">IF(AND(ISNUMBER($AO$547),$B$419=1),$AO$547,HLOOKUP(INDIRECT(ADDRESS(2,COLUMN())),OFFSET($BN$2,0,0,ROW()-1,60),ROW()-1,FALSE))</f>
        <v>74.492999999999995</v>
      </c>
      <c r="AP91">
        <f ca="1">IF(AND(ISNUMBER($AP$547),$B$419=1),$AP$547,HLOOKUP(INDIRECT(ADDRESS(2,COLUMN())),OFFSET($BN$2,0,0,ROW()-1,60),ROW()-1,FALSE))</f>
        <v>74.441999999999993</v>
      </c>
      <c r="AQ91">
        <f ca="1">IF(AND(ISNUMBER($AQ$547),$B$419=1),$AQ$547,HLOOKUP(INDIRECT(ADDRESS(2,COLUMN())),OFFSET($BN$2,0,0,ROW()-1,60),ROW()-1,FALSE))</f>
        <v>80.804000000000002</v>
      </c>
      <c r="AR91">
        <f ca="1">IF(AND(ISNUMBER($AR$547),$B$419=1),$AR$547,HLOOKUP(INDIRECT(ADDRESS(2,COLUMN())),OFFSET($BN$2,0,0,ROW()-1,60),ROW()-1,FALSE))</f>
        <v>71.757000000000005</v>
      </c>
      <c r="AS91">
        <f ca="1">IF(AND(ISNUMBER($AS$547),$B$419=1),$AS$547,HLOOKUP(INDIRECT(ADDRESS(2,COLUMN())),OFFSET($BN$2,0,0,ROW()-1,60),ROW()-1,FALSE))</f>
        <v>78.022999999999996</v>
      </c>
      <c r="AT91">
        <f ca="1">IF(AND(ISNUMBER($AT$547),$B$419=1),$AT$547,HLOOKUP(INDIRECT(ADDRESS(2,COLUMN())),OFFSET($BN$2,0,0,ROW()-1,60),ROW()-1,FALSE))</f>
        <v>76.813000000000002</v>
      </c>
      <c r="AU91">
        <f ca="1">IF(AND(ISNUMBER($AU$547),$B$419=1),$AU$547,HLOOKUP(INDIRECT(ADDRESS(2,COLUMN())),OFFSET($BN$2,0,0,ROW()-1,60),ROW()-1,FALSE))</f>
        <v>75.120999999999995</v>
      </c>
      <c r="AV91">
        <f ca="1">IF(AND(ISNUMBER($AV$547),$B$419=1),$AV$547,HLOOKUP(INDIRECT(ADDRESS(2,COLUMN())),OFFSET($BN$2,0,0,ROW()-1,60),ROW()-1,FALSE))</f>
        <v>67.118000030000005</v>
      </c>
      <c r="AW91">
        <f ca="1">IF(AND(ISNUMBER($AW$547),$B$419=1),$AW$547,HLOOKUP(INDIRECT(ADDRESS(2,COLUMN())),OFFSET($BN$2,0,0,ROW()-1,60),ROW()-1,FALSE))</f>
        <v>64.854998589999994</v>
      </c>
      <c r="AX91">
        <f ca="1">IF(AND(ISNUMBER($AX$547),$B$419=1),$AX$547,HLOOKUP(INDIRECT(ADDRESS(2,COLUMN())),OFFSET($BN$2,0,0,ROW()-1,60),ROW()-1,FALSE))</f>
        <v>66.200999999999993</v>
      </c>
      <c r="AY91">
        <f ca="1">IF(AND(ISNUMBER($AY$547),$B$419=1),$AY$547,HLOOKUP(INDIRECT(ADDRESS(2,COLUMN())),OFFSET($BN$2,0,0,ROW()-1,60),ROW()-1,FALSE))</f>
        <v>63.664000000000001</v>
      </c>
      <c r="AZ91">
        <f ca="1">IF(AND(ISNUMBER($AZ$547),$B$419=1),$AZ$547,HLOOKUP(INDIRECT(ADDRESS(2,COLUMN())),OFFSET($BN$2,0,0,ROW()-1,60),ROW()-1,FALSE))</f>
        <v>54.872999999999998</v>
      </c>
      <c r="BA91">
        <f ca="1">IF(AND(ISNUMBER($BA$547),$B$419=1),$BA$547,HLOOKUP(INDIRECT(ADDRESS(2,COLUMN())),OFFSET($BN$2,0,0,ROW()-1,60),ROW()-1,FALSE))</f>
        <v>52.43400097</v>
      </c>
      <c r="BB91">
        <f ca="1">IF(AND(ISNUMBER($BB$547),$B$419=1),$BB$547,HLOOKUP(INDIRECT(ADDRESS(2,COLUMN())),OFFSET($BN$2,0,0,ROW()-1,60),ROW()-1,FALSE))</f>
        <v>50.651000000000003</v>
      </c>
      <c r="BC91">
        <f ca="1">IF(AND(ISNUMBER($BC$547),$B$419=1),$BC$547,HLOOKUP(INDIRECT(ADDRESS(2,COLUMN())),OFFSET($BN$2,0,0,ROW()-1,60),ROW()-1,FALSE))</f>
        <v>49.564</v>
      </c>
      <c r="BD91">
        <f ca="1">IF(AND(ISNUMBER($BD$547),$B$419=1),$BD$547,HLOOKUP(INDIRECT(ADDRESS(2,COLUMN())),OFFSET($BN$2,0,0,ROW()-1,60),ROW()-1,FALSE))</f>
        <v>44.256999020000002</v>
      </c>
      <c r="BE91">
        <f ca="1">IF(AND(ISNUMBER($BE$547),$B$419=1),$BE$547,HLOOKUP(INDIRECT(ADDRESS(2,COLUMN())),OFFSET($BN$2,0,0,ROW()-1,60),ROW()-1,FALSE))</f>
        <v>42.95200062</v>
      </c>
      <c r="BF91">
        <f ca="1">IF(AND(ISNUMBER($BF$547),$B$419=1),$BF$547,HLOOKUP(INDIRECT(ADDRESS(2,COLUMN())),OFFSET($BN$2,0,0,ROW()-1,60),ROW()-1,FALSE))</f>
        <v>42.26200008</v>
      </c>
      <c r="BG91">
        <f ca="1">IF(AND(ISNUMBER($BG$547),$B$419=1),$BG$547,HLOOKUP(INDIRECT(ADDRESS(2,COLUMN())),OFFSET($BN$2,0,0,ROW()-1,60),ROW()-1,FALSE))</f>
        <v>40.572000000000003</v>
      </c>
      <c r="BH91">
        <f ca="1">IF(AND(ISNUMBER($BH$547),$B$419=1),$BH$547,HLOOKUP(INDIRECT(ADDRESS(2,COLUMN())),OFFSET($BN$2,0,0,ROW()-1,60),ROW()-1,FALSE))</f>
        <v>40.340000000000003</v>
      </c>
      <c r="BI91">
        <f ca="1">IF(AND(ISNUMBER($BI$547),$B$419=1),$BI$547,HLOOKUP(INDIRECT(ADDRESS(2,COLUMN())),OFFSET($BN$2,0,0,ROW()-1,60),ROW()-1,FALSE))</f>
        <v>50.466000000000001</v>
      </c>
      <c r="BJ91">
        <f ca="1">IF(AND(ISNUMBER($BJ$547),$B$419=1),$BJ$547,HLOOKUP(INDIRECT(ADDRESS(2,COLUMN())),OFFSET($BN$2,0,0,ROW()-1,60),ROW()-1,FALSE))</f>
        <v>38.310000420000001</v>
      </c>
      <c r="BK91">
        <f ca="1">IF(AND(ISNUMBER($BK$547),$B$419=1),$BK$547,HLOOKUP(INDIRECT(ADDRESS(2,COLUMN())),OFFSET($BN$2,0,0,ROW()-1,60),ROW()-1,FALSE))</f>
        <v>36.535998820000003</v>
      </c>
      <c r="BL91">
        <f ca="1">IF(AND(ISNUMBER($BL$547),$B$419=1),$BL$547,HLOOKUP(INDIRECT(ADDRESS(2,COLUMN())),OFFSET($BN$2,0,0,ROW()-1,60),ROW()-1,FALSE))</f>
        <v>33.024000170000001</v>
      </c>
      <c r="BM91">
        <f ca="1">IF(AND(ISNUMBER($BM$547),$B$419=1),$BM$547,HLOOKUP(INDIRECT(ADDRESS(2,COLUMN())),OFFSET($BN$2,0,0,ROW()-1,60),ROW()-1,FALSE))</f>
        <v>32.027999399999999</v>
      </c>
      <c r="BN91" t="str">
        <f>""</f>
        <v/>
      </c>
      <c r="BO91">
        <f>272.104</f>
        <v>272.10399999999998</v>
      </c>
      <c r="BP91">
        <f>275.407</f>
        <v>275.40699999999998</v>
      </c>
      <c r="BQ91">
        <f>265.629</f>
        <v>265.62900000000002</v>
      </c>
      <c r="BR91">
        <f>259.952</f>
        <v>259.952</v>
      </c>
      <c r="BS91">
        <f>253.163</f>
        <v>253.16300000000001</v>
      </c>
      <c r="BT91">
        <f>240.63</f>
        <v>240.63</v>
      </c>
      <c r="BU91">
        <f>236.114</f>
        <v>236.114</v>
      </c>
      <c r="BV91">
        <f>237.77</f>
        <v>237.77</v>
      </c>
      <c r="BW91">
        <f>236.427</f>
        <v>236.42699999999999</v>
      </c>
      <c r="BX91">
        <f>230.622</f>
        <v>230.62200000000001</v>
      </c>
      <c r="BY91">
        <f>226.314</f>
        <v>226.31399999999999</v>
      </c>
      <c r="BZ91">
        <f>220.029</f>
        <v>220.029</v>
      </c>
      <c r="CA91">
        <f>202.487</f>
        <v>202.48699999999999</v>
      </c>
      <c r="CB91">
        <f>219.571</f>
        <v>219.571</v>
      </c>
      <c r="CC91">
        <f>206.932</f>
        <v>206.93199999999999</v>
      </c>
      <c r="CD91">
        <f>198.109</f>
        <v>198.10900000000001</v>
      </c>
      <c r="CE91">
        <f>186.441</f>
        <v>186.441</v>
      </c>
      <c r="CF91">
        <f>176.734</f>
        <v>176.73400000000001</v>
      </c>
      <c r="CG91">
        <f>165.996</f>
        <v>165.99600000000001</v>
      </c>
      <c r="CH91">
        <f>142.292</f>
        <v>142.292</v>
      </c>
      <c r="CI91">
        <f>113.863</f>
        <v>113.863</v>
      </c>
      <c r="CJ91">
        <f>100.483</f>
        <v>100.483</v>
      </c>
      <c r="CK91">
        <f>101.887</f>
        <v>101.887</v>
      </c>
      <c r="CL91">
        <f>100.982</f>
        <v>100.982</v>
      </c>
      <c r="CM91">
        <f>98.078</f>
        <v>98.078000000000003</v>
      </c>
      <c r="CN91">
        <f>97.371</f>
        <v>97.370999999999995</v>
      </c>
      <c r="CO91">
        <f>91.859</f>
        <v>91.858999999999995</v>
      </c>
      <c r="CP91">
        <f>87.709</f>
        <v>87.709000000000003</v>
      </c>
      <c r="CQ91">
        <f>81.293</f>
        <v>81.293000000000006</v>
      </c>
      <c r="CR91">
        <f>78.85</f>
        <v>78.849999999999994</v>
      </c>
      <c r="CS91">
        <f>74.053</f>
        <v>74.052999999999997</v>
      </c>
      <c r="CT91">
        <f>73.936</f>
        <v>73.936000000000007</v>
      </c>
      <c r="CU91">
        <f>74.132</f>
        <v>74.132000000000005</v>
      </c>
      <c r="CV91">
        <f>74.852</f>
        <v>74.852000000000004</v>
      </c>
      <c r="CW91">
        <f>74.493</f>
        <v>74.492999999999995</v>
      </c>
      <c r="CX91">
        <f>74.442</f>
        <v>74.441999999999993</v>
      </c>
      <c r="CY91">
        <f>80.804</f>
        <v>80.804000000000002</v>
      </c>
      <c r="CZ91">
        <f>71.757</f>
        <v>71.757000000000005</v>
      </c>
      <c r="DA91">
        <f>78.023</f>
        <v>78.022999999999996</v>
      </c>
      <c r="DB91">
        <f>76.813</f>
        <v>76.813000000000002</v>
      </c>
      <c r="DC91">
        <f>75.121</f>
        <v>75.120999999999995</v>
      </c>
      <c r="DD91">
        <f>67.11800003</f>
        <v>67.118000030000005</v>
      </c>
      <c r="DE91">
        <f>64.85499859</f>
        <v>64.854998589999994</v>
      </c>
      <c r="DF91">
        <f>66.201</f>
        <v>66.200999999999993</v>
      </c>
      <c r="DG91">
        <f>63.664</f>
        <v>63.664000000000001</v>
      </c>
      <c r="DH91">
        <f>54.873</f>
        <v>54.872999999999998</v>
      </c>
      <c r="DI91">
        <f>52.43400097</f>
        <v>52.43400097</v>
      </c>
      <c r="DJ91">
        <f>50.651</f>
        <v>50.651000000000003</v>
      </c>
      <c r="DK91">
        <f>49.564</f>
        <v>49.564</v>
      </c>
      <c r="DL91">
        <f>44.25699902</f>
        <v>44.256999020000002</v>
      </c>
      <c r="DM91">
        <f>42.95200062</f>
        <v>42.95200062</v>
      </c>
      <c r="DN91">
        <f>42.26200008</f>
        <v>42.26200008</v>
      </c>
      <c r="DO91">
        <f>40.572</f>
        <v>40.572000000000003</v>
      </c>
      <c r="DP91">
        <f>40.34</f>
        <v>40.340000000000003</v>
      </c>
      <c r="DQ91">
        <f>50.466</f>
        <v>50.466000000000001</v>
      </c>
      <c r="DR91">
        <f>38.31000042</f>
        <v>38.310000420000001</v>
      </c>
      <c r="DS91">
        <f>36.53599882</f>
        <v>36.535998820000003</v>
      </c>
      <c r="DT91">
        <f>33.02400017</f>
        <v>33.024000170000001</v>
      </c>
      <c r="DU91">
        <f>32.0279994</f>
        <v>32.027999399999999</v>
      </c>
    </row>
    <row r="92" spans="1:125">
      <c r="A92" t="str">
        <f>"    Regency Centers Corp"</f>
        <v xml:space="preserve">    Regency Centers Corp</v>
      </c>
      <c r="B92" t="str">
        <f>"REG US Equity"</f>
        <v>REG US Equity</v>
      </c>
      <c r="C92" t="str">
        <f t="shared" si="15"/>
        <v>RR009</v>
      </c>
      <c r="D92" t="str">
        <f t="shared" si="16"/>
        <v>EBITDA</v>
      </c>
      <c r="E92" t="str">
        <f t="shared" si="17"/>
        <v>动态</v>
      </c>
      <c r="F92" t="str">
        <f ca="1">IF(AND(ISNUMBER($F$548),$B$419=1),$F$548,HLOOKUP(INDIRECT(ADDRESS(2,COLUMN())),OFFSET($BN$2,0,0,ROW()-1,60),ROW()-1,FALSE))</f>
        <v/>
      </c>
      <c r="G92">
        <f ca="1">IF(AND(ISNUMBER($G$548),$B$419=1),$G$548,HLOOKUP(INDIRECT(ADDRESS(2,COLUMN())),OFFSET($BN$2,0,0,ROW()-1,60),ROW()-1,FALSE))</f>
        <v>168.952</v>
      </c>
      <c r="H92">
        <f ca="1">IF(AND(ISNUMBER($H$548),$B$419=1),$H$548,HLOOKUP(INDIRECT(ADDRESS(2,COLUMN())),OFFSET($BN$2,0,0,ROW()-1,60),ROW()-1,FALSE))</f>
        <v>176.411</v>
      </c>
      <c r="I92">
        <f ca="1">IF(AND(ISNUMBER($I$548),$B$419=1),$I$548,HLOOKUP(INDIRECT(ADDRESS(2,COLUMN())),OFFSET($BN$2,0,0,ROW()-1,60),ROW()-1,FALSE))</f>
        <v>172.96799999999999</v>
      </c>
      <c r="J92">
        <f ca="1">IF(AND(ISNUMBER($J$548),$B$419=1),$J$548,HLOOKUP(INDIRECT(ADDRESS(2,COLUMN())),OFFSET($BN$2,0,0,ROW()-1,60),ROW()-1,FALSE))</f>
        <v>55.732999999999997</v>
      </c>
      <c r="K92">
        <f ca="1">IF(AND(ISNUMBER($K$548),$B$419=1),$K$548,HLOOKUP(INDIRECT(ADDRESS(2,COLUMN())),OFFSET($BN$2,0,0,ROW()-1,60),ROW()-1,FALSE))</f>
        <v>92.686999999999998</v>
      </c>
      <c r="L92">
        <f ca="1">IF(AND(ISNUMBER($L$548),$B$419=1),$L$548,HLOOKUP(INDIRECT(ADDRESS(2,COLUMN())),OFFSET($BN$2,0,0,ROW()-1,60),ROW()-1,FALSE))</f>
        <v>95.245999999999995</v>
      </c>
      <c r="M92">
        <f ca="1">IF(AND(ISNUMBER($M$548),$B$419=1),$M$548,HLOOKUP(INDIRECT(ADDRESS(2,COLUMN())),OFFSET($BN$2,0,0,ROW()-1,60),ROW()-1,FALSE))</f>
        <v>93.144000000000005</v>
      </c>
      <c r="N92">
        <f ca="1">IF(AND(ISNUMBER($N$548),$B$419=1),$N$548,HLOOKUP(INDIRECT(ADDRESS(2,COLUMN())),OFFSET($BN$2,0,0,ROW()-1,60),ROW()-1,FALSE))</f>
        <v>92.468000000000004</v>
      </c>
      <c r="O92">
        <f ca="1">IF(AND(ISNUMBER($O$548),$B$419=1),$O$548,HLOOKUP(INDIRECT(ADDRESS(2,COLUMN())),OFFSET($BN$2,0,0,ROW()-1,60),ROW()-1,FALSE))</f>
        <v>86.91</v>
      </c>
      <c r="P92">
        <f ca="1">IF(AND(ISNUMBER($P$548),$B$419=1),$P$548,HLOOKUP(INDIRECT(ADDRESS(2,COLUMN())),OFFSET($BN$2,0,0,ROW()-1,60),ROW()-1,FALSE))</f>
        <v>89.632000000000005</v>
      </c>
      <c r="Q92">
        <f ca="1">IF(AND(ISNUMBER($Q$548),$B$419=1),$Q$548,HLOOKUP(INDIRECT(ADDRESS(2,COLUMN())),OFFSET($BN$2,0,0,ROW()-1,60),ROW()-1,FALSE))</f>
        <v>88.4</v>
      </c>
      <c r="R92">
        <f ca="1">IF(AND(ISNUMBER($R$548),$B$419=1),$R$548,HLOOKUP(INDIRECT(ADDRESS(2,COLUMN())),OFFSET($BN$2,0,0,ROW()-1,60),ROW()-1,FALSE))</f>
        <v>86.552000000000007</v>
      </c>
      <c r="S92">
        <f ca="1">IF(AND(ISNUMBER($S$548),$B$419=1),$S$548,HLOOKUP(INDIRECT(ADDRESS(2,COLUMN())),OFFSET($BN$2,0,0,ROW()-1,60),ROW()-1,FALSE))</f>
        <v>82.825999999999993</v>
      </c>
      <c r="T92">
        <f ca="1">IF(AND(ISNUMBER($T$548),$B$419=1),$T$548,HLOOKUP(INDIRECT(ADDRESS(2,COLUMN())),OFFSET($BN$2,0,0,ROW()-1,60),ROW()-1,FALSE))</f>
        <v>84.063000000000002</v>
      </c>
      <c r="U92">
        <f ca="1">IF(AND(ISNUMBER($U$548),$B$419=1),$U$548,HLOOKUP(INDIRECT(ADDRESS(2,COLUMN())),OFFSET($BN$2,0,0,ROW()-1,60),ROW()-1,FALSE))</f>
        <v>83.477999999999994</v>
      </c>
      <c r="V92">
        <f ca="1">IF(AND(ISNUMBER($V$548),$B$419=1),$V$548,HLOOKUP(INDIRECT(ADDRESS(2,COLUMN())),OFFSET($BN$2,0,0,ROW()-1,60),ROW()-1,FALSE))</f>
        <v>81.605000000000004</v>
      </c>
      <c r="W92">
        <f ca="1">IF(AND(ISNUMBER($W$548),$B$419=1),$W$548,HLOOKUP(INDIRECT(ADDRESS(2,COLUMN())),OFFSET($BN$2,0,0,ROW()-1,60),ROW()-1,FALSE))</f>
        <v>75.768000000000001</v>
      </c>
      <c r="X92">
        <f ca="1">IF(AND(ISNUMBER($X$548),$B$419=1),$X$548,HLOOKUP(INDIRECT(ADDRESS(2,COLUMN())),OFFSET($BN$2,0,0,ROW()-1,60),ROW()-1,FALSE))</f>
        <v>68.991</v>
      </c>
      <c r="Y92">
        <f ca="1">IF(AND(ISNUMBER($Y$548),$B$419=1),$Y$548,HLOOKUP(INDIRECT(ADDRESS(2,COLUMN())),OFFSET($BN$2,0,0,ROW()-1,60),ROW()-1,FALSE))</f>
        <v>75.855000000000004</v>
      </c>
      <c r="Z92">
        <f ca="1">IF(AND(ISNUMBER($Z$548),$B$419=1),$Z$548,HLOOKUP(INDIRECT(ADDRESS(2,COLUMN())),OFFSET($BN$2,0,0,ROW()-1,60),ROW()-1,FALSE))</f>
        <v>72.16</v>
      </c>
      <c r="AA92">
        <f ca="1">IF(AND(ISNUMBER($AA$548),$B$419=1),$AA$548,HLOOKUP(INDIRECT(ADDRESS(2,COLUMN())),OFFSET($BN$2,0,0,ROW()-1,60),ROW()-1,FALSE))</f>
        <v>69.974000000000004</v>
      </c>
      <c r="AB92">
        <f ca="1">IF(AND(ISNUMBER($AB$548),$B$419=1),$AB$548,HLOOKUP(INDIRECT(ADDRESS(2,COLUMN())),OFFSET($BN$2,0,0,ROW()-1,60),ROW()-1,FALSE))</f>
        <v>71.731999999999999</v>
      </c>
      <c r="AC92">
        <f ca="1">IF(AND(ISNUMBER($AC$548),$B$419=1),$AC$548,HLOOKUP(INDIRECT(ADDRESS(2,COLUMN())),OFFSET($BN$2,0,0,ROW()-1,60),ROW()-1,FALSE))</f>
        <v>81.81</v>
      </c>
      <c r="AD92">
        <f ca="1">IF(AND(ISNUMBER($AD$548),$B$419=1),$AD$548,HLOOKUP(INDIRECT(ADDRESS(2,COLUMN())),OFFSET($BN$2,0,0,ROW()-1,60),ROW()-1,FALSE))</f>
        <v>75.582999999999998</v>
      </c>
      <c r="AE92">
        <f ca="1">IF(AND(ISNUMBER($AE$548),$B$419=1),$AE$548,HLOOKUP(INDIRECT(ADDRESS(2,COLUMN())),OFFSET($BN$2,0,0,ROW()-1,60),ROW()-1,FALSE))</f>
        <v>74.61</v>
      </c>
      <c r="AF92">
        <f ca="1">IF(AND(ISNUMBER($AF$548),$B$419=1),$AF$548,HLOOKUP(INDIRECT(ADDRESS(2,COLUMN())),OFFSET($BN$2,0,0,ROW()-1,60),ROW()-1,FALSE))</f>
        <v>79.055000000000007</v>
      </c>
      <c r="AG92">
        <f ca="1">IF(AND(ISNUMBER($AG$548),$B$419=1),$AG$548,HLOOKUP(INDIRECT(ADDRESS(2,COLUMN())),OFFSET($BN$2,0,0,ROW()-1,60),ROW()-1,FALSE))</f>
        <v>77.105000000000004</v>
      </c>
      <c r="AH92">
        <f ca="1">IF(AND(ISNUMBER($AH$548),$B$419=1),$AH$548,HLOOKUP(INDIRECT(ADDRESS(2,COLUMN())),OFFSET($BN$2,0,0,ROW()-1,60),ROW()-1,FALSE))</f>
        <v>75.046000000000006</v>
      </c>
      <c r="AI92">
        <f ca="1">IF(AND(ISNUMBER($AI$548),$B$419=1),$AI$548,HLOOKUP(INDIRECT(ADDRESS(2,COLUMN())),OFFSET($BN$2,0,0,ROW()-1,60),ROW()-1,FALSE))</f>
        <v>74.039702000000005</v>
      </c>
      <c r="AJ92">
        <f ca="1">IF(AND(ISNUMBER($AJ$548),$B$419=1),$AJ$548,HLOOKUP(INDIRECT(ADDRESS(2,COLUMN())),OFFSET($BN$2,0,0,ROW()-1,60),ROW()-1,FALSE))</f>
        <v>69.765000000000001</v>
      </c>
      <c r="AK92">
        <f ca="1">IF(AND(ISNUMBER($AK$548),$B$419=1),$AK$548,HLOOKUP(INDIRECT(ADDRESS(2,COLUMN())),OFFSET($BN$2,0,0,ROW()-1,60),ROW()-1,FALSE))</f>
        <v>74.968999999999994</v>
      </c>
      <c r="AL92">
        <f ca="1">IF(AND(ISNUMBER($AL$548),$B$419=1),$AL$548,HLOOKUP(INDIRECT(ADDRESS(2,COLUMN())),OFFSET($BN$2,0,0,ROW()-1,60),ROW()-1,FALSE))</f>
        <v>73.828000000000003</v>
      </c>
      <c r="AM92">
        <f ca="1">IF(AND(ISNUMBER($AM$548),$B$419=1),$AM$548,HLOOKUP(INDIRECT(ADDRESS(2,COLUMN())),OFFSET($BN$2,0,0,ROW()-1,60),ROW()-1,FALSE))</f>
        <v>70.285887000000002</v>
      </c>
      <c r="AN92">
        <f ca="1">IF(AND(ISNUMBER($AN$548),$B$419=1),$AN$548,HLOOKUP(INDIRECT(ADDRESS(2,COLUMN())),OFFSET($BN$2,0,0,ROW()-1,60),ROW()-1,FALSE))</f>
        <v>84.245999999999995</v>
      </c>
      <c r="AO92">
        <f ca="1">IF(AND(ISNUMBER($AO$548),$B$419=1),$AO$548,HLOOKUP(INDIRECT(ADDRESS(2,COLUMN())),OFFSET($BN$2,0,0,ROW()-1,60),ROW()-1,FALSE))</f>
        <v>71.195999999999998</v>
      </c>
      <c r="AP92">
        <f ca="1">IF(AND(ISNUMBER($AP$548),$B$419=1),$AP$548,HLOOKUP(INDIRECT(ADDRESS(2,COLUMN())),OFFSET($BN$2,0,0,ROW()-1,60),ROW()-1,FALSE))</f>
        <v>73.33</v>
      </c>
      <c r="AQ92">
        <f ca="1">IF(AND(ISNUMBER($AQ$548),$B$419=1),$AQ$548,HLOOKUP(INDIRECT(ADDRESS(2,COLUMN())),OFFSET($BN$2,0,0,ROW()-1,60),ROW()-1,FALSE))</f>
        <v>92.106729999999999</v>
      </c>
      <c r="AR92">
        <f ca="1">IF(AND(ISNUMBER($AR$548),$B$419=1),$AR$548,HLOOKUP(INDIRECT(ADDRESS(2,COLUMN())),OFFSET($BN$2,0,0,ROW()-1,60),ROW()-1,FALSE))</f>
        <v>79.228999999999999</v>
      </c>
      <c r="AS92">
        <f ca="1">IF(AND(ISNUMBER($AS$548),$B$419=1),$AS$548,HLOOKUP(INDIRECT(ADDRESS(2,COLUMN())),OFFSET($BN$2,0,0,ROW()-1,60),ROW()-1,FALSE))</f>
        <v>81.183999999999997</v>
      </c>
      <c r="AT92">
        <f ca="1">IF(AND(ISNUMBER($AT$548),$B$419=1),$AT$548,HLOOKUP(INDIRECT(ADDRESS(2,COLUMN())),OFFSET($BN$2,0,0,ROW()-1,60),ROW()-1,FALSE))</f>
        <v>73.888999999999996</v>
      </c>
      <c r="AU92">
        <f ca="1">IF(AND(ISNUMBER($AU$548),$B$419=1),$AU$548,HLOOKUP(INDIRECT(ADDRESS(2,COLUMN())),OFFSET($BN$2,0,0,ROW()-1,60),ROW()-1,FALSE))</f>
        <v>67</v>
      </c>
      <c r="AV92">
        <f ca="1">IF(AND(ISNUMBER($AV$548),$B$419=1),$AV$548,HLOOKUP(INDIRECT(ADDRESS(2,COLUMN())),OFFSET($BN$2,0,0,ROW()-1,60),ROW()-1,FALSE))</f>
        <v>76.697999999999993</v>
      </c>
      <c r="AW92">
        <f ca="1">IF(AND(ISNUMBER($AW$548),$B$419=1),$AW$548,HLOOKUP(INDIRECT(ADDRESS(2,COLUMN())),OFFSET($BN$2,0,0,ROW()-1,60),ROW()-1,FALSE))</f>
        <v>69.177999999999997</v>
      </c>
      <c r="AX92">
        <f ca="1">IF(AND(ISNUMBER($AX$548),$B$419=1),$AX$548,HLOOKUP(INDIRECT(ADDRESS(2,COLUMN())),OFFSET($BN$2,0,0,ROW()-1,60),ROW()-1,FALSE))</f>
        <v>69.379000000000005</v>
      </c>
      <c r="AY92">
        <f ca="1">IF(AND(ISNUMBER($AY$548),$B$419=1),$AY$548,HLOOKUP(INDIRECT(ADDRESS(2,COLUMN())),OFFSET($BN$2,0,0,ROW()-1,60),ROW()-1,FALSE))</f>
        <v>58.984999999999999</v>
      </c>
      <c r="AZ92">
        <f ca="1">IF(AND(ISNUMBER($AZ$548),$B$419=1),$AZ$548,HLOOKUP(INDIRECT(ADDRESS(2,COLUMN())),OFFSET($BN$2,0,0,ROW()-1,60),ROW()-1,FALSE))</f>
        <v>70.741</v>
      </c>
      <c r="BA92">
        <f ca="1">IF(AND(ISNUMBER($BA$548),$B$419=1),$BA$548,HLOOKUP(INDIRECT(ADDRESS(2,COLUMN())),OFFSET($BN$2,0,0,ROW()-1,60),ROW()-1,FALSE))</f>
        <v>71.061999999999998</v>
      </c>
      <c r="BB92">
        <f ca="1">IF(AND(ISNUMBER($BB$548),$B$419=1),$BB$548,HLOOKUP(INDIRECT(ADDRESS(2,COLUMN())),OFFSET($BN$2,0,0,ROW()-1,60),ROW()-1,FALSE))</f>
        <v>64.233000000000004</v>
      </c>
      <c r="BC92">
        <f ca="1">IF(AND(ISNUMBER($BC$548),$B$419=1),$BC$548,HLOOKUP(INDIRECT(ADDRESS(2,COLUMN())),OFFSET($BN$2,0,0,ROW()-1,60),ROW()-1,FALSE))</f>
        <v>60.658000000000001</v>
      </c>
      <c r="BD92">
        <f ca="1">IF(AND(ISNUMBER($BD$548),$B$419=1),$BD$548,HLOOKUP(INDIRECT(ADDRESS(2,COLUMN())),OFFSET($BN$2,0,0,ROW()-1,60),ROW()-1,FALSE))</f>
        <v>59.207000000000001</v>
      </c>
      <c r="BE92">
        <f ca="1">IF(AND(ISNUMBER($BE$548),$B$419=1),$BE$548,HLOOKUP(INDIRECT(ADDRESS(2,COLUMN())),OFFSET($BN$2,0,0,ROW()-1,60),ROW()-1,FALSE))</f>
        <v>75.078999999999994</v>
      </c>
      <c r="BF92">
        <f ca="1">IF(AND(ISNUMBER($BF$548),$B$419=1),$BF$548,HLOOKUP(INDIRECT(ADDRESS(2,COLUMN())),OFFSET($BN$2,0,0,ROW()-1,60),ROW()-1,FALSE))</f>
        <v>65.927000000000007</v>
      </c>
      <c r="BG92">
        <f ca="1">IF(AND(ISNUMBER($BG$548),$B$419=1),$BG$548,HLOOKUP(INDIRECT(ADDRESS(2,COLUMN())),OFFSET($BN$2,0,0,ROW()-1,60),ROW()-1,FALSE))</f>
        <v>63.731999999999999</v>
      </c>
      <c r="BH92">
        <f ca="1">IF(AND(ISNUMBER($BH$548),$B$419=1),$BH$548,HLOOKUP(INDIRECT(ADDRESS(2,COLUMN())),OFFSET($BN$2,0,0,ROW()-1,60),ROW()-1,FALSE))</f>
        <v>61.695</v>
      </c>
      <c r="BI92">
        <f ca="1">IF(AND(ISNUMBER($BI$548),$B$419=1),$BI$548,HLOOKUP(INDIRECT(ADDRESS(2,COLUMN())),OFFSET($BN$2,0,0,ROW()-1,60),ROW()-1,FALSE))</f>
        <v>62.512000999999998</v>
      </c>
      <c r="BJ92">
        <f ca="1">IF(AND(ISNUMBER($BJ$548),$B$419=1),$BJ$548,HLOOKUP(INDIRECT(ADDRESS(2,COLUMN())),OFFSET($BN$2,0,0,ROW()-1,60),ROW()-1,FALSE))</f>
        <v>62.079000000000001</v>
      </c>
      <c r="BK92">
        <f ca="1">IF(AND(ISNUMBER($BK$548),$B$419=1),$BK$548,HLOOKUP(INDIRECT(ADDRESS(2,COLUMN())),OFFSET($BN$2,0,0,ROW()-1,60),ROW()-1,FALSE))</f>
        <v>56.33399773</v>
      </c>
      <c r="BL92">
        <f ca="1">IF(AND(ISNUMBER($BL$548),$B$419=1),$BL$548,HLOOKUP(INDIRECT(ADDRESS(2,COLUMN())),OFFSET($BN$2,0,0,ROW()-1,60),ROW()-1,FALSE))</f>
        <v>60.459000000000003</v>
      </c>
      <c r="BM92">
        <f ca="1">IF(AND(ISNUMBER($BM$548),$B$419=1),$BM$548,HLOOKUP(INDIRECT(ADDRESS(2,COLUMN())),OFFSET($BN$2,0,0,ROW()-1,60),ROW()-1,FALSE))</f>
        <v>60.676997999999998</v>
      </c>
      <c r="BN92" t="str">
        <f>""</f>
        <v/>
      </c>
      <c r="BO92">
        <f>168.952</f>
        <v>168.952</v>
      </c>
      <c r="BP92">
        <f>176.411</f>
        <v>176.411</v>
      </c>
      <c r="BQ92">
        <f>172.968</f>
        <v>172.96799999999999</v>
      </c>
      <c r="BR92">
        <f>55.733</f>
        <v>55.732999999999997</v>
      </c>
      <c r="BS92">
        <f>92.687</f>
        <v>92.686999999999998</v>
      </c>
      <c r="BT92">
        <f>95.246</f>
        <v>95.245999999999995</v>
      </c>
      <c r="BU92">
        <f>93.144</f>
        <v>93.144000000000005</v>
      </c>
      <c r="BV92">
        <f>92.468</f>
        <v>92.468000000000004</v>
      </c>
      <c r="BW92">
        <f>86.91</f>
        <v>86.91</v>
      </c>
      <c r="BX92">
        <f>89.632</f>
        <v>89.632000000000005</v>
      </c>
      <c r="BY92">
        <f>88.4</f>
        <v>88.4</v>
      </c>
      <c r="BZ92">
        <f>86.552</f>
        <v>86.552000000000007</v>
      </c>
      <c r="CA92">
        <f>82.826</f>
        <v>82.825999999999993</v>
      </c>
      <c r="CB92">
        <f>84.063</f>
        <v>84.063000000000002</v>
      </c>
      <c r="CC92">
        <f>83.478</f>
        <v>83.477999999999994</v>
      </c>
      <c r="CD92">
        <f>81.605</f>
        <v>81.605000000000004</v>
      </c>
      <c r="CE92">
        <f>75.768</f>
        <v>75.768000000000001</v>
      </c>
      <c r="CF92">
        <f>68.991</f>
        <v>68.991</v>
      </c>
      <c r="CG92">
        <f>75.855</f>
        <v>75.855000000000004</v>
      </c>
      <c r="CH92">
        <f>72.16</f>
        <v>72.16</v>
      </c>
      <c r="CI92">
        <f>69.974</f>
        <v>69.974000000000004</v>
      </c>
      <c r="CJ92">
        <f>71.732</f>
        <v>71.731999999999999</v>
      </c>
      <c r="CK92">
        <f>81.81</f>
        <v>81.81</v>
      </c>
      <c r="CL92">
        <f>75.583</f>
        <v>75.582999999999998</v>
      </c>
      <c r="CM92">
        <f>74.61</f>
        <v>74.61</v>
      </c>
      <c r="CN92">
        <f>79.055</f>
        <v>79.055000000000007</v>
      </c>
      <c r="CO92">
        <f>77.105</f>
        <v>77.105000000000004</v>
      </c>
      <c r="CP92">
        <f>75.046</f>
        <v>75.046000000000006</v>
      </c>
      <c r="CQ92">
        <f>74.039702</f>
        <v>74.039702000000005</v>
      </c>
      <c r="CR92">
        <f>69.765</f>
        <v>69.765000000000001</v>
      </c>
      <c r="CS92">
        <f>74.969</f>
        <v>74.968999999999994</v>
      </c>
      <c r="CT92">
        <f>73.828</f>
        <v>73.828000000000003</v>
      </c>
      <c r="CU92">
        <f>70.285887</f>
        <v>70.285887000000002</v>
      </c>
      <c r="CV92">
        <f>84.246</f>
        <v>84.245999999999995</v>
      </c>
      <c r="CW92">
        <f>71.196</f>
        <v>71.195999999999998</v>
      </c>
      <c r="CX92">
        <f>73.33</f>
        <v>73.33</v>
      </c>
      <c r="CY92">
        <f>92.10673</f>
        <v>92.106729999999999</v>
      </c>
      <c r="CZ92">
        <f>79.229</f>
        <v>79.228999999999999</v>
      </c>
      <c r="DA92">
        <f>81.184</f>
        <v>81.183999999999997</v>
      </c>
      <c r="DB92">
        <f>73.889</f>
        <v>73.888999999999996</v>
      </c>
      <c r="DC92">
        <f>67</f>
        <v>67</v>
      </c>
      <c r="DD92">
        <f>76.698</f>
        <v>76.697999999999993</v>
      </c>
      <c r="DE92">
        <f>69.178</f>
        <v>69.177999999999997</v>
      </c>
      <c r="DF92">
        <f>69.379</f>
        <v>69.379000000000005</v>
      </c>
      <c r="DG92">
        <f>58.985</f>
        <v>58.984999999999999</v>
      </c>
      <c r="DH92">
        <f>70.741</f>
        <v>70.741</v>
      </c>
      <c r="DI92">
        <f>71.062</f>
        <v>71.061999999999998</v>
      </c>
      <c r="DJ92">
        <f>64.233</f>
        <v>64.233000000000004</v>
      </c>
      <c r="DK92">
        <f>60.658</f>
        <v>60.658000000000001</v>
      </c>
      <c r="DL92">
        <f>59.207</f>
        <v>59.207000000000001</v>
      </c>
      <c r="DM92">
        <f>75.079</f>
        <v>75.078999999999994</v>
      </c>
      <c r="DN92">
        <f>65.927</f>
        <v>65.927000000000007</v>
      </c>
      <c r="DO92">
        <f>63.732</f>
        <v>63.731999999999999</v>
      </c>
      <c r="DP92">
        <f>61.695</f>
        <v>61.695</v>
      </c>
      <c r="DQ92">
        <f>62.512001</f>
        <v>62.512000999999998</v>
      </c>
      <c r="DR92">
        <f>62.079</f>
        <v>62.079000000000001</v>
      </c>
      <c r="DS92">
        <f>56.33399773</f>
        <v>56.33399773</v>
      </c>
      <c r="DT92">
        <f>60.459</f>
        <v>60.459000000000003</v>
      </c>
      <c r="DU92">
        <f>60.676998</f>
        <v>60.676997999999998</v>
      </c>
    </row>
    <row r="93" spans="1:125">
      <c r="A93" t="str">
        <f>"    Retail Opportunity Investments"</f>
        <v xml:space="preserve">    Retail Opportunity Investments</v>
      </c>
      <c r="B93" t="str">
        <f>"ROIC US Equity"</f>
        <v>ROIC US Equity</v>
      </c>
      <c r="C93" t="str">
        <f t="shared" si="15"/>
        <v>RR009</v>
      </c>
      <c r="D93" t="str">
        <f t="shared" si="16"/>
        <v>EBITDA</v>
      </c>
      <c r="E93" t="str">
        <f t="shared" si="17"/>
        <v>动态</v>
      </c>
      <c r="F93" t="str">
        <f ca="1">IF(AND(ISNUMBER($F$549),$B$419=1),$F$549,HLOOKUP(INDIRECT(ADDRESS(2,COLUMN())),OFFSET($BN$2,0,0,ROW()-1,60),ROW()-1,FALSE))</f>
        <v/>
      </c>
      <c r="G93">
        <f ca="1">IF(AND(ISNUMBER($G$549),$B$419=1),$G$549,HLOOKUP(INDIRECT(ADDRESS(2,COLUMN())),OFFSET($BN$2,0,0,ROW()-1,60),ROW()-1,FALSE))</f>
        <v>50.956000000000003</v>
      </c>
      <c r="H93">
        <f ca="1">IF(AND(ISNUMBER($H$549),$B$419=1),$H$549,HLOOKUP(INDIRECT(ADDRESS(2,COLUMN())),OFFSET($BN$2,0,0,ROW()-1,60),ROW()-1,FALSE))</f>
        <v>47.661999999999999</v>
      </c>
      <c r="I93">
        <f ca="1">IF(AND(ISNUMBER($I$549),$B$419=1),$I$549,HLOOKUP(INDIRECT(ADDRESS(2,COLUMN())),OFFSET($BN$2,0,0,ROW()-1,60),ROW()-1,FALSE))</f>
        <v>45.319000000000003</v>
      </c>
      <c r="J93">
        <f ca="1">IF(AND(ISNUMBER($J$549),$B$419=1),$J$549,HLOOKUP(INDIRECT(ADDRESS(2,COLUMN())),OFFSET($BN$2,0,0,ROW()-1,60),ROW()-1,FALSE))</f>
        <v>45.984000000000002</v>
      </c>
      <c r="K93">
        <f ca="1">IF(AND(ISNUMBER($K$549),$B$419=1),$K$549,HLOOKUP(INDIRECT(ADDRESS(2,COLUMN())),OFFSET($BN$2,0,0,ROW()-1,60),ROW()-1,FALSE))</f>
        <v>44.503</v>
      </c>
      <c r="L93">
        <f ca="1">IF(AND(ISNUMBER($L$549),$B$419=1),$L$549,HLOOKUP(INDIRECT(ADDRESS(2,COLUMN())),OFFSET($BN$2,0,0,ROW()-1,60),ROW()-1,FALSE))</f>
        <v>41.317999999999998</v>
      </c>
      <c r="M93">
        <f ca="1">IF(AND(ISNUMBER($M$549),$B$419=1),$M$549,HLOOKUP(INDIRECT(ADDRESS(2,COLUMN())),OFFSET($BN$2,0,0,ROW()-1,60),ROW()-1,FALSE))</f>
        <v>40.377000000000002</v>
      </c>
      <c r="N93">
        <f ca="1">IF(AND(ISNUMBER($N$549),$B$419=1),$N$549,HLOOKUP(INDIRECT(ADDRESS(2,COLUMN())),OFFSET($BN$2,0,0,ROW()-1,60),ROW()-1,FALSE))</f>
        <v>39.332000000000001</v>
      </c>
      <c r="O93">
        <f ca="1">IF(AND(ISNUMBER($O$549),$B$419=1),$O$549,HLOOKUP(INDIRECT(ADDRESS(2,COLUMN())),OFFSET($BN$2,0,0,ROW()-1,60),ROW()-1,FALSE))</f>
        <v>34.694000000000003</v>
      </c>
      <c r="P93">
        <f ca="1">IF(AND(ISNUMBER($P$549),$B$419=1),$P$549,HLOOKUP(INDIRECT(ADDRESS(2,COLUMN())),OFFSET($BN$2,0,0,ROW()-1,60),ROW()-1,FALSE))</f>
        <v>34.421999999999997</v>
      </c>
      <c r="Q93">
        <f ca="1">IF(AND(ISNUMBER($Q$549),$B$419=1),$Q$549,HLOOKUP(INDIRECT(ADDRESS(2,COLUMN())),OFFSET($BN$2,0,0,ROW()-1,60),ROW()-1,FALSE))</f>
        <v>30.672000000000001</v>
      </c>
      <c r="R93">
        <f ca="1">IF(AND(ISNUMBER($R$549),$B$419=1),$R$549,HLOOKUP(INDIRECT(ADDRESS(2,COLUMN())),OFFSET($BN$2,0,0,ROW()-1,60),ROW()-1,FALSE))</f>
        <v>30.504000000000001</v>
      </c>
      <c r="S93">
        <f ca="1">IF(AND(ISNUMBER($S$549),$B$419=1),$S$549,HLOOKUP(INDIRECT(ADDRESS(2,COLUMN())),OFFSET($BN$2,0,0,ROW()-1,60),ROW()-1,FALSE))</f>
        <v>27.098941</v>
      </c>
      <c r="T93">
        <f ca="1">IF(AND(ISNUMBER($T$549),$B$419=1),$T$549,HLOOKUP(INDIRECT(ADDRESS(2,COLUMN())),OFFSET($BN$2,0,0,ROW()-1,60),ROW()-1,FALSE))</f>
        <v>27.660170000000001</v>
      </c>
      <c r="U93">
        <f ca="1">IF(AND(ISNUMBER($U$549),$B$419=1),$U$549,HLOOKUP(INDIRECT(ADDRESS(2,COLUMN())),OFFSET($BN$2,0,0,ROW()-1,60),ROW()-1,FALSE))</f>
        <v>23.945291000000001</v>
      </c>
      <c r="V93">
        <f ca="1">IF(AND(ISNUMBER($V$549),$B$419=1),$V$549,HLOOKUP(INDIRECT(ADDRESS(2,COLUMN())),OFFSET($BN$2,0,0,ROW()-1,60),ROW()-1,FALSE))</f>
        <v>23.504000000000001</v>
      </c>
      <c r="W93">
        <f ca="1">IF(AND(ISNUMBER($W$549),$B$419=1),$W$549,HLOOKUP(INDIRECT(ADDRESS(2,COLUMN())),OFFSET($BN$2,0,0,ROW()-1,60),ROW()-1,FALSE))</f>
        <v>21.420877000000001</v>
      </c>
      <c r="X93">
        <f ca="1">IF(AND(ISNUMBER($X$549),$B$419=1),$X$549,HLOOKUP(INDIRECT(ADDRESS(2,COLUMN())),OFFSET($BN$2,0,0,ROW()-1,60),ROW()-1,FALSE))</f>
        <v>16.220818000000001</v>
      </c>
      <c r="Y93">
        <f ca="1">IF(AND(ISNUMBER($Y$549),$B$419=1),$Y$549,HLOOKUP(INDIRECT(ADDRESS(2,COLUMN())),OFFSET($BN$2,0,0,ROW()-1,60),ROW()-1,FALSE))</f>
        <v>15.766401</v>
      </c>
      <c r="Z93">
        <f ca="1">IF(AND(ISNUMBER($Z$549),$B$419=1),$Z$549,HLOOKUP(INDIRECT(ADDRESS(2,COLUMN())),OFFSET($BN$2,0,0,ROW()-1,60),ROW()-1,FALSE))</f>
        <v>14.764972999999999</v>
      </c>
      <c r="AA93">
        <f ca="1">IF(AND(ISNUMBER($AA$549),$B$419=1),$AA$549,HLOOKUP(INDIRECT(ADDRESS(2,COLUMN())),OFFSET($BN$2,0,0,ROW()-1,60),ROW()-1,FALSE))</f>
        <v>11.076449999999999</v>
      </c>
      <c r="AB93">
        <f ca="1">IF(AND(ISNUMBER($AB$549),$B$419=1),$AB$549,HLOOKUP(INDIRECT(ADDRESS(2,COLUMN())),OFFSET($BN$2,0,0,ROW()-1,60),ROW()-1,FALSE))</f>
        <v>10.140922</v>
      </c>
      <c r="AC93">
        <f ca="1">IF(AND(ISNUMBER($AC$549),$B$419=1),$AC$549,HLOOKUP(INDIRECT(ADDRESS(2,COLUMN())),OFFSET($BN$2,0,0,ROW()-1,60),ROW()-1,FALSE))</f>
        <v>9.8746310000000008</v>
      </c>
      <c r="AD93">
        <f ca="1">IF(AND(ISNUMBER($AD$549),$B$419=1),$AD$549,HLOOKUP(INDIRECT(ADDRESS(2,COLUMN())),OFFSET($BN$2,0,0,ROW()-1,60),ROW()-1,FALSE))</f>
        <v>9.5364959999999996</v>
      </c>
      <c r="AE93">
        <f ca="1">IF(AND(ISNUMBER($AE$549),$B$419=1),$AE$549,HLOOKUP(INDIRECT(ADDRESS(2,COLUMN())),OFFSET($BN$2,0,0,ROW()-1,60),ROW()-1,FALSE))</f>
        <v>9.0034419999999997</v>
      </c>
      <c r="AF93">
        <f ca="1">IF(AND(ISNUMBER($AF$549),$B$419=1),$AF$549,HLOOKUP(INDIRECT(ADDRESS(2,COLUMN())),OFFSET($BN$2,0,0,ROW()-1,60),ROW()-1,FALSE))</f>
        <v>6.3263660000000002</v>
      </c>
      <c r="AG93">
        <f ca="1">IF(AND(ISNUMBER($AG$549),$B$419=1),$AG$549,HLOOKUP(INDIRECT(ADDRESS(2,COLUMN())),OFFSET($BN$2,0,0,ROW()-1,60),ROW()-1,FALSE))</f>
        <v>5.5794560000000004</v>
      </c>
      <c r="AH93">
        <f ca="1">IF(AND(ISNUMBER($AH$549),$B$419=1),$AH$549,HLOOKUP(INDIRECT(ADDRESS(2,COLUMN())),OFFSET($BN$2,0,0,ROW()-1,60),ROW()-1,FALSE))</f>
        <v>5.3098619999999999</v>
      </c>
      <c r="AI93">
        <f ca="1">IF(AND(ISNUMBER($AI$549),$B$419=1),$AI$549,HLOOKUP(INDIRECT(ADDRESS(2,COLUMN())),OFFSET($BN$2,0,0,ROW()-1,60),ROW()-1,FALSE))</f>
        <v>1.5399389999999999</v>
      </c>
      <c r="AJ93">
        <f ca="1">IF(AND(ISNUMBER($AJ$549),$B$419=1),$AJ$549,HLOOKUP(INDIRECT(ADDRESS(2,COLUMN())),OFFSET($BN$2,0,0,ROW()-1,60),ROW()-1,FALSE))</f>
        <v>1.1442619999999999</v>
      </c>
      <c r="AK93">
        <f ca="1">IF(AND(ISNUMBER($AK$549),$B$419=1),$AK$549,HLOOKUP(INDIRECT(ADDRESS(2,COLUMN())),OFFSET($BN$2,0,0,ROW()-1,60),ROW()-1,FALSE))</f>
        <v>-0.55838100000000002</v>
      </c>
      <c r="AL93">
        <f ca="1">IF(AND(ISNUMBER($AL$549),$B$419=1),$AL$549,HLOOKUP(INDIRECT(ADDRESS(2,COLUMN())),OFFSET($BN$2,0,0,ROW()-1,60),ROW()-1,FALSE))</f>
        <v>-1.610986</v>
      </c>
      <c r="AM93" t="str">
        <f ca="1">IF(AND(ISNUMBER($AM$549),$B$419=1),$AM$549,HLOOKUP(INDIRECT(ADDRESS(2,COLUMN())),OFFSET($BN$2,0,0,ROW()-1,60),ROW()-1,FALSE))</f>
        <v/>
      </c>
      <c r="AN93" t="str">
        <f ca="1">IF(AND(ISNUMBER($AN$549),$B$419=1),$AN$549,HLOOKUP(INDIRECT(ADDRESS(2,COLUMN())),OFFSET($BN$2,0,0,ROW()-1,60),ROW()-1,FALSE))</f>
        <v/>
      </c>
      <c r="AO93" t="str">
        <f ca="1">IF(AND(ISNUMBER($AO$549),$B$419=1),$AO$549,HLOOKUP(INDIRECT(ADDRESS(2,COLUMN())),OFFSET($BN$2,0,0,ROW()-1,60),ROW()-1,FALSE))</f>
        <v/>
      </c>
      <c r="AP93" t="str">
        <f ca="1">IF(AND(ISNUMBER($AP$549),$B$419=1),$AP$549,HLOOKUP(INDIRECT(ADDRESS(2,COLUMN())),OFFSET($BN$2,0,0,ROW()-1,60),ROW()-1,FALSE))</f>
        <v/>
      </c>
      <c r="AQ93" t="str">
        <f ca="1">IF(AND(ISNUMBER($AQ$549),$B$419=1),$AQ$549,HLOOKUP(INDIRECT(ADDRESS(2,COLUMN())),OFFSET($BN$2,0,0,ROW()-1,60),ROW()-1,FALSE))</f>
        <v/>
      </c>
      <c r="AR93" t="str">
        <f ca="1">IF(AND(ISNUMBER($AR$549),$B$419=1),$AR$549,HLOOKUP(INDIRECT(ADDRESS(2,COLUMN())),OFFSET($BN$2,0,0,ROW()-1,60),ROW()-1,FALSE))</f>
        <v/>
      </c>
      <c r="AS93" t="str">
        <f ca="1">IF(AND(ISNUMBER($AS$549),$B$419=1),$AS$549,HLOOKUP(INDIRECT(ADDRESS(2,COLUMN())),OFFSET($BN$2,0,0,ROW()-1,60),ROW()-1,FALSE))</f>
        <v/>
      </c>
      <c r="AT93" t="str">
        <f ca="1">IF(AND(ISNUMBER($AT$549),$B$419=1),$AT$549,HLOOKUP(INDIRECT(ADDRESS(2,COLUMN())),OFFSET($BN$2,0,0,ROW()-1,60),ROW()-1,FALSE))</f>
        <v/>
      </c>
      <c r="AU93" t="str">
        <f ca="1">IF(AND(ISNUMBER($AU$549),$B$419=1),$AU$549,HLOOKUP(INDIRECT(ADDRESS(2,COLUMN())),OFFSET($BN$2,0,0,ROW()-1,60),ROW()-1,FALSE))</f>
        <v/>
      </c>
      <c r="AV93" t="str">
        <f ca="1">IF(AND(ISNUMBER($AV$549),$B$419=1),$AV$549,HLOOKUP(INDIRECT(ADDRESS(2,COLUMN())),OFFSET($BN$2,0,0,ROW()-1,60),ROW()-1,FALSE))</f>
        <v/>
      </c>
      <c r="AW93" t="str">
        <f ca="1">IF(AND(ISNUMBER($AW$549),$B$419=1),$AW$549,HLOOKUP(INDIRECT(ADDRESS(2,COLUMN())),OFFSET($BN$2,0,0,ROW()-1,60),ROW()-1,FALSE))</f>
        <v/>
      </c>
      <c r="AX93" t="str">
        <f ca="1">IF(AND(ISNUMBER($AX$549),$B$419=1),$AX$549,HLOOKUP(INDIRECT(ADDRESS(2,COLUMN())),OFFSET($BN$2,0,0,ROW()-1,60),ROW()-1,FALSE))</f>
        <v/>
      </c>
      <c r="AY93" t="str">
        <f ca="1">IF(AND(ISNUMBER($AY$549),$B$419=1),$AY$549,HLOOKUP(INDIRECT(ADDRESS(2,COLUMN())),OFFSET($BN$2,0,0,ROW()-1,60),ROW()-1,FALSE))</f>
        <v/>
      </c>
      <c r="AZ93" t="str">
        <f ca="1">IF(AND(ISNUMBER($AZ$549),$B$419=1),$AZ$549,HLOOKUP(INDIRECT(ADDRESS(2,COLUMN())),OFFSET($BN$2,0,0,ROW()-1,60),ROW()-1,FALSE))</f>
        <v/>
      </c>
      <c r="BA93" t="str">
        <f ca="1">IF(AND(ISNUMBER($BA$549),$B$419=1),$BA$549,HLOOKUP(INDIRECT(ADDRESS(2,COLUMN())),OFFSET($BN$2,0,0,ROW()-1,60),ROW()-1,FALSE))</f>
        <v/>
      </c>
      <c r="BB93" t="str">
        <f ca="1">IF(AND(ISNUMBER($BB$549),$B$419=1),$BB$549,HLOOKUP(INDIRECT(ADDRESS(2,COLUMN())),OFFSET($BN$2,0,0,ROW()-1,60),ROW()-1,FALSE))</f>
        <v/>
      </c>
      <c r="BC93" t="str">
        <f ca="1">IF(AND(ISNUMBER($BC$549),$B$419=1),$BC$549,HLOOKUP(INDIRECT(ADDRESS(2,COLUMN())),OFFSET($BN$2,0,0,ROW()-1,60),ROW()-1,FALSE))</f>
        <v/>
      </c>
      <c r="BD93" t="str">
        <f ca="1">IF(AND(ISNUMBER($BD$549),$B$419=1),$BD$549,HLOOKUP(INDIRECT(ADDRESS(2,COLUMN())),OFFSET($BN$2,0,0,ROW()-1,60),ROW()-1,FALSE))</f>
        <v/>
      </c>
      <c r="BE93" t="str">
        <f ca="1">IF(AND(ISNUMBER($BE$549),$B$419=1),$BE$549,HLOOKUP(INDIRECT(ADDRESS(2,COLUMN())),OFFSET($BN$2,0,0,ROW()-1,60),ROW()-1,FALSE))</f>
        <v/>
      </c>
      <c r="BF93" t="str">
        <f ca="1">IF(AND(ISNUMBER($BF$549),$B$419=1),$BF$549,HLOOKUP(INDIRECT(ADDRESS(2,COLUMN())),OFFSET($BN$2,0,0,ROW()-1,60),ROW()-1,FALSE))</f>
        <v/>
      </c>
      <c r="BG93" t="str">
        <f ca="1">IF(AND(ISNUMBER($BG$549),$B$419=1),$BG$549,HLOOKUP(INDIRECT(ADDRESS(2,COLUMN())),OFFSET($BN$2,0,0,ROW()-1,60),ROW()-1,FALSE))</f>
        <v/>
      </c>
      <c r="BH93" t="str">
        <f ca="1">IF(AND(ISNUMBER($BH$549),$B$419=1),$BH$549,HLOOKUP(INDIRECT(ADDRESS(2,COLUMN())),OFFSET($BN$2,0,0,ROW()-1,60),ROW()-1,FALSE))</f>
        <v/>
      </c>
      <c r="BI93" t="str">
        <f ca="1">IF(AND(ISNUMBER($BI$549),$B$419=1),$BI$549,HLOOKUP(INDIRECT(ADDRESS(2,COLUMN())),OFFSET($BN$2,0,0,ROW()-1,60),ROW()-1,FALSE))</f>
        <v/>
      </c>
      <c r="BJ93" t="str">
        <f ca="1">IF(AND(ISNUMBER($BJ$549),$B$419=1),$BJ$549,HLOOKUP(INDIRECT(ADDRESS(2,COLUMN())),OFFSET($BN$2,0,0,ROW()-1,60),ROW()-1,FALSE))</f>
        <v/>
      </c>
      <c r="BK93" t="str">
        <f ca="1">IF(AND(ISNUMBER($BK$549),$B$419=1),$BK$549,HLOOKUP(INDIRECT(ADDRESS(2,COLUMN())),OFFSET($BN$2,0,0,ROW()-1,60),ROW()-1,FALSE))</f>
        <v/>
      </c>
      <c r="BL93" t="str">
        <f ca="1">IF(AND(ISNUMBER($BL$549),$B$419=1),$BL$549,HLOOKUP(INDIRECT(ADDRESS(2,COLUMN())),OFFSET($BN$2,0,0,ROW()-1,60),ROW()-1,FALSE))</f>
        <v/>
      </c>
      <c r="BM93" t="str">
        <f ca="1">IF(AND(ISNUMBER($BM$549),$B$419=1),$BM$549,HLOOKUP(INDIRECT(ADDRESS(2,COLUMN())),OFFSET($BN$2,0,0,ROW()-1,60),ROW()-1,FALSE))</f>
        <v/>
      </c>
      <c r="BN93" t="str">
        <f>""</f>
        <v/>
      </c>
      <c r="BO93">
        <f>50.956</f>
        <v>50.956000000000003</v>
      </c>
      <c r="BP93">
        <f>47.662</f>
        <v>47.661999999999999</v>
      </c>
      <c r="BQ93">
        <f>45.319</f>
        <v>45.319000000000003</v>
      </c>
      <c r="BR93">
        <f>45.984</f>
        <v>45.984000000000002</v>
      </c>
      <c r="BS93">
        <f>44.503</f>
        <v>44.503</v>
      </c>
      <c r="BT93">
        <f>41.318</f>
        <v>41.317999999999998</v>
      </c>
      <c r="BU93">
        <f>40.377</f>
        <v>40.377000000000002</v>
      </c>
      <c r="BV93">
        <f>39.332</f>
        <v>39.332000000000001</v>
      </c>
      <c r="BW93">
        <f>34.694</f>
        <v>34.694000000000003</v>
      </c>
      <c r="BX93">
        <f>34.422</f>
        <v>34.421999999999997</v>
      </c>
      <c r="BY93">
        <f>30.672</f>
        <v>30.672000000000001</v>
      </c>
      <c r="BZ93">
        <f>30.504</f>
        <v>30.504000000000001</v>
      </c>
      <c r="CA93">
        <f>27.098941</f>
        <v>27.098941</v>
      </c>
      <c r="CB93">
        <f>27.66017</f>
        <v>27.660170000000001</v>
      </c>
      <c r="CC93">
        <f>23.945291</f>
        <v>23.945291000000001</v>
      </c>
      <c r="CD93">
        <f>23.504</f>
        <v>23.504000000000001</v>
      </c>
      <c r="CE93">
        <f>21.420877</f>
        <v>21.420877000000001</v>
      </c>
      <c r="CF93">
        <f>16.220818</f>
        <v>16.220818000000001</v>
      </c>
      <c r="CG93">
        <f>15.766401</f>
        <v>15.766401</v>
      </c>
      <c r="CH93">
        <f>14.764973</f>
        <v>14.764972999999999</v>
      </c>
      <c r="CI93">
        <f>11.07645</f>
        <v>11.076449999999999</v>
      </c>
      <c r="CJ93">
        <f>10.140922</f>
        <v>10.140922</v>
      </c>
      <c r="CK93">
        <f>9.874631</f>
        <v>9.8746310000000008</v>
      </c>
      <c r="CL93">
        <f>9.536496</f>
        <v>9.5364959999999996</v>
      </c>
      <c r="CM93">
        <f>9.003442</f>
        <v>9.0034419999999997</v>
      </c>
      <c r="CN93">
        <f>6.326366</f>
        <v>6.3263660000000002</v>
      </c>
      <c r="CO93">
        <f>5.579456</f>
        <v>5.5794560000000004</v>
      </c>
      <c r="CP93">
        <f>5.309862</f>
        <v>5.3098619999999999</v>
      </c>
      <c r="CQ93">
        <f>1.539939</f>
        <v>1.5399389999999999</v>
      </c>
      <c r="CR93">
        <f>1.144262</f>
        <v>1.1442619999999999</v>
      </c>
      <c r="CS93">
        <f>-0.558381</f>
        <v>-0.55838100000000002</v>
      </c>
      <c r="CT93">
        <f>-1.610986</f>
        <v>-1.610986</v>
      </c>
      <c r="CU93" t="str">
        <f>""</f>
        <v/>
      </c>
      <c r="CV93" t="str">
        <f>""</f>
        <v/>
      </c>
      <c r="CW93" t="str">
        <f>""</f>
        <v/>
      </c>
      <c r="CX93" t="str">
        <f>""</f>
        <v/>
      </c>
      <c r="CY93" t="str">
        <f>""</f>
        <v/>
      </c>
      <c r="CZ93" t="str">
        <f>""</f>
        <v/>
      </c>
      <c r="DA93" t="str">
        <f>""</f>
        <v/>
      </c>
      <c r="DB93" t="str">
        <f>""</f>
        <v/>
      </c>
      <c r="DC93" t="str">
        <f>""</f>
        <v/>
      </c>
      <c r="DD93" t="str">
        <f>""</f>
        <v/>
      </c>
      <c r="DE93" t="str">
        <f>""</f>
        <v/>
      </c>
      <c r="DF93" t="str">
        <f>""</f>
        <v/>
      </c>
      <c r="DG93" t="str">
        <f>""</f>
        <v/>
      </c>
      <c r="DH93" t="str">
        <f>""</f>
        <v/>
      </c>
      <c r="DI93" t="str">
        <f>""</f>
        <v/>
      </c>
      <c r="DJ93" t="str">
        <f>""</f>
        <v/>
      </c>
      <c r="DK93" t="str">
        <f>""</f>
        <v/>
      </c>
      <c r="DL93" t="str">
        <f>""</f>
        <v/>
      </c>
      <c r="DM93" t="str">
        <f>""</f>
        <v/>
      </c>
      <c r="DN93" t="str">
        <f>""</f>
        <v/>
      </c>
      <c r="DO93" t="str">
        <f>""</f>
        <v/>
      </c>
      <c r="DP93" t="str">
        <f>""</f>
        <v/>
      </c>
      <c r="DQ93" t="str">
        <f>""</f>
        <v/>
      </c>
      <c r="DR93" t="str">
        <f>""</f>
        <v/>
      </c>
      <c r="DS93" t="str">
        <f>""</f>
        <v/>
      </c>
      <c r="DT93" t="str">
        <f>""</f>
        <v/>
      </c>
      <c r="DU93" t="str">
        <f>""</f>
        <v/>
      </c>
    </row>
    <row r="94" spans="1:125">
      <c r="A94" t="str">
        <f>"    Retail Properties of America I"</f>
        <v xml:space="preserve">    Retail Properties of America I</v>
      </c>
      <c r="B94" t="str">
        <f>"RPAI US Equity"</f>
        <v>RPAI US Equity</v>
      </c>
      <c r="C94" t="str">
        <f t="shared" si="15"/>
        <v>RR009</v>
      </c>
      <c r="D94" t="str">
        <f t="shared" si="16"/>
        <v>EBITDA</v>
      </c>
      <c r="E94" t="str">
        <f t="shared" si="17"/>
        <v>动态</v>
      </c>
      <c r="F94" t="str">
        <f ca="1">IF(AND(ISNUMBER($F$550),$B$419=1),$F$550,HLOOKUP(INDIRECT(ADDRESS(2,COLUMN())),OFFSET($BN$2,0,0,ROW()-1,60),ROW()-1,FALSE))</f>
        <v/>
      </c>
      <c r="G94">
        <f ca="1">IF(AND(ISNUMBER($G$550),$B$419=1),$G$550,HLOOKUP(INDIRECT(ADDRESS(2,COLUMN())),OFFSET($BN$2,0,0,ROW()-1,60),ROW()-1,FALSE))</f>
        <v>67.442999999999998</v>
      </c>
      <c r="H94">
        <f ca="1">IF(AND(ISNUMBER($H$550),$B$419=1),$H$550,HLOOKUP(INDIRECT(ADDRESS(2,COLUMN())),OFFSET($BN$2,0,0,ROW()-1,60),ROW()-1,FALSE))</f>
        <v>35.476999999999997</v>
      </c>
      <c r="I94">
        <f ca="1">IF(AND(ISNUMBER($I$550),$B$419=1),$I$550,HLOOKUP(INDIRECT(ADDRESS(2,COLUMN())),OFFSET($BN$2,0,0,ROW()-1,60),ROW()-1,FALSE))</f>
        <v>71.444000000000003</v>
      </c>
      <c r="J94">
        <f ca="1">IF(AND(ISNUMBER($J$550),$B$419=1),$J$550,HLOOKUP(INDIRECT(ADDRESS(2,COLUMN())),OFFSET($BN$2,0,0,ROW()-1,60),ROW()-1,FALSE))</f>
        <v>88.736999999999995</v>
      </c>
      <c r="K94">
        <f ca="1">IF(AND(ISNUMBER($K$550),$B$419=1),$K$550,HLOOKUP(INDIRECT(ADDRESS(2,COLUMN())),OFFSET($BN$2,0,0,ROW()-1,60),ROW()-1,FALSE))</f>
        <v>78.926000000000002</v>
      </c>
      <c r="L94">
        <f ca="1">IF(AND(ISNUMBER($L$550),$B$419=1),$L$550,HLOOKUP(INDIRECT(ADDRESS(2,COLUMN())),OFFSET($BN$2,0,0,ROW()-1,60),ROW()-1,FALSE))</f>
        <v>88.451999999999998</v>
      </c>
      <c r="M94">
        <f ca="1">IF(AND(ISNUMBER($M$550),$B$419=1),$M$550,HLOOKUP(INDIRECT(ADDRESS(2,COLUMN())),OFFSET($BN$2,0,0,ROW()-1,60),ROW()-1,FALSE))</f>
        <v>91.129000000000005</v>
      </c>
      <c r="N94">
        <f ca="1">IF(AND(ISNUMBER($N$550),$B$419=1),$N$550,HLOOKUP(INDIRECT(ADDRESS(2,COLUMN())),OFFSET($BN$2,0,0,ROW()-1,60),ROW()-1,FALSE))</f>
        <v>92.069000000000003</v>
      </c>
      <c r="O94">
        <f ca="1">IF(AND(ISNUMBER($O$550),$B$419=1),$O$550,HLOOKUP(INDIRECT(ADDRESS(2,COLUMN())),OFFSET($BN$2,0,0,ROW()-1,60),ROW()-1,FALSE))</f>
        <v>74.343999999999994</v>
      </c>
      <c r="P94">
        <f ca="1">IF(AND(ISNUMBER($P$550),$B$419=1),$P$550,HLOOKUP(INDIRECT(ADDRESS(2,COLUMN())),OFFSET($BN$2,0,0,ROW()-1,60),ROW()-1,FALSE))</f>
        <v>96.144999999999996</v>
      </c>
      <c r="Q94">
        <f ca="1">IF(AND(ISNUMBER($Q$550),$B$419=1),$Q$550,HLOOKUP(INDIRECT(ADDRESS(2,COLUMN())),OFFSET($BN$2,0,0,ROW()-1,60),ROW()-1,FALSE))</f>
        <v>89.287000000000006</v>
      </c>
      <c r="R94">
        <f ca="1">IF(AND(ISNUMBER($R$550),$B$419=1),$R$550,HLOOKUP(INDIRECT(ADDRESS(2,COLUMN())),OFFSET($BN$2,0,0,ROW()-1,60),ROW()-1,FALSE))</f>
        <v>96</v>
      </c>
      <c r="S94">
        <f ca="1">IF(AND(ISNUMBER($S$550),$B$419=1),$S$550,HLOOKUP(INDIRECT(ADDRESS(2,COLUMN())),OFFSET($BN$2,0,0,ROW()-1,60),ROW()-1,FALSE))</f>
        <v>86.855999999999995</v>
      </c>
      <c r="T94">
        <f ca="1">IF(AND(ISNUMBER($T$550),$B$419=1),$T$550,HLOOKUP(INDIRECT(ADDRESS(2,COLUMN())),OFFSET($BN$2,0,0,ROW()-1,60),ROW()-1,FALSE))</f>
        <v>45.073999999999998</v>
      </c>
      <c r="U94">
        <f ca="1">IF(AND(ISNUMBER($U$550),$B$419=1),$U$550,HLOOKUP(INDIRECT(ADDRESS(2,COLUMN())),OFFSET($BN$2,0,0,ROW()-1,60),ROW()-1,FALSE))</f>
        <v>91.507999999999996</v>
      </c>
      <c r="V94">
        <f ca="1">IF(AND(ISNUMBER($V$550),$B$419=1),$V$550,HLOOKUP(INDIRECT(ADDRESS(2,COLUMN())),OFFSET($BN$2,0,0,ROW()-1,60),ROW()-1,FALSE))</f>
        <v>95.173000000000002</v>
      </c>
      <c r="W94">
        <f ca="1">IF(AND(ISNUMBER($W$550),$B$419=1),$W$550,HLOOKUP(INDIRECT(ADDRESS(2,COLUMN())),OFFSET($BN$2,0,0,ROW()-1,60),ROW()-1,FALSE))</f>
        <v>67.093999999999994</v>
      </c>
      <c r="X94">
        <f ca="1">IF(AND(ISNUMBER($X$550),$B$419=1),$X$550,HLOOKUP(INDIRECT(ADDRESS(2,COLUMN())),OFFSET($BN$2,0,0,ROW()-1,60),ROW()-1,FALSE))</f>
        <v>64.67</v>
      </c>
      <c r="Y94">
        <f ca="1">IF(AND(ISNUMBER($Y$550),$B$419=1),$Y$550,HLOOKUP(INDIRECT(ADDRESS(2,COLUMN())),OFFSET($BN$2,0,0,ROW()-1,60),ROW()-1,FALSE))</f>
        <v>88.58</v>
      </c>
      <c r="Z94">
        <f ca="1">IF(AND(ISNUMBER($Z$550),$B$419=1),$Z$550,HLOOKUP(INDIRECT(ADDRESS(2,COLUMN())),OFFSET($BN$2,0,0,ROW()-1,60),ROW()-1,FALSE))</f>
        <v>87.856999999999999</v>
      </c>
      <c r="AA94">
        <f ca="1">IF(AND(ISNUMBER($AA$550),$B$419=1),$AA$550,HLOOKUP(INDIRECT(ADDRESS(2,COLUMN())),OFFSET($BN$2,0,0,ROW()-1,60),ROW()-1,FALSE))</f>
        <v>89.078000000000003</v>
      </c>
      <c r="AB94">
        <f ca="1">IF(AND(ISNUMBER($AB$550),$B$419=1),$AB$550,HLOOKUP(INDIRECT(ADDRESS(2,COLUMN())),OFFSET($BN$2,0,0,ROW()-1,60),ROW()-1,FALSE))</f>
        <v>92.513000000000005</v>
      </c>
      <c r="AC94">
        <f ca="1">IF(AND(ISNUMBER($AC$550),$B$419=1),$AC$550,HLOOKUP(INDIRECT(ADDRESS(2,COLUMN())),OFFSET($BN$2,0,0,ROW()-1,60),ROW()-1,FALSE))</f>
        <v>92.441999999999993</v>
      </c>
      <c r="AD94">
        <f ca="1">IF(AND(ISNUMBER($AD$550),$B$419=1),$AD$550,HLOOKUP(INDIRECT(ADDRESS(2,COLUMN())),OFFSET($BN$2,0,0,ROW()-1,60),ROW()-1,FALSE))</f>
        <v>95.05</v>
      </c>
      <c r="AE94">
        <f ca="1">IF(AND(ISNUMBER($AE$550),$B$419=1),$AE$550,HLOOKUP(INDIRECT(ADDRESS(2,COLUMN())),OFFSET($BN$2,0,0,ROW()-1,60),ROW()-1,FALSE))</f>
        <v>89.385000000000005</v>
      </c>
      <c r="AF94">
        <f ca="1">IF(AND(ISNUMBER($AF$550),$B$419=1),$AF$550,HLOOKUP(INDIRECT(ADDRESS(2,COLUMN())),OFFSET($BN$2,0,0,ROW()-1,60),ROW()-1,FALSE))</f>
        <v>99.498000000000005</v>
      </c>
      <c r="AG94">
        <f ca="1">IF(AND(ISNUMBER($AG$550),$B$419=1),$AG$550,HLOOKUP(INDIRECT(ADDRESS(2,COLUMN())),OFFSET($BN$2,0,0,ROW()-1,60),ROW()-1,FALSE))</f>
        <v>95.718000000000004</v>
      </c>
      <c r="AH94">
        <f ca="1">IF(AND(ISNUMBER($AH$550),$B$419=1),$AH$550,HLOOKUP(INDIRECT(ADDRESS(2,COLUMN())),OFFSET($BN$2,0,0,ROW()-1,60),ROW()-1,FALSE))</f>
        <v>66.120999999999995</v>
      </c>
      <c r="AI94">
        <f ca="1">IF(AND(ISNUMBER($AI$550),$B$419=1),$AI$550,HLOOKUP(INDIRECT(ADDRESS(2,COLUMN())),OFFSET($BN$2,0,0,ROW()-1,60),ROW()-1,FALSE))</f>
        <v>108.38200000000001</v>
      </c>
      <c r="AJ94">
        <f ca="1">IF(AND(ISNUMBER($AJ$550),$B$419=1),$AJ$550,HLOOKUP(INDIRECT(ADDRESS(2,COLUMN())),OFFSET($BN$2,0,0,ROW()-1,60),ROW()-1,FALSE))</f>
        <v>102.869</v>
      </c>
      <c r="AK94" t="str">
        <f ca="1">IF(AND(ISNUMBER($AK$550),$B$419=1),$AK$550,HLOOKUP(INDIRECT(ADDRESS(2,COLUMN())),OFFSET($BN$2,0,0,ROW()-1,60),ROW()-1,FALSE))</f>
        <v/>
      </c>
      <c r="AL94" t="str">
        <f ca="1">IF(AND(ISNUMBER($AL$550),$B$419=1),$AL$550,HLOOKUP(INDIRECT(ADDRESS(2,COLUMN())),OFFSET($BN$2,0,0,ROW()-1,60),ROW()-1,FALSE))</f>
        <v/>
      </c>
      <c r="AM94" t="str">
        <f ca="1">IF(AND(ISNUMBER($AM$550),$B$419=1),$AM$550,HLOOKUP(INDIRECT(ADDRESS(2,COLUMN())),OFFSET($BN$2,0,0,ROW()-1,60),ROW()-1,FALSE))</f>
        <v/>
      </c>
      <c r="AN94">
        <f ca="1">IF(AND(ISNUMBER($AN$550),$B$419=1),$AN$550,HLOOKUP(INDIRECT(ADDRESS(2,COLUMN())),OFFSET($BN$2,0,0,ROW()-1,60),ROW()-1,FALSE))</f>
        <v>95.831999999999994</v>
      </c>
      <c r="AO94" t="str">
        <f ca="1">IF(AND(ISNUMBER($AO$550),$B$419=1),$AO$550,HLOOKUP(INDIRECT(ADDRESS(2,COLUMN())),OFFSET($BN$2,0,0,ROW()-1,60),ROW()-1,FALSE))</f>
        <v/>
      </c>
      <c r="AP94" t="str">
        <f ca="1">IF(AND(ISNUMBER($AP$550),$B$419=1),$AP$550,HLOOKUP(INDIRECT(ADDRESS(2,COLUMN())),OFFSET($BN$2,0,0,ROW()-1,60),ROW()-1,FALSE))</f>
        <v/>
      </c>
      <c r="AQ94" t="str">
        <f ca="1">IF(AND(ISNUMBER($AQ$550),$B$419=1),$AQ$550,HLOOKUP(INDIRECT(ADDRESS(2,COLUMN())),OFFSET($BN$2,0,0,ROW()-1,60),ROW()-1,FALSE))</f>
        <v/>
      </c>
      <c r="AR94" t="str">
        <f ca="1">IF(AND(ISNUMBER($AR$550),$B$419=1),$AR$550,HLOOKUP(INDIRECT(ADDRESS(2,COLUMN())),OFFSET($BN$2,0,0,ROW()-1,60),ROW()-1,FALSE))</f>
        <v/>
      </c>
      <c r="AS94" t="str">
        <f ca="1">IF(AND(ISNUMBER($AS$550),$B$419=1),$AS$550,HLOOKUP(INDIRECT(ADDRESS(2,COLUMN())),OFFSET($BN$2,0,0,ROW()-1,60),ROW()-1,FALSE))</f>
        <v/>
      </c>
      <c r="AT94" t="str">
        <f ca="1">IF(AND(ISNUMBER($AT$550),$B$419=1),$AT$550,HLOOKUP(INDIRECT(ADDRESS(2,COLUMN())),OFFSET($BN$2,0,0,ROW()-1,60),ROW()-1,FALSE))</f>
        <v/>
      </c>
      <c r="AU94" t="str">
        <f ca="1">IF(AND(ISNUMBER($AU$550),$B$419=1),$AU$550,HLOOKUP(INDIRECT(ADDRESS(2,COLUMN())),OFFSET($BN$2,0,0,ROW()-1,60),ROW()-1,FALSE))</f>
        <v/>
      </c>
      <c r="AV94" t="str">
        <f ca="1">IF(AND(ISNUMBER($AV$550),$B$419=1),$AV$550,HLOOKUP(INDIRECT(ADDRESS(2,COLUMN())),OFFSET($BN$2,0,0,ROW()-1,60),ROW()-1,FALSE))</f>
        <v/>
      </c>
      <c r="AW94" t="str">
        <f ca="1">IF(AND(ISNUMBER($AW$550),$B$419=1),$AW$550,HLOOKUP(INDIRECT(ADDRESS(2,COLUMN())),OFFSET($BN$2,0,0,ROW()-1,60),ROW()-1,FALSE))</f>
        <v/>
      </c>
      <c r="AX94" t="str">
        <f ca="1">IF(AND(ISNUMBER($AX$550),$B$419=1),$AX$550,HLOOKUP(INDIRECT(ADDRESS(2,COLUMN())),OFFSET($BN$2,0,0,ROW()-1,60),ROW()-1,FALSE))</f>
        <v/>
      </c>
      <c r="AY94" t="str">
        <f ca="1">IF(AND(ISNUMBER($AY$550),$B$419=1),$AY$550,HLOOKUP(INDIRECT(ADDRESS(2,COLUMN())),OFFSET($BN$2,0,0,ROW()-1,60),ROW()-1,FALSE))</f>
        <v/>
      </c>
      <c r="AZ94" t="str">
        <f ca="1">IF(AND(ISNUMBER($AZ$550),$B$419=1),$AZ$550,HLOOKUP(INDIRECT(ADDRESS(2,COLUMN())),OFFSET($BN$2,0,0,ROW()-1,60),ROW()-1,FALSE))</f>
        <v/>
      </c>
      <c r="BA94" t="str">
        <f ca="1">IF(AND(ISNUMBER($BA$550),$B$419=1),$BA$550,HLOOKUP(INDIRECT(ADDRESS(2,COLUMN())),OFFSET($BN$2,0,0,ROW()-1,60),ROW()-1,FALSE))</f>
        <v/>
      </c>
      <c r="BB94" t="str">
        <f ca="1">IF(AND(ISNUMBER($BB$550),$B$419=1),$BB$550,HLOOKUP(INDIRECT(ADDRESS(2,COLUMN())),OFFSET($BN$2,0,0,ROW()-1,60),ROW()-1,FALSE))</f>
        <v/>
      </c>
      <c r="BC94" t="str">
        <f ca="1">IF(AND(ISNUMBER($BC$550),$B$419=1),$BC$550,HLOOKUP(INDIRECT(ADDRESS(2,COLUMN())),OFFSET($BN$2,0,0,ROW()-1,60),ROW()-1,FALSE))</f>
        <v/>
      </c>
      <c r="BD94" t="str">
        <f ca="1">IF(AND(ISNUMBER($BD$550),$B$419=1),$BD$550,HLOOKUP(INDIRECT(ADDRESS(2,COLUMN())),OFFSET($BN$2,0,0,ROW()-1,60),ROW()-1,FALSE))</f>
        <v/>
      </c>
      <c r="BE94" t="str">
        <f ca="1">IF(AND(ISNUMBER($BE$550),$B$419=1),$BE$550,HLOOKUP(INDIRECT(ADDRESS(2,COLUMN())),OFFSET($BN$2,0,0,ROW()-1,60),ROW()-1,FALSE))</f>
        <v/>
      </c>
      <c r="BF94" t="str">
        <f ca="1">IF(AND(ISNUMBER($BF$550),$B$419=1),$BF$550,HLOOKUP(INDIRECT(ADDRESS(2,COLUMN())),OFFSET($BN$2,0,0,ROW()-1,60),ROW()-1,FALSE))</f>
        <v/>
      </c>
      <c r="BG94" t="str">
        <f ca="1">IF(AND(ISNUMBER($BG$550),$B$419=1),$BG$550,HLOOKUP(INDIRECT(ADDRESS(2,COLUMN())),OFFSET($BN$2,0,0,ROW()-1,60),ROW()-1,FALSE))</f>
        <v/>
      </c>
      <c r="BH94" t="str">
        <f ca="1">IF(AND(ISNUMBER($BH$550),$B$419=1),$BH$550,HLOOKUP(INDIRECT(ADDRESS(2,COLUMN())),OFFSET($BN$2,0,0,ROW()-1,60),ROW()-1,FALSE))</f>
        <v/>
      </c>
      <c r="BI94" t="str">
        <f ca="1">IF(AND(ISNUMBER($BI$550),$B$419=1),$BI$550,HLOOKUP(INDIRECT(ADDRESS(2,COLUMN())),OFFSET($BN$2,0,0,ROW()-1,60),ROW()-1,FALSE))</f>
        <v/>
      </c>
      <c r="BJ94" t="str">
        <f ca="1">IF(AND(ISNUMBER($BJ$550),$B$419=1),$BJ$550,HLOOKUP(INDIRECT(ADDRESS(2,COLUMN())),OFFSET($BN$2,0,0,ROW()-1,60),ROW()-1,FALSE))</f>
        <v/>
      </c>
      <c r="BK94" t="str">
        <f ca="1">IF(AND(ISNUMBER($BK$550),$B$419=1),$BK$550,HLOOKUP(INDIRECT(ADDRESS(2,COLUMN())),OFFSET($BN$2,0,0,ROW()-1,60),ROW()-1,FALSE))</f>
        <v/>
      </c>
      <c r="BL94" t="str">
        <f ca="1">IF(AND(ISNUMBER($BL$550),$B$419=1),$BL$550,HLOOKUP(INDIRECT(ADDRESS(2,COLUMN())),OFFSET($BN$2,0,0,ROW()-1,60),ROW()-1,FALSE))</f>
        <v/>
      </c>
      <c r="BM94" t="str">
        <f ca="1">IF(AND(ISNUMBER($BM$550),$B$419=1),$BM$550,HLOOKUP(INDIRECT(ADDRESS(2,COLUMN())),OFFSET($BN$2,0,0,ROW()-1,60),ROW()-1,FALSE))</f>
        <v/>
      </c>
      <c r="BN94" t="str">
        <f>""</f>
        <v/>
      </c>
      <c r="BO94">
        <f>67.443</f>
        <v>67.442999999999998</v>
      </c>
      <c r="BP94">
        <f>35.477</f>
        <v>35.476999999999997</v>
      </c>
      <c r="BQ94">
        <f>71.444</f>
        <v>71.444000000000003</v>
      </c>
      <c r="BR94">
        <f>88.737</f>
        <v>88.736999999999995</v>
      </c>
      <c r="BS94">
        <f>78.926</f>
        <v>78.926000000000002</v>
      </c>
      <c r="BT94">
        <f>88.452</f>
        <v>88.451999999999998</v>
      </c>
      <c r="BU94">
        <f>91.129</f>
        <v>91.129000000000005</v>
      </c>
      <c r="BV94">
        <f>92.069</f>
        <v>92.069000000000003</v>
      </c>
      <c r="BW94">
        <f>74.344</f>
        <v>74.343999999999994</v>
      </c>
      <c r="BX94">
        <f>96.145</f>
        <v>96.144999999999996</v>
      </c>
      <c r="BY94">
        <f>89.287</f>
        <v>89.287000000000006</v>
      </c>
      <c r="BZ94">
        <f>96</f>
        <v>96</v>
      </c>
      <c r="CA94">
        <f>86.856</f>
        <v>86.855999999999995</v>
      </c>
      <c r="CB94">
        <f>45.074</f>
        <v>45.073999999999998</v>
      </c>
      <c r="CC94">
        <f>91.508</f>
        <v>91.507999999999996</v>
      </c>
      <c r="CD94">
        <f>95.173</f>
        <v>95.173000000000002</v>
      </c>
      <c r="CE94">
        <f>67.094</f>
        <v>67.093999999999994</v>
      </c>
      <c r="CF94">
        <f>64.67</f>
        <v>64.67</v>
      </c>
      <c r="CG94">
        <f>88.58</f>
        <v>88.58</v>
      </c>
      <c r="CH94">
        <f>87.857</f>
        <v>87.856999999999999</v>
      </c>
      <c r="CI94">
        <f>89.078</f>
        <v>89.078000000000003</v>
      </c>
      <c r="CJ94">
        <f>92.513</f>
        <v>92.513000000000005</v>
      </c>
      <c r="CK94">
        <f>92.442</f>
        <v>92.441999999999993</v>
      </c>
      <c r="CL94">
        <f>95.05</f>
        <v>95.05</v>
      </c>
      <c r="CM94">
        <f>89.385</f>
        <v>89.385000000000005</v>
      </c>
      <c r="CN94">
        <f>99.498</f>
        <v>99.498000000000005</v>
      </c>
      <c r="CO94">
        <f>95.718</f>
        <v>95.718000000000004</v>
      </c>
      <c r="CP94">
        <f>66.121</f>
        <v>66.120999999999995</v>
      </c>
      <c r="CQ94">
        <f>108.382</f>
        <v>108.38200000000001</v>
      </c>
      <c r="CR94">
        <f>102.869</f>
        <v>102.869</v>
      </c>
      <c r="CS94" t="str">
        <f>""</f>
        <v/>
      </c>
      <c r="CT94" t="str">
        <f>""</f>
        <v/>
      </c>
      <c r="CU94" t="str">
        <f>""</f>
        <v/>
      </c>
      <c r="CV94">
        <f>95.832</f>
        <v>95.831999999999994</v>
      </c>
      <c r="CW94" t="str">
        <f>""</f>
        <v/>
      </c>
      <c r="CX94" t="str">
        <f>""</f>
        <v/>
      </c>
      <c r="CY94" t="str">
        <f>""</f>
        <v/>
      </c>
      <c r="CZ94" t="str">
        <f>""</f>
        <v/>
      </c>
      <c r="DA94" t="str">
        <f>""</f>
        <v/>
      </c>
      <c r="DB94" t="str">
        <f>""</f>
        <v/>
      </c>
      <c r="DC94" t="str">
        <f>""</f>
        <v/>
      </c>
      <c r="DD94" t="str">
        <f>""</f>
        <v/>
      </c>
      <c r="DE94" t="str">
        <f>""</f>
        <v/>
      </c>
      <c r="DF94" t="str">
        <f>""</f>
        <v/>
      </c>
      <c r="DG94" t="str">
        <f>""</f>
        <v/>
      </c>
      <c r="DH94" t="str">
        <f>""</f>
        <v/>
      </c>
      <c r="DI94" t="str">
        <f>""</f>
        <v/>
      </c>
      <c r="DJ94" t="str">
        <f>""</f>
        <v/>
      </c>
      <c r="DK94" t="str">
        <f>""</f>
        <v/>
      </c>
      <c r="DL94" t="str">
        <f>""</f>
        <v/>
      </c>
      <c r="DM94" t="str">
        <f>""</f>
        <v/>
      </c>
      <c r="DN94" t="str">
        <f>""</f>
        <v/>
      </c>
      <c r="DO94" t="str">
        <f>""</f>
        <v/>
      </c>
      <c r="DP94" t="str">
        <f>""</f>
        <v/>
      </c>
      <c r="DQ94" t="str">
        <f>""</f>
        <v/>
      </c>
      <c r="DR94" t="str">
        <f>""</f>
        <v/>
      </c>
      <c r="DS94" t="str">
        <f>""</f>
        <v/>
      </c>
      <c r="DT94" t="str">
        <f>""</f>
        <v/>
      </c>
      <c r="DU94" t="str">
        <f>""</f>
        <v/>
      </c>
    </row>
    <row r="95" spans="1:125">
      <c r="A95" t="str">
        <f>"    Simon Property Group Inc"</f>
        <v xml:space="preserve">    Simon Property Group Inc</v>
      </c>
      <c r="B95" t="str">
        <f>"SPG US Equity"</f>
        <v>SPG US Equity</v>
      </c>
      <c r="C95" t="str">
        <f t="shared" si="15"/>
        <v>RR009</v>
      </c>
      <c r="D95" t="str">
        <f t="shared" si="16"/>
        <v>EBITDA</v>
      </c>
      <c r="E95" t="str">
        <f t="shared" si="17"/>
        <v>动态</v>
      </c>
      <c r="F95" t="str">
        <f ca="1">IF(AND(ISNUMBER($F$551),$B$419=1),$F$551,HLOOKUP(INDIRECT(ADDRESS(2,COLUMN())),OFFSET($BN$2,0,0,ROW()-1,60),ROW()-1,FALSE))</f>
        <v/>
      </c>
      <c r="G95">
        <f ca="1">IF(AND(ISNUMBER($G$551),$B$419=1),$G$551,HLOOKUP(INDIRECT(ADDRESS(2,COLUMN())),OFFSET($BN$2,0,0,ROW()-1,60),ROW()-1,FALSE))</f>
        <v>1094.4680000000001</v>
      </c>
      <c r="H95">
        <f ca="1">IF(AND(ISNUMBER($H$551),$B$419=1),$H$551,HLOOKUP(INDIRECT(ADDRESS(2,COLUMN())),OFFSET($BN$2,0,0,ROW()-1,60),ROW()-1,FALSE))</f>
        <v>1026.7950000000001</v>
      </c>
      <c r="I95">
        <f ca="1">IF(AND(ISNUMBER($I$551),$B$419=1),$I$551,HLOOKUP(INDIRECT(ADDRESS(2,COLUMN())),OFFSET($BN$2,0,0,ROW()-1,60),ROW()-1,FALSE))</f>
        <v>1026.008</v>
      </c>
      <c r="J95">
        <f ca="1">IF(AND(ISNUMBER($J$551),$B$419=1),$J$551,HLOOKUP(INDIRECT(ADDRESS(2,COLUMN())),OFFSET($BN$2,0,0,ROW()-1,60),ROW()-1,FALSE))</f>
        <v>1012.42</v>
      </c>
      <c r="K95">
        <f ca="1">IF(AND(ISNUMBER($K$551),$B$419=1),$K$551,HLOOKUP(INDIRECT(ADDRESS(2,COLUMN())),OFFSET($BN$2,0,0,ROW()-1,60),ROW()-1,FALSE))</f>
        <v>1056.4010000000001</v>
      </c>
      <c r="L95">
        <f ca="1">IF(AND(ISNUMBER($L$551),$B$419=1),$L$551,HLOOKUP(INDIRECT(ADDRESS(2,COLUMN())),OFFSET($BN$2,0,0,ROW()-1,60),ROW()-1,FALSE))</f>
        <v>1005.591</v>
      </c>
      <c r="M95">
        <f ca="1">IF(AND(ISNUMBER($M$551),$B$419=1),$M$551,HLOOKUP(INDIRECT(ADDRESS(2,COLUMN())),OFFSET($BN$2,0,0,ROW()-1,60),ROW()-1,FALSE))</f>
        <v>984.08299999999997</v>
      </c>
      <c r="N95">
        <f ca="1">IF(AND(ISNUMBER($N$551),$B$419=1),$N$551,HLOOKUP(INDIRECT(ADDRESS(2,COLUMN())),OFFSET($BN$2,0,0,ROW()-1,60),ROW()-1,FALSE))</f>
        <v>1002.7</v>
      </c>
      <c r="O95">
        <f ca="1">IF(AND(ISNUMBER($O$551),$B$419=1),$O$551,HLOOKUP(INDIRECT(ADDRESS(2,COLUMN())),OFFSET($BN$2,0,0,ROW()-1,60),ROW()-1,FALSE))</f>
        <v>1028.2550000000001</v>
      </c>
      <c r="P95">
        <f ca="1">IF(AND(ISNUMBER($P$551),$B$419=1),$P$551,HLOOKUP(INDIRECT(ADDRESS(2,COLUMN())),OFFSET($BN$2,0,0,ROW()-1,60),ROW()-1,FALSE))</f>
        <v>963.02700000000004</v>
      </c>
      <c r="Q95">
        <f ca="1">IF(AND(ISNUMBER($Q$551),$B$419=1),$Q$551,HLOOKUP(INDIRECT(ADDRESS(2,COLUMN())),OFFSET($BN$2,0,0,ROW()-1,60),ROW()-1,FALSE))</f>
        <v>1014.967</v>
      </c>
      <c r="R95">
        <f ca="1">IF(AND(ISNUMBER($R$551),$B$419=1),$R$551,HLOOKUP(INDIRECT(ADDRESS(2,COLUMN())),OFFSET($BN$2,0,0,ROW()-1,60),ROW()-1,FALSE))</f>
        <v>901.83799999999997</v>
      </c>
      <c r="S95">
        <f ca="1">IF(AND(ISNUMBER($S$551),$B$419=1),$S$551,HLOOKUP(INDIRECT(ADDRESS(2,COLUMN())),OFFSET($BN$2,0,0,ROW()-1,60),ROW()-1,FALSE))</f>
        <v>967.43799999999999</v>
      </c>
      <c r="T95">
        <f ca="1">IF(AND(ISNUMBER($T$551),$B$419=1),$T$551,HLOOKUP(INDIRECT(ADDRESS(2,COLUMN())),OFFSET($BN$2,0,0,ROW()-1,60),ROW()-1,FALSE))</f>
        <v>910.47699999999998</v>
      </c>
      <c r="U95">
        <f ca="1">IF(AND(ISNUMBER($U$551),$B$419=1),$U$551,HLOOKUP(INDIRECT(ADDRESS(2,COLUMN())),OFFSET($BN$2,0,0,ROW()-1,60),ROW()-1,FALSE))</f>
        <v>901.68299999999999</v>
      </c>
      <c r="V95">
        <f ca="1">IF(AND(ISNUMBER($V$551),$B$419=1),$V$551,HLOOKUP(INDIRECT(ADDRESS(2,COLUMN())),OFFSET($BN$2,0,0,ROW()-1,60),ROW()-1,FALSE))</f>
        <v>891.52700000000004</v>
      </c>
      <c r="W95">
        <f ca="1">IF(AND(ISNUMBER($W$551),$B$419=1),$W$551,HLOOKUP(INDIRECT(ADDRESS(2,COLUMN())),OFFSET($BN$2,0,0,ROW()-1,60),ROW()-1,FALSE))</f>
        <v>969.00400000000002</v>
      </c>
      <c r="X95">
        <f ca="1">IF(AND(ISNUMBER($X$551),$B$419=1),$X$551,HLOOKUP(INDIRECT(ADDRESS(2,COLUMN())),OFFSET($BN$2,0,0,ROW()-1,60),ROW()-1,FALSE))</f>
        <v>886.83900000000006</v>
      </c>
      <c r="Y95">
        <f ca="1">IF(AND(ISNUMBER($Y$551),$B$419=1),$Y$551,HLOOKUP(INDIRECT(ADDRESS(2,COLUMN())),OFFSET($BN$2,0,0,ROW()-1,60),ROW()-1,FALSE))</f>
        <v>841.31899999999996</v>
      </c>
      <c r="Z95">
        <f ca="1">IF(AND(ISNUMBER($Z$551),$B$419=1),$Z$551,HLOOKUP(INDIRECT(ADDRESS(2,COLUMN())),OFFSET($BN$2,0,0,ROW()-1,60),ROW()-1,FALSE))</f>
        <v>879.66300000000001</v>
      </c>
      <c r="AA95">
        <f ca="1">IF(AND(ISNUMBER($AA$551),$B$419=1),$AA$551,HLOOKUP(INDIRECT(ADDRESS(2,COLUMN())),OFFSET($BN$2,0,0,ROW()-1,60),ROW()-1,FALSE))</f>
        <v>975.59199999999998</v>
      </c>
      <c r="AB95">
        <f ca="1">IF(AND(ISNUMBER($AB$551),$B$419=1),$AB$551,HLOOKUP(INDIRECT(ADDRESS(2,COLUMN())),OFFSET($BN$2,0,0,ROW()-1,60),ROW()-1,FALSE))</f>
        <v>885.07399999999996</v>
      </c>
      <c r="AC95">
        <f ca="1">IF(AND(ISNUMBER($AC$551),$B$419=1),$AC$551,HLOOKUP(INDIRECT(ADDRESS(2,COLUMN())),OFFSET($BN$2,0,0,ROW()-1,60),ROW()-1,FALSE))</f>
        <v>846.01400000000001</v>
      </c>
      <c r="AD95">
        <f ca="1">IF(AND(ISNUMBER($AD$551),$B$419=1),$AD$551,HLOOKUP(INDIRECT(ADDRESS(2,COLUMN())),OFFSET($BN$2,0,0,ROW()-1,60),ROW()-1,FALSE))</f>
        <v>815.22299999999996</v>
      </c>
      <c r="AE95">
        <f ca="1">IF(AND(ISNUMBER($AE$551),$B$419=1),$AE$551,HLOOKUP(INDIRECT(ADDRESS(2,COLUMN())),OFFSET($BN$2,0,0,ROW()-1,60),ROW()-1,FALSE))</f>
        <v>829.774</v>
      </c>
      <c r="AF95">
        <f ca="1">IF(AND(ISNUMBER($AF$551),$B$419=1),$AF$551,HLOOKUP(INDIRECT(ADDRESS(2,COLUMN())),OFFSET($BN$2,0,0,ROW()-1,60),ROW()-1,FALSE))</f>
        <v>758.23599999999999</v>
      </c>
      <c r="AG95">
        <f ca="1">IF(AND(ISNUMBER($AG$551),$B$419=1),$AG$551,HLOOKUP(INDIRECT(ADDRESS(2,COLUMN())),OFFSET($BN$2,0,0,ROW()-1,60),ROW()-1,FALSE))</f>
        <v>737.70799999999997</v>
      </c>
      <c r="AH95">
        <f ca="1">IF(AND(ISNUMBER($AH$551),$B$419=1),$AH$551,HLOOKUP(INDIRECT(ADDRESS(2,COLUMN())),OFFSET($BN$2,0,0,ROW()-1,60),ROW()-1,FALSE))</f>
        <v>725.16899999999998</v>
      </c>
      <c r="AI95">
        <f ca="1">IF(AND(ISNUMBER($AI$551),$B$419=1),$AI$551,HLOOKUP(INDIRECT(ADDRESS(2,COLUMN())),OFFSET($BN$2,0,0,ROW()-1,60),ROW()-1,FALSE))</f>
        <v>795.11400000000003</v>
      </c>
      <c r="AJ95">
        <f ca="1">IF(AND(ISNUMBER($AJ$551),$B$419=1),$AJ$551,HLOOKUP(INDIRECT(ADDRESS(2,COLUMN())),OFFSET($BN$2,0,0,ROW()-1,60),ROW()-1,FALSE))</f>
        <v>702.69299999999998</v>
      </c>
      <c r="AK95">
        <f ca="1">IF(AND(ISNUMBER($AK$551),$B$419=1),$AK$551,HLOOKUP(INDIRECT(ADDRESS(2,COLUMN())),OFFSET($BN$2,0,0,ROW()-1,60),ROW()-1,FALSE))</f>
        <v>655.69</v>
      </c>
      <c r="AL95">
        <f ca="1">IF(AND(ISNUMBER($AL$551),$B$419=1),$AL$551,HLOOKUP(INDIRECT(ADDRESS(2,COLUMN())),OFFSET($BN$2,0,0,ROW()-1,60),ROW()-1,FALSE))</f>
        <v>664.47199999999998</v>
      </c>
      <c r="AM95">
        <f ca="1">IF(AND(ISNUMBER($AM$551),$B$419=1),$AM$551,HLOOKUP(INDIRECT(ADDRESS(2,COLUMN())),OFFSET($BN$2,0,0,ROW()-1,60),ROW()-1,FALSE))</f>
        <v>675.46799999999996</v>
      </c>
      <c r="AN95">
        <f ca="1">IF(AND(ISNUMBER($AN$551),$B$419=1),$AN$551,HLOOKUP(INDIRECT(ADDRESS(2,COLUMN())),OFFSET($BN$2,0,0,ROW()-1,60),ROW()-1,FALSE))</f>
        <v>645.66999999999996</v>
      </c>
      <c r="AO95">
        <f ca="1">IF(AND(ISNUMBER($AO$551),$B$419=1),$AO$551,HLOOKUP(INDIRECT(ADDRESS(2,COLUMN())),OFFSET($BN$2,0,0,ROW()-1,60),ROW()-1,FALSE))</f>
        <v>478.92500000000001</v>
      </c>
      <c r="AP95">
        <f ca="1">IF(AND(ISNUMBER($AP$551),$B$419=1),$AP$551,HLOOKUP(INDIRECT(ADDRESS(2,COLUMN())),OFFSET($BN$2,0,0,ROW()-1,60),ROW()-1,FALSE))</f>
        <v>621.82100000000003</v>
      </c>
      <c r="AQ95">
        <f ca="1">IF(AND(ISNUMBER($AQ$551),$B$419=1),$AQ$551,HLOOKUP(INDIRECT(ADDRESS(2,COLUMN())),OFFSET($BN$2,0,0,ROW()-1,60),ROW()-1,FALSE))</f>
        <v>940.35699999999997</v>
      </c>
      <c r="AR95">
        <f ca="1">IF(AND(ISNUMBER($AR$551),$B$419=1),$AR$551,HLOOKUP(INDIRECT(ADDRESS(2,COLUMN())),OFFSET($BN$2,0,0,ROW()-1,60),ROW()-1,FALSE))</f>
        <v>394.67899999999997</v>
      </c>
      <c r="AS95">
        <f ca="1">IF(AND(ISNUMBER($AS$551),$B$419=1),$AS$551,HLOOKUP(INDIRECT(ADDRESS(2,COLUMN())),OFFSET($BN$2,0,0,ROW()-1,60),ROW()-1,FALSE))</f>
        <v>604.54300000000001</v>
      </c>
      <c r="AT95">
        <f ca="1">IF(AND(ISNUMBER($AT$551),$B$419=1),$AT$551,HLOOKUP(INDIRECT(ADDRESS(2,COLUMN())),OFFSET($BN$2,0,0,ROW()-1,60),ROW()-1,FALSE))</f>
        <v>576.96799999999996</v>
      </c>
      <c r="AU95">
        <f ca="1">IF(AND(ISNUMBER($AU$551),$B$419=1),$AU$551,HLOOKUP(INDIRECT(ADDRESS(2,COLUMN())),OFFSET($BN$2,0,0,ROW()-1,60),ROW()-1,FALSE))</f>
        <v>702.11199999999997</v>
      </c>
      <c r="AV95">
        <f ca="1">IF(AND(ISNUMBER($AV$551),$B$419=1),$AV$551,HLOOKUP(INDIRECT(ADDRESS(2,COLUMN())),OFFSET($BN$2,0,0,ROW()-1,60),ROW()-1,FALSE))</f>
        <v>596.19799999999998</v>
      </c>
      <c r="AW95">
        <f ca="1">IF(AND(ISNUMBER($AW$551),$B$419=1),$AW$551,HLOOKUP(INDIRECT(ADDRESS(2,COLUMN())),OFFSET($BN$2,0,0,ROW()-1,60),ROW()-1,FALSE))</f>
        <v>555.49300000000005</v>
      </c>
      <c r="AX95">
        <f ca="1">IF(AND(ISNUMBER($AX$551),$B$419=1),$AX$551,HLOOKUP(INDIRECT(ADDRESS(2,COLUMN())),OFFSET($BN$2,0,0,ROW()-1,60),ROW()-1,FALSE))</f>
        <v>556.54600000000005</v>
      </c>
      <c r="AY95">
        <f ca="1">IF(AND(ISNUMBER($AY$551),$B$419=1),$AY$551,HLOOKUP(INDIRECT(ADDRESS(2,COLUMN())),OFFSET($BN$2,0,0,ROW()-1,60),ROW()-1,FALSE))</f>
        <v>602.38499999999999</v>
      </c>
      <c r="AZ95">
        <f ca="1">IF(AND(ISNUMBER($AZ$551),$B$419=1),$AZ$551,HLOOKUP(INDIRECT(ADDRESS(2,COLUMN())),OFFSET($BN$2,0,0,ROW()-1,60),ROW()-1,FALSE))</f>
        <v>520.11599999999999</v>
      </c>
      <c r="BA95">
        <f ca="1">IF(AND(ISNUMBER($BA$551),$B$419=1),$BA$551,HLOOKUP(INDIRECT(ADDRESS(2,COLUMN())),OFFSET($BN$2,0,0,ROW()-1,60),ROW()-1,FALSE))</f>
        <v>511.495</v>
      </c>
      <c r="BB95">
        <f ca="1">IF(AND(ISNUMBER($BB$551),$B$419=1),$BB$551,HLOOKUP(INDIRECT(ADDRESS(2,COLUMN())),OFFSET($BN$2,0,0,ROW()-1,60),ROW()-1,FALSE))</f>
        <v>498.95100000000002</v>
      </c>
      <c r="BC95">
        <f ca="1">IF(AND(ISNUMBER($BC$551),$B$419=1),$BC$551,HLOOKUP(INDIRECT(ADDRESS(2,COLUMN())),OFFSET($BN$2,0,0,ROW()-1,60),ROW()-1,FALSE))</f>
        <v>564.42600000000004</v>
      </c>
      <c r="BD95">
        <f ca="1">IF(AND(ISNUMBER($BD$551),$B$419=1),$BD$551,HLOOKUP(INDIRECT(ADDRESS(2,COLUMN())),OFFSET($BN$2,0,0,ROW()-1,60),ROW()-1,FALSE))</f>
        <v>495.63600000000002</v>
      </c>
      <c r="BE95">
        <f ca="1">IF(AND(ISNUMBER($BE$551),$B$419=1),$BE$551,HLOOKUP(INDIRECT(ADDRESS(2,COLUMN())),OFFSET($BN$2,0,0,ROW()-1,60),ROW()-1,FALSE))</f>
        <v>488.16199999999998</v>
      </c>
      <c r="BF95">
        <f ca="1">IF(AND(ISNUMBER($BF$551),$B$419=1),$BF$551,HLOOKUP(INDIRECT(ADDRESS(2,COLUMN())),OFFSET($BN$2,0,0,ROW()-1,60),ROW()-1,FALSE))</f>
        <v>475.66699999999997</v>
      </c>
      <c r="BG95">
        <f ca="1">IF(AND(ISNUMBER($BG$551),$B$419=1),$BG$551,HLOOKUP(INDIRECT(ADDRESS(2,COLUMN())),OFFSET($BN$2,0,0,ROW()-1,60),ROW()-1,FALSE))</f>
        <v>520.64499999999998</v>
      </c>
      <c r="BH95">
        <f ca="1">IF(AND(ISNUMBER($BH$551),$B$419=1),$BH$551,HLOOKUP(INDIRECT(ADDRESS(2,COLUMN())),OFFSET($BN$2,0,0,ROW()-1,60),ROW()-1,FALSE))</f>
        <v>394.93099999999998</v>
      </c>
      <c r="BI95">
        <f ca="1">IF(AND(ISNUMBER($BI$551),$B$419=1),$BI$551,HLOOKUP(INDIRECT(ADDRESS(2,COLUMN())),OFFSET($BN$2,0,0,ROW()-1,60),ROW()-1,FALSE))</f>
        <v>389.26</v>
      </c>
      <c r="BJ95">
        <f ca="1">IF(AND(ISNUMBER($BJ$551),$B$419=1),$BJ$551,HLOOKUP(INDIRECT(ADDRESS(2,COLUMN())),OFFSET($BN$2,0,0,ROW()-1,60),ROW()-1,FALSE))</f>
        <v>369.661</v>
      </c>
      <c r="BK95">
        <f ca="1">IF(AND(ISNUMBER($BK$551),$B$419=1),$BK$551,HLOOKUP(INDIRECT(ADDRESS(2,COLUMN())),OFFSET($BN$2,0,0,ROW()-1,60),ROW()-1,FALSE))</f>
        <v>432.07100000000003</v>
      </c>
      <c r="BL95">
        <f ca="1">IF(AND(ISNUMBER($BL$551),$B$419=1),$BL$551,HLOOKUP(INDIRECT(ADDRESS(2,COLUMN())),OFFSET($BN$2,0,0,ROW()-1,60),ROW()-1,FALSE))</f>
        <v>366.68900000000002</v>
      </c>
      <c r="BM95">
        <f ca="1">IF(AND(ISNUMBER($BM$551),$B$419=1),$BM$551,HLOOKUP(INDIRECT(ADDRESS(2,COLUMN())),OFFSET($BN$2,0,0,ROW()-1,60),ROW()-1,FALSE))</f>
        <v>352.51299999999998</v>
      </c>
      <c r="BN95" t="str">
        <f>""</f>
        <v/>
      </c>
      <c r="BO95">
        <f>1094.468</f>
        <v>1094.4680000000001</v>
      </c>
      <c r="BP95">
        <f>1026.795</f>
        <v>1026.7950000000001</v>
      </c>
      <c r="BQ95">
        <f>1026.008</f>
        <v>1026.008</v>
      </c>
      <c r="BR95">
        <f>1012.42</f>
        <v>1012.42</v>
      </c>
      <c r="BS95">
        <f>1056.401</f>
        <v>1056.4010000000001</v>
      </c>
      <c r="BT95">
        <f>1005.591</f>
        <v>1005.591</v>
      </c>
      <c r="BU95">
        <f>984.083</f>
        <v>984.08299999999997</v>
      </c>
      <c r="BV95">
        <f>1002.7</f>
        <v>1002.7</v>
      </c>
      <c r="BW95">
        <f>1028.255</f>
        <v>1028.2550000000001</v>
      </c>
      <c r="BX95">
        <f>963.027</f>
        <v>963.02700000000004</v>
      </c>
      <c r="BY95">
        <f>1014.967</f>
        <v>1014.967</v>
      </c>
      <c r="BZ95">
        <f>901.838</f>
        <v>901.83799999999997</v>
      </c>
      <c r="CA95">
        <f>967.438</f>
        <v>967.43799999999999</v>
      </c>
      <c r="CB95">
        <f>910.477</f>
        <v>910.47699999999998</v>
      </c>
      <c r="CC95">
        <f>901.683</f>
        <v>901.68299999999999</v>
      </c>
      <c r="CD95">
        <f>891.527</f>
        <v>891.52700000000004</v>
      </c>
      <c r="CE95">
        <f>969.004</f>
        <v>969.00400000000002</v>
      </c>
      <c r="CF95">
        <f>886.839</f>
        <v>886.83900000000006</v>
      </c>
      <c r="CG95">
        <f>841.319</f>
        <v>841.31899999999996</v>
      </c>
      <c r="CH95">
        <f>879.663</f>
        <v>879.66300000000001</v>
      </c>
      <c r="CI95">
        <f>975.592</f>
        <v>975.59199999999998</v>
      </c>
      <c r="CJ95">
        <f>885.074</f>
        <v>885.07399999999996</v>
      </c>
      <c r="CK95">
        <f>846.014</f>
        <v>846.01400000000001</v>
      </c>
      <c r="CL95">
        <f>815.223</f>
        <v>815.22299999999996</v>
      </c>
      <c r="CM95">
        <f>829.774</f>
        <v>829.774</v>
      </c>
      <c r="CN95">
        <f>758.236</f>
        <v>758.23599999999999</v>
      </c>
      <c r="CO95">
        <f>737.708</f>
        <v>737.70799999999997</v>
      </c>
      <c r="CP95">
        <f>725.169</f>
        <v>725.16899999999998</v>
      </c>
      <c r="CQ95">
        <f>795.114</f>
        <v>795.11400000000003</v>
      </c>
      <c r="CR95">
        <f>702.693</f>
        <v>702.69299999999998</v>
      </c>
      <c r="CS95">
        <f>655.69</f>
        <v>655.69</v>
      </c>
      <c r="CT95">
        <f>664.472</f>
        <v>664.47199999999998</v>
      </c>
      <c r="CU95">
        <f>675.468</f>
        <v>675.46799999999996</v>
      </c>
      <c r="CV95">
        <f>645.67</f>
        <v>645.66999999999996</v>
      </c>
      <c r="CW95">
        <f>478.925</f>
        <v>478.92500000000001</v>
      </c>
      <c r="CX95">
        <f>621.821</f>
        <v>621.82100000000003</v>
      </c>
      <c r="CY95">
        <f>940.357</f>
        <v>940.35699999999997</v>
      </c>
      <c r="CZ95">
        <f>394.679</f>
        <v>394.67899999999997</v>
      </c>
      <c r="DA95">
        <f>604.543</f>
        <v>604.54300000000001</v>
      </c>
      <c r="DB95">
        <f>576.968</f>
        <v>576.96799999999996</v>
      </c>
      <c r="DC95">
        <f>702.112</f>
        <v>702.11199999999997</v>
      </c>
      <c r="DD95">
        <f>596.198</f>
        <v>596.19799999999998</v>
      </c>
      <c r="DE95">
        <f>555.493</f>
        <v>555.49300000000005</v>
      </c>
      <c r="DF95">
        <f>556.546</f>
        <v>556.54600000000005</v>
      </c>
      <c r="DG95">
        <f>602.385</f>
        <v>602.38499999999999</v>
      </c>
      <c r="DH95">
        <f>520.116</f>
        <v>520.11599999999999</v>
      </c>
      <c r="DI95">
        <f>511.495</f>
        <v>511.495</v>
      </c>
      <c r="DJ95">
        <f>498.951</f>
        <v>498.95100000000002</v>
      </c>
      <c r="DK95">
        <f>564.426</f>
        <v>564.42600000000004</v>
      </c>
      <c r="DL95">
        <f>495.636</f>
        <v>495.63600000000002</v>
      </c>
      <c r="DM95">
        <f>488.162</f>
        <v>488.16199999999998</v>
      </c>
      <c r="DN95">
        <f>475.667</f>
        <v>475.66699999999997</v>
      </c>
      <c r="DO95">
        <f>520.645</f>
        <v>520.64499999999998</v>
      </c>
      <c r="DP95">
        <f>394.931</f>
        <v>394.93099999999998</v>
      </c>
      <c r="DQ95">
        <f>389.26</f>
        <v>389.26</v>
      </c>
      <c r="DR95">
        <f>369.661</f>
        <v>369.661</v>
      </c>
      <c r="DS95">
        <f>432.071</f>
        <v>432.07100000000003</v>
      </c>
      <c r="DT95">
        <f>366.689</f>
        <v>366.68900000000002</v>
      </c>
      <c r="DU95">
        <f>352.513</f>
        <v>352.51299999999998</v>
      </c>
    </row>
    <row r="96" spans="1:125">
      <c r="A96" t="str">
        <f>"    Tanger Factory Outlet Centers"</f>
        <v xml:space="preserve">    Tanger Factory Outlet Centers</v>
      </c>
      <c r="B96" t="str">
        <f>"SKT US Equity"</f>
        <v>SKT US Equity</v>
      </c>
      <c r="C96" t="str">
        <f t="shared" si="15"/>
        <v>RR009</v>
      </c>
      <c r="D96" t="str">
        <f t="shared" si="16"/>
        <v>EBITDA</v>
      </c>
      <c r="E96" t="str">
        <f t="shared" si="17"/>
        <v>动态</v>
      </c>
      <c r="F96" t="str">
        <f ca="1">IF(AND(ISNUMBER($F$552),$B$419=1),$F$552,HLOOKUP(INDIRECT(ADDRESS(2,COLUMN())),OFFSET($BN$2,0,0,ROW()-1,60),ROW()-1,FALSE))</f>
        <v/>
      </c>
      <c r="G96">
        <f ca="1">IF(AND(ISNUMBER($G$552),$B$419=1),$G$552,HLOOKUP(INDIRECT(ADDRESS(2,COLUMN())),OFFSET($BN$2,0,0,ROW()-1,60),ROW()-1,FALSE))</f>
        <v>76.168000000000006</v>
      </c>
      <c r="H96">
        <f ca="1">IF(AND(ISNUMBER($H$552),$B$419=1),$H$552,HLOOKUP(INDIRECT(ADDRESS(2,COLUMN())),OFFSET($BN$2,0,0,ROW()-1,60),ROW()-1,FALSE))</f>
        <v>72.358999999999995</v>
      </c>
      <c r="I96">
        <f ca="1">IF(AND(ISNUMBER($I$552),$B$419=1),$I$552,HLOOKUP(INDIRECT(ADDRESS(2,COLUMN())),OFFSET($BN$2,0,0,ROW()-1,60),ROW()-1,FALSE))</f>
        <v>70.998000000000005</v>
      </c>
      <c r="J96">
        <f ca="1">IF(AND(ISNUMBER($J$552),$B$419=1),$J$552,HLOOKUP(INDIRECT(ADDRESS(2,COLUMN())),OFFSET($BN$2,0,0,ROW()-1,60),ROW()-1,FALSE))</f>
        <v>68.941999999999993</v>
      </c>
      <c r="K96">
        <f ca="1">IF(AND(ISNUMBER($K$552),$B$419=1),$K$552,HLOOKUP(INDIRECT(ADDRESS(2,COLUMN())),OFFSET($BN$2,0,0,ROW()-1,60),ROW()-1,FALSE))</f>
        <v>71.542000000000002</v>
      </c>
      <c r="L96">
        <f ca="1">IF(AND(ISNUMBER($L$552),$B$419=1),$L$552,HLOOKUP(INDIRECT(ADDRESS(2,COLUMN())),OFFSET($BN$2,0,0,ROW()-1,60),ROW()-1,FALSE))</f>
        <v>69.08</v>
      </c>
      <c r="M96">
        <f ca="1">IF(AND(ISNUMBER($M$552),$B$419=1),$M$552,HLOOKUP(INDIRECT(ADDRESS(2,COLUMN())),OFFSET($BN$2,0,0,ROW()-1,60),ROW()-1,FALSE))</f>
        <v>64.646000000000001</v>
      </c>
      <c r="N96">
        <f ca="1">IF(AND(ISNUMBER($N$552),$B$419=1),$N$552,HLOOKUP(INDIRECT(ADDRESS(2,COLUMN())),OFFSET($BN$2,0,0,ROW()-1,60),ROW()-1,FALSE))</f>
        <v>61.366</v>
      </c>
      <c r="O96">
        <f ca="1">IF(AND(ISNUMBER($O$552),$B$419=1),$O$552,HLOOKUP(INDIRECT(ADDRESS(2,COLUMN())),OFFSET($BN$2,0,0,ROW()-1,60),ROW()-1,FALSE))</f>
        <v>65.180999999999997</v>
      </c>
      <c r="P96">
        <f ca="1">IF(AND(ISNUMBER($P$552),$B$419=1),$P$552,HLOOKUP(INDIRECT(ADDRESS(2,COLUMN())),OFFSET($BN$2,0,0,ROW()-1,60),ROW()-1,FALSE))</f>
        <v>65.161000000000001</v>
      </c>
      <c r="Q96">
        <f ca="1">IF(AND(ISNUMBER($Q$552),$B$419=1),$Q$552,HLOOKUP(INDIRECT(ADDRESS(2,COLUMN())),OFFSET($BN$2,0,0,ROW()-1,60),ROW()-1,FALSE))</f>
        <v>61.165999999999997</v>
      </c>
      <c r="R96">
        <f ca="1">IF(AND(ISNUMBER($R$552),$B$419=1),$R$552,HLOOKUP(INDIRECT(ADDRESS(2,COLUMN())),OFFSET($BN$2,0,0,ROW()-1,60),ROW()-1,FALSE))</f>
        <v>56.889000000000003</v>
      </c>
      <c r="S96">
        <f ca="1">IF(AND(ISNUMBER($S$552),$B$419=1),$S$552,HLOOKUP(INDIRECT(ADDRESS(2,COLUMN())),OFFSET($BN$2,0,0,ROW()-1,60),ROW()-1,FALSE))</f>
        <v>60.984999999999999</v>
      </c>
      <c r="T96">
        <f ca="1">IF(AND(ISNUMBER($T$552),$B$419=1),$T$552,HLOOKUP(INDIRECT(ADDRESS(2,COLUMN())),OFFSET($BN$2,0,0,ROW()-1,60),ROW()-1,FALSE))</f>
        <v>61.057000000000002</v>
      </c>
      <c r="U96">
        <f ca="1">IF(AND(ISNUMBER($U$552),$B$419=1),$U$552,HLOOKUP(INDIRECT(ADDRESS(2,COLUMN())),OFFSET($BN$2,0,0,ROW()-1,60),ROW()-1,FALSE))</f>
        <v>57.822000000000003</v>
      </c>
      <c r="V96">
        <f ca="1">IF(AND(ISNUMBER($V$552),$B$419=1),$V$552,HLOOKUP(INDIRECT(ADDRESS(2,COLUMN())),OFFSET($BN$2,0,0,ROW()-1,60),ROW()-1,FALSE))</f>
        <v>54.43</v>
      </c>
      <c r="W96">
        <f ca="1">IF(AND(ISNUMBER($W$552),$B$419=1),$W$552,HLOOKUP(INDIRECT(ADDRESS(2,COLUMN())),OFFSET($BN$2,0,0,ROW()-1,60),ROW()-1,FALSE))</f>
        <v>62.978999999999999</v>
      </c>
      <c r="X96">
        <f ca="1">IF(AND(ISNUMBER($X$552),$B$419=1),$X$552,HLOOKUP(INDIRECT(ADDRESS(2,COLUMN())),OFFSET($BN$2,0,0,ROW()-1,60),ROW()-1,FALSE))</f>
        <v>57.753999999999998</v>
      </c>
      <c r="Y96">
        <f ca="1">IF(AND(ISNUMBER($Y$552),$B$419=1),$Y$552,HLOOKUP(INDIRECT(ADDRESS(2,COLUMN())),OFFSET($BN$2,0,0,ROW()-1,60),ROW()-1,FALSE))</f>
        <v>52.027999999999999</v>
      </c>
      <c r="Z96">
        <f ca="1">IF(AND(ISNUMBER($Z$552),$B$419=1),$Z$552,HLOOKUP(INDIRECT(ADDRESS(2,COLUMN())),OFFSET($BN$2,0,0,ROW()-1,60),ROW()-1,FALSE))</f>
        <v>50.802999999999997</v>
      </c>
      <c r="AA96">
        <f ca="1">IF(AND(ISNUMBER($AA$552),$B$419=1),$AA$552,HLOOKUP(INDIRECT(ADDRESS(2,COLUMN())),OFFSET($BN$2,0,0,ROW()-1,60),ROW()-1,FALSE))</f>
        <v>55.622999999999998</v>
      </c>
      <c r="AB96">
        <f ca="1">IF(AND(ISNUMBER($AB$552),$B$419=1),$AB$552,HLOOKUP(INDIRECT(ADDRESS(2,COLUMN())),OFFSET($BN$2,0,0,ROW()-1,60),ROW()-1,FALSE))</f>
        <v>53.850999999999999</v>
      </c>
      <c r="AC96">
        <f ca="1">IF(AND(ISNUMBER($AC$552),$B$419=1),$AC$552,HLOOKUP(INDIRECT(ADDRESS(2,COLUMN())),OFFSET($BN$2,0,0,ROW()-1,60),ROW()-1,FALSE))</f>
        <v>50.658999999999999</v>
      </c>
      <c r="AD96">
        <f ca="1">IF(AND(ISNUMBER($AD$552),$B$419=1),$AD$552,HLOOKUP(INDIRECT(ADDRESS(2,COLUMN())),OFFSET($BN$2,0,0,ROW()-1,60),ROW()-1,FALSE))</f>
        <v>48.134999999999998</v>
      </c>
      <c r="AE96">
        <f ca="1">IF(AND(ISNUMBER($AE$552),$B$419=1),$AE$552,HLOOKUP(INDIRECT(ADDRESS(2,COLUMN())),OFFSET($BN$2,0,0,ROW()-1,60),ROW()-1,FALSE))</f>
        <v>53.494</v>
      </c>
      <c r="AF96">
        <f ca="1">IF(AND(ISNUMBER($AF$552),$B$419=1),$AF$552,HLOOKUP(INDIRECT(ADDRESS(2,COLUMN())),OFFSET($BN$2,0,0,ROW()-1,60),ROW()-1,FALSE))</f>
        <v>49.140999999999998</v>
      </c>
      <c r="AG96">
        <f ca="1">IF(AND(ISNUMBER($AG$552),$B$419=1),$AG$552,HLOOKUP(INDIRECT(ADDRESS(2,COLUMN())),OFFSET($BN$2,0,0,ROW()-1,60),ROW()-1,FALSE))</f>
        <v>40.177</v>
      </c>
      <c r="AH96">
        <f ca="1">IF(AND(ISNUMBER($AH$552),$B$419=1),$AH$552,HLOOKUP(INDIRECT(ADDRESS(2,COLUMN())),OFFSET($BN$2,0,0,ROW()-1,60),ROW()-1,FALSE))</f>
        <v>39.139000000000003</v>
      </c>
      <c r="AI96">
        <f ca="1">IF(AND(ISNUMBER($AI$552),$B$419=1),$AI$552,HLOOKUP(INDIRECT(ADDRESS(2,COLUMN())),OFFSET($BN$2,0,0,ROW()-1,60),ROW()-1,FALSE))</f>
        <v>42.466000000000001</v>
      </c>
      <c r="AJ96">
        <f ca="1">IF(AND(ISNUMBER($AJ$552),$B$419=1),$AJ$552,HLOOKUP(INDIRECT(ADDRESS(2,COLUMN())),OFFSET($BN$2,0,0,ROW()-1,60),ROW()-1,FALSE))</f>
        <v>40.503</v>
      </c>
      <c r="AK96">
        <f ca="1">IF(AND(ISNUMBER($AK$552),$B$419=1),$AK$552,HLOOKUP(INDIRECT(ADDRESS(2,COLUMN())),OFFSET($BN$2,0,0,ROW()-1,60),ROW()-1,FALSE))</f>
        <v>37.243000000000002</v>
      </c>
      <c r="AL96">
        <f ca="1">IF(AND(ISNUMBER($AL$552),$B$419=1),$AL$552,HLOOKUP(INDIRECT(ADDRESS(2,COLUMN())),OFFSET($BN$2,0,0,ROW()-1,60),ROW()-1,FALSE))</f>
        <v>37.545000000000002</v>
      </c>
      <c r="AM96">
        <f ca="1">IF(AND(ISNUMBER($AM$552),$B$419=1),$AM$552,HLOOKUP(INDIRECT(ADDRESS(2,COLUMN())),OFFSET($BN$2,0,0,ROW()-1,60),ROW()-1,FALSE))</f>
        <v>41.634999999999998</v>
      </c>
      <c r="AN96">
        <f ca="1">IF(AND(ISNUMBER($AN$552),$B$419=1),$AN$552,HLOOKUP(INDIRECT(ADDRESS(2,COLUMN())),OFFSET($BN$2,0,0,ROW()-1,60),ROW()-1,FALSE))</f>
        <v>33.116</v>
      </c>
      <c r="AO96">
        <f ca="1">IF(AND(ISNUMBER($AO$552),$B$419=1),$AO$552,HLOOKUP(INDIRECT(ADDRESS(2,COLUMN())),OFFSET($BN$2,0,0,ROW()-1,60),ROW()-1,FALSE))</f>
        <v>38.121000000000002</v>
      </c>
      <c r="AP96">
        <f ca="1">IF(AND(ISNUMBER($AP$552),$B$419=1),$AP$552,HLOOKUP(INDIRECT(ADDRESS(2,COLUMN())),OFFSET($BN$2,0,0,ROW()-1,60),ROW()-1,FALSE))</f>
        <v>37.506999999999998</v>
      </c>
      <c r="AQ96">
        <f ca="1">IF(AND(ISNUMBER($AQ$552),$B$419=1),$AQ$552,HLOOKUP(INDIRECT(ADDRESS(2,COLUMN())),OFFSET($BN$2,0,0,ROW()-1,60),ROW()-1,FALSE))</f>
        <v>38.79</v>
      </c>
      <c r="AR96">
        <f ca="1">IF(AND(ISNUMBER($AR$552),$B$419=1),$AR$552,HLOOKUP(INDIRECT(ADDRESS(2,COLUMN())),OFFSET($BN$2,0,0,ROW()-1,60),ROW()-1,FALSE))</f>
        <v>35.905000000000001</v>
      </c>
      <c r="AS96">
        <f ca="1">IF(AND(ISNUMBER($AS$552),$B$419=1),$AS$552,HLOOKUP(INDIRECT(ADDRESS(2,COLUMN())),OFFSET($BN$2,0,0,ROW()-1,60),ROW()-1,FALSE))</f>
        <v>33.802999999999997</v>
      </c>
      <c r="AT96">
        <f ca="1">IF(AND(ISNUMBER($AT$552),$B$419=1),$AT$552,HLOOKUP(INDIRECT(ADDRESS(2,COLUMN())),OFFSET($BN$2,0,0,ROW()-1,60),ROW()-1,FALSE))</f>
        <v>32.786000000000001</v>
      </c>
      <c r="AU96">
        <f ca="1">IF(AND(ISNUMBER($AU$552),$B$419=1),$AU$552,HLOOKUP(INDIRECT(ADDRESS(2,COLUMN())),OFFSET($BN$2,0,0,ROW()-1,60),ROW()-1,FALSE))</f>
        <v>36.576000000000001</v>
      </c>
      <c r="AV96">
        <f ca="1">IF(AND(ISNUMBER($AV$552),$B$419=1),$AV$552,HLOOKUP(INDIRECT(ADDRESS(2,COLUMN())),OFFSET($BN$2,0,0,ROW()-1,60),ROW()-1,FALSE))</f>
        <v>34.36</v>
      </c>
      <c r="AW96">
        <f ca="1">IF(AND(ISNUMBER($AW$552),$B$419=1),$AW$552,HLOOKUP(INDIRECT(ADDRESS(2,COLUMN())),OFFSET($BN$2,0,0,ROW()-1,60),ROW()-1,FALSE))</f>
        <v>32.658000000000001</v>
      </c>
      <c r="AX96">
        <f ca="1">IF(AND(ISNUMBER($AX$552),$B$419=1),$AX$552,HLOOKUP(INDIRECT(ADDRESS(2,COLUMN())),OFFSET($BN$2,0,0,ROW()-1,60),ROW()-1,FALSE))</f>
        <v>31.925000000000001</v>
      </c>
      <c r="AY96">
        <f ca="1">IF(AND(ISNUMBER($AY$552),$B$419=1),$AY$552,HLOOKUP(INDIRECT(ADDRESS(2,COLUMN())),OFFSET($BN$2,0,0,ROW()-1,60),ROW()-1,FALSE))</f>
        <v>33.862000000000002</v>
      </c>
      <c r="AZ96">
        <f ca="1">IF(AND(ISNUMBER($AZ$552),$B$419=1),$AZ$552,HLOOKUP(INDIRECT(ADDRESS(2,COLUMN())),OFFSET($BN$2,0,0,ROW()-1,60),ROW()-1,FALSE))</f>
        <v>32.545999999999999</v>
      </c>
      <c r="BA96">
        <f ca="1">IF(AND(ISNUMBER($BA$552),$B$419=1),$BA$552,HLOOKUP(INDIRECT(ADDRESS(2,COLUMN())),OFFSET($BN$2,0,0,ROW()-1,60),ROW()-1,FALSE))</f>
        <v>30.456</v>
      </c>
      <c r="BB96">
        <f ca="1">IF(AND(ISNUMBER($BB$552),$B$419=1),$BB$552,HLOOKUP(INDIRECT(ADDRESS(2,COLUMN())),OFFSET($BN$2,0,0,ROW()-1,60),ROW()-1,FALSE))</f>
        <v>29.468</v>
      </c>
      <c r="BC96">
        <f ca="1">IF(AND(ISNUMBER($BC$552),$B$419=1),$BC$552,HLOOKUP(INDIRECT(ADDRESS(2,COLUMN())),OFFSET($BN$2,0,0,ROW()-1,60),ROW()-1,FALSE))</f>
        <v>32.954000000000001</v>
      </c>
      <c r="BD96">
        <f ca="1">IF(AND(ISNUMBER($BD$552),$B$419=1),$BD$552,HLOOKUP(INDIRECT(ADDRESS(2,COLUMN())),OFFSET($BN$2,0,0,ROW()-1,60),ROW()-1,FALSE))</f>
        <v>31.646000000000001</v>
      </c>
      <c r="BE96">
        <f ca="1">IF(AND(ISNUMBER($BE$552),$B$419=1),$BE$552,HLOOKUP(INDIRECT(ADDRESS(2,COLUMN())),OFFSET($BN$2,0,0,ROW()-1,60),ROW()-1,FALSE))</f>
        <v>29.9</v>
      </c>
      <c r="BF96">
        <f ca="1">IF(AND(ISNUMBER($BF$552),$B$419=1),$BF$552,HLOOKUP(INDIRECT(ADDRESS(2,COLUMN())),OFFSET($BN$2,0,0,ROW()-1,60),ROW()-1,FALSE))</f>
        <v>28.399000000000001</v>
      </c>
      <c r="BG96">
        <f ca="1">IF(AND(ISNUMBER($BG$552),$B$419=1),$BG$552,HLOOKUP(INDIRECT(ADDRESS(2,COLUMN())),OFFSET($BN$2,0,0,ROW()-1,60),ROW()-1,FALSE))</f>
        <v>32.328000000000003</v>
      </c>
      <c r="BH96">
        <f ca="1">IF(AND(ISNUMBER($BH$552),$B$419=1),$BH$552,HLOOKUP(INDIRECT(ADDRESS(2,COLUMN())),OFFSET($BN$2,0,0,ROW()-1,60),ROW()-1,FALSE))</f>
        <v>30.85</v>
      </c>
      <c r="BI96">
        <f ca="1">IF(AND(ISNUMBER($BI$552),$B$419=1),$BI$552,HLOOKUP(INDIRECT(ADDRESS(2,COLUMN())),OFFSET($BN$2,0,0,ROW()-1,60),ROW()-1,FALSE))</f>
        <v>30.850999999999999</v>
      </c>
      <c r="BJ96">
        <f ca="1">IF(AND(ISNUMBER($BJ$552),$B$419=1),$BJ$552,HLOOKUP(INDIRECT(ADDRESS(2,COLUMN())),OFFSET($BN$2,0,0,ROW()-1,60),ROW()-1,FALSE))</f>
        <v>28.91</v>
      </c>
      <c r="BK96">
        <f ca="1">IF(AND(ISNUMBER($BK$552),$B$419=1),$BK$552,HLOOKUP(INDIRECT(ADDRESS(2,COLUMN())),OFFSET($BN$2,0,0,ROW()-1,60),ROW()-1,FALSE))</f>
        <v>21.22000027</v>
      </c>
      <c r="BL96">
        <f ca="1">IF(AND(ISNUMBER($BL$552),$B$419=1),$BL$552,HLOOKUP(INDIRECT(ADDRESS(2,COLUMN())),OFFSET($BN$2,0,0,ROW()-1,60),ROW()-1,FALSE))</f>
        <v>17.3</v>
      </c>
      <c r="BM96">
        <f ca="1">IF(AND(ISNUMBER($BM$552),$B$419=1),$BM$552,HLOOKUP(INDIRECT(ADDRESS(2,COLUMN())),OFFSET($BN$2,0,0,ROW()-1,60),ROW()-1,FALSE))</f>
        <v>16.931000000000001</v>
      </c>
      <c r="BN96" t="str">
        <f>""</f>
        <v/>
      </c>
      <c r="BO96">
        <f>76.168</f>
        <v>76.168000000000006</v>
      </c>
      <c r="BP96">
        <f>72.359</f>
        <v>72.358999999999995</v>
      </c>
      <c r="BQ96">
        <f>70.998</f>
        <v>70.998000000000005</v>
      </c>
      <c r="BR96">
        <f>68.942</f>
        <v>68.941999999999993</v>
      </c>
      <c r="BS96">
        <f>71.542</f>
        <v>71.542000000000002</v>
      </c>
      <c r="BT96">
        <f>69.08</f>
        <v>69.08</v>
      </c>
      <c r="BU96">
        <f>64.646</f>
        <v>64.646000000000001</v>
      </c>
      <c r="BV96">
        <f>61.366</f>
        <v>61.366</v>
      </c>
      <c r="BW96">
        <f>65.181</f>
        <v>65.180999999999997</v>
      </c>
      <c r="BX96">
        <f>65.161</f>
        <v>65.161000000000001</v>
      </c>
      <c r="BY96">
        <f>61.166</f>
        <v>61.165999999999997</v>
      </c>
      <c r="BZ96">
        <f>56.889</f>
        <v>56.889000000000003</v>
      </c>
      <c r="CA96">
        <f>60.985</f>
        <v>60.984999999999999</v>
      </c>
      <c r="CB96">
        <f>61.057</f>
        <v>61.057000000000002</v>
      </c>
      <c r="CC96">
        <f>57.822</f>
        <v>57.822000000000003</v>
      </c>
      <c r="CD96">
        <f>54.43</f>
        <v>54.43</v>
      </c>
      <c r="CE96">
        <f>62.979</f>
        <v>62.978999999999999</v>
      </c>
      <c r="CF96">
        <f>57.754</f>
        <v>57.753999999999998</v>
      </c>
      <c r="CG96">
        <f>52.028</f>
        <v>52.027999999999999</v>
      </c>
      <c r="CH96">
        <f>50.803</f>
        <v>50.802999999999997</v>
      </c>
      <c r="CI96">
        <f>55.623</f>
        <v>55.622999999999998</v>
      </c>
      <c r="CJ96">
        <f>53.851</f>
        <v>53.850999999999999</v>
      </c>
      <c r="CK96">
        <f>50.659</f>
        <v>50.658999999999999</v>
      </c>
      <c r="CL96">
        <f>48.135</f>
        <v>48.134999999999998</v>
      </c>
      <c r="CM96">
        <f>53.494</f>
        <v>53.494</v>
      </c>
      <c r="CN96">
        <f>49.141</f>
        <v>49.140999999999998</v>
      </c>
      <c r="CO96">
        <f>40.177</f>
        <v>40.177</v>
      </c>
      <c r="CP96">
        <f>39.139</f>
        <v>39.139000000000003</v>
      </c>
      <c r="CQ96">
        <f>42.466</f>
        <v>42.466000000000001</v>
      </c>
      <c r="CR96">
        <f>40.503</f>
        <v>40.503</v>
      </c>
      <c r="CS96">
        <f>37.243</f>
        <v>37.243000000000002</v>
      </c>
      <c r="CT96">
        <f>37.545</f>
        <v>37.545000000000002</v>
      </c>
      <c r="CU96">
        <f>41.635</f>
        <v>41.634999999999998</v>
      </c>
      <c r="CV96">
        <f>33.116</f>
        <v>33.116</v>
      </c>
      <c r="CW96">
        <f>38.121</f>
        <v>38.121000000000002</v>
      </c>
      <c r="CX96">
        <f>37.507</f>
        <v>37.506999999999998</v>
      </c>
      <c r="CY96">
        <f>38.79</f>
        <v>38.79</v>
      </c>
      <c r="CZ96">
        <f>35.905</f>
        <v>35.905000000000001</v>
      </c>
      <c r="DA96">
        <f>33.803</f>
        <v>33.802999999999997</v>
      </c>
      <c r="DB96">
        <f>32.786</f>
        <v>32.786000000000001</v>
      </c>
      <c r="DC96">
        <f>36.576</f>
        <v>36.576000000000001</v>
      </c>
      <c r="DD96">
        <f>34.36</f>
        <v>34.36</v>
      </c>
      <c r="DE96">
        <f>32.658</f>
        <v>32.658000000000001</v>
      </c>
      <c r="DF96">
        <f>31.925</f>
        <v>31.925000000000001</v>
      </c>
      <c r="DG96">
        <f>33.862</f>
        <v>33.862000000000002</v>
      </c>
      <c r="DH96">
        <f>32.546</f>
        <v>32.545999999999999</v>
      </c>
      <c r="DI96">
        <f>30.456</f>
        <v>30.456</v>
      </c>
      <c r="DJ96">
        <f>29.468</f>
        <v>29.468</v>
      </c>
      <c r="DK96">
        <f>32.954</f>
        <v>32.954000000000001</v>
      </c>
      <c r="DL96">
        <f>31.646</f>
        <v>31.646000000000001</v>
      </c>
      <c r="DM96">
        <f>29.9</f>
        <v>29.9</v>
      </c>
      <c r="DN96">
        <f>28.399</f>
        <v>28.399000000000001</v>
      </c>
      <c r="DO96">
        <f>32.328</f>
        <v>32.328000000000003</v>
      </c>
      <c r="DP96">
        <f>30.85</f>
        <v>30.85</v>
      </c>
      <c r="DQ96">
        <f>30.851</f>
        <v>30.850999999999999</v>
      </c>
      <c r="DR96">
        <f>28.91</f>
        <v>28.91</v>
      </c>
      <c r="DS96">
        <f>21.22000027</f>
        <v>21.22000027</v>
      </c>
      <c r="DT96">
        <f>17.3</f>
        <v>17.3</v>
      </c>
      <c r="DU96">
        <f>16.931</f>
        <v>16.931000000000001</v>
      </c>
    </row>
    <row r="97" spans="1:125">
      <c r="A97" t="str">
        <f>"    VEREIT Inc"</f>
        <v xml:space="preserve">    VEREIT Inc</v>
      </c>
      <c r="B97" t="str">
        <f>"VER US Equity"</f>
        <v>VER US Equity</v>
      </c>
      <c r="C97" t="str">
        <f t="shared" si="15"/>
        <v>RR009</v>
      </c>
      <c r="D97" t="str">
        <f t="shared" si="16"/>
        <v>EBITDA</v>
      </c>
      <c r="E97" t="str">
        <f t="shared" si="17"/>
        <v>动态</v>
      </c>
      <c r="F97" t="str">
        <f ca="1">IF(AND(ISNUMBER($F$553),$B$419=1),$F$553,HLOOKUP(INDIRECT(ADDRESS(2,COLUMN())),OFFSET($BN$2,0,0,ROW()-1,60),ROW()-1,FALSE))</f>
        <v/>
      </c>
      <c r="G97">
        <f ca="1">IF(AND(ISNUMBER($G$553),$B$419=1),$G$553,HLOOKUP(INDIRECT(ADDRESS(2,COLUMN())),OFFSET($BN$2,0,0,ROW()-1,60),ROW()-1,FALSE))</f>
        <v>233.91800000000001</v>
      </c>
      <c r="H97">
        <f ca="1">IF(AND(ISNUMBER($H$553),$B$419=1),$H$553,HLOOKUP(INDIRECT(ADDRESS(2,COLUMN())),OFFSET($BN$2,0,0,ROW()-1,60),ROW()-1,FALSE))</f>
        <v>254.13499999999999</v>
      </c>
      <c r="I97">
        <f ca="1">IF(AND(ISNUMBER($I$553),$B$419=1),$I$553,HLOOKUP(INDIRECT(ADDRESS(2,COLUMN())),OFFSET($BN$2,0,0,ROW()-1,60),ROW()-1,FALSE))</f>
        <v>246.33</v>
      </c>
      <c r="J97">
        <f ca="1">IF(AND(ISNUMBER($J$553),$B$419=1),$J$553,HLOOKUP(INDIRECT(ADDRESS(2,COLUMN())),OFFSET($BN$2,0,0,ROW()-1,60),ROW()-1,FALSE))</f>
        <v>268.71600000000001</v>
      </c>
      <c r="K97">
        <f ca="1">IF(AND(ISNUMBER($K$553),$B$419=1),$K$553,HLOOKUP(INDIRECT(ADDRESS(2,COLUMN())),OFFSET($BN$2,0,0,ROW()-1,60),ROW()-1,FALSE))</f>
        <v>143.58600000000001</v>
      </c>
      <c r="L97">
        <f ca="1">IF(AND(ISNUMBER($L$553),$B$419=1),$L$553,HLOOKUP(INDIRECT(ADDRESS(2,COLUMN())),OFFSET($BN$2,0,0,ROW()-1,60),ROW()-1,FALSE))</f>
        <v>285.69499999999999</v>
      </c>
      <c r="M97">
        <f ca="1">IF(AND(ISNUMBER($M$553),$B$419=1),$M$553,HLOOKUP(INDIRECT(ADDRESS(2,COLUMN())),OFFSET($BN$2,0,0,ROW()-1,60),ROW()-1,FALSE))</f>
        <v>285.529</v>
      </c>
      <c r="N97">
        <f ca="1">IF(AND(ISNUMBER($N$553),$B$419=1),$N$553,HLOOKUP(INDIRECT(ADDRESS(2,COLUMN())),OFFSET($BN$2,0,0,ROW()-1,60),ROW()-1,FALSE))</f>
        <v>145.209</v>
      </c>
      <c r="O97">
        <f ca="1">IF(AND(ISNUMBER($O$553),$B$419=1),$O$553,HLOOKUP(INDIRECT(ADDRESS(2,COLUMN())),OFFSET($BN$2,0,0,ROW()-1,60),ROW()-1,FALSE))</f>
        <v>82.971000000000004</v>
      </c>
      <c r="P97">
        <f ca="1">IF(AND(ISNUMBER($P$553),$B$419=1),$P$553,HLOOKUP(INDIRECT(ADDRESS(2,COLUMN())),OFFSET($BN$2,0,0,ROW()-1,60),ROW()-1,FALSE))</f>
        <v>313.93</v>
      </c>
      <c r="Q97">
        <f ca="1">IF(AND(ISNUMBER($Q$553),$B$419=1),$Q$553,HLOOKUP(INDIRECT(ADDRESS(2,COLUMN())),OFFSET($BN$2,0,0,ROW()-1,60),ROW()-1,FALSE))</f>
        <v>222.77600000000001</v>
      </c>
      <c r="R97">
        <f ca="1">IF(AND(ISNUMBER($R$553),$B$419=1),$R$553,HLOOKUP(INDIRECT(ADDRESS(2,COLUMN())),OFFSET($BN$2,0,0,ROW()-1,60),ROW()-1,FALSE))</f>
        <v>314.197</v>
      </c>
      <c r="S97">
        <f ca="1">IF(AND(ISNUMBER($S$553),$B$419=1),$S$553,HLOOKUP(INDIRECT(ADDRESS(2,COLUMN())),OFFSET($BN$2,0,0,ROW()-1,60),ROW()-1,FALSE))</f>
        <v>-61.31</v>
      </c>
      <c r="T97">
        <f ca="1">IF(AND(ISNUMBER($T$553),$B$419=1),$T$553,HLOOKUP(INDIRECT(ADDRESS(2,COLUMN())),OFFSET($BN$2,0,0,ROW()-1,60),ROW()-1,FALSE))</f>
        <v>352.81200000000001</v>
      </c>
      <c r="U97">
        <f ca="1">IF(AND(ISNUMBER($U$553),$B$419=1),$U$553,HLOOKUP(INDIRECT(ADDRESS(2,COLUMN())),OFFSET($BN$2,0,0,ROW()-1,60),ROW()-1,FALSE))</f>
        <v>320.04700000000003</v>
      </c>
      <c r="V97">
        <f ca="1">IF(AND(ISNUMBER($V$553),$B$419=1),$V$553,HLOOKUP(INDIRECT(ADDRESS(2,COLUMN())),OFFSET($BN$2,0,0,ROW()-1,60),ROW()-1,FALSE))</f>
        <v>54.189</v>
      </c>
      <c r="W97">
        <f ca="1">IF(AND(ISNUMBER($W$553),$B$419=1),$W$553,HLOOKUP(INDIRECT(ADDRESS(2,COLUMN())),OFFSET($BN$2,0,0,ROW()-1,60),ROW()-1,FALSE))</f>
        <v>-18.077000000000002</v>
      </c>
      <c r="X97">
        <f ca="1">IF(AND(ISNUMBER($X$553),$B$419=1),$X$553,HLOOKUP(INDIRECT(ADDRESS(2,COLUMN())),OFFSET($BN$2,0,0,ROW()-1,60),ROW()-1,FALSE))</f>
        <v>51.862000000000002</v>
      </c>
      <c r="Y97">
        <f ca="1">IF(AND(ISNUMBER($Y$553),$B$419=1),$Y$553,HLOOKUP(INDIRECT(ADDRESS(2,COLUMN())),OFFSET($BN$2,0,0,ROW()-1,60),ROW()-1,FALSE))</f>
        <v>4.8739999999999997</v>
      </c>
      <c r="Z97">
        <f ca="1">IF(AND(ISNUMBER($Z$553),$B$419=1),$Z$553,HLOOKUP(INDIRECT(ADDRESS(2,COLUMN())),OFFSET($BN$2,0,0,ROW()-1,60),ROW()-1,FALSE))</f>
        <v>-108.861</v>
      </c>
      <c r="AA97">
        <f ca="1">IF(AND(ISNUMBER($AA$553),$B$419=1),$AA$553,HLOOKUP(INDIRECT(ADDRESS(2,COLUMN())),OFFSET($BN$2,0,0,ROW()-1,60),ROW()-1,FALSE))</f>
        <v>8.3070000000000004</v>
      </c>
      <c r="AB97">
        <f ca="1">IF(AND(ISNUMBER($AB$553),$B$419=1),$AB$553,HLOOKUP(INDIRECT(ADDRESS(2,COLUMN())),OFFSET($BN$2,0,0,ROW()-1,60),ROW()-1,FALSE))</f>
        <v>2.8220000000000001</v>
      </c>
      <c r="AC97">
        <f ca="1">IF(AND(ISNUMBER($AC$553),$B$419=1),$AC$553,HLOOKUP(INDIRECT(ADDRESS(2,COLUMN())),OFFSET($BN$2,0,0,ROW()-1,60),ROW()-1,FALSE))</f>
        <v>3.0819999999999999</v>
      </c>
      <c r="AD97">
        <f ca="1">IF(AND(ISNUMBER($AD$553),$B$419=1),$AD$553,HLOOKUP(INDIRECT(ADDRESS(2,COLUMN())),OFFSET($BN$2,0,0,ROW()-1,60),ROW()-1,FALSE))</f>
        <v>0.502</v>
      </c>
      <c r="AE97">
        <f ca="1">IF(AND(ISNUMBER($AE$553),$B$419=1),$AE$553,HLOOKUP(INDIRECT(ADDRESS(2,COLUMN())),OFFSET($BN$2,0,0,ROW()-1,60),ROW()-1,FALSE))</f>
        <v>-0.933311</v>
      </c>
      <c r="AF97">
        <f ca="1">IF(AND(ISNUMBER($AF$553),$B$419=1),$AF$553,HLOOKUP(INDIRECT(ADDRESS(2,COLUMN())),OFFSET($BN$2,0,0,ROW()-1,60),ROW()-1,FALSE))</f>
        <v>-0.112</v>
      </c>
      <c r="AG97" t="str">
        <f ca="1">IF(AND(ISNUMBER($AG$553),$B$419=1),$AG$553,HLOOKUP(INDIRECT(ADDRESS(2,COLUMN())),OFFSET($BN$2,0,0,ROW()-1,60),ROW()-1,FALSE))</f>
        <v/>
      </c>
      <c r="AH97">
        <f ca="1">IF(AND(ISNUMBER($AH$553),$B$419=1),$AH$553,HLOOKUP(INDIRECT(ADDRESS(2,COLUMN())),OFFSET($BN$2,0,0,ROW()-1,60),ROW()-1,FALSE))</f>
        <v>1.9597960000000001</v>
      </c>
      <c r="AI97" t="str">
        <f ca="1">IF(AND(ISNUMBER($AI$553),$B$419=1),$AI$553,HLOOKUP(INDIRECT(ADDRESS(2,COLUMN())),OFFSET($BN$2,0,0,ROW()-1,60),ROW()-1,FALSE))</f>
        <v/>
      </c>
      <c r="AJ97" t="str">
        <f ca="1">IF(AND(ISNUMBER($AJ$553),$B$419=1),$AJ$553,HLOOKUP(INDIRECT(ADDRESS(2,COLUMN())),OFFSET($BN$2,0,0,ROW()-1,60),ROW()-1,FALSE))</f>
        <v/>
      </c>
      <c r="AK97" t="str">
        <f ca="1">IF(AND(ISNUMBER($AK$553),$B$419=1),$AK$553,HLOOKUP(INDIRECT(ADDRESS(2,COLUMN())),OFFSET($BN$2,0,0,ROW()-1,60),ROW()-1,FALSE))</f>
        <v/>
      </c>
      <c r="AL97">
        <f ca="1">IF(AND(ISNUMBER($AL$553),$B$419=1),$AL$553,HLOOKUP(INDIRECT(ADDRESS(2,COLUMN())),OFFSET($BN$2,0,0,ROW()-1,60),ROW()-1,FALSE))</f>
        <v>2.0385469999999999</v>
      </c>
      <c r="AM97" t="str">
        <f ca="1">IF(AND(ISNUMBER($AM$553),$B$419=1),$AM$553,HLOOKUP(INDIRECT(ADDRESS(2,COLUMN())),OFFSET($BN$2,0,0,ROW()-1,60),ROW()-1,FALSE))</f>
        <v/>
      </c>
      <c r="AN97" t="str">
        <f ca="1">IF(AND(ISNUMBER($AN$553),$B$419=1),$AN$553,HLOOKUP(INDIRECT(ADDRESS(2,COLUMN())),OFFSET($BN$2,0,0,ROW()-1,60),ROW()-1,FALSE))</f>
        <v/>
      </c>
      <c r="AO97" t="str">
        <f ca="1">IF(AND(ISNUMBER($AO$553),$B$419=1),$AO$553,HLOOKUP(INDIRECT(ADDRESS(2,COLUMN())),OFFSET($BN$2,0,0,ROW()-1,60),ROW()-1,FALSE))</f>
        <v/>
      </c>
      <c r="AP97" t="str">
        <f ca="1">IF(AND(ISNUMBER($AP$553),$B$419=1),$AP$553,HLOOKUP(INDIRECT(ADDRESS(2,COLUMN())),OFFSET($BN$2,0,0,ROW()-1,60),ROW()-1,FALSE))</f>
        <v/>
      </c>
      <c r="AQ97" t="str">
        <f ca="1">IF(AND(ISNUMBER($AQ$553),$B$419=1),$AQ$553,HLOOKUP(INDIRECT(ADDRESS(2,COLUMN())),OFFSET($BN$2,0,0,ROW()-1,60),ROW()-1,FALSE))</f>
        <v/>
      </c>
      <c r="AR97" t="str">
        <f ca="1">IF(AND(ISNUMBER($AR$553),$B$419=1),$AR$553,HLOOKUP(INDIRECT(ADDRESS(2,COLUMN())),OFFSET($BN$2,0,0,ROW()-1,60),ROW()-1,FALSE))</f>
        <v/>
      </c>
      <c r="AS97" t="str">
        <f ca="1">IF(AND(ISNUMBER($AS$553),$B$419=1),$AS$553,HLOOKUP(INDIRECT(ADDRESS(2,COLUMN())),OFFSET($BN$2,0,0,ROW()-1,60),ROW()-1,FALSE))</f>
        <v/>
      </c>
      <c r="AT97" t="str">
        <f ca="1">IF(AND(ISNUMBER($AT$553),$B$419=1),$AT$553,HLOOKUP(INDIRECT(ADDRESS(2,COLUMN())),OFFSET($BN$2,0,0,ROW()-1,60),ROW()-1,FALSE))</f>
        <v/>
      </c>
      <c r="AU97" t="str">
        <f ca="1">IF(AND(ISNUMBER($AU$553),$B$419=1),$AU$553,HLOOKUP(INDIRECT(ADDRESS(2,COLUMN())),OFFSET($BN$2,0,0,ROW()-1,60),ROW()-1,FALSE))</f>
        <v/>
      </c>
      <c r="AV97" t="str">
        <f ca="1">IF(AND(ISNUMBER($AV$553),$B$419=1),$AV$553,HLOOKUP(INDIRECT(ADDRESS(2,COLUMN())),OFFSET($BN$2,0,0,ROW()-1,60),ROW()-1,FALSE))</f>
        <v/>
      </c>
      <c r="AW97" t="str">
        <f ca="1">IF(AND(ISNUMBER($AW$553),$B$419=1),$AW$553,HLOOKUP(INDIRECT(ADDRESS(2,COLUMN())),OFFSET($BN$2,0,0,ROW()-1,60),ROW()-1,FALSE))</f>
        <v/>
      </c>
      <c r="AX97" t="str">
        <f ca="1">IF(AND(ISNUMBER($AX$553),$B$419=1),$AX$553,HLOOKUP(INDIRECT(ADDRESS(2,COLUMN())),OFFSET($BN$2,0,0,ROW()-1,60),ROW()-1,FALSE))</f>
        <v/>
      </c>
      <c r="AY97" t="str">
        <f ca="1">IF(AND(ISNUMBER($AY$553),$B$419=1),$AY$553,HLOOKUP(INDIRECT(ADDRESS(2,COLUMN())),OFFSET($BN$2,0,0,ROW()-1,60),ROW()-1,FALSE))</f>
        <v/>
      </c>
      <c r="AZ97" t="str">
        <f ca="1">IF(AND(ISNUMBER($AZ$553),$B$419=1),$AZ$553,HLOOKUP(INDIRECT(ADDRESS(2,COLUMN())),OFFSET($BN$2,0,0,ROW()-1,60),ROW()-1,FALSE))</f>
        <v/>
      </c>
      <c r="BA97" t="str">
        <f ca="1">IF(AND(ISNUMBER($BA$553),$B$419=1),$BA$553,HLOOKUP(INDIRECT(ADDRESS(2,COLUMN())),OFFSET($BN$2,0,0,ROW()-1,60),ROW()-1,FALSE))</f>
        <v/>
      </c>
      <c r="BB97" t="str">
        <f ca="1">IF(AND(ISNUMBER($BB$553),$B$419=1),$BB$553,HLOOKUP(INDIRECT(ADDRESS(2,COLUMN())),OFFSET($BN$2,0,0,ROW()-1,60),ROW()-1,FALSE))</f>
        <v/>
      </c>
      <c r="BC97" t="str">
        <f ca="1">IF(AND(ISNUMBER($BC$553),$B$419=1),$BC$553,HLOOKUP(INDIRECT(ADDRESS(2,COLUMN())),OFFSET($BN$2,0,0,ROW()-1,60),ROW()-1,FALSE))</f>
        <v/>
      </c>
      <c r="BD97" t="str">
        <f ca="1">IF(AND(ISNUMBER($BD$553),$B$419=1),$BD$553,HLOOKUP(INDIRECT(ADDRESS(2,COLUMN())),OFFSET($BN$2,0,0,ROW()-1,60),ROW()-1,FALSE))</f>
        <v/>
      </c>
      <c r="BE97" t="str">
        <f ca="1">IF(AND(ISNUMBER($BE$553),$B$419=1),$BE$553,HLOOKUP(INDIRECT(ADDRESS(2,COLUMN())),OFFSET($BN$2,0,0,ROW()-1,60),ROW()-1,FALSE))</f>
        <v/>
      </c>
      <c r="BF97" t="str">
        <f ca="1">IF(AND(ISNUMBER($BF$553),$B$419=1),$BF$553,HLOOKUP(INDIRECT(ADDRESS(2,COLUMN())),OFFSET($BN$2,0,0,ROW()-1,60),ROW()-1,FALSE))</f>
        <v/>
      </c>
      <c r="BG97" t="str">
        <f ca="1">IF(AND(ISNUMBER($BG$553),$B$419=1),$BG$553,HLOOKUP(INDIRECT(ADDRESS(2,COLUMN())),OFFSET($BN$2,0,0,ROW()-1,60),ROW()-1,FALSE))</f>
        <v/>
      </c>
      <c r="BH97" t="str">
        <f ca="1">IF(AND(ISNUMBER($BH$553),$B$419=1),$BH$553,HLOOKUP(INDIRECT(ADDRESS(2,COLUMN())),OFFSET($BN$2,0,0,ROW()-1,60),ROW()-1,FALSE))</f>
        <v/>
      </c>
      <c r="BI97" t="str">
        <f ca="1">IF(AND(ISNUMBER($BI$553),$B$419=1),$BI$553,HLOOKUP(INDIRECT(ADDRESS(2,COLUMN())),OFFSET($BN$2,0,0,ROW()-1,60),ROW()-1,FALSE))</f>
        <v/>
      </c>
      <c r="BJ97" t="str">
        <f ca="1">IF(AND(ISNUMBER($BJ$553),$B$419=1),$BJ$553,HLOOKUP(INDIRECT(ADDRESS(2,COLUMN())),OFFSET($BN$2,0,0,ROW()-1,60),ROW()-1,FALSE))</f>
        <v/>
      </c>
      <c r="BK97" t="str">
        <f ca="1">IF(AND(ISNUMBER($BK$553),$B$419=1),$BK$553,HLOOKUP(INDIRECT(ADDRESS(2,COLUMN())),OFFSET($BN$2,0,0,ROW()-1,60),ROW()-1,FALSE))</f>
        <v/>
      </c>
      <c r="BL97" t="str">
        <f ca="1">IF(AND(ISNUMBER($BL$553),$B$419=1),$BL$553,HLOOKUP(INDIRECT(ADDRESS(2,COLUMN())),OFFSET($BN$2,0,0,ROW()-1,60),ROW()-1,FALSE))</f>
        <v/>
      </c>
      <c r="BM97" t="str">
        <f ca="1">IF(AND(ISNUMBER($BM$553),$B$419=1),$BM$553,HLOOKUP(INDIRECT(ADDRESS(2,COLUMN())),OFFSET($BN$2,0,0,ROW()-1,60),ROW()-1,FALSE))</f>
        <v/>
      </c>
      <c r="BN97" t="str">
        <f>""</f>
        <v/>
      </c>
      <c r="BO97">
        <f>233.918</f>
        <v>233.91800000000001</v>
      </c>
      <c r="BP97">
        <f>254.135</f>
        <v>254.13499999999999</v>
      </c>
      <c r="BQ97">
        <f>246.33</f>
        <v>246.33</v>
      </c>
      <c r="BR97">
        <f>268.716</f>
        <v>268.71600000000001</v>
      </c>
      <c r="BS97">
        <f>143.586</f>
        <v>143.58600000000001</v>
      </c>
      <c r="BT97">
        <f>285.695</f>
        <v>285.69499999999999</v>
      </c>
      <c r="BU97">
        <f>285.529</f>
        <v>285.529</v>
      </c>
      <c r="BV97">
        <f>145.209</f>
        <v>145.209</v>
      </c>
      <c r="BW97">
        <f>82.971</f>
        <v>82.971000000000004</v>
      </c>
      <c r="BX97">
        <f>313.93</f>
        <v>313.93</v>
      </c>
      <c r="BY97">
        <f>222.776</f>
        <v>222.77600000000001</v>
      </c>
      <c r="BZ97">
        <f>314.197</f>
        <v>314.197</v>
      </c>
      <c r="CA97">
        <f>-61.31</f>
        <v>-61.31</v>
      </c>
      <c r="CB97">
        <f>352.812</f>
        <v>352.81200000000001</v>
      </c>
      <c r="CC97">
        <f>320.047</f>
        <v>320.04700000000003</v>
      </c>
      <c r="CD97">
        <f>54.189</f>
        <v>54.189</v>
      </c>
      <c r="CE97">
        <f>-18.077</f>
        <v>-18.077000000000002</v>
      </c>
      <c r="CF97">
        <f>51.862</f>
        <v>51.862000000000002</v>
      </c>
      <c r="CG97">
        <f>4.874</f>
        <v>4.8739999999999997</v>
      </c>
      <c r="CH97">
        <f>-108.861</f>
        <v>-108.861</v>
      </c>
      <c r="CI97">
        <f>8.307</f>
        <v>8.3070000000000004</v>
      </c>
      <c r="CJ97">
        <f>2.822</f>
        <v>2.8220000000000001</v>
      </c>
      <c r="CK97">
        <f>3.082</f>
        <v>3.0819999999999999</v>
      </c>
      <c r="CL97">
        <f>0.502</f>
        <v>0.502</v>
      </c>
      <c r="CM97">
        <f>-0.933311</f>
        <v>-0.933311</v>
      </c>
      <c r="CN97">
        <f>-0.112</f>
        <v>-0.112</v>
      </c>
      <c r="CO97" t="str">
        <f>""</f>
        <v/>
      </c>
      <c r="CP97">
        <f>1.959796</f>
        <v>1.9597960000000001</v>
      </c>
      <c r="CQ97" t="str">
        <f>""</f>
        <v/>
      </c>
      <c r="CR97" t="str">
        <f>""</f>
        <v/>
      </c>
      <c r="CS97" t="str">
        <f>""</f>
        <v/>
      </c>
      <c r="CT97">
        <f>2.038547</f>
        <v>2.0385469999999999</v>
      </c>
      <c r="CU97" t="str">
        <f>""</f>
        <v/>
      </c>
      <c r="CV97" t="str">
        <f>""</f>
        <v/>
      </c>
      <c r="CW97" t="str">
        <f>""</f>
        <v/>
      </c>
      <c r="CX97" t="str">
        <f>""</f>
        <v/>
      </c>
      <c r="CY97" t="str">
        <f>""</f>
        <v/>
      </c>
      <c r="CZ97" t="str">
        <f>""</f>
        <v/>
      </c>
      <c r="DA97" t="str">
        <f>""</f>
        <v/>
      </c>
      <c r="DB97" t="str">
        <f>""</f>
        <v/>
      </c>
      <c r="DC97" t="str">
        <f>""</f>
        <v/>
      </c>
      <c r="DD97" t="str">
        <f>""</f>
        <v/>
      </c>
      <c r="DE97" t="str">
        <f>""</f>
        <v/>
      </c>
      <c r="DF97" t="str">
        <f>""</f>
        <v/>
      </c>
      <c r="DG97" t="str">
        <f>""</f>
        <v/>
      </c>
      <c r="DH97" t="str">
        <f>""</f>
        <v/>
      </c>
      <c r="DI97" t="str">
        <f>""</f>
        <v/>
      </c>
      <c r="DJ97" t="str">
        <f>""</f>
        <v/>
      </c>
      <c r="DK97" t="str">
        <f>""</f>
        <v/>
      </c>
      <c r="DL97" t="str">
        <f>""</f>
        <v/>
      </c>
      <c r="DM97" t="str">
        <f>""</f>
        <v/>
      </c>
      <c r="DN97" t="str">
        <f>""</f>
        <v/>
      </c>
      <c r="DO97" t="str">
        <f>""</f>
        <v/>
      </c>
      <c r="DP97" t="str">
        <f>""</f>
        <v/>
      </c>
      <c r="DQ97" t="str">
        <f>""</f>
        <v/>
      </c>
      <c r="DR97" t="str">
        <f>""</f>
        <v/>
      </c>
      <c r="DS97" t="str">
        <f>""</f>
        <v/>
      </c>
      <c r="DT97" t="str">
        <f>""</f>
        <v/>
      </c>
      <c r="DU97" t="str">
        <f>""</f>
        <v/>
      </c>
    </row>
    <row r="98" spans="1:125">
      <c r="A98" t="str">
        <f>"    Washington Prime Group Inc"</f>
        <v xml:space="preserve">    Washington Prime Group Inc</v>
      </c>
      <c r="B98" t="str">
        <f>"WPG US Equity"</f>
        <v>WPG US Equity</v>
      </c>
      <c r="C98" t="str">
        <f t="shared" si="15"/>
        <v>RR009</v>
      </c>
      <c r="D98" t="str">
        <f t="shared" si="16"/>
        <v>EBITDA</v>
      </c>
      <c r="E98" t="str">
        <f t="shared" si="17"/>
        <v>动态</v>
      </c>
      <c r="F98" t="str">
        <f ca="1">IF(AND(ISNUMBER($F$554),$B$419=1),$F$554,HLOOKUP(INDIRECT(ADDRESS(2,COLUMN())),OFFSET($BN$2,0,0,ROW()-1,60),ROW()-1,FALSE))</f>
        <v/>
      </c>
      <c r="G98">
        <f ca="1">IF(AND(ISNUMBER($G$554),$B$419=1),$G$554,HLOOKUP(INDIRECT(ADDRESS(2,COLUMN())),OFFSET($BN$2,0,0,ROW()-1,60),ROW()-1,FALSE))</f>
        <v>82.039000000000001</v>
      </c>
      <c r="H98">
        <f ca="1">IF(AND(ISNUMBER($H$554),$B$419=1),$H$554,HLOOKUP(INDIRECT(ADDRESS(2,COLUMN())),OFFSET($BN$2,0,0,ROW()-1,60),ROW()-1,FALSE))</f>
        <v>91.391000000000005</v>
      </c>
      <c r="I98">
        <f ca="1">IF(AND(ISNUMBER($I$554),$B$419=1),$I$554,HLOOKUP(INDIRECT(ADDRESS(2,COLUMN())),OFFSET($BN$2,0,0,ROW()-1,60),ROW()-1,FALSE))</f>
        <v>115.759</v>
      </c>
      <c r="J98">
        <f ca="1">IF(AND(ISNUMBER($J$554),$B$419=1),$J$554,HLOOKUP(INDIRECT(ADDRESS(2,COLUMN())),OFFSET($BN$2,0,0,ROW()-1,60),ROW()-1,FALSE))</f>
        <v>116.52500000000001</v>
      </c>
      <c r="K98">
        <f ca="1">IF(AND(ISNUMBER($K$554),$B$419=1),$K$554,HLOOKUP(INDIRECT(ADDRESS(2,COLUMN())),OFFSET($BN$2,0,0,ROW()-1,60),ROW()-1,FALSE))</f>
        <v>134.06299999999999</v>
      </c>
      <c r="L98">
        <f ca="1">IF(AND(ISNUMBER($L$554),$B$419=1),$L$554,HLOOKUP(INDIRECT(ADDRESS(2,COLUMN())),OFFSET($BN$2,0,0,ROW()-1,60),ROW()-1,FALSE))</f>
        <v>106.874</v>
      </c>
      <c r="M98">
        <f ca="1">IF(AND(ISNUMBER($M$554),$B$419=1),$M$554,HLOOKUP(INDIRECT(ADDRESS(2,COLUMN())),OFFSET($BN$2,0,0,ROW()-1,60),ROW()-1,FALSE))</f>
        <v>103.93300000000001</v>
      </c>
      <c r="N98">
        <f ca="1">IF(AND(ISNUMBER($N$554),$B$419=1),$N$554,HLOOKUP(INDIRECT(ADDRESS(2,COLUMN())),OFFSET($BN$2,0,0,ROW()-1,60),ROW()-1,FALSE))</f>
        <v>125.755</v>
      </c>
      <c r="O98">
        <f ca="1">IF(AND(ISNUMBER($O$554),$B$419=1),$O$554,HLOOKUP(INDIRECT(ADDRESS(2,COLUMN())),OFFSET($BN$2,0,0,ROW()-1,60),ROW()-1,FALSE))</f>
        <v>-3.464</v>
      </c>
      <c r="P98">
        <f ca="1">IF(AND(ISNUMBER($P$554),$B$419=1),$P$554,HLOOKUP(INDIRECT(ADDRESS(2,COLUMN())),OFFSET($BN$2,0,0,ROW()-1,60),ROW()-1,FALSE))</f>
        <v>115.36499999999999</v>
      </c>
      <c r="Q98">
        <f ca="1">IF(AND(ISNUMBER($Q$554),$B$419=1),$Q$554,HLOOKUP(INDIRECT(ADDRESS(2,COLUMN())),OFFSET($BN$2,0,0,ROW()-1,60),ROW()-1,FALSE))</f>
        <v>133.399</v>
      </c>
      <c r="R98">
        <f ca="1">IF(AND(ISNUMBER($R$554),$B$419=1),$R$554,HLOOKUP(INDIRECT(ADDRESS(2,COLUMN())),OFFSET($BN$2,0,0,ROW()-1,60),ROW()-1,FALSE))</f>
        <v>118.32899999999999</v>
      </c>
      <c r="S98">
        <f ca="1">IF(AND(ISNUMBER($S$554),$B$419=1),$S$554,HLOOKUP(INDIRECT(ADDRESS(2,COLUMN())),OFFSET($BN$2,0,0,ROW()-1,60),ROW()-1,FALSE))</f>
        <v>108.96</v>
      </c>
      <c r="T98">
        <f ca="1">IF(AND(ISNUMBER($T$554),$B$419=1),$T$554,HLOOKUP(INDIRECT(ADDRESS(2,COLUMN())),OFFSET($BN$2,0,0,ROW()-1,60),ROW()-1,FALSE))</f>
        <v>103.125</v>
      </c>
      <c r="U98">
        <f ca="1">IF(AND(ISNUMBER($U$554),$B$419=1),$U$554,HLOOKUP(INDIRECT(ADDRESS(2,COLUMN())),OFFSET($BN$2,0,0,ROW()-1,60),ROW()-1,FALSE))</f>
        <v>62.718000000000004</v>
      </c>
      <c r="V98">
        <f ca="1">IF(AND(ISNUMBER($V$554),$B$419=1),$V$554,HLOOKUP(INDIRECT(ADDRESS(2,COLUMN())),OFFSET($BN$2,0,0,ROW()-1,60),ROW()-1,FALSE))</f>
        <v>101.292</v>
      </c>
      <c r="W98" t="str">
        <f ca="1">IF(AND(ISNUMBER($W$554),$B$419=1),$W$554,HLOOKUP(INDIRECT(ADDRESS(2,COLUMN())),OFFSET($BN$2,0,0,ROW()-1,60),ROW()-1,FALSE))</f>
        <v/>
      </c>
      <c r="X98" t="str">
        <f ca="1">IF(AND(ISNUMBER($X$554),$B$419=1),$X$554,HLOOKUP(INDIRECT(ADDRESS(2,COLUMN())),OFFSET($BN$2,0,0,ROW()-1,60),ROW()-1,FALSE))</f>
        <v/>
      </c>
      <c r="Y98" t="str">
        <f ca="1">IF(AND(ISNUMBER($Y$554),$B$419=1),$Y$554,HLOOKUP(INDIRECT(ADDRESS(2,COLUMN())),OFFSET($BN$2,0,0,ROW()-1,60),ROW()-1,FALSE))</f>
        <v/>
      </c>
      <c r="Z98" t="str">
        <f ca="1">IF(AND(ISNUMBER($Z$554),$B$419=1),$Z$554,HLOOKUP(INDIRECT(ADDRESS(2,COLUMN())),OFFSET($BN$2,0,0,ROW()-1,60),ROW()-1,FALSE))</f>
        <v/>
      </c>
      <c r="AA98" t="str">
        <f ca="1">IF(AND(ISNUMBER($AA$554),$B$419=1),$AA$554,HLOOKUP(INDIRECT(ADDRESS(2,COLUMN())),OFFSET($BN$2,0,0,ROW()-1,60),ROW()-1,FALSE))</f>
        <v/>
      </c>
      <c r="AB98" t="str">
        <f ca="1">IF(AND(ISNUMBER($AB$554),$B$419=1),$AB$554,HLOOKUP(INDIRECT(ADDRESS(2,COLUMN())),OFFSET($BN$2,0,0,ROW()-1,60),ROW()-1,FALSE))</f>
        <v/>
      </c>
      <c r="AC98" t="str">
        <f ca="1">IF(AND(ISNUMBER($AC$554),$B$419=1),$AC$554,HLOOKUP(INDIRECT(ADDRESS(2,COLUMN())),OFFSET($BN$2,0,0,ROW()-1,60),ROW()-1,FALSE))</f>
        <v/>
      </c>
      <c r="AD98" t="str">
        <f ca="1">IF(AND(ISNUMBER($AD$554),$B$419=1),$AD$554,HLOOKUP(INDIRECT(ADDRESS(2,COLUMN())),OFFSET($BN$2,0,0,ROW()-1,60),ROW()-1,FALSE))</f>
        <v/>
      </c>
      <c r="AE98" t="str">
        <f ca="1">IF(AND(ISNUMBER($AE$554),$B$419=1),$AE$554,HLOOKUP(INDIRECT(ADDRESS(2,COLUMN())),OFFSET($BN$2,0,0,ROW()-1,60),ROW()-1,FALSE))</f>
        <v/>
      </c>
      <c r="AF98" t="str">
        <f ca="1">IF(AND(ISNUMBER($AF$554),$B$419=1),$AF$554,HLOOKUP(INDIRECT(ADDRESS(2,COLUMN())),OFFSET($BN$2,0,0,ROW()-1,60),ROW()-1,FALSE))</f>
        <v/>
      </c>
      <c r="AG98" t="str">
        <f ca="1">IF(AND(ISNUMBER($AG$554),$B$419=1),$AG$554,HLOOKUP(INDIRECT(ADDRESS(2,COLUMN())),OFFSET($BN$2,0,0,ROW()-1,60),ROW()-1,FALSE))</f>
        <v/>
      </c>
      <c r="AH98" t="str">
        <f ca="1">IF(AND(ISNUMBER($AH$554),$B$419=1),$AH$554,HLOOKUP(INDIRECT(ADDRESS(2,COLUMN())),OFFSET($BN$2,0,0,ROW()-1,60),ROW()-1,FALSE))</f>
        <v/>
      </c>
      <c r="AI98" t="str">
        <f ca="1">IF(AND(ISNUMBER($AI$554),$B$419=1),$AI$554,HLOOKUP(INDIRECT(ADDRESS(2,COLUMN())),OFFSET($BN$2,0,0,ROW()-1,60),ROW()-1,FALSE))</f>
        <v/>
      </c>
      <c r="AJ98" t="str">
        <f ca="1">IF(AND(ISNUMBER($AJ$554),$B$419=1),$AJ$554,HLOOKUP(INDIRECT(ADDRESS(2,COLUMN())),OFFSET($BN$2,0,0,ROW()-1,60),ROW()-1,FALSE))</f>
        <v/>
      </c>
      <c r="AK98" t="str">
        <f ca="1">IF(AND(ISNUMBER($AK$554),$B$419=1),$AK$554,HLOOKUP(INDIRECT(ADDRESS(2,COLUMN())),OFFSET($BN$2,0,0,ROW()-1,60),ROW()-1,FALSE))</f>
        <v/>
      </c>
      <c r="AL98" t="str">
        <f ca="1">IF(AND(ISNUMBER($AL$554),$B$419=1),$AL$554,HLOOKUP(INDIRECT(ADDRESS(2,COLUMN())),OFFSET($BN$2,0,0,ROW()-1,60),ROW()-1,FALSE))</f>
        <v/>
      </c>
      <c r="AM98" t="str">
        <f ca="1">IF(AND(ISNUMBER($AM$554),$B$419=1),$AM$554,HLOOKUP(INDIRECT(ADDRESS(2,COLUMN())),OFFSET($BN$2,0,0,ROW()-1,60),ROW()-1,FALSE))</f>
        <v/>
      </c>
      <c r="AN98" t="str">
        <f ca="1">IF(AND(ISNUMBER($AN$554),$B$419=1),$AN$554,HLOOKUP(INDIRECT(ADDRESS(2,COLUMN())),OFFSET($BN$2,0,0,ROW()-1,60),ROW()-1,FALSE))</f>
        <v/>
      </c>
      <c r="AO98" t="str">
        <f ca="1">IF(AND(ISNUMBER($AO$554),$B$419=1),$AO$554,HLOOKUP(INDIRECT(ADDRESS(2,COLUMN())),OFFSET($BN$2,0,0,ROW()-1,60),ROW()-1,FALSE))</f>
        <v/>
      </c>
      <c r="AP98" t="str">
        <f ca="1">IF(AND(ISNUMBER($AP$554),$B$419=1),$AP$554,HLOOKUP(INDIRECT(ADDRESS(2,COLUMN())),OFFSET($BN$2,0,0,ROW()-1,60),ROW()-1,FALSE))</f>
        <v/>
      </c>
      <c r="AQ98" t="str">
        <f ca="1">IF(AND(ISNUMBER($AQ$554),$B$419=1),$AQ$554,HLOOKUP(INDIRECT(ADDRESS(2,COLUMN())),OFFSET($BN$2,0,0,ROW()-1,60),ROW()-1,FALSE))</f>
        <v/>
      </c>
      <c r="AR98" t="str">
        <f ca="1">IF(AND(ISNUMBER($AR$554),$B$419=1),$AR$554,HLOOKUP(INDIRECT(ADDRESS(2,COLUMN())),OFFSET($BN$2,0,0,ROW()-1,60),ROW()-1,FALSE))</f>
        <v/>
      </c>
      <c r="AS98" t="str">
        <f ca="1">IF(AND(ISNUMBER($AS$554),$B$419=1),$AS$554,HLOOKUP(INDIRECT(ADDRESS(2,COLUMN())),OFFSET($BN$2,0,0,ROW()-1,60),ROW()-1,FALSE))</f>
        <v/>
      </c>
      <c r="AT98" t="str">
        <f ca="1">IF(AND(ISNUMBER($AT$554),$B$419=1),$AT$554,HLOOKUP(INDIRECT(ADDRESS(2,COLUMN())),OFFSET($BN$2,0,0,ROW()-1,60),ROW()-1,FALSE))</f>
        <v/>
      </c>
      <c r="AU98" t="str">
        <f ca="1">IF(AND(ISNUMBER($AU$554),$B$419=1),$AU$554,HLOOKUP(INDIRECT(ADDRESS(2,COLUMN())),OFFSET($BN$2,0,0,ROW()-1,60),ROW()-1,FALSE))</f>
        <v/>
      </c>
      <c r="AV98" t="str">
        <f ca="1">IF(AND(ISNUMBER($AV$554),$B$419=1),$AV$554,HLOOKUP(INDIRECT(ADDRESS(2,COLUMN())),OFFSET($BN$2,0,0,ROW()-1,60),ROW()-1,FALSE))</f>
        <v/>
      </c>
      <c r="AW98" t="str">
        <f ca="1">IF(AND(ISNUMBER($AW$554),$B$419=1),$AW$554,HLOOKUP(INDIRECT(ADDRESS(2,COLUMN())),OFFSET($BN$2,0,0,ROW()-1,60),ROW()-1,FALSE))</f>
        <v/>
      </c>
      <c r="AX98" t="str">
        <f ca="1">IF(AND(ISNUMBER($AX$554),$B$419=1),$AX$554,HLOOKUP(INDIRECT(ADDRESS(2,COLUMN())),OFFSET($BN$2,0,0,ROW()-1,60),ROW()-1,FALSE))</f>
        <v/>
      </c>
      <c r="AY98" t="str">
        <f ca="1">IF(AND(ISNUMBER($AY$554),$B$419=1),$AY$554,HLOOKUP(INDIRECT(ADDRESS(2,COLUMN())),OFFSET($BN$2,0,0,ROW()-1,60),ROW()-1,FALSE))</f>
        <v/>
      </c>
      <c r="AZ98" t="str">
        <f ca="1">IF(AND(ISNUMBER($AZ$554),$B$419=1),$AZ$554,HLOOKUP(INDIRECT(ADDRESS(2,COLUMN())),OFFSET($BN$2,0,0,ROW()-1,60),ROW()-1,FALSE))</f>
        <v/>
      </c>
      <c r="BA98" t="str">
        <f ca="1">IF(AND(ISNUMBER($BA$554),$B$419=1),$BA$554,HLOOKUP(INDIRECT(ADDRESS(2,COLUMN())),OFFSET($BN$2,0,0,ROW()-1,60),ROW()-1,FALSE))</f>
        <v/>
      </c>
      <c r="BB98" t="str">
        <f ca="1">IF(AND(ISNUMBER($BB$554),$B$419=1),$BB$554,HLOOKUP(INDIRECT(ADDRESS(2,COLUMN())),OFFSET($BN$2,0,0,ROW()-1,60),ROW()-1,FALSE))</f>
        <v/>
      </c>
      <c r="BC98" t="str">
        <f ca="1">IF(AND(ISNUMBER($BC$554),$B$419=1),$BC$554,HLOOKUP(INDIRECT(ADDRESS(2,COLUMN())),OFFSET($BN$2,0,0,ROW()-1,60),ROW()-1,FALSE))</f>
        <v/>
      </c>
      <c r="BD98" t="str">
        <f ca="1">IF(AND(ISNUMBER($BD$554),$B$419=1),$BD$554,HLOOKUP(INDIRECT(ADDRESS(2,COLUMN())),OFFSET($BN$2,0,0,ROW()-1,60),ROW()-1,FALSE))</f>
        <v/>
      </c>
      <c r="BE98" t="str">
        <f ca="1">IF(AND(ISNUMBER($BE$554),$B$419=1),$BE$554,HLOOKUP(INDIRECT(ADDRESS(2,COLUMN())),OFFSET($BN$2,0,0,ROW()-1,60),ROW()-1,FALSE))</f>
        <v/>
      </c>
      <c r="BF98" t="str">
        <f ca="1">IF(AND(ISNUMBER($BF$554),$B$419=1),$BF$554,HLOOKUP(INDIRECT(ADDRESS(2,COLUMN())),OFFSET($BN$2,0,0,ROW()-1,60),ROW()-1,FALSE))</f>
        <v/>
      </c>
      <c r="BG98" t="str">
        <f ca="1">IF(AND(ISNUMBER($BG$554),$B$419=1),$BG$554,HLOOKUP(INDIRECT(ADDRESS(2,COLUMN())),OFFSET($BN$2,0,0,ROW()-1,60),ROW()-1,FALSE))</f>
        <v/>
      </c>
      <c r="BH98" t="str">
        <f ca="1">IF(AND(ISNUMBER($BH$554),$B$419=1),$BH$554,HLOOKUP(INDIRECT(ADDRESS(2,COLUMN())),OFFSET($BN$2,0,0,ROW()-1,60),ROW()-1,FALSE))</f>
        <v/>
      </c>
      <c r="BI98" t="str">
        <f ca="1">IF(AND(ISNUMBER($BI$554),$B$419=1),$BI$554,HLOOKUP(INDIRECT(ADDRESS(2,COLUMN())),OFFSET($BN$2,0,0,ROW()-1,60),ROW()-1,FALSE))</f>
        <v/>
      </c>
      <c r="BJ98" t="str">
        <f ca="1">IF(AND(ISNUMBER($BJ$554),$B$419=1),$BJ$554,HLOOKUP(INDIRECT(ADDRESS(2,COLUMN())),OFFSET($BN$2,0,0,ROW()-1,60),ROW()-1,FALSE))</f>
        <v/>
      </c>
      <c r="BK98" t="str">
        <f ca="1">IF(AND(ISNUMBER($BK$554),$B$419=1),$BK$554,HLOOKUP(INDIRECT(ADDRESS(2,COLUMN())),OFFSET($BN$2,0,0,ROW()-1,60),ROW()-1,FALSE))</f>
        <v/>
      </c>
      <c r="BL98" t="str">
        <f ca="1">IF(AND(ISNUMBER($BL$554),$B$419=1),$BL$554,HLOOKUP(INDIRECT(ADDRESS(2,COLUMN())),OFFSET($BN$2,0,0,ROW()-1,60),ROW()-1,FALSE))</f>
        <v/>
      </c>
      <c r="BM98" t="str">
        <f ca="1">IF(AND(ISNUMBER($BM$554),$B$419=1),$BM$554,HLOOKUP(INDIRECT(ADDRESS(2,COLUMN())),OFFSET($BN$2,0,0,ROW()-1,60),ROW()-1,FALSE))</f>
        <v/>
      </c>
      <c r="BN98" t="str">
        <f>""</f>
        <v/>
      </c>
      <c r="BO98">
        <f>82.039</f>
        <v>82.039000000000001</v>
      </c>
      <c r="BP98">
        <f>91.391</f>
        <v>91.391000000000005</v>
      </c>
      <c r="BQ98">
        <f>115.759</f>
        <v>115.759</v>
      </c>
      <c r="BR98">
        <f>116.525</f>
        <v>116.52500000000001</v>
      </c>
      <c r="BS98">
        <f>134.063</f>
        <v>134.06299999999999</v>
      </c>
      <c r="BT98">
        <f>106.874</f>
        <v>106.874</v>
      </c>
      <c r="BU98">
        <f>103.933</f>
        <v>103.93300000000001</v>
      </c>
      <c r="BV98">
        <f>125.755</f>
        <v>125.755</v>
      </c>
      <c r="BW98">
        <f>-3.464</f>
        <v>-3.464</v>
      </c>
      <c r="BX98">
        <f>115.365</f>
        <v>115.36499999999999</v>
      </c>
      <c r="BY98">
        <f>133.399</f>
        <v>133.399</v>
      </c>
      <c r="BZ98">
        <f>118.329</f>
        <v>118.32899999999999</v>
      </c>
      <c r="CA98">
        <f>108.96</f>
        <v>108.96</v>
      </c>
      <c r="CB98">
        <f>103.125</f>
        <v>103.125</v>
      </c>
      <c r="CC98">
        <f>62.718</f>
        <v>62.718000000000004</v>
      </c>
      <c r="CD98">
        <f>101.292</f>
        <v>101.292</v>
      </c>
      <c r="CE98" t="str">
        <f>""</f>
        <v/>
      </c>
      <c r="CF98" t="str">
        <f>""</f>
        <v/>
      </c>
      <c r="CG98" t="str">
        <f>""</f>
        <v/>
      </c>
      <c r="CH98" t="str">
        <f>""</f>
        <v/>
      </c>
      <c r="CI98" t="str">
        <f>""</f>
        <v/>
      </c>
      <c r="CJ98" t="str">
        <f>""</f>
        <v/>
      </c>
      <c r="CK98" t="str">
        <f>""</f>
        <v/>
      </c>
      <c r="CL98" t="str">
        <f>""</f>
        <v/>
      </c>
      <c r="CM98" t="str">
        <f>""</f>
        <v/>
      </c>
      <c r="CN98" t="str">
        <f>""</f>
        <v/>
      </c>
      <c r="CO98" t="str">
        <f>""</f>
        <v/>
      </c>
      <c r="CP98" t="str">
        <f>""</f>
        <v/>
      </c>
      <c r="CQ98" t="str">
        <f>""</f>
        <v/>
      </c>
      <c r="CR98" t="str">
        <f>""</f>
        <v/>
      </c>
      <c r="CS98" t="str">
        <f>""</f>
        <v/>
      </c>
      <c r="CT98" t="str">
        <f>""</f>
        <v/>
      </c>
      <c r="CU98" t="str">
        <f>""</f>
        <v/>
      </c>
      <c r="CV98" t="str">
        <f>""</f>
        <v/>
      </c>
      <c r="CW98" t="str">
        <f>""</f>
        <v/>
      </c>
      <c r="CX98" t="str">
        <f>""</f>
        <v/>
      </c>
      <c r="CY98" t="str">
        <f>""</f>
        <v/>
      </c>
      <c r="CZ98" t="str">
        <f>""</f>
        <v/>
      </c>
      <c r="DA98" t="str">
        <f>""</f>
        <v/>
      </c>
      <c r="DB98" t="str">
        <f>""</f>
        <v/>
      </c>
      <c r="DC98" t="str">
        <f>""</f>
        <v/>
      </c>
      <c r="DD98" t="str">
        <f>""</f>
        <v/>
      </c>
      <c r="DE98" t="str">
        <f>""</f>
        <v/>
      </c>
      <c r="DF98" t="str">
        <f>""</f>
        <v/>
      </c>
      <c r="DG98" t="str">
        <f>""</f>
        <v/>
      </c>
      <c r="DH98" t="str">
        <f>""</f>
        <v/>
      </c>
      <c r="DI98" t="str">
        <f>""</f>
        <v/>
      </c>
      <c r="DJ98" t="str">
        <f>""</f>
        <v/>
      </c>
      <c r="DK98" t="str">
        <f>""</f>
        <v/>
      </c>
      <c r="DL98" t="str">
        <f>""</f>
        <v/>
      </c>
      <c r="DM98" t="str">
        <f>""</f>
        <v/>
      </c>
      <c r="DN98" t="str">
        <f>""</f>
        <v/>
      </c>
      <c r="DO98" t="str">
        <f>""</f>
        <v/>
      </c>
      <c r="DP98" t="str">
        <f>""</f>
        <v/>
      </c>
      <c r="DQ98" t="str">
        <f>""</f>
        <v/>
      </c>
      <c r="DR98" t="str">
        <f>""</f>
        <v/>
      </c>
      <c r="DS98" t="str">
        <f>""</f>
        <v/>
      </c>
      <c r="DT98" t="str">
        <f>""</f>
        <v/>
      </c>
      <c r="DU98" t="str">
        <f>""</f>
        <v/>
      </c>
    </row>
    <row r="99" spans="1:125">
      <c r="A99" t="str">
        <f>"    Weingarten Realty Investors"</f>
        <v xml:space="preserve">    Weingarten Realty Investors</v>
      </c>
      <c r="B99" t="str">
        <f>"WRI US Equity"</f>
        <v>WRI US Equity</v>
      </c>
      <c r="C99" t="str">
        <f t="shared" si="15"/>
        <v>RR009</v>
      </c>
      <c r="D99" t="str">
        <f t="shared" si="16"/>
        <v>EBITDA</v>
      </c>
      <c r="E99" t="str">
        <f t="shared" si="17"/>
        <v>动态</v>
      </c>
      <c r="F99" t="str">
        <f ca="1">IF(AND(ISNUMBER($F$555),$B$419=1),$F$555,HLOOKUP(INDIRECT(ADDRESS(2,COLUMN())),OFFSET($BN$2,0,0,ROW()-1,60),ROW()-1,FALSE))</f>
        <v/>
      </c>
      <c r="G99">
        <f ca="1">IF(AND(ISNUMBER($G$555),$B$419=1),$G$555,HLOOKUP(INDIRECT(ADDRESS(2,COLUMN())),OFFSET($BN$2,0,0,ROW()-1,60),ROW()-1,FALSE))</f>
        <v>88.034999999999997</v>
      </c>
      <c r="H99">
        <f ca="1">IF(AND(ISNUMBER($H$555),$B$419=1),$H$555,HLOOKUP(INDIRECT(ADDRESS(2,COLUMN())),OFFSET($BN$2,0,0,ROW()-1,60),ROW()-1,FALSE))</f>
        <v>91.126000000000005</v>
      </c>
      <c r="I99">
        <f ca="1">IF(AND(ISNUMBER($I$555),$B$419=1),$I$555,HLOOKUP(INDIRECT(ADDRESS(2,COLUMN())),OFFSET($BN$2,0,0,ROW()-1,60),ROW()-1,FALSE))</f>
        <v>91.63</v>
      </c>
      <c r="J99">
        <f ca="1">IF(AND(ISNUMBER($J$555),$B$419=1),$J$555,HLOOKUP(INDIRECT(ADDRESS(2,COLUMN())),OFFSET($BN$2,0,0,ROW()-1,60),ROW()-1,FALSE))</f>
        <v>73.733999999999995</v>
      </c>
      <c r="K99">
        <f ca="1">IF(AND(ISNUMBER($K$555),$B$419=1),$K$555,HLOOKUP(INDIRECT(ADDRESS(2,COLUMN())),OFFSET($BN$2,0,0,ROW()-1,60),ROW()-1,FALSE))</f>
        <v>93.506</v>
      </c>
      <c r="L99">
        <f ca="1">IF(AND(ISNUMBER($L$555),$B$419=1),$L$555,HLOOKUP(INDIRECT(ADDRESS(2,COLUMN())),OFFSET($BN$2,0,0,ROW()-1,60),ROW()-1,FALSE))</f>
        <v>89.584999999999994</v>
      </c>
      <c r="M99">
        <f ca="1">IF(AND(ISNUMBER($M$555),$B$419=1),$M$555,HLOOKUP(INDIRECT(ADDRESS(2,COLUMN())),OFFSET($BN$2,0,0,ROW()-1,60),ROW()-1,FALSE))</f>
        <v>87.403999999999996</v>
      </c>
      <c r="N99">
        <f ca="1">IF(AND(ISNUMBER($N$555),$B$419=1),$N$555,HLOOKUP(INDIRECT(ADDRESS(2,COLUMN())),OFFSET($BN$2,0,0,ROW()-1,60),ROW()-1,FALSE))</f>
        <v>86.483000000000004</v>
      </c>
      <c r="O99">
        <f ca="1">IF(AND(ISNUMBER($O$555),$B$419=1),$O$555,HLOOKUP(INDIRECT(ADDRESS(2,COLUMN())),OFFSET($BN$2,0,0,ROW()-1,60),ROW()-1,FALSE))</f>
        <v>82.588999999999999</v>
      </c>
      <c r="P99">
        <f ca="1">IF(AND(ISNUMBER($P$555),$B$419=1),$P$555,HLOOKUP(INDIRECT(ADDRESS(2,COLUMN())),OFFSET($BN$2,0,0,ROW()-1,60),ROW()-1,FALSE))</f>
        <v>84.537999999999997</v>
      </c>
      <c r="Q99">
        <f ca="1">IF(AND(ISNUMBER($Q$555),$B$419=1),$Q$555,HLOOKUP(INDIRECT(ADDRESS(2,COLUMN())),OFFSET($BN$2,0,0,ROW()-1,60),ROW()-1,FALSE))</f>
        <v>82.492000000000004</v>
      </c>
      <c r="R99">
        <f ca="1">IF(AND(ISNUMBER($R$555),$B$419=1),$R$555,HLOOKUP(INDIRECT(ADDRESS(2,COLUMN())),OFFSET($BN$2,0,0,ROW()-1,60),ROW()-1,FALSE))</f>
        <v>81.015000000000001</v>
      </c>
      <c r="S99">
        <f ca="1">IF(AND(ISNUMBER($S$555),$B$419=1),$S$555,HLOOKUP(INDIRECT(ADDRESS(2,COLUMN())),OFFSET($BN$2,0,0,ROW()-1,60),ROW()-1,FALSE))</f>
        <v>80.376999999999995</v>
      </c>
      <c r="T99">
        <f ca="1">IF(AND(ISNUMBER($T$555),$B$419=1),$T$555,HLOOKUP(INDIRECT(ADDRESS(2,COLUMN())),OFFSET($BN$2,0,0,ROW()-1,60),ROW()-1,FALSE))</f>
        <v>85.509</v>
      </c>
      <c r="U99">
        <f ca="1">IF(AND(ISNUMBER($U$555),$B$419=1),$U$555,HLOOKUP(INDIRECT(ADDRESS(2,COLUMN())),OFFSET($BN$2,0,0,ROW()-1,60),ROW()-1,FALSE))</f>
        <v>84.093000000000004</v>
      </c>
      <c r="V99">
        <f ca="1">IF(AND(ISNUMBER($V$555),$B$419=1),$V$555,HLOOKUP(INDIRECT(ADDRESS(2,COLUMN())),OFFSET($BN$2,0,0,ROW()-1,60),ROW()-1,FALSE))</f>
        <v>82.674999999999997</v>
      </c>
      <c r="W99">
        <f ca="1">IF(AND(ISNUMBER($W$555),$B$419=1),$W$555,HLOOKUP(INDIRECT(ADDRESS(2,COLUMN())),OFFSET($BN$2,0,0,ROW()-1,60),ROW()-1,FALSE))</f>
        <v>80.281000000000006</v>
      </c>
      <c r="X99">
        <f ca="1">IF(AND(ISNUMBER($X$555),$B$419=1),$X$555,HLOOKUP(INDIRECT(ADDRESS(2,COLUMN())),OFFSET($BN$2,0,0,ROW()-1,60),ROW()-1,FALSE))</f>
        <v>78.093999999999994</v>
      </c>
      <c r="Y99">
        <f ca="1">IF(AND(ISNUMBER($Y$555),$B$419=1),$Y$555,HLOOKUP(INDIRECT(ADDRESS(2,COLUMN())),OFFSET($BN$2,0,0,ROW()-1,60),ROW()-1,FALSE))</f>
        <v>81.135000000000005</v>
      </c>
      <c r="Z99">
        <f ca="1">IF(AND(ISNUMBER($Z$555),$B$419=1),$Z$555,HLOOKUP(INDIRECT(ADDRESS(2,COLUMN())),OFFSET($BN$2,0,0,ROW()-1,60),ROW()-1,FALSE))</f>
        <v>78.022999999999996</v>
      </c>
      <c r="AA99">
        <f ca="1">IF(AND(ISNUMBER($AA$555),$B$419=1),$AA$555,HLOOKUP(INDIRECT(ADDRESS(2,COLUMN())),OFFSET($BN$2,0,0,ROW()-1,60),ROW()-1,FALSE))</f>
        <v>79.025000000000006</v>
      </c>
      <c r="AB99">
        <f ca="1">IF(AND(ISNUMBER($AB$555),$B$419=1),$AB$555,HLOOKUP(INDIRECT(ADDRESS(2,COLUMN())),OFFSET($BN$2,0,0,ROW()-1,60),ROW()-1,FALSE))</f>
        <v>78.364999999999995</v>
      </c>
      <c r="AC99">
        <f ca="1">IF(AND(ISNUMBER($AC$555),$B$419=1),$AC$555,HLOOKUP(INDIRECT(ADDRESS(2,COLUMN())),OFFSET($BN$2,0,0,ROW()-1,60),ROW()-1,FALSE))</f>
        <v>74.844999999999999</v>
      </c>
      <c r="AD99">
        <f ca="1">IF(AND(ISNUMBER($AD$555),$B$419=1),$AD$555,HLOOKUP(INDIRECT(ADDRESS(2,COLUMN())),OFFSET($BN$2,0,0,ROW()-1,60),ROW()-1,FALSE))</f>
        <v>73.033000000000001</v>
      </c>
      <c r="AE99">
        <f ca="1">IF(AND(ISNUMBER($AE$555),$B$419=1),$AE$555,HLOOKUP(INDIRECT(ADDRESS(2,COLUMN())),OFFSET($BN$2,0,0,ROW()-1,60),ROW()-1,FALSE))</f>
        <v>78.873000000000005</v>
      </c>
      <c r="AF99">
        <f ca="1">IF(AND(ISNUMBER($AF$555),$B$419=1),$AF$555,HLOOKUP(INDIRECT(ADDRESS(2,COLUMN())),OFFSET($BN$2,0,0,ROW()-1,60),ROW()-1,FALSE))</f>
        <v>55.081000000000003</v>
      </c>
      <c r="AG99">
        <f ca="1">IF(AND(ISNUMBER($AG$555),$B$419=1),$AG$555,HLOOKUP(INDIRECT(ADDRESS(2,COLUMN())),OFFSET($BN$2,0,0,ROW()-1,60),ROW()-1,FALSE))</f>
        <v>66.808000000000007</v>
      </c>
      <c r="AH99">
        <f ca="1">IF(AND(ISNUMBER($AH$555),$B$419=1),$AH$555,HLOOKUP(INDIRECT(ADDRESS(2,COLUMN())),OFFSET($BN$2,0,0,ROW()-1,60),ROW()-1,FALSE))</f>
        <v>80.787999999999997</v>
      </c>
      <c r="AI99">
        <f ca="1">IF(AND(ISNUMBER($AI$555),$B$419=1),$AI$555,HLOOKUP(INDIRECT(ADDRESS(2,COLUMN())),OFFSET($BN$2,0,0,ROW()-1,60),ROW()-1,FALSE))</f>
        <v>75.132999999999996</v>
      </c>
      <c r="AJ99">
        <f ca="1">IF(AND(ISNUMBER($AJ$555),$B$419=1),$AJ$555,HLOOKUP(INDIRECT(ADDRESS(2,COLUMN())),OFFSET($BN$2,0,0,ROW()-1,60),ROW()-1,FALSE))</f>
        <v>84.656000000000006</v>
      </c>
      <c r="AK99">
        <f ca="1">IF(AND(ISNUMBER($AK$555),$B$419=1),$AK$555,HLOOKUP(INDIRECT(ADDRESS(2,COLUMN())),OFFSET($BN$2,0,0,ROW()-1,60),ROW()-1,FALSE))</f>
        <v>74.409000000000006</v>
      </c>
      <c r="AL99">
        <f ca="1">IF(AND(ISNUMBER($AL$555),$B$419=1),$AL$555,HLOOKUP(INDIRECT(ADDRESS(2,COLUMN())),OFFSET($BN$2,0,0,ROW()-1,60),ROW()-1,FALSE))</f>
        <v>87.39</v>
      </c>
      <c r="AM99">
        <f ca="1">IF(AND(ISNUMBER($AM$555),$B$419=1),$AM$555,HLOOKUP(INDIRECT(ADDRESS(2,COLUMN())),OFFSET($BN$2,0,0,ROW()-1,60),ROW()-1,FALSE))</f>
        <v>89.608000000000004</v>
      </c>
      <c r="AN99">
        <f ca="1">IF(AND(ISNUMBER($AN$555),$B$419=1),$AN$555,HLOOKUP(INDIRECT(ADDRESS(2,COLUMN())),OFFSET($BN$2,0,0,ROW()-1,60),ROW()-1,FALSE))</f>
        <v>61.6</v>
      </c>
      <c r="AO99">
        <f ca="1">IF(AND(ISNUMBER($AO$555),$B$419=1),$AO$555,HLOOKUP(INDIRECT(ADDRESS(2,COLUMN())),OFFSET($BN$2,0,0,ROW()-1,60),ROW()-1,FALSE))</f>
        <v>91.569000000000003</v>
      </c>
      <c r="AP99">
        <f ca="1">IF(AND(ISNUMBER($AP$555),$B$419=1),$AP$555,HLOOKUP(INDIRECT(ADDRESS(2,COLUMN())),OFFSET($BN$2,0,0,ROW()-1,60),ROW()-1,FALSE))</f>
        <v>98.734999999999999</v>
      </c>
      <c r="AQ99">
        <f ca="1">IF(AND(ISNUMBER($AQ$555),$B$419=1),$AQ$555,HLOOKUP(INDIRECT(ADDRESS(2,COLUMN())),OFFSET($BN$2,0,0,ROW()-1,60),ROW()-1,FALSE))</f>
        <v>87.430999999999997</v>
      </c>
      <c r="AR99">
        <f ca="1">IF(AND(ISNUMBER($AR$555),$B$419=1),$AR$555,HLOOKUP(INDIRECT(ADDRESS(2,COLUMN())),OFFSET($BN$2,0,0,ROW()-1,60),ROW()-1,FALSE))</f>
        <v>103.384</v>
      </c>
      <c r="AS99">
        <f ca="1">IF(AND(ISNUMBER($AS$555),$B$419=1),$AS$555,HLOOKUP(INDIRECT(ADDRESS(2,COLUMN())),OFFSET($BN$2,0,0,ROW()-1,60),ROW()-1,FALSE))</f>
        <v>102.643</v>
      </c>
      <c r="AT99">
        <f ca="1">IF(AND(ISNUMBER($AT$555),$B$419=1),$AT$555,HLOOKUP(INDIRECT(ADDRESS(2,COLUMN())),OFFSET($BN$2,0,0,ROW()-1,60),ROW()-1,FALSE))</f>
        <v>101.69499999999999</v>
      </c>
      <c r="AU99">
        <f ca="1">IF(AND(ISNUMBER($AU$555),$B$419=1),$AU$555,HLOOKUP(INDIRECT(ADDRESS(2,COLUMN())),OFFSET($BN$2,0,0,ROW()-1,60),ROW()-1,FALSE))</f>
        <v>99.661000000000001</v>
      </c>
      <c r="AV99">
        <f ca="1">IF(AND(ISNUMBER($AV$555),$B$419=1),$AV$555,HLOOKUP(INDIRECT(ADDRESS(2,COLUMN())),OFFSET($BN$2,0,0,ROW()-1,60),ROW()-1,FALSE))</f>
        <v>100.44799999999999</v>
      </c>
      <c r="AW99">
        <f ca="1">IF(AND(ISNUMBER($AW$555),$B$419=1),$AW$555,HLOOKUP(INDIRECT(ADDRESS(2,COLUMN())),OFFSET($BN$2,0,0,ROW()-1,60),ROW()-1,FALSE))</f>
        <v>96.513999999999996</v>
      </c>
      <c r="AX99">
        <f ca="1">IF(AND(ISNUMBER($AX$555),$B$419=1),$AX$555,HLOOKUP(INDIRECT(ADDRESS(2,COLUMN())),OFFSET($BN$2,0,0,ROW()-1,60),ROW()-1,FALSE))</f>
        <v>100.264</v>
      </c>
      <c r="AY99">
        <f ca="1">IF(AND(ISNUMBER($AY$555),$B$419=1),$AY$555,HLOOKUP(INDIRECT(ADDRESS(2,COLUMN())),OFFSET($BN$2,0,0,ROW()-1,60),ROW()-1,FALSE))</f>
        <v>99.209000000000003</v>
      </c>
      <c r="AZ99">
        <f ca="1">IF(AND(ISNUMBER($AZ$555),$B$419=1),$AZ$555,HLOOKUP(INDIRECT(ADDRESS(2,COLUMN())),OFFSET($BN$2,0,0,ROW()-1,60),ROW()-1,FALSE))</f>
        <v>93.605000000000004</v>
      </c>
      <c r="BA99">
        <f ca="1">IF(AND(ISNUMBER($BA$555),$B$419=1),$BA$555,HLOOKUP(INDIRECT(ADDRESS(2,COLUMN())),OFFSET($BN$2,0,0,ROW()-1,60),ROW()-1,FALSE))</f>
        <v>93.531999999999996</v>
      </c>
      <c r="BB99">
        <f ca="1">IF(AND(ISNUMBER($BB$555),$B$419=1),$BB$555,HLOOKUP(INDIRECT(ADDRESS(2,COLUMN())),OFFSET($BN$2,0,0,ROW()-1,60),ROW()-1,FALSE))</f>
        <v>96.084000000000003</v>
      </c>
      <c r="BC99">
        <f ca="1">IF(AND(ISNUMBER($BC$555),$B$419=1),$BC$555,HLOOKUP(INDIRECT(ADDRESS(2,COLUMN())),OFFSET($BN$2,0,0,ROW()-1,60),ROW()-1,FALSE))</f>
        <v>89.944999999999993</v>
      </c>
      <c r="BD99">
        <f ca="1">IF(AND(ISNUMBER($BD$555),$B$419=1),$BD$555,HLOOKUP(INDIRECT(ADDRESS(2,COLUMN())),OFFSET($BN$2,0,0,ROW()-1,60),ROW()-1,FALSE))</f>
        <v>94.513999999999996</v>
      </c>
      <c r="BE99">
        <f ca="1">IF(AND(ISNUMBER($BE$555),$B$419=1),$BE$555,HLOOKUP(INDIRECT(ADDRESS(2,COLUMN())),OFFSET($BN$2,0,0,ROW()-1,60),ROW()-1,FALSE))</f>
        <v>94.959000000000003</v>
      </c>
      <c r="BF99">
        <f ca="1">IF(AND(ISNUMBER($BF$555),$B$419=1),$BF$555,HLOOKUP(INDIRECT(ADDRESS(2,COLUMN())),OFFSET($BN$2,0,0,ROW()-1,60),ROW()-1,FALSE))</f>
        <v>92.429000000000002</v>
      </c>
      <c r="BG99">
        <f ca="1">IF(AND(ISNUMBER($BG$555),$B$419=1),$BG$555,HLOOKUP(INDIRECT(ADDRESS(2,COLUMN())),OFFSET($BN$2,0,0,ROW()-1,60),ROW()-1,FALSE))</f>
        <v>93.501000000000005</v>
      </c>
      <c r="BH99">
        <f ca="1">IF(AND(ISNUMBER($BH$555),$B$419=1),$BH$555,HLOOKUP(INDIRECT(ADDRESS(2,COLUMN())),OFFSET($BN$2,0,0,ROW()-1,60),ROW()-1,FALSE))</f>
        <v>89.19</v>
      </c>
      <c r="BI99">
        <f ca="1">IF(AND(ISNUMBER($BI$555),$B$419=1),$BI$555,HLOOKUP(INDIRECT(ADDRESS(2,COLUMN())),OFFSET($BN$2,0,0,ROW()-1,60),ROW()-1,FALSE))</f>
        <v>85.184999469999994</v>
      </c>
      <c r="BJ99">
        <f ca="1">IF(AND(ISNUMBER($BJ$555),$B$419=1),$BJ$555,HLOOKUP(INDIRECT(ADDRESS(2,COLUMN())),OFFSET($BN$2,0,0,ROW()-1,60),ROW()-1,FALSE))</f>
        <v>81.216999000000001</v>
      </c>
      <c r="BK99">
        <f ca="1">IF(AND(ISNUMBER($BK$555),$B$419=1),$BK$555,HLOOKUP(INDIRECT(ADDRESS(2,COLUMN())),OFFSET($BN$2,0,0,ROW()-1,60),ROW()-1,FALSE))</f>
        <v>76.935001999999997</v>
      </c>
      <c r="BL99">
        <f ca="1">IF(AND(ISNUMBER($BL$555),$B$419=1),$BL$555,HLOOKUP(INDIRECT(ADDRESS(2,COLUMN())),OFFSET($BN$2,0,0,ROW()-1,60),ROW()-1,FALSE))</f>
        <v>73.917998999999995</v>
      </c>
      <c r="BM99">
        <f ca="1">IF(AND(ISNUMBER($BM$555),$B$419=1),$BM$555,HLOOKUP(INDIRECT(ADDRESS(2,COLUMN())),OFFSET($BN$2,0,0,ROW()-1,60),ROW()-1,FALSE))</f>
        <v>71.542998999999995</v>
      </c>
      <c r="BN99" t="str">
        <f>""</f>
        <v/>
      </c>
      <c r="BO99">
        <f>88.035</f>
        <v>88.034999999999997</v>
      </c>
      <c r="BP99">
        <f>91.126</f>
        <v>91.126000000000005</v>
      </c>
      <c r="BQ99">
        <f>91.63</f>
        <v>91.63</v>
      </c>
      <c r="BR99">
        <f>73.734</f>
        <v>73.733999999999995</v>
      </c>
      <c r="BS99">
        <f>93.506</f>
        <v>93.506</v>
      </c>
      <c r="BT99">
        <f>89.585</f>
        <v>89.584999999999994</v>
      </c>
      <c r="BU99">
        <f>87.404</f>
        <v>87.403999999999996</v>
      </c>
      <c r="BV99">
        <f>86.483</f>
        <v>86.483000000000004</v>
      </c>
      <c r="BW99">
        <f>82.589</f>
        <v>82.588999999999999</v>
      </c>
      <c r="BX99">
        <f>84.538</f>
        <v>84.537999999999997</v>
      </c>
      <c r="BY99">
        <f>82.492</f>
        <v>82.492000000000004</v>
      </c>
      <c r="BZ99">
        <f>81.015</f>
        <v>81.015000000000001</v>
      </c>
      <c r="CA99">
        <f>80.377</f>
        <v>80.376999999999995</v>
      </c>
      <c r="CB99">
        <f>85.509</f>
        <v>85.509</v>
      </c>
      <c r="CC99">
        <f>84.093</f>
        <v>84.093000000000004</v>
      </c>
      <c r="CD99">
        <f>82.675</f>
        <v>82.674999999999997</v>
      </c>
      <c r="CE99">
        <f>80.281</f>
        <v>80.281000000000006</v>
      </c>
      <c r="CF99">
        <f>78.094</f>
        <v>78.093999999999994</v>
      </c>
      <c r="CG99">
        <f>81.135</f>
        <v>81.135000000000005</v>
      </c>
      <c r="CH99">
        <f>78.023</f>
        <v>78.022999999999996</v>
      </c>
      <c r="CI99">
        <f>79.025</f>
        <v>79.025000000000006</v>
      </c>
      <c r="CJ99">
        <f>78.365</f>
        <v>78.364999999999995</v>
      </c>
      <c r="CK99">
        <f>74.845</f>
        <v>74.844999999999999</v>
      </c>
      <c r="CL99">
        <f>73.033</f>
        <v>73.033000000000001</v>
      </c>
      <c r="CM99">
        <f>78.873</f>
        <v>78.873000000000005</v>
      </c>
      <c r="CN99">
        <f>55.081</f>
        <v>55.081000000000003</v>
      </c>
      <c r="CO99">
        <f>66.808</f>
        <v>66.808000000000007</v>
      </c>
      <c r="CP99">
        <f>80.788</f>
        <v>80.787999999999997</v>
      </c>
      <c r="CQ99">
        <f>75.133</f>
        <v>75.132999999999996</v>
      </c>
      <c r="CR99">
        <f>84.656</f>
        <v>84.656000000000006</v>
      </c>
      <c r="CS99">
        <f>74.409</f>
        <v>74.409000000000006</v>
      </c>
      <c r="CT99">
        <f>87.39</f>
        <v>87.39</v>
      </c>
      <c r="CU99">
        <f>89.608</f>
        <v>89.608000000000004</v>
      </c>
      <c r="CV99">
        <f>61.6</f>
        <v>61.6</v>
      </c>
      <c r="CW99">
        <f>91.569</f>
        <v>91.569000000000003</v>
      </c>
      <c r="CX99">
        <f>98.735</f>
        <v>98.734999999999999</v>
      </c>
      <c r="CY99">
        <f>87.431</f>
        <v>87.430999999999997</v>
      </c>
      <c r="CZ99">
        <f>103.384</f>
        <v>103.384</v>
      </c>
      <c r="DA99">
        <f>102.643</f>
        <v>102.643</v>
      </c>
      <c r="DB99">
        <f>101.695</f>
        <v>101.69499999999999</v>
      </c>
      <c r="DC99">
        <f>99.661</f>
        <v>99.661000000000001</v>
      </c>
      <c r="DD99">
        <f>100.448</f>
        <v>100.44799999999999</v>
      </c>
      <c r="DE99">
        <f>96.514</f>
        <v>96.513999999999996</v>
      </c>
      <c r="DF99">
        <f>100.264</f>
        <v>100.264</v>
      </c>
      <c r="DG99">
        <f>99.209</f>
        <v>99.209000000000003</v>
      </c>
      <c r="DH99">
        <f>93.605</f>
        <v>93.605000000000004</v>
      </c>
      <c r="DI99">
        <f>93.532</f>
        <v>93.531999999999996</v>
      </c>
      <c r="DJ99">
        <f>96.084</f>
        <v>96.084000000000003</v>
      </c>
      <c r="DK99">
        <f>89.945</f>
        <v>89.944999999999993</v>
      </c>
      <c r="DL99">
        <f>94.514</f>
        <v>94.513999999999996</v>
      </c>
      <c r="DM99">
        <f>94.959</f>
        <v>94.959000000000003</v>
      </c>
      <c r="DN99">
        <f>92.429</f>
        <v>92.429000000000002</v>
      </c>
      <c r="DO99">
        <f>93.501</f>
        <v>93.501000000000005</v>
      </c>
      <c r="DP99">
        <f>89.19</f>
        <v>89.19</v>
      </c>
      <c r="DQ99">
        <f>85.18499947</f>
        <v>85.184999469999994</v>
      </c>
      <c r="DR99">
        <f>81.216999</f>
        <v>81.216999000000001</v>
      </c>
      <c r="DS99">
        <f>76.935002</f>
        <v>76.935001999999997</v>
      </c>
      <c r="DT99">
        <f>73.917999</f>
        <v>73.917998999999995</v>
      </c>
      <c r="DU99">
        <f>71.542999</f>
        <v>71.542998999999995</v>
      </c>
    </row>
    <row r="100" spans="1:125">
      <c r="A100" t="str">
        <f>"调整后EBITDA"</f>
        <v>调整后EBITDA</v>
      </c>
      <c r="B100" t="str">
        <f>""</f>
        <v/>
      </c>
      <c r="E100" t="str">
        <f>"Median"</f>
        <v>Median</v>
      </c>
      <c r="F100" t="str">
        <f ca="1">IF(ISERROR(IF(MEDIAN($F$101:$F$115) = 0, "", MEDIAN($F$101:$F$115))), "", (IF(MEDIAN($F$101:$F$115) = 0, "", MEDIAN($F$101:$F$115))))</f>
        <v/>
      </c>
      <c r="G100">
        <f ca="1">IF(ISERROR(IF(MEDIAN($G$101:$G$115) = 0, "", MEDIAN($G$101:$G$115))), "", (IF(MEDIAN($G$101:$G$115) = 0, "", MEDIAN($G$101:$G$115))))</f>
        <v>155.64400000000001</v>
      </c>
      <c r="H100">
        <f ca="1">IF(ISERROR(IF(MEDIAN($H$101:$H$115) = 0, "", MEDIAN($H$101:$H$115))), "", (IF(MEDIAN($H$101:$H$115) = 0, "", MEDIAN($H$101:$H$115))))</f>
        <v>167.505</v>
      </c>
      <c r="I100">
        <f ca="1">IF(ISERROR(IF(MEDIAN($I$101:$I$115) = 0, "", MEDIAN($I$101:$I$115))), "", (IF(MEDIAN($I$101:$I$115) = 0, "", MEDIAN($I$101:$I$115))))</f>
        <v>166.15299999999999</v>
      </c>
      <c r="J100">
        <f ca="1">IF(ISERROR(IF(MEDIAN($J$101:$J$115) = 0, "", MEDIAN($J$101:$J$115))), "", (IF(MEDIAN($J$101:$J$115) = 0, "", MEDIAN($J$101:$J$115))))</f>
        <v>168.1</v>
      </c>
      <c r="K100">
        <f ca="1">IF(ISERROR(IF(MEDIAN($K$101:$K$115) = 0, "", MEDIAN($K$101:$K$115))), "", (IF(MEDIAN($K$101:$K$115) = 0, "", MEDIAN($K$101:$K$115))))</f>
        <v>177.297</v>
      </c>
      <c r="L100">
        <f ca="1">IF(ISERROR(IF(MEDIAN($L$101:$L$115) = 0, "", MEDIAN($L$101:$L$115))), "", (IF(MEDIAN($L$101:$L$115) = 0, "", MEDIAN($L$101:$L$115))))</f>
        <v>182.43299999999999</v>
      </c>
      <c r="M100">
        <f ca="1">IF(ISERROR(IF(MEDIAN($M$101:$M$115) = 0, "", MEDIAN($M$101:$M$115))), "", (IF(MEDIAN($M$101:$M$115) = 0, "", MEDIAN($M$101:$M$115))))</f>
        <v>161.00799999999998</v>
      </c>
      <c r="N100">
        <f ca="1">IF(ISERROR(IF(MEDIAN($N$101:$N$115) = 0, "", MEDIAN($N$101:$N$115))), "", (IF(MEDIAN($N$101:$N$115) = 0, "", MEDIAN($N$101:$N$115))))</f>
        <v>131.94549999999998</v>
      </c>
      <c r="O100">
        <f ca="1">IF(ISERROR(IF(MEDIAN($O$101:$O$115) = 0, "", MEDIAN($O$101:$O$115))), "", (IF(MEDIAN($O$101:$O$115) = 0, "", MEDIAN($O$101:$O$115))))</f>
        <v>149.864</v>
      </c>
      <c r="P100">
        <f ca="1">IF(ISERROR(IF(MEDIAN($P$101:$P$115) = 0, "", MEDIAN($P$101:$P$115))), "", (IF(MEDIAN($P$101:$P$115) = 0, "", MEDIAN($P$101:$P$115))))</f>
        <v>139.67599999999999</v>
      </c>
      <c r="Q100">
        <f ca="1">IF(ISERROR(IF(MEDIAN($Q$101:$Q$115) = 0, "", MEDIAN($Q$101:$Q$115))), "", (IF(MEDIAN($Q$101:$Q$115) = 0, "", MEDIAN($Q$101:$Q$115))))</f>
        <v>144.99100000000001</v>
      </c>
      <c r="R100">
        <f ca="1">IF(ISERROR(IF(MEDIAN($R$101:$R$115) = 0, "", MEDIAN($R$101:$R$115))), "", (IF(MEDIAN($R$101:$R$115) = 0, "", MEDIAN($R$101:$R$115))))</f>
        <v>145.23500000000001</v>
      </c>
      <c r="S100">
        <f ca="1">IF(ISERROR(IF(MEDIAN($S$101:$S$115) = 0, "", MEDIAN($S$101:$S$115))), "", (IF(MEDIAN($S$101:$S$115) = 0, "", MEDIAN($S$101:$S$115))))</f>
        <v>115.355</v>
      </c>
      <c r="T100">
        <f ca="1">IF(ISERROR(IF(MEDIAN($T$101:$T$115) = 0, "", MEDIAN($T$101:$T$115))), "", (IF(MEDIAN($T$101:$T$115) = 0, "", MEDIAN($T$101:$T$115))))</f>
        <v>156.988</v>
      </c>
      <c r="U100">
        <f ca="1">IF(ISERROR(IF(MEDIAN($U$101:$U$115) = 0, "", MEDIAN($U$101:$U$115))), "", (IF(MEDIAN($U$101:$U$115) = 0, "", MEDIAN($U$101:$U$115))))</f>
        <v>153.36350000000002</v>
      </c>
      <c r="V100">
        <f ca="1">IF(ISERROR(IF(MEDIAN($V$101:$V$115) = 0, "", MEDIAN($V$101:$V$115))), "", (IF(MEDIAN($V$101:$V$115) = 0, "", MEDIAN($V$101:$V$115))))</f>
        <v>107.50700000000001</v>
      </c>
      <c r="W100">
        <f ca="1">IF(ISERROR(IF(MEDIAN($W$101:$W$115) = 0, "", MEDIAN($W$101:$W$115))), "", (IF(MEDIAN($W$101:$W$115) = 0, "", MEDIAN($W$101:$W$115))))</f>
        <v>115.182</v>
      </c>
      <c r="X100">
        <f ca="1">IF(ISERROR(IF(MEDIAN($X$101:$X$115) = 0, "", MEDIAN($X$101:$X$115))), "", (IF(MEDIAN($X$101:$X$115) = 0, "", MEDIAN($X$101:$X$115))))</f>
        <v>100.47800000000001</v>
      </c>
      <c r="Y100">
        <f ca="1">IF(ISERROR(IF(MEDIAN($Y$101:$Y$115) = 0, "", MEDIAN($Y$101:$Y$115))), "", (IF(MEDIAN($Y$101:$Y$115) = 0, "", MEDIAN($Y$101:$Y$115))))</f>
        <v>104.13800000000001</v>
      </c>
      <c r="Z100">
        <f ca="1">IF(ISERROR(IF(MEDIAN($Z$101:$Z$115) = 0, "", MEDIAN($Z$101:$Z$115))), "", (IF(MEDIAN($Z$101:$Z$115) = 0, "", MEDIAN($Z$101:$Z$115))))</f>
        <v>103.84099999999999</v>
      </c>
      <c r="AA100">
        <f ca="1">IF(ISERROR(IF(MEDIAN($AA$101:$AA$115) = 0, "", MEDIAN($AA$101:$AA$115))), "", (IF(MEDIAN($AA$101:$AA$115) = 0, "", MEDIAN($AA$101:$AA$115))))</f>
        <v>97.292000000000002</v>
      </c>
      <c r="AB100">
        <f ca="1">IF(ISERROR(IF(MEDIAN($AB$101:$AB$115) = 0, "", MEDIAN($AB$101:$AB$115))), "", (IF(MEDIAN($AB$101:$AB$115) = 0, "", MEDIAN($AB$101:$AB$115))))</f>
        <v>102.545</v>
      </c>
      <c r="AC100">
        <f ca="1">IF(ISERROR(IF(MEDIAN($AC$101:$AC$115) = 0, "", MEDIAN($AC$101:$AC$115))), "", (IF(MEDIAN($AC$101:$AC$115) = 0, "", MEDIAN($AC$101:$AC$115))))</f>
        <v>135.28399999999999</v>
      </c>
      <c r="AD100">
        <f ca="1">IF(ISERROR(IF(MEDIAN($AD$101:$AD$115) = 0, "", MEDIAN($AD$101:$AD$115))), "", (IF(MEDIAN($AD$101:$AD$115) = 0, "", MEDIAN($AD$101:$AD$115))))</f>
        <v>138.24349999999998</v>
      </c>
      <c r="AE100">
        <f ca="1">IF(ISERROR(IF(MEDIAN($AE$101:$AE$115) = 0, "", MEDIAN($AE$101:$AE$115))), "", (IF(MEDIAN($AE$101:$AE$115) = 0, "", MEDIAN($AE$101:$AE$115))))</f>
        <v>101.736</v>
      </c>
      <c r="AF100">
        <f ca="1">IF(ISERROR(IF(MEDIAN($AF$101:$AF$115) = 0, "", MEDIAN($AF$101:$AF$115))), "", (IF(MEDIAN($AF$101:$AF$115) = 0, "", MEDIAN($AF$101:$AF$115))))</f>
        <v>102.0335</v>
      </c>
      <c r="AG100">
        <f ca="1">IF(ISERROR(IF(MEDIAN($AG$101:$AG$115) = 0, "", MEDIAN($AG$101:$AG$115))), "", (IF(MEDIAN($AG$101:$AG$115) = 0, "", MEDIAN($AG$101:$AG$115))))</f>
        <v>93.191000000000003</v>
      </c>
      <c r="AH100">
        <f ca="1">IF(ISERROR(IF(MEDIAN($AH$101:$AH$115) = 0, "", MEDIAN($AH$101:$AH$115))), "", (IF(MEDIAN($AH$101:$AH$115) = 0, "", MEDIAN($AH$101:$AH$115))))</f>
        <v>88.522000000000006</v>
      </c>
      <c r="AI100">
        <f ca="1">IF(ISERROR(IF(MEDIAN($AI$101:$AI$115) = 0, "", MEDIAN($AI$101:$AI$115))), "", (IF(MEDIAN($AI$101:$AI$115) = 0, "", MEDIAN($AI$101:$AI$115))))</f>
        <v>89.600999999999999</v>
      </c>
      <c r="AJ100">
        <f ca="1">IF(ISERROR(IF(MEDIAN($AJ$101:$AJ$115) = 0, "", MEDIAN($AJ$101:$AJ$115))), "", (IF(MEDIAN($AJ$101:$AJ$115) = 0, "", MEDIAN($AJ$101:$AJ$115))))</f>
        <v>85.882000000000005</v>
      </c>
      <c r="AK100">
        <f ca="1">IF(ISERROR(IF(MEDIAN($AK$101:$AK$115) = 0, "", MEDIAN($AK$101:$AK$115))), "", (IF(MEDIAN($AK$101:$AK$115) = 0, "", MEDIAN($AK$101:$AK$115))))</f>
        <v>121.53149999999999</v>
      </c>
      <c r="AL100">
        <f ca="1">IF(ISERROR(IF(MEDIAN($AL$101:$AL$115) = 0, "", MEDIAN($AL$101:$AL$115))), "", (IF(MEDIAN($AL$101:$AL$115) = 0, "", MEDIAN($AL$101:$AL$115))))</f>
        <v>121.54949999999999</v>
      </c>
      <c r="AM100">
        <f ca="1">IF(ISERROR(IF(MEDIAN($AM$101:$AM$115) = 0, "", MEDIAN($AM$101:$AM$115))), "", (IF(MEDIAN($AM$101:$AM$115) = 0, "", MEDIAN($AM$101:$AM$115))))</f>
        <v>126.4315</v>
      </c>
      <c r="AN100">
        <f ca="1">IF(ISERROR(IF(MEDIAN($AN$101:$AN$115) = 0, "", MEDIAN($AN$101:$AN$115))), "", (IF(MEDIAN($AN$101:$AN$115) = 0, "", MEDIAN($AN$101:$AN$115))))</f>
        <v>85.128</v>
      </c>
      <c r="AO100">
        <f ca="1">IF(ISERROR(IF(MEDIAN($AO$101:$AO$115) = 0, "", MEDIAN($AO$101:$AO$115))), "", (IF(MEDIAN($AO$101:$AO$115) = 0, "", MEDIAN($AO$101:$AO$115))))</f>
        <v>42.180928999999992</v>
      </c>
      <c r="AP100">
        <f ca="1">IF(ISERROR(IF(MEDIAN($AP$101:$AP$115) = 0, "", MEDIAN($AP$101:$AP$115))), "", (IF(MEDIAN($AP$101:$AP$115) = 0, "", MEDIAN($AP$101:$AP$115))))</f>
        <v>61.64</v>
      </c>
      <c r="AQ100">
        <f ca="1">IF(ISERROR(IF(MEDIAN($AQ$101:$AQ$115) = 0, "", MEDIAN($AQ$101:$AQ$115))), "", (IF(MEDIAN($AQ$101:$AQ$115) = 0, "", MEDIAN($AQ$101:$AQ$115))))</f>
        <v>82.564999999999998</v>
      </c>
      <c r="AR100">
        <f ca="1">IF(ISERROR(IF(MEDIAN($AR$101:$AR$115) = 0, "", MEDIAN($AR$101:$AR$115))), "", (IF(MEDIAN($AR$101:$AR$115) = 0, "", MEDIAN($AR$101:$AR$115))))</f>
        <v>83.528000000000006</v>
      </c>
      <c r="AS100">
        <f ca="1">IF(ISERROR(IF(MEDIAN($AS$101:$AS$115) = 0, "", MEDIAN($AS$101:$AS$115))), "", (IF(MEDIAN($AS$101:$AS$115) = 0, "", MEDIAN($AS$101:$AS$115))))</f>
        <v>81.036000000000001</v>
      </c>
      <c r="AT100">
        <f ca="1">IF(ISERROR(IF(MEDIAN($AT$101:$AT$115) = 0, "", MEDIAN($AT$101:$AT$115))), "", (IF(MEDIAN($AT$101:$AT$115) = 0, "", MEDIAN($AT$101:$AT$115))))</f>
        <v>79.397999999999996</v>
      </c>
      <c r="AU100">
        <f ca="1">IF(ISERROR(IF(MEDIAN($AU$101:$AU$115) = 0, "", MEDIAN($AU$101:$AU$115))), "", (IF(MEDIAN($AU$101:$AU$115) = 0, "", MEDIAN($AU$101:$AU$115))))</f>
        <v>80.167000000000002</v>
      </c>
      <c r="AV100">
        <f ca="1">IF(ISERROR(IF(MEDIAN($AV$101:$AV$115) = 0, "", MEDIAN($AV$101:$AV$115))), "", (IF(MEDIAN($AV$101:$AV$115) = 0, "", MEDIAN($AV$101:$AV$115))))</f>
        <v>82.703999999999994</v>
      </c>
      <c r="AW100">
        <f ca="1">IF(ISERROR(IF(MEDIAN($AW$101:$AW$115) = 0, "", MEDIAN($AW$101:$AW$115))), "", (IF(MEDIAN($AW$101:$AW$115) = 0, "", MEDIAN($AW$101:$AW$115))))</f>
        <v>81.174999999999997</v>
      </c>
      <c r="AX100">
        <f ca="1">IF(ISERROR(IF(MEDIAN($AX$101:$AX$115) = 0, "", MEDIAN($AX$101:$AX$115))), "", (IF(MEDIAN($AX$101:$AX$115) = 0, "", MEDIAN($AX$101:$AX$115))))</f>
        <v>78.745999999999995</v>
      </c>
      <c r="AY100" t="str">
        <f ca="1">IF(ISERROR(IF(MEDIAN($AY$101:$AY$115) = 0, "", MEDIAN($AY$101:$AY$115))), "", (IF(MEDIAN($AY$101:$AY$115) = 0, "", MEDIAN($AY$101:$AY$115))))</f>
        <v/>
      </c>
      <c r="AZ100" t="str">
        <f ca="1">IF(ISERROR(IF(MEDIAN($AZ$101:$AZ$115) = 0, "", MEDIAN($AZ$101:$AZ$115))), "", (IF(MEDIAN($AZ$101:$AZ$115) = 0, "", MEDIAN($AZ$101:$AZ$115))))</f>
        <v/>
      </c>
      <c r="BA100">
        <f ca="1">IF(ISERROR(IF(MEDIAN($BA$101:$BA$115) = 0, "", MEDIAN($BA$101:$BA$115))), "", (IF(MEDIAN($BA$101:$BA$115) = 0, "", MEDIAN($BA$101:$BA$115))))</f>
        <v>71.933000000000007</v>
      </c>
      <c r="BB100">
        <f ca="1">IF(ISERROR(IF(MEDIAN($BB$101:$BB$115) = 0, "", MEDIAN($BB$101:$BB$115))), "", (IF(MEDIAN($BB$101:$BB$115) = 0, "", MEDIAN($BB$101:$BB$115))))</f>
        <v>70.334999999999994</v>
      </c>
      <c r="BC100" t="str">
        <f ca="1">IF(ISERROR(IF(MEDIAN($BC$101:$BC$115) = 0, "", MEDIAN($BC$101:$BC$115))), "", (IF(MEDIAN($BC$101:$BC$115) = 0, "", MEDIAN($BC$101:$BC$115))))</f>
        <v/>
      </c>
      <c r="BD100" t="str">
        <f ca="1">IF(ISERROR(IF(MEDIAN($BD$101:$BD$115) = 0, "", MEDIAN($BD$101:$BD$115))), "", (IF(MEDIAN($BD$101:$BD$115) = 0, "", MEDIAN($BD$101:$BD$115))))</f>
        <v/>
      </c>
      <c r="BE100" t="str">
        <f ca="1">IF(ISERROR(IF(MEDIAN($BE$101:$BE$115) = 0, "", MEDIAN($BE$101:$BE$115))), "", (IF(MEDIAN($BE$101:$BE$115) = 0, "", MEDIAN($BE$101:$BE$115))))</f>
        <v/>
      </c>
      <c r="BF100" t="str">
        <f ca="1">IF(ISERROR(IF(MEDIAN($BF$101:$BF$115) = 0, "", MEDIAN($BF$101:$BF$115))), "", (IF(MEDIAN($BF$101:$BF$115) = 0, "", MEDIAN($BF$101:$BF$115))))</f>
        <v/>
      </c>
      <c r="BG100" t="str">
        <f ca="1">IF(ISERROR(IF(MEDIAN($BG$101:$BG$115) = 0, "", MEDIAN($BG$101:$BG$115))), "", (IF(MEDIAN($BG$101:$BG$115) = 0, "", MEDIAN($BG$101:$BG$115))))</f>
        <v/>
      </c>
      <c r="BH100" t="str">
        <f ca="1">IF(ISERROR(IF(MEDIAN($BH$101:$BH$115) = 0, "", MEDIAN($BH$101:$BH$115))), "", (IF(MEDIAN($BH$101:$BH$115) = 0, "", MEDIAN($BH$101:$BH$115))))</f>
        <v/>
      </c>
      <c r="BI100" t="str">
        <f ca="1">IF(ISERROR(IF(MEDIAN($BI$101:$BI$115) = 0, "", MEDIAN($BI$101:$BI$115))), "", (IF(MEDIAN($BI$101:$BI$115) = 0, "", MEDIAN($BI$101:$BI$115))))</f>
        <v/>
      </c>
      <c r="BJ100" t="str">
        <f ca="1">IF(ISERROR(IF(MEDIAN($BJ$101:$BJ$115) = 0, "", MEDIAN($BJ$101:$BJ$115))), "", (IF(MEDIAN($BJ$101:$BJ$115) = 0, "", MEDIAN($BJ$101:$BJ$115))))</f>
        <v/>
      </c>
      <c r="BK100" t="str">
        <f ca="1">IF(ISERROR(IF(MEDIAN($BK$101:$BK$115) = 0, "", MEDIAN($BK$101:$BK$115))), "", (IF(MEDIAN($BK$101:$BK$115) = 0, "", MEDIAN($BK$101:$BK$115))))</f>
        <v/>
      </c>
      <c r="BL100" t="str">
        <f ca="1">IF(ISERROR(IF(MEDIAN($BL$101:$BL$115) = 0, "", MEDIAN($BL$101:$BL$115))), "", (IF(MEDIAN($BL$101:$BL$115) = 0, "", MEDIAN($BL$101:$BL$115))))</f>
        <v/>
      </c>
      <c r="BM100" t="str">
        <f ca="1">IF(ISERROR(IF(MEDIAN($BM$101:$BM$115) = 0, "", MEDIAN($BM$101:$BM$115))), "", (IF(MEDIAN($BM$101:$BM$115) = 0, "", MEDIAN($BM$101:$BM$115))))</f>
        <v/>
      </c>
      <c r="BN100" t="str">
        <f>""</f>
        <v/>
      </c>
      <c r="BO100">
        <f>155.644</f>
        <v>155.64400000000001</v>
      </c>
      <c r="BP100">
        <f>167.505</f>
        <v>167.505</v>
      </c>
      <c r="BQ100">
        <f>166.153</f>
        <v>166.15299999999999</v>
      </c>
      <c r="BR100">
        <f>168.1</f>
        <v>168.1</v>
      </c>
      <c r="BS100">
        <f>177.297</f>
        <v>177.297</v>
      </c>
      <c r="BT100">
        <f>182.433</f>
        <v>182.43299999999999</v>
      </c>
      <c r="BU100">
        <f>161.008</f>
        <v>161.00800000000001</v>
      </c>
      <c r="BV100">
        <f>131.9455</f>
        <v>131.94550000000001</v>
      </c>
      <c r="BW100">
        <f>149.864</f>
        <v>149.864</v>
      </c>
      <c r="BX100">
        <f>139.676</f>
        <v>139.67599999999999</v>
      </c>
      <c r="BY100">
        <f>144.991</f>
        <v>144.99100000000001</v>
      </c>
      <c r="BZ100">
        <f>145.235</f>
        <v>145.23500000000001</v>
      </c>
      <c r="CA100">
        <f>115.355</f>
        <v>115.355</v>
      </c>
      <c r="CB100">
        <f>156.988</f>
        <v>156.988</v>
      </c>
      <c r="CC100">
        <f>153.3635</f>
        <v>153.36349999999999</v>
      </c>
      <c r="CD100">
        <f>107.507</f>
        <v>107.50700000000001</v>
      </c>
      <c r="CE100">
        <f>115.182</f>
        <v>115.182</v>
      </c>
      <c r="CF100">
        <f>100.478</f>
        <v>100.47799999999999</v>
      </c>
      <c r="CG100">
        <f>104.138</f>
        <v>104.13800000000001</v>
      </c>
      <c r="CH100">
        <f>103.841</f>
        <v>103.84099999999999</v>
      </c>
      <c r="CI100">
        <f>97.292</f>
        <v>97.292000000000002</v>
      </c>
      <c r="CJ100">
        <f>102.545</f>
        <v>102.545</v>
      </c>
      <c r="CK100">
        <f>135.284</f>
        <v>135.28399999999999</v>
      </c>
      <c r="CL100">
        <f>138.2435</f>
        <v>138.24350000000001</v>
      </c>
      <c r="CM100">
        <f>101.736</f>
        <v>101.736</v>
      </c>
      <c r="CN100">
        <f>102.0335</f>
        <v>102.0335</v>
      </c>
      <c r="CO100">
        <f>93.191</f>
        <v>93.191000000000003</v>
      </c>
      <c r="CP100">
        <f>88.522</f>
        <v>88.522000000000006</v>
      </c>
      <c r="CQ100">
        <f>89.601</f>
        <v>89.600999999999999</v>
      </c>
      <c r="CR100">
        <f>85.882</f>
        <v>85.882000000000005</v>
      </c>
      <c r="CS100">
        <f>121.5315</f>
        <v>121.53149999999999</v>
      </c>
      <c r="CT100">
        <f>121.5495</f>
        <v>121.54949999999999</v>
      </c>
      <c r="CU100">
        <f>126.4315</f>
        <v>126.4315</v>
      </c>
      <c r="CV100">
        <f>85.128</f>
        <v>85.128</v>
      </c>
      <c r="CW100">
        <f>42.180929</f>
        <v>42.180928999999999</v>
      </c>
      <c r="CX100">
        <f>61.64</f>
        <v>61.64</v>
      </c>
      <c r="CY100">
        <f>82.565</f>
        <v>82.564999999999998</v>
      </c>
      <c r="CZ100">
        <f>83.528</f>
        <v>83.528000000000006</v>
      </c>
      <c r="DA100">
        <f>81.036</f>
        <v>81.036000000000001</v>
      </c>
      <c r="DB100">
        <f>79.398</f>
        <v>79.397999999999996</v>
      </c>
      <c r="DC100">
        <f>80.167</f>
        <v>80.167000000000002</v>
      </c>
      <c r="DD100">
        <f>82.704</f>
        <v>82.703999999999994</v>
      </c>
      <c r="DE100">
        <f>81.175</f>
        <v>81.174999999999997</v>
      </c>
      <c r="DF100">
        <f>78.746</f>
        <v>78.745999999999995</v>
      </c>
      <c r="DG100" t="str">
        <f>""</f>
        <v/>
      </c>
      <c r="DH100" t="str">
        <f>""</f>
        <v/>
      </c>
      <c r="DI100">
        <f>71.933</f>
        <v>71.933000000000007</v>
      </c>
      <c r="DJ100">
        <f>70.335</f>
        <v>70.334999999999994</v>
      </c>
      <c r="DK100" t="str">
        <f>""</f>
        <v/>
      </c>
      <c r="DL100" t="str">
        <f>""</f>
        <v/>
      </c>
      <c r="DM100" t="str">
        <f>""</f>
        <v/>
      </c>
      <c r="DN100" t="str">
        <f>""</f>
        <v/>
      </c>
      <c r="DO100" t="str">
        <f>""</f>
        <v/>
      </c>
      <c r="DP100" t="str">
        <f>""</f>
        <v/>
      </c>
      <c r="DQ100" t="str">
        <f>""</f>
        <v/>
      </c>
      <c r="DR100" t="str">
        <f>""</f>
        <v/>
      </c>
      <c r="DS100" t="str">
        <f>""</f>
        <v/>
      </c>
      <c r="DT100" t="str">
        <f>""</f>
        <v/>
      </c>
      <c r="DU100" t="str">
        <f>""</f>
        <v/>
      </c>
    </row>
    <row r="101" spans="1:125">
      <c r="A101" t="str">
        <f>"    Brixmor Property Group Inc"</f>
        <v xml:space="preserve">    Brixmor Property Group Inc</v>
      </c>
      <c r="B101" t="str">
        <f>"BRX US Equity"</f>
        <v>BRX US Equity</v>
      </c>
      <c r="C101" t="str">
        <f t="shared" ref="C101:C115" si="18">"IS972"</f>
        <v>IS972</v>
      </c>
      <c r="D101" t="str">
        <f t="shared" ref="D101:D115" si="19">"IS_ADJUSTED_EBITDA_AS_REPORTED"</f>
        <v>IS_ADJUSTED_EBITDA_AS_REPORTED</v>
      </c>
      <c r="E101" t="str">
        <f t="shared" ref="E101:E115" si="20">"动态"</f>
        <v>动态</v>
      </c>
      <c r="F101" t="str">
        <f ca="1">IF(AND(ISNUMBER($F$556),$B$419=1),$F$556,HLOOKUP(INDIRECT(ADDRESS(2,COLUMN())),OFFSET($BN$2,0,0,ROW()-1,60),ROW()-1,FALSE))</f>
        <v/>
      </c>
      <c r="G101">
        <f ca="1">IF(AND(ISNUMBER($G$556),$B$419=1),$G$556,HLOOKUP(INDIRECT(ADDRESS(2,COLUMN())),OFFSET($BN$2,0,0,ROW()-1,60),ROW()-1,FALSE))</f>
        <v>217.02</v>
      </c>
      <c r="H101">
        <f ca="1">IF(AND(ISNUMBER($H$556),$B$419=1),$H$556,HLOOKUP(INDIRECT(ADDRESS(2,COLUMN())),OFFSET($BN$2,0,0,ROW()-1,60),ROW()-1,FALSE))</f>
        <v>216.47300000000001</v>
      </c>
      <c r="I101">
        <f ca="1">IF(AND(ISNUMBER($I$556),$B$419=1),$I$556,HLOOKUP(INDIRECT(ADDRESS(2,COLUMN())),OFFSET($BN$2,0,0,ROW()-1,60),ROW()-1,FALSE))</f>
        <v>222.71199999999999</v>
      </c>
      <c r="J101">
        <f ca="1">IF(AND(ISNUMBER($J$556),$B$419=1),$J$556,HLOOKUP(INDIRECT(ADDRESS(2,COLUMN())),OFFSET($BN$2,0,0,ROW()-1,60),ROW()-1,FALSE))</f>
        <v>220.72900000000001</v>
      </c>
      <c r="K101">
        <f ca="1">IF(AND(ISNUMBER($K$556),$B$419=1),$K$556,HLOOKUP(INDIRECT(ADDRESS(2,COLUMN())),OFFSET($BN$2,0,0,ROW()-1,60),ROW()-1,FALSE))</f>
        <v>220.78100000000001</v>
      </c>
      <c r="L101">
        <f ca="1">IF(AND(ISNUMBER($L$556),$B$419=1),$L$556,HLOOKUP(INDIRECT(ADDRESS(2,COLUMN())),OFFSET($BN$2,0,0,ROW()-1,60),ROW()-1,FALSE))</f>
        <v>216.453</v>
      </c>
      <c r="M101">
        <f ca="1">IF(AND(ISNUMBER($M$556),$B$419=1),$M$556,HLOOKUP(INDIRECT(ADDRESS(2,COLUMN())),OFFSET($BN$2,0,0,ROW()-1,60),ROW()-1,FALSE))</f>
        <v>216.68799999999999</v>
      </c>
      <c r="N101">
        <f ca="1">IF(AND(ISNUMBER($N$556),$B$419=1),$N$556,HLOOKUP(INDIRECT(ADDRESS(2,COLUMN())),OFFSET($BN$2,0,0,ROW()-1,60),ROW()-1,FALSE))</f>
        <v>221.36199999999999</v>
      </c>
      <c r="O101">
        <f ca="1">IF(AND(ISNUMBER($O$556),$B$419=1),$O$556,HLOOKUP(INDIRECT(ADDRESS(2,COLUMN())),OFFSET($BN$2,0,0,ROW()-1,60),ROW()-1,FALSE))</f>
        <v>217.29</v>
      </c>
      <c r="P101">
        <f ca="1">IF(AND(ISNUMBER($P$556),$B$419=1),$P$556,HLOOKUP(INDIRECT(ADDRESS(2,COLUMN())),OFFSET($BN$2,0,0,ROW()-1,60),ROW()-1,FALSE))</f>
        <v>215.596</v>
      </c>
      <c r="Q101">
        <f ca="1">IF(AND(ISNUMBER($Q$556),$B$419=1),$Q$556,HLOOKUP(INDIRECT(ADDRESS(2,COLUMN())),OFFSET($BN$2,0,0,ROW()-1,60),ROW()-1,FALSE))</f>
        <v>215.15299999999999</v>
      </c>
      <c r="R101">
        <f ca="1">IF(AND(ISNUMBER($R$556),$B$419=1),$R$556,HLOOKUP(INDIRECT(ADDRESS(2,COLUMN())),OFFSET($BN$2,0,0,ROW()-1,60),ROW()-1,FALSE))</f>
        <v>213.81800000000001</v>
      </c>
      <c r="S101">
        <f ca="1">IF(AND(ISNUMBER($S$556),$B$419=1),$S$556,HLOOKUP(INDIRECT(ADDRESS(2,COLUMN())),OFFSET($BN$2,0,0,ROW()-1,60),ROW()-1,FALSE))</f>
        <v>212.17</v>
      </c>
      <c r="T101">
        <f ca="1">IF(AND(ISNUMBER($T$556),$B$419=1),$T$556,HLOOKUP(INDIRECT(ADDRESS(2,COLUMN())),OFFSET($BN$2,0,0,ROW()-1,60),ROW()-1,FALSE))</f>
        <v>210.87</v>
      </c>
      <c r="U101">
        <f ca="1">IF(AND(ISNUMBER($U$556),$B$419=1),$U$556,HLOOKUP(INDIRECT(ADDRESS(2,COLUMN())),OFFSET($BN$2,0,0,ROW()-1,60),ROW()-1,FALSE))</f>
        <v>209.31200000000001</v>
      </c>
      <c r="V101">
        <f ca="1">IF(AND(ISNUMBER($V$556),$B$419=1),$V$556,HLOOKUP(INDIRECT(ADDRESS(2,COLUMN())),OFFSET($BN$2,0,0,ROW()-1,60),ROW()-1,FALSE))</f>
        <v>204.536</v>
      </c>
      <c r="W101">
        <f ca="1">IF(AND(ISNUMBER($W$556),$B$419=1),$W$556,HLOOKUP(INDIRECT(ADDRESS(2,COLUMN())),OFFSET($BN$2,0,0,ROW()-1,60),ROW()-1,FALSE))</f>
        <v>170.053</v>
      </c>
      <c r="X101">
        <f ca="1">IF(AND(ISNUMBER($X$556),$B$419=1),$X$556,HLOOKUP(INDIRECT(ADDRESS(2,COLUMN())),OFFSET($BN$2,0,0,ROW()-1,60),ROW()-1,FALSE))</f>
        <v>173.553</v>
      </c>
      <c r="Y101">
        <f ca="1">IF(AND(ISNUMBER($Y$556),$B$419=1),$Y$556,HLOOKUP(INDIRECT(ADDRESS(2,COLUMN())),OFFSET($BN$2,0,0,ROW()-1,60),ROW()-1,FALSE))</f>
        <v>191.28899999999999</v>
      </c>
      <c r="Z101">
        <f ca="1">IF(AND(ISNUMBER($Z$556),$B$419=1),$Z$556,HLOOKUP(INDIRECT(ADDRESS(2,COLUMN())),OFFSET($BN$2,0,0,ROW()-1,60),ROW()-1,FALSE))</f>
        <v>186.114</v>
      </c>
      <c r="AA101" t="str">
        <f ca="1">IF(AND(ISNUMBER($AA$556),$B$419=1),$AA$556,HLOOKUP(INDIRECT(ADDRESS(2,COLUMN())),OFFSET($BN$2,0,0,ROW()-1,60),ROW()-1,FALSE))</f>
        <v/>
      </c>
      <c r="AB101" t="str">
        <f ca="1">IF(AND(ISNUMBER($AB$556),$B$419=1),$AB$556,HLOOKUP(INDIRECT(ADDRESS(2,COLUMN())),OFFSET($BN$2,0,0,ROW()-1,60),ROW()-1,FALSE))</f>
        <v/>
      </c>
      <c r="AC101">
        <f ca="1">IF(AND(ISNUMBER($AC$556),$B$419=1),$AC$556,HLOOKUP(INDIRECT(ADDRESS(2,COLUMN())),OFFSET($BN$2,0,0,ROW()-1,60),ROW()-1,FALSE))</f>
        <v>186.65299999999999</v>
      </c>
      <c r="AD101">
        <f ca="1">IF(AND(ISNUMBER($AD$556),$B$419=1),$AD$556,HLOOKUP(INDIRECT(ADDRESS(2,COLUMN())),OFFSET($BN$2,0,0,ROW()-1,60),ROW()-1,FALSE))</f>
        <v>183.4</v>
      </c>
      <c r="AE101" t="str">
        <f ca="1">IF(AND(ISNUMBER($AE$556),$B$419=1),$AE$556,HLOOKUP(INDIRECT(ADDRESS(2,COLUMN())),OFFSET($BN$2,0,0,ROW()-1,60),ROW()-1,FALSE))</f>
        <v/>
      </c>
      <c r="AF101" t="str">
        <f ca="1">IF(AND(ISNUMBER($AF$556),$B$419=1),$AF$556,HLOOKUP(INDIRECT(ADDRESS(2,COLUMN())),OFFSET($BN$2,0,0,ROW()-1,60),ROW()-1,FALSE))</f>
        <v/>
      </c>
      <c r="AG101" t="str">
        <f ca="1">IF(AND(ISNUMBER($AG$556),$B$419=1),$AG$556,HLOOKUP(INDIRECT(ADDRESS(2,COLUMN())),OFFSET($BN$2,0,0,ROW()-1,60),ROW()-1,FALSE))</f>
        <v/>
      </c>
      <c r="AH101" t="str">
        <f ca="1">IF(AND(ISNUMBER($AH$556),$B$419=1),$AH$556,HLOOKUP(INDIRECT(ADDRESS(2,COLUMN())),OFFSET($BN$2,0,0,ROW()-1,60),ROW()-1,FALSE))</f>
        <v/>
      </c>
      <c r="AI101" t="str">
        <f ca="1">IF(AND(ISNUMBER($AI$556),$B$419=1),$AI$556,HLOOKUP(INDIRECT(ADDRESS(2,COLUMN())),OFFSET($BN$2,0,0,ROW()-1,60),ROW()-1,FALSE))</f>
        <v/>
      </c>
      <c r="AJ101" t="str">
        <f ca="1">IF(AND(ISNUMBER($AJ$556),$B$419=1),$AJ$556,HLOOKUP(INDIRECT(ADDRESS(2,COLUMN())),OFFSET($BN$2,0,0,ROW()-1,60),ROW()-1,FALSE))</f>
        <v/>
      </c>
      <c r="AK101" t="str">
        <f ca="1">IF(AND(ISNUMBER($AK$556),$B$419=1),$AK$556,HLOOKUP(INDIRECT(ADDRESS(2,COLUMN())),OFFSET($BN$2,0,0,ROW()-1,60),ROW()-1,FALSE))</f>
        <v/>
      </c>
      <c r="AL101" t="str">
        <f ca="1">IF(AND(ISNUMBER($AL$556),$B$419=1),$AL$556,HLOOKUP(INDIRECT(ADDRESS(2,COLUMN())),OFFSET($BN$2,0,0,ROW()-1,60),ROW()-1,FALSE))</f>
        <v/>
      </c>
      <c r="AM101" t="str">
        <f ca="1">IF(AND(ISNUMBER($AM$556),$B$419=1),$AM$556,HLOOKUP(INDIRECT(ADDRESS(2,COLUMN())),OFFSET($BN$2,0,0,ROW()-1,60),ROW()-1,FALSE))</f>
        <v/>
      </c>
      <c r="AN101" t="str">
        <f ca="1">IF(AND(ISNUMBER($AN$556),$B$419=1),$AN$556,HLOOKUP(INDIRECT(ADDRESS(2,COLUMN())),OFFSET($BN$2,0,0,ROW()-1,60),ROW()-1,FALSE))</f>
        <v/>
      </c>
      <c r="AO101" t="str">
        <f ca="1">IF(AND(ISNUMBER($AO$556),$B$419=1),$AO$556,HLOOKUP(INDIRECT(ADDRESS(2,COLUMN())),OFFSET($BN$2,0,0,ROW()-1,60),ROW()-1,FALSE))</f>
        <v/>
      </c>
      <c r="AP101" t="str">
        <f ca="1">IF(AND(ISNUMBER($AP$556),$B$419=1),$AP$556,HLOOKUP(INDIRECT(ADDRESS(2,COLUMN())),OFFSET($BN$2,0,0,ROW()-1,60),ROW()-1,FALSE))</f>
        <v/>
      </c>
      <c r="AQ101" t="str">
        <f ca="1">IF(AND(ISNUMBER($AQ$556),$B$419=1),$AQ$556,HLOOKUP(INDIRECT(ADDRESS(2,COLUMN())),OFFSET($BN$2,0,0,ROW()-1,60),ROW()-1,FALSE))</f>
        <v/>
      </c>
      <c r="AR101" t="str">
        <f ca="1">IF(AND(ISNUMBER($AR$556),$B$419=1),$AR$556,HLOOKUP(INDIRECT(ADDRESS(2,COLUMN())),OFFSET($BN$2,0,0,ROW()-1,60),ROW()-1,FALSE))</f>
        <v/>
      </c>
      <c r="AS101" t="str">
        <f ca="1">IF(AND(ISNUMBER($AS$556),$B$419=1),$AS$556,HLOOKUP(INDIRECT(ADDRESS(2,COLUMN())),OFFSET($BN$2,0,0,ROW()-1,60),ROW()-1,FALSE))</f>
        <v/>
      </c>
      <c r="AT101" t="str">
        <f ca="1">IF(AND(ISNUMBER($AT$556),$B$419=1),$AT$556,HLOOKUP(INDIRECT(ADDRESS(2,COLUMN())),OFFSET($BN$2,0,0,ROW()-1,60),ROW()-1,FALSE))</f>
        <v/>
      </c>
      <c r="AU101" t="str">
        <f ca="1">IF(AND(ISNUMBER($AU$556),$B$419=1),$AU$556,HLOOKUP(INDIRECT(ADDRESS(2,COLUMN())),OFFSET($BN$2,0,0,ROW()-1,60),ROW()-1,FALSE))</f>
        <v/>
      </c>
      <c r="AV101" t="str">
        <f ca="1">IF(AND(ISNUMBER($AV$556),$B$419=1),$AV$556,HLOOKUP(INDIRECT(ADDRESS(2,COLUMN())),OFFSET($BN$2,0,0,ROW()-1,60),ROW()-1,FALSE))</f>
        <v/>
      </c>
      <c r="AW101" t="str">
        <f ca="1">IF(AND(ISNUMBER($AW$556),$B$419=1),$AW$556,HLOOKUP(INDIRECT(ADDRESS(2,COLUMN())),OFFSET($BN$2,0,0,ROW()-1,60),ROW()-1,FALSE))</f>
        <v/>
      </c>
      <c r="AX101" t="str">
        <f ca="1">IF(AND(ISNUMBER($AX$556),$B$419=1),$AX$556,HLOOKUP(INDIRECT(ADDRESS(2,COLUMN())),OFFSET($BN$2,0,0,ROW()-1,60),ROW()-1,FALSE))</f>
        <v/>
      </c>
      <c r="AY101" t="str">
        <f ca="1">IF(AND(ISNUMBER($AY$556),$B$419=1),$AY$556,HLOOKUP(INDIRECT(ADDRESS(2,COLUMN())),OFFSET($BN$2,0,0,ROW()-1,60),ROW()-1,FALSE))</f>
        <v/>
      </c>
      <c r="AZ101" t="str">
        <f ca="1">IF(AND(ISNUMBER($AZ$556),$B$419=1),$AZ$556,HLOOKUP(INDIRECT(ADDRESS(2,COLUMN())),OFFSET($BN$2,0,0,ROW()-1,60),ROW()-1,FALSE))</f>
        <v/>
      </c>
      <c r="BA101" t="str">
        <f ca="1">IF(AND(ISNUMBER($BA$556),$B$419=1),$BA$556,HLOOKUP(INDIRECT(ADDRESS(2,COLUMN())),OFFSET($BN$2,0,0,ROW()-1,60),ROW()-1,FALSE))</f>
        <v/>
      </c>
      <c r="BB101" t="str">
        <f ca="1">IF(AND(ISNUMBER($BB$556),$B$419=1),$BB$556,HLOOKUP(INDIRECT(ADDRESS(2,COLUMN())),OFFSET($BN$2,0,0,ROW()-1,60),ROW()-1,FALSE))</f>
        <v/>
      </c>
      <c r="BC101" t="str">
        <f ca="1">IF(AND(ISNUMBER($BC$556),$B$419=1),$BC$556,HLOOKUP(INDIRECT(ADDRESS(2,COLUMN())),OFFSET($BN$2,0,0,ROW()-1,60),ROW()-1,FALSE))</f>
        <v/>
      </c>
      <c r="BD101" t="str">
        <f ca="1">IF(AND(ISNUMBER($BD$556),$B$419=1),$BD$556,HLOOKUP(INDIRECT(ADDRESS(2,COLUMN())),OFFSET($BN$2,0,0,ROW()-1,60),ROW()-1,FALSE))</f>
        <v/>
      </c>
      <c r="BE101" t="str">
        <f ca="1">IF(AND(ISNUMBER($BE$556),$B$419=1),$BE$556,HLOOKUP(INDIRECT(ADDRESS(2,COLUMN())),OFFSET($BN$2,0,0,ROW()-1,60),ROW()-1,FALSE))</f>
        <v/>
      </c>
      <c r="BF101" t="str">
        <f ca="1">IF(AND(ISNUMBER($BF$556),$B$419=1),$BF$556,HLOOKUP(INDIRECT(ADDRESS(2,COLUMN())),OFFSET($BN$2,0,0,ROW()-1,60),ROW()-1,FALSE))</f>
        <v/>
      </c>
      <c r="BG101" t="str">
        <f ca="1">IF(AND(ISNUMBER($BG$556),$B$419=1),$BG$556,HLOOKUP(INDIRECT(ADDRESS(2,COLUMN())),OFFSET($BN$2,0,0,ROW()-1,60),ROW()-1,FALSE))</f>
        <v/>
      </c>
      <c r="BH101" t="str">
        <f ca="1">IF(AND(ISNUMBER($BH$556),$B$419=1),$BH$556,HLOOKUP(INDIRECT(ADDRESS(2,COLUMN())),OFFSET($BN$2,0,0,ROW()-1,60),ROW()-1,FALSE))</f>
        <v/>
      </c>
      <c r="BI101" t="str">
        <f ca="1">IF(AND(ISNUMBER($BI$556),$B$419=1),$BI$556,HLOOKUP(INDIRECT(ADDRESS(2,COLUMN())),OFFSET($BN$2,0,0,ROW()-1,60),ROW()-1,FALSE))</f>
        <v/>
      </c>
      <c r="BJ101" t="str">
        <f ca="1">IF(AND(ISNUMBER($BJ$556),$B$419=1),$BJ$556,HLOOKUP(INDIRECT(ADDRESS(2,COLUMN())),OFFSET($BN$2,0,0,ROW()-1,60),ROW()-1,FALSE))</f>
        <v/>
      </c>
      <c r="BK101" t="str">
        <f ca="1">IF(AND(ISNUMBER($BK$556),$B$419=1),$BK$556,HLOOKUP(INDIRECT(ADDRESS(2,COLUMN())),OFFSET($BN$2,0,0,ROW()-1,60),ROW()-1,FALSE))</f>
        <v/>
      </c>
      <c r="BL101" t="str">
        <f ca="1">IF(AND(ISNUMBER($BL$556),$B$419=1),$BL$556,HLOOKUP(INDIRECT(ADDRESS(2,COLUMN())),OFFSET($BN$2,0,0,ROW()-1,60),ROW()-1,FALSE))</f>
        <v/>
      </c>
      <c r="BM101" t="str">
        <f ca="1">IF(AND(ISNUMBER($BM$556),$B$419=1),$BM$556,HLOOKUP(INDIRECT(ADDRESS(2,COLUMN())),OFFSET($BN$2,0,0,ROW()-1,60),ROW()-1,FALSE))</f>
        <v/>
      </c>
      <c r="BN101" t="str">
        <f>""</f>
        <v/>
      </c>
      <c r="BO101">
        <f>217.02</f>
        <v>217.02</v>
      </c>
      <c r="BP101">
        <f>216.473</f>
        <v>216.47300000000001</v>
      </c>
      <c r="BQ101">
        <f>222.712</f>
        <v>222.71199999999999</v>
      </c>
      <c r="BR101">
        <f>220.729</f>
        <v>220.72900000000001</v>
      </c>
      <c r="BS101">
        <f>220.781</f>
        <v>220.78100000000001</v>
      </c>
      <c r="BT101">
        <f>216.453</f>
        <v>216.453</v>
      </c>
      <c r="BU101">
        <f>216.688</f>
        <v>216.68799999999999</v>
      </c>
      <c r="BV101">
        <f>221.362</f>
        <v>221.36199999999999</v>
      </c>
      <c r="BW101">
        <f>217.29</f>
        <v>217.29</v>
      </c>
      <c r="BX101">
        <f>215.596</f>
        <v>215.596</v>
      </c>
      <c r="BY101">
        <f>215.153</f>
        <v>215.15299999999999</v>
      </c>
      <c r="BZ101">
        <f>213.818</f>
        <v>213.81800000000001</v>
      </c>
      <c r="CA101">
        <f>212.17</f>
        <v>212.17</v>
      </c>
      <c r="CB101">
        <f>210.87</f>
        <v>210.87</v>
      </c>
      <c r="CC101">
        <f>209.312</f>
        <v>209.31200000000001</v>
      </c>
      <c r="CD101">
        <f>204.536</f>
        <v>204.536</v>
      </c>
      <c r="CE101">
        <f>170.053</f>
        <v>170.053</v>
      </c>
      <c r="CF101">
        <f>173.553</f>
        <v>173.553</v>
      </c>
      <c r="CG101">
        <f>191.289</f>
        <v>191.28899999999999</v>
      </c>
      <c r="CH101">
        <f>186.114</f>
        <v>186.114</v>
      </c>
      <c r="CI101" t="str">
        <f>""</f>
        <v/>
      </c>
      <c r="CJ101" t="str">
        <f>""</f>
        <v/>
      </c>
      <c r="CK101">
        <f>186.653</f>
        <v>186.65299999999999</v>
      </c>
      <c r="CL101">
        <f>183.4</f>
        <v>183.4</v>
      </c>
      <c r="CM101" t="str">
        <f>""</f>
        <v/>
      </c>
      <c r="CN101" t="str">
        <f>""</f>
        <v/>
      </c>
      <c r="CO101" t="str">
        <f>""</f>
        <v/>
      </c>
      <c r="CP101" t="str">
        <f>""</f>
        <v/>
      </c>
      <c r="CQ101" t="str">
        <f>""</f>
        <v/>
      </c>
      <c r="CR101" t="str">
        <f>""</f>
        <v/>
      </c>
      <c r="CS101" t="str">
        <f>""</f>
        <v/>
      </c>
      <c r="CT101" t="str">
        <f>""</f>
        <v/>
      </c>
      <c r="CU101" t="str">
        <f>""</f>
        <v/>
      </c>
      <c r="CV101" t="str">
        <f>""</f>
        <v/>
      </c>
      <c r="CW101" t="str">
        <f>""</f>
        <v/>
      </c>
      <c r="CX101" t="str">
        <f>""</f>
        <v/>
      </c>
      <c r="CY101" t="str">
        <f>""</f>
        <v/>
      </c>
      <c r="CZ101" t="str">
        <f>""</f>
        <v/>
      </c>
      <c r="DA101" t="str">
        <f>""</f>
        <v/>
      </c>
      <c r="DB101" t="str">
        <f>""</f>
        <v/>
      </c>
      <c r="DC101" t="str">
        <f>""</f>
        <v/>
      </c>
      <c r="DD101" t="str">
        <f>""</f>
        <v/>
      </c>
      <c r="DE101" t="str">
        <f>""</f>
        <v/>
      </c>
      <c r="DF101" t="str">
        <f>""</f>
        <v/>
      </c>
      <c r="DG101" t="str">
        <f>""</f>
        <v/>
      </c>
      <c r="DH101" t="str">
        <f>""</f>
        <v/>
      </c>
      <c r="DI101" t="str">
        <f>""</f>
        <v/>
      </c>
      <c r="DJ101" t="str">
        <f>""</f>
        <v/>
      </c>
      <c r="DK101" t="str">
        <f>""</f>
        <v/>
      </c>
      <c r="DL101" t="str">
        <f>""</f>
        <v/>
      </c>
      <c r="DM101" t="str">
        <f>""</f>
        <v/>
      </c>
      <c r="DN101" t="str">
        <f>""</f>
        <v/>
      </c>
      <c r="DO101" t="str">
        <f>""</f>
        <v/>
      </c>
      <c r="DP101" t="str">
        <f>""</f>
        <v/>
      </c>
      <c r="DQ101" t="str">
        <f>""</f>
        <v/>
      </c>
      <c r="DR101" t="str">
        <f>""</f>
        <v/>
      </c>
      <c r="DS101" t="str">
        <f>""</f>
        <v/>
      </c>
      <c r="DT101" t="str">
        <f>""</f>
        <v/>
      </c>
      <c r="DU101" t="str">
        <f>""</f>
        <v/>
      </c>
    </row>
    <row r="102" spans="1:125">
      <c r="A102" t="str">
        <f>"    CBL &amp; Associates Properties In"</f>
        <v xml:space="preserve">    CBL &amp; Associates Properties In</v>
      </c>
      <c r="B102" t="str">
        <f>"CBL US Equity"</f>
        <v>CBL US Equity</v>
      </c>
      <c r="C102" t="str">
        <f t="shared" si="18"/>
        <v>IS972</v>
      </c>
      <c r="D102" t="str">
        <f t="shared" si="19"/>
        <v>IS_ADJUSTED_EBITDA_AS_REPORTED</v>
      </c>
      <c r="E102" t="str">
        <f t="shared" si="20"/>
        <v>动态</v>
      </c>
      <c r="F102" t="str">
        <f ca="1">IF(AND(ISNUMBER($F$557),$B$419=1),$F$557,HLOOKUP(INDIRECT(ADDRESS(2,COLUMN())),OFFSET($BN$2,0,0,ROW()-1,60),ROW()-1,FALSE))</f>
        <v/>
      </c>
      <c r="G102">
        <f ca="1">IF(AND(ISNUMBER($G$557),$B$419=1),$G$557,HLOOKUP(INDIRECT(ADDRESS(2,COLUMN())),OFFSET($BN$2,0,0,ROW()-1,60),ROW()-1,FALSE))</f>
        <v>182.738</v>
      </c>
      <c r="H102">
        <f ca="1">IF(AND(ISNUMBER($H$557),$B$419=1),$H$557,HLOOKUP(INDIRECT(ADDRESS(2,COLUMN())),OFFSET($BN$2,0,0,ROW()-1,60),ROW()-1,FALSE))</f>
        <v>167.505</v>
      </c>
      <c r="I102">
        <f ca="1">IF(AND(ISNUMBER($I$557),$B$419=1),$I$557,HLOOKUP(INDIRECT(ADDRESS(2,COLUMN())),OFFSET($BN$2,0,0,ROW()-1,60),ROW()-1,FALSE))</f>
        <v>172.65100000000001</v>
      </c>
      <c r="J102">
        <f ca="1">IF(AND(ISNUMBER($J$557),$B$419=1),$J$557,HLOOKUP(INDIRECT(ADDRESS(2,COLUMN())),OFFSET($BN$2,0,0,ROW()-1,60),ROW()-1,FALSE))</f>
        <v>176.54400000000001</v>
      </c>
      <c r="K102">
        <f ca="1">IF(AND(ISNUMBER($K$557),$B$419=1),$K$557,HLOOKUP(INDIRECT(ADDRESS(2,COLUMN())),OFFSET($BN$2,0,0,ROW()-1,60),ROW()-1,FALSE))</f>
        <v>204.96299999999999</v>
      </c>
      <c r="L102">
        <f ca="1">IF(AND(ISNUMBER($L$557),$B$419=1),$L$557,HLOOKUP(INDIRECT(ADDRESS(2,COLUMN())),OFFSET($BN$2,0,0,ROW()-1,60),ROW()-1,FALSE))</f>
        <v>183.55500000000001</v>
      </c>
      <c r="M102" t="str">
        <f ca="1">IF(AND(ISNUMBER($M$557),$B$419=1),$M$557,HLOOKUP(INDIRECT(ADDRESS(2,COLUMN())),OFFSET($BN$2,0,0,ROW()-1,60),ROW()-1,FALSE))</f>
        <v/>
      </c>
      <c r="N102" t="str">
        <f ca="1">IF(AND(ISNUMBER($N$557),$B$419=1),$N$557,HLOOKUP(INDIRECT(ADDRESS(2,COLUMN())),OFFSET($BN$2,0,0,ROW()-1,60),ROW()-1,FALSE))</f>
        <v/>
      </c>
      <c r="O102" t="str">
        <f ca="1">IF(AND(ISNUMBER($O$557),$B$419=1),$O$557,HLOOKUP(INDIRECT(ADDRESS(2,COLUMN())),OFFSET($BN$2,0,0,ROW()-1,60),ROW()-1,FALSE))</f>
        <v/>
      </c>
      <c r="P102" t="str">
        <f ca="1">IF(AND(ISNUMBER($P$557),$B$419=1),$P$557,HLOOKUP(INDIRECT(ADDRESS(2,COLUMN())),OFFSET($BN$2,0,0,ROW()-1,60),ROW()-1,FALSE))</f>
        <v/>
      </c>
      <c r="Q102" t="str">
        <f ca="1">IF(AND(ISNUMBER($Q$557),$B$419=1),$Q$557,HLOOKUP(INDIRECT(ADDRESS(2,COLUMN())),OFFSET($BN$2,0,0,ROW()-1,60),ROW()-1,FALSE))</f>
        <v/>
      </c>
      <c r="R102" t="str">
        <f ca="1">IF(AND(ISNUMBER($R$557),$B$419=1),$R$557,HLOOKUP(INDIRECT(ADDRESS(2,COLUMN())),OFFSET($BN$2,0,0,ROW()-1,60),ROW()-1,FALSE))</f>
        <v/>
      </c>
      <c r="S102" t="str">
        <f ca="1">IF(AND(ISNUMBER($S$557),$B$419=1),$S$557,HLOOKUP(INDIRECT(ADDRESS(2,COLUMN())),OFFSET($BN$2,0,0,ROW()-1,60),ROW()-1,FALSE))</f>
        <v/>
      </c>
      <c r="T102" t="str">
        <f ca="1">IF(AND(ISNUMBER($T$557),$B$419=1),$T$557,HLOOKUP(INDIRECT(ADDRESS(2,COLUMN())),OFFSET($BN$2,0,0,ROW()-1,60),ROW()-1,FALSE))</f>
        <v/>
      </c>
      <c r="U102" t="str">
        <f ca="1">IF(AND(ISNUMBER($U$557),$B$419=1),$U$557,HLOOKUP(INDIRECT(ADDRESS(2,COLUMN())),OFFSET($BN$2,0,0,ROW()-1,60),ROW()-1,FALSE))</f>
        <v/>
      </c>
      <c r="V102" t="str">
        <f ca="1">IF(AND(ISNUMBER($V$557),$B$419=1),$V$557,HLOOKUP(INDIRECT(ADDRESS(2,COLUMN())),OFFSET($BN$2,0,0,ROW()-1,60),ROW()-1,FALSE))</f>
        <v/>
      </c>
      <c r="W102" t="str">
        <f ca="1">IF(AND(ISNUMBER($W$557),$B$419=1),$W$557,HLOOKUP(INDIRECT(ADDRESS(2,COLUMN())),OFFSET($BN$2,0,0,ROW()-1,60),ROW()-1,FALSE))</f>
        <v/>
      </c>
      <c r="X102" t="str">
        <f ca="1">IF(AND(ISNUMBER($X$557),$B$419=1),$X$557,HLOOKUP(INDIRECT(ADDRESS(2,COLUMN())),OFFSET($BN$2,0,0,ROW()-1,60),ROW()-1,FALSE))</f>
        <v/>
      </c>
      <c r="Y102" t="str">
        <f ca="1">IF(AND(ISNUMBER($Y$557),$B$419=1),$Y$557,HLOOKUP(INDIRECT(ADDRESS(2,COLUMN())),OFFSET($BN$2,0,0,ROW()-1,60),ROW()-1,FALSE))</f>
        <v/>
      </c>
      <c r="Z102" t="str">
        <f ca="1">IF(AND(ISNUMBER($Z$557),$B$419=1),$Z$557,HLOOKUP(INDIRECT(ADDRESS(2,COLUMN())),OFFSET($BN$2,0,0,ROW()-1,60),ROW()-1,FALSE))</f>
        <v/>
      </c>
      <c r="AA102" t="str">
        <f ca="1">IF(AND(ISNUMBER($AA$557),$B$419=1),$AA$557,HLOOKUP(INDIRECT(ADDRESS(2,COLUMN())),OFFSET($BN$2,0,0,ROW()-1,60),ROW()-1,FALSE))</f>
        <v/>
      </c>
      <c r="AB102" t="str">
        <f ca="1">IF(AND(ISNUMBER($AB$557),$B$419=1),$AB$557,HLOOKUP(INDIRECT(ADDRESS(2,COLUMN())),OFFSET($BN$2,0,0,ROW()-1,60),ROW()-1,FALSE))</f>
        <v/>
      </c>
      <c r="AC102" t="str">
        <f ca="1">IF(AND(ISNUMBER($AC$557),$B$419=1),$AC$557,HLOOKUP(INDIRECT(ADDRESS(2,COLUMN())),OFFSET($BN$2,0,0,ROW()-1,60),ROW()-1,FALSE))</f>
        <v/>
      </c>
      <c r="AD102" t="str">
        <f ca="1">IF(AND(ISNUMBER($AD$557),$B$419=1),$AD$557,HLOOKUP(INDIRECT(ADDRESS(2,COLUMN())),OFFSET($BN$2,0,0,ROW()-1,60),ROW()-1,FALSE))</f>
        <v/>
      </c>
      <c r="AE102" t="str">
        <f ca="1">IF(AND(ISNUMBER($AE$557),$B$419=1),$AE$557,HLOOKUP(INDIRECT(ADDRESS(2,COLUMN())),OFFSET($BN$2,0,0,ROW()-1,60),ROW()-1,FALSE))</f>
        <v/>
      </c>
      <c r="AF102" t="str">
        <f ca="1">IF(AND(ISNUMBER($AF$557),$B$419=1),$AF$557,HLOOKUP(INDIRECT(ADDRESS(2,COLUMN())),OFFSET($BN$2,0,0,ROW()-1,60),ROW()-1,FALSE))</f>
        <v/>
      </c>
      <c r="AG102" t="str">
        <f ca="1">IF(AND(ISNUMBER($AG$557),$B$419=1),$AG$557,HLOOKUP(INDIRECT(ADDRESS(2,COLUMN())),OFFSET($BN$2,0,0,ROW()-1,60),ROW()-1,FALSE))</f>
        <v/>
      </c>
      <c r="AH102" t="str">
        <f ca="1">IF(AND(ISNUMBER($AH$557),$B$419=1),$AH$557,HLOOKUP(INDIRECT(ADDRESS(2,COLUMN())),OFFSET($BN$2,0,0,ROW()-1,60),ROW()-1,FALSE))</f>
        <v/>
      </c>
      <c r="AI102" t="str">
        <f ca="1">IF(AND(ISNUMBER($AI$557),$B$419=1),$AI$557,HLOOKUP(INDIRECT(ADDRESS(2,COLUMN())),OFFSET($BN$2,0,0,ROW()-1,60),ROW()-1,FALSE))</f>
        <v/>
      </c>
      <c r="AJ102" t="str">
        <f ca="1">IF(AND(ISNUMBER($AJ$557),$B$419=1),$AJ$557,HLOOKUP(INDIRECT(ADDRESS(2,COLUMN())),OFFSET($BN$2,0,0,ROW()-1,60),ROW()-1,FALSE))</f>
        <v/>
      </c>
      <c r="AK102" t="str">
        <f ca="1">IF(AND(ISNUMBER($AK$557),$B$419=1),$AK$557,HLOOKUP(INDIRECT(ADDRESS(2,COLUMN())),OFFSET($BN$2,0,0,ROW()-1,60),ROW()-1,FALSE))</f>
        <v/>
      </c>
      <c r="AL102" t="str">
        <f ca="1">IF(AND(ISNUMBER($AL$557),$B$419=1),$AL$557,HLOOKUP(INDIRECT(ADDRESS(2,COLUMN())),OFFSET($BN$2,0,0,ROW()-1,60),ROW()-1,FALSE))</f>
        <v/>
      </c>
      <c r="AM102" t="str">
        <f ca="1">IF(AND(ISNUMBER($AM$557),$B$419=1),$AM$557,HLOOKUP(INDIRECT(ADDRESS(2,COLUMN())),OFFSET($BN$2,0,0,ROW()-1,60),ROW()-1,FALSE))</f>
        <v/>
      </c>
      <c r="AN102" t="str">
        <f ca="1">IF(AND(ISNUMBER($AN$557),$B$419=1),$AN$557,HLOOKUP(INDIRECT(ADDRESS(2,COLUMN())),OFFSET($BN$2,0,0,ROW()-1,60),ROW()-1,FALSE))</f>
        <v/>
      </c>
      <c r="AO102" t="str">
        <f ca="1">IF(AND(ISNUMBER($AO$557),$B$419=1),$AO$557,HLOOKUP(INDIRECT(ADDRESS(2,COLUMN())),OFFSET($BN$2,0,0,ROW()-1,60),ROW()-1,FALSE))</f>
        <v/>
      </c>
      <c r="AP102" t="str">
        <f ca="1">IF(AND(ISNUMBER($AP$557),$B$419=1),$AP$557,HLOOKUP(INDIRECT(ADDRESS(2,COLUMN())),OFFSET($BN$2,0,0,ROW()-1,60),ROW()-1,FALSE))</f>
        <v/>
      </c>
      <c r="AQ102" t="str">
        <f ca="1">IF(AND(ISNUMBER($AQ$557),$B$419=1),$AQ$557,HLOOKUP(INDIRECT(ADDRESS(2,COLUMN())),OFFSET($BN$2,0,0,ROW()-1,60),ROW()-1,FALSE))</f>
        <v/>
      </c>
      <c r="AR102" t="str">
        <f ca="1">IF(AND(ISNUMBER($AR$557),$B$419=1),$AR$557,HLOOKUP(INDIRECT(ADDRESS(2,COLUMN())),OFFSET($BN$2,0,0,ROW()-1,60),ROW()-1,FALSE))</f>
        <v/>
      </c>
      <c r="AS102" t="str">
        <f ca="1">IF(AND(ISNUMBER($AS$557),$B$419=1),$AS$557,HLOOKUP(INDIRECT(ADDRESS(2,COLUMN())),OFFSET($BN$2,0,0,ROW()-1,60),ROW()-1,FALSE))</f>
        <v/>
      </c>
      <c r="AT102" t="str">
        <f ca="1">IF(AND(ISNUMBER($AT$557),$B$419=1),$AT$557,HLOOKUP(INDIRECT(ADDRESS(2,COLUMN())),OFFSET($BN$2,0,0,ROW()-1,60),ROW()-1,FALSE))</f>
        <v/>
      </c>
      <c r="AU102" t="str">
        <f ca="1">IF(AND(ISNUMBER($AU$557),$B$419=1),$AU$557,HLOOKUP(INDIRECT(ADDRESS(2,COLUMN())),OFFSET($BN$2,0,0,ROW()-1,60),ROW()-1,FALSE))</f>
        <v/>
      </c>
      <c r="AV102" t="str">
        <f ca="1">IF(AND(ISNUMBER($AV$557),$B$419=1),$AV$557,HLOOKUP(INDIRECT(ADDRESS(2,COLUMN())),OFFSET($BN$2,0,0,ROW()-1,60),ROW()-1,FALSE))</f>
        <v/>
      </c>
      <c r="AW102" t="str">
        <f ca="1">IF(AND(ISNUMBER($AW$557),$B$419=1),$AW$557,HLOOKUP(INDIRECT(ADDRESS(2,COLUMN())),OFFSET($BN$2,0,0,ROW()-1,60),ROW()-1,FALSE))</f>
        <v/>
      </c>
      <c r="AX102" t="str">
        <f ca="1">IF(AND(ISNUMBER($AX$557),$B$419=1),$AX$557,HLOOKUP(INDIRECT(ADDRESS(2,COLUMN())),OFFSET($BN$2,0,0,ROW()-1,60),ROW()-1,FALSE))</f>
        <v/>
      </c>
      <c r="AY102" t="str">
        <f ca="1">IF(AND(ISNUMBER($AY$557),$B$419=1),$AY$557,HLOOKUP(INDIRECT(ADDRESS(2,COLUMN())),OFFSET($BN$2,0,0,ROW()-1,60),ROW()-1,FALSE))</f>
        <v/>
      </c>
      <c r="AZ102" t="str">
        <f ca="1">IF(AND(ISNUMBER($AZ$557),$B$419=1),$AZ$557,HLOOKUP(INDIRECT(ADDRESS(2,COLUMN())),OFFSET($BN$2,0,0,ROW()-1,60),ROW()-1,FALSE))</f>
        <v/>
      </c>
      <c r="BA102" t="str">
        <f ca="1">IF(AND(ISNUMBER($BA$557),$B$419=1),$BA$557,HLOOKUP(INDIRECT(ADDRESS(2,COLUMN())),OFFSET($BN$2,0,0,ROW()-1,60),ROW()-1,FALSE))</f>
        <v/>
      </c>
      <c r="BB102" t="str">
        <f ca="1">IF(AND(ISNUMBER($BB$557),$B$419=1),$BB$557,HLOOKUP(INDIRECT(ADDRESS(2,COLUMN())),OFFSET($BN$2,0,0,ROW()-1,60),ROW()-1,FALSE))</f>
        <v/>
      </c>
      <c r="BC102" t="str">
        <f ca="1">IF(AND(ISNUMBER($BC$557),$B$419=1),$BC$557,HLOOKUP(INDIRECT(ADDRESS(2,COLUMN())),OFFSET($BN$2,0,0,ROW()-1,60),ROW()-1,FALSE))</f>
        <v/>
      </c>
      <c r="BD102" t="str">
        <f ca="1">IF(AND(ISNUMBER($BD$557),$B$419=1),$BD$557,HLOOKUP(INDIRECT(ADDRESS(2,COLUMN())),OFFSET($BN$2,0,0,ROW()-1,60),ROW()-1,FALSE))</f>
        <v/>
      </c>
      <c r="BE102" t="str">
        <f ca="1">IF(AND(ISNUMBER($BE$557),$B$419=1),$BE$557,HLOOKUP(INDIRECT(ADDRESS(2,COLUMN())),OFFSET($BN$2,0,0,ROW()-1,60),ROW()-1,FALSE))</f>
        <v/>
      </c>
      <c r="BF102" t="str">
        <f ca="1">IF(AND(ISNUMBER($BF$557),$B$419=1),$BF$557,HLOOKUP(INDIRECT(ADDRESS(2,COLUMN())),OFFSET($BN$2,0,0,ROW()-1,60),ROW()-1,FALSE))</f>
        <v/>
      </c>
      <c r="BG102" t="str">
        <f ca="1">IF(AND(ISNUMBER($BG$557),$B$419=1),$BG$557,HLOOKUP(INDIRECT(ADDRESS(2,COLUMN())),OFFSET($BN$2,0,0,ROW()-1,60),ROW()-1,FALSE))</f>
        <v/>
      </c>
      <c r="BH102" t="str">
        <f ca="1">IF(AND(ISNUMBER($BH$557),$B$419=1),$BH$557,HLOOKUP(INDIRECT(ADDRESS(2,COLUMN())),OFFSET($BN$2,0,0,ROW()-1,60),ROW()-1,FALSE))</f>
        <v/>
      </c>
      <c r="BI102" t="str">
        <f ca="1">IF(AND(ISNUMBER($BI$557),$B$419=1),$BI$557,HLOOKUP(INDIRECT(ADDRESS(2,COLUMN())),OFFSET($BN$2,0,0,ROW()-1,60),ROW()-1,FALSE))</f>
        <v/>
      </c>
      <c r="BJ102" t="str">
        <f ca="1">IF(AND(ISNUMBER($BJ$557),$B$419=1),$BJ$557,HLOOKUP(INDIRECT(ADDRESS(2,COLUMN())),OFFSET($BN$2,0,0,ROW()-1,60),ROW()-1,FALSE))</f>
        <v/>
      </c>
      <c r="BK102" t="str">
        <f ca="1">IF(AND(ISNUMBER($BK$557),$B$419=1),$BK$557,HLOOKUP(INDIRECT(ADDRESS(2,COLUMN())),OFFSET($BN$2,0,0,ROW()-1,60),ROW()-1,FALSE))</f>
        <v/>
      </c>
      <c r="BL102" t="str">
        <f ca="1">IF(AND(ISNUMBER($BL$557),$B$419=1),$BL$557,HLOOKUP(INDIRECT(ADDRESS(2,COLUMN())),OFFSET($BN$2,0,0,ROW()-1,60),ROW()-1,FALSE))</f>
        <v/>
      </c>
      <c r="BM102" t="str">
        <f ca="1">IF(AND(ISNUMBER($BM$557),$B$419=1),$BM$557,HLOOKUP(INDIRECT(ADDRESS(2,COLUMN())),OFFSET($BN$2,0,0,ROW()-1,60),ROW()-1,FALSE))</f>
        <v/>
      </c>
      <c r="BN102" t="str">
        <f>""</f>
        <v/>
      </c>
      <c r="BO102">
        <f>182.738</f>
        <v>182.738</v>
      </c>
      <c r="BP102">
        <f>167.505</f>
        <v>167.505</v>
      </c>
      <c r="BQ102">
        <f>172.651</f>
        <v>172.65100000000001</v>
      </c>
      <c r="BR102">
        <f>176.544</f>
        <v>176.54400000000001</v>
      </c>
      <c r="BS102">
        <f>204.963</f>
        <v>204.96299999999999</v>
      </c>
      <c r="BT102">
        <f>183.555</f>
        <v>183.55500000000001</v>
      </c>
      <c r="BU102" t="str">
        <f>""</f>
        <v/>
      </c>
      <c r="BV102" t="str">
        <f>""</f>
        <v/>
      </c>
      <c r="BW102" t="str">
        <f>""</f>
        <v/>
      </c>
      <c r="BX102" t="str">
        <f>""</f>
        <v/>
      </c>
      <c r="BY102" t="str">
        <f>""</f>
        <v/>
      </c>
      <c r="BZ102" t="str">
        <f>""</f>
        <v/>
      </c>
      <c r="CA102" t="str">
        <f>""</f>
        <v/>
      </c>
      <c r="CB102" t="str">
        <f>""</f>
        <v/>
      </c>
      <c r="CC102" t="str">
        <f>""</f>
        <v/>
      </c>
      <c r="CD102" t="str">
        <f>""</f>
        <v/>
      </c>
      <c r="CE102" t="str">
        <f>""</f>
        <v/>
      </c>
      <c r="CF102" t="str">
        <f>""</f>
        <v/>
      </c>
      <c r="CG102" t="str">
        <f>""</f>
        <v/>
      </c>
      <c r="CH102" t="str">
        <f>""</f>
        <v/>
      </c>
      <c r="CI102" t="str">
        <f>""</f>
        <v/>
      </c>
      <c r="CJ102" t="str">
        <f>""</f>
        <v/>
      </c>
      <c r="CK102" t="str">
        <f>""</f>
        <v/>
      </c>
      <c r="CL102" t="str">
        <f>""</f>
        <v/>
      </c>
      <c r="CM102" t="str">
        <f>""</f>
        <v/>
      </c>
      <c r="CN102" t="str">
        <f>""</f>
        <v/>
      </c>
      <c r="CO102" t="str">
        <f>""</f>
        <v/>
      </c>
      <c r="CP102" t="str">
        <f>""</f>
        <v/>
      </c>
      <c r="CQ102" t="str">
        <f>""</f>
        <v/>
      </c>
      <c r="CR102" t="str">
        <f>""</f>
        <v/>
      </c>
      <c r="CS102" t="str">
        <f>""</f>
        <v/>
      </c>
      <c r="CT102" t="str">
        <f>""</f>
        <v/>
      </c>
      <c r="CU102" t="str">
        <f>""</f>
        <v/>
      </c>
      <c r="CV102" t="str">
        <f>""</f>
        <v/>
      </c>
      <c r="CW102" t="str">
        <f>""</f>
        <v/>
      </c>
      <c r="CX102" t="str">
        <f>""</f>
        <v/>
      </c>
      <c r="CY102" t="str">
        <f>""</f>
        <v/>
      </c>
      <c r="CZ102" t="str">
        <f>""</f>
        <v/>
      </c>
      <c r="DA102" t="str">
        <f>""</f>
        <v/>
      </c>
      <c r="DB102" t="str">
        <f>""</f>
        <v/>
      </c>
      <c r="DC102" t="str">
        <f>""</f>
        <v/>
      </c>
      <c r="DD102" t="str">
        <f>""</f>
        <v/>
      </c>
      <c r="DE102" t="str">
        <f>""</f>
        <v/>
      </c>
      <c r="DF102" t="str">
        <f>""</f>
        <v/>
      </c>
      <c r="DG102" t="str">
        <f>""</f>
        <v/>
      </c>
      <c r="DH102" t="str">
        <f>""</f>
        <v/>
      </c>
      <c r="DI102" t="str">
        <f>""</f>
        <v/>
      </c>
      <c r="DJ102" t="str">
        <f>""</f>
        <v/>
      </c>
      <c r="DK102" t="str">
        <f>""</f>
        <v/>
      </c>
      <c r="DL102" t="str">
        <f>""</f>
        <v/>
      </c>
      <c r="DM102" t="str">
        <f>""</f>
        <v/>
      </c>
      <c r="DN102" t="str">
        <f>""</f>
        <v/>
      </c>
      <c r="DO102" t="str">
        <f>""</f>
        <v/>
      </c>
      <c r="DP102" t="str">
        <f>""</f>
        <v/>
      </c>
      <c r="DQ102" t="str">
        <f>""</f>
        <v/>
      </c>
      <c r="DR102" t="str">
        <f>""</f>
        <v/>
      </c>
      <c r="DS102" t="str">
        <f>""</f>
        <v/>
      </c>
      <c r="DT102" t="str">
        <f>""</f>
        <v/>
      </c>
      <c r="DU102" t="str">
        <f>""</f>
        <v/>
      </c>
    </row>
    <row r="103" spans="1:125">
      <c r="A103" t="str">
        <f>"    DDR Corp"</f>
        <v xml:space="preserve">    DDR Corp</v>
      </c>
      <c r="B103" t="str">
        <f>"DDR US Equity"</f>
        <v>DDR US Equity</v>
      </c>
      <c r="C103" t="str">
        <f t="shared" si="18"/>
        <v>IS972</v>
      </c>
      <c r="D103" t="str">
        <f t="shared" si="19"/>
        <v>IS_ADJUSTED_EBITDA_AS_REPORTED</v>
      </c>
      <c r="E103" t="str">
        <f t="shared" si="20"/>
        <v>动态</v>
      </c>
      <c r="F103" t="str">
        <f ca="1">IF(AND(ISNUMBER($F$558),$B$419=1),$F$558,HLOOKUP(INDIRECT(ADDRESS(2,COLUMN())),OFFSET($BN$2,0,0,ROW()-1,60),ROW()-1,FALSE))</f>
        <v/>
      </c>
      <c r="G103">
        <f ca="1">IF(AND(ISNUMBER($G$558),$B$419=1),$G$558,HLOOKUP(INDIRECT(ADDRESS(2,COLUMN())),OFFSET($BN$2,0,0,ROW()-1,60),ROW()-1,FALSE))</f>
        <v>155.64400000000001</v>
      </c>
      <c r="H103">
        <f ca="1">IF(AND(ISNUMBER($H$558),$B$419=1),$H$558,HLOOKUP(INDIRECT(ADDRESS(2,COLUMN())),OFFSET($BN$2,0,0,ROW()-1,60),ROW()-1,FALSE))</f>
        <v>170.304</v>
      </c>
      <c r="I103">
        <f ca="1">IF(AND(ISNUMBER($I$558),$B$419=1),$I$558,HLOOKUP(INDIRECT(ADDRESS(2,COLUMN())),OFFSET($BN$2,0,0,ROW()-1,60),ROW()-1,FALSE))</f>
        <v>166.15299999999999</v>
      </c>
      <c r="J103">
        <f ca="1">IF(AND(ISNUMBER($J$558),$B$419=1),$J$558,HLOOKUP(INDIRECT(ADDRESS(2,COLUMN())),OFFSET($BN$2,0,0,ROW()-1,60),ROW()-1,FALSE))</f>
        <v>168.1</v>
      </c>
      <c r="K103" t="str">
        <f ca="1">IF(AND(ISNUMBER($K$558),$B$419=1),$K$558,HLOOKUP(INDIRECT(ADDRESS(2,COLUMN())),OFFSET($BN$2,0,0,ROW()-1,60),ROW()-1,FALSE))</f>
        <v/>
      </c>
      <c r="L103">
        <f ca="1">IF(AND(ISNUMBER($L$558),$B$419=1),$L$558,HLOOKUP(INDIRECT(ADDRESS(2,COLUMN())),OFFSET($BN$2,0,0,ROW()-1,60),ROW()-1,FALSE))</f>
        <v>182.43299999999999</v>
      </c>
      <c r="M103">
        <f ca="1">IF(AND(ISNUMBER($M$558),$B$419=1),$M$558,HLOOKUP(INDIRECT(ADDRESS(2,COLUMN())),OFFSET($BN$2,0,0,ROW()-1,60),ROW()-1,FALSE))</f>
        <v>184.434</v>
      </c>
      <c r="N103">
        <f ca="1">IF(AND(ISNUMBER($N$558),$B$419=1),$N$558,HLOOKUP(INDIRECT(ADDRESS(2,COLUMN())),OFFSET($BN$2,0,0,ROW()-1,60),ROW()-1,FALSE))</f>
        <v>180</v>
      </c>
      <c r="O103" t="str">
        <f ca="1">IF(AND(ISNUMBER($O$558),$B$419=1),$O$558,HLOOKUP(INDIRECT(ADDRESS(2,COLUMN())),OFFSET($BN$2,0,0,ROW()-1,60),ROW()-1,FALSE))</f>
        <v/>
      </c>
      <c r="P103" t="str">
        <f ca="1">IF(AND(ISNUMBER($P$558),$B$419=1),$P$558,HLOOKUP(INDIRECT(ADDRESS(2,COLUMN())),OFFSET($BN$2,0,0,ROW()-1,60),ROW()-1,FALSE))</f>
        <v/>
      </c>
      <c r="Q103" t="str">
        <f ca="1">IF(AND(ISNUMBER($Q$558),$B$419=1),$Q$558,HLOOKUP(INDIRECT(ADDRESS(2,COLUMN())),OFFSET($BN$2,0,0,ROW()-1,60),ROW()-1,FALSE))</f>
        <v/>
      </c>
      <c r="R103" t="str">
        <f ca="1">IF(AND(ISNUMBER($R$558),$B$419=1),$R$558,HLOOKUP(INDIRECT(ADDRESS(2,COLUMN())),OFFSET($BN$2,0,0,ROW()-1,60),ROW()-1,FALSE))</f>
        <v/>
      </c>
      <c r="S103" t="str">
        <f ca="1">IF(AND(ISNUMBER($S$558),$B$419=1),$S$558,HLOOKUP(INDIRECT(ADDRESS(2,COLUMN())),OFFSET($BN$2,0,0,ROW()-1,60),ROW()-1,FALSE))</f>
        <v/>
      </c>
      <c r="T103" t="str">
        <f ca="1">IF(AND(ISNUMBER($T$558),$B$419=1),$T$558,HLOOKUP(INDIRECT(ADDRESS(2,COLUMN())),OFFSET($BN$2,0,0,ROW()-1,60),ROW()-1,FALSE))</f>
        <v/>
      </c>
      <c r="U103" t="str">
        <f ca="1">IF(AND(ISNUMBER($U$558),$B$419=1),$U$558,HLOOKUP(INDIRECT(ADDRESS(2,COLUMN())),OFFSET($BN$2,0,0,ROW()-1,60),ROW()-1,FALSE))</f>
        <v/>
      </c>
      <c r="V103" t="str">
        <f ca="1">IF(AND(ISNUMBER($V$558),$B$419=1),$V$558,HLOOKUP(INDIRECT(ADDRESS(2,COLUMN())),OFFSET($BN$2,0,0,ROW()-1,60),ROW()-1,FALSE))</f>
        <v/>
      </c>
      <c r="W103" t="str">
        <f ca="1">IF(AND(ISNUMBER($W$558),$B$419=1),$W$558,HLOOKUP(INDIRECT(ADDRESS(2,COLUMN())),OFFSET($BN$2,0,0,ROW()-1,60),ROW()-1,FALSE))</f>
        <v/>
      </c>
      <c r="X103" t="str">
        <f ca="1">IF(AND(ISNUMBER($X$558),$B$419=1),$X$558,HLOOKUP(INDIRECT(ADDRESS(2,COLUMN())),OFFSET($BN$2,0,0,ROW()-1,60),ROW()-1,FALSE))</f>
        <v/>
      </c>
      <c r="Y103" t="str">
        <f ca="1">IF(AND(ISNUMBER($Y$558),$B$419=1),$Y$558,HLOOKUP(INDIRECT(ADDRESS(2,COLUMN())),OFFSET($BN$2,0,0,ROW()-1,60),ROW()-1,FALSE))</f>
        <v/>
      </c>
      <c r="Z103" t="str">
        <f ca="1">IF(AND(ISNUMBER($Z$558),$B$419=1),$Z$558,HLOOKUP(INDIRECT(ADDRESS(2,COLUMN())),OFFSET($BN$2,0,0,ROW()-1,60),ROW()-1,FALSE))</f>
        <v/>
      </c>
      <c r="AA103" t="str">
        <f ca="1">IF(AND(ISNUMBER($AA$558),$B$419=1),$AA$558,HLOOKUP(INDIRECT(ADDRESS(2,COLUMN())),OFFSET($BN$2,0,0,ROW()-1,60),ROW()-1,FALSE))</f>
        <v/>
      </c>
      <c r="AB103" t="str">
        <f ca="1">IF(AND(ISNUMBER($AB$558),$B$419=1),$AB$558,HLOOKUP(INDIRECT(ADDRESS(2,COLUMN())),OFFSET($BN$2,0,0,ROW()-1,60),ROW()-1,FALSE))</f>
        <v/>
      </c>
      <c r="AC103" t="str">
        <f ca="1">IF(AND(ISNUMBER($AC$558),$B$419=1),$AC$558,HLOOKUP(INDIRECT(ADDRESS(2,COLUMN())),OFFSET($BN$2,0,0,ROW()-1,60),ROW()-1,FALSE))</f>
        <v/>
      </c>
      <c r="AD103" t="str">
        <f ca="1">IF(AND(ISNUMBER($AD$558),$B$419=1),$AD$558,HLOOKUP(INDIRECT(ADDRESS(2,COLUMN())),OFFSET($BN$2,0,0,ROW()-1,60),ROW()-1,FALSE))</f>
        <v/>
      </c>
      <c r="AE103" t="str">
        <f ca="1">IF(AND(ISNUMBER($AE$558),$B$419=1),$AE$558,HLOOKUP(INDIRECT(ADDRESS(2,COLUMN())),OFFSET($BN$2,0,0,ROW()-1,60),ROW()-1,FALSE))</f>
        <v/>
      </c>
      <c r="AF103" t="str">
        <f ca="1">IF(AND(ISNUMBER($AF$558),$B$419=1),$AF$558,HLOOKUP(INDIRECT(ADDRESS(2,COLUMN())),OFFSET($BN$2,0,0,ROW()-1,60),ROW()-1,FALSE))</f>
        <v/>
      </c>
      <c r="AG103" t="str">
        <f ca="1">IF(AND(ISNUMBER($AG$558),$B$419=1),$AG$558,HLOOKUP(INDIRECT(ADDRESS(2,COLUMN())),OFFSET($BN$2,0,0,ROW()-1,60),ROW()-1,FALSE))</f>
        <v/>
      </c>
      <c r="AH103" t="str">
        <f ca="1">IF(AND(ISNUMBER($AH$558),$B$419=1),$AH$558,HLOOKUP(INDIRECT(ADDRESS(2,COLUMN())),OFFSET($BN$2,0,0,ROW()-1,60),ROW()-1,FALSE))</f>
        <v/>
      </c>
      <c r="AI103" t="str">
        <f ca="1">IF(AND(ISNUMBER($AI$558),$B$419=1),$AI$558,HLOOKUP(INDIRECT(ADDRESS(2,COLUMN())),OFFSET($BN$2,0,0,ROW()-1,60),ROW()-1,FALSE))</f>
        <v/>
      </c>
      <c r="AJ103" t="str">
        <f ca="1">IF(AND(ISNUMBER($AJ$558),$B$419=1),$AJ$558,HLOOKUP(INDIRECT(ADDRESS(2,COLUMN())),OFFSET($BN$2,0,0,ROW()-1,60),ROW()-1,FALSE))</f>
        <v/>
      </c>
      <c r="AK103" t="str">
        <f ca="1">IF(AND(ISNUMBER($AK$558),$B$419=1),$AK$558,HLOOKUP(INDIRECT(ADDRESS(2,COLUMN())),OFFSET($BN$2,0,0,ROW()-1,60),ROW()-1,FALSE))</f>
        <v/>
      </c>
      <c r="AL103" t="str">
        <f ca="1">IF(AND(ISNUMBER($AL$558),$B$419=1),$AL$558,HLOOKUP(INDIRECT(ADDRESS(2,COLUMN())),OFFSET($BN$2,0,0,ROW()-1,60),ROW()-1,FALSE))</f>
        <v/>
      </c>
      <c r="AM103" t="str">
        <f ca="1">IF(AND(ISNUMBER($AM$558),$B$419=1),$AM$558,HLOOKUP(INDIRECT(ADDRESS(2,COLUMN())),OFFSET($BN$2,0,0,ROW()-1,60),ROW()-1,FALSE))</f>
        <v/>
      </c>
      <c r="AN103" t="str">
        <f ca="1">IF(AND(ISNUMBER($AN$558),$B$419=1),$AN$558,HLOOKUP(INDIRECT(ADDRESS(2,COLUMN())),OFFSET($BN$2,0,0,ROW()-1,60),ROW()-1,FALSE))</f>
        <v/>
      </c>
      <c r="AO103" t="str">
        <f ca="1">IF(AND(ISNUMBER($AO$558),$B$419=1),$AO$558,HLOOKUP(INDIRECT(ADDRESS(2,COLUMN())),OFFSET($BN$2,0,0,ROW()-1,60),ROW()-1,FALSE))</f>
        <v/>
      </c>
      <c r="AP103" t="str">
        <f ca="1">IF(AND(ISNUMBER($AP$558),$B$419=1),$AP$558,HLOOKUP(INDIRECT(ADDRESS(2,COLUMN())),OFFSET($BN$2,0,0,ROW()-1,60),ROW()-1,FALSE))</f>
        <v/>
      </c>
      <c r="AQ103" t="str">
        <f ca="1">IF(AND(ISNUMBER($AQ$558),$B$419=1),$AQ$558,HLOOKUP(INDIRECT(ADDRESS(2,COLUMN())),OFFSET($BN$2,0,0,ROW()-1,60),ROW()-1,FALSE))</f>
        <v/>
      </c>
      <c r="AR103" t="str">
        <f ca="1">IF(AND(ISNUMBER($AR$558),$B$419=1),$AR$558,HLOOKUP(INDIRECT(ADDRESS(2,COLUMN())),OFFSET($BN$2,0,0,ROW()-1,60),ROW()-1,FALSE))</f>
        <v/>
      </c>
      <c r="AS103" t="str">
        <f ca="1">IF(AND(ISNUMBER($AS$558),$B$419=1),$AS$558,HLOOKUP(INDIRECT(ADDRESS(2,COLUMN())),OFFSET($BN$2,0,0,ROW()-1,60),ROW()-1,FALSE))</f>
        <v/>
      </c>
      <c r="AT103" t="str">
        <f ca="1">IF(AND(ISNUMBER($AT$558),$B$419=1),$AT$558,HLOOKUP(INDIRECT(ADDRESS(2,COLUMN())),OFFSET($BN$2,0,0,ROW()-1,60),ROW()-1,FALSE))</f>
        <v/>
      </c>
      <c r="AU103" t="str">
        <f ca="1">IF(AND(ISNUMBER($AU$558),$B$419=1),$AU$558,HLOOKUP(INDIRECT(ADDRESS(2,COLUMN())),OFFSET($BN$2,0,0,ROW()-1,60),ROW()-1,FALSE))</f>
        <v/>
      </c>
      <c r="AV103" t="str">
        <f ca="1">IF(AND(ISNUMBER($AV$558),$B$419=1),$AV$558,HLOOKUP(INDIRECT(ADDRESS(2,COLUMN())),OFFSET($BN$2,0,0,ROW()-1,60),ROW()-1,FALSE))</f>
        <v/>
      </c>
      <c r="AW103" t="str">
        <f ca="1">IF(AND(ISNUMBER($AW$558),$B$419=1),$AW$558,HLOOKUP(INDIRECT(ADDRESS(2,COLUMN())),OFFSET($BN$2,0,0,ROW()-1,60),ROW()-1,FALSE))</f>
        <v/>
      </c>
      <c r="AX103" t="str">
        <f ca="1">IF(AND(ISNUMBER($AX$558),$B$419=1),$AX$558,HLOOKUP(INDIRECT(ADDRESS(2,COLUMN())),OFFSET($BN$2,0,0,ROW()-1,60),ROW()-1,FALSE))</f>
        <v/>
      </c>
      <c r="AY103" t="str">
        <f ca="1">IF(AND(ISNUMBER($AY$558),$B$419=1),$AY$558,HLOOKUP(INDIRECT(ADDRESS(2,COLUMN())),OFFSET($BN$2,0,0,ROW()-1,60),ROW()-1,FALSE))</f>
        <v/>
      </c>
      <c r="AZ103" t="str">
        <f ca="1">IF(AND(ISNUMBER($AZ$558),$B$419=1),$AZ$558,HLOOKUP(INDIRECT(ADDRESS(2,COLUMN())),OFFSET($BN$2,0,0,ROW()-1,60),ROW()-1,FALSE))</f>
        <v/>
      </c>
      <c r="BA103" t="str">
        <f ca="1">IF(AND(ISNUMBER($BA$558),$B$419=1),$BA$558,HLOOKUP(INDIRECT(ADDRESS(2,COLUMN())),OFFSET($BN$2,0,0,ROW()-1,60),ROW()-1,FALSE))</f>
        <v/>
      </c>
      <c r="BB103" t="str">
        <f ca="1">IF(AND(ISNUMBER($BB$558),$B$419=1),$BB$558,HLOOKUP(INDIRECT(ADDRESS(2,COLUMN())),OFFSET($BN$2,0,0,ROW()-1,60),ROW()-1,FALSE))</f>
        <v/>
      </c>
      <c r="BC103" t="str">
        <f ca="1">IF(AND(ISNUMBER($BC$558),$B$419=1),$BC$558,HLOOKUP(INDIRECT(ADDRESS(2,COLUMN())),OFFSET($BN$2,0,0,ROW()-1,60),ROW()-1,FALSE))</f>
        <v/>
      </c>
      <c r="BD103" t="str">
        <f ca="1">IF(AND(ISNUMBER($BD$558),$B$419=1),$BD$558,HLOOKUP(INDIRECT(ADDRESS(2,COLUMN())),OFFSET($BN$2,0,0,ROW()-1,60),ROW()-1,FALSE))</f>
        <v/>
      </c>
      <c r="BE103" t="str">
        <f ca="1">IF(AND(ISNUMBER($BE$558),$B$419=1),$BE$558,HLOOKUP(INDIRECT(ADDRESS(2,COLUMN())),OFFSET($BN$2,0,0,ROW()-1,60),ROW()-1,FALSE))</f>
        <v/>
      </c>
      <c r="BF103" t="str">
        <f ca="1">IF(AND(ISNUMBER($BF$558),$B$419=1),$BF$558,HLOOKUP(INDIRECT(ADDRESS(2,COLUMN())),OFFSET($BN$2,0,0,ROW()-1,60),ROW()-1,FALSE))</f>
        <v/>
      </c>
      <c r="BG103" t="str">
        <f ca="1">IF(AND(ISNUMBER($BG$558),$B$419=1),$BG$558,HLOOKUP(INDIRECT(ADDRESS(2,COLUMN())),OFFSET($BN$2,0,0,ROW()-1,60),ROW()-1,FALSE))</f>
        <v/>
      </c>
      <c r="BH103" t="str">
        <f ca="1">IF(AND(ISNUMBER($BH$558),$B$419=1),$BH$558,HLOOKUP(INDIRECT(ADDRESS(2,COLUMN())),OFFSET($BN$2,0,0,ROW()-1,60),ROW()-1,FALSE))</f>
        <v/>
      </c>
      <c r="BI103" t="str">
        <f ca="1">IF(AND(ISNUMBER($BI$558),$B$419=1),$BI$558,HLOOKUP(INDIRECT(ADDRESS(2,COLUMN())),OFFSET($BN$2,0,0,ROW()-1,60),ROW()-1,FALSE))</f>
        <v/>
      </c>
      <c r="BJ103" t="str">
        <f ca="1">IF(AND(ISNUMBER($BJ$558),$B$419=1),$BJ$558,HLOOKUP(INDIRECT(ADDRESS(2,COLUMN())),OFFSET($BN$2,0,0,ROW()-1,60),ROW()-1,FALSE))</f>
        <v/>
      </c>
      <c r="BK103" t="str">
        <f ca="1">IF(AND(ISNUMBER($BK$558),$B$419=1),$BK$558,HLOOKUP(INDIRECT(ADDRESS(2,COLUMN())),OFFSET($BN$2,0,0,ROW()-1,60),ROW()-1,FALSE))</f>
        <v/>
      </c>
      <c r="BL103" t="str">
        <f ca="1">IF(AND(ISNUMBER($BL$558),$B$419=1),$BL$558,HLOOKUP(INDIRECT(ADDRESS(2,COLUMN())),OFFSET($BN$2,0,0,ROW()-1,60),ROW()-1,FALSE))</f>
        <v/>
      </c>
      <c r="BM103" t="str">
        <f ca="1">IF(AND(ISNUMBER($BM$558),$B$419=1),$BM$558,HLOOKUP(INDIRECT(ADDRESS(2,COLUMN())),OFFSET($BN$2,0,0,ROW()-1,60),ROW()-1,FALSE))</f>
        <v/>
      </c>
      <c r="BN103" t="str">
        <f>""</f>
        <v/>
      </c>
      <c r="BO103">
        <f>155.644</f>
        <v>155.64400000000001</v>
      </c>
      <c r="BP103">
        <f>170.304</f>
        <v>170.304</v>
      </c>
      <c r="BQ103">
        <f>166.153</f>
        <v>166.15299999999999</v>
      </c>
      <c r="BR103">
        <f>168.1</f>
        <v>168.1</v>
      </c>
      <c r="BS103" t="str">
        <f>""</f>
        <v/>
      </c>
      <c r="BT103">
        <f>182.433</f>
        <v>182.43299999999999</v>
      </c>
      <c r="BU103">
        <f>184.434</f>
        <v>184.434</v>
      </c>
      <c r="BV103">
        <f>180</f>
        <v>180</v>
      </c>
      <c r="BW103" t="str">
        <f>""</f>
        <v/>
      </c>
      <c r="BX103" t="str">
        <f>""</f>
        <v/>
      </c>
      <c r="BY103" t="str">
        <f>""</f>
        <v/>
      </c>
      <c r="BZ103" t="str">
        <f>""</f>
        <v/>
      </c>
      <c r="CA103" t="str">
        <f>""</f>
        <v/>
      </c>
      <c r="CB103" t="str">
        <f>""</f>
        <v/>
      </c>
      <c r="CC103" t="str">
        <f>""</f>
        <v/>
      </c>
      <c r="CD103" t="str">
        <f>""</f>
        <v/>
      </c>
      <c r="CE103" t="str">
        <f>""</f>
        <v/>
      </c>
      <c r="CF103" t="str">
        <f>""</f>
        <v/>
      </c>
      <c r="CG103" t="str">
        <f>""</f>
        <v/>
      </c>
      <c r="CH103" t="str">
        <f>""</f>
        <v/>
      </c>
      <c r="CI103" t="str">
        <f>""</f>
        <v/>
      </c>
      <c r="CJ103" t="str">
        <f>""</f>
        <v/>
      </c>
      <c r="CK103" t="str">
        <f>""</f>
        <v/>
      </c>
      <c r="CL103" t="str">
        <f>""</f>
        <v/>
      </c>
      <c r="CM103" t="str">
        <f>""</f>
        <v/>
      </c>
      <c r="CN103" t="str">
        <f>""</f>
        <v/>
      </c>
      <c r="CO103" t="str">
        <f>""</f>
        <v/>
      </c>
      <c r="CP103" t="str">
        <f>""</f>
        <v/>
      </c>
      <c r="CQ103" t="str">
        <f>""</f>
        <v/>
      </c>
      <c r="CR103" t="str">
        <f>""</f>
        <v/>
      </c>
      <c r="CS103" t="str">
        <f>""</f>
        <v/>
      </c>
      <c r="CT103" t="str">
        <f>""</f>
        <v/>
      </c>
      <c r="CU103" t="str">
        <f>""</f>
        <v/>
      </c>
      <c r="CV103" t="str">
        <f>""</f>
        <v/>
      </c>
      <c r="CW103" t="str">
        <f>""</f>
        <v/>
      </c>
      <c r="CX103" t="str">
        <f>""</f>
        <v/>
      </c>
      <c r="CY103" t="str">
        <f>""</f>
        <v/>
      </c>
      <c r="CZ103" t="str">
        <f>""</f>
        <v/>
      </c>
      <c r="DA103" t="str">
        <f>""</f>
        <v/>
      </c>
      <c r="DB103" t="str">
        <f>""</f>
        <v/>
      </c>
      <c r="DC103" t="str">
        <f>""</f>
        <v/>
      </c>
      <c r="DD103" t="str">
        <f>""</f>
        <v/>
      </c>
      <c r="DE103" t="str">
        <f>""</f>
        <v/>
      </c>
      <c r="DF103" t="str">
        <f>""</f>
        <v/>
      </c>
      <c r="DG103" t="str">
        <f>""</f>
        <v/>
      </c>
      <c r="DH103" t="str">
        <f>""</f>
        <v/>
      </c>
      <c r="DI103" t="str">
        <f>""</f>
        <v/>
      </c>
      <c r="DJ103" t="str">
        <f>""</f>
        <v/>
      </c>
      <c r="DK103" t="str">
        <f>""</f>
        <v/>
      </c>
      <c r="DL103" t="str">
        <f>""</f>
        <v/>
      </c>
      <c r="DM103" t="str">
        <f>""</f>
        <v/>
      </c>
      <c r="DN103" t="str">
        <f>""</f>
        <v/>
      </c>
      <c r="DO103" t="str">
        <f>""</f>
        <v/>
      </c>
      <c r="DP103" t="str">
        <f>""</f>
        <v/>
      </c>
      <c r="DQ103" t="str">
        <f>""</f>
        <v/>
      </c>
      <c r="DR103" t="str">
        <f>""</f>
        <v/>
      </c>
      <c r="DS103" t="str">
        <f>""</f>
        <v/>
      </c>
      <c r="DT103" t="str">
        <f>""</f>
        <v/>
      </c>
      <c r="DU103" t="str">
        <f>""</f>
        <v/>
      </c>
    </row>
    <row r="104" spans="1:125">
      <c r="A104" t="str">
        <f>"    Federal Realty Investment Trus"</f>
        <v xml:space="preserve">    Federal Realty Investment Trus</v>
      </c>
      <c r="B104" t="str">
        <f>"FRT US Equity"</f>
        <v>FRT US Equity</v>
      </c>
      <c r="C104" t="str">
        <f t="shared" si="18"/>
        <v>IS972</v>
      </c>
      <c r="D104" t="str">
        <f t="shared" si="19"/>
        <v>IS_ADJUSTED_EBITDA_AS_REPORTED</v>
      </c>
      <c r="E104" t="str">
        <f t="shared" si="20"/>
        <v>动态</v>
      </c>
      <c r="F104" t="str">
        <f ca="1">IF(AND(ISNUMBER($F$559),$B$419=1),$F$559,HLOOKUP(INDIRECT(ADDRESS(2,COLUMN())),OFFSET($BN$2,0,0,ROW()-1,60),ROW()-1,FALSE))</f>
        <v/>
      </c>
      <c r="G104">
        <f ca="1">IF(AND(ISNUMBER($G$559),$B$419=1),$G$559,HLOOKUP(INDIRECT(ADDRESS(2,COLUMN())),OFFSET($BN$2,0,0,ROW()-1,60),ROW()-1,FALSE))</f>
        <v>139.98099999999999</v>
      </c>
      <c r="H104">
        <f ca="1">IF(AND(ISNUMBER($H$559),$B$419=1),$H$559,HLOOKUP(INDIRECT(ADDRESS(2,COLUMN())),OFFSET($BN$2,0,0,ROW()-1,60),ROW()-1,FALSE))</f>
        <v>139.92599999999999</v>
      </c>
      <c r="I104">
        <f ca="1">IF(AND(ISNUMBER($I$559),$B$419=1),$I$559,HLOOKUP(INDIRECT(ADDRESS(2,COLUMN())),OFFSET($BN$2,0,0,ROW()-1,60),ROW()-1,FALSE))</f>
        <v>135.642</v>
      </c>
      <c r="J104">
        <f ca="1">IF(AND(ISNUMBER($J$559),$B$419=1),$J$559,HLOOKUP(INDIRECT(ADDRESS(2,COLUMN())),OFFSET($BN$2,0,0,ROW()-1,60),ROW()-1,FALSE))</f>
        <v>132.923</v>
      </c>
      <c r="K104">
        <f ca="1">IF(AND(ISNUMBER($K$559),$B$419=1),$K$559,HLOOKUP(INDIRECT(ADDRESS(2,COLUMN())),OFFSET($BN$2,0,0,ROW()-1,60),ROW()-1,FALSE))</f>
        <v>131.934</v>
      </c>
      <c r="L104">
        <f ca="1">IF(AND(ISNUMBER($L$559),$B$419=1),$L$559,HLOOKUP(INDIRECT(ADDRESS(2,COLUMN())),OFFSET($BN$2,0,0,ROW()-1,60),ROW()-1,FALSE))</f>
        <v>129.364</v>
      </c>
      <c r="M104">
        <f ca="1">IF(AND(ISNUMBER($M$559),$B$419=1),$M$559,HLOOKUP(INDIRECT(ADDRESS(2,COLUMN())),OFFSET($BN$2,0,0,ROW()-1,60),ROW()-1,FALSE))</f>
        <v>128.57</v>
      </c>
      <c r="N104">
        <f ca="1">IF(AND(ISNUMBER($N$559),$B$419=1),$N$559,HLOOKUP(INDIRECT(ADDRESS(2,COLUMN())),OFFSET($BN$2,0,0,ROW()-1,60),ROW()-1,FALSE))</f>
        <v>124.762</v>
      </c>
      <c r="O104">
        <f ca="1">IF(AND(ISNUMBER($O$559),$B$419=1),$O$559,HLOOKUP(INDIRECT(ADDRESS(2,COLUMN())),OFFSET($BN$2,0,0,ROW()-1,60),ROW()-1,FALSE))</f>
        <v>122.767</v>
      </c>
      <c r="P104">
        <f ca="1">IF(AND(ISNUMBER($P$559),$B$419=1),$P$559,HLOOKUP(INDIRECT(ADDRESS(2,COLUMN())),OFFSET($BN$2,0,0,ROW()-1,60),ROW()-1,FALSE))</f>
        <v>119.995</v>
      </c>
      <c r="Q104">
        <f ca="1">IF(AND(ISNUMBER($Q$559),$B$419=1),$Q$559,HLOOKUP(INDIRECT(ADDRESS(2,COLUMN())),OFFSET($BN$2,0,0,ROW()-1,60),ROW()-1,FALSE))</f>
        <v>119.27800000000001</v>
      </c>
      <c r="R104">
        <f ca="1">IF(AND(ISNUMBER($R$559),$B$419=1),$R$559,HLOOKUP(INDIRECT(ADDRESS(2,COLUMN())),OFFSET($BN$2,0,0,ROW()-1,60),ROW()-1,FALSE))</f>
        <v>114.32599999999999</v>
      </c>
      <c r="S104">
        <f ca="1">IF(AND(ISNUMBER($S$559),$B$419=1),$S$559,HLOOKUP(INDIRECT(ADDRESS(2,COLUMN())),OFFSET($BN$2,0,0,ROW()-1,60),ROW()-1,FALSE))</f>
        <v>115.355</v>
      </c>
      <c r="T104">
        <f ca="1">IF(AND(ISNUMBER($T$559),$B$419=1),$T$559,HLOOKUP(INDIRECT(ADDRESS(2,COLUMN())),OFFSET($BN$2,0,0,ROW()-1,60),ROW()-1,FALSE))</f>
        <v>110.72799999999999</v>
      </c>
      <c r="U104">
        <f ca="1">IF(AND(ISNUMBER($U$559),$B$419=1),$U$559,HLOOKUP(INDIRECT(ADDRESS(2,COLUMN())),OFFSET($BN$2,0,0,ROW()-1,60),ROW()-1,FALSE))</f>
        <v>109.504</v>
      </c>
      <c r="V104">
        <f ca="1">IF(AND(ISNUMBER($V$559),$B$419=1),$V$559,HLOOKUP(INDIRECT(ADDRESS(2,COLUMN())),OFFSET($BN$2,0,0,ROW()-1,60),ROW()-1,FALSE))</f>
        <v>107.50700000000001</v>
      </c>
      <c r="W104">
        <f ca="1">IF(AND(ISNUMBER($W$559),$B$419=1),$W$559,HLOOKUP(INDIRECT(ADDRESS(2,COLUMN())),OFFSET($BN$2,0,0,ROW()-1,60),ROW()-1,FALSE))</f>
        <v>105.116</v>
      </c>
      <c r="X104">
        <f ca="1">IF(AND(ISNUMBER($X$559),$B$419=1),$X$559,HLOOKUP(INDIRECT(ADDRESS(2,COLUMN())),OFFSET($BN$2,0,0,ROW()-1,60),ROW()-1,FALSE))</f>
        <v>104.605</v>
      </c>
      <c r="Y104">
        <f ca="1">IF(AND(ISNUMBER($Y$559),$B$419=1),$Y$559,HLOOKUP(INDIRECT(ADDRESS(2,COLUMN())),OFFSET($BN$2,0,0,ROW()-1,60),ROW()-1,FALSE))</f>
        <v>104.13800000000001</v>
      </c>
      <c r="Z104">
        <f ca="1">IF(AND(ISNUMBER($Z$559),$B$419=1),$Z$559,HLOOKUP(INDIRECT(ADDRESS(2,COLUMN())),OFFSET($BN$2,0,0,ROW()-1,60),ROW()-1,FALSE))</f>
        <v>103.84099999999999</v>
      </c>
      <c r="AA104">
        <f ca="1">IF(AND(ISNUMBER($AA$559),$B$419=1),$AA$559,HLOOKUP(INDIRECT(ADDRESS(2,COLUMN())),OFFSET($BN$2,0,0,ROW()-1,60),ROW()-1,FALSE))</f>
        <v>101.678</v>
      </c>
      <c r="AB104">
        <f ca="1">IF(AND(ISNUMBER($AB$559),$B$419=1),$AB$559,HLOOKUP(INDIRECT(ADDRESS(2,COLUMN())),OFFSET($BN$2,0,0,ROW()-1,60),ROW()-1,FALSE))</f>
        <v>102.545</v>
      </c>
      <c r="AC104">
        <f ca="1">IF(AND(ISNUMBER($AC$559),$B$419=1),$AC$559,HLOOKUP(INDIRECT(ADDRESS(2,COLUMN())),OFFSET($BN$2,0,0,ROW()-1,60),ROW()-1,FALSE))</f>
        <v>97.415999999999997</v>
      </c>
      <c r="AD104">
        <f ca="1">IF(AND(ISNUMBER($AD$559),$B$419=1),$AD$559,HLOOKUP(INDIRECT(ADDRESS(2,COLUMN())),OFFSET($BN$2,0,0,ROW()-1,60),ROW()-1,FALSE))</f>
        <v>97.418999999999997</v>
      </c>
      <c r="AE104">
        <f ca="1">IF(AND(ISNUMBER($AE$559),$B$419=1),$AE$559,HLOOKUP(INDIRECT(ADDRESS(2,COLUMN())),OFFSET($BN$2,0,0,ROW()-1,60),ROW()-1,FALSE))</f>
        <v>89.706999999999994</v>
      </c>
      <c r="AF104">
        <f ca="1">IF(AND(ISNUMBER($AF$559),$B$419=1),$AF$559,HLOOKUP(INDIRECT(ADDRESS(2,COLUMN())),OFFSET($BN$2,0,0,ROW()-1,60),ROW()-1,FALSE))</f>
        <v>90.35</v>
      </c>
      <c r="AG104">
        <f ca="1">IF(AND(ISNUMBER($AG$559),$B$419=1),$AG$559,HLOOKUP(INDIRECT(ADDRESS(2,COLUMN())),OFFSET($BN$2,0,0,ROW()-1,60),ROW()-1,FALSE))</f>
        <v>90.35</v>
      </c>
      <c r="AH104">
        <f ca="1">IF(AND(ISNUMBER($AH$559),$B$419=1),$AH$559,HLOOKUP(INDIRECT(ADDRESS(2,COLUMN())),OFFSET($BN$2,0,0,ROW()-1,60),ROW()-1,FALSE))</f>
        <v>87.686000000000007</v>
      </c>
      <c r="AI104">
        <f ca="1">IF(AND(ISNUMBER($AI$559),$B$419=1),$AI$559,HLOOKUP(INDIRECT(ADDRESS(2,COLUMN())),OFFSET($BN$2,0,0,ROW()-1,60),ROW()-1,FALSE))</f>
        <v>89.600999999999999</v>
      </c>
      <c r="AJ104">
        <f ca="1">IF(AND(ISNUMBER($AJ$559),$B$419=1),$AJ$559,HLOOKUP(INDIRECT(ADDRESS(2,COLUMN())),OFFSET($BN$2,0,0,ROW()-1,60),ROW()-1,FALSE))</f>
        <v>85.882000000000005</v>
      </c>
      <c r="AK104">
        <f ca="1">IF(AND(ISNUMBER($AK$559),$B$419=1),$AK$559,HLOOKUP(INDIRECT(ADDRESS(2,COLUMN())),OFFSET($BN$2,0,0,ROW()-1,60),ROW()-1,FALSE))</f>
        <v>87.521000000000001</v>
      </c>
      <c r="AL104">
        <f ca="1">IF(AND(ISNUMBER($AL$559),$B$419=1),$AL$559,HLOOKUP(INDIRECT(ADDRESS(2,COLUMN())),OFFSET($BN$2,0,0,ROW()-1,60),ROW()-1,FALSE))</f>
        <v>88.066999999999993</v>
      </c>
      <c r="AM104">
        <f ca="1">IF(AND(ISNUMBER($AM$559),$B$419=1),$AM$559,HLOOKUP(INDIRECT(ADDRESS(2,COLUMN())),OFFSET($BN$2,0,0,ROW()-1,60),ROW()-1,FALSE))</f>
        <v>92.034000000000006</v>
      </c>
      <c r="AN104">
        <f ca="1">IF(AND(ISNUMBER($AN$559),$B$419=1),$AN$559,HLOOKUP(INDIRECT(ADDRESS(2,COLUMN())),OFFSET($BN$2,0,0,ROW()-1,60),ROW()-1,FALSE))</f>
        <v>85.128</v>
      </c>
      <c r="AO104">
        <f ca="1">IF(AND(ISNUMBER($AO$559),$B$419=1),$AO$559,HLOOKUP(INDIRECT(ADDRESS(2,COLUMN())),OFFSET($BN$2,0,0,ROW()-1,60),ROW()-1,FALSE))</f>
        <v>84.218999999999994</v>
      </c>
      <c r="AP104">
        <f ca="1">IF(AND(ISNUMBER($AP$559),$B$419=1),$AP$559,HLOOKUP(INDIRECT(ADDRESS(2,COLUMN())),OFFSET($BN$2,0,0,ROW()-1,60),ROW()-1,FALSE))</f>
        <v>61.64</v>
      </c>
      <c r="AQ104">
        <f ca="1">IF(AND(ISNUMBER($AQ$559),$B$419=1),$AQ$559,HLOOKUP(INDIRECT(ADDRESS(2,COLUMN())),OFFSET($BN$2,0,0,ROW()-1,60),ROW()-1,FALSE))</f>
        <v>82.564999999999998</v>
      </c>
      <c r="AR104">
        <f ca="1">IF(AND(ISNUMBER($AR$559),$B$419=1),$AR$559,HLOOKUP(INDIRECT(ADDRESS(2,COLUMN())),OFFSET($BN$2,0,0,ROW()-1,60),ROW()-1,FALSE))</f>
        <v>83.528000000000006</v>
      </c>
      <c r="AS104">
        <f ca="1">IF(AND(ISNUMBER($AS$559),$B$419=1),$AS$559,HLOOKUP(INDIRECT(ADDRESS(2,COLUMN())),OFFSET($BN$2,0,0,ROW()-1,60),ROW()-1,FALSE))</f>
        <v>81.036000000000001</v>
      </c>
      <c r="AT104">
        <f ca="1">IF(AND(ISNUMBER($AT$559),$B$419=1),$AT$559,HLOOKUP(INDIRECT(ADDRESS(2,COLUMN())),OFFSET($BN$2,0,0,ROW()-1,60),ROW()-1,FALSE))</f>
        <v>79.397999999999996</v>
      </c>
      <c r="AU104">
        <f ca="1">IF(AND(ISNUMBER($AU$559),$B$419=1),$AU$559,HLOOKUP(INDIRECT(ADDRESS(2,COLUMN())),OFFSET($BN$2,0,0,ROW()-1,60),ROW()-1,FALSE))</f>
        <v>80.167000000000002</v>
      </c>
      <c r="AV104">
        <f ca="1">IF(AND(ISNUMBER($AV$559),$B$419=1),$AV$559,HLOOKUP(INDIRECT(ADDRESS(2,COLUMN())),OFFSET($BN$2,0,0,ROW()-1,60),ROW()-1,FALSE))</f>
        <v>82.703999999999994</v>
      </c>
      <c r="AW104">
        <f ca="1">IF(AND(ISNUMBER($AW$559),$B$419=1),$AW$559,HLOOKUP(INDIRECT(ADDRESS(2,COLUMN())),OFFSET($BN$2,0,0,ROW()-1,60),ROW()-1,FALSE))</f>
        <v>81.174999999999997</v>
      </c>
      <c r="AX104">
        <f ca="1">IF(AND(ISNUMBER($AX$559),$B$419=1),$AX$559,HLOOKUP(INDIRECT(ADDRESS(2,COLUMN())),OFFSET($BN$2,0,0,ROW()-1,60),ROW()-1,FALSE))</f>
        <v>78.745999999999995</v>
      </c>
      <c r="AY104" t="str">
        <f ca="1">IF(AND(ISNUMBER($AY$559),$B$419=1),$AY$559,HLOOKUP(INDIRECT(ADDRESS(2,COLUMN())),OFFSET($BN$2,0,0,ROW()-1,60),ROW()-1,FALSE))</f>
        <v/>
      </c>
      <c r="AZ104" t="str">
        <f ca="1">IF(AND(ISNUMBER($AZ$559),$B$419=1),$AZ$559,HLOOKUP(INDIRECT(ADDRESS(2,COLUMN())),OFFSET($BN$2,0,0,ROW()-1,60),ROW()-1,FALSE))</f>
        <v/>
      </c>
      <c r="BA104">
        <f ca="1">IF(AND(ISNUMBER($BA$559),$B$419=1),$BA$559,HLOOKUP(INDIRECT(ADDRESS(2,COLUMN())),OFFSET($BN$2,0,0,ROW()-1,60),ROW()-1,FALSE))</f>
        <v>71.933000000000007</v>
      </c>
      <c r="BB104">
        <f ca="1">IF(AND(ISNUMBER($BB$559),$B$419=1),$BB$559,HLOOKUP(INDIRECT(ADDRESS(2,COLUMN())),OFFSET($BN$2,0,0,ROW()-1,60),ROW()-1,FALSE))</f>
        <v>70.334999999999994</v>
      </c>
      <c r="BC104" t="str">
        <f ca="1">IF(AND(ISNUMBER($BC$559),$B$419=1),$BC$559,HLOOKUP(INDIRECT(ADDRESS(2,COLUMN())),OFFSET($BN$2,0,0,ROW()-1,60),ROW()-1,FALSE))</f>
        <v/>
      </c>
      <c r="BD104" t="str">
        <f ca="1">IF(AND(ISNUMBER($BD$559),$B$419=1),$BD$559,HLOOKUP(INDIRECT(ADDRESS(2,COLUMN())),OFFSET($BN$2,0,0,ROW()-1,60),ROW()-1,FALSE))</f>
        <v/>
      </c>
      <c r="BE104" t="str">
        <f ca="1">IF(AND(ISNUMBER($BE$559),$B$419=1),$BE$559,HLOOKUP(INDIRECT(ADDRESS(2,COLUMN())),OFFSET($BN$2,0,0,ROW()-1,60),ROW()-1,FALSE))</f>
        <v/>
      </c>
      <c r="BF104" t="str">
        <f ca="1">IF(AND(ISNUMBER($BF$559),$B$419=1),$BF$559,HLOOKUP(INDIRECT(ADDRESS(2,COLUMN())),OFFSET($BN$2,0,0,ROW()-1,60),ROW()-1,FALSE))</f>
        <v/>
      </c>
      <c r="BG104" t="str">
        <f ca="1">IF(AND(ISNUMBER($BG$559),$B$419=1),$BG$559,HLOOKUP(INDIRECT(ADDRESS(2,COLUMN())),OFFSET($BN$2,0,0,ROW()-1,60),ROW()-1,FALSE))</f>
        <v/>
      </c>
      <c r="BH104" t="str">
        <f ca="1">IF(AND(ISNUMBER($BH$559),$B$419=1),$BH$559,HLOOKUP(INDIRECT(ADDRESS(2,COLUMN())),OFFSET($BN$2,0,0,ROW()-1,60),ROW()-1,FALSE))</f>
        <v/>
      </c>
      <c r="BI104" t="str">
        <f ca="1">IF(AND(ISNUMBER($BI$559),$B$419=1),$BI$559,HLOOKUP(INDIRECT(ADDRESS(2,COLUMN())),OFFSET($BN$2,0,0,ROW()-1,60),ROW()-1,FALSE))</f>
        <v/>
      </c>
      <c r="BJ104" t="str">
        <f ca="1">IF(AND(ISNUMBER($BJ$559),$B$419=1),$BJ$559,HLOOKUP(INDIRECT(ADDRESS(2,COLUMN())),OFFSET($BN$2,0,0,ROW()-1,60),ROW()-1,FALSE))</f>
        <v/>
      </c>
      <c r="BK104" t="str">
        <f ca="1">IF(AND(ISNUMBER($BK$559),$B$419=1),$BK$559,HLOOKUP(INDIRECT(ADDRESS(2,COLUMN())),OFFSET($BN$2,0,0,ROW()-1,60),ROW()-1,FALSE))</f>
        <v/>
      </c>
      <c r="BL104" t="str">
        <f ca="1">IF(AND(ISNUMBER($BL$559),$B$419=1),$BL$559,HLOOKUP(INDIRECT(ADDRESS(2,COLUMN())),OFFSET($BN$2,0,0,ROW()-1,60),ROW()-1,FALSE))</f>
        <v/>
      </c>
      <c r="BM104" t="str">
        <f ca="1">IF(AND(ISNUMBER($BM$559),$B$419=1),$BM$559,HLOOKUP(INDIRECT(ADDRESS(2,COLUMN())),OFFSET($BN$2,0,0,ROW()-1,60),ROW()-1,FALSE))</f>
        <v/>
      </c>
      <c r="BN104" t="str">
        <f>""</f>
        <v/>
      </c>
      <c r="BO104">
        <f>139.981</f>
        <v>139.98099999999999</v>
      </c>
      <c r="BP104">
        <f>139.926</f>
        <v>139.92599999999999</v>
      </c>
      <c r="BQ104">
        <f>135.642</f>
        <v>135.642</v>
      </c>
      <c r="BR104">
        <f>132.923</f>
        <v>132.923</v>
      </c>
      <c r="BS104">
        <f>131.934</f>
        <v>131.934</v>
      </c>
      <c r="BT104">
        <f>129.364</f>
        <v>129.364</v>
      </c>
      <c r="BU104">
        <f>128.57</f>
        <v>128.57</v>
      </c>
      <c r="BV104">
        <f>124.762</f>
        <v>124.762</v>
      </c>
      <c r="BW104">
        <f>122.767</f>
        <v>122.767</v>
      </c>
      <c r="BX104">
        <f>119.995</f>
        <v>119.995</v>
      </c>
      <c r="BY104">
        <f>119.278</f>
        <v>119.27800000000001</v>
      </c>
      <c r="BZ104">
        <f>114.326</f>
        <v>114.32599999999999</v>
      </c>
      <c r="CA104">
        <f>115.355</f>
        <v>115.355</v>
      </c>
      <c r="CB104">
        <f>110.728</f>
        <v>110.72799999999999</v>
      </c>
      <c r="CC104">
        <f>109.504</f>
        <v>109.504</v>
      </c>
      <c r="CD104">
        <f>107.507</f>
        <v>107.50700000000001</v>
      </c>
      <c r="CE104">
        <f>105.116</f>
        <v>105.116</v>
      </c>
      <c r="CF104">
        <f>104.605</f>
        <v>104.605</v>
      </c>
      <c r="CG104">
        <f>104.138</f>
        <v>104.13800000000001</v>
      </c>
      <c r="CH104">
        <f>103.841</f>
        <v>103.84099999999999</v>
      </c>
      <c r="CI104">
        <f>101.678</f>
        <v>101.678</v>
      </c>
      <c r="CJ104">
        <f>102.545</f>
        <v>102.545</v>
      </c>
      <c r="CK104">
        <f>97.416</f>
        <v>97.415999999999997</v>
      </c>
      <c r="CL104">
        <f>97.419</f>
        <v>97.418999999999997</v>
      </c>
      <c r="CM104">
        <f>89.707</f>
        <v>89.706999999999994</v>
      </c>
      <c r="CN104">
        <f>90.35</f>
        <v>90.35</v>
      </c>
      <c r="CO104">
        <f>90.35</f>
        <v>90.35</v>
      </c>
      <c r="CP104">
        <f>87.686</f>
        <v>87.686000000000007</v>
      </c>
      <c r="CQ104">
        <f>89.601</f>
        <v>89.600999999999999</v>
      </c>
      <c r="CR104">
        <f>85.882</f>
        <v>85.882000000000005</v>
      </c>
      <c r="CS104">
        <f>87.521</f>
        <v>87.521000000000001</v>
      </c>
      <c r="CT104">
        <f>88.067</f>
        <v>88.066999999999993</v>
      </c>
      <c r="CU104">
        <f>92.034</f>
        <v>92.034000000000006</v>
      </c>
      <c r="CV104">
        <f>85.128</f>
        <v>85.128</v>
      </c>
      <c r="CW104">
        <f>84.219</f>
        <v>84.218999999999994</v>
      </c>
      <c r="CX104">
        <f>61.64</f>
        <v>61.64</v>
      </c>
      <c r="CY104">
        <f>82.565</f>
        <v>82.564999999999998</v>
      </c>
      <c r="CZ104">
        <f>83.528</f>
        <v>83.528000000000006</v>
      </c>
      <c r="DA104">
        <f>81.036</f>
        <v>81.036000000000001</v>
      </c>
      <c r="DB104">
        <f>79.398</f>
        <v>79.397999999999996</v>
      </c>
      <c r="DC104">
        <f>80.167</f>
        <v>80.167000000000002</v>
      </c>
      <c r="DD104">
        <f>82.704</f>
        <v>82.703999999999994</v>
      </c>
      <c r="DE104">
        <f>81.175</f>
        <v>81.174999999999997</v>
      </c>
      <c r="DF104">
        <f>78.746</f>
        <v>78.745999999999995</v>
      </c>
      <c r="DG104" t="str">
        <f>""</f>
        <v/>
      </c>
      <c r="DH104" t="str">
        <f>""</f>
        <v/>
      </c>
      <c r="DI104">
        <f>71.933</f>
        <v>71.933000000000007</v>
      </c>
      <c r="DJ104">
        <f>70.335</f>
        <v>70.334999999999994</v>
      </c>
      <c r="DK104" t="str">
        <f>""</f>
        <v/>
      </c>
      <c r="DL104" t="str">
        <f>""</f>
        <v/>
      </c>
      <c r="DM104" t="str">
        <f>""</f>
        <v/>
      </c>
      <c r="DN104" t="str">
        <f>""</f>
        <v/>
      </c>
      <c r="DO104" t="str">
        <f>""</f>
        <v/>
      </c>
      <c r="DP104" t="str">
        <f>""</f>
        <v/>
      </c>
      <c r="DQ104" t="str">
        <f>""</f>
        <v/>
      </c>
      <c r="DR104" t="str">
        <f>""</f>
        <v/>
      </c>
      <c r="DS104" t="str">
        <f>""</f>
        <v/>
      </c>
      <c r="DT104" t="str">
        <f>""</f>
        <v/>
      </c>
      <c r="DU104" t="str">
        <f>""</f>
        <v/>
      </c>
    </row>
    <row r="105" spans="1:125">
      <c r="A105" t="str">
        <f>"    Kimco Realty Corp"</f>
        <v xml:space="preserve">    Kimco Realty Corp</v>
      </c>
      <c r="B105" t="str">
        <f>"KIM US Equity"</f>
        <v>KIM US Equity</v>
      </c>
      <c r="C105" t="str">
        <f t="shared" si="18"/>
        <v>IS972</v>
      </c>
      <c r="D105" t="str">
        <f t="shared" si="19"/>
        <v>IS_ADJUSTED_EBITDA_AS_REPORTED</v>
      </c>
      <c r="E105" t="str">
        <f t="shared" si="20"/>
        <v>动态</v>
      </c>
      <c r="F105" t="str">
        <f ca="1">IF(AND(ISNUMBER($F$560),$B$419=1),$F$560,HLOOKUP(INDIRECT(ADDRESS(2,COLUMN())),OFFSET($BN$2,0,0,ROW()-1,60),ROW()-1,FALSE))</f>
        <v/>
      </c>
      <c r="G105">
        <f ca="1">IF(AND(ISNUMBER($G$560),$B$419=1),$G$560,HLOOKUP(INDIRECT(ADDRESS(2,COLUMN())),OFFSET($BN$2,0,0,ROW()-1,60),ROW()-1,FALSE))</f>
        <v>223.709</v>
      </c>
      <c r="H105">
        <f ca="1">IF(AND(ISNUMBER($H$560),$B$419=1),$H$560,HLOOKUP(INDIRECT(ADDRESS(2,COLUMN())),OFFSET($BN$2,0,0,ROW()-1,60),ROW()-1,FALSE))</f>
        <v>214.37700000000001</v>
      </c>
      <c r="I105">
        <f ca="1">IF(AND(ISNUMBER($I$560),$B$419=1),$I$560,HLOOKUP(INDIRECT(ADDRESS(2,COLUMN())),OFFSET($BN$2,0,0,ROW()-1,60),ROW()-1,FALSE))</f>
        <v>209.91499999999999</v>
      </c>
      <c r="J105">
        <f ca="1">IF(AND(ISNUMBER($J$560),$B$419=1),$J$560,HLOOKUP(INDIRECT(ADDRESS(2,COLUMN())),OFFSET($BN$2,0,0,ROW()-1,60),ROW()-1,FALSE))</f>
        <v>206.27500000000001</v>
      </c>
      <c r="K105">
        <f ca="1">IF(AND(ISNUMBER($K$560),$B$419=1),$K$560,HLOOKUP(INDIRECT(ADDRESS(2,COLUMN())),OFFSET($BN$2,0,0,ROW()-1,60),ROW()-1,FALSE))</f>
        <v>209.33699999999999</v>
      </c>
      <c r="L105">
        <f ca="1">IF(AND(ISNUMBER($L$560),$B$419=1),$L$560,HLOOKUP(INDIRECT(ADDRESS(2,COLUMN())),OFFSET($BN$2,0,0,ROW()-1,60),ROW()-1,FALSE))</f>
        <v>207.88300000000001</v>
      </c>
      <c r="M105">
        <f ca="1">IF(AND(ISNUMBER($M$560),$B$419=1),$M$560,HLOOKUP(INDIRECT(ADDRESS(2,COLUMN())),OFFSET($BN$2,0,0,ROW()-1,60),ROW()-1,FALSE))</f>
        <v>211.364</v>
      </c>
      <c r="N105">
        <f ca="1">IF(AND(ISNUMBER($N$560),$B$419=1),$N$560,HLOOKUP(INDIRECT(ADDRESS(2,COLUMN())),OFFSET($BN$2,0,0,ROW()-1,60),ROW()-1,FALSE))</f>
        <v>210.13399999999999</v>
      </c>
      <c r="O105">
        <f ca="1">IF(AND(ISNUMBER($O$560),$B$419=1),$O$560,HLOOKUP(INDIRECT(ADDRESS(2,COLUMN())),OFFSET($BN$2,0,0,ROW()-1,60),ROW()-1,FALSE))</f>
        <v>216.18899999999999</v>
      </c>
      <c r="P105">
        <f ca="1">IF(AND(ISNUMBER($P$560),$B$419=1),$P$560,HLOOKUP(INDIRECT(ADDRESS(2,COLUMN())),OFFSET($BN$2,0,0,ROW()-1,60),ROW()-1,FALSE))</f>
        <v>209.55500000000001</v>
      </c>
      <c r="Q105">
        <f ca="1">IF(AND(ISNUMBER($Q$560),$B$419=1),$Q$560,HLOOKUP(INDIRECT(ADDRESS(2,COLUMN())),OFFSET($BN$2,0,0,ROW()-1,60),ROW()-1,FALSE))</f>
        <v>213.44</v>
      </c>
      <c r="R105">
        <f ca="1">IF(AND(ISNUMBER($R$560),$B$419=1),$R$560,HLOOKUP(INDIRECT(ADDRESS(2,COLUMN())),OFFSET($BN$2,0,0,ROW()-1,60),ROW()-1,FALSE))</f>
        <v>207.40100000000001</v>
      </c>
      <c r="S105">
        <f ca="1">IF(AND(ISNUMBER($S$560),$B$419=1),$S$560,HLOOKUP(INDIRECT(ADDRESS(2,COLUMN())),OFFSET($BN$2,0,0,ROW()-1,60),ROW()-1,FALSE))</f>
        <v>201.203</v>
      </c>
      <c r="T105">
        <f ca="1">IF(AND(ISNUMBER($T$560),$B$419=1),$T$560,HLOOKUP(INDIRECT(ADDRESS(2,COLUMN())),OFFSET($BN$2,0,0,ROW()-1,60),ROW()-1,FALSE))</f>
        <v>203.24799999999999</v>
      </c>
      <c r="U105">
        <f ca="1">IF(AND(ISNUMBER($U$560),$B$419=1),$U$560,HLOOKUP(INDIRECT(ADDRESS(2,COLUMN())),OFFSET($BN$2,0,0,ROW()-1,60),ROW()-1,FALSE))</f>
        <v>197.22300000000001</v>
      </c>
      <c r="V105">
        <f ca="1">IF(AND(ISNUMBER($V$560),$B$419=1),$V$560,HLOOKUP(INDIRECT(ADDRESS(2,COLUMN())),OFFSET($BN$2,0,0,ROW()-1,60),ROW()-1,FALSE))</f>
        <v>186.41200000000001</v>
      </c>
      <c r="W105">
        <f ca="1">IF(AND(ISNUMBER($W$560),$B$419=1),$W$560,HLOOKUP(INDIRECT(ADDRESS(2,COLUMN())),OFFSET($BN$2,0,0,ROW()-1,60),ROW()-1,FALSE))</f>
        <v>186.76499999999999</v>
      </c>
      <c r="X105">
        <f ca="1">IF(AND(ISNUMBER($X$560),$B$419=1),$X$560,HLOOKUP(INDIRECT(ADDRESS(2,COLUMN())),OFFSET($BN$2,0,0,ROW()-1,60),ROW()-1,FALSE))</f>
        <v>182.768</v>
      </c>
      <c r="Y105">
        <f ca="1">IF(AND(ISNUMBER($Y$560),$B$419=1),$Y$560,HLOOKUP(INDIRECT(ADDRESS(2,COLUMN())),OFFSET($BN$2,0,0,ROW()-1,60),ROW()-1,FALSE))</f>
        <v>186.828</v>
      </c>
      <c r="Z105">
        <f ca="1">IF(AND(ISNUMBER($Z$560),$B$419=1),$Z$560,HLOOKUP(INDIRECT(ADDRESS(2,COLUMN())),OFFSET($BN$2,0,0,ROW()-1,60),ROW()-1,FALSE))</f>
        <v>177.07900000000001</v>
      </c>
      <c r="AA105">
        <f ca="1">IF(AND(ISNUMBER($AA$560),$B$419=1),$AA$560,HLOOKUP(INDIRECT(ADDRESS(2,COLUMN())),OFFSET($BN$2,0,0,ROW()-1,60),ROW()-1,FALSE))</f>
        <v>176.30699999999999</v>
      </c>
      <c r="AB105">
        <f ca="1">IF(AND(ISNUMBER($AB$560),$B$419=1),$AB$560,HLOOKUP(INDIRECT(ADDRESS(2,COLUMN())),OFFSET($BN$2,0,0,ROW()-1,60),ROW()-1,FALSE))</f>
        <v>186.57400000000001</v>
      </c>
      <c r="AC105">
        <f ca="1">IF(AND(ISNUMBER($AC$560),$B$419=1),$AC$560,HLOOKUP(INDIRECT(ADDRESS(2,COLUMN())),OFFSET($BN$2,0,0,ROW()-1,60),ROW()-1,FALSE))</f>
        <v>173.15199999999999</v>
      </c>
      <c r="AD105">
        <f ca="1">IF(AND(ISNUMBER($AD$560),$B$419=1),$AD$560,HLOOKUP(INDIRECT(ADDRESS(2,COLUMN())),OFFSET($BN$2,0,0,ROW()-1,60),ROW()-1,FALSE))</f>
        <v>172.92099999999999</v>
      </c>
      <c r="AE105">
        <f ca="1">IF(AND(ISNUMBER($AE$560),$B$419=1),$AE$560,HLOOKUP(INDIRECT(ADDRESS(2,COLUMN())),OFFSET($BN$2,0,0,ROW()-1,60),ROW()-1,FALSE))</f>
        <v>162.71700000000001</v>
      </c>
      <c r="AF105">
        <f ca="1">IF(AND(ISNUMBER($AF$560),$B$419=1),$AF$560,HLOOKUP(INDIRECT(ADDRESS(2,COLUMN())),OFFSET($BN$2,0,0,ROW()-1,60),ROW()-1,FALSE))</f>
        <v>158.74199999999999</v>
      </c>
      <c r="AG105">
        <f ca="1">IF(AND(ISNUMBER($AG$560),$B$419=1),$AG$560,HLOOKUP(INDIRECT(ADDRESS(2,COLUMN())),OFFSET($BN$2,0,0,ROW()-1,60),ROW()-1,FALSE))</f>
        <v>160.72</v>
      </c>
      <c r="AH105">
        <f ca="1">IF(AND(ISNUMBER($AH$560),$B$419=1),$AH$560,HLOOKUP(INDIRECT(ADDRESS(2,COLUMN())),OFFSET($BN$2,0,0,ROW()-1,60),ROW()-1,FALSE))</f>
        <v>161.18899999999999</v>
      </c>
      <c r="AI105">
        <f ca="1">IF(AND(ISNUMBER($AI$560),$B$419=1),$AI$560,HLOOKUP(INDIRECT(ADDRESS(2,COLUMN())),OFFSET($BN$2,0,0,ROW()-1,60),ROW()-1,FALSE))</f>
        <v>155.06</v>
      </c>
      <c r="AJ105">
        <f ca="1">IF(AND(ISNUMBER($AJ$560),$B$419=1),$AJ$560,HLOOKUP(INDIRECT(ADDRESS(2,COLUMN())),OFFSET($BN$2,0,0,ROW()-1,60),ROW()-1,FALSE))</f>
        <v>152.26900000000001</v>
      </c>
      <c r="AK105">
        <f ca="1">IF(AND(ISNUMBER($AK$560),$B$419=1),$AK$560,HLOOKUP(INDIRECT(ADDRESS(2,COLUMN())),OFFSET($BN$2,0,0,ROW()-1,60),ROW()-1,FALSE))</f>
        <v>155.542</v>
      </c>
      <c r="AL105">
        <f ca="1">IF(AND(ISNUMBER($AL$560),$B$419=1),$AL$560,HLOOKUP(INDIRECT(ADDRESS(2,COLUMN())),OFFSET($BN$2,0,0,ROW()-1,60),ROW()-1,FALSE))</f>
        <v>155.03200000000001</v>
      </c>
      <c r="AM105">
        <f ca="1">IF(AND(ISNUMBER($AM$560),$B$419=1),$AM$560,HLOOKUP(INDIRECT(ADDRESS(2,COLUMN())),OFFSET($BN$2,0,0,ROW()-1,60),ROW()-1,FALSE))</f>
        <v>160.82900000000001</v>
      </c>
      <c r="AN105" t="str">
        <f ca="1">IF(AND(ISNUMBER($AN$560),$B$419=1),$AN$560,HLOOKUP(INDIRECT(ADDRESS(2,COLUMN())),OFFSET($BN$2,0,0,ROW()-1,60),ROW()-1,FALSE))</f>
        <v/>
      </c>
      <c r="AO105">
        <f ca="1">IF(AND(ISNUMBER($AO$560),$B$419=1),$AO$560,HLOOKUP(INDIRECT(ADDRESS(2,COLUMN())),OFFSET($BN$2,0,0,ROW()-1,60),ROW()-1,FALSE))</f>
        <v>0.14285800000000001</v>
      </c>
      <c r="AP105" t="str">
        <f ca="1">IF(AND(ISNUMBER($AP$560),$B$419=1),$AP$560,HLOOKUP(INDIRECT(ADDRESS(2,COLUMN())),OFFSET($BN$2,0,0,ROW()-1,60),ROW()-1,FALSE))</f>
        <v/>
      </c>
      <c r="AQ105" t="str">
        <f ca="1">IF(AND(ISNUMBER($AQ$560),$B$419=1),$AQ$560,HLOOKUP(INDIRECT(ADDRESS(2,COLUMN())),OFFSET($BN$2,0,0,ROW()-1,60),ROW()-1,FALSE))</f>
        <v/>
      </c>
      <c r="AR105" t="str">
        <f ca="1">IF(AND(ISNUMBER($AR$560),$B$419=1),$AR$560,HLOOKUP(INDIRECT(ADDRESS(2,COLUMN())),OFFSET($BN$2,0,0,ROW()-1,60),ROW()-1,FALSE))</f>
        <v/>
      </c>
      <c r="AS105" t="str">
        <f ca="1">IF(AND(ISNUMBER($AS$560),$B$419=1),$AS$560,HLOOKUP(INDIRECT(ADDRESS(2,COLUMN())),OFFSET($BN$2,0,0,ROW()-1,60),ROW()-1,FALSE))</f>
        <v/>
      </c>
      <c r="AT105" t="str">
        <f ca="1">IF(AND(ISNUMBER($AT$560),$B$419=1),$AT$560,HLOOKUP(INDIRECT(ADDRESS(2,COLUMN())),OFFSET($BN$2,0,0,ROW()-1,60),ROW()-1,FALSE))</f>
        <v/>
      </c>
      <c r="AU105" t="str">
        <f ca="1">IF(AND(ISNUMBER($AU$560),$B$419=1),$AU$560,HLOOKUP(INDIRECT(ADDRESS(2,COLUMN())),OFFSET($BN$2,0,0,ROW()-1,60),ROW()-1,FALSE))</f>
        <v/>
      </c>
      <c r="AV105" t="str">
        <f ca="1">IF(AND(ISNUMBER($AV$560),$B$419=1),$AV$560,HLOOKUP(INDIRECT(ADDRESS(2,COLUMN())),OFFSET($BN$2,0,0,ROW()-1,60),ROW()-1,FALSE))</f>
        <v/>
      </c>
      <c r="AW105" t="str">
        <f ca="1">IF(AND(ISNUMBER($AW$560),$B$419=1),$AW$560,HLOOKUP(INDIRECT(ADDRESS(2,COLUMN())),OFFSET($BN$2,0,0,ROW()-1,60),ROW()-1,FALSE))</f>
        <v/>
      </c>
      <c r="AX105" t="str">
        <f ca="1">IF(AND(ISNUMBER($AX$560),$B$419=1),$AX$560,HLOOKUP(INDIRECT(ADDRESS(2,COLUMN())),OFFSET($BN$2,0,0,ROW()-1,60),ROW()-1,FALSE))</f>
        <v/>
      </c>
      <c r="AY105" t="str">
        <f ca="1">IF(AND(ISNUMBER($AY$560),$B$419=1),$AY$560,HLOOKUP(INDIRECT(ADDRESS(2,COLUMN())),OFFSET($BN$2,0,0,ROW()-1,60),ROW()-1,FALSE))</f>
        <v/>
      </c>
      <c r="AZ105" t="str">
        <f ca="1">IF(AND(ISNUMBER($AZ$560),$B$419=1),$AZ$560,HLOOKUP(INDIRECT(ADDRESS(2,COLUMN())),OFFSET($BN$2,0,0,ROW()-1,60),ROW()-1,FALSE))</f>
        <v/>
      </c>
      <c r="BA105" t="str">
        <f ca="1">IF(AND(ISNUMBER($BA$560),$B$419=1),$BA$560,HLOOKUP(INDIRECT(ADDRESS(2,COLUMN())),OFFSET($BN$2,0,0,ROW()-1,60),ROW()-1,FALSE))</f>
        <v/>
      </c>
      <c r="BB105" t="str">
        <f ca="1">IF(AND(ISNUMBER($BB$560),$B$419=1),$BB$560,HLOOKUP(INDIRECT(ADDRESS(2,COLUMN())),OFFSET($BN$2,0,0,ROW()-1,60),ROW()-1,FALSE))</f>
        <v/>
      </c>
      <c r="BC105" t="str">
        <f ca="1">IF(AND(ISNUMBER($BC$560),$B$419=1),$BC$560,HLOOKUP(INDIRECT(ADDRESS(2,COLUMN())),OFFSET($BN$2,0,0,ROW()-1,60),ROW()-1,FALSE))</f>
        <v/>
      </c>
      <c r="BD105" t="str">
        <f ca="1">IF(AND(ISNUMBER($BD$560),$B$419=1),$BD$560,HLOOKUP(INDIRECT(ADDRESS(2,COLUMN())),OFFSET($BN$2,0,0,ROW()-1,60),ROW()-1,FALSE))</f>
        <v/>
      </c>
      <c r="BE105" t="str">
        <f ca="1">IF(AND(ISNUMBER($BE$560),$B$419=1),$BE$560,HLOOKUP(INDIRECT(ADDRESS(2,COLUMN())),OFFSET($BN$2,0,0,ROW()-1,60),ROW()-1,FALSE))</f>
        <v/>
      </c>
      <c r="BF105" t="str">
        <f ca="1">IF(AND(ISNUMBER($BF$560),$B$419=1),$BF$560,HLOOKUP(INDIRECT(ADDRESS(2,COLUMN())),OFFSET($BN$2,0,0,ROW()-1,60),ROW()-1,FALSE))</f>
        <v/>
      </c>
      <c r="BG105" t="str">
        <f ca="1">IF(AND(ISNUMBER($BG$560),$B$419=1),$BG$560,HLOOKUP(INDIRECT(ADDRESS(2,COLUMN())),OFFSET($BN$2,0,0,ROW()-1,60),ROW()-1,FALSE))</f>
        <v/>
      </c>
      <c r="BH105" t="str">
        <f ca="1">IF(AND(ISNUMBER($BH$560),$B$419=1),$BH$560,HLOOKUP(INDIRECT(ADDRESS(2,COLUMN())),OFFSET($BN$2,0,0,ROW()-1,60),ROW()-1,FALSE))</f>
        <v/>
      </c>
      <c r="BI105" t="str">
        <f ca="1">IF(AND(ISNUMBER($BI$560),$B$419=1),$BI$560,HLOOKUP(INDIRECT(ADDRESS(2,COLUMN())),OFFSET($BN$2,0,0,ROW()-1,60),ROW()-1,FALSE))</f>
        <v/>
      </c>
      <c r="BJ105" t="str">
        <f ca="1">IF(AND(ISNUMBER($BJ$560),$B$419=1),$BJ$560,HLOOKUP(INDIRECT(ADDRESS(2,COLUMN())),OFFSET($BN$2,0,0,ROW()-1,60),ROW()-1,FALSE))</f>
        <v/>
      </c>
      <c r="BK105" t="str">
        <f ca="1">IF(AND(ISNUMBER($BK$560),$B$419=1),$BK$560,HLOOKUP(INDIRECT(ADDRESS(2,COLUMN())),OFFSET($BN$2,0,0,ROW()-1,60),ROW()-1,FALSE))</f>
        <v/>
      </c>
      <c r="BL105" t="str">
        <f ca="1">IF(AND(ISNUMBER($BL$560),$B$419=1),$BL$560,HLOOKUP(INDIRECT(ADDRESS(2,COLUMN())),OFFSET($BN$2,0,0,ROW()-1,60),ROW()-1,FALSE))</f>
        <v/>
      </c>
      <c r="BM105" t="str">
        <f ca="1">IF(AND(ISNUMBER($BM$560),$B$419=1),$BM$560,HLOOKUP(INDIRECT(ADDRESS(2,COLUMN())),OFFSET($BN$2,0,0,ROW()-1,60),ROW()-1,FALSE))</f>
        <v/>
      </c>
      <c r="BN105" t="str">
        <f>""</f>
        <v/>
      </c>
      <c r="BO105">
        <f>223.709</f>
        <v>223.709</v>
      </c>
      <c r="BP105">
        <f>214.377</f>
        <v>214.37700000000001</v>
      </c>
      <c r="BQ105">
        <f>209.915</f>
        <v>209.91499999999999</v>
      </c>
      <c r="BR105">
        <f>206.275</f>
        <v>206.27500000000001</v>
      </c>
      <c r="BS105">
        <f>209.337</f>
        <v>209.33699999999999</v>
      </c>
      <c r="BT105">
        <f>207.883</f>
        <v>207.88300000000001</v>
      </c>
      <c r="BU105">
        <f>211.364</f>
        <v>211.364</v>
      </c>
      <c r="BV105">
        <f>210.134</f>
        <v>210.13399999999999</v>
      </c>
      <c r="BW105">
        <f>216.189</f>
        <v>216.18899999999999</v>
      </c>
      <c r="BX105">
        <f>209.555</f>
        <v>209.55500000000001</v>
      </c>
      <c r="BY105">
        <f>213.44</f>
        <v>213.44</v>
      </c>
      <c r="BZ105">
        <f>207.401</f>
        <v>207.40100000000001</v>
      </c>
      <c r="CA105">
        <f>201.203</f>
        <v>201.203</v>
      </c>
      <c r="CB105">
        <f>203.248</f>
        <v>203.24799999999999</v>
      </c>
      <c r="CC105">
        <f>197.223</f>
        <v>197.22300000000001</v>
      </c>
      <c r="CD105">
        <f>186.412</f>
        <v>186.41200000000001</v>
      </c>
      <c r="CE105">
        <f>186.765</f>
        <v>186.76499999999999</v>
      </c>
      <c r="CF105">
        <f>182.768</f>
        <v>182.768</v>
      </c>
      <c r="CG105">
        <f>186.828</f>
        <v>186.828</v>
      </c>
      <c r="CH105">
        <f>177.079</f>
        <v>177.07900000000001</v>
      </c>
      <c r="CI105">
        <f>176.307</f>
        <v>176.30699999999999</v>
      </c>
      <c r="CJ105">
        <f>186.574</f>
        <v>186.57400000000001</v>
      </c>
      <c r="CK105">
        <f>173.152</f>
        <v>173.15199999999999</v>
      </c>
      <c r="CL105">
        <f>172.921</f>
        <v>172.92099999999999</v>
      </c>
      <c r="CM105">
        <f>162.717</f>
        <v>162.71700000000001</v>
      </c>
      <c r="CN105">
        <f>158.742</f>
        <v>158.74199999999999</v>
      </c>
      <c r="CO105">
        <f>160.72</f>
        <v>160.72</v>
      </c>
      <c r="CP105">
        <f>161.189</f>
        <v>161.18899999999999</v>
      </c>
      <c r="CQ105">
        <f>155.06</f>
        <v>155.06</v>
      </c>
      <c r="CR105">
        <f>152.269</f>
        <v>152.26900000000001</v>
      </c>
      <c r="CS105">
        <f>155.542</f>
        <v>155.542</v>
      </c>
      <c r="CT105">
        <f>155.032</f>
        <v>155.03200000000001</v>
      </c>
      <c r="CU105">
        <f>160.829</f>
        <v>160.82900000000001</v>
      </c>
      <c r="CV105" t="str">
        <f>""</f>
        <v/>
      </c>
      <c r="CW105">
        <f>0.142858</f>
        <v>0.14285800000000001</v>
      </c>
      <c r="CX105" t="str">
        <f>""</f>
        <v/>
      </c>
      <c r="CY105" t="str">
        <f>""</f>
        <v/>
      </c>
      <c r="CZ105" t="str">
        <f>""</f>
        <v/>
      </c>
      <c r="DA105" t="str">
        <f>""</f>
        <v/>
      </c>
      <c r="DB105" t="str">
        <f>""</f>
        <v/>
      </c>
      <c r="DC105" t="str">
        <f>""</f>
        <v/>
      </c>
      <c r="DD105" t="str">
        <f>""</f>
        <v/>
      </c>
      <c r="DE105" t="str">
        <f>""</f>
        <v/>
      </c>
      <c r="DF105" t="str">
        <f>""</f>
        <v/>
      </c>
      <c r="DG105" t="str">
        <f>""</f>
        <v/>
      </c>
      <c r="DH105" t="str">
        <f>""</f>
        <v/>
      </c>
      <c r="DI105" t="str">
        <f>""</f>
        <v/>
      </c>
      <c r="DJ105" t="str">
        <f>""</f>
        <v/>
      </c>
      <c r="DK105" t="str">
        <f>""</f>
        <v/>
      </c>
      <c r="DL105" t="str">
        <f>""</f>
        <v/>
      </c>
      <c r="DM105" t="str">
        <f>""</f>
        <v/>
      </c>
      <c r="DN105" t="str">
        <f>""</f>
        <v/>
      </c>
      <c r="DO105" t="str">
        <f>""</f>
        <v/>
      </c>
      <c r="DP105" t="str">
        <f>""</f>
        <v/>
      </c>
      <c r="DQ105" t="str">
        <f>""</f>
        <v/>
      </c>
      <c r="DR105" t="str">
        <f>""</f>
        <v/>
      </c>
      <c r="DS105" t="str">
        <f>""</f>
        <v/>
      </c>
      <c r="DT105" t="str">
        <f>""</f>
        <v/>
      </c>
      <c r="DU105" t="str">
        <f>""</f>
        <v/>
      </c>
    </row>
    <row r="106" spans="1:125">
      <c r="A106" t="str">
        <f>"    National Retail Properties Inc"</f>
        <v xml:space="preserve">    National Retail Properties Inc</v>
      </c>
      <c r="B106" t="str">
        <f>"NNN US Equity"</f>
        <v>NNN US Equity</v>
      </c>
      <c r="C106" t="str">
        <f t="shared" si="18"/>
        <v>IS972</v>
      </c>
      <c r="D106" t="str">
        <f t="shared" si="19"/>
        <v>IS_ADJUSTED_EBITDA_AS_REPORTED</v>
      </c>
      <c r="E106" t="str">
        <f t="shared" si="20"/>
        <v>动态</v>
      </c>
      <c r="F106" t="str">
        <f ca="1">IF(AND(ISNUMBER($F$561),$B$419=1),$F$561,HLOOKUP(INDIRECT(ADDRESS(2,COLUMN())),OFFSET($BN$2,0,0,ROW()-1,60),ROW()-1,FALSE))</f>
        <v/>
      </c>
      <c r="G106" t="str">
        <f ca="1">IF(AND(ISNUMBER($G$561),$B$419=1),$G$561,HLOOKUP(INDIRECT(ADDRESS(2,COLUMN())),OFFSET($BN$2,0,0,ROW()-1,60),ROW()-1,FALSE))</f>
        <v/>
      </c>
      <c r="H106" t="str">
        <f ca="1">IF(AND(ISNUMBER($H$561),$B$419=1),$H$561,HLOOKUP(INDIRECT(ADDRESS(2,COLUMN())),OFFSET($BN$2,0,0,ROW()-1,60),ROW()-1,FALSE))</f>
        <v/>
      </c>
      <c r="I106" t="str">
        <f ca="1">IF(AND(ISNUMBER($I$561),$B$419=1),$I$561,HLOOKUP(INDIRECT(ADDRESS(2,COLUMN())),OFFSET($BN$2,0,0,ROW()-1,60),ROW()-1,FALSE))</f>
        <v/>
      </c>
      <c r="J106" t="str">
        <f ca="1">IF(AND(ISNUMBER($J$561),$B$419=1),$J$561,HLOOKUP(INDIRECT(ADDRESS(2,COLUMN())),OFFSET($BN$2,0,0,ROW()-1,60),ROW()-1,FALSE))</f>
        <v/>
      </c>
      <c r="K106" t="str">
        <f ca="1">IF(AND(ISNUMBER($K$561),$B$419=1),$K$561,HLOOKUP(INDIRECT(ADDRESS(2,COLUMN())),OFFSET($BN$2,0,0,ROW()-1,60),ROW()-1,FALSE))</f>
        <v/>
      </c>
      <c r="L106" t="str">
        <f ca="1">IF(AND(ISNUMBER($L$561),$B$419=1),$L$561,HLOOKUP(INDIRECT(ADDRESS(2,COLUMN())),OFFSET($BN$2,0,0,ROW()-1,60),ROW()-1,FALSE))</f>
        <v/>
      </c>
      <c r="M106" t="str">
        <f ca="1">IF(AND(ISNUMBER($M$561),$B$419=1),$M$561,HLOOKUP(INDIRECT(ADDRESS(2,COLUMN())),OFFSET($BN$2,0,0,ROW()-1,60),ROW()-1,FALSE))</f>
        <v/>
      </c>
      <c r="N106" t="str">
        <f ca="1">IF(AND(ISNUMBER($N$561),$B$419=1),$N$561,HLOOKUP(INDIRECT(ADDRESS(2,COLUMN())),OFFSET($BN$2,0,0,ROW()-1,60),ROW()-1,FALSE))</f>
        <v/>
      </c>
      <c r="O106" t="str">
        <f ca="1">IF(AND(ISNUMBER($O$561),$B$419=1),$O$561,HLOOKUP(INDIRECT(ADDRESS(2,COLUMN())),OFFSET($BN$2,0,0,ROW()-1,60),ROW()-1,FALSE))</f>
        <v/>
      </c>
      <c r="P106" t="str">
        <f ca="1">IF(AND(ISNUMBER($P$561),$B$419=1),$P$561,HLOOKUP(INDIRECT(ADDRESS(2,COLUMN())),OFFSET($BN$2,0,0,ROW()-1,60),ROW()-1,FALSE))</f>
        <v/>
      </c>
      <c r="Q106" t="str">
        <f ca="1">IF(AND(ISNUMBER($Q$561),$B$419=1),$Q$561,HLOOKUP(INDIRECT(ADDRESS(2,COLUMN())),OFFSET($BN$2,0,0,ROW()-1,60),ROW()-1,FALSE))</f>
        <v/>
      </c>
      <c r="R106" t="str">
        <f ca="1">IF(AND(ISNUMBER($R$561),$B$419=1),$R$561,HLOOKUP(INDIRECT(ADDRESS(2,COLUMN())),OFFSET($BN$2,0,0,ROW()-1,60),ROW()-1,FALSE))</f>
        <v/>
      </c>
      <c r="S106" t="str">
        <f ca="1">IF(AND(ISNUMBER($S$561),$B$419=1),$S$561,HLOOKUP(INDIRECT(ADDRESS(2,COLUMN())),OFFSET($BN$2,0,0,ROW()-1,60),ROW()-1,FALSE))</f>
        <v/>
      </c>
      <c r="T106" t="str">
        <f ca="1">IF(AND(ISNUMBER($T$561),$B$419=1),$T$561,HLOOKUP(INDIRECT(ADDRESS(2,COLUMN())),OFFSET($BN$2,0,0,ROW()-1,60),ROW()-1,FALSE))</f>
        <v/>
      </c>
      <c r="U106" t="str">
        <f ca="1">IF(AND(ISNUMBER($U$561),$B$419=1),$U$561,HLOOKUP(INDIRECT(ADDRESS(2,COLUMN())),OFFSET($BN$2,0,0,ROW()-1,60),ROW()-1,FALSE))</f>
        <v/>
      </c>
      <c r="V106" t="str">
        <f ca="1">IF(AND(ISNUMBER($V$561),$B$419=1),$V$561,HLOOKUP(INDIRECT(ADDRESS(2,COLUMN())),OFFSET($BN$2,0,0,ROW()-1,60),ROW()-1,FALSE))</f>
        <v/>
      </c>
      <c r="W106" t="str">
        <f ca="1">IF(AND(ISNUMBER($W$561),$B$419=1),$W$561,HLOOKUP(INDIRECT(ADDRESS(2,COLUMN())),OFFSET($BN$2,0,0,ROW()-1,60),ROW()-1,FALSE))</f>
        <v/>
      </c>
      <c r="X106" t="str">
        <f ca="1">IF(AND(ISNUMBER($X$561),$B$419=1),$X$561,HLOOKUP(INDIRECT(ADDRESS(2,COLUMN())),OFFSET($BN$2,0,0,ROW()-1,60),ROW()-1,FALSE))</f>
        <v/>
      </c>
      <c r="Y106" t="str">
        <f ca="1">IF(AND(ISNUMBER($Y$561),$B$419=1),$Y$561,HLOOKUP(INDIRECT(ADDRESS(2,COLUMN())),OFFSET($BN$2,0,0,ROW()-1,60),ROW()-1,FALSE))</f>
        <v/>
      </c>
      <c r="Z106" t="str">
        <f ca="1">IF(AND(ISNUMBER($Z$561),$B$419=1),$Z$561,HLOOKUP(INDIRECT(ADDRESS(2,COLUMN())),OFFSET($BN$2,0,0,ROW()-1,60),ROW()-1,FALSE))</f>
        <v/>
      </c>
      <c r="AA106" t="str">
        <f ca="1">IF(AND(ISNUMBER($AA$561),$B$419=1),$AA$561,HLOOKUP(INDIRECT(ADDRESS(2,COLUMN())),OFFSET($BN$2,0,0,ROW()-1,60),ROW()-1,FALSE))</f>
        <v/>
      </c>
      <c r="AB106" t="str">
        <f ca="1">IF(AND(ISNUMBER($AB$561),$B$419=1),$AB$561,HLOOKUP(INDIRECT(ADDRESS(2,COLUMN())),OFFSET($BN$2,0,0,ROW()-1,60),ROW()-1,FALSE))</f>
        <v/>
      </c>
      <c r="AC106" t="str">
        <f ca="1">IF(AND(ISNUMBER($AC$561),$B$419=1),$AC$561,HLOOKUP(INDIRECT(ADDRESS(2,COLUMN())),OFFSET($BN$2,0,0,ROW()-1,60),ROW()-1,FALSE))</f>
        <v/>
      </c>
      <c r="AD106" t="str">
        <f ca="1">IF(AND(ISNUMBER($AD$561),$B$419=1),$AD$561,HLOOKUP(INDIRECT(ADDRESS(2,COLUMN())),OFFSET($BN$2,0,0,ROW()-1,60),ROW()-1,FALSE))</f>
        <v/>
      </c>
      <c r="AE106" t="str">
        <f ca="1">IF(AND(ISNUMBER($AE$561),$B$419=1),$AE$561,HLOOKUP(INDIRECT(ADDRESS(2,COLUMN())),OFFSET($BN$2,0,0,ROW()-1,60),ROW()-1,FALSE))</f>
        <v/>
      </c>
      <c r="AF106" t="str">
        <f ca="1">IF(AND(ISNUMBER($AF$561),$B$419=1),$AF$561,HLOOKUP(INDIRECT(ADDRESS(2,COLUMN())),OFFSET($BN$2,0,0,ROW()-1,60),ROW()-1,FALSE))</f>
        <v/>
      </c>
      <c r="AG106" t="str">
        <f ca="1">IF(AND(ISNUMBER($AG$561),$B$419=1),$AG$561,HLOOKUP(INDIRECT(ADDRESS(2,COLUMN())),OFFSET($BN$2,0,0,ROW()-1,60),ROW()-1,FALSE))</f>
        <v/>
      </c>
      <c r="AH106" t="str">
        <f ca="1">IF(AND(ISNUMBER($AH$561),$B$419=1),$AH$561,HLOOKUP(INDIRECT(ADDRESS(2,COLUMN())),OFFSET($BN$2,0,0,ROW()-1,60),ROW()-1,FALSE))</f>
        <v/>
      </c>
      <c r="AI106" t="str">
        <f ca="1">IF(AND(ISNUMBER($AI$561),$B$419=1),$AI$561,HLOOKUP(INDIRECT(ADDRESS(2,COLUMN())),OFFSET($BN$2,0,0,ROW()-1,60),ROW()-1,FALSE))</f>
        <v/>
      </c>
      <c r="AJ106" t="str">
        <f ca="1">IF(AND(ISNUMBER($AJ$561),$B$419=1),$AJ$561,HLOOKUP(INDIRECT(ADDRESS(2,COLUMN())),OFFSET($BN$2,0,0,ROW()-1,60),ROW()-1,FALSE))</f>
        <v/>
      </c>
      <c r="AK106" t="str">
        <f ca="1">IF(AND(ISNUMBER($AK$561),$B$419=1),$AK$561,HLOOKUP(INDIRECT(ADDRESS(2,COLUMN())),OFFSET($BN$2,0,0,ROW()-1,60),ROW()-1,FALSE))</f>
        <v/>
      </c>
      <c r="AL106" t="str">
        <f ca="1">IF(AND(ISNUMBER($AL$561),$B$419=1),$AL$561,HLOOKUP(INDIRECT(ADDRESS(2,COLUMN())),OFFSET($BN$2,0,0,ROW()-1,60),ROW()-1,FALSE))</f>
        <v/>
      </c>
      <c r="AM106" t="str">
        <f ca="1">IF(AND(ISNUMBER($AM$561),$B$419=1),$AM$561,HLOOKUP(INDIRECT(ADDRESS(2,COLUMN())),OFFSET($BN$2,0,0,ROW()-1,60),ROW()-1,FALSE))</f>
        <v/>
      </c>
      <c r="AN106" t="str">
        <f ca="1">IF(AND(ISNUMBER($AN$561),$B$419=1),$AN$561,HLOOKUP(INDIRECT(ADDRESS(2,COLUMN())),OFFSET($BN$2,0,0,ROW()-1,60),ROW()-1,FALSE))</f>
        <v/>
      </c>
      <c r="AO106" t="str">
        <f ca="1">IF(AND(ISNUMBER($AO$561),$B$419=1),$AO$561,HLOOKUP(INDIRECT(ADDRESS(2,COLUMN())),OFFSET($BN$2,0,0,ROW()-1,60),ROW()-1,FALSE))</f>
        <v/>
      </c>
      <c r="AP106" t="str">
        <f ca="1">IF(AND(ISNUMBER($AP$561),$B$419=1),$AP$561,HLOOKUP(INDIRECT(ADDRESS(2,COLUMN())),OFFSET($BN$2,0,0,ROW()-1,60),ROW()-1,FALSE))</f>
        <v/>
      </c>
      <c r="AQ106" t="str">
        <f ca="1">IF(AND(ISNUMBER($AQ$561),$B$419=1),$AQ$561,HLOOKUP(INDIRECT(ADDRESS(2,COLUMN())),OFFSET($BN$2,0,0,ROW()-1,60),ROW()-1,FALSE))</f>
        <v/>
      </c>
      <c r="AR106" t="str">
        <f ca="1">IF(AND(ISNUMBER($AR$561),$B$419=1),$AR$561,HLOOKUP(INDIRECT(ADDRESS(2,COLUMN())),OFFSET($BN$2,0,0,ROW()-1,60),ROW()-1,FALSE))</f>
        <v/>
      </c>
      <c r="AS106" t="str">
        <f ca="1">IF(AND(ISNUMBER($AS$561),$B$419=1),$AS$561,HLOOKUP(INDIRECT(ADDRESS(2,COLUMN())),OFFSET($BN$2,0,0,ROW()-1,60),ROW()-1,FALSE))</f>
        <v/>
      </c>
      <c r="AT106" t="str">
        <f ca="1">IF(AND(ISNUMBER($AT$561),$B$419=1),$AT$561,HLOOKUP(INDIRECT(ADDRESS(2,COLUMN())),OFFSET($BN$2,0,0,ROW()-1,60),ROW()-1,FALSE))</f>
        <v/>
      </c>
      <c r="AU106" t="str">
        <f ca="1">IF(AND(ISNUMBER($AU$561),$B$419=1),$AU$561,HLOOKUP(INDIRECT(ADDRESS(2,COLUMN())),OFFSET($BN$2,0,0,ROW()-1,60),ROW()-1,FALSE))</f>
        <v/>
      </c>
      <c r="AV106" t="str">
        <f ca="1">IF(AND(ISNUMBER($AV$561),$B$419=1),$AV$561,HLOOKUP(INDIRECT(ADDRESS(2,COLUMN())),OFFSET($BN$2,0,0,ROW()-1,60),ROW()-1,FALSE))</f>
        <v/>
      </c>
      <c r="AW106" t="str">
        <f ca="1">IF(AND(ISNUMBER($AW$561),$B$419=1),$AW$561,HLOOKUP(INDIRECT(ADDRESS(2,COLUMN())),OFFSET($BN$2,0,0,ROW()-1,60),ROW()-1,FALSE))</f>
        <v/>
      </c>
      <c r="AX106" t="str">
        <f ca="1">IF(AND(ISNUMBER($AX$561),$B$419=1),$AX$561,HLOOKUP(INDIRECT(ADDRESS(2,COLUMN())),OFFSET($BN$2,0,0,ROW()-1,60),ROW()-1,FALSE))</f>
        <v/>
      </c>
      <c r="AY106" t="str">
        <f ca="1">IF(AND(ISNUMBER($AY$561),$B$419=1),$AY$561,HLOOKUP(INDIRECT(ADDRESS(2,COLUMN())),OFFSET($BN$2,0,0,ROW()-1,60),ROW()-1,FALSE))</f>
        <v/>
      </c>
      <c r="AZ106" t="str">
        <f ca="1">IF(AND(ISNUMBER($AZ$561),$B$419=1),$AZ$561,HLOOKUP(INDIRECT(ADDRESS(2,COLUMN())),OFFSET($BN$2,0,0,ROW()-1,60),ROW()-1,FALSE))</f>
        <v/>
      </c>
      <c r="BA106" t="str">
        <f ca="1">IF(AND(ISNUMBER($BA$561),$B$419=1),$BA$561,HLOOKUP(INDIRECT(ADDRESS(2,COLUMN())),OFFSET($BN$2,0,0,ROW()-1,60),ROW()-1,FALSE))</f>
        <v/>
      </c>
      <c r="BB106" t="str">
        <f ca="1">IF(AND(ISNUMBER($BB$561),$B$419=1),$BB$561,HLOOKUP(INDIRECT(ADDRESS(2,COLUMN())),OFFSET($BN$2,0,0,ROW()-1,60),ROW()-1,FALSE))</f>
        <v/>
      </c>
      <c r="BC106" t="str">
        <f ca="1">IF(AND(ISNUMBER($BC$561),$B$419=1),$BC$561,HLOOKUP(INDIRECT(ADDRESS(2,COLUMN())),OFFSET($BN$2,0,0,ROW()-1,60),ROW()-1,FALSE))</f>
        <v/>
      </c>
      <c r="BD106" t="str">
        <f ca="1">IF(AND(ISNUMBER($BD$561),$B$419=1),$BD$561,HLOOKUP(INDIRECT(ADDRESS(2,COLUMN())),OFFSET($BN$2,0,0,ROW()-1,60),ROW()-1,FALSE))</f>
        <v/>
      </c>
      <c r="BE106" t="str">
        <f ca="1">IF(AND(ISNUMBER($BE$561),$B$419=1),$BE$561,HLOOKUP(INDIRECT(ADDRESS(2,COLUMN())),OFFSET($BN$2,0,0,ROW()-1,60),ROW()-1,FALSE))</f>
        <v/>
      </c>
      <c r="BF106" t="str">
        <f ca="1">IF(AND(ISNUMBER($BF$561),$B$419=1),$BF$561,HLOOKUP(INDIRECT(ADDRESS(2,COLUMN())),OFFSET($BN$2,0,0,ROW()-1,60),ROW()-1,FALSE))</f>
        <v/>
      </c>
      <c r="BG106" t="str">
        <f ca="1">IF(AND(ISNUMBER($BG$561),$B$419=1),$BG$561,HLOOKUP(INDIRECT(ADDRESS(2,COLUMN())),OFFSET($BN$2,0,0,ROW()-1,60),ROW()-1,FALSE))</f>
        <v/>
      </c>
      <c r="BH106" t="str">
        <f ca="1">IF(AND(ISNUMBER($BH$561),$B$419=1),$BH$561,HLOOKUP(INDIRECT(ADDRESS(2,COLUMN())),OFFSET($BN$2,0,0,ROW()-1,60),ROW()-1,FALSE))</f>
        <v/>
      </c>
      <c r="BI106" t="str">
        <f ca="1">IF(AND(ISNUMBER($BI$561),$B$419=1),$BI$561,HLOOKUP(INDIRECT(ADDRESS(2,COLUMN())),OFFSET($BN$2,0,0,ROW()-1,60),ROW()-1,FALSE))</f>
        <v/>
      </c>
      <c r="BJ106" t="str">
        <f ca="1">IF(AND(ISNUMBER($BJ$561),$B$419=1),$BJ$561,HLOOKUP(INDIRECT(ADDRESS(2,COLUMN())),OFFSET($BN$2,0,0,ROW()-1,60),ROW()-1,FALSE))</f>
        <v/>
      </c>
      <c r="BK106" t="str">
        <f ca="1">IF(AND(ISNUMBER($BK$561),$B$419=1),$BK$561,HLOOKUP(INDIRECT(ADDRESS(2,COLUMN())),OFFSET($BN$2,0,0,ROW()-1,60),ROW()-1,FALSE))</f>
        <v/>
      </c>
      <c r="BL106" t="str">
        <f ca="1">IF(AND(ISNUMBER($BL$561),$B$419=1),$BL$561,HLOOKUP(INDIRECT(ADDRESS(2,COLUMN())),OFFSET($BN$2,0,0,ROW()-1,60),ROW()-1,FALSE))</f>
        <v/>
      </c>
      <c r="BM106" t="str">
        <f ca="1">IF(AND(ISNUMBER($BM$561),$B$419=1),$BM$561,HLOOKUP(INDIRECT(ADDRESS(2,COLUMN())),OFFSET($BN$2,0,0,ROW()-1,60),ROW()-1,FALSE))</f>
        <v/>
      </c>
      <c r="BN106" t="str">
        <f>""</f>
        <v/>
      </c>
      <c r="BO106" t="str">
        <f>""</f>
        <v/>
      </c>
      <c r="BP106" t="str">
        <f>""</f>
        <v/>
      </c>
      <c r="BQ106" t="str">
        <f>""</f>
        <v/>
      </c>
      <c r="BR106" t="str">
        <f>""</f>
        <v/>
      </c>
      <c r="BS106" t="str">
        <f>""</f>
        <v/>
      </c>
      <c r="BT106" t="str">
        <f>""</f>
        <v/>
      </c>
      <c r="BU106" t="str">
        <f>""</f>
        <v/>
      </c>
      <c r="BV106" t="str">
        <f>""</f>
        <v/>
      </c>
      <c r="BW106" t="str">
        <f>""</f>
        <v/>
      </c>
      <c r="BX106" t="str">
        <f>""</f>
        <v/>
      </c>
      <c r="BY106" t="str">
        <f>""</f>
        <v/>
      </c>
      <c r="BZ106" t="str">
        <f>""</f>
        <v/>
      </c>
      <c r="CA106" t="str">
        <f>""</f>
        <v/>
      </c>
      <c r="CB106" t="str">
        <f>""</f>
        <v/>
      </c>
      <c r="CC106" t="str">
        <f>""</f>
        <v/>
      </c>
      <c r="CD106" t="str">
        <f>""</f>
        <v/>
      </c>
      <c r="CE106" t="str">
        <f>""</f>
        <v/>
      </c>
      <c r="CF106" t="str">
        <f>""</f>
        <v/>
      </c>
      <c r="CG106" t="str">
        <f>""</f>
        <v/>
      </c>
      <c r="CH106" t="str">
        <f>""</f>
        <v/>
      </c>
      <c r="CI106" t="str">
        <f>""</f>
        <v/>
      </c>
      <c r="CJ106" t="str">
        <f>""</f>
        <v/>
      </c>
      <c r="CK106" t="str">
        <f>""</f>
        <v/>
      </c>
      <c r="CL106" t="str">
        <f>""</f>
        <v/>
      </c>
      <c r="CM106" t="str">
        <f>""</f>
        <v/>
      </c>
      <c r="CN106" t="str">
        <f>""</f>
        <v/>
      </c>
      <c r="CO106" t="str">
        <f>""</f>
        <v/>
      </c>
      <c r="CP106" t="str">
        <f>""</f>
        <v/>
      </c>
      <c r="CQ106" t="str">
        <f>""</f>
        <v/>
      </c>
      <c r="CR106" t="str">
        <f>""</f>
        <v/>
      </c>
      <c r="CS106" t="str">
        <f>""</f>
        <v/>
      </c>
      <c r="CT106" t="str">
        <f>""</f>
        <v/>
      </c>
      <c r="CU106" t="str">
        <f>""</f>
        <v/>
      </c>
      <c r="CV106" t="str">
        <f>""</f>
        <v/>
      </c>
      <c r="CW106" t="str">
        <f>""</f>
        <v/>
      </c>
      <c r="CX106" t="str">
        <f>""</f>
        <v/>
      </c>
      <c r="CY106" t="str">
        <f>""</f>
        <v/>
      </c>
      <c r="CZ106" t="str">
        <f>""</f>
        <v/>
      </c>
      <c r="DA106" t="str">
        <f>""</f>
        <v/>
      </c>
      <c r="DB106" t="str">
        <f>""</f>
        <v/>
      </c>
      <c r="DC106" t="str">
        <f>""</f>
        <v/>
      </c>
      <c r="DD106" t="str">
        <f>""</f>
        <v/>
      </c>
      <c r="DE106" t="str">
        <f>""</f>
        <v/>
      </c>
      <c r="DF106" t="str">
        <f>""</f>
        <v/>
      </c>
      <c r="DG106" t="str">
        <f>""</f>
        <v/>
      </c>
      <c r="DH106" t="str">
        <f>""</f>
        <v/>
      </c>
      <c r="DI106" t="str">
        <f>""</f>
        <v/>
      </c>
      <c r="DJ106" t="str">
        <f>""</f>
        <v/>
      </c>
      <c r="DK106" t="str">
        <f>""</f>
        <v/>
      </c>
      <c r="DL106" t="str">
        <f>""</f>
        <v/>
      </c>
      <c r="DM106" t="str">
        <f>""</f>
        <v/>
      </c>
      <c r="DN106" t="str">
        <f>""</f>
        <v/>
      </c>
      <c r="DO106" t="str">
        <f>""</f>
        <v/>
      </c>
      <c r="DP106" t="str">
        <f>""</f>
        <v/>
      </c>
      <c r="DQ106" t="str">
        <f>""</f>
        <v/>
      </c>
      <c r="DR106" t="str">
        <f>""</f>
        <v/>
      </c>
      <c r="DS106" t="str">
        <f>""</f>
        <v/>
      </c>
      <c r="DT106" t="str">
        <f>""</f>
        <v/>
      </c>
      <c r="DU106" t="str">
        <f>""</f>
        <v/>
      </c>
    </row>
    <row r="107" spans="1:125">
      <c r="A107" t="str">
        <f>"    Realty Income Corp"</f>
        <v xml:space="preserve">    Realty Income Corp</v>
      </c>
      <c r="B107" t="str">
        <f>"O US Equity"</f>
        <v>O US Equity</v>
      </c>
      <c r="C107" t="str">
        <f t="shared" si="18"/>
        <v>IS972</v>
      </c>
      <c r="D107" t="str">
        <f t="shared" si="19"/>
        <v>IS_ADJUSTED_EBITDA_AS_REPORTED</v>
      </c>
      <c r="E107" t="str">
        <f t="shared" si="20"/>
        <v>动态</v>
      </c>
      <c r="F107" t="str">
        <f ca="1">IF(AND(ISNUMBER($F$562),$B$419=1),$F$562,HLOOKUP(INDIRECT(ADDRESS(2,COLUMN())),OFFSET($BN$2,0,0,ROW()-1,60),ROW()-1,FALSE))</f>
        <v/>
      </c>
      <c r="G107" t="str">
        <f ca="1">IF(AND(ISNUMBER($G$562),$B$419=1),$G$562,HLOOKUP(INDIRECT(ADDRESS(2,COLUMN())),OFFSET($BN$2,0,0,ROW()-1,60),ROW()-1,FALSE))</f>
        <v/>
      </c>
      <c r="H107" t="str">
        <f ca="1">IF(AND(ISNUMBER($H$562),$B$419=1),$H$562,HLOOKUP(INDIRECT(ADDRESS(2,COLUMN())),OFFSET($BN$2,0,0,ROW()-1,60),ROW()-1,FALSE))</f>
        <v/>
      </c>
      <c r="I107" t="str">
        <f ca="1">IF(AND(ISNUMBER($I$562),$B$419=1),$I$562,HLOOKUP(INDIRECT(ADDRESS(2,COLUMN())),OFFSET($BN$2,0,0,ROW()-1,60),ROW()-1,FALSE))</f>
        <v/>
      </c>
      <c r="J107" t="str">
        <f ca="1">IF(AND(ISNUMBER($J$562),$B$419=1),$J$562,HLOOKUP(INDIRECT(ADDRESS(2,COLUMN())),OFFSET($BN$2,0,0,ROW()-1,60),ROW()-1,FALSE))</f>
        <v/>
      </c>
      <c r="K107" t="str">
        <f ca="1">IF(AND(ISNUMBER($K$562),$B$419=1),$K$562,HLOOKUP(INDIRECT(ADDRESS(2,COLUMN())),OFFSET($BN$2,0,0,ROW()-1,60),ROW()-1,FALSE))</f>
        <v/>
      </c>
      <c r="L107" t="str">
        <f ca="1">IF(AND(ISNUMBER($L$562),$B$419=1),$L$562,HLOOKUP(INDIRECT(ADDRESS(2,COLUMN())),OFFSET($BN$2,0,0,ROW()-1,60),ROW()-1,FALSE))</f>
        <v/>
      </c>
      <c r="M107" t="str">
        <f ca="1">IF(AND(ISNUMBER($M$562),$B$419=1),$M$562,HLOOKUP(INDIRECT(ADDRESS(2,COLUMN())),OFFSET($BN$2,0,0,ROW()-1,60),ROW()-1,FALSE))</f>
        <v/>
      </c>
      <c r="N107" t="str">
        <f ca="1">IF(AND(ISNUMBER($N$562),$B$419=1),$N$562,HLOOKUP(INDIRECT(ADDRESS(2,COLUMN())),OFFSET($BN$2,0,0,ROW()-1,60),ROW()-1,FALSE))</f>
        <v/>
      </c>
      <c r="O107" t="str">
        <f ca="1">IF(AND(ISNUMBER($O$562),$B$419=1),$O$562,HLOOKUP(INDIRECT(ADDRESS(2,COLUMN())),OFFSET($BN$2,0,0,ROW()-1,60),ROW()-1,FALSE))</f>
        <v/>
      </c>
      <c r="P107" t="str">
        <f ca="1">IF(AND(ISNUMBER($P$562),$B$419=1),$P$562,HLOOKUP(INDIRECT(ADDRESS(2,COLUMN())),OFFSET($BN$2,0,0,ROW()-1,60),ROW()-1,FALSE))</f>
        <v/>
      </c>
      <c r="Q107" t="str">
        <f ca="1">IF(AND(ISNUMBER($Q$562),$B$419=1),$Q$562,HLOOKUP(INDIRECT(ADDRESS(2,COLUMN())),OFFSET($BN$2,0,0,ROW()-1,60),ROW()-1,FALSE))</f>
        <v/>
      </c>
      <c r="R107" t="str">
        <f ca="1">IF(AND(ISNUMBER($R$562),$B$419=1),$R$562,HLOOKUP(INDIRECT(ADDRESS(2,COLUMN())),OFFSET($BN$2,0,0,ROW()-1,60),ROW()-1,FALSE))</f>
        <v/>
      </c>
      <c r="S107" t="str">
        <f ca="1">IF(AND(ISNUMBER($S$562),$B$419=1),$S$562,HLOOKUP(INDIRECT(ADDRESS(2,COLUMN())),OFFSET($BN$2,0,0,ROW()-1,60),ROW()-1,FALSE))</f>
        <v/>
      </c>
      <c r="T107" t="str">
        <f ca="1">IF(AND(ISNUMBER($T$562),$B$419=1),$T$562,HLOOKUP(INDIRECT(ADDRESS(2,COLUMN())),OFFSET($BN$2,0,0,ROW()-1,60),ROW()-1,FALSE))</f>
        <v/>
      </c>
      <c r="U107" t="str">
        <f ca="1">IF(AND(ISNUMBER($U$562),$B$419=1),$U$562,HLOOKUP(INDIRECT(ADDRESS(2,COLUMN())),OFFSET($BN$2,0,0,ROW()-1,60),ROW()-1,FALSE))</f>
        <v/>
      </c>
      <c r="V107" t="str">
        <f ca="1">IF(AND(ISNUMBER($V$562),$B$419=1),$V$562,HLOOKUP(INDIRECT(ADDRESS(2,COLUMN())),OFFSET($BN$2,0,0,ROW()-1,60),ROW()-1,FALSE))</f>
        <v/>
      </c>
      <c r="W107" t="str">
        <f ca="1">IF(AND(ISNUMBER($W$562),$B$419=1),$W$562,HLOOKUP(INDIRECT(ADDRESS(2,COLUMN())),OFFSET($BN$2,0,0,ROW()-1,60),ROW()-1,FALSE))</f>
        <v/>
      </c>
      <c r="X107" t="str">
        <f ca="1">IF(AND(ISNUMBER($X$562),$B$419=1),$X$562,HLOOKUP(INDIRECT(ADDRESS(2,COLUMN())),OFFSET($BN$2,0,0,ROW()-1,60),ROW()-1,FALSE))</f>
        <v/>
      </c>
      <c r="Y107" t="str">
        <f ca="1">IF(AND(ISNUMBER($Y$562),$B$419=1),$Y$562,HLOOKUP(INDIRECT(ADDRESS(2,COLUMN())),OFFSET($BN$2,0,0,ROW()-1,60),ROW()-1,FALSE))</f>
        <v/>
      </c>
      <c r="Z107" t="str">
        <f ca="1">IF(AND(ISNUMBER($Z$562),$B$419=1),$Z$562,HLOOKUP(INDIRECT(ADDRESS(2,COLUMN())),OFFSET($BN$2,0,0,ROW()-1,60),ROW()-1,FALSE))</f>
        <v/>
      </c>
      <c r="AA107" t="str">
        <f ca="1">IF(AND(ISNUMBER($AA$562),$B$419=1),$AA$562,HLOOKUP(INDIRECT(ADDRESS(2,COLUMN())),OFFSET($BN$2,0,0,ROW()-1,60),ROW()-1,FALSE))</f>
        <v/>
      </c>
      <c r="AB107" t="str">
        <f ca="1">IF(AND(ISNUMBER($AB$562),$B$419=1),$AB$562,HLOOKUP(INDIRECT(ADDRESS(2,COLUMN())),OFFSET($BN$2,0,0,ROW()-1,60),ROW()-1,FALSE))</f>
        <v/>
      </c>
      <c r="AC107" t="str">
        <f ca="1">IF(AND(ISNUMBER($AC$562),$B$419=1),$AC$562,HLOOKUP(INDIRECT(ADDRESS(2,COLUMN())),OFFSET($BN$2,0,0,ROW()-1,60),ROW()-1,FALSE))</f>
        <v/>
      </c>
      <c r="AD107">
        <f ca="1">IF(AND(ISNUMBER($AD$562),$B$419=1),$AD$562,HLOOKUP(INDIRECT(ADDRESS(2,COLUMN())),OFFSET($BN$2,0,0,ROW()-1,60),ROW()-1,FALSE))</f>
        <v>103.566</v>
      </c>
      <c r="AE107">
        <f ca="1">IF(AND(ISNUMBER($AE$562),$B$419=1),$AE$562,HLOOKUP(INDIRECT(ADDRESS(2,COLUMN())),OFFSET($BN$2,0,0,ROW()-1,60),ROW()-1,FALSE))</f>
        <v>103.566</v>
      </c>
      <c r="AF107">
        <f ca="1">IF(AND(ISNUMBER($AF$562),$B$419=1),$AF$562,HLOOKUP(INDIRECT(ADDRESS(2,COLUMN())),OFFSET($BN$2,0,0,ROW()-1,60),ROW()-1,FALSE))</f>
        <v>98.622</v>
      </c>
      <c r="AG107">
        <f ca="1">IF(AND(ISNUMBER($AG$562),$B$419=1),$AG$562,HLOOKUP(INDIRECT(ADDRESS(2,COLUMN())),OFFSET($BN$2,0,0,ROW()-1,60),ROW()-1,FALSE))</f>
        <v>93.191000000000003</v>
      </c>
      <c r="AH107">
        <f ca="1">IF(AND(ISNUMBER($AH$562),$B$419=1),$AH$562,HLOOKUP(INDIRECT(ADDRESS(2,COLUMN())),OFFSET($BN$2,0,0,ROW()-1,60),ROW()-1,FALSE))</f>
        <v>88.522000000000006</v>
      </c>
      <c r="AI107">
        <f ca="1">IF(AND(ISNUMBER($AI$562),$B$419=1),$AI$562,HLOOKUP(INDIRECT(ADDRESS(2,COLUMN())),OFFSET($BN$2,0,0,ROW()-1,60),ROW()-1,FALSE))</f>
        <v>84.373999999999995</v>
      </c>
      <c r="AJ107">
        <f ca="1">IF(AND(ISNUMBER($AJ$562),$B$419=1),$AJ$562,HLOOKUP(INDIRECT(ADDRESS(2,COLUMN())),OFFSET($BN$2,0,0,ROW()-1,60),ROW()-1,FALSE))</f>
        <v>79.539000000000001</v>
      </c>
      <c r="AK107" t="str">
        <f ca="1">IF(AND(ISNUMBER($AK$562),$B$419=1),$AK$562,HLOOKUP(INDIRECT(ADDRESS(2,COLUMN())),OFFSET($BN$2,0,0,ROW()-1,60),ROW()-1,FALSE))</f>
        <v/>
      </c>
      <c r="AL107" t="str">
        <f ca="1">IF(AND(ISNUMBER($AL$562),$B$419=1),$AL$562,HLOOKUP(INDIRECT(ADDRESS(2,COLUMN())),OFFSET($BN$2,0,0,ROW()-1,60),ROW()-1,FALSE))</f>
        <v/>
      </c>
      <c r="AM107" t="str">
        <f ca="1">IF(AND(ISNUMBER($AM$562),$B$419=1),$AM$562,HLOOKUP(INDIRECT(ADDRESS(2,COLUMN())),OFFSET($BN$2,0,0,ROW()-1,60),ROW()-1,FALSE))</f>
        <v/>
      </c>
      <c r="AN107" t="str">
        <f ca="1">IF(AND(ISNUMBER($AN$562),$B$419=1),$AN$562,HLOOKUP(INDIRECT(ADDRESS(2,COLUMN())),OFFSET($BN$2,0,0,ROW()-1,60),ROW()-1,FALSE))</f>
        <v/>
      </c>
      <c r="AO107" t="str">
        <f ca="1">IF(AND(ISNUMBER($AO$562),$B$419=1),$AO$562,HLOOKUP(INDIRECT(ADDRESS(2,COLUMN())),OFFSET($BN$2,0,0,ROW()-1,60),ROW()-1,FALSE))</f>
        <v/>
      </c>
      <c r="AP107" t="str">
        <f ca="1">IF(AND(ISNUMBER($AP$562),$B$419=1),$AP$562,HLOOKUP(INDIRECT(ADDRESS(2,COLUMN())),OFFSET($BN$2,0,0,ROW()-1,60),ROW()-1,FALSE))</f>
        <v/>
      </c>
      <c r="AQ107" t="str">
        <f ca="1">IF(AND(ISNUMBER($AQ$562),$B$419=1),$AQ$562,HLOOKUP(INDIRECT(ADDRESS(2,COLUMN())),OFFSET($BN$2,0,0,ROW()-1,60),ROW()-1,FALSE))</f>
        <v/>
      </c>
      <c r="AR107" t="str">
        <f ca="1">IF(AND(ISNUMBER($AR$562),$B$419=1),$AR$562,HLOOKUP(INDIRECT(ADDRESS(2,COLUMN())),OFFSET($BN$2,0,0,ROW()-1,60),ROW()-1,FALSE))</f>
        <v/>
      </c>
      <c r="AS107" t="str">
        <f ca="1">IF(AND(ISNUMBER($AS$562),$B$419=1),$AS$562,HLOOKUP(INDIRECT(ADDRESS(2,COLUMN())),OFFSET($BN$2,0,0,ROW()-1,60),ROW()-1,FALSE))</f>
        <v/>
      </c>
      <c r="AT107" t="str">
        <f ca="1">IF(AND(ISNUMBER($AT$562),$B$419=1),$AT$562,HLOOKUP(INDIRECT(ADDRESS(2,COLUMN())),OFFSET($BN$2,0,0,ROW()-1,60),ROW()-1,FALSE))</f>
        <v/>
      </c>
      <c r="AU107" t="str">
        <f ca="1">IF(AND(ISNUMBER($AU$562),$B$419=1),$AU$562,HLOOKUP(INDIRECT(ADDRESS(2,COLUMN())),OFFSET($BN$2,0,0,ROW()-1,60),ROW()-1,FALSE))</f>
        <v/>
      </c>
      <c r="AV107" t="str">
        <f ca="1">IF(AND(ISNUMBER($AV$562),$B$419=1),$AV$562,HLOOKUP(INDIRECT(ADDRESS(2,COLUMN())),OFFSET($BN$2,0,0,ROW()-1,60),ROW()-1,FALSE))</f>
        <v/>
      </c>
      <c r="AW107" t="str">
        <f ca="1">IF(AND(ISNUMBER($AW$562),$B$419=1),$AW$562,HLOOKUP(INDIRECT(ADDRESS(2,COLUMN())),OFFSET($BN$2,0,0,ROW()-1,60),ROW()-1,FALSE))</f>
        <v/>
      </c>
      <c r="AX107" t="str">
        <f ca="1">IF(AND(ISNUMBER($AX$562),$B$419=1),$AX$562,HLOOKUP(INDIRECT(ADDRESS(2,COLUMN())),OFFSET($BN$2,0,0,ROW()-1,60),ROW()-1,FALSE))</f>
        <v/>
      </c>
      <c r="AY107" t="str">
        <f ca="1">IF(AND(ISNUMBER($AY$562),$B$419=1),$AY$562,HLOOKUP(INDIRECT(ADDRESS(2,COLUMN())),OFFSET($BN$2,0,0,ROW()-1,60),ROW()-1,FALSE))</f>
        <v/>
      </c>
      <c r="AZ107" t="str">
        <f ca="1">IF(AND(ISNUMBER($AZ$562),$B$419=1),$AZ$562,HLOOKUP(INDIRECT(ADDRESS(2,COLUMN())),OFFSET($BN$2,0,0,ROW()-1,60),ROW()-1,FALSE))</f>
        <v/>
      </c>
      <c r="BA107" t="str">
        <f ca="1">IF(AND(ISNUMBER($BA$562),$B$419=1),$BA$562,HLOOKUP(INDIRECT(ADDRESS(2,COLUMN())),OFFSET($BN$2,0,0,ROW()-1,60),ROW()-1,FALSE))</f>
        <v/>
      </c>
      <c r="BB107" t="str">
        <f ca="1">IF(AND(ISNUMBER($BB$562),$B$419=1),$BB$562,HLOOKUP(INDIRECT(ADDRESS(2,COLUMN())),OFFSET($BN$2,0,0,ROW()-1,60),ROW()-1,FALSE))</f>
        <v/>
      </c>
      <c r="BC107" t="str">
        <f ca="1">IF(AND(ISNUMBER($BC$562),$B$419=1),$BC$562,HLOOKUP(INDIRECT(ADDRESS(2,COLUMN())),OFFSET($BN$2,0,0,ROW()-1,60),ROW()-1,FALSE))</f>
        <v/>
      </c>
      <c r="BD107" t="str">
        <f ca="1">IF(AND(ISNUMBER($BD$562),$B$419=1),$BD$562,HLOOKUP(INDIRECT(ADDRESS(2,COLUMN())),OFFSET($BN$2,0,0,ROW()-1,60),ROW()-1,FALSE))</f>
        <v/>
      </c>
      <c r="BE107" t="str">
        <f ca="1">IF(AND(ISNUMBER($BE$562),$B$419=1),$BE$562,HLOOKUP(INDIRECT(ADDRESS(2,COLUMN())),OFFSET($BN$2,0,0,ROW()-1,60),ROW()-1,FALSE))</f>
        <v/>
      </c>
      <c r="BF107" t="str">
        <f ca="1">IF(AND(ISNUMBER($BF$562),$B$419=1),$BF$562,HLOOKUP(INDIRECT(ADDRESS(2,COLUMN())),OFFSET($BN$2,0,0,ROW()-1,60),ROW()-1,FALSE))</f>
        <v/>
      </c>
      <c r="BG107" t="str">
        <f ca="1">IF(AND(ISNUMBER($BG$562),$B$419=1),$BG$562,HLOOKUP(INDIRECT(ADDRESS(2,COLUMN())),OFFSET($BN$2,0,0,ROW()-1,60),ROW()-1,FALSE))</f>
        <v/>
      </c>
      <c r="BH107" t="str">
        <f ca="1">IF(AND(ISNUMBER($BH$562),$B$419=1),$BH$562,HLOOKUP(INDIRECT(ADDRESS(2,COLUMN())),OFFSET($BN$2,0,0,ROW()-1,60),ROW()-1,FALSE))</f>
        <v/>
      </c>
      <c r="BI107" t="str">
        <f ca="1">IF(AND(ISNUMBER($BI$562),$B$419=1),$BI$562,HLOOKUP(INDIRECT(ADDRESS(2,COLUMN())),OFFSET($BN$2,0,0,ROW()-1,60),ROW()-1,FALSE))</f>
        <v/>
      </c>
      <c r="BJ107" t="str">
        <f ca="1">IF(AND(ISNUMBER($BJ$562),$B$419=1),$BJ$562,HLOOKUP(INDIRECT(ADDRESS(2,COLUMN())),OFFSET($BN$2,0,0,ROW()-1,60),ROW()-1,FALSE))</f>
        <v/>
      </c>
      <c r="BK107" t="str">
        <f ca="1">IF(AND(ISNUMBER($BK$562),$B$419=1),$BK$562,HLOOKUP(INDIRECT(ADDRESS(2,COLUMN())),OFFSET($BN$2,0,0,ROW()-1,60),ROW()-1,FALSE))</f>
        <v/>
      </c>
      <c r="BL107" t="str">
        <f ca="1">IF(AND(ISNUMBER($BL$562),$B$419=1),$BL$562,HLOOKUP(INDIRECT(ADDRESS(2,COLUMN())),OFFSET($BN$2,0,0,ROW()-1,60),ROW()-1,FALSE))</f>
        <v/>
      </c>
      <c r="BM107" t="str">
        <f ca="1">IF(AND(ISNUMBER($BM$562),$B$419=1),$BM$562,HLOOKUP(INDIRECT(ADDRESS(2,COLUMN())),OFFSET($BN$2,0,0,ROW()-1,60),ROW()-1,FALSE))</f>
        <v/>
      </c>
      <c r="BN107" t="str">
        <f>""</f>
        <v/>
      </c>
      <c r="BO107" t="str">
        <f>""</f>
        <v/>
      </c>
      <c r="BP107" t="str">
        <f>""</f>
        <v/>
      </c>
      <c r="BQ107" t="str">
        <f>""</f>
        <v/>
      </c>
      <c r="BR107" t="str">
        <f>""</f>
        <v/>
      </c>
      <c r="BS107" t="str">
        <f>""</f>
        <v/>
      </c>
      <c r="BT107" t="str">
        <f>""</f>
        <v/>
      </c>
      <c r="BU107" t="str">
        <f>""</f>
        <v/>
      </c>
      <c r="BV107" t="str">
        <f>""</f>
        <v/>
      </c>
      <c r="BW107" t="str">
        <f>""</f>
        <v/>
      </c>
      <c r="BX107" t="str">
        <f>""</f>
        <v/>
      </c>
      <c r="BY107" t="str">
        <f>""</f>
        <v/>
      </c>
      <c r="BZ107" t="str">
        <f>""</f>
        <v/>
      </c>
      <c r="CA107" t="str">
        <f>""</f>
        <v/>
      </c>
      <c r="CB107" t="str">
        <f>""</f>
        <v/>
      </c>
      <c r="CC107" t="str">
        <f>""</f>
        <v/>
      </c>
      <c r="CD107" t="str">
        <f>""</f>
        <v/>
      </c>
      <c r="CE107" t="str">
        <f>""</f>
        <v/>
      </c>
      <c r="CF107" t="str">
        <f>""</f>
        <v/>
      </c>
      <c r="CG107" t="str">
        <f>""</f>
        <v/>
      </c>
      <c r="CH107" t="str">
        <f>""</f>
        <v/>
      </c>
      <c r="CI107" t="str">
        <f>""</f>
        <v/>
      </c>
      <c r="CJ107" t="str">
        <f>""</f>
        <v/>
      </c>
      <c r="CK107" t="str">
        <f>""</f>
        <v/>
      </c>
      <c r="CL107">
        <f>103.566</f>
        <v>103.566</v>
      </c>
      <c r="CM107">
        <f>103.566</f>
        <v>103.566</v>
      </c>
      <c r="CN107">
        <f>98.622</f>
        <v>98.622</v>
      </c>
      <c r="CO107">
        <f>93.191</f>
        <v>93.191000000000003</v>
      </c>
      <c r="CP107">
        <f>88.522</f>
        <v>88.522000000000006</v>
      </c>
      <c r="CQ107">
        <f>84.374</f>
        <v>84.373999999999995</v>
      </c>
      <c r="CR107">
        <f>79.539</f>
        <v>79.539000000000001</v>
      </c>
      <c r="CS107" t="str">
        <f>""</f>
        <v/>
      </c>
      <c r="CT107" t="str">
        <f>""</f>
        <v/>
      </c>
      <c r="CU107" t="str">
        <f>""</f>
        <v/>
      </c>
      <c r="CV107" t="str">
        <f>""</f>
        <v/>
      </c>
      <c r="CW107" t="str">
        <f>""</f>
        <v/>
      </c>
      <c r="CX107" t="str">
        <f>""</f>
        <v/>
      </c>
      <c r="CY107" t="str">
        <f>""</f>
        <v/>
      </c>
      <c r="CZ107" t="str">
        <f>""</f>
        <v/>
      </c>
      <c r="DA107" t="str">
        <f>""</f>
        <v/>
      </c>
      <c r="DB107" t="str">
        <f>""</f>
        <v/>
      </c>
      <c r="DC107" t="str">
        <f>""</f>
        <v/>
      </c>
      <c r="DD107" t="str">
        <f>""</f>
        <v/>
      </c>
      <c r="DE107" t="str">
        <f>""</f>
        <v/>
      </c>
      <c r="DF107" t="str">
        <f>""</f>
        <v/>
      </c>
      <c r="DG107" t="str">
        <f>""</f>
        <v/>
      </c>
      <c r="DH107" t="str">
        <f>""</f>
        <v/>
      </c>
      <c r="DI107" t="str">
        <f>""</f>
        <v/>
      </c>
      <c r="DJ107" t="str">
        <f>""</f>
        <v/>
      </c>
      <c r="DK107" t="str">
        <f>""</f>
        <v/>
      </c>
      <c r="DL107" t="str">
        <f>""</f>
        <v/>
      </c>
      <c r="DM107" t="str">
        <f>""</f>
        <v/>
      </c>
      <c r="DN107" t="str">
        <f>""</f>
        <v/>
      </c>
      <c r="DO107" t="str">
        <f>""</f>
        <v/>
      </c>
      <c r="DP107" t="str">
        <f>""</f>
        <v/>
      </c>
      <c r="DQ107" t="str">
        <f>""</f>
        <v/>
      </c>
      <c r="DR107" t="str">
        <f>""</f>
        <v/>
      </c>
      <c r="DS107" t="str">
        <f>""</f>
        <v/>
      </c>
      <c r="DT107" t="str">
        <f>""</f>
        <v/>
      </c>
      <c r="DU107" t="str">
        <f>""</f>
        <v/>
      </c>
    </row>
    <row r="108" spans="1:125">
      <c r="A108" t="str">
        <f>"    Regency Centers Corp"</f>
        <v xml:space="preserve">    Regency Centers Corp</v>
      </c>
      <c r="B108" t="str">
        <f>"REG US Equity"</f>
        <v>REG US Equity</v>
      </c>
      <c r="C108" t="str">
        <f t="shared" si="18"/>
        <v>IS972</v>
      </c>
      <c r="D108" t="str">
        <f t="shared" si="19"/>
        <v>IS_ADJUSTED_EBITDA_AS_REPORTED</v>
      </c>
      <c r="E108" t="str">
        <f t="shared" si="20"/>
        <v>动态</v>
      </c>
      <c r="F108" t="str">
        <f ca="1">IF(AND(ISNUMBER($F$563),$B$419=1),$F$563,HLOOKUP(INDIRECT(ADDRESS(2,COLUMN())),OFFSET($BN$2,0,0,ROW()-1,60),ROW()-1,FALSE))</f>
        <v/>
      </c>
      <c r="G108" t="str">
        <f ca="1">IF(AND(ISNUMBER($G$563),$B$419=1),$G$563,HLOOKUP(INDIRECT(ADDRESS(2,COLUMN())),OFFSET($BN$2,0,0,ROW()-1,60),ROW()-1,FALSE))</f>
        <v/>
      </c>
      <c r="H108" t="str">
        <f ca="1">IF(AND(ISNUMBER($H$563),$B$419=1),$H$563,HLOOKUP(INDIRECT(ADDRESS(2,COLUMN())),OFFSET($BN$2,0,0,ROW()-1,60),ROW()-1,FALSE))</f>
        <v/>
      </c>
      <c r="I108" t="str">
        <f ca="1">IF(AND(ISNUMBER($I$563),$B$419=1),$I$563,HLOOKUP(INDIRECT(ADDRESS(2,COLUMN())),OFFSET($BN$2,0,0,ROW()-1,60),ROW()-1,FALSE))</f>
        <v/>
      </c>
      <c r="J108" t="str">
        <f ca="1">IF(AND(ISNUMBER($J$563),$B$419=1),$J$563,HLOOKUP(INDIRECT(ADDRESS(2,COLUMN())),OFFSET($BN$2,0,0,ROW()-1,60),ROW()-1,FALSE))</f>
        <v/>
      </c>
      <c r="K108" t="str">
        <f ca="1">IF(AND(ISNUMBER($K$563),$B$419=1),$K$563,HLOOKUP(INDIRECT(ADDRESS(2,COLUMN())),OFFSET($BN$2,0,0,ROW()-1,60),ROW()-1,FALSE))</f>
        <v/>
      </c>
      <c r="L108" t="str">
        <f ca="1">IF(AND(ISNUMBER($L$563),$B$419=1),$L$563,HLOOKUP(INDIRECT(ADDRESS(2,COLUMN())),OFFSET($BN$2,0,0,ROW()-1,60),ROW()-1,FALSE))</f>
        <v/>
      </c>
      <c r="M108" t="str">
        <f ca="1">IF(AND(ISNUMBER($M$563),$B$419=1),$M$563,HLOOKUP(INDIRECT(ADDRESS(2,COLUMN())),OFFSET($BN$2,0,0,ROW()-1,60),ROW()-1,FALSE))</f>
        <v/>
      </c>
      <c r="N108" t="str">
        <f ca="1">IF(AND(ISNUMBER($N$563),$B$419=1),$N$563,HLOOKUP(INDIRECT(ADDRESS(2,COLUMN())),OFFSET($BN$2,0,0,ROW()-1,60),ROW()-1,FALSE))</f>
        <v/>
      </c>
      <c r="O108" t="str">
        <f ca="1">IF(AND(ISNUMBER($O$563),$B$419=1),$O$563,HLOOKUP(INDIRECT(ADDRESS(2,COLUMN())),OFFSET($BN$2,0,0,ROW()-1,60),ROW()-1,FALSE))</f>
        <v/>
      </c>
      <c r="P108" t="str">
        <f ca="1">IF(AND(ISNUMBER($P$563),$B$419=1),$P$563,HLOOKUP(INDIRECT(ADDRESS(2,COLUMN())),OFFSET($BN$2,0,0,ROW()-1,60),ROW()-1,FALSE))</f>
        <v/>
      </c>
      <c r="Q108" t="str">
        <f ca="1">IF(AND(ISNUMBER($Q$563),$B$419=1),$Q$563,HLOOKUP(INDIRECT(ADDRESS(2,COLUMN())),OFFSET($BN$2,0,0,ROW()-1,60),ROW()-1,FALSE))</f>
        <v/>
      </c>
      <c r="R108" t="str">
        <f ca="1">IF(AND(ISNUMBER($R$563),$B$419=1),$R$563,HLOOKUP(INDIRECT(ADDRESS(2,COLUMN())),OFFSET($BN$2,0,0,ROW()-1,60),ROW()-1,FALSE))</f>
        <v/>
      </c>
      <c r="S108" t="str">
        <f ca="1">IF(AND(ISNUMBER($S$563),$B$419=1),$S$563,HLOOKUP(INDIRECT(ADDRESS(2,COLUMN())),OFFSET($BN$2,0,0,ROW()-1,60),ROW()-1,FALSE))</f>
        <v/>
      </c>
      <c r="T108" t="str">
        <f ca="1">IF(AND(ISNUMBER($T$563),$B$419=1),$T$563,HLOOKUP(INDIRECT(ADDRESS(2,COLUMN())),OFFSET($BN$2,0,0,ROW()-1,60),ROW()-1,FALSE))</f>
        <v/>
      </c>
      <c r="U108" t="str">
        <f ca="1">IF(AND(ISNUMBER($U$563),$B$419=1),$U$563,HLOOKUP(INDIRECT(ADDRESS(2,COLUMN())),OFFSET($BN$2,0,0,ROW()-1,60),ROW()-1,FALSE))</f>
        <v/>
      </c>
      <c r="V108" t="str">
        <f ca="1">IF(AND(ISNUMBER($V$563),$B$419=1),$V$563,HLOOKUP(INDIRECT(ADDRESS(2,COLUMN())),OFFSET($BN$2,0,0,ROW()-1,60),ROW()-1,FALSE))</f>
        <v/>
      </c>
      <c r="W108" t="str">
        <f ca="1">IF(AND(ISNUMBER($W$563),$B$419=1),$W$563,HLOOKUP(INDIRECT(ADDRESS(2,COLUMN())),OFFSET($BN$2,0,0,ROW()-1,60),ROW()-1,FALSE))</f>
        <v/>
      </c>
      <c r="X108" t="str">
        <f ca="1">IF(AND(ISNUMBER($X$563),$B$419=1),$X$563,HLOOKUP(INDIRECT(ADDRESS(2,COLUMN())),OFFSET($BN$2,0,0,ROW()-1,60),ROW()-1,FALSE))</f>
        <v/>
      </c>
      <c r="Y108" t="str">
        <f ca="1">IF(AND(ISNUMBER($Y$563),$B$419=1),$Y$563,HLOOKUP(INDIRECT(ADDRESS(2,COLUMN())),OFFSET($BN$2,0,0,ROW()-1,60),ROW()-1,FALSE))</f>
        <v/>
      </c>
      <c r="Z108" t="str">
        <f ca="1">IF(AND(ISNUMBER($Z$563),$B$419=1),$Z$563,HLOOKUP(INDIRECT(ADDRESS(2,COLUMN())),OFFSET($BN$2,0,0,ROW()-1,60),ROW()-1,FALSE))</f>
        <v/>
      </c>
      <c r="AA108" t="str">
        <f ca="1">IF(AND(ISNUMBER($AA$563),$B$419=1),$AA$563,HLOOKUP(INDIRECT(ADDRESS(2,COLUMN())),OFFSET($BN$2,0,0,ROW()-1,60),ROW()-1,FALSE))</f>
        <v/>
      </c>
      <c r="AB108" t="str">
        <f ca="1">IF(AND(ISNUMBER($AB$563),$B$419=1),$AB$563,HLOOKUP(INDIRECT(ADDRESS(2,COLUMN())),OFFSET($BN$2,0,0,ROW()-1,60),ROW()-1,FALSE))</f>
        <v/>
      </c>
      <c r="AC108" t="str">
        <f ca="1">IF(AND(ISNUMBER($AC$563),$B$419=1),$AC$563,HLOOKUP(INDIRECT(ADDRESS(2,COLUMN())),OFFSET($BN$2,0,0,ROW()-1,60),ROW()-1,FALSE))</f>
        <v/>
      </c>
      <c r="AD108" t="str">
        <f ca="1">IF(AND(ISNUMBER($AD$563),$B$419=1),$AD$563,HLOOKUP(INDIRECT(ADDRESS(2,COLUMN())),OFFSET($BN$2,0,0,ROW()-1,60),ROW()-1,FALSE))</f>
        <v/>
      </c>
      <c r="AE108" t="str">
        <f ca="1">IF(AND(ISNUMBER($AE$563),$B$419=1),$AE$563,HLOOKUP(INDIRECT(ADDRESS(2,COLUMN())),OFFSET($BN$2,0,0,ROW()-1,60),ROW()-1,FALSE))</f>
        <v/>
      </c>
      <c r="AF108" t="str">
        <f ca="1">IF(AND(ISNUMBER($AF$563),$B$419=1),$AF$563,HLOOKUP(INDIRECT(ADDRESS(2,COLUMN())),OFFSET($BN$2,0,0,ROW()-1,60),ROW()-1,FALSE))</f>
        <v/>
      </c>
      <c r="AG108" t="str">
        <f ca="1">IF(AND(ISNUMBER($AG$563),$B$419=1),$AG$563,HLOOKUP(INDIRECT(ADDRESS(2,COLUMN())),OFFSET($BN$2,0,0,ROW()-1,60),ROW()-1,FALSE))</f>
        <v/>
      </c>
      <c r="AH108" t="str">
        <f ca="1">IF(AND(ISNUMBER($AH$563),$B$419=1),$AH$563,HLOOKUP(INDIRECT(ADDRESS(2,COLUMN())),OFFSET($BN$2,0,0,ROW()-1,60),ROW()-1,FALSE))</f>
        <v/>
      </c>
      <c r="AI108" t="str">
        <f ca="1">IF(AND(ISNUMBER($AI$563),$B$419=1),$AI$563,HLOOKUP(INDIRECT(ADDRESS(2,COLUMN())),OFFSET($BN$2,0,0,ROW()-1,60),ROW()-1,FALSE))</f>
        <v/>
      </c>
      <c r="AJ108" t="str">
        <f ca="1">IF(AND(ISNUMBER($AJ$563),$B$419=1),$AJ$563,HLOOKUP(INDIRECT(ADDRESS(2,COLUMN())),OFFSET($BN$2,0,0,ROW()-1,60),ROW()-1,FALSE))</f>
        <v/>
      </c>
      <c r="AK108" t="str">
        <f ca="1">IF(AND(ISNUMBER($AK$563),$B$419=1),$AK$563,HLOOKUP(INDIRECT(ADDRESS(2,COLUMN())),OFFSET($BN$2,0,0,ROW()-1,60),ROW()-1,FALSE))</f>
        <v/>
      </c>
      <c r="AL108" t="str">
        <f ca="1">IF(AND(ISNUMBER($AL$563),$B$419=1),$AL$563,HLOOKUP(INDIRECT(ADDRESS(2,COLUMN())),OFFSET($BN$2,0,0,ROW()-1,60),ROW()-1,FALSE))</f>
        <v/>
      </c>
      <c r="AM108" t="str">
        <f ca="1">IF(AND(ISNUMBER($AM$563),$B$419=1),$AM$563,HLOOKUP(INDIRECT(ADDRESS(2,COLUMN())),OFFSET($BN$2,0,0,ROW()-1,60),ROW()-1,FALSE))</f>
        <v/>
      </c>
      <c r="AN108" t="str">
        <f ca="1">IF(AND(ISNUMBER($AN$563),$B$419=1),$AN$563,HLOOKUP(INDIRECT(ADDRESS(2,COLUMN())),OFFSET($BN$2,0,0,ROW()-1,60),ROW()-1,FALSE))</f>
        <v/>
      </c>
      <c r="AO108" t="str">
        <f ca="1">IF(AND(ISNUMBER($AO$563),$B$419=1),$AO$563,HLOOKUP(INDIRECT(ADDRESS(2,COLUMN())),OFFSET($BN$2,0,0,ROW()-1,60),ROW()-1,FALSE))</f>
        <v/>
      </c>
      <c r="AP108" t="str">
        <f ca="1">IF(AND(ISNUMBER($AP$563),$B$419=1),$AP$563,HLOOKUP(INDIRECT(ADDRESS(2,COLUMN())),OFFSET($BN$2,0,0,ROW()-1,60),ROW()-1,FALSE))</f>
        <v/>
      </c>
      <c r="AQ108" t="str">
        <f ca="1">IF(AND(ISNUMBER($AQ$563),$B$419=1),$AQ$563,HLOOKUP(INDIRECT(ADDRESS(2,COLUMN())),OFFSET($BN$2,0,0,ROW()-1,60),ROW()-1,FALSE))</f>
        <v/>
      </c>
      <c r="AR108" t="str">
        <f ca="1">IF(AND(ISNUMBER($AR$563),$B$419=1),$AR$563,HLOOKUP(INDIRECT(ADDRESS(2,COLUMN())),OFFSET($BN$2,0,0,ROW()-1,60),ROW()-1,FALSE))</f>
        <v/>
      </c>
      <c r="AS108" t="str">
        <f ca="1">IF(AND(ISNUMBER($AS$563),$B$419=1),$AS$563,HLOOKUP(INDIRECT(ADDRESS(2,COLUMN())),OFFSET($BN$2,0,0,ROW()-1,60),ROW()-1,FALSE))</f>
        <v/>
      </c>
      <c r="AT108" t="str">
        <f ca="1">IF(AND(ISNUMBER($AT$563),$B$419=1),$AT$563,HLOOKUP(INDIRECT(ADDRESS(2,COLUMN())),OFFSET($BN$2,0,0,ROW()-1,60),ROW()-1,FALSE))</f>
        <v/>
      </c>
      <c r="AU108" t="str">
        <f ca="1">IF(AND(ISNUMBER($AU$563),$B$419=1),$AU$563,HLOOKUP(INDIRECT(ADDRESS(2,COLUMN())),OFFSET($BN$2,0,0,ROW()-1,60),ROW()-1,FALSE))</f>
        <v/>
      </c>
      <c r="AV108" t="str">
        <f ca="1">IF(AND(ISNUMBER($AV$563),$B$419=1),$AV$563,HLOOKUP(INDIRECT(ADDRESS(2,COLUMN())),OFFSET($BN$2,0,0,ROW()-1,60),ROW()-1,FALSE))</f>
        <v/>
      </c>
      <c r="AW108" t="str">
        <f ca="1">IF(AND(ISNUMBER($AW$563),$B$419=1),$AW$563,HLOOKUP(INDIRECT(ADDRESS(2,COLUMN())),OFFSET($BN$2,0,0,ROW()-1,60),ROW()-1,FALSE))</f>
        <v/>
      </c>
      <c r="AX108" t="str">
        <f ca="1">IF(AND(ISNUMBER($AX$563),$B$419=1),$AX$563,HLOOKUP(INDIRECT(ADDRESS(2,COLUMN())),OFFSET($BN$2,0,0,ROW()-1,60),ROW()-1,FALSE))</f>
        <v/>
      </c>
      <c r="AY108" t="str">
        <f ca="1">IF(AND(ISNUMBER($AY$563),$B$419=1),$AY$563,HLOOKUP(INDIRECT(ADDRESS(2,COLUMN())),OFFSET($BN$2,0,0,ROW()-1,60),ROW()-1,FALSE))</f>
        <v/>
      </c>
      <c r="AZ108" t="str">
        <f ca="1">IF(AND(ISNUMBER($AZ$563),$B$419=1),$AZ$563,HLOOKUP(INDIRECT(ADDRESS(2,COLUMN())),OFFSET($BN$2,0,0,ROW()-1,60),ROW()-1,FALSE))</f>
        <v/>
      </c>
      <c r="BA108" t="str">
        <f ca="1">IF(AND(ISNUMBER($BA$563),$B$419=1),$BA$563,HLOOKUP(INDIRECT(ADDRESS(2,COLUMN())),OFFSET($BN$2,0,0,ROW()-1,60),ROW()-1,FALSE))</f>
        <v/>
      </c>
      <c r="BB108" t="str">
        <f ca="1">IF(AND(ISNUMBER($BB$563),$B$419=1),$BB$563,HLOOKUP(INDIRECT(ADDRESS(2,COLUMN())),OFFSET($BN$2,0,0,ROW()-1,60),ROW()-1,FALSE))</f>
        <v/>
      </c>
      <c r="BC108" t="str">
        <f ca="1">IF(AND(ISNUMBER($BC$563),$B$419=1),$BC$563,HLOOKUP(INDIRECT(ADDRESS(2,COLUMN())),OFFSET($BN$2,0,0,ROW()-1,60),ROW()-1,FALSE))</f>
        <v/>
      </c>
      <c r="BD108" t="str">
        <f ca="1">IF(AND(ISNUMBER($BD$563),$B$419=1),$BD$563,HLOOKUP(INDIRECT(ADDRESS(2,COLUMN())),OFFSET($BN$2,0,0,ROW()-1,60),ROW()-1,FALSE))</f>
        <v/>
      </c>
      <c r="BE108" t="str">
        <f ca="1">IF(AND(ISNUMBER($BE$563),$B$419=1),$BE$563,HLOOKUP(INDIRECT(ADDRESS(2,COLUMN())),OFFSET($BN$2,0,0,ROW()-1,60),ROW()-1,FALSE))</f>
        <v/>
      </c>
      <c r="BF108" t="str">
        <f ca="1">IF(AND(ISNUMBER($BF$563),$B$419=1),$BF$563,HLOOKUP(INDIRECT(ADDRESS(2,COLUMN())),OFFSET($BN$2,0,0,ROW()-1,60),ROW()-1,FALSE))</f>
        <v/>
      </c>
      <c r="BG108" t="str">
        <f ca="1">IF(AND(ISNUMBER($BG$563),$B$419=1),$BG$563,HLOOKUP(INDIRECT(ADDRESS(2,COLUMN())),OFFSET($BN$2,0,0,ROW()-1,60),ROW()-1,FALSE))</f>
        <v/>
      </c>
      <c r="BH108" t="str">
        <f ca="1">IF(AND(ISNUMBER($BH$563),$B$419=1),$BH$563,HLOOKUP(INDIRECT(ADDRESS(2,COLUMN())),OFFSET($BN$2,0,0,ROW()-1,60),ROW()-1,FALSE))</f>
        <v/>
      </c>
      <c r="BI108" t="str">
        <f ca="1">IF(AND(ISNUMBER($BI$563),$B$419=1),$BI$563,HLOOKUP(INDIRECT(ADDRESS(2,COLUMN())),OFFSET($BN$2,0,0,ROW()-1,60),ROW()-1,FALSE))</f>
        <v/>
      </c>
      <c r="BJ108" t="str">
        <f ca="1">IF(AND(ISNUMBER($BJ$563),$B$419=1),$BJ$563,HLOOKUP(INDIRECT(ADDRESS(2,COLUMN())),OFFSET($BN$2,0,0,ROW()-1,60),ROW()-1,FALSE))</f>
        <v/>
      </c>
      <c r="BK108" t="str">
        <f ca="1">IF(AND(ISNUMBER($BK$563),$B$419=1),$BK$563,HLOOKUP(INDIRECT(ADDRESS(2,COLUMN())),OFFSET($BN$2,0,0,ROW()-1,60),ROW()-1,FALSE))</f>
        <v/>
      </c>
      <c r="BL108" t="str">
        <f ca="1">IF(AND(ISNUMBER($BL$563),$B$419=1),$BL$563,HLOOKUP(INDIRECT(ADDRESS(2,COLUMN())),OFFSET($BN$2,0,0,ROW()-1,60),ROW()-1,FALSE))</f>
        <v/>
      </c>
      <c r="BM108" t="str">
        <f ca="1">IF(AND(ISNUMBER($BM$563),$B$419=1),$BM$563,HLOOKUP(INDIRECT(ADDRESS(2,COLUMN())),OFFSET($BN$2,0,0,ROW()-1,60),ROW()-1,FALSE))</f>
        <v/>
      </c>
      <c r="BN108" t="str">
        <f>""</f>
        <v/>
      </c>
      <c r="BO108" t="str">
        <f>""</f>
        <v/>
      </c>
      <c r="BP108" t="str">
        <f>""</f>
        <v/>
      </c>
      <c r="BQ108" t="str">
        <f>""</f>
        <v/>
      </c>
      <c r="BR108" t="str">
        <f>""</f>
        <v/>
      </c>
      <c r="BS108" t="str">
        <f>""</f>
        <v/>
      </c>
      <c r="BT108" t="str">
        <f>""</f>
        <v/>
      </c>
      <c r="BU108" t="str">
        <f>""</f>
        <v/>
      </c>
      <c r="BV108" t="str">
        <f>""</f>
        <v/>
      </c>
      <c r="BW108" t="str">
        <f>""</f>
        <v/>
      </c>
      <c r="BX108" t="str">
        <f>""</f>
        <v/>
      </c>
      <c r="BY108" t="str">
        <f>""</f>
        <v/>
      </c>
      <c r="BZ108" t="str">
        <f>""</f>
        <v/>
      </c>
      <c r="CA108" t="str">
        <f>""</f>
        <v/>
      </c>
      <c r="CB108" t="str">
        <f>""</f>
        <v/>
      </c>
      <c r="CC108" t="str">
        <f>""</f>
        <v/>
      </c>
      <c r="CD108" t="str">
        <f>""</f>
        <v/>
      </c>
      <c r="CE108" t="str">
        <f>""</f>
        <v/>
      </c>
      <c r="CF108" t="str">
        <f>""</f>
        <v/>
      </c>
      <c r="CG108" t="str">
        <f>""</f>
        <v/>
      </c>
      <c r="CH108" t="str">
        <f>""</f>
        <v/>
      </c>
      <c r="CI108" t="str">
        <f>""</f>
        <v/>
      </c>
      <c r="CJ108" t="str">
        <f>""</f>
        <v/>
      </c>
      <c r="CK108" t="str">
        <f>""</f>
        <v/>
      </c>
      <c r="CL108" t="str">
        <f>""</f>
        <v/>
      </c>
      <c r="CM108" t="str">
        <f>""</f>
        <v/>
      </c>
      <c r="CN108" t="str">
        <f>""</f>
        <v/>
      </c>
      <c r="CO108" t="str">
        <f>""</f>
        <v/>
      </c>
      <c r="CP108" t="str">
        <f>""</f>
        <v/>
      </c>
      <c r="CQ108" t="str">
        <f>""</f>
        <v/>
      </c>
      <c r="CR108" t="str">
        <f>""</f>
        <v/>
      </c>
      <c r="CS108" t="str">
        <f>""</f>
        <v/>
      </c>
      <c r="CT108" t="str">
        <f>""</f>
        <v/>
      </c>
      <c r="CU108" t="str">
        <f>""</f>
        <v/>
      </c>
      <c r="CV108" t="str">
        <f>""</f>
        <v/>
      </c>
      <c r="CW108" t="str">
        <f>""</f>
        <v/>
      </c>
      <c r="CX108" t="str">
        <f>""</f>
        <v/>
      </c>
      <c r="CY108" t="str">
        <f>""</f>
        <v/>
      </c>
      <c r="CZ108" t="str">
        <f>""</f>
        <v/>
      </c>
      <c r="DA108" t="str">
        <f>""</f>
        <v/>
      </c>
      <c r="DB108" t="str">
        <f>""</f>
        <v/>
      </c>
      <c r="DC108" t="str">
        <f>""</f>
        <v/>
      </c>
      <c r="DD108" t="str">
        <f>""</f>
        <v/>
      </c>
      <c r="DE108" t="str">
        <f>""</f>
        <v/>
      </c>
      <c r="DF108" t="str">
        <f>""</f>
        <v/>
      </c>
      <c r="DG108" t="str">
        <f>""</f>
        <v/>
      </c>
      <c r="DH108" t="str">
        <f>""</f>
        <v/>
      </c>
      <c r="DI108" t="str">
        <f>""</f>
        <v/>
      </c>
      <c r="DJ108" t="str">
        <f>""</f>
        <v/>
      </c>
      <c r="DK108" t="str">
        <f>""</f>
        <v/>
      </c>
      <c r="DL108" t="str">
        <f>""</f>
        <v/>
      </c>
      <c r="DM108" t="str">
        <f>""</f>
        <v/>
      </c>
      <c r="DN108" t="str">
        <f>""</f>
        <v/>
      </c>
      <c r="DO108" t="str">
        <f>""</f>
        <v/>
      </c>
      <c r="DP108" t="str">
        <f>""</f>
        <v/>
      </c>
      <c r="DQ108" t="str">
        <f>""</f>
        <v/>
      </c>
      <c r="DR108" t="str">
        <f>""</f>
        <v/>
      </c>
      <c r="DS108" t="str">
        <f>""</f>
        <v/>
      </c>
      <c r="DT108" t="str">
        <f>""</f>
        <v/>
      </c>
      <c r="DU108" t="str">
        <f>""</f>
        <v/>
      </c>
    </row>
    <row r="109" spans="1:125">
      <c r="A109" t="str">
        <f>"    Retail Opportunity Investments"</f>
        <v xml:space="preserve">    Retail Opportunity Investments</v>
      </c>
      <c r="B109" t="str">
        <f>"ROIC US Equity"</f>
        <v>ROIC US Equity</v>
      </c>
      <c r="C109" t="str">
        <f t="shared" si="18"/>
        <v>IS972</v>
      </c>
      <c r="D109" t="str">
        <f t="shared" si="19"/>
        <v>IS_ADJUSTED_EBITDA_AS_REPORTED</v>
      </c>
      <c r="E109" t="str">
        <f t="shared" si="20"/>
        <v>动态</v>
      </c>
      <c r="F109" t="str">
        <f ca="1">IF(AND(ISNUMBER($F$564),$B$419=1),$F$564,HLOOKUP(INDIRECT(ADDRESS(2,COLUMN())),OFFSET($BN$2,0,0,ROW()-1,60),ROW()-1,FALSE))</f>
        <v/>
      </c>
      <c r="G109" t="str">
        <f ca="1">IF(AND(ISNUMBER($G$564),$B$419=1),$G$564,HLOOKUP(INDIRECT(ADDRESS(2,COLUMN())),OFFSET($BN$2,0,0,ROW()-1,60),ROW()-1,FALSE))</f>
        <v/>
      </c>
      <c r="H109" t="str">
        <f ca="1">IF(AND(ISNUMBER($H$564),$B$419=1),$H$564,HLOOKUP(INDIRECT(ADDRESS(2,COLUMN())),OFFSET($BN$2,0,0,ROW()-1,60),ROW()-1,FALSE))</f>
        <v/>
      </c>
      <c r="I109" t="str">
        <f ca="1">IF(AND(ISNUMBER($I$564),$B$419=1),$I$564,HLOOKUP(INDIRECT(ADDRESS(2,COLUMN())),OFFSET($BN$2,0,0,ROW()-1,60),ROW()-1,FALSE))</f>
        <v/>
      </c>
      <c r="J109" t="str">
        <f ca="1">IF(AND(ISNUMBER($J$564),$B$419=1),$J$564,HLOOKUP(INDIRECT(ADDRESS(2,COLUMN())),OFFSET($BN$2,0,0,ROW()-1,60),ROW()-1,FALSE))</f>
        <v/>
      </c>
      <c r="K109" t="str">
        <f ca="1">IF(AND(ISNUMBER($K$564),$B$419=1),$K$564,HLOOKUP(INDIRECT(ADDRESS(2,COLUMN())),OFFSET($BN$2,0,0,ROW()-1,60),ROW()-1,FALSE))</f>
        <v/>
      </c>
      <c r="L109" t="str">
        <f ca="1">IF(AND(ISNUMBER($L$564),$B$419=1),$L$564,HLOOKUP(INDIRECT(ADDRESS(2,COLUMN())),OFFSET($BN$2,0,0,ROW()-1,60),ROW()-1,FALSE))</f>
        <v/>
      </c>
      <c r="M109" t="str">
        <f ca="1">IF(AND(ISNUMBER($M$564),$B$419=1),$M$564,HLOOKUP(INDIRECT(ADDRESS(2,COLUMN())),OFFSET($BN$2,0,0,ROW()-1,60),ROW()-1,FALSE))</f>
        <v/>
      </c>
      <c r="N109" t="str">
        <f ca="1">IF(AND(ISNUMBER($N$564),$B$419=1),$N$564,HLOOKUP(INDIRECT(ADDRESS(2,COLUMN())),OFFSET($BN$2,0,0,ROW()-1,60),ROW()-1,FALSE))</f>
        <v/>
      </c>
      <c r="O109" t="str">
        <f ca="1">IF(AND(ISNUMBER($O$564),$B$419=1),$O$564,HLOOKUP(INDIRECT(ADDRESS(2,COLUMN())),OFFSET($BN$2,0,0,ROW()-1,60),ROW()-1,FALSE))</f>
        <v/>
      </c>
      <c r="P109" t="str">
        <f ca="1">IF(AND(ISNUMBER($P$564),$B$419=1),$P$564,HLOOKUP(INDIRECT(ADDRESS(2,COLUMN())),OFFSET($BN$2,0,0,ROW()-1,60),ROW()-1,FALSE))</f>
        <v/>
      </c>
      <c r="Q109" t="str">
        <f ca="1">IF(AND(ISNUMBER($Q$564),$B$419=1),$Q$564,HLOOKUP(INDIRECT(ADDRESS(2,COLUMN())),OFFSET($BN$2,0,0,ROW()-1,60),ROW()-1,FALSE))</f>
        <v/>
      </c>
      <c r="R109" t="str">
        <f ca="1">IF(AND(ISNUMBER($R$564),$B$419=1),$R$564,HLOOKUP(INDIRECT(ADDRESS(2,COLUMN())),OFFSET($BN$2,0,0,ROW()-1,60),ROW()-1,FALSE))</f>
        <v/>
      </c>
      <c r="S109" t="str">
        <f ca="1">IF(AND(ISNUMBER($S$564),$B$419=1),$S$564,HLOOKUP(INDIRECT(ADDRESS(2,COLUMN())),OFFSET($BN$2,0,0,ROW()-1,60),ROW()-1,FALSE))</f>
        <v/>
      </c>
      <c r="T109" t="str">
        <f ca="1">IF(AND(ISNUMBER($T$564),$B$419=1),$T$564,HLOOKUP(INDIRECT(ADDRESS(2,COLUMN())),OFFSET($BN$2,0,0,ROW()-1,60),ROW()-1,FALSE))</f>
        <v/>
      </c>
      <c r="U109" t="str">
        <f ca="1">IF(AND(ISNUMBER($U$564),$B$419=1),$U$564,HLOOKUP(INDIRECT(ADDRESS(2,COLUMN())),OFFSET($BN$2,0,0,ROW()-1,60),ROW()-1,FALSE))</f>
        <v/>
      </c>
      <c r="V109" t="str">
        <f ca="1">IF(AND(ISNUMBER($V$564),$B$419=1),$V$564,HLOOKUP(INDIRECT(ADDRESS(2,COLUMN())),OFFSET($BN$2,0,0,ROW()-1,60),ROW()-1,FALSE))</f>
        <v/>
      </c>
      <c r="W109" t="str">
        <f ca="1">IF(AND(ISNUMBER($W$564),$B$419=1),$W$564,HLOOKUP(INDIRECT(ADDRESS(2,COLUMN())),OFFSET($BN$2,0,0,ROW()-1,60),ROW()-1,FALSE))</f>
        <v/>
      </c>
      <c r="X109" t="str">
        <f ca="1">IF(AND(ISNUMBER($X$564),$B$419=1),$X$564,HLOOKUP(INDIRECT(ADDRESS(2,COLUMN())),OFFSET($BN$2,0,0,ROW()-1,60),ROW()-1,FALSE))</f>
        <v/>
      </c>
      <c r="Y109" t="str">
        <f ca="1">IF(AND(ISNUMBER($Y$564),$B$419=1),$Y$564,HLOOKUP(INDIRECT(ADDRESS(2,COLUMN())),OFFSET($BN$2,0,0,ROW()-1,60),ROW()-1,FALSE))</f>
        <v/>
      </c>
      <c r="Z109" t="str">
        <f ca="1">IF(AND(ISNUMBER($Z$564),$B$419=1),$Z$564,HLOOKUP(INDIRECT(ADDRESS(2,COLUMN())),OFFSET($BN$2,0,0,ROW()-1,60),ROW()-1,FALSE))</f>
        <v/>
      </c>
      <c r="AA109" t="str">
        <f ca="1">IF(AND(ISNUMBER($AA$564),$B$419=1),$AA$564,HLOOKUP(INDIRECT(ADDRESS(2,COLUMN())),OFFSET($BN$2,0,0,ROW()-1,60),ROW()-1,FALSE))</f>
        <v/>
      </c>
      <c r="AB109" t="str">
        <f ca="1">IF(AND(ISNUMBER($AB$564),$B$419=1),$AB$564,HLOOKUP(INDIRECT(ADDRESS(2,COLUMN())),OFFSET($BN$2,0,0,ROW()-1,60),ROW()-1,FALSE))</f>
        <v/>
      </c>
      <c r="AC109" t="str">
        <f ca="1">IF(AND(ISNUMBER($AC$564),$B$419=1),$AC$564,HLOOKUP(INDIRECT(ADDRESS(2,COLUMN())),OFFSET($BN$2,0,0,ROW()-1,60),ROW()-1,FALSE))</f>
        <v/>
      </c>
      <c r="AD109" t="str">
        <f ca="1">IF(AND(ISNUMBER($AD$564),$B$419=1),$AD$564,HLOOKUP(INDIRECT(ADDRESS(2,COLUMN())),OFFSET($BN$2,0,0,ROW()-1,60),ROW()-1,FALSE))</f>
        <v/>
      </c>
      <c r="AE109" t="str">
        <f ca="1">IF(AND(ISNUMBER($AE$564),$B$419=1),$AE$564,HLOOKUP(INDIRECT(ADDRESS(2,COLUMN())),OFFSET($BN$2,0,0,ROW()-1,60),ROW()-1,FALSE))</f>
        <v/>
      </c>
      <c r="AF109" t="str">
        <f ca="1">IF(AND(ISNUMBER($AF$564),$B$419=1),$AF$564,HLOOKUP(INDIRECT(ADDRESS(2,COLUMN())),OFFSET($BN$2,0,0,ROW()-1,60),ROW()-1,FALSE))</f>
        <v/>
      </c>
      <c r="AG109" t="str">
        <f ca="1">IF(AND(ISNUMBER($AG$564),$B$419=1),$AG$564,HLOOKUP(INDIRECT(ADDRESS(2,COLUMN())),OFFSET($BN$2,0,0,ROW()-1,60),ROW()-1,FALSE))</f>
        <v/>
      </c>
      <c r="AH109" t="str">
        <f ca="1">IF(AND(ISNUMBER($AH$564),$B$419=1),$AH$564,HLOOKUP(INDIRECT(ADDRESS(2,COLUMN())),OFFSET($BN$2,0,0,ROW()-1,60),ROW()-1,FALSE))</f>
        <v/>
      </c>
      <c r="AI109" t="str">
        <f ca="1">IF(AND(ISNUMBER($AI$564),$B$419=1),$AI$564,HLOOKUP(INDIRECT(ADDRESS(2,COLUMN())),OFFSET($BN$2,0,0,ROW()-1,60),ROW()-1,FALSE))</f>
        <v/>
      </c>
      <c r="AJ109" t="str">
        <f ca="1">IF(AND(ISNUMBER($AJ$564),$B$419=1),$AJ$564,HLOOKUP(INDIRECT(ADDRESS(2,COLUMN())),OFFSET($BN$2,0,0,ROW()-1,60),ROW()-1,FALSE))</f>
        <v/>
      </c>
      <c r="AK109" t="str">
        <f ca="1">IF(AND(ISNUMBER($AK$564),$B$419=1),$AK$564,HLOOKUP(INDIRECT(ADDRESS(2,COLUMN())),OFFSET($BN$2,0,0,ROW()-1,60),ROW()-1,FALSE))</f>
        <v/>
      </c>
      <c r="AL109" t="str">
        <f ca="1">IF(AND(ISNUMBER($AL$564),$B$419=1),$AL$564,HLOOKUP(INDIRECT(ADDRESS(2,COLUMN())),OFFSET($BN$2,0,0,ROW()-1,60),ROW()-1,FALSE))</f>
        <v/>
      </c>
      <c r="AM109" t="str">
        <f ca="1">IF(AND(ISNUMBER($AM$564),$B$419=1),$AM$564,HLOOKUP(INDIRECT(ADDRESS(2,COLUMN())),OFFSET($BN$2,0,0,ROW()-1,60),ROW()-1,FALSE))</f>
        <v/>
      </c>
      <c r="AN109" t="str">
        <f ca="1">IF(AND(ISNUMBER($AN$564),$B$419=1),$AN$564,HLOOKUP(INDIRECT(ADDRESS(2,COLUMN())),OFFSET($BN$2,0,0,ROW()-1,60),ROW()-1,FALSE))</f>
        <v/>
      </c>
      <c r="AO109" t="str">
        <f ca="1">IF(AND(ISNUMBER($AO$564),$B$419=1),$AO$564,HLOOKUP(INDIRECT(ADDRESS(2,COLUMN())),OFFSET($BN$2,0,0,ROW()-1,60),ROW()-1,FALSE))</f>
        <v/>
      </c>
      <c r="AP109" t="str">
        <f ca="1">IF(AND(ISNUMBER($AP$564),$B$419=1),$AP$564,HLOOKUP(INDIRECT(ADDRESS(2,COLUMN())),OFFSET($BN$2,0,0,ROW()-1,60),ROW()-1,FALSE))</f>
        <v/>
      </c>
      <c r="AQ109" t="str">
        <f ca="1">IF(AND(ISNUMBER($AQ$564),$B$419=1),$AQ$564,HLOOKUP(INDIRECT(ADDRESS(2,COLUMN())),OFFSET($BN$2,0,0,ROW()-1,60),ROW()-1,FALSE))</f>
        <v/>
      </c>
      <c r="AR109" t="str">
        <f ca="1">IF(AND(ISNUMBER($AR$564),$B$419=1),$AR$564,HLOOKUP(INDIRECT(ADDRESS(2,COLUMN())),OFFSET($BN$2,0,0,ROW()-1,60),ROW()-1,FALSE))</f>
        <v/>
      </c>
      <c r="AS109" t="str">
        <f ca="1">IF(AND(ISNUMBER($AS$564),$B$419=1),$AS$564,HLOOKUP(INDIRECT(ADDRESS(2,COLUMN())),OFFSET($BN$2,0,0,ROW()-1,60),ROW()-1,FALSE))</f>
        <v/>
      </c>
      <c r="AT109" t="str">
        <f ca="1">IF(AND(ISNUMBER($AT$564),$B$419=1),$AT$564,HLOOKUP(INDIRECT(ADDRESS(2,COLUMN())),OFFSET($BN$2,0,0,ROW()-1,60),ROW()-1,FALSE))</f>
        <v/>
      </c>
      <c r="AU109" t="str">
        <f ca="1">IF(AND(ISNUMBER($AU$564),$B$419=1),$AU$564,HLOOKUP(INDIRECT(ADDRESS(2,COLUMN())),OFFSET($BN$2,0,0,ROW()-1,60),ROW()-1,FALSE))</f>
        <v/>
      </c>
      <c r="AV109" t="str">
        <f ca="1">IF(AND(ISNUMBER($AV$564),$B$419=1),$AV$564,HLOOKUP(INDIRECT(ADDRESS(2,COLUMN())),OFFSET($BN$2,0,0,ROW()-1,60),ROW()-1,FALSE))</f>
        <v/>
      </c>
      <c r="AW109" t="str">
        <f ca="1">IF(AND(ISNUMBER($AW$564),$B$419=1),$AW$564,HLOOKUP(INDIRECT(ADDRESS(2,COLUMN())),OFFSET($BN$2,0,0,ROW()-1,60),ROW()-1,FALSE))</f>
        <v/>
      </c>
      <c r="AX109" t="str">
        <f ca="1">IF(AND(ISNUMBER($AX$564),$B$419=1),$AX$564,HLOOKUP(INDIRECT(ADDRESS(2,COLUMN())),OFFSET($BN$2,0,0,ROW()-1,60),ROW()-1,FALSE))</f>
        <v/>
      </c>
      <c r="AY109" t="str">
        <f ca="1">IF(AND(ISNUMBER($AY$564),$B$419=1),$AY$564,HLOOKUP(INDIRECT(ADDRESS(2,COLUMN())),OFFSET($BN$2,0,0,ROW()-1,60),ROW()-1,FALSE))</f>
        <v/>
      </c>
      <c r="AZ109" t="str">
        <f ca="1">IF(AND(ISNUMBER($AZ$564),$B$419=1),$AZ$564,HLOOKUP(INDIRECT(ADDRESS(2,COLUMN())),OFFSET($BN$2,0,0,ROW()-1,60),ROW()-1,FALSE))</f>
        <v/>
      </c>
      <c r="BA109" t="str">
        <f ca="1">IF(AND(ISNUMBER($BA$564),$B$419=1),$BA$564,HLOOKUP(INDIRECT(ADDRESS(2,COLUMN())),OFFSET($BN$2,0,0,ROW()-1,60),ROW()-1,FALSE))</f>
        <v/>
      </c>
      <c r="BB109" t="str">
        <f ca="1">IF(AND(ISNUMBER($BB$564),$B$419=1),$BB$564,HLOOKUP(INDIRECT(ADDRESS(2,COLUMN())),OFFSET($BN$2,0,0,ROW()-1,60),ROW()-1,FALSE))</f>
        <v/>
      </c>
      <c r="BC109" t="str">
        <f ca="1">IF(AND(ISNUMBER($BC$564),$B$419=1),$BC$564,HLOOKUP(INDIRECT(ADDRESS(2,COLUMN())),OFFSET($BN$2,0,0,ROW()-1,60),ROW()-1,FALSE))</f>
        <v/>
      </c>
      <c r="BD109" t="str">
        <f ca="1">IF(AND(ISNUMBER($BD$564),$B$419=1),$BD$564,HLOOKUP(INDIRECT(ADDRESS(2,COLUMN())),OFFSET($BN$2,0,0,ROW()-1,60),ROW()-1,FALSE))</f>
        <v/>
      </c>
      <c r="BE109" t="str">
        <f ca="1">IF(AND(ISNUMBER($BE$564),$B$419=1),$BE$564,HLOOKUP(INDIRECT(ADDRESS(2,COLUMN())),OFFSET($BN$2,0,0,ROW()-1,60),ROW()-1,FALSE))</f>
        <v/>
      </c>
      <c r="BF109" t="str">
        <f ca="1">IF(AND(ISNUMBER($BF$564),$B$419=1),$BF$564,HLOOKUP(INDIRECT(ADDRESS(2,COLUMN())),OFFSET($BN$2,0,0,ROW()-1,60),ROW()-1,FALSE))</f>
        <v/>
      </c>
      <c r="BG109" t="str">
        <f ca="1">IF(AND(ISNUMBER($BG$564),$B$419=1),$BG$564,HLOOKUP(INDIRECT(ADDRESS(2,COLUMN())),OFFSET($BN$2,0,0,ROW()-1,60),ROW()-1,FALSE))</f>
        <v/>
      </c>
      <c r="BH109" t="str">
        <f ca="1">IF(AND(ISNUMBER($BH$564),$B$419=1),$BH$564,HLOOKUP(INDIRECT(ADDRESS(2,COLUMN())),OFFSET($BN$2,0,0,ROW()-1,60),ROW()-1,FALSE))</f>
        <v/>
      </c>
      <c r="BI109" t="str">
        <f ca="1">IF(AND(ISNUMBER($BI$564),$B$419=1),$BI$564,HLOOKUP(INDIRECT(ADDRESS(2,COLUMN())),OFFSET($BN$2,0,0,ROW()-1,60),ROW()-1,FALSE))</f>
        <v/>
      </c>
      <c r="BJ109" t="str">
        <f ca="1">IF(AND(ISNUMBER($BJ$564),$B$419=1),$BJ$564,HLOOKUP(INDIRECT(ADDRESS(2,COLUMN())),OFFSET($BN$2,0,0,ROW()-1,60),ROW()-1,FALSE))</f>
        <v/>
      </c>
      <c r="BK109" t="str">
        <f ca="1">IF(AND(ISNUMBER($BK$564),$B$419=1),$BK$564,HLOOKUP(INDIRECT(ADDRESS(2,COLUMN())),OFFSET($BN$2,0,0,ROW()-1,60),ROW()-1,FALSE))</f>
        <v/>
      </c>
      <c r="BL109" t="str">
        <f ca="1">IF(AND(ISNUMBER($BL$564),$B$419=1),$BL$564,HLOOKUP(INDIRECT(ADDRESS(2,COLUMN())),OFFSET($BN$2,0,0,ROW()-1,60),ROW()-1,FALSE))</f>
        <v/>
      </c>
      <c r="BM109" t="str">
        <f ca="1">IF(AND(ISNUMBER($BM$564),$B$419=1),$BM$564,HLOOKUP(INDIRECT(ADDRESS(2,COLUMN())),OFFSET($BN$2,0,0,ROW()-1,60),ROW()-1,FALSE))</f>
        <v/>
      </c>
      <c r="BN109" t="str">
        <f>""</f>
        <v/>
      </c>
      <c r="BO109" t="str">
        <f>""</f>
        <v/>
      </c>
      <c r="BP109" t="str">
        <f>""</f>
        <v/>
      </c>
      <c r="BQ109" t="str">
        <f>""</f>
        <v/>
      </c>
      <c r="BR109" t="str">
        <f>""</f>
        <v/>
      </c>
      <c r="BS109" t="str">
        <f>""</f>
        <v/>
      </c>
      <c r="BT109" t="str">
        <f>""</f>
        <v/>
      </c>
      <c r="BU109" t="str">
        <f>""</f>
        <v/>
      </c>
      <c r="BV109" t="str">
        <f>""</f>
        <v/>
      </c>
      <c r="BW109" t="str">
        <f>""</f>
        <v/>
      </c>
      <c r="BX109" t="str">
        <f>""</f>
        <v/>
      </c>
      <c r="BY109" t="str">
        <f>""</f>
        <v/>
      </c>
      <c r="BZ109" t="str">
        <f>""</f>
        <v/>
      </c>
      <c r="CA109" t="str">
        <f>""</f>
        <v/>
      </c>
      <c r="CB109" t="str">
        <f>""</f>
        <v/>
      </c>
      <c r="CC109" t="str">
        <f>""</f>
        <v/>
      </c>
      <c r="CD109" t="str">
        <f>""</f>
        <v/>
      </c>
      <c r="CE109" t="str">
        <f>""</f>
        <v/>
      </c>
      <c r="CF109" t="str">
        <f>""</f>
        <v/>
      </c>
      <c r="CG109" t="str">
        <f>""</f>
        <v/>
      </c>
      <c r="CH109" t="str">
        <f>""</f>
        <v/>
      </c>
      <c r="CI109" t="str">
        <f>""</f>
        <v/>
      </c>
      <c r="CJ109" t="str">
        <f>""</f>
        <v/>
      </c>
      <c r="CK109" t="str">
        <f>""</f>
        <v/>
      </c>
      <c r="CL109" t="str">
        <f>""</f>
        <v/>
      </c>
      <c r="CM109" t="str">
        <f>""</f>
        <v/>
      </c>
      <c r="CN109" t="str">
        <f>""</f>
        <v/>
      </c>
      <c r="CO109" t="str">
        <f>""</f>
        <v/>
      </c>
      <c r="CP109" t="str">
        <f>""</f>
        <v/>
      </c>
      <c r="CQ109" t="str">
        <f>""</f>
        <v/>
      </c>
      <c r="CR109" t="str">
        <f>""</f>
        <v/>
      </c>
      <c r="CS109" t="str">
        <f>""</f>
        <v/>
      </c>
      <c r="CT109" t="str">
        <f>""</f>
        <v/>
      </c>
      <c r="CU109" t="str">
        <f>""</f>
        <v/>
      </c>
      <c r="CV109" t="str">
        <f>""</f>
        <v/>
      </c>
      <c r="CW109" t="str">
        <f>""</f>
        <v/>
      </c>
      <c r="CX109" t="str">
        <f>""</f>
        <v/>
      </c>
      <c r="CY109" t="str">
        <f>""</f>
        <v/>
      </c>
      <c r="CZ109" t="str">
        <f>""</f>
        <v/>
      </c>
      <c r="DA109" t="str">
        <f>""</f>
        <v/>
      </c>
      <c r="DB109" t="str">
        <f>""</f>
        <v/>
      </c>
      <c r="DC109" t="str">
        <f>""</f>
        <v/>
      </c>
      <c r="DD109" t="str">
        <f>""</f>
        <v/>
      </c>
      <c r="DE109" t="str">
        <f>""</f>
        <v/>
      </c>
      <c r="DF109" t="str">
        <f>""</f>
        <v/>
      </c>
      <c r="DG109" t="str">
        <f>""</f>
        <v/>
      </c>
      <c r="DH109" t="str">
        <f>""</f>
        <v/>
      </c>
      <c r="DI109" t="str">
        <f>""</f>
        <v/>
      </c>
      <c r="DJ109" t="str">
        <f>""</f>
        <v/>
      </c>
      <c r="DK109" t="str">
        <f>""</f>
        <v/>
      </c>
      <c r="DL109" t="str">
        <f>""</f>
        <v/>
      </c>
      <c r="DM109" t="str">
        <f>""</f>
        <v/>
      </c>
      <c r="DN109" t="str">
        <f>""</f>
        <v/>
      </c>
      <c r="DO109" t="str">
        <f>""</f>
        <v/>
      </c>
      <c r="DP109" t="str">
        <f>""</f>
        <v/>
      </c>
      <c r="DQ109" t="str">
        <f>""</f>
        <v/>
      </c>
      <c r="DR109" t="str">
        <f>""</f>
        <v/>
      </c>
      <c r="DS109" t="str">
        <f>""</f>
        <v/>
      </c>
      <c r="DT109" t="str">
        <f>""</f>
        <v/>
      </c>
      <c r="DU109" t="str">
        <f>""</f>
        <v/>
      </c>
    </row>
    <row r="110" spans="1:125">
      <c r="A110" t="str">
        <f>"    Retail Properties of America I"</f>
        <v xml:space="preserve">    Retail Properties of America I</v>
      </c>
      <c r="B110" t="str">
        <f>"RPAI US Equity"</f>
        <v>RPAI US Equity</v>
      </c>
      <c r="C110" t="str">
        <f t="shared" si="18"/>
        <v>IS972</v>
      </c>
      <c r="D110" t="str">
        <f t="shared" si="19"/>
        <v>IS_ADJUSTED_EBITDA_AS_REPORTED</v>
      </c>
      <c r="E110" t="str">
        <f t="shared" si="20"/>
        <v>动态</v>
      </c>
      <c r="F110" t="str">
        <f ca="1">IF(AND(ISNUMBER($F$565),$B$419=1),$F$565,HLOOKUP(INDIRECT(ADDRESS(2,COLUMN())),OFFSET($BN$2,0,0,ROW()-1,60),ROW()-1,FALSE))</f>
        <v/>
      </c>
      <c r="G110">
        <f ca="1">IF(AND(ISNUMBER($G$565),$B$419=1),$G$565,HLOOKUP(INDIRECT(ADDRESS(2,COLUMN())),OFFSET($BN$2,0,0,ROW()-1,60),ROW()-1,FALSE))</f>
        <v>75.582999999999998</v>
      </c>
      <c r="H110">
        <f ca="1">IF(AND(ISNUMBER($H$565),$B$419=1),$H$565,HLOOKUP(INDIRECT(ADDRESS(2,COLUMN())),OFFSET($BN$2,0,0,ROW()-1,60),ROW()-1,FALSE))</f>
        <v>80.137</v>
      </c>
      <c r="I110">
        <f ca="1">IF(AND(ISNUMBER($I$565),$B$419=1),$I$565,HLOOKUP(INDIRECT(ADDRESS(2,COLUMN())),OFFSET($BN$2,0,0,ROW()-1,60),ROW()-1,FALSE))</f>
        <v>84.929000000000002</v>
      </c>
      <c r="J110">
        <f ca="1">IF(AND(ISNUMBER($J$565),$B$419=1),$J$565,HLOOKUP(INDIRECT(ADDRESS(2,COLUMN())),OFFSET($BN$2,0,0,ROW()-1,60),ROW()-1,FALSE))</f>
        <v>88.742000000000004</v>
      </c>
      <c r="K110">
        <f ca="1">IF(AND(ISNUMBER($K$565),$B$419=1),$K$565,HLOOKUP(INDIRECT(ADDRESS(2,COLUMN())),OFFSET($BN$2,0,0,ROW()-1,60),ROW()-1,FALSE))</f>
        <v>87.867999999999995</v>
      </c>
      <c r="L110">
        <f ca="1">IF(AND(ISNUMBER($L$565),$B$419=1),$L$565,HLOOKUP(INDIRECT(ADDRESS(2,COLUMN())),OFFSET($BN$2,0,0,ROW()-1,60),ROW()-1,FALSE))</f>
        <v>93.215999999999994</v>
      </c>
      <c r="M110">
        <f ca="1">IF(AND(ISNUMBER($M$565),$B$419=1),$M$565,HLOOKUP(INDIRECT(ADDRESS(2,COLUMN())),OFFSET($BN$2,0,0,ROW()-1,60),ROW()-1,FALSE))</f>
        <v>95.572999999999993</v>
      </c>
      <c r="N110">
        <f ca="1">IF(AND(ISNUMBER($N$565),$B$419=1),$N$565,HLOOKUP(INDIRECT(ADDRESS(2,COLUMN())),OFFSET($BN$2,0,0,ROW()-1,60),ROW()-1,FALSE))</f>
        <v>94.358000000000004</v>
      </c>
      <c r="O110">
        <f ca="1">IF(AND(ISNUMBER($O$565),$B$419=1),$O$565,HLOOKUP(INDIRECT(ADDRESS(2,COLUMN())),OFFSET($BN$2,0,0,ROW()-1,60),ROW()-1,FALSE))</f>
        <v>91.662999999999997</v>
      </c>
      <c r="P110">
        <f ca="1">IF(AND(ISNUMBER($P$565),$B$419=1),$P$565,HLOOKUP(INDIRECT(ADDRESS(2,COLUMN())),OFFSET($BN$2,0,0,ROW()-1,60),ROW()-1,FALSE))</f>
        <v>96.793000000000006</v>
      </c>
      <c r="Q110">
        <f ca="1">IF(AND(ISNUMBER($Q$565),$B$419=1),$Q$565,HLOOKUP(INDIRECT(ADDRESS(2,COLUMN())),OFFSET($BN$2,0,0,ROW()-1,60),ROW()-1,FALSE))</f>
        <v>96.462000000000003</v>
      </c>
      <c r="R110">
        <f ca="1">IF(AND(ISNUMBER($R$565),$B$419=1),$R$565,HLOOKUP(INDIRECT(ADDRESS(2,COLUMN())),OFFSET($BN$2,0,0,ROW()-1,60),ROW()-1,FALSE))</f>
        <v>97.224999999999994</v>
      </c>
      <c r="S110">
        <f ca="1">IF(AND(ISNUMBER($S$565),$B$419=1),$S$565,HLOOKUP(INDIRECT(ADDRESS(2,COLUMN())),OFFSET($BN$2,0,0,ROW()-1,60),ROW()-1,FALSE))</f>
        <v>96.316999999999993</v>
      </c>
      <c r="T110">
        <f ca="1">IF(AND(ISNUMBER($T$565),$B$419=1),$T$565,HLOOKUP(INDIRECT(ADDRESS(2,COLUMN())),OFFSET($BN$2,0,0,ROW()-1,60),ROW()-1,FALSE))</f>
        <v>104.727</v>
      </c>
      <c r="U110">
        <f ca="1">IF(AND(ISNUMBER($U$565),$B$419=1),$U$565,HLOOKUP(INDIRECT(ADDRESS(2,COLUMN())),OFFSET($BN$2,0,0,ROW()-1,60),ROW()-1,FALSE))</f>
        <v>96.316999999999993</v>
      </c>
      <c r="V110">
        <f ca="1">IF(AND(ISNUMBER($V$565),$B$419=1),$V$565,HLOOKUP(INDIRECT(ADDRESS(2,COLUMN())),OFFSET($BN$2,0,0,ROW()-1,60),ROW()-1,FALSE))</f>
        <v>96.316999999999993</v>
      </c>
      <c r="W110">
        <f ca="1">IF(AND(ISNUMBER($W$565),$B$419=1),$W$565,HLOOKUP(INDIRECT(ADDRESS(2,COLUMN())),OFFSET($BN$2,0,0,ROW()-1,60),ROW()-1,FALSE))</f>
        <v>105.07299999999999</v>
      </c>
      <c r="X110">
        <f ca="1">IF(AND(ISNUMBER($X$565),$B$419=1),$X$565,HLOOKUP(INDIRECT(ADDRESS(2,COLUMN())),OFFSET($BN$2,0,0,ROW()-1,60),ROW()-1,FALSE))</f>
        <v>96.350999999999999</v>
      </c>
      <c r="Y110">
        <f ca="1">IF(AND(ISNUMBER($Y$565),$B$419=1),$Y$565,HLOOKUP(INDIRECT(ADDRESS(2,COLUMN())),OFFSET($BN$2,0,0,ROW()-1,60),ROW()-1,FALSE))</f>
        <v>97.838999999999999</v>
      </c>
      <c r="Z110">
        <f ca="1">IF(AND(ISNUMBER($Z$565),$B$419=1),$Z$565,HLOOKUP(INDIRECT(ADDRESS(2,COLUMN())),OFFSET($BN$2,0,0,ROW()-1,60),ROW()-1,FALSE))</f>
        <v>90.89</v>
      </c>
      <c r="AA110">
        <f ca="1">IF(AND(ISNUMBER($AA$565),$B$419=1),$AA$565,HLOOKUP(INDIRECT(ADDRESS(2,COLUMN())),OFFSET($BN$2,0,0,ROW()-1,60),ROW()-1,FALSE))</f>
        <v>92.906000000000006</v>
      </c>
      <c r="AB110">
        <f ca="1">IF(AND(ISNUMBER($AB$565),$B$419=1),$AB$565,HLOOKUP(INDIRECT(ADDRESS(2,COLUMN())),OFFSET($BN$2,0,0,ROW()-1,60),ROW()-1,FALSE))</f>
        <v>96.566000000000003</v>
      </c>
      <c r="AC110">
        <f ca="1">IF(AND(ISNUMBER($AC$565),$B$419=1),$AC$565,HLOOKUP(INDIRECT(ADDRESS(2,COLUMN())),OFFSET($BN$2,0,0,ROW()-1,60),ROW()-1,FALSE))</f>
        <v>92.906000000000006</v>
      </c>
      <c r="AD110" t="str">
        <f ca="1">IF(AND(ISNUMBER($AD$565),$B$419=1),$AD$565,HLOOKUP(INDIRECT(ADDRESS(2,COLUMN())),OFFSET($BN$2,0,0,ROW()-1,60),ROW()-1,FALSE))</f>
        <v/>
      </c>
      <c r="AE110">
        <f ca="1">IF(AND(ISNUMBER($AE$565),$B$419=1),$AE$565,HLOOKUP(INDIRECT(ADDRESS(2,COLUMN())),OFFSET($BN$2,0,0,ROW()-1,60),ROW()-1,FALSE))</f>
        <v>101.736</v>
      </c>
      <c r="AF110">
        <f ca="1">IF(AND(ISNUMBER($AF$565),$B$419=1),$AF$565,HLOOKUP(INDIRECT(ADDRESS(2,COLUMN())),OFFSET($BN$2,0,0,ROW()-1,60),ROW()-1,FALSE))</f>
        <v>105.44499999999999</v>
      </c>
      <c r="AG110" t="str">
        <f ca="1">IF(AND(ISNUMBER($AG$565),$B$419=1),$AG$565,HLOOKUP(INDIRECT(ADDRESS(2,COLUMN())),OFFSET($BN$2,0,0,ROW()-1,60),ROW()-1,FALSE))</f>
        <v/>
      </c>
      <c r="AH110" t="str">
        <f ca="1">IF(AND(ISNUMBER($AH$565),$B$419=1),$AH$565,HLOOKUP(INDIRECT(ADDRESS(2,COLUMN())),OFFSET($BN$2,0,0,ROW()-1,60),ROW()-1,FALSE))</f>
        <v/>
      </c>
      <c r="AI110" t="str">
        <f ca="1">IF(AND(ISNUMBER($AI$565),$B$419=1),$AI$565,HLOOKUP(INDIRECT(ADDRESS(2,COLUMN())),OFFSET($BN$2,0,0,ROW()-1,60),ROW()-1,FALSE))</f>
        <v/>
      </c>
      <c r="AJ110" t="str">
        <f ca="1">IF(AND(ISNUMBER($AJ$565),$B$419=1),$AJ$565,HLOOKUP(INDIRECT(ADDRESS(2,COLUMN())),OFFSET($BN$2,0,0,ROW()-1,60),ROW()-1,FALSE))</f>
        <v/>
      </c>
      <c r="AK110" t="str">
        <f ca="1">IF(AND(ISNUMBER($AK$565),$B$419=1),$AK$565,HLOOKUP(INDIRECT(ADDRESS(2,COLUMN())),OFFSET($BN$2,0,0,ROW()-1,60),ROW()-1,FALSE))</f>
        <v/>
      </c>
      <c r="AL110" t="str">
        <f ca="1">IF(AND(ISNUMBER($AL$565),$B$419=1),$AL$565,HLOOKUP(INDIRECT(ADDRESS(2,COLUMN())),OFFSET($BN$2,0,0,ROW()-1,60),ROW()-1,FALSE))</f>
        <v/>
      </c>
      <c r="AM110" t="str">
        <f ca="1">IF(AND(ISNUMBER($AM$565),$B$419=1),$AM$565,HLOOKUP(INDIRECT(ADDRESS(2,COLUMN())),OFFSET($BN$2,0,0,ROW()-1,60),ROW()-1,FALSE))</f>
        <v/>
      </c>
      <c r="AN110" t="str">
        <f ca="1">IF(AND(ISNUMBER($AN$565),$B$419=1),$AN$565,HLOOKUP(INDIRECT(ADDRESS(2,COLUMN())),OFFSET($BN$2,0,0,ROW()-1,60),ROW()-1,FALSE))</f>
        <v/>
      </c>
      <c r="AO110" t="str">
        <f ca="1">IF(AND(ISNUMBER($AO$565),$B$419=1),$AO$565,HLOOKUP(INDIRECT(ADDRESS(2,COLUMN())),OFFSET($BN$2,0,0,ROW()-1,60),ROW()-1,FALSE))</f>
        <v/>
      </c>
      <c r="AP110" t="str">
        <f ca="1">IF(AND(ISNUMBER($AP$565),$B$419=1),$AP$565,HLOOKUP(INDIRECT(ADDRESS(2,COLUMN())),OFFSET($BN$2,0,0,ROW()-1,60),ROW()-1,FALSE))</f>
        <v/>
      </c>
      <c r="AQ110" t="str">
        <f ca="1">IF(AND(ISNUMBER($AQ$565),$B$419=1),$AQ$565,HLOOKUP(INDIRECT(ADDRESS(2,COLUMN())),OFFSET($BN$2,0,0,ROW()-1,60),ROW()-1,FALSE))</f>
        <v/>
      </c>
      <c r="AR110" t="str">
        <f ca="1">IF(AND(ISNUMBER($AR$565),$B$419=1),$AR$565,HLOOKUP(INDIRECT(ADDRESS(2,COLUMN())),OFFSET($BN$2,0,0,ROW()-1,60),ROW()-1,FALSE))</f>
        <v/>
      </c>
      <c r="AS110" t="str">
        <f ca="1">IF(AND(ISNUMBER($AS$565),$B$419=1),$AS$565,HLOOKUP(INDIRECT(ADDRESS(2,COLUMN())),OFFSET($BN$2,0,0,ROW()-1,60),ROW()-1,FALSE))</f>
        <v/>
      </c>
      <c r="AT110" t="str">
        <f ca="1">IF(AND(ISNUMBER($AT$565),$B$419=1),$AT$565,HLOOKUP(INDIRECT(ADDRESS(2,COLUMN())),OFFSET($BN$2,0,0,ROW()-1,60),ROW()-1,FALSE))</f>
        <v/>
      </c>
      <c r="AU110" t="str">
        <f ca="1">IF(AND(ISNUMBER($AU$565),$B$419=1),$AU$565,HLOOKUP(INDIRECT(ADDRESS(2,COLUMN())),OFFSET($BN$2,0,0,ROW()-1,60),ROW()-1,FALSE))</f>
        <v/>
      </c>
      <c r="AV110" t="str">
        <f ca="1">IF(AND(ISNUMBER($AV$565),$B$419=1),$AV$565,HLOOKUP(INDIRECT(ADDRESS(2,COLUMN())),OFFSET($BN$2,0,0,ROW()-1,60),ROW()-1,FALSE))</f>
        <v/>
      </c>
      <c r="AW110" t="str">
        <f ca="1">IF(AND(ISNUMBER($AW$565),$B$419=1),$AW$565,HLOOKUP(INDIRECT(ADDRESS(2,COLUMN())),OFFSET($BN$2,0,0,ROW()-1,60),ROW()-1,FALSE))</f>
        <v/>
      </c>
      <c r="AX110" t="str">
        <f ca="1">IF(AND(ISNUMBER($AX$565),$B$419=1),$AX$565,HLOOKUP(INDIRECT(ADDRESS(2,COLUMN())),OFFSET($BN$2,0,0,ROW()-1,60),ROW()-1,FALSE))</f>
        <v/>
      </c>
      <c r="AY110" t="str">
        <f ca="1">IF(AND(ISNUMBER($AY$565),$B$419=1),$AY$565,HLOOKUP(INDIRECT(ADDRESS(2,COLUMN())),OFFSET($BN$2,0,0,ROW()-1,60),ROW()-1,FALSE))</f>
        <v/>
      </c>
      <c r="AZ110" t="str">
        <f ca="1">IF(AND(ISNUMBER($AZ$565),$B$419=1),$AZ$565,HLOOKUP(INDIRECT(ADDRESS(2,COLUMN())),OFFSET($BN$2,0,0,ROW()-1,60),ROW()-1,FALSE))</f>
        <v/>
      </c>
      <c r="BA110" t="str">
        <f ca="1">IF(AND(ISNUMBER($BA$565),$B$419=1),$BA$565,HLOOKUP(INDIRECT(ADDRESS(2,COLUMN())),OFFSET($BN$2,0,0,ROW()-1,60),ROW()-1,FALSE))</f>
        <v/>
      </c>
      <c r="BB110" t="str">
        <f ca="1">IF(AND(ISNUMBER($BB$565),$B$419=1),$BB$565,HLOOKUP(INDIRECT(ADDRESS(2,COLUMN())),OFFSET($BN$2,0,0,ROW()-1,60),ROW()-1,FALSE))</f>
        <v/>
      </c>
      <c r="BC110" t="str">
        <f ca="1">IF(AND(ISNUMBER($BC$565),$B$419=1),$BC$565,HLOOKUP(INDIRECT(ADDRESS(2,COLUMN())),OFFSET($BN$2,0,0,ROW()-1,60),ROW()-1,FALSE))</f>
        <v/>
      </c>
      <c r="BD110" t="str">
        <f ca="1">IF(AND(ISNUMBER($BD$565),$B$419=1),$BD$565,HLOOKUP(INDIRECT(ADDRESS(2,COLUMN())),OFFSET($BN$2,0,0,ROW()-1,60),ROW()-1,FALSE))</f>
        <v/>
      </c>
      <c r="BE110" t="str">
        <f ca="1">IF(AND(ISNUMBER($BE$565),$B$419=1),$BE$565,HLOOKUP(INDIRECT(ADDRESS(2,COLUMN())),OFFSET($BN$2,0,0,ROW()-1,60),ROW()-1,FALSE))</f>
        <v/>
      </c>
      <c r="BF110" t="str">
        <f ca="1">IF(AND(ISNUMBER($BF$565),$B$419=1),$BF$565,HLOOKUP(INDIRECT(ADDRESS(2,COLUMN())),OFFSET($BN$2,0,0,ROW()-1,60),ROW()-1,FALSE))</f>
        <v/>
      </c>
      <c r="BG110" t="str">
        <f ca="1">IF(AND(ISNUMBER($BG$565),$B$419=1),$BG$565,HLOOKUP(INDIRECT(ADDRESS(2,COLUMN())),OFFSET($BN$2,0,0,ROW()-1,60),ROW()-1,FALSE))</f>
        <v/>
      </c>
      <c r="BH110" t="str">
        <f ca="1">IF(AND(ISNUMBER($BH$565),$B$419=1),$BH$565,HLOOKUP(INDIRECT(ADDRESS(2,COLUMN())),OFFSET($BN$2,0,0,ROW()-1,60),ROW()-1,FALSE))</f>
        <v/>
      </c>
      <c r="BI110" t="str">
        <f ca="1">IF(AND(ISNUMBER($BI$565),$B$419=1),$BI$565,HLOOKUP(INDIRECT(ADDRESS(2,COLUMN())),OFFSET($BN$2,0,0,ROW()-1,60),ROW()-1,FALSE))</f>
        <v/>
      </c>
      <c r="BJ110" t="str">
        <f ca="1">IF(AND(ISNUMBER($BJ$565),$B$419=1),$BJ$565,HLOOKUP(INDIRECT(ADDRESS(2,COLUMN())),OFFSET($BN$2,0,0,ROW()-1,60),ROW()-1,FALSE))</f>
        <v/>
      </c>
      <c r="BK110" t="str">
        <f ca="1">IF(AND(ISNUMBER($BK$565),$B$419=1),$BK$565,HLOOKUP(INDIRECT(ADDRESS(2,COLUMN())),OFFSET($BN$2,0,0,ROW()-1,60),ROW()-1,FALSE))</f>
        <v/>
      </c>
      <c r="BL110" t="str">
        <f ca="1">IF(AND(ISNUMBER($BL$565),$B$419=1),$BL$565,HLOOKUP(INDIRECT(ADDRESS(2,COLUMN())),OFFSET($BN$2,0,0,ROW()-1,60),ROW()-1,FALSE))</f>
        <v/>
      </c>
      <c r="BM110" t="str">
        <f ca="1">IF(AND(ISNUMBER($BM$565),$B$419=1),$BM$565,HLOOKUP(INDIRECT(ADDRESS(2,COLUMN())),OFFSET($BN$2,0,0,ROW()-1,60),ROW()-1,FALSE))</f>
        <v/>
      </c>
      <c r="BN110" t="str">
        <f>""</f>
        <v/>
      </c>
      <c r="BO110">
        <f>75.583</f>
        <v>75.582999999999998</v>
      </c>
      <c r="BP110">
        <f>80.137</f>
        <v>80.137</v>
      </c>
      <c r="BQ110">
        <f>84.929</f>
        <v>84.929000000000002</v>
      </c>
      <c r="BR110">
        <f>88.742</f>
        <v>88.742000000000004</v>
      </c>
      <c r="BS110">
        <f>87.868</f>
        <v>87.867999999999995</v>
      </c>
      <c r="BT110">
        <f>93.216</f>
        <v>93.215999999999994</v>
      </c>
      <c r="BU110">
        <f>95.573</f>
        <v>95.572999999999993</v>
      </c>
      <c r="BV110">
        <f>94.358</f>
        <v>94.358000000000004</v>
      </c>
      <c r="BW110">
        <f>91.663</f>
        <v>91.662999999999997</v>
      </c>
      <c r="BX110">
        <f>96.793</f>
        <v>96.793000000000006</v>
      </c>
      <c r="BY110">
        <f>96.462</f>
        <v>96.462000000000003</v>
      </c>
      <c r="BZ110">
        <f>97.225</f>
        <v>97.224999999999994</v>
      </c>
      <c r="CA110">
        <f>96.317</f>
        <v>96.316999999999993</v>
      </c>
      <c r="CB110">
        <f>104.727</f>
        <v>104.727</v>
      </c>
      <c r="CC110">
        <f>96.317</f>
        <v>96.316999999999993</v>
      </c>
      <c r="CD110">
        <f>96.317</f>
        <v>96.316999999999993</v>
      </c>
      <c r="CE110">
        <f>105.073</f>
        <v>105.07299999999999</v>
      </c>
      <c r="CF110">
        <f>96.351</f>
        <v>96.350999999999999</v>
      </c>
      <c r="CG110">
        <f>97.839</f>
        <v>97.838999999999999</v>
      </c>
      <c r="CH110">
        <f>90.89</f>
        <v>90.89</v>
      </c>
      <c r="CI110">
        <f>92.906</f>
        <v>92.906000000000006</v>
      </c>
      <c r="CJ110">
        <f>96.566</f>
        <v>96.566000000000003</v>
      </c>
      <c r="CK110">
        <f>92.906</f>
        <v>92.906000000000006</v>
      </c>
      <c r="CL110" t="str">
        <f>""</f>
        <v/>
      </c>
      <c r="CM110">
        <f>101.736</f>
        <v>101.736</v>
      </c>
      <c r="CN110">
        <f>105.445</f>
        <v>105.44499999999999</v>
      </c>
      <c r="CO110" t="str">
        <f>""</f>
        <v/>
      </c>
      <c r="CP110" t="str">
        <f>""</f>
        <v/>
      </c>
      <c r="CQ110" t="str">
        <f>""</f>
        <v/>
      </c>
      <c r="CR110" t="str">
        <f>""</f>
        <v/>
      </c>
      <c r="CS110" t="str">
        <f>""</f>
        <v/>
      </c>
      <c r="CT110" t="str">
        <f>""</f>
        <v/>
      </c>
      <c r="CU110" t="str">
        <f>""</f>
        <v/>
      </c>
      <c r="CV110" t="str">
        <f>""</f>
        <v/>
      </c>
      <c r="CW110" t="str">
        <f>""</f>
        <v/>
      </c>
      <c r="CX110" t="str">
        <f>""</f>
        <v/>
      </c>
      <c r="CY110" t="str">
        <f>""</f>
        <v/>
      </c>
      <c r="CZ110" t="str">
        <f>""</f>
        <v/>
      </c>
      <c r="DA110" t="str">
        <f>""</f>
        <v/>
      </c>
      <c r="DB110" t="str">
        <f>""</f>
        <v/>
      </c>
      <c r="DC110" t="str">
        <f>""</f>
        <v/>
      </c>
      <c r="DD110" t="str">
        <f>""</f>
        <v/>
      </c>
      <c r="DE110" t="str">
        <f>""</f>
        <v/>
      </c>
      <c r="DF110" t="str">
        <f>""</f>
        <v/>
      </c>
      <c r="DG110" t="str">
        <f>""</f>
        <v/>
      </c>
      <c r="DH110" t="str">
        <f>""</f>
        <v/>
      </c>
      <c r="DI110" t="str">
        <f>""</f>
        <v/>
      </c>
      <c r="DJ110" t="str">
        <f>""</f>
        <v/>
      </c>
      <c r="DK110" t="str">
        <f>""</f>
        <v/>
      </c>
      <c r="DL110" t="str">
        <f>""</f>
        <v/>
      </c>
      <c r="DM110" t="str">
        <f>""</f>
        <v/>
      </c>
      <c r="DN110" t="str">
        <f>""</f>
        <v/>
      </c>
      <c r="DO110" t="str">
        <f>""</f>
        <v/>
      </c>
      <c r="DP110" t="str">
        <f>""</f>
        <v/>
      </c>
      <c r="DQ110" t="str">
        <f>""</f>
        <v/>
      </c>
      <c r="DR110" t="str">
        <f>""</f>
        <v/>
      </c>
      <c r="DS110" t="str">
        <f>""</f>
        <v/>
      </c>
      <c r="DT110" t="str">
        <f>""</f>
        <v/>
      </c>
      <c r="DU110" t="str">
        <f>""</f>
        <v/>
      </c>
    </row>
    <row r="111" spans="1:125">
      <c r="A111" t="str">
        <f>"    Simon Property Group Inc"</f>
        <v xml:space="preserve">    Simon Property Group Inc</v>
      </c>
      <c r="B111" t="str">
        <f>"SPG US Equity"</f>
        <v>SPG US Equity</v>
      </c>
      <c r="C111" t="str">
        <f t="shared" si="18"/>
        <v>IS972</v>
      </c>
      <c r="D111" t="str">
        <f t="shared" si="19"/>
        <v>IS_ADJUSTED_EBITDA_AS_REPORTED</v>
      </c>
      <c r="E111" t="str">
        <f t="shared" si="20"/>
        <v>动态</v>
      </c>
      <c r="F111" t="str">
        <f ca="1">IF(AND(ISNUMBER($F$566),$B$419=1),$F$566,HLOOKUP(INDIRECT(ADDRESS(2,COLUMN())),OFFSET($BN$2,0,0,ROW()-1,60),ROW()-1,FALSE))</f>
        <v/>
      </c>
      <c r="G111" t="str">
        <f ca="1">IF(AND(ISNUMBER($G$566),$B$419=1),$G$566,HLOOKUP(INDIRECT(ADDRESS(2,COLUMN())),OFFSET($BN$2,0,0,ROW()-1,60),ROW()-1,FALSE))</f>
        <v/>
      </c>
      <c r="H111" t="str">
        <f ca="1">IF(AND(ISNUMBER($H$566),$B$419=1),$H$566,HLOOKUP(INDIRECT(ADDRESS(2,COLUMN())),OFFSET($BN$2,0,0,ROW()-1,60),ROW()-1,FALSE))</f>
        <v/>
      </c>
      <c r="I111" t="str">
        <f ca="1">IF(AND(ISNUMBER($I$566),$B$419=1),$I$566,HLOOKUP(INDIRECT(ADDRESS(2,COLUMN())),OFFSET($BN$2,0,0,ROW()-1,60),ROW()-1,FALSE))</f>
        <v/>
      </c>
      <c r="J111" t="str">
        <f ca="1">IF(AND(ISNUMBER($J$566),$B$419=1),$J$566,HLOOKUP(INDIRECT(ADDRESS(2,COLUMN())),OFFSET($BN$2,0,0,ROW()-1,60),ROW()-1,FALSE))</f>
        <v/>
      </c>
      <c r="K111" t="str">
        <f ca="1">IF(AND(ISNUMBER($K$566),$B$419=1),$K$566,HLOOKUP(INDIRECT(ADDRESS(2,COLUMN())),OFFSET($BN$2,0,0,ROW()-1,60),ROW()-1,FALSE))</f>
        <v/>
      </c>
      <c r="L111" t="str">
        <f ca="1">IF(AND(ISNUMBER($L$566),$B$419=1),$L$566,HLOOKUP(INDIRECT(ADDRESS(2,COLUMN())),OFFSET($BN$2,0,0,ROW()-1,60),ROW()-1,FALSE))</f>
        <v/>
      </c>
      <c r="M111" t="str">
        <f ca="1">IF(AND(ISNUMBER($M$566),$B$419=1),$M$566,HLOOKUP(INDIRECT(ADDRESS(2,COLUMN())),OFFSET($BN$2,0,0,ROW()-1,60),ROW()-1,FALSE))</f>
        <v/>
      </c>
      <c r="N111" t="str">
        <f ca="1">IF(AND(ISNUMBER($N$566),$B$419=1),$N$566,HLOOKUP(INDIRECT(ADDRESS(2,COLUMN())),OFFSET($BN$2,0,0,ROW()-1,60),ROW()-1,FALSE))</f>
        <v/>
      </c>
      <c r="O111" t="str">
        <f ca="1">IF(AND(ISNUMBER($O$566),$B$419=1),$O$566,HLOOKUP(INDIRECT(ADDRESS(2,COLUMN())),OFFSET($BN$2,0,0,ROW()-1,60),ROW()-1,FALSE))</f>
        <v/>
      </c>
      <c r="P111" t="str">
        <f ca="1">IF(AND(ISNUMBER($P$566),$B$419=1),$P$566,HLOOKUP(INDIRECT(ADDRESS(2,COLUMN())),OFFSET($BN$2,0,0,ROW()-1,60),ROW()-1,FALSE))</f>
        <v/>
      </c>
      <c r="Q111" t="str">
        <f ca="1">IF(AND(ISNUMBER($Q$566),$B$419=1),$Q$566,HLOOKUP(INDIRECT(ADDRESS(2,COLUMN())),OFFSET($BN$2,0,0,ROW()-1,60),ROW()-1,FALSE))</f>
        <v/>
      </c>
      <c r="R111" t="str">
        <f ca="1">IF(AND(ISNUMBER($R$566),$B$419=1),$R$566,HLOOKUP(INDIRECT(ADDRESS(2,COLUMN())),OFFSET($BN$2,0,0,ROW()-1,60),ROW()-1,FALSE))</f>
        <v/>
      </c>
      <c r="S111" t="str">
        <f ca="1">IF(AND(ISNUMBER($S$566),$B$419=1),$S$566,HLOOKUP(INDIRECT(ADDRESS(2,COLUMN())),OFFSET($BN$2,0,0,ROW()-1,60),ROW()-1,FALSE))</f>
        <v/>
      </c>
      <c r="T111" t="str">
        <f ca="1">IF(AND(ISNUMBER($T$566),$B$419=1),$T$566,HLOOKUP(INDIRECT(ADDRESS(2,COLUMN())),OFFSET($BN$2,0,0,ROW()-1,60),ROW()-1,FALSE))</f>
        <v/>
      </c>
      <c r="U111" t="str">
        <f ca="1">IF(AND(ISNUMBER($U$566),$B$419=1),$U$566,HLOOKUP(INDIRECT(ADDRESS(2,COLUMN())),OFFSET($BN$2,0,0,ROW()-1,60),ROW()-1,FALSE))</f>
        <v/>
      </c>
      <c r="V111" t="str">
        <f ca="1">IF(AND(ISNUMBER($V$566),$B$419=1),$V$566,HLOOKUP(INDIRECT(ADDRESS(2,COLUMN())),OFFSET($BN$2,0,0,ROW()-1,60),ROW()-1,FALSE))</f>
        <v/>
      </c>
      <c r="W111" t="str">
        <f ca="1">IF(AND(ISNUMBER($W$566),$B$419=1),$W$566,HLOOKUP(INDIRECT(ADDRESS(2,COLUMN())),OFFSET($BN$2,0,0,ROW()-1,60),ROW()-1,FALSE))</f>
        <v/>
      </c>
      <c r="X111" t="str">
        <f ca="1">IF(AND(ISNUMBER($X$566),$B$419=1),$X$566,HLOOKUP(INDIRECT(ADDRESS(2,COLUMN())),OFFSET($BN$2,0,0,ROW()-1,60),ROW()-1,FALSE))</f>
        <v/>
      </c>
      <c r="Y111" t="str">
        <f ca="1">IF(AND(ISNUMBER($Y$566),$B$419=1),$Y$566,HLOOKUP(INDIRECT(ADDRESS(2,COLUMN())),OFFSET($BN$2,0,0,ROW()-1,60),ROW()-1,FALSE))</f>
        <v/>
      </c>
      <c r="Z111" t="str">
        <f ca="1">IF(AND(ISNUMBER($Z$566),$B$419=1),$Z$566,HLOOKUP(INDIRECT(ADDRESS(2,COLUMN())),OFFSET($BN$2,0,0,ROW()-1,60),ROW()-1,FALSE))</f>
        <v/>
      </c>
      <c r="AA111" t="str">
        <f ca="1">IF(AND(ISNUMBER($AA$566),$B$419=1),$AA$566,HLOOKUP(INDIRECT(ADDRESS(2,COLUMN())),OFFSET($BN$2,0,0,ROW()-1,60),ROW()-1,FALSE))</f>
        <v/>
      </c>
      <c r="AB111" t="str">
        <f ca="1">IF(AND(ISNUMBER($AB$566),$B$419=1),$AB$566,HLOOKUP(INDIRECT(ADDRESS(2,COLUMN())),OFFSET($BN$2,0,0,ROW()-1,60),ROW()-1,FALSE))</f>
        <v/>
      </c>
      <c r="AC111" t="str">
        <f ca="1">IF(AND(ISNUMBER($AC$566),$B$419=1),$AC$566,HLOOKUP(INDIRECT(ADDRESS(2,COLUMN())),OFFSET($BN$2,0,0,ROW()-1,60),ROW()-1,FALSE))</f>
        <v/>
      </c>
      <c r="AD111" t="str">
        <f ca="1">IF(AND(ISNUMBER($AD$566),$B$419=1),$AD$566,HLOOKUP(INDIRECT(ADDRESS(2,COLUMN())),OFFSET($BN$2,0,0,ROW()-1,60),ROW()-1,FALSE))</f>
        <v/>
      </c>
      <c r="AE111" t="str">
        <f ca="1">IF(AND(ISNUMBER($AE$566),$B$419=1),$AE$566,HLOOKUP(INDIRECT(ADDRESS(2,COLUMN())),OFFSET($BN$2,0,0,ROW()-1,60),ROW()-1,FALSE))</f>
        <v/>
      </c>
      <c r="AF111" t="str">
        <f ca="1">IF(AND(ISNUMBER($AF$566),$B$419=1),$AF$566,HLOOKUP(INDIRECT(ADDRESS(2,COLUMN())),OFFSET($BN$2,0,0,ROW()-1,60),ROW()-1,FALSE))</f>
        <v/>
      </c>
      <c r="AG111" t="str">
        <f ca="1">IF(AND(ISNUMBER($AG$566),$B$419=1),$AG$566,HLOOKUP(INDIRECT(ADDRESS(2,COLUMN())),OFFSET($BN$2,0,0,ROW()-1,60),ROW()-1,FALSE))</f>
        <v/>
      </c>
      <c r="AH111" t="str">
        <f ca="1">IF(AND(ISNUMBER($AH$566),$B$419=1),$AH$566,HLOOKUP(INDIRECT(ADDRESS(2,COLUMN())),OFFSET($BN$2,0,0,ROW()-1,60),ROW()-1,FALSE))</f>
        <v/>
      </c>
      <c r="AI111" t="str">
        <f ca="1">IF(AND(ISNUMBER($AI$566),$B$419=1),$AI$566,HLOOKUP(INDIRECT(ADDRESS(2,COLUMN())),OFFSET($BN$2,0,0,ROW()-1,60),ROW()-1,FALSE))</f>
        <v/>
      </c>
      <c r="AJ111" t="str">
        <f ca="1">IF(AND(ISNUMBER($AJ$566),$B$419=1),$AJ$566,HLOOKUP(INDIRECT(ADDRESS(2,COLUMN())),OFFSET($BN$2,0,0,ROW()-1,60),ROW()-1,FALSE))</f>
        <v/>
      </c>
      <c r="AK111" t="str">
        <f ca="1">IF(AND(ISNUMBER($AK$566),$B$419=1),$AK$566,HLOOKUP(INDIRECT(ADDRESS(2,COLUMN())),OFFSET($BN$2,0,0,ROW()-1,60),ROW()-1,FALSE))</f>
        <v/>
      </c>
      <c r="AL111" t="str">
        <f ca="1">IF(AND(ISNUMBER($AL$566),$B$419=1),$AL$566,HLOOKUP(INDIRECT(ADDRESS(2,COLUMN())),OFFSET($BN$2,0,0,ROW()-1,60),ROW()-1,FALSE))</f>
        <v/>
      </c>
      <c r="AM111" t="str">
        <f ca="1">IF(AND(ISNUMBER($AM$566),$B$419=1),$AM$566,HLOOKUP(INDIRECT(ADDRESS(2,COLUMN())),OFFSET($BN$2,0,0,ROW()-1,60),ROW()-1,FALSE))</f>
        <v/>
      </c>
      <c r="AN111" t="str">
        <f ca="1">IF(AND(ISNUMBER($AN$566),$B$419=1),$AN$566,HLOOKUP(INDIRECT(ADDRESS(2,COLUMN())),OFFSET($BN$2,0,0,ROW()-1,60),ROW()-1,FALSE))</f>
        <v/>
      </c>
      <c r="AO111" t="str">
        <f ca="1">IF(AND(ISNUMBER($AO$566),$B$419=1),$AO$566,HLOOKUP(INDIRECT(ADDRESS(2,COLUMN())),OFFSET($BN$2,0,0,ROW()-1,60),ROW()-1,FALSE))</f>
        <v/>
      </c>
      <c r="AP111" t="str">
        <f ca="1">IF(AND(ISNUMBER($AP$566),$B$419=1),$AP$566,HLOOKUP(INDIRECT(ADDRESS(2,COLUMN())),OFFSET($BN$2,0,0,ROW()-1,60),ROW()-1,FALSE))</f>
        <v/>
      </c>
      <c r="AQ111" t="str">
        <f ca="1">IF(AND(ISNUMBER($AQ$566),$B$419=1),$AQ$566,HLOOKUP(INDIRECT(ADDRESS(2,COLUMN())),OFFSET($BN$2,0,0,ROW()-1,60),ROW()-1,FALSE))</f>
        <v/>
      </c>
      <c r="AR111" t="str">
        <f ca="1">IF(AND(ISNUMBER($AR$566),$B$419=1),$AR$566,HLOOKUP(INDIRECT(ADDRESS(2,COLUMN())),OFFSET($BN$2,0,0,ROW()-1,60),ROW()-1,FALSE))</f>
        <v/>
      </c>
      <c r="AS111" t="str">
        <f ca="1">IF(AND(ISNUMBER($AS$566),$B$419=1),$AS$566,HLOOKUP(INDIRECT(ADDRESS(2,COLUMN())),OFFSET($BN$2,0,0,ROW()-1,60),ROW()-1,FALSE))</f>
        <v/>
      </c>
      <c r="AT111" t="str">
        <f ca="1">IF(AND(ISNUMBER($AT$566),$B$419=1),$AT$566,HLOOKUP(INDIRECT(ADDRESS(2,COLUMN())),OFFSET($BN$2,0,0,ROW()-1,60),ROW()-1,FALSE))</f>
        <v/>
      </c>
      <c r="AU111" t="str">
        <f ca="1">IF(AND(ISNUMBER($AU$566),$B$419=1),$AU$566,HLOOKUP(INDIRECT(ADDRESS(2,COLUMN())),OFFSET($BN$2,0,0,ROW()-1,60),ROW()-1,FALSE))</f>
        <v/>
      </c>
      <c r="AV111" t="str">
        <f ca="1">IF(AND(ISNUMBER($AV$566),$B$419=1),$AV$566,HLOOKUP(INDIRECT(ADDRESS(2,COLUMN())),OFFSET($BN$2,0,0,ROW()-1,60),ROW()-1,FALSE))</f>
        <v/>
      </c>
      <c r="AW111" t="str">
        <f ca="1">IF(AND(ISNUMBER($AW$566),$B$419=1),$AW$566,HLOOKUP(INDIRECT(ADDRESS(2,COLUMN())),OFFSET($BN$2,0,0,ROW()-1,60),ROW()-1,FALSE))</f>
        <v/>
      </c>
      <c r="AX111" t="str">
        <f ca="1">IF(AND(ISNUMBER($AX$566),$B$419=1),$AX$566,HLOOKUP(INDIRECT(ADDRESS(2,COLUMN())),OFFSET($BN$2,0,0,ROW()-1,60),ROW()-1,FALSE))</f>
        <v/>
      </c>
      <c r="AY111" t="str">
        <f ca="1">IF(AND(ISNUMBER($AY$566),$B$419=1),$AY$566,HLOOKUP(INDIRECT(ADDRESS(2,COLUMN())),OFFSET($BN$2,0,0,ROW()-1,60),ROW()-1,FALSE))</f>
        <v/>
      </c>
      <c r="AZ111" t="str">
        <f ca="1">IF(AND(ISNUMBER($AZ$566),$B$419=1),$AZ$566,HLOOKUP(INDIRECT(ADDRESS(2,COLUMN())),OFFSET($BN$2,0,0,ROW()-1,60),ROW()-1,FALSE))</f>
        <v/>
      </c>
      <c r="BA111" t="str">
        <f ca="1">IF(AND(ISNUMBER($BA$566),$B$419=1),$BA$566,HLOOKUP(INDIRECT(ADDRESS(2,COLUMN())),OFFSET($BN$2,0,0,ROW()-1,60),ROW()-1,FALSE))</f>
        <v/>
      </c>
      <c r="BB111" t="str">
        <f ca="1">IF(AND(ISNUMBER($BB$566),$B$419=1),$BB$566,HLOOKUP(INDIRECT(ADDRESS(2,COLUMN())),OFFSET($BN$2,0,0,ROW()-1,60),ROW()-1,FALSE))</f>
        <v/>
      </c>
      <c r="BC111" t="str">
        <f ca="1">IF(AND(ISNUMBER($BC$566),$B$419=1),$BC$566,HLOOKUP(INDIRECT(ADDRESS(2,COLUMN())),OFFSET($BN$2,0,0,ROW()-1,60),ROW()-1,FALSE))</f>
        <v/>
      </c>
      <c r="BD111" t="str">
        <f ca="1">IF(AND(ISNUMBER($BD$566),$B$419=1),$BD$566,HLOOKUP(INDIRECT(ADDRESS(2,COLUMN())),OFFSET($BN$2,0,0,ROW()-1,60),ROW()-1,FALSE))</f>
        <v/>
      </c>
      <c r="BE111" t="str">
        <f ca="1">IF(AND(ISNUMBER($BE$566),$B$419=1),$BE$566,HLOOKUP(INDIRECT(ADDRESS(2,COLUMN())),OFFSET($BN$2,0,0,ROW()-1,60),ROW()-1,FALSE))</f>
        <v/>
      </c>
      <c r="BF111" t="str">
        <f ca="1">IF(AND(ISNUMBER($BF$566),$B$419=1),$BF$566,HLOOKUP(INDIRECT(ADDRESS(2,COLUMN())),OFFSET($BN$2,0,0,ROW()-1,60),ROW()-1,FALSE))</f>
        <v/>
      </c>
      <c r="BG111" t="str">
        <f ca="1">IF(AND(ISNUMBER($BG$566),$B$419=1),$BG$566,HLOOKUP(INDIRECT(ADDRESS(2,COLUMN())),OFFSET($BN$2,0,0,ROW()-1,60),ROW()-1,FALSE))</f>
        <v/>
      </c>
      <c r="BH111" t="str">
        <f ca="1">IF(AND(ISNUMBER($BH$566),$B$419=1),$BH$566,HLOOKUP(INDIRECT(ADDRESS(2,COLUMN())),OFFSET($BN$2,0,0,ROW()-1,60),ROW()-1,FALSE))</f>
        <v/>
      </c>
      <c r="BI111" t="str">
        <f ca="1">IF(AND(ISNUMBER($BI$566),$B$419=1),$BI$566,HLOOKUP(INDIRECT(ADDRESS(2,COLUMN())),OFFSET($BN$2,0,0,ROW()-1,60),ROW()-1,FALSE))</f>
        <v/>
      </c>
      <c r="BJ111" t="str">
        <f ca="1">IF(AND(ISNUMBER($BJ$566),$B$419=1),$BJ$566,HLOOKUP(INDIRECT(ADDRESS(2,COLUMN())),OFFSET($BN$2,0,0,ROW()-1,60),ROW()-1,FALSE))</f>
        <v/>
      </c>
      <c r="BK111" t="str">
        <f ca="1">IF(AND(ISNUMBER($BK$566),$B$419=1),$BK$566,HLOOKUP(INDIRECT(ADDRESS(2,COLUMN())),OFFSET($BN$2,0,0,ROW()-1,60),ROW()-1,FALSE))</f>
        <v/>
      </c>
      <c r="BL111" t="str">
        <f ca="1">IF(AND(ISNUMBER($BL$566),$B$419=1),$BL$566,HLOOKUP(INDIRECT(ADDRESS(2,COLUMN())),OFFSET($BN$2,0,0,ROW()-1,60),ROW()-1,FALSE))</f>
        <v/>
      </c>
      <c r="BM111" t="str">
        <f ca="1">IF(AND(ISNUMBER($BM$566),$B$419=1),$BM$566,HLOOKUP(INDIRECT(ADDRESS(2,COLUMN())),OFFSET($BN$2,0,0,ROW()-1,60),ROW()-1,FALSE))</f>
        <v/>
      </c>
      <c r="BN111" t="str">
        <f>""</f>
        <v/>
      </c>
      <c r="BO111" t="str">
        <f>""</f>
        <v/>
      </c>
      <c r="BP111" t="str">
        <f>""</f>
        <v/>
      </c>
      <c r="BQ111" t="str">
        <f>""</f>
        <v/>
      </c>
      <c r="BR111" t="str">
        <f>""</f>
        <v/>
      </c>
      <c r="BS111" t="str">
        <f>""</f>
        <v/>
      </c>
      <c r="BT111" t="str">
        <f>""</f>
        <v/>
      </c>
      <c r="BU111" t="str">
        <f>""</f>
        <v/>
      </c>
      <c r="BV111" t="str">
        <f>""</f>
        <v/>
      </c>
      <c r="BW111" t="str">
        <f>""</f>
        <v/>
      </c>
      <c r="BX111" t="str">
        <f>""</f>
        <v/>
      </c>
      <c r="BY111" t="str">
        <f>""</f>
        <v/>
      </c>
      <c r="BZ111" t="str">
        <f>""</f>
        <v/>
      </c>
      <c r="CA111" t="str">
        <f>""</f>
        <v/>
      </c>
      <c r="CB111" t="str">
        <f>""</f>
        <v/>
      </c>
      <c r="CC111" t="str">
        <f>""</f>
        <v/>
      </c>
      <c r="CD111" t="str">
        <f>""</f>
        <v/>
      </c>
      <c r="CE111" t="str">
        <f>""</f>
        <v/>
      </c>
      <c r="CF111" t="str">
        <f>""</f>
        <v/>
      </c>
      <c r="CG111" t="str">
        <f>""</f>
        <v/>
      </c>
      <c r="CH111" t="str">
        <f>""</f>
        <v/>
      </c>
      <c r="CI111" t="str">
        <f>""</f>
        <v/>
      </c>
      <c r="CJ111" t="str">
        <f>""</f>
        <v/>
      </c>
      <c r="CK111" t="str">
        <f>""</f>
        <v/>
      </c>
      <c r="CL111" t="str">
        <f>""</f>
        <v/>
      </c>
      <c r="CM111" t="str">
        <f>""</f>
        <v/>
      </c>
      <c r="CN111" t="str">
        <f>""</f>
        <v/>
      </c>
      <c r="CO111" t="str">
        <f>""</f>
        <v/>
      </c>
      <c r="CP111" t="str">
        <f>""</f>
        <v/>
      </c>
      <c r="CQ111" t="str">
        <f>""</f>
        <v/>
      </c>
      <c r="CR111" t="str">
        <f>""</f>
        <v/>
      </c>
      <c r="CS111" t="str">
        <f>""</f>
        <v/>
      </c>
      <c r="CT111" t="str">
        <f>""</f>
        <v/>
      </c>
      <c r="CU111" t="str">
        <f>""</f>
        <v/>
      </c>
      <c r="CV111" t="str">
        <f>""</f>
        <v/>
      </c>
      <c r="CW111" t="str">
        <f>""</f>
        <v/>
      </c>
      <c r="CX111" t="str">
        <f>""</f>
        <v/>
      </c>
      <c r="CY111" t="str">
        <f>""</f>
        <v/>
      </c>
      <c r="CZ111" t="str">
        <f>""</f>
        <v/>
      </c>
      <c r="DA111" t="str">
        <f>""</f>
        <v/>
      </c>
      <c r="DB111" t="str">
        <f>""</f>
        <v/>
      </c>
      <c r="DC111" t="str">
        <f>""</f>
        <v/>
      </c>
      <c r="DD111" t="str">
        <f>""</f>
        <v/>
      </c>
      <c r="DE111" t="str">
        <f>""</f>
        <v/>
      </c>
      <c r="DF111" t="str">
        <f>""</f>
        <v/>
      </c>
      <c r="DG111" t="str">
        <f>""</f>
        <v/>
      </c>
      <c r="DH111" t="str">
        <f>""</f>
        <v/>
      </c>
      <c r="DI111" t="str">
        <f>""</f>
        <v/>
      </c>
      <c r="DJ111" t="str">
        <f>""</f>
        <v/>
      </c>
      <c r="DK111" t="str">
        <f>""</f>
        <v/>
      </c>
      <c r="DL111" t="str">
        <f>""</f>
        <v/>
      </c>
      <c r="DM111" t="str">
        <f>""</f>
        <v/>
      </c>
      <c r="DN111" t="str">
        <f>""</f>
        <v/>
      </c>
      <c r="DO111" t="str">
        <f>""</f>
        <v/>
      </c>
      <c r="DP111" t="str">
        <f>""</f>
        <v/>
      </c>
      <c r="DQ111" t="str">
        <f>""</f>
        <v/>
      </c>
      <c r="DR111" t="str">
        <f>""</f>
        <v/>
      </c>
      <c r="DS111" t="str">
        <f>""</f>
        <v/>
      </c>
      <c r="DT111" t="str">
        <f>""</f>
        <v/>
      </c>
      <c r="DU111" t="str">
        <f>""</f>
        <v/>
      </c>
    </row>
    <row r="112" spans="1:125">
      <c r="A112" t="str">
        <f>"    Tanger Factory Outlet Centers"</f>
        <v xml:space="preserve">    Tanger Factory Outlet Centers</v>
      </c>
      <c r="B112" t="str">
        <f>"SKT US Equity"</f>
        <v>SKT US Equity</v>
      </c>
      <c r="C112" t="str">
        <f t="shared" si="18"/>
        <v>IS972</v>
      </c>
      <c r="D112" t="str">
        <f t="shared" si="19"/>
        <v>IS_ADJUSTED_EBITDA_AS_REPORTED</v>
      </c>
      <c r="E112" t="str">
        <f t="shared" si="20"/>
        <v>动态</v>
      </c>
      <c r="F112" t="str">
        <f ca="1">IF(AND(ISNUMBER($F$567),$B$419=1),$F$567,HLOOKUP(INDIRECT(ADDRESS(2,COLUMN())),OFFSET($BN$2,0,0,ROW()-1,60),ROW()-1,FALSE))</f>
        <v/>
      </c>
      <c r="G112" t="str">
        <f ca="1">IF(AND(ISNUMBER($G$567),$B$419=1),$G$567,HLOOKUP(INDIRECT(ADDRESS(2,COLUMN())),OFFSET($BN$2,0,0,ROW()-1,60),ROW()-1,FALSE))</f>
        <v/>
      </c>
      <c r="H112" t="str">
        <f ca="1">IF(AND(ISNUMBER($H$567),$B$419=1),$H$567,HLOOKUP(INDIRECT(ADDRESS(2,COLUMN())),OFFSET($BN$2,0,0,ROW()-1,60),ROW()-1,FALSE))</f>
        <v/>
      </c>
      <c r="I112" t="str">
        <f ca="1">IF(AND(ISNUMBER($I$567),$B$419=1),$I$567,HLOOKUP(INDIRECT(ADDRESS(2,COLUMN())),OFFSET($BN$2,0,0,ROW()-1,60),ROW()-1,FALSE))</f>
        <v/>
      </c>
      <c r="J112" t="str">
        <f ca="1">IF(AND(ISNUMBER($J$567),$B$419=1),$J$567,HLOOKUP(INDIRECT(ADDRESS(2,COLUMN())),OFFSET($BN$2,0,0,ROW()-1,60),ROW()-1,FALSE))</f>
        <v/>
      </c>
      <c r="K112" t="str">
        <f ca="1">IF(AND(ISNUMBER($K$567),$B$419=1),$K$567,HLOOKUP(INDIRECT(ADDRESS(2,COLUMN())),OFFSET($BN$2,0,0,ROW()-1,60),ROW()-1,FALSE))</f>
        <v/>
      </c>
      <c r="L112" t="str">
        <f ca="1">IF(AND(ISNUMBER($L$567),$B$419=1),$L$567,HLOOKUP(INDIRECT(ADDRESS(2,COLUMN())),OFFSET($BN$2,0,0,ROW()-1,60),ROW()-1,FALSE))</f>
        <v/>
      </c>
      <c r="M112" t="str">
        <f ca="1">IF(AND(ISNUMBER($M$567),$B$419=1),$M$567,HLOOKUP(INDIRECT(ADDRESS(2,COLUMN())),OFFSET($BN$2,0,0,ROW()-1,60),ROW()-1,FALSE))</f>
        <v/>
      </c>
      <c r="N112" t="str">
        <f ca="1">IF(AND(ISNUMBER($N$567),$B$419=1),$N$567,HLOOKUP(INDIRECT(ADDRESS(2,COLUMN())),OFFSET($BN$2,0,0,ROW()-1,60),ROW()-1,FALSE))</f>
        <v/>
      </c>
      <c r="O112" t="str">
        <f ca="1">IF(AND(ISNUMBER($O$567),$B$419=1),$O$567,HLOOKUP(INDIRECT(ADDRESS(2,COLUMN())),OFFSET($BN$2,0,0,ROW()-1,60),ROW()-1,FALSE))</f>
        <v/>
      </c>
      <c r="P112" t="str">
        <f ca="1">IF(AND(ISNUMBER($P$567),$B$419=1),$P$567,HLOOKUP(INDIRECT(ADDRESS(2,COLUMN())),OFFSET($BN$2,0,0,ROW()-1,60),ROW()-1,FALSE))</f>
        <v/>
      </c>
      <c r="Q112" t="str">
        <f ca="1">IF(AND(ISNUMBER($Q$567),$B$419=1),$Q$567,HLOOKUP(INDIRECT(ADDRESS(2,COLUMN())),OFFSET($BN$2,0,0,ROW()-1,60),ROW()-1,FALSE))</f>
        <v/>
      </c>
      <c r="R112" t="str">
        <f ca="1">IF(AND(ISNUMBER($R$567),$B$419=1),$R$567,HLOOKUP(INDIRECT(ADDRESS(2,COLUMN())),OFFSET($BN$2,0,0,ROW()-1,60),ROW()-1,FALSE))</f>
        <v/>
      </c>
      <c r="S112" t="str">
        <f ca="1">IF(AND(ISNUMBER($S$567),$B$419=1),$S$567,HLOOKUP(INDIRECT(ADDRESS(2,COLUMN())),OFFSET($BN$2,0,0,ROW()-1,60),ROW()-1,FALSE))</f>
        <v/>
      </c>
      <c r="T112" t="str">
        <f ca="1">IF(AND(ISNUMBER($T$567),$B$419=1),$T$567,HLOOKUP(INDIRECT(ADDRESS(2,COLUMN())),OFFSET($BN$2,0,0,ROW()-1,60),ROW()-1,FALSE))</f>
        <v/>
      </c>
      <c r="U112" t="str">
        <f ca="1">IF(AND(ISNUMBER($U$567),$B$419=1),$U$567,HLOOKUP(INDIRECT(ADDRESS(2,COLUMN())),OFFSET($BN$2,0,0,ROW()-1,60),ROW()-1,FALSE))</f>
        <v/>
      </c>
      <c r="V112" t="str">
        <f ca="1">IF(AND(ISNUMBER($V$567),$B$419=1),$V$567,HLOOKUP(INDIRECT(ADDRESS(2,COLUMN())),OFFSET($BN$2,0,0,ROW()-1,60),ROW()-1,FALSE))</f>
        <v/>
      </c>
      <c r="W112" t="str">
        <f ca="1">IF(AND(ISNUMBER($W$567),$B$419=1),$W$567,HLOOKUP(INDIRECT(ADDRESS(2,COLUMN())),OFFSET($BN$2,0,0,ROW()-1,60),ROW()-1,FALSE))</f>
        <v/>
      </c>
      <c r="X112" t="str">
        <f ca="1">IF(AND(ISNUMBER($X$567),$B$419=1),$X$567,HLOOKUP(INDIRECT(ADDRESS(2,COLUMN())),OFFSET($BN$2,0,0,ROW()-1,60),ROW()-1,FALSE))</f>
        <v/>
      </c>
      <c r="Y112" t="str">
        <f ca="1">IF(AND(ISNUMBER($Y$567),$B$419=1),$Y$567,HLOOKUP(INDIRECT(ADDRESS(2,COLUMN())),OFFSET($BN$2,0,0,ROW()-1,60),ROW()-1,FALSE))</f>
        <v/>
      </c>
      <c r="Z112" t="str">
        <f ca="1">IF(AND(ISNUMBER($Z$567),$B$419=1),$Z$567,HLOOKUP(INDIRECT(ADDRESS(2,COLUMN())),OFFSET($BN$2,0,0,ROW()-1,60),ROW()-1,FALSE))</f>
        <v/>
      </c>
      <c r="AA112" t="str">
        <f ca="1">IF(AND(ISNUMBER($AA$567),$B$419=1),$AA$567,HLOOKUP(INDIRECT(ADDRESS(2,COLUMN())),OFFSET($BN$2,0,0,ROW()-1,60),ROW()-1,FALSE))</f>
        <v/>
      </c>
      <c r="AB112" t="str">
        <f ca="1">IF(AND(ISNUMBER($AB$567),$B$419=1),$AB$567,HLOOKUP(INDIRECT(ADDRESS(2,COLUMN())),OFFSET($BN$2,0,0,ROW()-1,60),ROW()-1,FALSE))</f>
        <v/>
      </c>
      <c r="AC112" t="str">
        <f ca="1">IF(AND(ISNUMBER($AC$567),$B$419=1),$AC$567,HLOOKUP(INDIRECT(ADDRESS(2,COLUMN())),OFFSET($BN$2,0,0,ROW()-1,60),ROW()-1,FALSE))</f>
        <v/>
      </c>
      <c r="AD112" t="str">
        <f ca="1">IF(AND(ISNUMBER($AD$567),$B$419=1),$AD$567,HLOOKUP(INDIRECT(ADDRESS(2,COLUMN())),OFFSET($BN$2,0,0,ROW()-1,60),ROW()-1,FALSE))</f>
        <v/>
      </c>
      <c r="AE112" t="str">
        <f ca="1">IF(AND(ISNUMBER($AE$567),$B$419=1),$AE$567,HLOOKUP(INDIRECT(ADDRESS(2,COLUMN())),OFFSET($BN$2,0,0,ROW()-1,60),ROW()-1,FALSE))</f>
        <v/>
      </c>
      <c r="AF112" t="str">
        <f ca="1">IF(AND(ISNUMBER($AF$567),$B$419=1),$AF$567,HLOOKUP(INDIRECT(ADDRESS(2,COLUMN())),OFFSET($BN$2,0,0,ROW()-1,60),ROW()-1,FALSE))</f>
        <v/>
      </c>
      <c r="AG112" t="str">
        <f ca="1">IF(AND(ISNUMBER($AG$567),$B$419=1),$AG$567,HLOOKUP(INDIRECT(ADDRESS(2,COLUMN())),OFFSET($BN$2,0,0,ROW()-1,60),ROW()-1,FALSE))</f>
        <v/>
      </c>
      <c r="AH112" t="str">
        <f ca="1">IF(AND(ISNUMBER($AH$567),$B$419=1),$AH$567,HLOOKUP(INDIRECT(ADDRESS(2,COLUMN())),OFFSET($BN$2,0,0,ROW()-1,60),ROW()-1,FALSE))</f>
        <v/>
      </c>
      <c r="AI112" t="str">
        <f ca="1">IF(AND(ISNUMBER($AI$567),$B$419=1),$AI$567,HLOOKUP(INDIRECT(ADDRESS(2,COLUMN())),OFFSET($BN$2,0,0,ROW()-1,60),ROW()-1,FALSE))</f>
        <v/>
      </c>
      <c r="AJ112" t="str">
        <f ca="1">IF(AND(ISNUMBER($AJ$567),$B$419=1),$AJ$567,HLOOKUP(INDIRECT(ADDRESS(2,COLUMN())),OFFSET($BN$2,0,0,ROW()-1,60),ROW()-1,FALSE))</f>
        <v/>
      </c>
      <c r="AK112" t="str">
        <f ca="1">IF(AND(ISNUMBER($AK$567),$B$419=1),$AK$567,HLOOKUP(INDIRECT(ADDRESS(2,COLUMN())),OFFSET($BN$2,0,0,ROW()-1,60),ROW()-1,FALSE))</f>
        <v/>
      </c>
      <c r="AL112" t="str">
        <f ca="1">IF(AND(ISNUMBER($AL$567),$B$419=1),$AL$567,HLOOKUP(INDIRECT(ADDRESS(2,COLUMN())),OFFSET($BN$2,0,0,ROW()-1,60),ROW()-1,FALSE))</f>
        <v/>
      </c>
      <c r="AM112" t="str">
        <f ca="1">IF(AND(ISNUMBER($AM$567),$B$419=1),$AM$567,HLOOKUP(INDIRECT(ADDRESS(2,COLUMN())),OFFSET($BN$2,0,0,ROW()-1,60),ROW()-1,FALSE))</f>
        <v/>
      </c>
      <c r="AN112" t="str">
        <f ca="1">IF(AND(ISNUMBER($AN$567),$B$419=1),$AN$567,HLOOKUP(INDIRECT(ADDRESS(2,COLUMN())),OFFSET($BN$2,0,0,ROW()-1,60),ROW()-1,FALSE))</f>
        <v/>
      </c>
      <c r="AO112" t="str">
        <f ca="1">IF(AND(ISNUMBER($AO$567),$B$419=1),$AO$567,HLOOKUP(INDIRECT(ADDRESS(2,COLUMN())),OFFSET($BN$2,0,0,ROW()-1,60),ROW()-1,FALSE))</f>
        <v/>
      </c>
      <c r="AP112" t="str">
        <f ca="1">IF(AND(ISNUMBER($AP$567),$B$419=1),$AP$567,HLOOKUP(INDIRECT(ADDRESS(2,COLUMN())),OFFSET($BN$2,0,0,ROW()-1,60),ROW()-1,FALSE))</f>
        <v/>
      </c>
      <c r="AQ112" t="str">
        <f ca="1">IF(AND(ISNUMBER($AQ$567),$B$419=1),$AQ$567,HLOOKUP(INDIRECT(ADDRESS(2,COLUMN())),OFFSET($BN$2,0,0,ROW()-1,60),ROW()-1,FALSE))</f>
        <v/>
      </c>
      <c r="AR112" t="str">
        <f ca="1">IF(AND(ISNUMBER($AR$567),$B$419=1),$AR$567,HLOOKUP(INDIRECT(ADDRESS(2,COLUMN())),OFFSET($BN$2,0,0,ROW()-1,60),ROW()-1,FALSE))</f>
        <v/>
      </c>
      <c r="AS112" t="str">
        <f ca="1">IF(AND(ISNUMBER($AS$567),$B$419=1),$AS$567,HLOOKUP(INDIRECT(ADDRESS(2,COLUMN())),OFFSET($BN$2,0,0,ROW()-1,60),ROW()-1,FALSE))</f>
        <v/>
      </c>
      <c r="AT112" t="str">
        <f ca="1">IF(AND(ISNUMBER($AT$567),$B$419=1),$AT$567,HLOOKUP(INDIRECT(ADDRESS(2,COLUMN())),OFFSET($BN$2,0,0,ROW()-1,60),ROW()-1,FALSE))</f>
        <v/>
      </c>
      <c r="AU112" t="str">
        <f ca="1">IF(AND(ISNUMBER($AU$567),$B$419=1),$AU$567,HLOOKUP(INDIRECT(ADDRESS(2,COLUMN())),OFFSET($BN$2,0,0,ROW()-1,60),ROW()-1,FALSE))</f>
        <v/>
      </c>
      <c r="AV112" t="str">
        <f ca="1">IF(AND(ISNUMBER($AV$567),$B$419=1),$AV$567,HLOOKUP(INDIRECT(ADDRESS(2,COLUMN())),OFFSET($BN$2,0,0,ROW()-1,60),ROW()-1,FALSE))</f>
        <v/>
      </c>
      <c r="AW112" t="str">
        <f ca="1">IF(AND(ISNUMBER($AW$567),$B$419=1),$AW$567,HLOOKUP(INDIRECT(ADDRESS(2,COLUMN())),OFFSET($BN$2,0,0,ROW()-1,60),ROW()-1,FALSE))</f>
        <v/>
      </c>
      <c r="AX112" t="str">
        <f ca="1">IF(AND(ISNUMBER($AX$567),$B$419=1),$AX$567,HLOOKUP(INDIRECT(ADDRESS(2,COLUMN())),OFFSET($BN$2,0,0,ROW()-1,60),ROW()-1,FALSE))</f>
        <v/>
      </c>
      <c r="AY112" t="str">
        <f ca="1">IF(AND(ISNUMBER($AY$567),$B$419=1),$AY$567,HLOOKUP(INDIRECT(ADDRESS(2,COLUMN())),OFFSET($BN$2,0,0,ROW()-1,60),ROW()-1,FALSE))</f>
        <v/>
      </c>
      <c r="AZ112" t="str">
        <f ca="1">IF(AND(ISNUMBER($AZ$567),$B$419=1),$AZ$567,HLOOKUP(INDIRECT(ADDRESS(2,COLUMN())),OFFSET($BN$2,0,0,ROW()-1,60),ROW()-1,FALSE))</f>
        <v/>
      </c>
      <c r="BA112" t="str">
        <f ca="1">IF(AND(ISNUMBER($BA$567),$B$419=1),$BA$567,HLOOKUP(INDIRECT(ADDRESS(2,COLUMN())),OFFSET($BN$2,0,0,ROW()-1,60),ROW()-1,FALSE))</f>
        <v/>
      </c>
      <c r="BB112" t="str">
        <f ca="1">IF(AND(ISNUMBER($BB$567),$B$419=1),$BB$567,HLOOKUP(INDIRECT(ADDRESS(2,COLUMN())),OFFSET($BN$2,0,0,ROW()-1,60),ROW()-1,FALSE))</f>
        <v/>
      </c>
      <c r="BC112" t="str">
        <f ca="1">IF(AND(ISNUMBER($BC$567),$B$419=1),$BC$567,HLOOKUP(INDIRECT(ADDRESS(2,COLUMN())),OFFSET($BN$2,0,0,ROW()-1,60),ROW()-1,FALSE))</f>
        <v/>
      </c>
      <c r="BD112" t="str">
        <f ca="1">IF(AND(ISNUMBER($BD$567),$B$419=1),$BD$567,HLOOKUP(INDIRECT(ADDRESS(2,COLUMN())),OFFSET($BN$2,0,0,ROW()-1,60),ROW()-1,FALSE))</f>
        <v/>
      </c>
      <c r="BE112" t="str">
        <f ca="1">IF(AND(ISNUMBER($BE$567),$B$419=1),$BE$567,HLOOKUP(INDIRECT(ADDRESS(2,COLUMN())),OFFSET($BN$2,0,0,ROW()-1,60),ROW()-1,FALSE))</f>
        <v/>
      </c>
      <c r="BF112" t="str">
        <f ca="1">IF(AND(ISNUMBER($BF$567),$B$419=1),$BF$567,HLOOKUP(INDIRECT(ADDRESS(2,COLUMN())),OFFSET($BN$2,0,0,ROW()-1,60),ROW()-1,FALSE))</f>
        <v/>
      </c>
      <c r="BG112" t="str">
        <f ca="1">IF(AND(ISNUMBER($BG$567),$B$419=1),$BG$567,HLOOKUP(INDIRECT(ADDRESS(2,COLUMN())),OFFSET($BN$2,0,0,ROW()-1,60),ROW()-1,FALSE))</f>
        <v/>
      </c>
      <c r="BH112" t="str">
        <f ca="1">IF(AND(ISNUMBER($BH$567),$B$419=1),$BH$567,HLOOKUP(INDIRECT(ADDRESS(2,COLUMN())),OFFSET($BN$2,0,0,ROW()-1,60),ROW()-1,FALSE))</f>
        <v/>
      </c>
      <c r="BI112" t="str">
        <f ca="1">IF(AND(ISNUMBER($BI$567),$B$419=1),$BI$567,HLOOKUP(INDIRECT(ADDRESS(2,COLUMN())),OFFSET($BN$2,0,0,ROW()-1,60),ROW()-1,FALSE))</f>
        <v/>
      </c>
      <c r="BJ112" t="str">
        <f ca="1">IF(AND(ISNUMBER($BJ$567),$B$419=1),$BJ$567,HLOOKUP(INDIRECT(ADDRESS(2,COLUMN())),OFFSET($BN$2,0,0,ROW()-1,60),ROW()-1,FALSE))</f>
        <v/>
      </c>
      <c r="BK112" t="str">
        <f ca="1">IF(AND(ISNUMBER($BK$567),$B$419=1),$BK$567,HLOOKUP(INDIRECT(ADDRESS(2,COLUMN())),OFFSET($BN$2,0,0,ROW()-1,60),ROW()-1,FALSE))</f>
        <v/>
      </c>
      <c r="BL112" t="str">
        <f ca="1">IF(AND(ISNUMBER($BL$567),$B$419=1),$BL$567,HLOOKUP(INDIRECT(ADDRESS(2,COLUMN())),OFFSET($BN$2,0,0,ROW()-1,60),ROW()-1,FALSE))</f>
        <v/>
      </c>
      <c r="BM112" t="str">
        <f ca="1">IF(AND(ISNUMBER($BM$567),$B$419=1),$BM$567,HLOOKUP(INDIRECT(ADDRESS(2,COLUMN())),OFFSET($BN$2,0,0,ROW()-1,60),ROW()-1,FALSE))</f>
        <v/>
      </c>
      <c r="BN112" t="str">
        <f>""</f>
        <v/>
      </c>
      <c r="BO112" t="str">
        <f>""</f>
        <v/>
      </c>
      <c r="BP112" t="str">
        <f>""</f>
        <v/>
      </c>
      <c r="BQ112" t="str">
        <f>""</f>
        <v/>
      </c>
      <c r="BR112" t="str">
        <f>""</f>
        <v/>
      </c>
      <c r="BS112" t="str">
        <f>""</f>
        <v/>
      </c>
      <c r="BT112" t="str">
        <f>""</f>
        <v/>
      </c>
      <c r="BU112" t="str">
        <f>""</f>
        <v/>
      </c>
      <c r="BV112" t="str">
        <f>""</f>
        <v/>
      </c>
      <c r="BW112" t="str">
        <f>""</f>
        <v/>
      </c>
      <c r="BX112" t="str">
        <f>""</f>
        <v/>
      </c>
      <c r="BY112" t="str">
        <f>""</f>
        <v/>
      </c>
      <c r="BZ112" t="str">
        <f>""</f>
        <v/>
      </c>
      <c r="CA112" t="str">
        <f>""</f>
        <v/>
      </c>
      <c r="CB112" t="str">
        <f>""</f>
        <v/>
      </c>
      <c r="CC112" t="str">
        <f>""</f>
        <v/>
      </c>
      <c r="CD112" t="str">
        <f>""</f>
        <v/>
      </c>
      <c r="CE112" t="str">
        <f>""</f>
        <v/>
      </c>
      <c r="CF112" t="str">
        <f>""</f>
        <v/>
      </c>
      <c r="CG112" t="str">
        <f>""</f>
        <v/>
      </c>
      <c r="CH112" t="str">
        <f>""</f>
        <v/>
      </c>
      <c r="CI112" t="str">
        <f>""</f>
        <v/>
      </c>
      <c r="CJ112" t="str">
        <f>""</f>
        <v/>
      </c>
      <c r="CK112" t="str">
        <f>""</f>
        <v/>
      </c>
      <c r="CL112" t="str">
        <f>""</f>
        <v/>
      </c>
      <c r="CM112" t="str">
        <f>""</f>
        <v/>
      </c>
      <c r="CN112" t="str">
        <f>""</f>
        <v/>
      </c>
      <c r="CO112" t="str">
        <f>""</f>
        <v/>
      </c>
      <c r="CP112" t="str">
        <f>""</f>
        <v/>
      </c>
      <c r="CQ112" t="str">
        <f>""</f>
        <v/>
      </c>
      <c r="CR112" t="str">
        <f>""</f>
        <v/>
      </c>
      <c r="CS112" t="str">
        <f>""</f>
        <v/>
      </c>
      <c r="CT112" t="str">
        <f>""</f>
        <v/>
      </c>
      <c r="CU112" t="str">
        <f>""</f>
        <v/>
      </c>
      <c r="CV112" t="str">
        <f>""</f>
        <v/>
      </c>
      <c r="CW112" t="str">
        <f>""</f>
        <v/>
      </c>
      <c r="CX112" t="str">
        <f>""</f>
        <v/>
      </c>
      <c r="CY112" t="str">
        <f>""</f>
        <v/>
      </c>
      <c r="CZ112" t="str">
        <f>""</f>
        <v/>
      </c>
      <c r="DA112" t="str">
        <f>""</f>
        <v/>
      </c>
      <c r="DB112" t="str">
        <f>""</f>
        <v/>
      </c>
      <c r="DC112" t="str">
        <f>""</f>
        <v/>
      </c>
      <c r="DD112" t="str">
        <f>""</f>
        <v/>
      </c>
      <c r="DE112" t="str">
        <f>""</f>
        <v/>
      </c>
      <c r="DF112" t="str">
        <f>""</f>
        <v/>
      </c>
      <c r="DG112" t="str">
        <f>""</f>
        <v/>
      </c>
      <c r="DH112" t="str">
        <f>""</f>
        <v/>
      </c>
      <c r="DI112" t="str">
        <f>""</f>
        <v/>
      </c>
      <c r="DJ112" t="str">
        <f>""</f>
        <v/>
      </c>
      <c r="DK112" t="str">
        <f>""</f>
        <v/>
      </c>
      <c r="DL112" t="str">
        <f>""</f>
        <v/>
      </c>
      <c r="DM112" t="str">
        <f>""</f>
        <v/>
      </c>
      <c r="DN112" t="str">
        <f>""</f>
        <v/>
      </c>
      <c r="DO112" t="str">
        <f>""</f>
        <v/>
      </c>
      <c r="DP112" t="str">
        <f>""</f>
        <v/>
      </c>
      <c r="DQ112" t="str">
        <f>""</f>
        <v/>
      </c>
      <c r="DR112" t="str">
        <f>""</f>
        <v/>
      </c>
      <c r="DS112" t="str">
        <f>""</f>
        <v/>
      </c>
      <c r="DT112" t="str">
        <f>""</f>
        <v/>
      </c>
      <c r="DU112" t="str">
        <f>""</f>
        <v/>
      </c>
    </row>
    <row r="113" spans="1:125">
      <c r="A113" t="str">
        <f>"    VEREIT Inc"</f>
        <v xml:space="preserve">    VEREIT Inc</v>
      </c>
      <c r="B113" t="str">
        <f>"VER US Equity"</f>
        <v>VER US Equity</v>
      </c>
      <c r="C113" t="str">
        <f t="shared" si="18"/>
        <v>IS972</v>
      </c>
      <c r="D113" t="str">
        <f t="shared" si="19"/>
        <v>IS_ADJUSTED_EBITDA_AS_REPORTED</v>
      </c>
      <c r="E113" t="str">
        <f t="shared" si="20"/>
        <v>动态</v>
      </c>
      <c r="F113" t="str">
        <f ca="1">IF(AND(ISNUMBER($F$568),$B$419=1),$F$568,HLOOKUP(INDIRECT(ADDRESS(2,COLUMN())),OFFSET($BN$2,0,0,ROW()-1,60),ROW()-1,FALSE))</f>
        <v/>
      </c>
      <c r="G113">
        <f ca="1">IF(AND(ISNUMBER($G$568),$B$419=1),$G$568,HLOOKUP(INDIRECT(ADDRESS(2,COLUMN())),OFFSET($BN$2,0,0,ROW()-1,60),ROW()-1,FALSE))</f>
        <v>267.70999999999998</v>
      </c>
      <c r="H113">
        <f ca="1">IF(AND(ISNUMBER($H$568),$B$419=1),$H$568,HLOOKUP(INDIRECT(ADDRESS(2,COLUMN())),OFFSET($BN$2,0,0,ROW()-1,60),ROW()-1,FALSE))</f>
        <v>267.11900000000003</v>
      </c>
      <c r="I113">
        <f ca="1">IF(AND(ISNUMBER($I$568),$B$419=1),$I$568,HLOOKUP(INDIRECT(ADDRESS(2,COLUMN())),OFFSET($BN$2,0,0,ROW()-1,60),ROW()-1,FALSE))</f>
        <v>268.02499999999998</v>
      </c>
      <c r="J113">
        <f ca="1">IF(AND(ISNUMBER($J$568),$B$419=1),$J$568,HLOOKUP(INDIRECT(ADDRESS(2,COLUMN())),OFFSET($BN$2,0,0,ROW()-1,60),ROW()-1,FALSE))</f>
        <v>273.34500000000003</v>
      </c>
      <c r="K113">
        <f ca="1">IF(AND(ISNUMBER($K$568),$B$419=1),$K$568,HLOOKUP(INDIRECT(ADDRESS(2,COLUMN())),OFFSET($BN$2,0,0,ROW()-1,60),ROW()-1,FALSE))</f>
        <v>271.36799999999999</v>
      </c>
      <c r="L113">
        <f ca="1">IF(AND(ISNUMBER($L$568),$B$419=1),$L$568,HLOOKUP(INDIRECT(ADDRESS(2,COLUMN())),OFFSET($BN$2,0,0,ROW()-1,60),ROW()-1,FALSE))</f>
        <v>277.59300000000002</v>
      </c>
      <c r="M113">
        <f ca="1">IF(AND(ISNUMBER($M$568),$B$419=1),$M$568,HLOOKUP(INDIRECT(ADDRESS(2,COLUMN())),OFFSET($BN$2,0,0,ROW()-1,60),ROW()-1,FALSE))</f>
        <v>283.06</v>
      </c>
      <c r="N113">
        <f ca="1">IF(AND(ISNUMBER($N$568),$B$419=1),$N$568,HLOOKUP(INDIRECT(ADDRESS(2,COLUMN())),OFFSET($BN$2,0,0,ROW()-1,60),ROW()-1,FALSE))</f>
        <v>26.6</v>
      </c>
      <c r="O113">
        <f ca="1">IF(AND(ISNUMBER($O$568),$B$419=1),$O$568,HLOOKUP(INDIRECT(ADDRESS(2,COLUMN())),OFFSET($BN$2,0,0,ROW()-1,60),ROW()-1,FALSE))</f>
        <v>286.67399999999998</v>
      </c>
      <c r="P113">
        <f ca="1">IF(AND(ISNUMBER($P$568),$B$419=1),$P$568,HLOOKUP(INDIRECT(ADDRESS(2,COLUMN())),OFFSET($BN$2,0,0,ROW()-1,60),ROW()-1,FALSE))</f>
        <v>294.74299999999999</v>
      </c>
      <c r="Q113">
        <f ca="1">IF(AND(ISNUMBER($Q$568),$B$419=1),$Q$568,HLOOKUP(INDIRECT(ADDRESS(2,COLUMN())),OFFSET($BN$2,0,0,ROW()-1,60),ROW()-1,FALSE))</f>
        <v>309.30599999999998</v>
      </c>
      <c r="R113">
        <f ca="1">IF(AND(ISNUMBER($R$568),$B$419=1),$R$568,HLOOKUP(INDIRECT(ADDRESS(2,COLUMN())),OFFSET($BN$2,0,0,ROW()-1,60),ROW()-1,FALSE))</f>
        <v>315.2</v>
      </c>
      <c r="S113">
        <f ca="1">IF(AND(ISNUMBER($S$568),$B$419=1),$S$568,HLOOKUP(INDIRECT(ADDRESS(2,COLUMN())),OFFSET($BN$2,0,0,ROW()-1,60),ROW()-1,FALSE))</f>
        <v>336.75200000000001</v>
      </c>
      <c r="T113">
        <f ca="1">IF(AND(ISNUMBER($T$568),$B$419=1),$T$568,HLOOKUP(INDIRECT(ADDRESS(2,COLUMN())),OFFSET($BN$2,0,0,ROW()-1,60),ROW()-1,FALSE))</f>
        <v>358.30099999999999</v>
      </c>
      <c r="U113">
        <f ca="1">IF(AND(ISNUMBER($U$568),$B$419=1),$U$568,HLOOKUP(INDIRECT(ADDRESS(2,COLUMN())),OFFSET($BN$2,0,0,ROW()-1,60),ROW()-1,FALSE))</f>
        <v>291.66399999999999</v>
      </c>
      <c r="V113" t="str">
        <f ca="1">IF(AND(ISNUMBER($V$568),$B$419=1),$V$568,HLOOKUP(INDIRECT(ADDRESS(2,COLUMN())),OFFSET($BN$2,0,0,ROW()-1,60),ROW()-1,FALSE))</f>
        <v/>
      </c>
      <c r="W113">
        <f ca="1">IF(AND(ISNUMBER($W$568),$B$419=1),$W$568,HLOOKUP(INDIRECT(ADDRESS(2,COLUMN())),OFFSET($BN$2,0,0,ROW()-1,60),ROW()-1,FALSE))</f>
        <v>125.248</v>
      </c>
      <c r="X113">
        <f ca="1">IF(AND(ISNUMBER($X$568),$B$419=1),$X$568,HLOOKUP(INDIRECT(ADDRESS(2,COLUMN())),OFFSET($BN$2,0,0,ROW()-1,60),ROW()-1,FALSE))</f>
        <v>44.41</v>
      </c>
      <c r="Y113" t="str">
        <f ca="1">IF(AND(ISNUMBER($Y$568),$B$419=1),$Y$568,HLOOKUP(INDIRECT(ADDRESS(2,COLUMN())),OFFSET($BN$2,0,0,ROW()-1,60),ROW()-1,FALSE))</f>
        <v/>
      </c>
      <c r="Z113" t="str">
        <f ca="1">IF(AND(ISNUMBER($Z$568),$B$419=1),$Z$568,HLOOKUP(INDIRECT(ADDRESS(2,COLUMN())),OFFSET($BN$2,0,0,ROW()-1,60),ROW()-1,FALSE))</f>
        <v/>
      </c>
      <c r="AA113" t="str">
        <f ca="1">IF(AND(ISNUMBER($AA$568),$B$419=1),$AA$568,HLOOKUP(INDIRECT(ADDRESS(2,COLUMN())),OFFSET($BN$2,0,0,ROW()-1,60),ROW()-1,FALSE))</f>
        <v/>
      </c>
      <c r="AB113" t="str">
        <f ca="1">IF(AND(ISNUMBER($AB$568),$B$419=1),$AB$568,HLOOKUP(INDIRECT(ADDRESS(2,COLUMN())),OFFSET($BN$2,0,0,ROW()-1,60),ROW()-1,FALSE))</f>
        <v/>
      </c>
      <c r="AC113" t="str">
        <f ca="1">IF(AND(ISNUMBER($AC$568),$B$419=1),$AC$568,HLOOKUP(INDIRECT(ADDRESS(2,COLUMN())),OFFSET($BN$2,0,0,ROW()-1,60),ROW()-1,FALSE))</f>
        <v/>
      </c>
      <c r="AD113" t="str">
        <f ca="1">IF(AND(ISNUMBER($AD$568),$B$419=1),$AD$568,HLOOKUP(INDIRECT(ADDRESS(2,COLUMN())),OFFSET($BN$2,0,0,ROW()-1,60),ROW()-1,FALSE))</f>
        <v/>
      </c>
      <c r="AE113" t="str">
        <f ca="1">IF(AND(ISNUMBER($AE$568),$B$419=1),$AE$568,HLOOKUP(INDIRECT(ADDRESS(2,COLUMN())),OFFSET($BN$2,0,0,ROW()-1,60),ROW()-1,FALSE))</f>
        <v/>
      </c>
      <c r="AF113" t="str">
        <f ca="1">IF(AND(ISNUMBER($AF$568),$B$419=1),$AF$568,HLOOKUP(INDIRECT(ADDRESS(2,COLUMN())),OFFSET($BN$2,0,0,ROW()-1,60),ROW()-1,FALSE))</f>
        <v/>
      </c>
      <c r="AG113" t="str">
        <f ca="1">IF(AND(ISNUMBER($AG$568),$B$419=1),$AG$568,HLOOKUP(INDIRECT(ADDRESS(2,COLUMN())),OFFSET($BN$2,0,0,ROW()-1,60),ROW()-1,FALSE))</f>
        <v/>
      </c>
      <c r="AH113" t="str">
        <f ca="1">IF(AND(ISNUMBER($AH$568),$B$419=1),$AH$568,HLOOKUP(INDIRECT(ADDRESS(2,COLUMN())),OFFSET($BN$2,0,0,ROW()-1,60),ROW()-1,FALSE))</f>
        <v/>
      </c>
      <c r="AI113" t="str">
        <f ca="1">IF(AND(ISNUMBER($AI$568),$B$419=1),$AI$568,HLOOKUP(INDIRECT(ADDRESS(2,COLUMN())),OFFSET($BN$2,0,0,ROW()-1,60),ROW()-1,FALSE))</f>
        <v/>
      </c>
      <c r="AJ113" t="str">
        <f ca="1">IF(AND(ISNUMBER($AJ$568),$B$419=1),$AJ$568,HLOOKUP(INDIRECT(ADDRESS(2,COLUMN())),OFFSET($BN$2,0,0,ROW()-1,60),ROW()-1,FALSE))</f>
        <v/>
      </c>
      <c r="AK113" t="str">
        <f ca="1">IF(AND(ISNUMBER($AK$568),$B$419=1),$AK$568,HLOOKUP(INDIRECT(ADDRESS(2,COLUMN())),OFFSET($BN$2,0,0,ROW()-1,60),ROW()-1,FALSE))</f>
        <v/>
      </c>
      <c r="AL113" t="str">
        <f ca="1">IF(AND(ISNUMBER($AL$568),$B$419=1),$AL$568,HLOOKUP(INDIRECT(ADDRESS(2,COLUMN())),OFFSET($BN$2,0,0,ROW()-1,60),ROW()-1,FALSE))</f>
        <v/>
      </c>
      <c r="AM113" t="str">
        <f ca="1">IF(AND(ISNUMBER($AM$568),$B$419=1),$AM$568,HLOOKUP(INDIRECT(ADDRESS(2,COLUMN())),OFFSET($BN$2,0,0,ROW()-1,60),ROW()-1,FALSE))</f>
        <v/>
      </c>
      <c r="AN113" t="str">
        <f ca="1">IF(AND(ISNUMBER($AN$568),$B$419=1),$AN$568,HLOOKUP(INDIRECT(ADDRESS(2,COLUMN())),OFFSET($BN$2,0,0,ROW()-1,60),ROW()-1,FALSE))</f>
        <v/>
      </c>
      <c r="AO113" t="str">
        <f ca="1">IF(AND(ISNUMBER($AO$568),$B$419=1),$AO$568,HLOOKUP(INDIRECT(ADDRESS(2,COLUMN())),OFFSET($BN$2,0,0,ROW()-1,60),ROW()-1,FALSE))</f>
        <v/>
      </c>
      <c r="AP113" t="str">
        <f ca="1">IF(AND(ISNUMBER($AP$568),$B$419=1),$AP$568,HLOOKUP(INDIRECT(ADDRESS(2,COLUMN())),OFFSET($BN$2,0,0,ROW()-1,60),ROW()-1,FALSE))</f>
        <v/>
      </c>
      <c r="AQ113" t="str">
        <f ca="1">IF(AND(ISNUMBER($AQ$568),$B$419=1),$AQ$568,HLOOKUP(INDIRECT(ADDRESS(2,COLUMN())),OFFSET($BN$2,0,0,ROW()-1,60),ROW()-1,FALSE))</f>
        <v/>
      </c>
      <c r="AR113" t="str">
        <f ca="1">IF(AND(ISNUMBER($AR$568),$B$419=1),$AR$568,HLOOKUP(INDIRECT(ADDRESS(2,COLUMN())),OFFSET($BN$2,0,0,ROW()-1,60),ROW()-1,FALSE))</f>
        <v/>
      </c>
      <c r="AS113" t="str">
        <f ca="1">IF(AND(ISNUMBER($AS$568),$B$419=1),$AS$568,HLOOKUP(INDIRECT(ADDRESS(2,COLUMN())),OFFSET($BN$2,0,0,ROW()-1,60),ROW()-1,FALSE))</f>
        <v/>
      </c>
      <c r="AT113" t="str">
        <f ca="1">IF(AND(ISNUMBER($AT$568),$B$419=1),$AT$568,HLOOKUP(INDIRECT(ADDRESS(2,COLUMN())),OFFSET($BN$2,0,0,ROW()-1,60),ROW()-1,FALSE))</f>
        <v/>
      </c>
      <c r="AU113" t="str">
        <f ca="1">IF(AND(ISNUMBER($AU$568),$B$419=1),$AU$568,HLOOKUP(INDIRECT(ADDRESS(2,COLUMN())),OFFSET($BN$2,0,0,ROW()-1,60),ROW()-1,FALSE))</f>
        <v/>
      </c>
      <c r="AV113" t="str">
        <f ca="1">IF(AND(ISNUMBER($AV$568),$B$419=1),$AV$568,HLOOKUP(INDIRECT(ADDRESS(2,COLUMN())),OFFSET($BN$2,0,0,ROW()-1,60),ROW()-1,FALSE))</f>
        <v/>
      </c>
      <c r="AW113" t="str">
        <f ca="1">IF(AND(ISNUMBER($AW$568),$B$419=1),$AW$568,HLOOKUP(INDIRECT(ADDRESS(2,COLUMN())),OFFSET($BN$2,0,0,ROW()-1,60),ROW()-1,FALSE))</f>
        <v/>
      </c>
      <c r="AX113" t="str">
        <f ca="1">IF(AND(ISNUMBER($AX$568),$B$419=1),$AX$568,HLOOKUP(INDIRECT(ADDRESS(2,COLUMN())),OFFSET($BN$2,0,0,ROW()-1,60),ROW()-1,FALSE))</f>
        <v/>
      </c>
      <c r="AY113" t="str">
        <f ca="1">IF(AND(ISNUMBER($AY$568),$B$419=1),$AY$568,HLOOKUP(INDIRECT(ADDRESS(2,COLUMN())),OFFSET($BN$2,0,0,ROW()-1,60),ROW()-1,FALSE))</f>
        <v/>
      </c>
      <c r="AZ113" t="str">
        <f ca="1">IF(AND(ISNUMBER($AZ$568),$B$419=1),$AZ$568,HLOOKUP(INDIRECT(ADDRESS(2,COLUMN())),OFFSET($BN$2,0,0,ROW()-1,60),ROW()-1,FALSE))</f>
        <v/>
      </c>
      <c r="BA113" t="str">
        <f ca="1">IF(AND(ISNUMBER($BA$568),$B$419=1),$BA$568,HLOOKUP(INDIRECT(ADDRESS(2,COLUMN())),OFFSET($BN$2,0,0,ROW()-1,60),ROW()-1,FALSE))</f>
        <v/>
      </c>
      <c r="BB113" t="str">
        <f ca="1">IF(AND(ISNUMBER($BB$568),$B$419=1),$BB$568,HLOOKUP(INDIRECT(ADDRESS(2,COLUMN())),OFFSET($BN$2,0,0,ROW()-1,60),ROW()-1,FALSE))</f>
        <v/>
      </c>
      <c r="BC113" t="str">
        <f ca="1">IF(AND(ISNUMBER($BC$568),$B$419=1),$BC$568,HLOOKUP(INDIRECT(ADDRESS(2,COLUMN())),OFFSET($BN$2,0,0,ROW()-1,60),ROW()-1,FALSE))</f>
        <v/>
      </c>
      <c r="BD113" t="str">
        <f ca="1">IF(AND(ISNUMBER($BD$568),$B$419=1),$BD$568,HLOOKUP(INDIRECT(ADDRESS(2,COLUMN())),OFFSET($BN$2,0,0,ROW()-1,60),ROW()-1,FALSE))</f>
        <v/>
      </c>
      <c r="BE113" t="str">
        <f ca="1">IF(AND(ISNUMBER($BE$568),$B$419=1),$BE$568,HLOOKUP(INDIRECT(ADDRESS(2,COLUMN())),OFFSET($BN$2,0,0,ROW()-1,60),ROW()-1,FALSE))</f>
        <v/>
      </c>
      <c r="BF113" t="str">
        <f ca="1">IF(AND(ISNUMBER($BF$568),$B$419=1),$BF$568,HLOOKUP(INDIRECT(ADDRESS(2,COLUMN())),OFFSET($BN$2,0,0,ROW()-1,60),ROW()-1,FALSE))</f>
        <v/>
      </c>
      <c r="BG113" t="str">
        <f ca="1">IF(AND(ISNUMBER($BG$568),$B$419=1),$BG$568,HLOOKUP(INDIRECT(ADDRESS(2,COLUMN())),OFFSET($BN$2,0,0,ROW()-1,60),ROW()-1,FALSE))</f>
        <v/>
      </c>
      <c r="BH113" t="str">
        <f ca="1">IF(AND(ISNUMBER($BH$568),$B$419=1),$BH$568,HLOOKUP(INDIRECT(ADDRESS(2,COLUMN())),OFFSET($BN$2,0,0,ROW()-1,60),ROW()-1,FALSE))</f>
        <v/>
      </c>
      <c r="BI113" t="str">
        <f ca="1">IF(AND(ISNUMBER($BI$568),$B$419=1),$BI$568,HLOOKUP(INDIRECT(ADDRESS(2,COLUMN())),OFFSET($BN$2,0,0,ROW()-1,60),ROW()-1,FALSE))</f>
        <v/>
      </c>
      <c r="BJ113" t="str">
        <f ca="1">IF(AND(ISNUMBER($BJ$568),$B$419=1),$BJ$568,HLOOKUP(INDIRECT(ADDRESS(2,COLUMN())),OFFSET($BN$2,0,0,ROW()-1,60),ROW()-1,FALSE))</f>
        <v/>
      </c>
      <c r="BK113" t="str">
        <f ca="1">IF(AND(ISNUMBER($BK$568),$B$419=1),$BK$568,HLOOKUP(INDIRECT(ADDRESS(2,COLUMN())),OFFSET($BN$2,0,0,ROW()-1,60),ROW()-1,FALSE))</f>
        <v/>
      </c>
      <c r="BL113" t="str">
        <f ca="1">IF(AND(ISNUMBER($BL$568),$B$419=1),$BL$568,HLOOKUP(INDIRECT(ADDRESS(2,COLUMN())),OFFSET($BN$2,0,0,ROW()-1,60),ROW()-1,FALSE))</f>
        <v/>
      </c>
      <c r="BM113" t="str">
        <f ca="1">IF(AND(ISNUMBER($BM$568),$B$419=1),$BM$568,HLOOKUP(INDIRECT(ADDRESS(2,COLUMN())),OFFSET($BN$2,0,0,ROW()-1,60),ROW()-1,FALSE))</f>
        <v/>
      </c>
      <c r="BN113" t="str">
        <f>""</f>
        <v/>
      </c>
      <c r="BO113">
        <f>267.71</f>
        <v>267.70999999999998</v>
      </c>
      <c r="BP113">
        <f>267.119</f>
        <v>267.11900000000003</v>
      </c>
      <c r="BQ113">
        <f>268.025</f>
        <v>268.02499999999998</v>
      </c>
      <c r="BR113">
        <f>273.345</f>
        <v>273.34500000000003</v>
      </c>
      <c r="BS113">
        <f>271.368</f>
        <v>271.36799999999999</v>
      </c>
      <c r="BT113">
        <f>277.593</f>
        <v>277.59300000000002</v>
      </c>
      <c r="BU113">
        <f>283.06</f>
        <v>283.06</v>
      </c>
      <c r="BV113">
        <f>26.6</f>
        <v>26.6</v>
      </c>
      <c r="BW113">
        <f>286.674</f>
        <v>286.67399999999998</v>
      </c>
      <c r="BX113">
        <f>294.743</f>
        <v>294.74299999999999</v>
      </c>
      <c r="BY113">
        <f>309.306</f>
        <v>309.30599999999998</v>
      </c>
      <c r="BZ113">
        <f>315.2</f>
        <v>315.2</v>
      </c>
      <c r="CA113">
        <f>336.752</f>
        <v>336.75200000000001</v>
      </c>
      <c r="CB113">
        <f>358.301</f>
        <v>358.30099999999999</v>
      </c>
      <c r="CC113">
        <f>291.664</f>
        <v>291.66399999999999</v>
      </c>
      <c r="CD113" t="str">
        <f>""</f>
        <v/>
      </c>
      <c r="CE113">
        <f>125.248</f>
        <v>125.248</v>
      </c>
      <c r="CF113">
        <f>44.41</f>
        <v>44.41</v>
      </c>
      <c r="CG113" t="str">
        <f>""</f>
        <v/>
      </c>
      <c r="CH113" t="str">
        <f>""</f>
        <v/>
      </c>
      <c r="CI113" t="str">
        <f>""</f>
        <v/>
      </c>
      <c r="CJ113" t="str">
        <f>""</f>
        <v/>
      </c>
      <c r="CK113" t="str">
        <f>""</f>
        <v/>
      </c>
      <c r="CL113" t="str">
        <f>""</f>
        <v/>
      </c>
      <c r="CM113" t="str">
        <f>""</f>
        <v/>
      </c>
      <c r="CN113" t="str">
        <f>""</f>
        <v/>
      </c>
      <c r="CO113" t="str">
        <f>""</f>
        <v/>
      </c>
      <c r="CP113" t="str">
        <f>""</f>
        <v/>
      </c>
      <c r="CQ113" t="str">
        <f>""</f>
        <v/>
      </c>
      <c r="CR113" t="str">
        <f>""</f>
        <v/>
      </c>
      <c r="CS113" t="str">
        <f>""</f>
        <v/>
      </c>
      <c r="CT113" t="str">
        <f>""</f>
        <v/>
      </c>
      <c r="CU113" t="str">
        <f>""</f>
        <v/>
      </c>
      <c r="CV113" t="str">
        <f>""</f>
        <v/>
      </c>
      <c r="CW113" t="str">
        <f>""</f>
        <v/>
      </c>
      <c r="CX113" t="str">
        <f>""</f>
        <v/>
      </c>
      <c r="CY113" t="str">
        <f>""</f>
        <v/>
      </c>
      <c r="CZ113" t="str">
        <f>""</f>
        <v/>
      </c>
      <c r="DA113" t="str">
        <f>""</f>
        <v/>
      </c>
      <c r="DB113" t="str">
        <f>""</f>
        <v/>
      </c>
      <c r="DC113" t="str">
        <f>""</f>
        <v/>
      </c>
      <c r="DD113" t="str">
        <f>""</f>
        <v/>
      </c>
      <c r="DE113" t="str">
        <f>""</f>
        <v/>
      </c>
      <c r="DF113" t="str">
        <f>""</f>
        <v/>
      </c>
      <c r="DG113" t="str">
        <f>""</f>
        <v/>
      </c>
      <c r="DH113" t="str">
        <f>""</f>
        <v/>
      </c>
      <c r="DI113" t="str">
        <f>""</f>
        <v/>
      </c>
      <c r="DJ113" t="str">
        <f>""</f>
        <v/>
      </c>
      <c r="DK113" t="str">
        <f>""</f>
        <v/>
      </c>
      <c r="DL113" t="str">
        <f>""</f>
        <v/>
      </c>
      <c r="DM113" t="str">
        <f>""</f>
        <v/>
      </c>
      <c r="DN113" t="str">
        <f>""</f>
        <v/>
      </c>
      <c r="DO113" t="str">
        <f>""</f>
        <v/>
      </c>
      <c r="DP113" t="str">
        <f>""</f>
        <v/>
      </c>
      <c r="DQ113" t="str">
        <f>""</f>
        <v/>
      </c>
      <c r="DR113" t="str">
        <f>""</f>
        <v/>
      </c>
      <c r="DS113" t="str">
        <f>""</f>
        <v/>
      </c>
      <c r="DT113" t="str">
        <f>""</f>
        <v/>
      </c>
      <c r="DU113" t="str">
        <f>""</f>
        <v/>
      </c>
    </row>
    <row r="114" spans="1:125">
      <c r="A114" t="str">
        <f>"    Washington Prime Group Inc"</f>
        <v xml:space="preserve">    Washington Prime Group Inc</v>
      </c>
      <c r="B114" t="str">
        <f>"WPG US Equity"</f>
        <v>WPG US Equity</v>
      </c>
      <c r="C114" t="str">
        <f t="shared" si="18"/>
        <v>IS972</v>
      </c>
      <c r="D114" t="str">
        <f t="shared" si="19"/>
        <v>IS_ADJUSTED_EBITDA_AS_REPORTED</v>
      </c>
      <c r="E114" t="str">
        <f t="shared" si="20"/>
        <v>动态</v>
      </c>
      <c r="F114" t="str">
        <f ca="1">IF(AND(ISNUMBER($F$569),$B$419=1),$F$569,HLOOKUP(INDIRECT(ADDRESS(2,COLUMN())),OFFSET($BN$2,0,0,ROW()-1,60),ROW()-1,FALSE))</f>
        <v/>
      </c>
      <c r="G114">
        <f ca="1">IF(AND(ISNUMBER($G$569),$B$419=1),$G$569,HLOOKUP(INDIRECT(ADDRESS(2,COLUMN())),OFFSET($BN$2,0,0,ROW()-1,60),ROW()-1,FALSE))</f>
        <v>138.96299999999999</v>
      </c>
      <c r="H114">
        <f ca="1">IF(AND(ISNUMBER($H$569),$B$419=1),$H$569,HLOOKUP(INDIRECT(ADDRESS(2,COLUMN())),OFFSET($BN$2,0,0,ROW()-1,60),ROW()-1,FALSE))</f>
        <v>128.22399999999999</v>
      </c>
      <c r="I114">
        <f ca="1">IF(AND(ISNUMBER($I$569),$B$419=1),$I$569,HLOOKUP(INDIRECT(ADDRESS(2,COLUMN())),OFFSET($BN$2,0,0,ROW()-1,60),ROW()-1,FALSE))</f>
        <v>132.68600000000001</v>
      </c>
      <c r="J114">
        <f ca="1">IF(AND(ISNUMBER($J$569),$B$419=1),$J$569,HLOOKUP(INDIRECT(ADDRESS(2,COLUMN())),OFFSET($BN$2,0,0,ROW()-1,60),ROW()-1,FALSE))</f>
        <v>138.21700000000001</v>
      </c>
      <c r="K114">
        <f ca="1">IF(AND(ISNUMBER($K$569),$B$419=1),$K$569,HLOOKUP(INDIRECT(ADDRESS(2,COLUMN())),OFFSET($BN$2,0,0,ROW()-1,60),ROW()-1,FALSE))</f>
        <v>149.631</v>
      </c>
      <c r="L114">
        <f ca="1">IF(AND(ISNUMBER($L$569),$B$419=1),$L$569,HLOOKUP(INDIRECT(ADDRESS(2,COLUMN())),OFFSET($BN$2,0,0,ROW()-1,60),ROW()-1,FALSE))</f>
        <v>142.94200000000001</v>
      </c>
      <c r="M114">
        <f ca="1">IF(AND(ISNUMBER($M$569),$B$419=1),$M$569,HLOOKUP(INDIRECT(ADDRESS(2,COLUMN())),OFFSET($BN$2,0,0,ROW()-1,60),ROW()-1,FALSE))</f>
        <v>137.58199999999999</v>
      </c>
      <c r="N114">
        <f ca="1">IF(AND(ISNUMBER($N$569),$B$419=1),$N$569,HLOOKUP(INDIRECT(ADDRESS(2,COLUMN())),OFFSET($BN$2,0,0,ROW()-1,60),ROW()-1,FALSE))</f>
        <v>139.12899999999999</v>
      </c>
      <c r="O114">
        <f ca="1">IF(AND(ISNUMBER($O$569),$B$419=1),$O$569,HLOOKUP(INDIRECT(ADDRESS(2,COLUMN())),OFFSET($BN$2,0,0,ROW()-1,60),ROW()-1,FALSE))</f>
        <v>149.864</v>
      </c>
      <c r="P114">
        <f ca="1">IF(AND(ISNUMBER($P$569),$B$419=1),$P$569,HLOOKUP(INDIRECT(ADDRESS(2,COLUMN())),OFFSET($BN$2,0,0,ROW()-1,60),ROW()-1,FALSE))</f>
        <v>139.67599999999999</v>
      </c>
      <c r="Q114">
        <f ca="1">IF(AND(ISNUMBER($Q$569),$B$419=1),$Q$569,HLOOKUP(INDIRECT(ADDRESS(2,COLUMN())),OFFSET($BN$2,0,0,ROW()-1,60),ROW()-1,FALSE))</f>
        <v>144.99100000000001</v>
      </c>
      <c r="R114">
        <f ca="1">IF(AND(ISNUMBER($R$569),$B$419=1),$R$569,HLOOKUP(INDIRECT(ADDRESS(2,COLUMN())),OFFSET($BN$2,0,0,ROW()-1,60),ROW()-1,FALSE))</f>
        <v>145.23500000000001</v>
      </c>
      <c r="S114">
        <f ca="1">IF(AND(ISNUMBER($S$569),$B$419=1),$S$569,HLOOKUP(INDIRECT(ADDRESS(2,COLUMN())),OFFSET($BN$2,0,0,ROW()-1,60),ROW()-1,FALSE))</f>
        <v>114.563</v>
      </c>
      <c r="T114" t="str">
        <f ca="1">IF(AND(ISNUMBER($T$569),$B$419=1),$T$569,HLOOKUP(INDIRECT(ADDRESS(2,COLUMN())),OFFSET($BN$2,0,0,ROW()-1,60),ROW()-1,FALSE))</f>
        <v/>
      </c>
      <c r="U114" t="str">
        <f ca="1">IF(AND(ISNUMBER($U$569),$B$419=1),$U$569,HLOOKUP(INDIRECT(ADDRESS(2,COLUMN())),OFFSET($BN$2,0,0,ROW()-1,60),ROW()-1,FALSE))</f>
        <v/>
      </c>
      <c r="V114" t="str">
        <f ca="1">IF(AND(ISNUMBER($V$569),$B$419=1),$V$569,HLOOKUP(INDIRECT(ADDRESS(2,COLUMN())),OFFSET($BN$2,0,0,ROW()-1,60),ROW()-1,FALSE))</f>
        <v/>
      </c>
      <c r="W114" t="str">
        <f ca="1">IF(AND(ISNUMBER($W$569),$B$419=1),$W$569,HLOOKUP(INDIRECT(ADDRESS(2,COLUMN())),OFFSET($BN$2,0,0,ROW()-1,60),ROW()-1,FALSE))</f>
        <v/>
      </c>
      <c r="X114" t="str">
        <f ca="1">IF(AND(ISNUMBER($X$569),$B$419=1),$X$569,HLOOKUP(INDIRECT(ADDRESS(2,COLUMN())),OFFSET($BN$2,0,0,ROW()-1,60),ROW()-1,FALSE))</f>
        <v/>
      </c>
      <c r="Y114" t="str">
        <f ca="1">IF(AND(ISNUMBER($Y$569),$B$419=1),$Y$569,HLOOKUP(INDIRECT(ADDRESS(2,COLUMN())),OFFSET($BN$2,0,0,ROW()-1,60),ROW()-1,FALSE))</f>
        <v/>
      </c>
      <c r="Z114" t="str">
        <f ca="1">IF(AND(ISNUMBER($Z$569),$B$419=1),$Z$569,HLOOKUP(INDIRECT(ADDRESS(2,COLUMN())),OFFSET($BN$2,0,0,ROW()-1,60),ROW()-1,FALSE))</f>
        <v/>
      </c>
      <c r="AA114" t="str">
        <f ca="1">IF(AND(ISNUMBER($AA$569),$B$419=1),$AA$569,HLOOKUP(INDIRECT(ADDRESS(2,COLUMN())),OFFSET($BN$2,0,0,ROW()-1,60),ROW()-1,FALSE))</f>
        <v/>
      </c>
      <c r="AB114" t="str">
        <f ca="1">IF(AND(ISNUMBER($AB$569),$B$419=1),$AB$569,HLOOKUP(INDIRECT(ADDRESS(2,COLUMN())),OFFSET($BN$2,0,0,ROW()-1,60),ROW()-1,FALSE))</f>
        <v/>
      </c>
      <c r="AC114" t="str">
        <f ca="1">IF(AND(ISNUMBER($AC$569),$B$419=1),$AC$569,HLOOKUP(INDIRECT(ADDRESS(2,COLUMN())),OFFSET($BN$2,0,0,ROW()-1,60),ROW()-1,FALSE))</f>
        <v/>
      </c>
      <c r="AD114" t="str">
        <f ca="1">IF(AND(ISNUMBER($AD$569),$B$419=1),$AD$569,HLOOKUP(INDIRECT(ADDRESS(2,COLUMN())),OFFSET($BN$2,0,0,ROW()-1,60),ROW()-1,FALSE))</f>
        <v/>
      </c>
      <c r="AE114" t="str">
        <f ca="1">IF(AND(ISNUMBER($AE$569),$B$419=1),$AE$569,HLOOKUP(INDIRECT(ADDRESS(2,COLUMN())),OFFSET($BN$2,0,0,ROW()-1,60),ROW()-1,FALSE))</f>
        <v/>
      </c>
      <c r="AF114" t="str">
        <f ca="1">IF(AND(ISNUMBER($AF$569),$B$419=1),$AF$569,HLOOKUP(INDIRECT(ADDRESS(2,COLUMN())),OFFSET($BN$2,0,0,ROW()-1,60),ROW()-1,FALSE))</f>
        <v/>
      </c>
      <c r="AG114" t="str">
        <f ca="1">IF(AND(ISNUMBER($AG$569),$B$419=1),$AG$569,HLOOKUP(INDIRECT(ADDRESS(2,COLUMN())),OFFSET($BN$2,0,0,ROW()-1,60),ROW()-1,FALSE))</f>
        <v/>
      </c>
      <c r="AH114" t="str">
        <f ca="1">IF(AND(ISNUMBER($AH$569),$B$419=1),$AH$569,HLOOKUP(INDIRECT(ADDRESS(2,COLUMN())),OFFSET($BN$2,0,0,ROW()-1,60),ROW()-1,FALSE))</f>
        <v/>
      </c>
      <c r="AI114" t="str">
        <f ca="1">IF(AND(ISNUMBER($AI$569),$B$419=1),$AI$569,HLOOKUP(INDIRECT(ADDRESS(2,COLUMN())),OFFSET($BN$2,0,0,ROW()-1,60),ROW()-1,FALSE))</f>
        <v/>
      </c>
      <c r="AJ114" t="str">
        <f ca="1">IF(AND(ISNUMBER($AJ$569),$B$419=1),$AJ$569,HLOOKUP(INDIRECT(ADDRESS(2,COLUMN())),OFFSET($BN$2,0,0,ROW()-1,60),ROW()-1,FALSE))</f>
        <v/>
      </c>
      <c r="AK114" t="str">
        <f ca="1">IF(AND(ISNUMBER($AK$569),$B$419=1),$AK$569,HLOOKUP(INDIRECT(ADDRESS(2,COLUMN())),OFFSET($BN$2,0,0,ROW()-1,60),ROW()-1,FALSE))</f>
        <v/>
      </c>
      <c r="AL114" t="str">
        <f ca="1">IF(AND(ISNUMBER($AL$569),$B$419=1),$AL$569,HLOOKUP(INDIRECT(ADDRESS(2,COLUMN())),OFFSET($BN$2,0,0,ROW()-1,60),ROW()-1,FALSE))</f>
        <v/>
      </c>
      <c r="AM114" t="str">
        <f ca="1">IF(AND(ISNUMBER($AM$569),$B$419=1),$AM$569,HLOOKUP(INDIRECT(ADDRESS(2,COLUMN())),OFFSET($BN$2,0,0,ROW()-1,60),ROW()-1,FALSE))</f>
        <v/>
      </c>
      <c r="AN114" t="str">
        <f ca="1">IF(AND(ISNUMBER($AN$569),$B$419=1),$AN$569,HLOOKUP(INDIRECT(ADDRESS(2,COLUMN())),OFFSET($BN$2,0,0,ROW()-1,60),ROW()-1,FALSE))</f>
        <v/>
      </c>
      <c r="AO114" t="str">
        <f ca="1">IF(AND(ISNUMBER($AO$569),$B$419=1),$AO$569,HLOOKUP(INDIRECT(ADDRESS(2,COLUMN())),OFFSET($BN$2,0,0,ROW()-1,60),ROW()-1,FALSE))</f>
        <v/>
      </c>
      <c r="AP114" t="str">
        <f ca="1">IF(AND(ISNUMBER($AP$569),$B$419=1),$AP$569,HLOOKUP(INDIRECT(ADDRESS(2,COLUMN())),OFFSET($BN$2,0,0,ROW()-1,60),ROW()-1,FALSE))</f>
        <v/>
      </c>
      <c r="AQ114" t="str">
        <f ca="1">IF(AND(ISNUMBER($AQ$569),$B$419=1),$AQ$569,HLOOKUP(INDIRECT(ADDRESS(2,COLUMN())),OFFSET($BN$2,0,0,ROW()-1,60),ROW()-1,FALSE))</f>
        <v/>
      </c>
      <c r="AR114" t="str">
        <f ca="1">IF(AND(ISNUMBER($AR$569),$B$419=1),$AR$569,HLOOKUP(INDIRECT(ADDRESS(2,COLUMN())),OFFSET($BN$2,0,0,ROW()-1,60),ROW()-1,FALSE))</f>
        <v/>
      </c>
      <c r="AS114" t="str">
        <f ca="1">IF(AND(ISNUMBER($AS$569),$B$419=1),$AS$569,HLOOKUP(INDIRECT(ADDRESS(2,COLUMN())),OFFSET($BN$2,0,0,ROW()-1,60),ROW()-1,FALSE))</f>
        <v/>
      </c>
      <c r="AT114" t="str">
        <f ca="1">IF(AND(ISNUMBER($AT$569),$B$419=1),$AT$569,HLOOKUP(INDIRECT(ADDRESS(2,COLUMN())),OFFSET($BN$2,0,0,ROW()-1,60),ROW()-1,FALSE))</f>
        <v/>
      </c>
      <c r="AU114" t="str">
        <f ca="1">IF(AND(ISNUMBER($AU$569),$B$419=1),$AU$569,HLOOKUP(INDIRECT(ADDRESS(2,COLUMN())),OFFSET($BN$2,0,0,ROW()-1,60),ROW()-1,FALSE))</f>
        <v/>
      </c>
      <c r="AV114" t="str">
        <f ca="1">IF(AND(ISNUMBER($AV$569),$B$419=1),$AV$569,HLOOKUP(INDIRECT(ADDRESS(2,COLUMN())),OFFSET($BN$2,0,0,ROW()-1,60),ROW()-1,FALSE))</f>
        <v/>
      </c>
      <c r="AW114" t="str">
        <f ca="1">IF(AND(ISNUMBER($AW$569),$B$419=1),$AW$569,HLOOKUP(INDIRECT(ADDRESS(2,COLUMN())),OFFSET($BN$2,0,0,ROW()-1,60),ROW()-1,FALSE))</f>
        <v/>
      </c>
      <c r="AX114" t="str">
        <f ca="1">IF(AND(ISNUMBER($AX$569),$B$419=1),$AX$569,HLOOKUP(INDIRECT(ADDRESS(2,COLUMN())),OFFSET($BN$2,0,0,ROW()-1,60),ROW()-1,FALSE))</f>
        <v/>
      </c>
      <c r="AY114" t="str">
        <f ca="1">IF(AND(ISNUMBER($AY$569),$B$419=1),$AY$569,HLOOKUP(INDIRECT(ADDRESS(2,COLUMN())),OFFSET($BN$2,0,0,ROW()-1,60),ROW()-1,FALSE))</f>
        <v/>
      </c>
      <c r="AZ114" t="str">
        <f ca="1">IF(AND(ISNUMBER($AZ$569),$B$419=1),$AZ$569,HLOOKUP(INDIRECT(ADDRESS(2,COLUMN())),OFFSET($BN$2,0,0,ROW()-1,60),ROW()-1,FALSE))</f>
        <v/>
      </c>
      <c r="BA114" t="str">
        <f ca="1">IF(AND(ISNUMBER($BA$569),$B$419=1),$BA$569,HLOOKUP(INDIRECT(ADDRESS(2,COLUMN())),OFFSET($BN$2,0,0,ROW()-1,60),ROW()-1,FALSE))</f>
        <v/>
      </c>
      <c r="BB114" t="str">
        <f ca="1">IF(AND(ISNUMBER($BB$569),$B$419=1),$BB$569,HLOOKUP(INDIRECT(ADDRESS(2,COLUMN())),OFFSET($BN$2,0,0,ROW()-1,60),ROW()-1,FALSE))</f>
        <v/>
      </c>
      <c r="BC114" t="str">
        <f ca="1">IF(AND(ISNUMBER($BC$569),$B$419=1),$BC$569,HLOOKUP(INDIRECT(ADDRESS(2,COLUMN())),OFFSET($BN$2,0,0,ROW()-1,60),ROW()-1,FALSE))</f>
        <v/>
      </c>
      <c r="BD114" t="str">
        <f ca="1">IF(AND(ISNUMBER($BD$569),$B$419=1),$BD$569,HLOOKUP(INDIRECT(ADDRESS(2,COLUMN())),OFFSET($BN$2,0,0,ROW()-1,60),ROW()-1,FALSE))</f>
        <v/>
      </c>
      <c r="BE114" t="str">
        <f ca="1">IF(AND(ISNUMBER($BE$569),$B$419=1),$BE$569,HLOOKUP(INDIRECT(ADDRESS(2,COLUMN())),OFFSET($BN$2,0,0,ROW()-1,60),ROW()-1,FALSE))</f>
        <v/>
      </c>
      <c r="BF114" t="str">
        <f ca="1">IF(AND(ISNUMBER($BF$569),$B$419=1),$BF$569,HLOOKUP(INDIRECT(ADDRESS(2,COLUMN())),OFFSET($BN$2,0,0,ROW()-1,60),ROW()-1,FALSE))</f>
        <v/>
      </c>
      <c r="BG114" t="str">
        <f ca="1">IF(AND(ISNUMBER($BG$569),$B$419=1),$BG$569,HLOOKUP(INDIRECT(ADDRESS(2,COLUMN())),OFFSET($BN$2,0,0,ROW()-1,60),ROW()-1,FALSE))</f>
        <v/>
      </c>
      <c r="BH114" t="str">
        <f ca="1">IF(AND(ISNUMBER($BH$569),$B$419=1),$BH$569,HLOOKUP(INDIRECT(ADDRESS(2,COLUMN())),OFFSET($BN$2,0,0,ROW()-1,60),ROW()-1,FALSE))</f>
        <v/>
      </c>
      <c r="BI114" t="str">
        <f ca="1">IF(AND(ISNUMBER($BI$569),$B$419=1),$BI$569,HLOOKUP(INDIRECT(ADDRESS(2,COLUMN())),OFFSET($BN$2,0,0,ROW()-1,60),ROW()-1,FALSE))</f>
        <v/>
      </c>
      <c r="BJ114" t="str">
        <f ca="1">IF(AND(ISNUMBER($BJ$569),$B$419=1),$BJ$569,HLOOKUP(INDIRECT(ADDRESS(2,COLUMN())),OFFSET($BN$2,0,0,ROW()-1,60),ROW()-1,FALSE))</f>
        <v/>
      </c>
      <c r="BK114" t="str">
        <f ca="1">IF(AND(ISNUMBER($BK$569),$B$419=1),$BK$569,HLOOKUP(INDIRECT(ADDRESS(2,COLUMN())),OFFSET($BN$2,0,0,ROW()-1,60),ROW()-1,FALSE))</f>
        <v/>
      </c>
      <c r="BL114" t="str">
        <f ca="1">IF(AND(ISNUMBER($BL$569),$B$419=1),$BL$569,HLOOKUP(INDIRECT(ADDRESS(2,COLUMN())),OFFSET($BN$2,0,0,ROW()-1,60),ROW()-1,FALSE))</f>
        <v/>
      </c>
      <c r="BM114" t="str">
        <f ca="1">IF(AND(ISNUMBER($BM$569),$B$419=1),$BM$569,HLOOKUP(INDIRECT(ADDRESS(2,COLUMN())),OFFSET($BN$2,0,0,ROW()-1,60),ROW()-1,FALSE))</f>
        <v/>
      </c>
      <c r="BN114" t="str">
        <f>""</f>
        <v/>
      </c>
      <c r="BO114">
        <f>138.963</f>
        <v>138.96299999999999</v>
      </c>
      <c r="BP114">
        <f>128.224</f>
        <v>128.22399999999999</v>
      </c>
      <c r="BQ114">
        <f>132.686</f>
        <v>132.68600000000001</v>
      </c>
      <c r="BR114">
        <f>138.217</f>
        <v>138.21700000000001</v>
      </c>
      <c r="BS114">
        <f>149.631</f>
        <v>149.631</v>
      </c>
      <c r="BT114">
        <f>142.942</f>
        <v>142.94200000000001</v>
      </c>
      <c r="BU114">
        <f>137.582</f>
        <v>137.58199999999999</v>
      </c>
      <c r="BV114">
        <f>139.129</f>
        <v>139.12899999999999</v>
      </c>
      <c r="BW114">
        <f>149.864</f>
        <v>149.864</v>
      </c>
      <c r="BX114">
        <f>139.676</f>
        <v>139.67599999999999</v>
      </c>
      <c r="BY114">
        <f>144.991</f>
        <v>144.99100000000001</v>
      </c>
      <c r="BZ114">
        <f>145.235</f>
        <v>145.23500000000001</v>
      </c>
      <c r="CA114">
        <f>114.563</f>
        <v>114.563</v>
      </c>
      <c r="CB114" t="str">
        <f>""</f>
        <v/>
      </c>
      <c r="CC114" t="str">
        <f>""</f>
        <v/>
      </c>
      <c r="CD114" t="str">
        <f>""</f>
        <v/>
      </c>
      <c r="CE114" t="str">
        <f>""</f>
        <v/>
      </c>
      <c r="CF114" t="str">
        <f>""</f>
        <v/>
      </c>
      <c r="CG114" t="str">
        <f>""</f>
        <v/>
      </c>
      <c r="CH114" t="str">
        <f>""</f>
        <v/>
      </c>
      <c r="CI114" t="str">
        <f>""</f>
        <v/>
      </c>
      <c r="CJ114" t="str">
        <f>""</f>
        <v/>
      </c>
      <c r="CK114" t="str">
        <f>""</f>
        <v/>
      </c>
      <c r="CL114" t="str">
        <f>""</f>
        <v/>
      </c>
      <c r="CM114" t="str">
        <f>""</f>
        <v/>
      </c>
      <c r="CN114" t="str">
        <f>""</f>
        <v/>
      </c>
      <c r="CO114" t="str">
        <f>""</f>
        <v/>
      </c>
      <c r="CP114" t="str">
        <f>""</f>
        <v/>
      </c>
      <c r="CQ114" t="str">
        <f>""</f>
        <v/>
      </c>
      <c r="CR114" t="str">
        <f>""</f>
        <v/>
      </c>
      <c r="CS114" t="str">
        <f>""</f>
        <v/>
      </c>
      <c r="CT114" t="str">
        <f>""</f>
        <v/>
      </c>
      <c r="CU114" t="str">
        <f>""</f>
        <v/>
      </c>
      <c r="CV114" t="str">
        <f>""</f>
        <v/>
      </c>
      <c r="CW114" t="str">
        <f>""</f>
        <v/>
      </c>
      <c r="CX114" t="str">
        <f>""</f>
        <v/>
      </c>
      <c r="CY114" t="str">
        <f>""</f>
        <v/>
      </c>
      <c r="CZ114" t="str">
        <f>""</f>
        <v/>
      </c>
      <c r="DA114" t="str">
        <f>""</f>
        <v/>
      </c>
      <c r="DB114" t="str">
        <f>""</f>
        <v/>
      </c>
      <c r="DC114" t="str">
        <f>""</f>
        <v/>
      </c>
      <c r="DD114" t="str">
        <f>""</f>
        <v/>
      </c>
      <c r="DE114" t="str">
        <f>""</f>
        <v/>
      </c>
      <c r="DF114" t="str">
        <f>""</f>
        <v/>
      </c>
      <c r="DG114" t="str">
        <f>""</f>
        <v/>
      </c>
      <c r="DH114" t="str">
        <f>""</f>
        <v/>
      </c>
      <c r="DI114" t="str">
        <f>""</f>
        <v/>
      </c>
      <c r="DJ114" t="str">
        <f>""</f>
        <v/>
      </c>
      <c r="DK114" t="str">
        <f>""</f>
        <v/>
      </c>
      <c r="DL114" t="str">
        <f>""</f>
        <v/>
      </c>
      <c r="DM114" t="str">
        <f>""</f>
        <v/>
      </c>
      <c r="DN114" t="str">
        <f>""</f>
        <v/>
      </c>
      <c r="DO114" t="str">
        <f>""</f>
        <v/>
      </c>
      <c r="DP114" t="str">
        <f>""</f>
        <v/>
      </c>
      <c r="DQ114" t="str">
        <f>""</f>
        <v/>
      </c>
      <c r="DR114" t="str">
        <f>""</f>
        <v/>
      </c>
      <c r="DS114" t="str">
        <f>""</f>
        <v/>
      </c>
      <c r="DT114" t="str">
        <f>""</f>
        <v/>
      </c>
      <c r="DU114" t="str">
        <f>""</f>
        <v/>
      </c>
    </row>
    <row r="115" spans="1:125">
      <c r="A115" t="str">
        <f>"    Weingarten Realty Investors"</f>
        <v xml:space="preserve">    Weingarten Realty Investors</v>
      </c>
      <c r="B115" t="str">
        <f>"WRI US Equity"</f>
        <v>WRI US Equity</v>
      </c>
      <c r="C115" t="str">
        <f t="shared" si="18"/>
        <v>IS972</v>
      </c>
      <c r="D115" t="str">
        <f t="shared" si="19"/>
        <v>IS_ADJUSTED_EBITDA_AS_REPORTED</v>
      </c>
      <c r="E115" t="str">
        <f t="shared" si="20"/>
        <v>动态</v>
      </c>
      <c r="F115" t="str">
        <f ca="1">IF(AND(ISNUMBER($F$570),$B$419=1),$F$570,HLOOKUP(INDIRECT(ADDRESS(2,COLUMN())),OFFSET($BN$2,0,0,ROW()-1,60),ROW()-1,FALSE))</f>
        <v/>
      </c>
      <c r="G115">
        <f ca="1">IF(AND(ISNUMBER($G$570),$B$419=1),$G$570,HLOOKUP(INDIRECT(ADDRESS(2,COLUMN())),OFFSET($BN$2,0,0,ROW()-1,60),ROW()-1,FALSE))</f>
        <v>97.894999999999996</v>
      </c>
      <c r="H115">
        <f ca="1">IF(AND(ISNUMBER($H$570),$B$419=1),$H$570,HLOOKUP(INDIRECT(ADDRESS(2,COLUMN())),OFFSET($BN$2,0,0,ROW()-1,60),ROW()-1,FALSE))</f>
        <v>98.033000000000001</v>
      </c>
      <c r="I115">
        <f ca="1">IF(AND(ISNUMBER($I$570),$B$419=1),$I$570,HLOOKUP(INDIRECT(ADDRESS(2,COLUMN())),OFFSET($BN$2,0,0,ROW()-1,60),ROW()-1,FALSE))</f>
        <v>98.676000000000002</v>
      </c>
      <c r="J115">
        <f ca="1">IF(AND(ISNUMBER($J$570),$B$419=1),$J$570,HLOOKUP(INDIRECT(ADDRESS(2,COLUMN())),OFFSET($BN$2,0,0,ROW()-1,60),ROW()-1,FALSE))</f>
        <v>96.043000000000006</v>
      </c>
      <c r="K115">
        <f ca="1">IF(AND(ISNUMBER($K$570),$B$419=1),$K$570,HLOOKUP(INDIRECT(ADDRESS(2,COLUMN())),OFFSET($BN$2,0,0,ROW()-1,60),ROW()-1,FALSE))</f>
        <v>99.534000000000006</v>
      </c>
      <c r="L115">
        <f ca="1">IF(AND(ISNUMBER($L$570),$B$419=1),$L$570,HLOOKUP(INDIRECT(ADDRESS(2,COLUMN())),OFFSET($BN$2,0,0,ROW()-1,60),ROW()-1,FALSE))</f>
        <v>95.454999999999998</v>
      </c>
      <c r="M115">
        <f ca="1">IF(AND(ISNUMBER($M$570),$B$419=1),$M$570,HLOOKUP(INDIRECT(ADDRESS(2,COLUMN())),OFFSET($BN$2,0,0,ROW()-1,60),ROW()-1,FALSE))</f>
        <v>91.533000000000001</v>
      </c>
      <c r="N115">
        <f ca="1">IF(AND(ISNUMBER($N$570),$B$419=1),$N$570,HLOOKUP(INDIRECT(ADDRESS(2,COLUMN())),OFFSET($BN$2,0,0,ROW()-1,60),ROW()-1,FALSE))</f>
        <v>91.141000000000005</v>
      </c>
      <c r="O115">
        <f ca="1">IF(AND(ISNUMBER($O$570),$B$419=1),$O$570,HLOOKUP(INDIRECT(ADDRESS(2,COLUMN())),OFFSET($BN$2,0,0,ROW()-1,60),ROW()-1,FALSE))</f>
        <v>89.869</v>
      </c>
      <c r="P115">
        <f ca="1">IF(AND(ISNUMBER($P$570),$B$419=1),$P$570,HLOOKUP(INDIRECT(ADDRESS(2,COLUMN())),OFFSET($BN$2,0,0,ROW()-1,60),ROW()-1,FALSE))</f>
        <v>89.006</v>
      </c>
      <c r="Q115">
        <f ca="1">IF(AND(ISNUMBER($Q$570),$B$419=1),$Q$570,HLOOKUP(INDIRECT(ADDRESS(2,COLUMN())),OFFSET($BN$2,0,0,ROW()-1,60),ROW()-1,FALSE))</f>
        <v>87.974999999999994</v>
      </c>
      <c r="R115">
        <f ca="1">IF(AND(ISNUMBER($R$570),$B$419=1),$R$570,HLOOKUP(INDIRECT(ADDRESS(2,COLUMN())),OFFSET($BN$2,0,0,ROW()-1,60),ROW()-1,FALSE))</f>
        <v>88.811000000000007</v>
      </c>
      <c r="S115">
        <f ca="1">IF(AND(ISNUMBER($S$570),$B$419=1),$S$570,HLOOKUP(INDIRECT(ADDRESS(2,COLUMN())),OFFSET($BN$2,0,0,ROW()-1,60),ROW()-1,FALSE))</f>
        <v>88.85</v>
      </c>
      <c r="T115">
        <f ca="1">IF(AND(ISNUMBER($T$570),$B$419=1),$T$570,HLOOKUP(INDIRECT(ADDRESS(2,COLUMN())),OFFSET($BN$2,0,0,ROW()-1,60),ROW()-1,FALSE))</f>
        <v>90.343999999999994</v>
      </c>
      <c r="U115">
        <f ca="1">IF(AND(ISNUMBER($U$570),$B$419=1),$U$570,HLOOKUP(INDIRECT(ADDRESS(2,COLUMN())),OFFSET($BN$2,0,0,ROW()-1,60),ROW()-1,FALSE))</f>
        <v>89.504999999999995</v>
      </c>
      <c r="V115">
        <f ca="1">IF(AND(ISNUMBER($V$570),$B$419=1),$V$570,HLOOKUP(INDIRECT(ADDRESS(2,COLUMN())),OFFSET($BN$2,0,0,ROW()-1,60),ROW()-1,FALSE))</f>
        <v>89.834999999999994</v>
      </c>
      <c r="W115">
        <f ca="1">IF(AND(ISNUMBER($W$570),$B$419=1),$W$570,HLOOKUP(INDIRECT(ADDRESS(2,COLUMN())),OFFSET($BN$2,0,0,ROW()-1,60),ROW()-1,FALSE))</f>
        <v>85.073999999999998</v>
      </c>
      <c r="X115">
        <f ca="1">IF(AND(ISNUMBER($X$570),$B$419=1),$X$570,HLOOKUP(INDIRECT(ADDRESS(2,COLUMN())),OFFSET($BN$2,0,0,ROW()-1,60),ROW()-1,FALSE))</f>
        <v>91.869</v>
      </c>
      <c r="Y115">
        <f ca="1">IF(AND(ISNUMBER($Y$570),$B$419=1),$Y$570,HLOOKUP(INDIRECT(ADDRESS(2,COLUMN())),OFFSET($BN$2,0,0,ROW()-1,60),ROW()-1,FALSE))</f>
        <v>93.278000000000006</v>
      </c>
      <c r="Z115">
        <f ca="1">IF(AND(ISNUMBER($Z$570),$B$419=1),$Z$570,HLOOKUP(INDIRECT(ADDRESS(2,COLUMN())),OFFSET($BN$2,0,0,ROW()-1,60),ROW()-1,FALSE))</f>
        <v>91.838999999999999</v>
      </c>
      <c r="AA115">
        <f ca="1">IF(AND(ISNUMBER($AA$570),$B$419=1),$AA$570,HLOOKUP(INDIRECT(ADDRESS(2,COLUMN())),OFFSET($BN$2,0,0,ROW()-1,60),ROW()-1,FALSE))</f>
        <v>92.763999999999996</v>
      </c>
      <c r="AB115" t="str">
        <f ca="1">IF(AND(ISNUMBER($AB$570),$B$419=1),$AB$570,HLOOKUP(INDIRECT(ADDRESS(2,COLUMN())),OFFSET($BN$2,0,0,ROW()-1,60),ROW()-1,FALSE))</f>
        <v/>
      </c>
      <c r="AC115" t="str">
        <f ca="1">IF(AND(ISNUMBER($AC$570),$B$419=1),$AC$570,HLOOKUP(INDIRECT(ADDRESS(2,COLUMN())),OFFSET($BN$2,0,0,ROW()-1,60),ROW()-1,FALSE))</f>
        <v/>
      </c>
      <c r="AD115" t="str">
        <f ca="1">IF(AND(ISNUMBER($AD$570),$B$419=1),$AD$570,HLOOKUP(INDIRECT(ADDRESS(2,COLUMN())),OFFSET($BN$2,0,0,ROW()-1,60),ROW()-1,FALSE))</f>
        <v/>
      </c>
      <c r="AE115">
        <f ca="1">IF(AND(ISNUMBER($AE$570),$B$419=1),$AE$570,HLOOKUP(INDIRECT(ADDRESS(2,COLUMN())),OFFSET($BN$2,0,0,ROW()-1,60),ROW()-1,FALSE))</f>
        <v>96.793000000000006</v>
      </c>
      <c r="AF115" t="str">
        <f ca="1">IF(AND(ISNUMBER($AF$570),$B$419=1),$AF$570,HLOOKUP(INDIRECT(ADDRESS(2,COLUMN())),OFFSET($BN$2,0,0,ROW()-1,60),ROW()-1,FALSE))</f>
        <v/>
      </c>
      <c r="AG115" t="str">
        <f ca="1">IF(AND(ISNUMBER($AG$570),$B$419=1),$AG$570,HLOOKUP(INDIRECT(ADDRESS(2,COLUMN())),OFFSET($BN$2,0,0,ROW()-1,60),ROW()-1,FALSE))</f>
        <v/>
      </c>
      <c r="AH115" t="str">
        <f ca="1">IF(AND(ISNUMBER($AH$570),$B$419=1),$AH$570,HLOOKUP(INDIRECT(ADDRESS(2,COLUMN())),OFFSET($BN$2,0,0,ROW()-1,60),ROW()-1,FALSE))</f>
        <v/>
      </c>
      <c r="AI115" t="str">
        <f ca="1">IF(AND(ISNUMBER($AI$570),$B$419=1),$AI$570,HLOOKUP(INDIRECT(ADDRESS(2,COLUMN())),OFFSET($BN$2,0,0,ROW()-1,60),ROW()-1,FALSE))</f>
        <v/>
      </c>
      <c r="AJ115" t="str">
        <f ca="1">IF(AND(ISNUMBER($AJ$570),$B$419=1),$AJ$570,HLOOKUP(INDIRECT(ADDRESS(2,COLUMN())),OFFSET($BN$2,0,0,ROW()-1,60),ROW()-1,FALSE))</f>
        <v/>
      </c>
      <c r="AK115" t="str">
        <f ca="1">IF(AND(ISNUMBER($AK$570),$B$419=1),$AK$570,HLOOKUP(INDIRECT(ADDRESS(2,COLUMN())),OFFSET($BN$2,0,0,ROW()-1,60),ROW()-1,FALSE))</f>
        <v/>
      </c>
      <c r="AL115" t="str">
        <f ca="1">IF(AND(ISNUMBER($AL$570),$B$419=1),$AL$570,HLOOKUP(INDIRECT(ADDRESS(2,COLUMN())),OFFSET($BN$2,0,0,ROW()-1,60),ROW()-1,FALSE))</f>
        <v/>
      </c>
      <c r="AM115" t="str">
        <f ca="1">IF(AND(ISNUMBER($AM$570),$B$419=1),$AM$570,HLOOKUP(INDIRECT(ADDRESS(2,COLUMN())),OFFSET($BN$2,0,0,ROW()-1,60),ROW()-1,FALSE))</f>
        <v/>
      </c>
      <c r="AN115" t="str">
        <f ca="1">IF(AND(ISNUMBER($AN$570),$B$419=1),$AN$570,HLOOKUP(INDIRECT(ADDRESS(2,COLUMN())),OFFSET($BN$2,0,0,ROW()-1,60),ROW()-1,FALSE))</f>
        <v/>
      </c>
      <c r="AO115" t="str">
        <f ca="1">IF(AND(ISNUMBER($AO$570),$B$419=1),$AO$570,HLOOKUP(INDIRECT(ADDRESS(2,COLUMN())),OFFSET($BN$2,0,0,ROW()-1,60),ROW()-1,FALSE))</f>
        <v/>
      </c>
      <c r="AP115" t="str">
        <f ca="1">IF(AND(ISNUMBER($AP$570),$B$419=1),$AP$570,HLOOKUP(INDIRECT(ADDRESS(2,COLUMN())),OFFSET($BN$2,0,0,ROW()-1,60),ROW()-1,FALSE))</f>
        <v/>
      </c>
      <c r="AQ115" t="str">
        <f ca="1">IF(AND(ISNUMBER($AQ$570),$B$419=1),$AQ$570,HLOOKUP(INDIRECT(ADDRESS(2,COLUMN())),OFFSET($BN$2,0,0,ROW()-1,60),ROW()-1,FALSE))</f>
        <v/>
      </c>
      <c r="AR115" t="str">
        <f ca="1">IF(AND(ISNUMBER($AR$570),$B$419=1),$AR$570,HLOOKUP(INDIRECT(ADDRESS(2,COLUMN())),OFFSET($BN$2,0,0,ROW()-1,60),ROW()-1,FALSE))</f>
        <v/>
      </c>
      <c r="AS115" t="str">
        <f ca="1">IF(AND(ISNUMBER($AS$570),$B$419=1),$AS$570,HLOOKUP(INDIRECT(ADDRESS(2,COLUMN())),OFFSET($BN$2,0,0,ROW()-1,60),ROW()-1,FALSE))</f>
        <v/>
      </c>
      <c r="AT115" t="str">
        <f ca="1">IF(AND(ISNUMBER($AT$570),$B$419=1),$AT$570,HLOOKUP(INDIRECT(ADDRESS(2,COLUMN())),OFFSET($BN$2,0,0,ROW()-1,60),ROW()-1,FALSE))</f>
        <v/>
      </c>
      <c r="AU115" t="str">
        <f ca="1">IF(AND(ISNUMBER($AU$570),$B$419=1),$AU$570,HLOOKUP(INDIRECT(ADDRESS(2,COLUMN())),OFFSET($BN$2,0,0,ROW()-1,60),ROW()-1,FALSE))</f>
        <v/>
      </c>
      <c r="AV115" t="str">
        <f ca="1">IF(AND(ISNUMBER($AV$570),$B$419=1),$AV$570,HLOOKUP(INDIRECT(ADDRESS(2,COLUMN())),OFFSET($BN$2,0,0,ROW()-1,60),ROW()-1,FALSE))</f>
        <v/>
      </c>
      <c r="AW115" t="str">
        <f ca="1">IF(AND(ISNUMBER($AW$570),$B$419=1),$AW$570,HLOOKUP(INDIRECT(ADDRESS(2,COLUMN())),OFFSET($BN$2,0,0,ROW()-1,60),ROW()-1,FALSE))</f>
        <v/>
      </c>
      <c r="AX115" t="str">
        <f ca="1">IF(AND(ISNUMBER($AX$570),$B$419=1),$AX$570,HLOOKUP(INDIRECT(ADDRESS(2,COLUMN())),OFFSET($BN$2,0,0,ROW()-1,60),ROW()-1,FALSE))</f>
        <v/>
      </c>
      <c r="AY115" t="str">
        <f ca="1">IF(AND(ISNUMBER($AY$570),$B$419=1),$AY$570,HLOOKUP(INDIRECT(ADDRESS(2,COLUMN())),OFFSET($BN$2,0,0,ROW()-1,60),ROW()-1,FALSE))</f>
        <v/>
      </c>
      <c r="AZ115" t="str">
        <f ca="1">IF(AND(ISNUMBER($AZ$570),$B$419=1),$AZ$570,HLOOKUP(INDIRECT(ADDRESS(2,COLUMN())),OFFSET($BN$2,0,0,ROW()-1,60),ROW()-1,FALSE))</f>
        <v/>
      </c>
      <c r="BA115" t="str">
        <f ca="1">IF(AND(ISNUMBER($BA$570),$B$419=1),$BA$570,HLOOKUP(INDIRECT(ADDRESS(2,COLUMN())),OFFSET($BN$2,0,0,ROW()-1,60),ROW()-1,FALSE))</f>
        <v/>
      </c>
      <c r="BB115" t="str">
        <f ca="1">IF(AND(ISNUMBER($BB$570),$B$419=1),$BB$570,HLOOKUP(INDIRECT(ADDRESS(2,COLUMN())),OFFSET($BN$2,0,0,ROW()-1,60),ROW()-1,FALSE))</f>
        <v/>
      </c>
      <c r="BC115" t="str">
        <f ca="1">IF(AND(ISNUMBER($BC$570),$B$419=1),$BC$570,HLOOKUP(INDIRECT(ADDRESS(2,COLUMN())),OFFSET($BN$2,0,0,ROW()-1,60),ROW()-1,FALSE))</f>
        <v/>
      </c>
      <c r="BD115" t="str">
        <f ca="1">IF(AND(ISNUMBER($BD$570),$B$419=1),$BD$570,HLOOKUP(INDIRECT(ADDRESS(2,COLUMN())),OFFSET($BN$2,0,0,ROW()-1,60),ROW()-1,FALSE))</f>
        <v/>
      </c>
      <c r="BE115" t="str">
        <f ca="1">IF(AND(ISNUMBER($BE$570),$B$419=1),$BE$570,HLOOKUP(INDIRECT(ADDRESS(2,COLUMN())),OFFSET($BN$2,0,0,ROW()-1,60),ROW()-1,FALSE))</f>
        <v/>
      </c>
      <c r="BF115" t="str">
        <f ca="1">IF(AND(ISNUMBER($BF$570),$B$419=1),$BF$570,HLOOKUP(INDIRECT(ADDRESS(2,COLUMN())),OFFSET($BN$2,0,0,ROW()-1,60),ROW()-1,FALSE))</f>
        <v/>
      </c>
      <c r="BG115" t="str">
        <f ca="1">IF(AND(ISNUMBER($BG$570),$B$419=1),$BG$570,HLOOKUP(INDIRECT(ADDRESS(2,COLUMN())),OFFSET($BN$2,0,0,ROW()-1,60),ROW()-1,FALSE))</f>
        <v/>
      </c>
      <c r="BH115" t="str">
        <f ca="1">IF(AND(ISNUMBER($BH$570),$B$419=1),$BH$570,HLOOKUP(INDIRECT(ADDRESS(2,COLUMN())),OFFSET($BN$2,0,0,ROW()-1,60),ROW()-1,FALSE))</f>
        <v/>
      </c>
      <c r="BI115" t="str">
        <f ca="1">IF(AND(ISNUMBER($BI$570),$B$419=1),$BI$570,HLOOKUP(INDIRECT(ADDRESS(2,COLUMN())),OFFSET($BN$2,0,0,ROW()-1,60),ROW()-1,FALSE))</f>
        <v/>
      </c>
      <c r="BJ115" t="str">
        <f ca="1">IF(AND(ISNUMBER($BJ$570),$B$419=1),$BJ$570,HLOOKUP(INDIRECT(ADDRESS(2,COLUMN())),OFFSET($BN$2,0,0,ROW()-1,60),ROW()-1,FALSE))</f>
        <v/>
      </c>
      <c r="BK115" t="str">
        <f ca="1">IF(AND(ISNUMBER($BK$570),$B$419=1),$BK$570,HLOOKUP(INDIRECT(ADDRESS(2,COLUMN())),OFFSET($BN$2,0,0,ROW()-1,60),ROW()-1,FALSE))</f>
        <v/>
      </c>
      <c r="BL115" t="str">
        <f ca="1">IF(AND(ISNUMBER($BL$570),$B$419=1),$BL$570,HLOOKUP(INDIRECT(ADDRESS(2,COLUMN())),OFFSET($BN$2,0,0,ROW()-1,60),ROW()-1,FALSE))</f>
        <v/>
      </c>
      <c r="BM115" t="str">
        <f ca="1">IF(AND(ISNUMBER($BM$570),$B$419=1),$BM$570,HLOOKUP(INDIRECT(ADDRESS(2,COLUMN())),OFFSET($BN$2,0,0,ROW()-1,60),ROW()-1,FALSE))</f>
        <v/>
      </c>
      <c r="BN115" t="str">
        <f>""</f>
        <v/>
      </c>
      <c r="BO115">
        <f>97.895</f>
        <v>97.894999999999996</v>
      </c>
      <c r="BP115">
        <f>98.033</f>
        <v>98.033000000000001</v>
      </c>
      <c r="BQ115">
        <f>98.676</f>
        <v>98.676000000000002</v>
      </c>
      <c r="BR115">
        <f>96.043</f>
        <v>96.043000000000006</v>
      </c>
      <c r="BS115">
        <f>99.534</f>
        <v>99.534000000000006</v>
      </c>
      <c r="BT115">
        <f>95.455</f>
        <v>95.454999999999998</v>
      </c>
      <c r="BU115">
        <f>91.533</f>
        <v>91.533000000000001</v>
      </c>
      <c r="BV115">
        <f>91.141</f>
        <v>91.141000000000005</v>
      </c>
      <c r="BW115">
        <f>89.869</f>
        <v>89.869</v>
      </c>
      <c r="BX115">
        <f>89.006</f>
        <v>89.006</v>
      </c>
      <c r="BY115">
        <f>87.975</f>
        <v>87.974999999999994</v>
      </c>
      <c r="BZ115">
        <f>88.811</f>
        <v>88.811000000000007</v>
      </c>
      <c r="CA115">
        <f>88.85</f>
        <v>88.85</v>
      </c>
      <c r="CB115">
        <f>90.344</f>
        <v>90.343999999999994</v>
      </c>
      <c r="CC115">
        <f>89.505</f>
        <v>89.504999999999995</v>
      </c>
      <c r="CD115">
        <f>89.835</f>
        <v>89.834999999999994</v>
      </c>
      <c r="CE115">
        <f>85.074</f>
        <v>85.073999999999998</v>
      </c>
      <c r="CF115">
        <f>91.869</f>
        <v>91.869</v>
      </c>
      <c r="CG115">
        <f>93.278</f>
        <v>93.278000000000006</v>
      </c>
      <c r="CH115">
        <f>91.839</f>
        <v>91.838999999999999</v>
      </c>
      <c r="CI115">
        <f>92.764</f>
        <v>92.763999999999996</v>
      </c>
      <c r="CJ115" t="str">
        <f>""</f>
        <v/>
      </c>
      <c r="CK115" t="str">
        <f>""</f>
        <v/>
      </c>
      <c r="CL115" t="str">
        <f>""</f>
        <v/>
      </c>
      <c r="CM115">
        <f>96.793</f>
        <v>96.793000000000006</v>
      </c>
      <c r="CN115" t="str">
        <f>""</f>
        <v/>
      </c>
      <c r="CO115" t="str">
        <f>""</f>
        <v/>
      </c>
      <c r="CP115" t="str">
        <f>""</f>
        <v/>
      </c>
      <c r="CQ115" t="str">
        <f>""</f>
        <v/>
      </c>
      <c r="CR115" t="str">
        <f>""</f>
        <v/>
      </c>
      <c r="CS115" t="str">
        <f>""</f>
        <v/>
      </c>
      <c r="CT115" t="str">
        <f>""</f>
        <v/>
      </c>
      <c r="CU115" t="str">
        <f>""</f>
        <v/>
      </c>
      <c r="CV115" t="str">
        <f>""</f>
        <v/>
      </c>
      <c r="CW115" t="str">
        <f>""</f>
        <v/>
      </c>
      <c r="CX115" t="str">
        <f>""</f>
        <v/>
      </c>
      <c r="CY115" t="str">
        <f>""</f>
        <v/>
      </c>
      <c r="CZ115" t="str">
        <f>""</f>
        <v/>
      </c>
      <c r="DA115" t="str">
        <f>""</f>
        <v/>
      </c>
      <c r="DB115" t="str">
        <f>""</f>
        <v/>
      </c>
      <c r="DC115" t="str">
        <f>""</f>
        <v/>
      </c>
      <c r="DD115" t="str">
        <f>""</f>
        <v/>
      </c>
      <c r="DE115" t="str">
        <f>""</f>
        <v/>
      </c>
      <c r="DF115" t="str">
        <f>""</f>
        <v/>
      </c>
      <c r="DG115" t="str">
        <f>""</f>
        <v/>
      </c>
      <c r="DH115" t="str">
        <f>""</f>
        <v/>
      </c>
      <c r="DI115" t="str">
        <f>""</f>
        <v/>
      </c>
      <c r="DJ115" t="str">
        <f>""</f>
        <v/>
      </c>
      <c r="DK115" t="str">
        <f>""</f>
        <v/>
      </c>
      <c r="DL115" t="str">
        <f>""</f>
        <v/>
      </c>
      <c r="DM115" t="str">
        <f>""</f>
        <v/>
      </c>
      <c r="DN115" t="str">
        <f>""</f>
        <v/>
      </c>
      <c r="DO115" t="str">
        <f>""</f>
        <v/>
      </c>
      <c r="DP115" t="str">
        <f>""</f>
        <v/>
      </c>
      <c r="DQ115" t="str">
        <f>""</f>
        <v/>
      </c>
      <c r="DR115" t="str">
        <f>""</f>
        <v/>
      </c>
      <c r="DS115" t="str">
        <f>""</f>
        <v/>
      </c>
      <c r="DT115" t="str">
        <f>""</f>
        <v/>
      </c>
      <c r="DU115" t="str">
        <f>""</f>
        <v/>
      </c>
    </row>
    <row r="116" spans="1:125">
      <c r="A116" t="str">
        <f>"营运资本"</f>
        <v>营运资本</v>
      </c>
      <c r="B116" t="str">
        <f>""</f>
        <v/>
      </c>
      <c r="E116" t="str">
        <f>"Median"</f>
        <v>Median</v>
      </c>
      <c r="F116" t="str">
        <f ca="1">IF(ISERROR(IF(MEDIAN($F$117:$F$131) = 0, "", MEDIAN($F$117:$F$131))), "", (IF(MEDIAN($F$117:$F$131) = 0, "", MEDIAN($F$117:$F$131))))</f>
        <v/>
      </c>
      <c r="G116">
        <f ca="1">IF(ISERROR(IF(MEDIAN($G$117:$G$131) = 0, "", MEDIAN($G$117:$G$131))), "", (IF(MEDIAN($G$117:$G$131) = 0, "", MEDIAN($G$117:$G$131))))</f>
        <v>109.06699999999999</v>
      </c>
      <c r="H116">
        <f ca="1">IF(ISERROR(IF(MEDIAN($H$117:$H$131) = 0, "", MEDIAN($H$117:$H$131))), "", (IF(MEDIAN($H$117:$H$131) = 0, "", MEDIAN($H$117:$H$131))))</f>
        <v>102.852</v>
      </c>
      <c r="I116">
        <f ca="1">IF(ISERROR(IF(MEDIAN($I$117:$I$131) = 0, "", MEDIAN($I$117:$I$131))), "", (IF(MEDIAN($I$117:$I$131) = 0, "", MEDIAN($I$117:$I$131))))</f>
        <v>110.626</v>
      </c>
      <c r="J116">
        <f ca="1">IF(ISERROR(IF(MEDIAN($J$117:$J$131) = 0, "", MEDIAN($J$117:$J$131))), "", (IF(MEDIAN($J$117:$J$131) = 0, "", MEDIAN($J$117:$J$131))))</f>
        <v>94.034999999999997</v>
      </c>
      <c r="K116">
        <f ca="1">IF(ISERROR(IF(MEDIAN($K$117:$K$131) = 0, "", MEDIAN($K$117:$K$131))), "", (IF(MEDIAN($K$117:$K$131) = 0, "", MEDIAN($K$117:$K$131))))</f>
        <v>104.919</v>
      </c>
      <c r="L116">
        <f ca="1">IF(ISERROR(IF(MEDIAN($L$117:$L$131) = 0, "", MEDIAN($L$117:$L$131))), "", (IF(MEDIAN($L$117:$L$131) = 0, "", MEDIAN($L$117:$L$131))))</f>
        <v>85.171000000000006</v>
      </c>
      <c r="M116">
        <f ca="1">IF(ISERROR(IF(MEDIAN($M$117:$M$131) = 0, "", MEDIAN($M$117:$M$131))), "", (IF(MEDIAN($M$117:$M$131) = 0, "", MEDIAN($M$117:$M$131))))</f>
        <v>102.18300000000001</v>
      </c>
      <c r="N116">
        <f ca="1">IF(ISERROR(IF(MEDIAN($N$117:$N$131) = 0, "", MEDIAN($N$117:$N$131))), "", (IF(MEDIAN($N$117:$N$131) = 0, "", MEDIAN($N$117:$N$131))))</f>
        <v>97.588999999999999</v>
      </c>
      <c r="O116">
        <f ca="1">IF(ISERROR(IF(MEDIAN($O$117:$O$131) = 0, "", MEDIAN($O$117:$O$131))), "", (IF(MEDIAN($O$117:$O$131) = 0, "", MEDIAN($O$117:$O$131))))</f>
        <v>96.468000000000004</v>
      </c>
      <c r="P116">
        <f ca="1">IF(ISERROR(IF(MEDIAN($P$117:$P$131) = 0, "", MEDIAN($P$117:$P$131))), "", (IF(MEDIAN($P$117:$P$131) = 0, "", MEDIAN($P$117:$P$131))))</f>
        <v>95.156999999999996</v>
      </c>
      <c r="Q116">
        <f ca="1">IF(ISERROR(IF(MEDIAN($Q$117:$Q$131) = 0, "", MEDIAN($Q$117:$Q$131))), "", (IF(MEDIAN($Q$117:$Q$131) = 0, "", MEDIAN($Q$117:$Q$131))))</f>
        <v>95.215999999999994</v>
      </c>
      <c r="R116">
        <f ca="1">IF(ISERROR(IF(MEDIAN($R$117:$R$131) = 0, "", MEDIAN($R$117:$R$131))), "", (IF(MEDIAN($R$117:$R$131) = 0, "", MEDIAN($R$117:$R$131))))</f>
        <v>77.036000000000001</v>
      </c>
      <c r="S116">
        <f ca="1">IF(ISERROR(IF(MEDIAN($S$117:$S$131) = 0, "", MEDIAN($S$117:$S$131))), "", (IF(MEDIAN($S$117:$S$131) = 0, "", MEDIAN($S$117:$S$131))))</f>
        <v>77.745000000000005</v>
      </c>
      <c r="T116">
        <f ca="1">IF(ISERROR(IF(MEDIAN($T$117:$T$131) = 0, "", MEDIAN($T$117:$T$131))), "", (IF(MEDIAN($T$117:$T$131) = 0, "", MEDIAN($T$117:$T$131))))</f>
        <v>84.47</v>
      </c>
      <c r="U116">
        <f ca="1">IF(ISERROR(IF(MEDIAN($U$117:$U$131) = 0, "", MEDIAN($U$117:$U$131))), "", (IF(MEDIAN($U$117:$U$131) = 0, "", MEDIAN($U$117:$U$131))))</f>
        <v>82.126000000000005</v>
      </c>
      <c r="V116">
        <f ca="1">IF(ISERROR(IF(MEDIAN($V$117:$V$131) = 0, "", MEDIAN($V$117:$V$131))), "", (IF(MEDIAN($V$117:$V$131) = 0, "", MEDIAN($V$117:$V$131))))</f>
        <v>81.754000000000005</v>
      </c>
      <c r="W116">
        <f ca="1">IF(ISERROR(IF(MEDIAN($W$117:$W$131) = 0, "", MEDIAN($W$117:$W$131))), "", (IF(MEDIAN($W$117:$W$131) = 0, "", MEDIAN($W$117:$W$131))))</f>
        <v>70.100999999999999</v>
      </c>
      <c r="X116">
        <f ca="1">IF(ISERROR(IF(MEDIAN($X$117:$X$131) = 0, "", MEDIAN($X$117:$X$131))), "", (IF(MEDIAN($X$117:$X$131) = 0, "", MEDIAN($X$117:$X$131))))</f>
        <v>69.900000000000006</v>
      </c>
      <c r="Y116">
        <f ca="1">IF(ISERROR(IF(MEDIAN($Y$117:$Y$131) = 0, "", MEDIAN($Y$117:$Y$131))), "", (IF(MEDIAN($Y$117:$Y$131) = 0, "", MEDIAN($Y$117:$Y$131))))</f>
        <v>75.555499999999995</v>
      </c>
      <c r="Z116">
        <f ca="1">IF(ISERROR(IF(MEDIAN($Z$117:$Z$131) = 0, "", MEDIAN($Z$117:$Z$131))), "", (IF(MEDIAN($Z$117:$Z$131) = 0, "", MEDIAN($Z$117:$Z$131))))</f>
        <v>70.045999999999992</v>
      </c>
      <c r="AA116">
        <f ca="1">IF(ISERROR(IF(MEDIAN($AA$117:$AA$131) = 0, "", MEDIAN($AA$117:$AA$131))), "", (IF(MEDIAN($AA$117:$AA$131) = 0, "", MEDIAN($AA$117:$AA$131))))</f>
        <v>60.912999999999997</v>
      </c>
      <c r="AB116">
        <f ca="1">IF(ISERROR(IF(MEDIAN($AB$117:$AB$131) = 0, "", MEDIAN($AB$117:$AB$131))), "", (IF(MEDIAN($AB$117:$AB$131) = 0, "", MEDIAN($AB$117:$AB$131))))</f>
        <v>60.329000000000001</v>
      </c>
      <c r="AC116">
        <f ca="1">IF(ISERROR(IF(MEDIAN($AC$117:$AC$131) = 0, "", MEDIAN($AC$117:$AC$131))), "", (IF(MEDIAN($AC$117:$AC$131) = 0, "", MEDIAN($AC$117:$AC$131))))</f>
        <v>65.972499999999997</v>
      </c>
      <c r="AD116">
        <f ca="1">IF(ISERROR(IF(MEDIAN($AD$117:$AD$131) = 0, "", MEDIAN($AD$117:$AD$131))), "", (IF(MEDIAN($AD$117:$AD$131) = 0, "", MEDIAN($AD$117:$AD$131))))</f>
        <v>57.772499999999994</v>
      </c>
      <c r="AE116">
        <f ca="1">IF(ISERROR(IF(MEDIAN($AE$117:$AE$131) = 0, "", MEDIAN($AE$117:$AE$131))), "", (IF(MEDIAN($AE$117:$AE$131) = 0, "", MEDIAN($AE$117:$AE$131))))</f>
        <v>56.536105999999997</v>
      </c>
      <c r="AF116">
        <f ca="1">IF(ISERROR(IF(MEDIAN($AF$117:$AF$131) = 0, "", MEDIAN($AF$117:$AF$131))), "", (IF(MEDIAN($AF$117:$AF$131) = 0, "", MEDIAN($AF$117:$AF$131))))</f>
        <v>46.146999999999998</v>
      </c>
      <c r="AG116">
        <f ca="1">IF(ISERROR(IF(MEDIAN($AG$117:$AG$131) = 0, "", MEDIAN($AG$117:$AG$131))), "", (IF(MEDIAN($AG$117:$AG$131) = 0, "", MEDIAN($AG$117:$AG$131))))</f>
        <v>53.705630999999997</v>
      </c>
      <c r="AH116">
        <f ca="1">IF(ISERROR(IF(MEDIAN($AH$117:$AH$131) = 0, "", MEDIAN($AH$117:$AH$131))), "", (IF(MEDIAN($AH$117:$AH$131) = 0, "", MEDIAN($AH$117:$AH$131))))</f>
        <v>52.475999999999999</v>
      </c>
      <c r="AI116">
        <f ca="1">IF(ISERROR(IF(MEDIAN($AI$117:$AI$131) = 0, "", MEDIAN($AI$117:$AI$131))), "", (IF(MEDIAN($AI$117:$AI$131) = 0, "", MEDIAN($AI$117:$AI$131))))</f>
        <v>41.490018499999998</v>
      </c>
      <c r="AJ116">
        <f ca="1">IF(ISERROR(IF(MEDIAN($AJ$117:$AJ$131) = 0, "", MEDIAN($AJ$117:$AJ$131))), "", (IF(MEDIAN($AJ$117:$AJ$131) = 0, "", MEDIAN($AJ$117:$AJ$131))))</f>
        <v>48.656999999999996</v>
      </c>
      <c r="AK116">
        <f ca="1">IF(ISERROR(IF(MEDIAN($AK$117:$AK$131) = 0, "", MEDIAN($AK$117:$AK$131))), "", (IF(MEDIAN($AK$117:$AK$131) = 0, "", MEDIAN($AK$117:$AK$131))))</f>
        <v>46.790999999999997</v>
      </c>
      <c r="AL116">
        <f ca="1">IF(ISERROR(IF(MEDIAN($AL$117:$AL$131) = 0, "", MEDIAN($AL$117:$AL$131))), "", (IF(MEDIAN($AL$117:$AL$131) = 0, "", MEDIAN($AL$117:$AL$131))))</f>
        <v>48.415830999999997</v>
      </c>
      <c r="AM116">
        <f ca="1">IF(ISERROR(IF(MEDIAN($AM$117:$AM$131) = 0, "", MEDIAN($AM$117:$AM$131))), "", (IF(MEDIAN($AM$117:$AM$131) = 0, "", MEDIAN($AM$117:$AM$131))))</f>
        <v>49.757000000000005</v>
      </c>
      <c r="AN116">
        <f ca="1">IF(ISERROR(IF(MEDIAN($AN$117:$AN$131) = 0, "", MEDIAN($AN$117:$AN$131))), "", (IF(MEDIAN($AN$117:$AN$131) = 0, "", MEDIAN($AN$117:$AN$131))))</f>
        <v>48.154000000000003</v>
      </c>
      <c r="AO116">
        <f ca="1">IF(ISERROR(IF(MEDIAN($AO$117:$AO$131) = 0, "", MEDIAN($AO$117:$AO$131))), "", (IF(MEDIAN($AO$117:$AO$131) = 0, "", MEDIAN($AO$117:$AO$131))))</f>
        <v>39.830500000000001</v>
      </c>
      <c r="AP116">
        <f ca="1">IF(ISERROR(IF(MEDIAN($AP$117:$AP$131) = 0, "", MEDIAN($AP$117:$AP$131))), "", (IF(MEDIAN($AP$117:$AP$131) = 0, "", MEDIAN($AP$117:$AP$131))))</f>
        <v>61.098442499999997</v>
      </c>
      <c r="AQ116">
        <f ca="1">IF(ISERROR(IF(MEDIAN($AQ$117:$AQ$131) = 0, "", MEDIAN($AQ$117:$AQ$131))), "", (IF(MEDIAN($AQ$117:$AQ$131) = 0, "", MEDIAN($AQ$117:$AQ$131))))</f>
        <v>41.4955</v>
      </c>
      <c r="AR116">
        <f ca="1">IF(ISERROR(IF(MEDIAN($AR$117:$AR$131) = 0, "", MEDIAN($AR$117:$AR$131))), "", (IF(MEDIAN($AR$117:$AR$131) = 0, "", MEDIAN($AR$117:$AR$131))))</f>
        <v>70.575552500000001</v>
      </c>
      <c r="AS116">
        <f ca="1">IF(ISERROR(IF(MEDIAN($AS$117:$AS$131) = 0, "", MEDIAN($AS$117:$AS$131))), "", (IF(MEDIAN($AS$117:$AS$131) = 0, "", MEDIAN($AS$117:$AS$131))))</f>
        <v>67.4511775</v>
      </c>
      <c r="AT116">
        <f ca="1">IF(ISERROR(IF(MEDIAN($AT$117:$AT$131) = 0, "", MEDIAN($AT$117:$AT$131))), "", (IF(MEDIAN($AT$117:$AT$131) = 0, "", MEDIAN($AT$117:$AT$131))))</f>
        <v>62.287192500000003</v>
      </c>
      <c r="AU116">
        <f ca="1">IF(ISERROR(IF(MEDIAN($AU$117:$AU$131) = 0, "", MEDIAN($AU$117:$AU$131))), "", (IF(MEDIAN($AU$117:$AU$131) = 0, "", MEDIAN($AU$117:$AU$131))))</f>
        <v>74.629512000000005</v>
      </c>
      <c r="AV116">
        <f ca="1">IF(ISERROR(IF(MEDIAN($AV$117:$AV$131) = 0, "", MEDIAN($AV$117:$AV$131))), "", (IF(MEDIAN($AV$117:$AV$131) = 0, "", MEDIAN($AV$117:$AV$131))))</f>
        <v>68.618540499999995</v>
      </c>
      <c r="AW116">
        <f ca="1">IF(ISERROR(IF(MEDIAN($AW$117:$AW$131) = 0, "", MEDIAN($AW$117:$AW$131))), "", (IF(MEDIAN($AW$117:$AW$131) = 0, "", MEDIAN($AW$117:$AW$131))))</f>
        <v>66.396186999999998</v>
      </c>
      <c r="AX116">
        <f ca="1">IF(ISERROR(IF(MEDIAN($AX$117:$AX$131) = 0, "", MEDIAN($AX$117:$AX$131))), "", (IF(MEDIAN($AX$117:$AX$131) = 0, "", MEDIAN($AX$117:$AX$131))))</f>
        <v>72.849472999999989</v>
      </c>
      <c r="AY116">
        <f ca="1">IF(ISERROR(IF(MEDIAN($AY$117:$AY$131) = 0, "", MEDIAN($AY$117:$AY$131))), "", (IF(MEDIAN($AY$117:$AY$131) = 0, "", MEDIAN($AY$117:$AY$131))))</f>
        <v>70.77560299999999</v>
      </c>
      <c r="AZ116">
        <f ca="1">IF(ISERROR(IF(MEDIAN($AZ$117:$AZ$131) = 0, "", MEDIAN($AZ$117:$AZ$131))), "", (IF(MEDIAN($AZ$117:$AZ$131) = 0, "", MEDIAN($AZ$117:$AZ$131))))</f>
        <v>67.119246000000004</v>
      </c>
      <c r="BA116">
        <f ca="1">IF(ISERROR(IF(MEDIAN($BA$117:$BA$131) = 0, "", MEDIAN($BA$117:$BA$131))), "", (IF(MEDIAN($BA$117:$BA$131) = 0, "", MEDIAN($BA$117:$BA$131))))</f>
        <v>63.772411000000005</v>
      </c>
      <c r="BB116">
        <f ca="1">IF(ISERROR(IF(MEDIAN($BB$117:$BB$131) = 0, "", MEDIAN($BB$117:$BB$131))), "", (IF(MEDIAN($BB$117:$BB$131) = 0, "", MEDIAN($BB$117:$BB$131))))</f>
        <v>62.844007000000005</v>
      </c>
      <c r="BC116">
        <f ca="1">IF(ISERROR(IF(MEDIAN($BC$117:$BC$131) = 0, "", MEDIAN($BC$117:$BC$131))), "", (IF(MEDIAN($BC$117:$BC$131) = 0, "", MEDIAN($BC$117:$BC$131))))</f>
        <v>61.136500699999999</v>
      </c>
      <c r="BD116">
        <f ca="1">IF(ISERROR(IF(MEDIAN($BD$117:$BD$131) = 0, "", MEDIAN($BD$117:$BD$131))), "", (IF(MEDIAN($BD$117:$BD$131) = 0, "", MEDIAN($BD$117:$BD$131))))</f>
        <v>47.583912499999997</v>
      </c>
      <c r="BE116">
        <f ca="1">IF(ISERROR(IF(MEDIAN($BE$117:$BE$131) = 0, "", MEDIAN($BE$117:$BE$131))), "", (IF(MEDIAN($BE$117:$BE$131) = 0, "", MEDIAN($BE$117:$BE$131))))</f>
        <v>65.328499999999991</v>
      </c>
      <c r="BF116">
        <f ca="1">IF(ISERROR(IF(MEDIAN($BF$117:$BF$131) = 0, "", MEDIAN($BF$117:$BF$131))), "", (IF(MEDIAN($BF$117:$BF$131) = 0, "", MEDIAN($BF$117:$BF$131))))</f>
        <v>59.255914000000004</v>
      </c>
      <c r="BG116">
        <f ca="1">IF(ISERROR(IF(MEDIAN($BG$117:$BG$131) = 0, "", MEDIAN($BG$117:$BG$131))), "", (IF(MEDIAN($BG$117:$BG$131) = 0, "", MEDIAN($BG$117:$BG$131))))</f>
        <v>61.367000000000004</v>
      </c>
      <c r="BH116">
        <f ca="1">IF(ISERROR(IF(MEDIAN($BH$117:$BH$131) = 0, "", MEDIAN($BH$117:$BH$131))), "", (IF(MEDIAN($BH$117:$BH$131) = 0, "", MEDIAN($BH$117:$BH$131))))</f>
        <v>63.074253999999996</v>
      </c>
      <c r="BI116">
        <f ca="1">IF(ISERROR(IF(MEDIAN($BI$117:$BI$131) = 0, "", MEDIAN($BI$117:$BI$131))), "", (IF(MEDIAN($BI$117:$BI$131) = 0, "", MEDIAN($BI$117:$BI$131))))</f>
        <v>49.148500229999996</v>
      </c>
      <c r="BJ116">
        <f ca="1">IF(ISERROR(IF(MEDIAN($BJ$117:$BJ$131) = 0, "", MEDIAN($BJ$117:$BJ$131))), "", (IF(MEDIAN($BJ$117:$BJ$131) = 0, "", MEDIAN($BJ$117:$BJ$131))))</f>
        <v>47.720500999999999</v>
      </c>
      <c r="BK116">
        <f ca="1">IF(ISERROR(IF(MEDIAN($BK$117:$BK$131) = 0, "", MEDIAN($BK$117:$BK$131))), "", (IF(MEDIAN($BK$117:$BK$131) = 0, "", MEDIAN($BK$117:$BK$131))))</f>
        <v>55.890998840000002</v>
      </c>
      <c r="BL116">
        <f ca="1">IF(ISERROR(IF(MEDIAN($BL$117:$BL$131) = 0, "", MEDIAN($BL$117:$BL$131))), "", (IF(MEDIAN($BL$117:$BL$131) = 0, "", MEDIAN($BL$117:$BL$131))))</f>
        <v>47.407001000000001</v>
      </c>
      <c r="BM116">
        <f ca="1">IF(ISERROR(IF(MEDIAN($BM$117:$BM$131) = 0, "", MEDIAN($BM$117:$BM$131))), "", (IF(MEDIAN($BM$117:$BM$131) = 0, "", MEDIAN($BM$117:$BM$131))))</f>
        <v>42.411998500000003</v>
      </c>
      <c r="BN116" t="str">
        <f>""</f>
        <v/>
      </c>
      <c r="BO116">
        <f>109.067</f>
        <v>109.06699999999999</v>
      </c>
      <c r="BP116">
        <f>102.852</f>
        <v>102.852</v>
      </c>
      <c r="BQ116">
        <f>110.626</f>
        <v>110.626</v>
      </c>
      <c r="BR116">
        <f>94.035</f>
        <v>94.034999999999997</v>
      </c>
      <c r="BS116">
        <f>104.919</f>
        <v>104.919</v>
      </c>
      <c r="BT116">
        <f>85.171</f>
        <v>85.171000000000006</v>
      </c>
      <c r="BU116">
        <f>102.183</f>
        <v>102.18300000000001</v>
      </c>
      <c r="BV116">
        <f>97.589</f>
        <v>97.588999999999999</v>
      </c>
      <c r="BW116">
        <f>96.468</f>
        <v>96.468000000000004</v>
      </c>
      <c r="BX116">
        <f>95.157</f>
        <v>95.156999999999996</v>
      </c>
      <c r="BY116">
        <f>95.216</f>
        <v>95.215999999999994</v>
      </c>
      <c r="BZ116">
        <f>77.036</f>
        <v>77.036000000000001</v>
      </c>
      <c r="CA116">
        <f>77.745</f>
        <v>77.745000000000005</v>
      </c>
      <c r="CB116">
        <f>84.47</f>
        <v>84.47</v>
      </c>
      <c r="CC116">
        <f>82.126</f>
        <v>82.126000000000005</v>
      </c>
      <c r="CD116">
        <f>81.754</f>
        <v>81.754000000000005</v>
      </c>
      <c r="CE116">
        <f>70.101</f>
        <v>70.100999999999999</v>
      </c>
      <c r="CF116">
        <f>69.9</f>
        <v>69.900000000000006</v>
      </c>
      <c r="CG116">
        <f>75.5555</f>
        <v>75.555499999999995</v>
      </c>
      <c r="CH116">
        <f>70.046</f>
        <v>70.046000000000006</v>
      </c>
      <c r="CI116">
        <f>60.913</f>
        <v>60.912999999999997</v>
      </c>
      <c r="CJ116">
        <f>60.329</f>
        <v>60.329000000000001</v>
      </c>
      <c r="CK116">
        <f>65.9725</f>
        <v>65.972499999999997</v>
      </c>
      <c r="CL116">
        <f>57.7725</f>
        <v>57.772500000000001</v>
      </c>
      <c r="CM116">
        <f>56.536106</f>
        <v>56.536105999999997</v>
      </c>
      <c r="CN116">
        <f>46.147</f>
        <v>46.146999999999998</v>
      </c>
      <c r="CO116">
        <f>53.705631</f>
        <v>53.705630999999997</v>
      </c>
      <c r="CP116">
        <f>52.476</f>
        <v>52.475999999999999</v>
      </c>
      <c r="CQ116">
        <f>41.4900185</f>
        <v>41.490018499999998</v>
      </c>
      <c r="CR116">
        <f>48.657</f>
        <v>48.656999999999996</v>
      </c>
      <c r="CS116">
        <f>46.791</f>
        <v>46.790999999999997</v>
      </c>
      <c r="CT116">
        <f>48.415831</f>
        <v>48.415830999999997</v>
      </c>
      <c r="CU116">
        <f>49.757</f>
        <v>49.756999999999998</v>
      </c>
      <c r="CV116">
        <f>48.154</f>
        <v>48.154000000000003</v>
      </c>
      <c r="CW116">
        <f>39.8305</f>
        <v>39.830500000000001</v>
      </c>
      <c r="CX116">
        <f>61.0984425</f>
        <v>61.098442499999997</v>
      </c>
      <c r="CY116">
        <f>41.4955</f>
        <v>41.4955</v>
      </c>
      <c r="CZ116">
        <f>70.5755525</f>
        <v>70.575552500000001</v>
      </c>
      <c r="DA116">
        <f>67.4511775</f>
        <v>67.4511775</v>
      </c>
      <c r="DB116">
        <f>62.2871925</f>
        <v>62.287192500000003</v>
      </c>
      <c r="DC116">
        <f>74.629512</f>
        <v>74.629512000000005</v>
      </c>
      <c r="DD116">
        <f>68.6185405</f>
        <v>68.618540499999995</v>
      </c>
      <c r="DE116">
        <f>66.396187</f>
        <v>66.396186999999998</v>
      </c>
      <c r="DF116">
        <f>72.849473</f>
        <v>72.849473000000003</v>
      </c>
      <c r="DG116">
        <f>70.775603</f>
        <v>70.775603000000004</v>
      </c>
      <c r="DH116">
        <f>67.119246</f>
        <v>67.119246000000004</v>
      </c>
      <c r="DI116">
        <f>63.772411</f>
        <v>63.772410999999998</v>
      </c>
      <c r="DJ116">
        <f>62.844007</f>
        <v>62.844006999999998</v>
      </c>
      <c r="DK116">
        <f>61.1365007</f>
        <v>61.136500699999999</v>
      </c>
      <c r="DL116">
        <f>47.5839125</f>
        <v>47.583912499999997</v>
      </c>
      <c r="DM116">
        <f>65.3285</f>
        <v>65.328500000000005</v>
      </c>
      <c r="DN116">
        <f>59.255914</f>
        <v>59.255913999999997</v>
      </c>
      <c r="DO116">
        <f>61.367</f>
        <v>61.366999999999997</v>
      </c>
      <c r="DP116">
        <f>63.074254</f>
        <v>63.074254000000003</v>
      </c>
      <c r="DQ116">
        <f>49.14850023</f>
        <v>49.148500230000003</v>
      </c>
      <c r="DR116">
        <f>47.720501</f>
        <v>47.720500999999999</v>
      </c>
      <c r="DS116">
        <f>55.89099884</f>
        <v>55.890998840000002</v>
      </c>
      <c r="DT116">
        <f>47.407001</f>
        <v>47.407001000000001</v>
      </c>
      <c r="DU116">
        <f>42.4119985</f>
        <v>42.411998500000003</v>
      </c>
    </row>
    <row r="117" spans="1:125">
      <c r="A117" t="str">
        <f>"    Brixmor Property Group Inc"</f>
        <v xml:space="preserve">    Brixmor Property Group Inc</v>
      </c>
      <c r="B117" t="str">
        <f>"BRX US Equity"</f>
        <v>BRX US Equity</v>
      </c>
      <c r="C117" t="str">
        <f t="shared" ref="C117:C131" si="21">"CF039"</f>
        <v>CF039</v>
      </c>
      <c r="D117" t="str">
        <f t="shared" ref="D117:D131" si="22">"CF_FFO"</f>
        <v>CF_FFO</v>
      </c>
      <c r="E117" t="str">
        <f t="shared" ref="E117:E131" si="23">"动态"</f>
        <v>动态</v>
      </c>
      <c r="F117" t="str">
        <f ca="1">IF(AND(ISNUMBER($F$571),$B$419=1),$F$571,HLOOKUP(INDIRECT(ADDRESS(2,COLUMN())),OFFSET($BN$2,0,0,ROW()-1,60),ROW()-1,FALSE))</f>
        <v/>
      </c>
      <c r="G117">
        <f ca="1">IF(AND(ISNUMBER($G$571),$B$419=1),$G$571,HLOOKUP(INDIRECT(ADDRESS(2,COLUMN())),OFFSET($BN$2,0,0,ROW()-1,60),ROW()-1,FALSE))</f>
        <v>157.70500000000001</v>
      </c>
      <c r="H117">
        <f ca="1">IF(AND(ISNUMBER($H$571),$B$419=1),$H$571,HLOOKUP(INDIRECT(ADDRESS(2,COLUMN())),OFFSET($BN$2,0,0,ROW()-1,60),ROW()-1,FALSE))</f>
        <v>157.24600000000001</v>
      </c>
      <c r="I117">
        <f ca="1">IF(AND(ISNUMBER($I$571),$B$419=1),$I$571,HLOOKUP(INDIRECT(ADDRESS(2,COLUMN())),OFFSET($BN$2,0,0,ROW()-1,60),ROW()-1,FALSE))</f>
        <v>161.875</v>
      </c>
      <c r="J117">
        <f ca="1">IF(AND(ISNUMBER($J$571),$B$419=1),$J$571,HLOOKUP(INDIRECT(ADDRESS(2,COLUMN())),OFFSET($BN$2,0,0,ROW()-1,60),ROW()-1,FALSE))</f>
        <v>161.55500000000001</v>
      </c>
      <c r="K117">
        <f ca="1">IF(AND(ISNUMBER($K$571),$B$419=1),$K$571,HLOOKUP(INDIRECT(ADDRESS(2,COLUMN())),OFFSET($BN$2,0,0,ROW()-1,60),ROW()-1,FALSE))</f>
        <v>163.03200000000001</v>
      </c>
      <c r="L117">
        <f ca="1">IF(AND(ISNUMBER($L$571),$B$419=1),$L$571,HLOOKUP(INDIRECT(ADDRESS(2,COLUMN())),OFFSET($BN$2,0,0,ROW()-1,60),ROW()-1,FALSE))</f>
        <v>154.91900000000001</v>
      </c>
      <c r="M117">
        <f ca="1">IF(AND(ISNUMBER($M$571),$B$419=1),$M$571,HLOOKUP(INDIRECT(ADDRESS(2,COLUMN())),OFFSET($BN$2,0,0,ROW()-1,60),ROW()-1,FALSE))</f>
        <v>152.74799999999999</v>
      </c>
      <c r="N117">
        <f ca="1">IF(AND(ISNUMBER($N$571),$B$419=1),$N$571,HLOOKUP(INDIRECT(ADDRESS(2,COLUMN())),OFFSET($BN$2,0,0,ROW()-1,60),ROW()-1,FALSE))</f>
        <v>161.25899999999999</v>
      </c>
      <c r="O117">
        <f ca="1">IF(AND(ISNUMBER($O$571),$B$419=1),$O$571,HLOOKUP(INDIRECT(ADDRESS(2,COLUMN())),OFFSET($BN$2,0,0,ROW()-1,60),ROW()-1,FALSE))</f>
        <v>155.75299999999999</v>
      </c>
      <c r="P117">
        <f ca="1">IF(AND(ISNUMBER($P$571),$B$419=1),$P$571,HLOOKUP(INDIRECT(ADDRESS(2,COLUMN())),OFFSET($BN$2,0,0,ROW()-1,60),ROW()-1,FALSE))</f>
        <v>156.19499999999999</v>
      </c>
      <c r="Q117">
        <f ca="1">IF(AND(ISNUMBER($Q$571),$B$419=1),$Q$571,HLOOKUP(INDIRECT(ADDRESS(2,COLUMN())),OFFSET($BN$2,0,0,ROW()-1,60),ROW()-1,FALSE))</f>
        <v>149.05099999999999</v>
      </c>
      <c r="R117">
        <f ca="1">IF(AND(ISNUMBER($R$571),$B$419=1),$R$571,HLOOKUP(INDIRECT(ADDRESS(2,COLUMN())),OFFSET($BN$2,0,0,ROW()-1,60),ROW()-1,FALSE))</f>
        <v>139.155</v>
      </c>
      <c r="S117">
        <f ca="1">IF(AND(ISNUMBER($S$571),$B$419=1),$S$571,HLOOKUP(INDIRECT(ADDRESS(2,COLUMN())),OFFSET($BN$2,0,0,ROW()-1,60),ROW()-1,FALSE))</f>
        <v>131.465</v>
      </c>
      <c r="T117">
        <f ca="1">IF(AND(ISNUMBER($T$571),$B$419=1),$T$571,HLOOKUP(INDIRECT(ADDRESS(2,COLUMN())),OFFSET($BN$2,0,0,ROW()-1,60),ROW()-1,FALSE))</f>
        <v>144.19300000000001</v>
      </c>
      <c r="U117">
        <f ca="1">IF(AND(ISNUMBER($U$571),$B$419=1),$U$571,HLOOKUP(INDIRECT(ADDRESS(2,COLUMN())),OFFSET($BN$2,0,0,ROW()-1,60),ROW()-1,FALSE))</f>
        <v>140.07</v>
      </c>
      <c r="V117">
        <f ca="1">IF(AND(ISNUMBER($V$571),$B$419=1),$V$571,HLOOKUP(INDIRECT(ADDRESS(2,COLUMN())),OFFSET($BN$2,0,0,ROW()-1,60),ROW()-1,FALSE))</f>
        <v>132.678</v>
      </c>
      <c r="W117">
        <f ca="1">IF(AND(ISNUMBER($W$571),$B$419=1),$W$571,HLOOKUP(INDIRECT(ADDRESS(2,COLUMN())),OFFSET($BN$2,0,0,ROW()-1,60),ROW()-1,FALSE))</f>
        <v>94.272999999999996</v>
      </c>
      <c r="X117">
        <f ca="1">IF(AND(ISNUMBER($X$571),$B$419=1),$X$571,HLOOKUP(INDIRECT(ADDRESS(2,COLUMN())),OFFSET($BN$2,0,0,ROW()-1,60),ROW()-1,FALSE))</f>
        <v>86.850999999999999</v>
      </c>
      <c r="Y117">
        <f ca="1">IF(AND(ISNUMBER($Y$571),$B$419=1),$Y$571,HLOOKUP(INDIRECT(ADDRESS(2,COLUMN())),OFFSET($BN$2,0,0,ROW()-1,60),ROW()-1,FALSE))</f>
        <v>88.986000000000004</v>
      </c>
      <c r="Z117">
        <f ca="1">IF(AND(ISNUMBER($Z$571),$B$419=1),$Z$571,HLOOKUP(INDIRECT(ADDRESS(2,COLUMN())),OFFSET($BN$2,0,0,ROW()-1,60),ROW()-1,FALSE))</f>
        <v>92.454999999999998</v>
      </c>
      <c r="AA117">
        <f ca="1">IF(AND(ISNUMBER($AA$571),$B$419=1),$AA$571,HLOOKUP(INDIRECT(ADDRESS(2,COLUMN())),OFFSET($BN$2,0,0,ROW()-1,60),ROW()-1,FALSE))</f>
        <v>95.091999999999999</v>
      </c>
      <c r="AB117">
        <f ca="1">IF(AND(ISNUMBER($AB$571),$B$419=1),$AB$571,HLOOKUP(INDIRECT(ADDRESS(2,COLUMN())),OFFSET($BN$2,0,0,ROW()-1,60),ROW()-1,FALSE))</f>
        <v>89.644000000000005</v>
      </c>
      <c r="AC117">
        <f ca="1">IF(AND(ISNUMBER($AC$571),$B$419=1),$AC$571,HLOOKUP(INDIRECT(ADDRESS(2,COLUMN())),OFFSET($BN$2,0,0,ROW()-1,60),ROW()-1,FALSE))</f>
        <v>85.463999999999999</v>
      </c>
      <c r="AD117">
        <f ca="1">IF(AND(ISNUMBER($AD$571),$B$419=1),$AD$571,HLOOKUP(INDIRECT(ADDRESS(2,COLUMN())),OFFSET($BN$2,0,0,ROW()-1,60),ROW()-1,FALSE))</f>
        <v>84.8</v>
      </c>
      <c r="AE117" t="str">
        <f ca="1">IF(AND(ISNUMBER($AE$571),$B$419=1),$AE$571,HLOOKUP(INDIRECT(ADDRESS(2,COLUMN())),OFFSET($BN$2,0,0,ROW()-1,60),ROW()-1,FALSE))</f>
        <v/>
      </c>
      <c r="AF117" t="str">
        <f ca="1">IF(AND(ISNUMBER($AF$571),$B$419=1),$AF$571,HLOOKUP(INDIRECT(ADDRESS(2,COLUMN())),OFFSET($BN$2,0,0,ROW()-1,60),ROW()-1,FALSE))</f>
        <v/>
      </c>
      <c r="AG117" t="str">
        <f ca="1">IF(AND(ISNUMBER($AG$571),$B$419=1),$AG$571,HLOOKUP(INDIRECT(ADDRESS(2,COLUMN())),OFFSET($BN$2,0,0,ROW()-1,60),ROW()-1,FALSE))</f>
        <v/>
      </c>
      <c r="AH117" t="str">
        <f ca="1">IF(AND(ISNUMBER($AH$571),$B$419=1),$AH$571,HLOOKUP(INDIRECT(ADDRESS(2,COLUMN())),OFFSET($BN$2,0,0,ROW()-1,60),ROW()-1,FALSE))</f>
        <v/>
      </c>
      <c r="AI117" t="str">
        <f ca="1">IF(AND(ISNUMBER($AI$571),$B$419=1),$AI$571,HLOOKUP(INDIRECT(ADDRESS(2,COLUMN())),OFFSET($BN$2,0,0,ROW()-1,60),ROW()-1,FALSE))</f>
        <v/>
      </c>
      <c r="AJ117" t="str">
        <f ca="1">IF(AND(ISNUMBER($AJ$571),$B$419=1),$AJ$571,HLOOKUP(INDIRECT(ADDRESS(2,COLUMN())),OFFSET($BN$2,0,0,ROW()-1,60),ROW()-1,FALSE))</f>
        <v/>
      </c>
      <c r="AK117" t="str">
        <f ca="1">IF(AND(ISNUMBER($AK$571),$B$419=1),$AK$571,HLOOKUP(INDIRECT(ADDRESS(2,COLUMN())),OFFSET($BN$2,0,0,ROW()-1,60),ROW()-1,FALSE))</f>
        <v/>
      </c>
      <c r="AL117" t="str">
        <f ca="1">IF(AND(ISNUMBER($AL$571),$B$419=1),$AL$571,HLOOKUP(INDIRECT(ADDRESS(2,COLUMN())),OFFSET($BN$2,0,0,ROW()-1,60),ROW()-1,FALSE))</f>
        <v/>
      </c>
      <c r="AM117" t="str">
        <f ca="1">IF(AND(ISNUMBER($AM$571),$B$419=1),$AM$571,HLOOKUP(INDIRECT(ADDRESS(2,COLUMN())),OFFSET($BN$2,0,0,ROW()-1,60),ROW()-1,FALSE))</f>
        <v/>
      </c>
      <c r="AN117" t="str">
        <f ca="1">IF(AND(ISNUMBER($AN$571),$B$419=1),$AN$571,HLOOKUP(INDIRECT(ADDRESS(2,COLUMN())),OFFSET($BN$2,0,0,ROW()-1,60),ROW()-1,FALSE))</f>
        <v/>
      </c>
      <c r="AO117" t="str">
        <f ca="1">IF(AND(ISNUMBER($AO$571),$B$419=1),$AO$571,HLOOKUP(INDIRECT(ADDRESS(2,COLUMN())),OFFSET($BN$2,0,0,ROW()-1,60),ROW()-1,FALSE))</f>
        <v/>
      </c>
      <c r="AP117" t="str">
        <f ca="1">IF(AND(ISNUMBER($AP$571),$B$419=1),$AP$571,HLOOKUP(INDIRECT(ADDRESS(2,COLUMN())),OFFSET($BN$2,0,0,ROW()-1,60),ROW()-1,FALSE))</f>
        <v/>
      </c>
      <c r="AQ117" t="str">
        <f ca="1">IF(AND(ISNUMBER($AQ$571),$B$419=1),$AQ$571,HLOOKUP(INDIRECT(ADDRESS(2,COLUMN())),OFFSET($BN$2,0,0,ROW()-1,60),ROW()-1,FALSE))</f>
        <v/>
      </c>
      <c r="AR117" t="str">
        <f ca="1">IF(AND(ISNUMBER($AR$571),$B$419=1),$AR$571,HLOOKUP(INDIRECT(ADDRESS(2,COLUMN())),OFFSET($BN$2,0,0,ROW()-1,60),ROW()-1,FALSE))</f>
        <v/>
      </c>
      <c r="AS117" t="str">
        <f ca="1">IF(AND(ISNUMBER($AS$571),$B$419=1),$AS$571,HLOOKUP(INDIRECT(ADDRESS(2,COLUMN())),OFFSET($BN$2,0,0,ROW()-1,60),ROW()-1,FALSE))</f>
        <v/>
      </c>
      <c r="AT117" t="str">
        <f ca="1">IF(AND(ISNUMBER($AT$571),$B$419=1),$AT$571,HLOOKUP(INDIRECT(ADDRESS(2,COLUMN())),OFFSET($BN$2,0,0,ROW()-1,60),ROW()-1,FALSE))</f>
        <v/>
      </c>
      <c r="AU117" t="str">
        <f ca="1">IF(AND(ISNUMBER($AU$571),$B$419=1),$AU$571,HLOOKUP(INDIRECT(ADDRESS(2,COLUMN())),OFFSET($BN$2,0,0,ROW()-1,60),ROW()-1,FALSE))</f>
        <v/>
      </c>
      <c r="AV117" t="str">
        <f ca="1">IF(AND(ISNUMBER($AV$571),$B$419=1),$AV$571,HLOOKUP(INDIRECT(ADDRESS(2,COLUMN())),OFFSET($BN$2,0,0,ROW()-1,60),ROW()-1,FALSE))</f>
        <v/>
      </c>
      <c r="AW117" t="str">
        <f ca="1">IF(AND(ISNUMBER($AW$571),$B$419=1),$AW$571,HLOOKUP(INDIRECT(ADDRESS(2,COLUMN())),OFFSET($BN$2,0,0,ROW()-1,60),ROW()-1,FALSE))</f>
        <v/>
      </c>
      <c r="AX117" t="str">
        <f ca="1">IF(AND(ISNUMBER($AX$571),$B$419=1),$AX$571,HLOOKUP(INDIRECT(ADDRESS(2,COLUMN())),OFFSET($BN$2,0,0,ROW()-1,60),ROW()-1,FALSE))</f>
        <v/>
      </c>
      <c r="AY117" t="str">
        <f ca="1">IF(AND(ISNUMBER($AY$571),$B$419=1),$AY$571,HLOOKUP(INDIRECT(ADDRESS(2,COLUMN())),OFFSET($BN$2,0,0,ROW()-1,60),ROW()-1,FALSE))</f>
        <v/>
      </c>
      <c r="AZ117" t="str">
        <f ca="1">IF(AND(ISNUMBER($AZ$571),$B$419=1),$AZ$571,HLOOKUP(INDIRECT(ADDRESS(2,COLUMN())),OFFSET($BN$2,0,0,ROW()-1,60),ROW()-1,FALSE))</f>
        <v/>
      </c>
      <c r="BA117" t="str">
        <f ca="1">IF(AND(ISNUMBER($BA$571),$B$419=1),$BA$571,HLOOKUP(INDIRECT(ADDRESS(2,COLUMN())),OFFSET($BN$2,0,0,ROW()-1,60),ROW()-1,FALSE))</f>
        <v/>
      </c>
      <c r="BB117" t="str">
        <f ca="1">IF(AND(ISNUMBER($BB$571),$B$419=1),$BB$571,HLOOKUP(INDIRECT(ADDRESS(2,COLUMN())),OFFSET($BN$2,0,0,ROW()-1,60),ROW()-1,FALSE))</f>
        <v/>
      </c>
      <c r="BC117" t="str">
        <f ca="1">IF(AND(ISNUMBER($BC$571),$B$419=1),$BC$571,HLOOKUP(INDIRECT(ADDRESS(2,COLUMN())),OFFSET($BN$2,0,0,ROW()-1,60),ROW()-1,FALSE))</f>
        <v/>
      </c>
      <c r="BD117" t="str">
        <f ca="1">IF(AND(ISNUMBER($BD$571),$B$419=1),$BD$571,HLOOKUP(INDIRECT(ADDRESS(2,COLUMN())),OFFSET($BN$2,0,0,ROW()-1,60),ROW()-1,FALSE))</f>
        <v/>
      </c>
      <c r="BE117" t="str">
        <f ca="1">IF(AND(ISNUMBER($BE$571),$B$419=1),$BE$571,HLOOKUP(INDIRECT(ADDRESS(2,COLUMN())),OFFSET($BN$2,0,0,ROW()-1,60),ROW()-1,FALSE))</f>
        <v/>
      </c>
      <c r="BF117" t="str">
        <f ca="1">IF(AND(ISNUMBER($BF$571),$B$419=1),$BF$571,HLOOKUP(INDIRECT(ADDRESS(2,COLUMN())),OFFSET($BN$2,0,0,ROW()-1,60),ROW()-1,FALSE))</f>
        <v/>
      </c>
      <c r="BG117" t="str">
        <f ca="1">IF(AND(ISNUMBER($BG$571),$B$419=1),$BG$571,HLOOKUP(INDIRECT(ADDRESS(2,COLUMN())),OFFSET($BN$2,0,0,ROW()-1,60),ROW()-1,FALSE))</f>
        <v/>
      </c>
      <c r="BH117" t="str">
        <f ca="1">IF(AND(ISNUMBER($BH$571),$B$419=1),$BH$571,HLOOKUP(INDIRECT(ADDRESS(2,COLUMN())),OFFSET($BN$2,0,0,ROW()-1,60),ROW()-1,FALSE))</f>
        <v/>
      </c>
      <c r="BI117" t="str">
        <f ca="1">IF(AND(ISNUMBER($BI$571),$B$419=1),$BI$571,HLOOKUP(INDIRECT(ADDRESS(2,COLUMN())),OFFSET($BN$2,0,0,ROW()-1,60),ROW()-1,FALSE))</f>
        <v/>
      </c>
      <c r="BJ117" t="str">
        <f ca="1">IF(AND(ISNUMBER($BJ$571),$B$419=1),$BJ$571,HLOOKUP(INDIRECT(ADDRESS(2,COLUMN())),OFFSET($BN$2,0,0,ROW()-1,60),ROW()-1,FALSE))</f>
        <v/>
      </c>
      <c r="BK117" t="str">
        <f ca="1">IF(AND(ISNUMBER($BK$571),$B$419=1),$BK$571,HLOOKUP(INDIRECT(ADDRESS(2,COLUMN())),OFFSET($BN$2,0,0,ROW()-1,60),ROW()-1,FALSE))</f>
        <v/>
      </c>
      <c r="BL117" t="str">
        <f ca="1">IF(AND(ISNUMBER($BL$571),$B$419=1),$BL$571,HLOOKUP(INDIRECT(ADDRESS(2,COLUMN())),OFFSET($BN$2,0,0,ROW()-1,60),ROW()-1,FALSE))</f>
        <v/>
      </c>
      <c r="BM117" t="str">
        <f ca="1">IF(AND(ISNUMBER($BM$571),$B$419=1),$BM$571,HLOOKUP(INDIRECT(ADDRESS(2,COLUMN())),OFFSET($BN$2,0,0,ROW()-1,60),ROW()-1,FALSE))</f>
        <v/>
      </c>
      <c r="BN117" t="str">
        <f>""</f>
        <v/>
      </c>
      <c r="BO117">
        <f>157.705</f>
        <v>157.70500000000001</v>
      </c>
      <c r="BP117">
        <f>157.246</f>
        <v>157.24600000000001</v>
      </c>
      <c r="BQ117">
        <f>161.875</f>
        <v>161.875</v>
      </c>
      <c r="BR117">
        <f>161.555</f>
        <v>161.55500000000001</v>
      </c>
      <c r="BS117">
        <f>163.032</f>
        <v>163.03200000000001</v>
      </c>
      <c r="BT117">
        <f>154.919</f>
        <v>154.91900000000001</v>
      </c>
      <c r="BU117">
        <f>152.748</f>
        <v>152.74799999999999</v>
      </c>
      <c r="BV117">
        <f>161.259</f>
        <v>161.25899999999999</v>
      </c>
      <c r="BW117">
        <f>155.753</f>
        <v>155.75299999999999</v>
      </c>
      <c r="BX117">
        <f>156.195</f>
        <v>156.19499999999999</v>
      </c>
      <c r="BY117">
        <f>149.051</f>
        <v>149.05099999999999</v>
      </c>
      <c r="BZ117">
        <f>139.155</f>
        <v>139.155</v>
      </c>
      <c r="CA117">
        <f>131.465</f>
        <v>131.465</v>
      </c>
      <c r="CB117">
        <f>144.193</f>
        <v>144.19300000000001</v>
      </c>
      <c r="CC117">
        <f>140.07</f>
        <v>140.07</v>
      </c>
      <c r="CD117">
        <f>132.678</f>
        <v>132.678</v>
      </c>
      <c r="CE117">
        <f>94.273</f>
        <v>94.272999999999996</v>
      </c>
      <c r="CF117">
        <f>86.851</f>
        <v>86.850999999999999</v>
      </c>
      <c r="CG117">
        <f>88.986</f>
        <v>88.986000000000004</v>
      </c>
      <c r="CH117">
        <f>92.455</f>
        <v>92.454999999999998</v>
      </c>
      <c r="CI117">
        <f>95.092</f>
        <v>95.091999999999999</v>
      </c>
      <c r="CJ117">
        <f>89.644</f>
        <v>89.644000000000005</v>
      </c>
      <c r="CK117">
        <f>85.464</f>
        <v>85.463999999999999</v>
      </c>
      <c r="CL117">
        <f>84.8</f>
        <v>84.8</v>
      </c>
      <c r="CM117" t="str">
        <f>""</f>
        <v/>
      </c>
      <c r="CN117" t="str">
        <f>""</f>
        <v/>
      </c>
      <c r="CO117" t="str">
        <f>""</f>
        <v/>
      </c>
      <c r="CP117" t="str">
        <f>""</f>
        <v/>
      </c>
      <c r="CQ117" t="str">
        <f>""</f>
        <v/>
      </c>
      <c r="CR117" t="str">
        <f>""</f>
        <v/>
      </c>
      <c r="CS117" t="str">
        <f>""</f>
        <v/>
      </c>
      <c r="CT117" t="str">
        <f>""</f>
        <v/>
      </c>
      <c r="CU117" t="str">
        <f>""</f>
        <v/>
      </c>
      <c r="CV117" t="str">
        <f>""</f>
        <v/>
      </c>
      <c r="CW117" t="str">
        <f>""</f>
        <v/>
      </c>
      <c r="CX117" t="str">
        <f>""</f>
        <v/>
      </c>
      <c r="CY117" t="str">
        <f>""</f>
        <v/>
      </c>
      <c r="CZ117" t="str">
        <f>""</f>
        <v/>
      </c>
      <c r="DA117" t="str">
        <f>""</f>
        <v/>
      </c>
      <c r="DB117" t="str">
        <f>""</f>
        <v/>
      </c>
      <c r="DC117" t="str">
        <f>""</f>
        <v/>
      </c>
      <c r="DD117" t="str">
        <f>""</f>
        <v/>
      </c>
      <c r="DE117" t="str">
        <f>""</f>
        <v/>
      </c>
      <c r="DF117" t="str">
        <f>""</f>
        <v/>
      </c>
      <c r="DG117" t="str">
        <f>""</f>
        <v/>
      </c>
      <c r="DH117" t="str">
        <f>""</f>
        <v/>
      </c>
      <c r="DI117" t="str">
        <f>""</f>
        <v/>
      </c>
      <c r="DJ117" t="str">
        <f>""</f>
        <v/>
      </c>
      <c r="DK117" t="str">
        <f>""</f>
        <v/>
      </c>
      <c r="DL117" t="str">
        <f>""</f>
        <v/>
      </c>
      <c r="DM117" t="str">
        <f>""</f>
        <v/>
      </c>
      <c r="DN117" t="str">
        <f>""</f>
        <v/>
      </c>
      <c r="DO117" t="str">
        <f>""</f>
        <v/>
      </c>
      <c r="DP117" t="str">
        <f>""</f>
        <v/>
      </c>
      <c r="DQ117" t="str">
        <f>""</f>
        <v/>
      </c>
      <c r="DR117" t="str">
        <f>""</f>
        <v/>
      </c>
      <c r="DS117" t="str">
        <f>""</f>
        <v/>
      </c>
      <c r="DT117" t="str">
        <f>""</f>
        <v/>
      </c>
      <c r="DU117" t="str">
        <f>""</f>
        <v/>
      </c>
    </row>
    <row r="118" spans="1:125">
      <c r="A118" t="str">
        <f>"    CBL &amp; Associates Properties In"</f>
        <v xml:space="preserve">    CBL &amp; Associates Properties In</v>
      </c>
      <c r="B118" t="str">
        <f>"CBL US Equity"</f>
        <v>CBL US Equity</v>
      </c>
      <c r="C118" t="str">
        <f t="shared" si="21"/>
        <v>CF039</v>
      </c>
      <c r="D118" t="str">
        <f t="shared" si="22"/>
        <v>CF_FFO</v>
      </c>
      <c r="E118" t="str">
        <f t="shared" si="23"/>
        <v>动态</v>
      </c>
      <c r="F118" t="str">
        <f ca="1">IF(AND(ISNUMBER($F$572),$B$419=1),$F$572,HLOOKUP(INDIRECT(ADDRESS(2,COLUMN())),OFFSET($BN$2,0,0,ROW()-1,60),ROW()-1,FALSE))</f>
        <v/>
      </c>
      <c r="G118">
        <f ca="1">IF(AND(ISNUMBER($G$572),$B$419=1),$G$572,HLOOKUP(INDIRECT(ADDRESS(2,COLUMN())),OFFSET($BN$2,0,0,ROW()-1,60),ROW()-1,FALSE))</f>
        <v>109.06699999999999</v>
      </c>
      <c r="H118">
        <f ca="1">IF(AND(ISNUMBER($H$572),$B$419=1),$H$572,HLOOKUP(INDIRECT(ADDRESS(2,COLUMN())),OFFSET($BN$2,0,0,ROW()-1,60),ROW()-1,FALSE))</f>
        <v>102.852</v>
      </c>
      <c r="I118">
        <f ca="1">IF(AND(ISNUMBER($I$572),$B$419=1),$I$572,HLOOKUP(INDIRECT(ADDRESS(2,COLUMN())),OFFSET($BN$2,0,0,ROW()-1,60),ROW()-1,FALSE))</f>
        <v>116.084</v>
      </c>
      <c r="J118">
        <f ca="1">IF(AND(ISNUMBER($J$572),$B$419=1),$J$572,HLOOKUP(INDIRECT(ADDRESS(2,COLUMN())),OFFSET($BN$2,0,0,ROW()-1,60),ROW()-1,FALSE))</f>
        <v>106.61</v>
      </c>
      <c r="K118">
        <f ca="1">IF(AND(ISNUMBER($K$572),$B$419=1),$K$572,HLOOKUP(INDIRECT(ADDRESS(2,COLUMN())),OFFSET($BN$2,0,0,ROW()-1,60),ROW()-1,FALSE))</f>
        <v>144.46199999999999</v>
      </c>
      <c r="L118">
        <f ca="1">IF(AND(ISNUMBER($L$572),$B$419=1),$L$572,HLOOKUP(INDIRECT(ADDRESS(2,COLUMN())),OFFSET($BN$2,0,0,ROW()-1,60),ROW()-1,FALSE))</f>
        <v>111.066</v>
      </c>
      <c r="M118">
        <f ca="1">IF(AND(ISNUMBER($M$572),$B$419=1),$M$572,HLOOKUP(INDIRECT(ADDRESS(2,COLUMN())),OFFSET($BN$2,0,0,ROW()-1,60),ROW()-1,FALSE))</f>
        <v>146.73500000000001</v>
      </c>
      <c r="N118">
        <f ca="1">IF(AND(ISNUMBER($N$572),$B$419=1),$N$572,HLOOKUP(INDIRECT(ADDRESS(2,COLUMN())),OFFSET($BN$2,0,0,ROW()-1,60),ROW()-1,FALSE))</f>
        <v>135.935</v>
      </c>
      <c r="O118">
        <f ca="1">IF(AND(ISNUMBER($O$572),$B$419=1),$O$572,HLOOKUP(INDIRECT(ADDRESS(2,COLUMN())),OFFSET($BN$2,0,0,ROW()-1,60),ROW()-1,FALSE))</f>
        <v>141.02199999999999</v>
      </c>
      <c r="P118">
        <f ca="1">IF(AND(ISNUMBER($P$572),$B$419=1),$P$572,HLOOKUP(INDIRECT(ADDRESS(2,COLUMN())),OFFSET($BN$2,0,0,ROW()-1,60),ROW()-1,FALSE))</f>
        <v>110.96</v>
      </c>
      <c r="Q118">
        <f ca="1">IF(AND(ISNUMBER($Q$572),$B$419=1),$Q$572,HLOOKUP(INDIRECT(ADDRESS(2,COLUMN())),OFFSET($BN$2,0,0,ROW()-1,60),ROW()-1,FALSE))</f>
        <v>104.93</v>
      </c>
      <c r="R118">
        <f ca="1">IF(AND(ISNUMBER($R$572),$B$419=1),$R$572,HLOOKUP(INDIRECT(ADDRESS(2,COLUMN())),OFFSET($BN$2,0,0,ROW()-1,60),ROW()-1,FALSE))</f>
        <v>124.15600000000001</v>
      </c>
      <c r="S118">
        <f ca="1">IF(AND(ISNUMBER($S$572),$B$419=1),$S$572,HLOOKUP(INDIRECT(ADDRESS(2,COLUMN())),OFFSET($BN$2,0,0,ROW()-1,60),ROW()-1,FALSE))</f>
        <v>164.15299999999999</v>
      </c>
      <c r="T118">
        <f ca="1">IF(AND(ISNUMBER($T$572),$B$419=1),$T$572,HLOOKUP(INDIRECT(ADDRESS(2,COLUMN())),OFFSET($BN$2,0,0,ROW()-1,60),ROW()-1,FALSE))</f>
        <v>125.858</v>
      </c>
      <c r="U118">
        <f ca="1">IF(AND(ISNUMBER($U$572),$B$419=1),$U$572,HLOOKUP(INDIRECT(ADDRESS(2,COLUMN())),OFFSET($BN$2,0,0,ROW()-1,60),ROW()-1,FALSE))</f>
        <v>109.11499999999999</v>
      </c>
      <c r="V118">
        <f ca="1">IF(AND(ISNUMBER($V$572),$B$419=1),$V$572,HLOOKUP(INDIRECT(ADDRESS(2,COLUMN())),OFFSET($BN$2,0,0,ROW()-1,60),ROW()-1,FALSE))</f>
        <v>146.38800000000001</v>
      </c>
      <c r="W118">
        <f ca="1">IF(AND(ISNUMBER($W$572),$B$419=1),$W$572,HLOOKUP(INDIRECT(ADDRESS(2,COLUMN())),OFFSET($BN$2,0,0,ROW()-1,60),ROW()-1,FALSE))</f>
        <v>124.931</v>
      </c>
      <c r="X118">
        <f ca="1">IF(AND(ISNUMBER($X$572),$B$419=1),$X$572,HLOOKUP(INDIRECT(ADDRESS(2,COLUMN())),OFFSET($BN$2,0,0,ROW()-1,60),ROW()-1,FALSE))</f>
        <v>110.705</v>
      </c>
      <c r="Y118">
        <f ca="1">IF(AND(ISNUMBER($Y$572),$B$419=1),$Y$572,HLOOKUP(INDIRECT(ADDRESS(2,COLUMN())),OFFSET($BN$2,0,0,ROW()-1,60),ROW()-1,FALSE))</f>
        <v>100.19199999999999</v>
      </c>
      <c r="Z118">
        <f ca="1">IF(AND(ISNUMBER($Z$572),$B$419=1),$Z$572,HLOOKUP(INDIRECT(ADDRESS(2,COLUMN())),OFFSET($BN$2,0,0,ROW()-1,60),ROW()-1,FALSE))</f>
        <v>101.623</v>
      </c>
      <c r="AA118">
        <f ca="1">IF(AND(ISNUMBER($AA$572),$B$419=1),$AA$572,HLOOKUP(INDIRECT(ADDRESS(2,COLUMN())),OFFSET($BN$2,0,0,ROW()-1,60),ROW()-1,FALSE))</f>
        <v>163.12799999999999</v>
      </c>
      <c r="AB118">
        <f ca="1">IF(AND(ISNUMBER($AB$572),$B$419=1),$AB$572,HLOOKUP(INDIRECT(ADDRESS(2,COLUMN())),OFFSET($BN$2,0,0,ROW()-1,60),ROW()-1,FALSE))</f>
        <v>101.83</v>
      </c>
      <c r="AC118">
        <f ca="1">IF(AND(ISNUMBER($AC$572),$B$419=1),$AC$572,HLOOKUP(INDIRECT(ADDRESS(2,COLUMN())),OFFSET($BN$2,0,0,ROW()-1,60),ROW()-1,FALSE))</f>
        <v>100.782</v>
      </c>
      <c r="AD118">
        <f ca="1">IF(AND(ISNUMBER($AD$572),$B$419=1),$AD$572,HLOOKUP(INDIRECT(ADDRESS(2,COLUMN())),OFFSET($BN$2,0,0,ROW()-1,60),ROW()-1,FALSE))</f>
        <v>92.475999999999999</v>
      </c>
      <c r="AE118">
        <f ca="1">IF(AND(ISNUMBER($AE$572),$B$419=1),$AE$572,HLOOKUP(INDIRECT(ADDRESS(2,COLUMN())),OFFSET($BN$2,0,0,ROW()-1,60),ROW()-1,FALSE))</f>
        <v>114.25</v>
      </c>
      <c r="AF118">
        <f ca="1">IF(AND(ISNUMBER($AF$572),$B$419=1),$AF$572,HLOOKUP(INDIRECT(ADDRESS(2,COLUMN())),OFFSET($BN$2,0,0,ROW()-1,60),ROW()-1,FALSE))</f>
        <v>91.090999999999994</v>
      </c>
      <c r="AG118">
        <f ca="1">IF(AND(ISNUMBER($AG$572),$B$419=1),$AG$572,HLOOKUP(INDIRECT(ADDRESS(2,COLUMN())),OFFSET($BN$2,0,0,ROW()-1,60),ROW()-1,FALSE))</f>
        <v>94.653000000000006</v>
      </c>
      <c r="AH118">
        <f ca="1">IF(AND(ISNUMBER($AH$572),$B$419=1),$AH$572,HLOOKUP(INDIRECT(ADDRESS(2,COLUMN())),OFFSET($BN$2,0,0,ROW()-1,60),ROW()-1,FALSE))</f>
        <v>122.703</v>
      </c>
      <c r="AI118">
        <f ca="1">IF(AND(ISNUMBER($AI$572),$B$419=1),$AI$572,HLOOKUP(INDIRECT(ADDRESS(2,COLUMN())),OFFSET($BN$2,0,0,ROW()-1,60),ROW()-1,FALSE))</f>
        <v>117.711</v>
      </c>
      <c r="AJ118">
        <f ca="1">IF(AND(ISNUMBER($AJ$572),$B$419=1),$AJ$572,HLOOKUP(INDIRECT(ADDRESS(2,COLUMN())),OFFSET($BN$2,0,0,ROW()-1,60),ROW()-1,FALSE))</f>
        <v>89.483000000000004</v>
      </c>
      <c r="AK118">
        <f ca="1">IF(AND(ISNUMBER($AK$572),$B$419=1),$AK$572,HLOOKUP(INDIRECT(ADDRESS(2,COLUMN())),OFFSET($BN$2,0,0,ROW()-1,60),ROW()-1,FALSE))</f>
        <v>68.643000000000001</v>
      </c>
      <c r="AL118">
        <f ca="1">IF(AND(ISNUMBER($AL$572),$B$419=1),$AL$572,HLOOKUP(INDIRECT(ADDRESS(2,COLUMN())),OFFSET($BN$2,0,0,ROW()-1,60),ROW()-1,FALSE))</f>
        <v>93.570999999999998</v>
      </c>
      <c r="AM118">
        <f ca="1">IF(AND(ISNUMBER($AM$572),$B$419=1),$AM$572,HLOOKUP(INDIRECT(ADDRESS(2,COLUMN())),OFFSET($BN$2,0,0,ROW()-1,60),ROW()-1,FALSE))</f>
        <v>3.2469999999999999</v>
      </c>
      <c r="AN118">
        <f ca="1">IF(AND(ISNUMBER($AN$572),$B$419=1),$AN$572,HLOOKUP(INDIRECT(ADDRESS(2,COLUMN())),OFFSET($BN$2,0,0,ROW()-1,60),ROW()-1,FALSE))</f>
        <v>94.21</v>
      </c>
      <c r="AO118">
        <f ca="1">IF(AND(ISNUMBER($AO$572),$B$419=1),$AO$572,HLOOKUP(INDIRECT(ADDRESS(2,COLUMN())),OFFSET($BN$2,0,0,ROW()-1,60),ROW()-1,FALSE))</f>
        <v>96.299000000000007</v>
      </c>
      <c r="AP118">
        <f ca="1">IF(AND(ISNUMBER($AP$572),$B$419=1),$AP$572,HLOOKUP(INDIRECT(ADDRESS(2,COLUMN())),OFFSET($BN$2,0,0,ROW()-1,60),ROW()-1,FALSE))</f>
        <v>88.45</v>
      </c>
      <c r="AQ118">
        <f ca="1">IF(AND(ISNUMBER($AQ$572),$B$419=1),$AQ$572,HLOOKUP(INDIRECT(ADDRESS(2,COLUMN())),OFFSET($BN$2,0,0,ROW()-1,60),ROW()-1,FALSE))</f>
        <v>93.206999999999994</v>
      </c>
      <c r="AR118">
        <f ca="1">IF(AND(ISNUMBER($AR$572),$B$419=1),$AR$572,HLOOKUP(INDIRECT(ADDRESS(2,COLUMN())),OFFSET($BN$2,0,0,ROW()-1,60),ROW()-1,FALSE))</f>
        <v>95.775999999999996</v>
      </c>
      <c r="AS118">
        <f ca="1">IF(AND(ISNUMBER($AS$572),$B$419=1),$AS$572,HLOOKUP(INDIRECT(ADDRESS(2,COLUMN())),OFFSET($BN$2,0,0,ROW()-1,60),ROW()-1,FALSE))</f>
        <v>94.433999999999997</v>
      </c>
      <c r="AT118">
        <f ca="1">IF(AND(ISNUMBER($AT$572),$B$419=1),$AT$572,HLOOKUP(INDIRECT(ADDRESS(2,COLUMN())),OFFSET($BN$2,0,0,ROW()-1,60),ROW()-1,FALSE))</f>
        <v>92.855000000000004</v>
      </c>
      <c r="AU118">
        <f ca="1">IF(AND(ISNUMBER($AU$572),$B$419=1),$AU$572,HLOOKUP(INDIRECT(ADDRESS(2,COLUMN())),OFFSET($BN$2,0,0,ROW()-1,60),ROW()-1,FALSE))</f>
        <v>96.614000000000004</v>
      </c>
      <c r="AV118">
        <f ca="1">IF(AND(ISNUMBER($AV$572),$B$419=1),$AV$572,HLOOKUP(INDIRECT(ADDRESS(2,COLUMN())),OFFSET($BN$2,0,0,ROW()-1,60),ROW()-1,FALSE))</f>
        <v>88.209000000000003</v>
      </c>
      <c r="AW118">
        <f ca="1">IF(AND(ISNUMBER($AW$572),$B$419=1),$AW$572,HLOOKUP(INDIRECT(ADDRESS(2,COLUMN())),OFFSET($BN$2,0,0,ROW()-1,60),ROW()-1,FALSE))</f>
        <v>85.947999999999993</v>
      </c>
      <c r="AX118">
        <f ca="1">IF(AND(ISNUMBER($AX$572),$B$419=1),$AX$572,HLOOKUP(INDIRECT(ADDRESS(2,COLUMN())),OFFSET($BN$2,0,0,ROW()-1,60),ROW()-1,FALSE))</f>
        <v>90.757000000000005</v>
      </c>
      <c r="AY118">
        <f ca="1">IF(AND(ISNUMBER($AY$572),$B$419=1),$AY$572,HLOOKUP(INDIRECT(ADDRESS(2,COLUMN())),OFFSET($BN$2,0,0,ROW()-1,60),ROW()-1,FALSE))</f>
        <v>113.333</v>
      </c>
      <c r="AZ118">
        <f ca="1">IF(AND(ISNUMBER($AZ$572),$B$419=1),$AZ$572,HLOOKUP(INDIRECT(ADDRESS(2,COLUMN())),OFFSET($BN$2,0,0,ROW()-1,60),ROW()-1,FALSE))</f>
        <v>91.653999999999996</v>
      </c>
      <c r="BA118">
        <f ca="1">IF(AND(ISNUMBER($BA$572),$B$419=1),$BA$572,HLOOKUP(INDIRECT(ADDRESS(2,COLUMN())),OFFSET($BN$2,0,0,ROW()-1,60),ROW()-1,FALSE))</f>
        <v>88.534999999999997</v>
      </c>
      <c r="BB118">
        <f ca="1">IF(AND(ISNUMBER($BB$572),$B$419=1),$BB$572,HLOOKUP(INDIRECT(ADDRESS(2,COLUMN())),OFFSET($BN$2,0,0,ROW()-1,60),ROW()-1,FALSE))</f>
        <v>96.566999999999993</v>
      </c>
      <c r="BC118">
        <f ca="1">IF(AND(ISNUMBER($BC$572),$B$419=1),$BC$572,HLOOKUP(INDIRECT(ADDRESS(2,COLUMN())),OFFSET($BN$2,0,0,ROW()-1,60),ROW()-1,FALSE))</f>
        <v>56.606999999999999</v>
      </c>
      <c r="BD118">
        <f ca="1">IF(AND(ISNUMBER($BD$572),$B$419=1),$BD$572,HLOOKUP(INDIRECT(ADDRESS(2,COLUMN())),OFFSET($BN$2,0,0,ROW()-1,60),ROW()-1,FALSE))</f>
        <v>114.41</v>
      </c>
      <c r="BE118">
        <f ca="1">IF(AND(ISNUMBER($BE$572),$B$419=1),$BE$572,HLOOKUP(INDIRECT(ADDRESS(2,COLUMN())),OFFSET($BN$2,0,0,ROW()-1,60),ROW()-1,FALSE))</f>
        <v>83.203000000000003</v>
      </c>
      <c r="BF118">
        <f ca="1">IF(AND(ISNUMBER($BF$572),$B$419=1),$BF$572,HLOOKUP(INDIRECT(ADDRESS(2,COLUMN())),OFFSET($BN$2,0,0,ROW()-1,60),ROW()-1,FALSE))</f>
        <v>88.460999999999999</v>
      </c>
      <c r="BG118">
        <f ca="1">IF(AND(ISNUMBER($BG$572),$B$419=1),$BG$572,HLOOKUP(INDIRECT(ADDRESS(2,COLUMN())),OFFSET($BN$2,0,0,ROW()-1,60),ROW()-1,FALSE))</f>
        <v>96.772000000000006</v>
      </c>
      <c r="BH118">
        <f ca="1">IF(AND(ISNUMBER($BH$572),$B$419=1),$BH$572,HLOOKUP(INDIRECT(ADDRESS(2,COLUMN())),OFFSET($BN$2,0,0,ROW()-1,60),ROW()-1,FALSE))</f>
        <v>75.235000999999997</v>
      </c>
      <c r="BI118">
        <f ca="1">IF(AND(ISNUMBER($BI$572),$B$419=1),$BI$572,HLOOKUP(INDIRECT(ADDRESS(2,COLUMN())),OFFSET($BN$2,0,0,ROW()-1,60),ROW()-1,FALSE))</f>
        <v>68.737999000000002</v>
      </c>
      <c r="BJ118">
        <f ca="1">IF(AND(ISNUMBER($BJ$572),$B$419=1),$BJ$572,HLOOKUP(INDIRECT(ADDRESS(2,COLUMN())),OFFSET($BN$2,0,0,ROW()-1,60),ROW()-1,FALSE))</f>
        <v>69.660004000000001</v>
      </c>
      <c r="BK118">
        <f ca="1">IF(AND(ISNUMBER($BK$572),$B$419=1),$BK$572,HLOOKUP(INDIRECT(ADDRESS(2,COLUMN())),OFFSET($BN$2,0,0,ROW()-1,60),ROW()-1,FALSE))</f>
        <v>71.084998999999996</v>
      </c>
      <c r="BL118">
        <f ca="1">IF(AND(ISNUMBER($BL$572),$B$419=1),$BL$572,HLOOKUP(INDIRECT(ADDRESS(2,COLUMN())),OFFSET($BN$2,0,0,ROW()-1,60),ROW()-1,FALSE))</f>
        <v>65.801002999999994</v>
      </c>
      <c r="BM118">
        <f ca="1">IF(AND(ISNUMBER($BM$572),$B$419=1),$BM$572,HLOOKUP(INDIRECT(ADDRESS(2,COLUMN())),OFFSET($BN$2,0,0,ROW()-1,60),ROW()-1,FALSE))</f>
        <v>67.405997999999997</v>
      </c>
      <c r="BN118" t="str">
        <f>""</f>
        <v/>
      </c>
      <c r="BO118">
        <f>109.067</f>
        <v>109.06699999999999</v>
      </c>
      <c r="BP118">
        <f>102.852</f>
        <v>102.852</v>
      </c>
      <c r="BQ118">
        <f>116.084</f>
        <v>116.084</v>
      </c>
      <c r="BR118">
        <f>106.61</f>
        <v>106.61</v>
      </c>
      <c r="BS118">
        <f>144.462</f>
        <v>144.46199999999999</v>
      </c>
      <c r="BT118">
        <f>111.066</f>
        <v>111.066</v>
      </c>
      <c r="BU118">
        <f>146.735</f>
        <v>146.73500000000001</v>
      </c>
      <c r="BV118">
        <f>135.935</f>
        <v>135.935</v>
      </c>
      <c r="BW118">
        <f>141.022</f>
        <v>141.02199999999999</v>
      </c>
      <c r="BX118">
        <f>110.96</f>
        <v>110.96</v>
      </c>
      <c r="BY118">
        <f>104.93</f>
        <v>104.93</v>
      </c>
      <c r="BZ118">
        <f>124.156</f>
        <v>124.15600000000001</v>
      </c>
      <c r="CA118">
        <f>164.153</f>
        <v>164.15299999999999</v>
      </c>
      <c r="CB118">
        <f>125.858</f>
        <v>125.858</v>
      </c>
      <c r="CC118">
        <f>109.115</f>
        <v>109.11499999999999</v>
      </c>
      <c r="CD118">
        <f>146.388</f>
        <v>146.38800000000001</v>
      </c>
      <c r="CE118">
        <f>124.931</f>
        <v>124.931</v>
      </c>
      <c r="CF118">
        <f>110.705</f>
        <v>110.705</v>
      </c>
      <c r="CG118">
        <f>100.192</f>
        <v>100.19199999999999</v>
      </c>
      <c r="CH118">
        <f>101.623</f>
        <v>101.623</v>
      </c>
      <c r="CI118">
        <f>163.128</f>
        <v>163.12799999999999</v>
      </c>
      <c r="CJ118">
        <f>101.83</f>
        <v>101.83</v>
      </c>
      <c r="CK118">
        <f>100.782</f>
        <v>100.782</v>
      </c>
      <c r="CL118">
        <f>92.476</f>
        <v>92.475999999999999</v>
      </c>
      <c r="CM118">
        <f>114.25</f>
        <v>114.25</v>
      </c>
      <c r="CN118">
        <f>91.091</f>
        <v>91.090999999999994</v>
      </c>
      <c r="CO118">
        <f>94.653</f>
        <v>94.653000000000006</v>
      </c>
      <c r="CP118">
        <f>122.703</f>
        <v>122.703</v>
      </c>
      <c r="CQ118">
        <f>117.711</f>
        <v>117.711</v>
      </c>
      <c r="CR118">
        <f>89.483</f>
        <v>89.483000000000004</v>
      </c>
      <c r="CS118">
        <f>68.643</f>
        <v>68.643000000000001</v>
      </c>
      <c r="CT118">
        <f>93.571</f>
        <v>93.570999999999998</v>
      </c>
      <c r="CU118">
        <f>3.247</f>
        <v>3.2469999999999999</v>
      </c>
      <c r="CV118">
        <f>94.21</f>
        <v>94.21</v>
      </c>
      <c r="CW118">
        <f>96.299</f>
        <v>96.299000000000007</v>
      </c>
      <c r="CX118">
        <f>88.45</f>
        <v>88.45</v>
      </c>
      <c r="CY118">
        <f>93.207</f>
        <v>93.206999999999994</v>
      </c>
      <c r="CZ118">
        <f>95.776</f>
        <v>95.775999999999996</v>
      </c>
      <c r="DA118">
        <f>94.434</f>
        <v>94.433999999999997</v>
      </c>
      <c r="DB118">
        <f>92.855</f>
        <v>92.855000000000004</v>
      </c>
      <c r="DC118">
        <f>96.614</f>
        <v>96.614000000000004</v>
      </c>
      <c r="DD118">
        <f>88.209</f>
        <v>88.209000000000003</v>
      </c>
      <c r="DE118">
        <f>85.948</f>
        <v>85.947999999999993</v>
      </c>
      <c r="DF118">
        <f>90.757</f>
        <v>90.757000000000005</v>
      </c>
      <c r="DG118">
        <f>113.333</f>
        <v>113.333</v>
      </c>
      <c r="DH118">
        <f>91.654</f>
        <v>91.653999999999996</v>
      </c>
      <c r="DI118">
        <f>88.535</f>
        <v>88.534999999999997</v>
      </c>
      <c r="DJ118">
        <f>96.567</f>
        <v>96.566999999999993</v>
      </c>
      <c r="DK118">
        <f>56.607</f>
        <v>56.606999999999999</v>
      </c>
      <c r="DL118">
        <f>114.41</f>
        <v>114.41</v>
      </c>
      <c r="DM118">
        <f>83.203</f>
        <v>83.203000000000003</v>
      </c>
      <c r="DN118">
        <f>88.461</f>
        <v>88.460999999999999</v>
      </c>
      <c r="DO118">
        <f>96.772</f>
        <v>96.772000000000006</v>
      </c>
      <c r="DP118">
        <f>75.235001</f>
        <v>75.235000999999997</v>
      </c>
      <c r="DQ118">
        <f>68.737999</f>
        <v>68.737999000000002</v>
      </c>
      <c r="DR118">
        <f>69.660004</f>
        <v>69.660004000000001</v>
      </c>
      <c r="DS118">
        <f>71.084999</f>
        <v>71.084998999999996</v>
      </c>
      <c r="DT118">
        <f>65.801003</f>
        <v>65.801002999999994</v>
      </c>
      <c r="DU118">
        <f>67.405998</f>
        <v>67.405997999999997</v>
      </c>
    </row>
    <row r="119" spans="1:125">
      <c r="A119" t="str">
        <f>"    DDR Corp"</f>
        <v xml:space="preserve">    DDR Corp</v>
      </c>
      <c r="B119" t="str">
        <f>"DDR US Equity"</f>
        <v>DDR US Equity</v>
      </c>
      <c r="C119" t="str">
        <f t="shared" si="21"/>
        <v>CF039</v>
      </c>
      <c r="D119" t="str">
        <f t="shared" si="22"/>
        <v>CF_FFO</v>
      </c>
      <c r="E119" t="str">
        <f t="shared" si="23"/>
        <v>动态</v>
      </c>
      <c r="F119" t="str">
        <f ca="1">IF(AND(ISNUMBER($F$573),$B$419=1),$F$573,HLOOKUP(INDIRECT(ADDRESS(2,COLUMN())),OFFSET($BN$2,0,0,ROW()-1,60),ROW()-1,FALSE))</f>
        <v/>
      </c>
      <c r="G119">
        <f ca="1">IF(AND(ISNUMBER($G$573),$B$419=1),$G$573,HLOOKUP(INDIRECT(ADDRESS(2,COLUMN())),OFFSET($BN$2,0,0,ROW()-1,60),ROW()-1,FALSE))</f>
        <v>95.146000000000001</v>
      </c>
      <c r="H119">
        <f ca="1">IF(AND(ISNUMBER($H$573),$B$419=1),$H$573,HLOOKUP(INDIRECT(ADDRESS(2,COLUMN())),OFFSET($BN$2,0,0,ROW()-1,60),ROW()-1,FALSE))</f>
        <v>46.34</v>
      </c>
      <c r="I119">
        <f ca="1">IF(AND(ISNUMBER($I$573),$B$419=1),$I$573,HLOOKUP(INDIRECT(ADDRESS(2,COLUMN())),OFFSET($BN$2,0,0,ROW()-1,60),ROW()-1,FALSE))</f>
        <v>93.125</v>
      </c>
      <c r="J119">
        <f ca="1">IF(AND(ISNUMBER($J$573),$B$419=1),$J$573,HLOOKUP(INDIRECT(ADDRESS(2,COLUMN())),OFFSET($BN$2,0,0,ROW()-1,60),ROW()-1,FALSE))</f>
        <v>22.212</v>
      </c>
      <c r="K119">
        <f ca="1">IF(AND(ISNUMBER($K$573),$B$419=1),$K$573,HLOOKUP(INDIRECT(ADDRESS(2,COLUMN())),OFFSET($BN$2,0,0,ROW()-1,60),ROW()-1,FALSE))</f>
        <v>111.16</v>
      </c>
      <c r="L119">
        <f ca="1">IF(AND(ISNUMBER($L$573),$B$419=1),$L$573,HLOOKUP(INDIRECT(ADDRESS(2,COLUMN())),OFFSET($BN$2,0,0,ROW()-1,60),ROW()-1,FALSE))</f>
        <v>120.137</v>
      </c>
      <c r="M119">
        <f ca="1">IF(AND(ISNUMBER($M$573),$B$419=1),$M$573,HLOOKUP(INDIRECT(ADDRESS(2,COLUMN())),OFFSET($BN$2,0,0,ROW()-1,60),ROW()-1,FALSE))</f>
        <v>120.321</v>
      </c>
      <c r="N119">
        <f ca="1">IF(AND(ISNUMBER($N$573),$B$419=1),$N$573,HLOOKUP(INDIRECT(ADDRESS(2,COLUMN())),OFFSET($BN$2,0,0,ROW()-1,60),ROW()-1,FALSE))</f>
        <v>114.542</v>
      </c>
      <c r="O119">
        <f ca="1">IF(AND(ISNUMBER($O$573),$B$419=1),$O$573,HLOOKUP(INDIRECT(ADDRESS(2,COLUMN())),OFFSET($BN$2,0,0,ROW()-1,60),ROW()-1,FALSE))</f>
        <v>116.655</v>
      </c>
      <c r="P119">
        <f ca="1">IF(AND(ISNUMBER($P$573),$B$419=1),$P$573,HLOOKUP(INDIRECT(ADDRESS(2,COLUMN())),OFFSET($BN$2,0,0,ROW()-1,60),ROW()-1,FALSE))</f>
        <v>113.4</v>
      </c>
      <c r="Q119">
        <f ca="1">IF(AND(ISNUMBER($Q$573),$B$419=1),$Q$573,HLOOKUP(INDIRECT(ADDRESS(2,COLUMN())),OFFSET($BN$2,0,0,ROW()-1,60),ROW()-1,FALSE))</f>
        <v>105.039</v>
      </c>
      <c r="R119">
        <f ca="1">IF(AND(ISNUMBER($R$573),$B$419=1),$R$573,HLOOKUP(INDIRECT(ADDRESS(2,COLUMN())),OFFSET($BN$2,0,0,ROW()-1,60),ROW()-1,FALSE))</f>
        <v>13.202999999999999</v>
      </c>
      <c r="S119">
        <f ca="1">IF(AND(ISNUMBER($S$573),$B$419=1),$S$573,HLOOKUP(INDIRECT(ADDRESS(2,COLUMN())),OFFSET($BN$2,0,0,ROW()-1,60),ROW()-1,FALSE))</f>
        <v>80.894000000000005</v>
      </c>
      <c r="T119">
        <f ca="1">IF(AND(ISNUMBER($T$573),$B$419=1),$T$573,HLOOKUP(INDIRECT(ADDRESS(2,COLUMN())),OFFSET($BN$2,0,0,ROW()-1,60),ROW()-1,FALSE))</f>
        <v>110.8</v>
      </c>
      <c r="U119">
        <f ca="1">IF(AND(ISNUMBER($U$573),$B$419=1),$U$573,HLOOKUP(INDIRECT(ADDRESS(2,COLUMN())),OFFSET($BN$2,0,0,ROW()-1,60),ROW()-1,FALSE))</f>
        <v>82.126000000000005</v>
      </c>
      <c r="V119">
        <f ca="1">IF(AND(ISNUMBER($V$573),$B$419=1),$V$573,HLOOKUP(INDIRECT(ADDRESS(2,COLUMN())),OFFSET($BN$2,0,0,ROW()-1,60),ROW()-1,FALSE))</f>
        <v>85.811999999999998</v>
      </c>
      <c r="W119">
        <f ca="1">IF(AND(ISNUMBER($W$573),$B$419=1),$W$573,HLOOKUP(INDIRECT(ADDRESS(2,COLUMN())),OFFSET($BN$2,0,0,ROW()-1,60),ROW()-1,FALSE))</f>
        <v>120.163</v>
      </c>
      <c r="X119">
        <f ca="1">IF(AND(ISNUMBER($X$573),$B$419=1),$X$573,HLOOKUP(INDIRECT(ADDRESS(2,COLUMN())),OFFSET($BN$2,0,0,ROW()-1,60),ROW()-1,FALSE))</f>
        <v>89.878</v>
      </c>
      <c r="Y119">
        <f ca="1">IF(AND(ISNUMBER($Y$573),$B$419=1),$Y$573,HLOOKUP(INDIRECT(ADDRESS(2,COLUMN())),OFFSET($BN$2,0,0,ROW()-1,60),ROW()-1,FALSE))</f>
        <v>79.963999999999999</v>
      </c>
      <c r="Z119">
        <f ca="1">IF(AND(ISNUMBER($Z$573),$B$419=1),$Z$573,HLOOKUP(INDIRECT(ADDRESS(2,COLUMN())),OFFSET($BN$2,0,0,ROW()-1,60),ROW()-1,FALSE))</f>
        <v>82.516000000000005</v>
      </c>
      <c r="AA119">
        <f ca="1">IF(AND(ISNUMBER($AA$573),$B$419=1),$AA$573,HLOOKUP(INDIRECT(ADDRESS(2,COLUMN())),OFFSET($BN$2,0,0,ROW()-1,60),ROW()-1,FALSE))</f>
        <v>61.837000000000003</v>
      </c>
      <c r="AB119">
        <f ca="1">IF(AND(ISNUMBER($AB$573),$B$419=1),$AB$573,HLOOKUP(INDIRECT(ADDRESS(2,COLUMN())),OFFSET($BN$2,0,0,ROW()-1,60),ROW()-1,FALSE))</f>
        <v>112.72199999999999</v>
      </c>
      <c r="AC119">
        <f ca="1">IF(AND(ISNUMBER($AC$573),$B$419=1),$AC$573,HLOOKUP(INDIRECT(ADDRESS(2,COLUMN())),OFFSET($BN$2,0,0,ROW()-1,60),ROW()-1,FALSE))</f>
        <v>78.072999999999993</v>
      </c>
      <c r="AD119">
        <f ca="1">IF(AND(ISNUMBER($AD$573),$B$419=1),$AD$573,HLOOKUP(INDIRECT(ADDRESS(2,COLUMN())),OFFSET($BN$2,0,0,ROW()-1,60),ROW()-1,FALSE))</f>
        <v>59.747999999999998</v>
      </c>
      <c r="AE119">
        <f ca="1">IF(AND(ISNUMBER($AE$573),$B$419=1),$AE$573,HLOOKUP(INDIRECT(ADDRESS(2,COLUMN())),OFFSET($BN$2,0,0,ROW()-1,60),ROW()-1,FALSE))</f>
        <v>47.414999999999999</v>
      </c>
      <c r="AF119">
        <f ca="1">IF(AND(ISNUMBER($AF$573),$B$419=1),$AF$573,HLOOKUP(INDIRECT(ADDRESS(2,COLUMN())),OFFSET($BN$2,0,0,ROW()-1,60),ROW()-1,FALSE))</f>
        <v>34.683</v>
      </c>
      <c r="AG119">
        <f ca="1">IF(AND(ISNUMBER($AG$573),$B$419=1),$AG$573,HLOOKUP(INDIRECT(ADDRESS(2,COLUMN())),OFFSET($BN$2,0,0,ROW()-1,60),ROW()-1,FALSE))</f>
        <v>52.555999999999997</v>
      </c>
      <c r="AH119">
        <f ca="1">IF(AND(ISNUMBER($AH$573),$B$419=1),$AH$573,HLOOKUP(INDIRECT(ADDRESS(2,COLUMN())),OFFSET($BN$2,0,0,ROW()-1,60),ROW()-1,FALSE))</f>
        <v>92.954999999999998</v>
      </c>
      <c r="AI119">
        <f ca="1">IF(AND(ISNUMBER($AI$573),$B$419=1),$AI$573,HLOOKUP(INDIRECT(ADDRESS(2,COLUMN())),OFFSET($BN$2,0,0,ROW()-1,60),ROW()-1,FALSE))</f>
        <v>-26.404</v>
      </c>
      <c r="AJ119">
        <f ca="1">IF(AND(ISNUMBER($AJ$573),$B$419=1),$AJ$573,HLOOKUP(INDIRECT(ADDRESS(2,COLUMN())),OFFSET($BN$2,0,0,ROW()-1,60),ROW()-1,FALSE))</f>
        <v>47.643000000000001</v>
      </c>
      <c r="AK119">
        <f ca="1">IF(AND(ISNUMBER($AK$573),$B$419=1),$AK$573,HLOOKUP(INDIRECT(ADDRESS(2,COLUMN())),OFFSET($BN$2,0,0,ROW()-1,60),ROW()-1,FALSE))</f>
        <v>-22.277000000000001</v>
      </c>
      <c r="AL119">
        <f ca="1">IF(AND(ISNUMBER($AL$573),$B$419=1),$AL$573,HLOOKUP(INDIRECT(ADDRESS(2,COLUMN())),OFFSET($BN$2,0,0,ROW()-1,60),ROW()-1,FALSE))</f>
        <v>38.996000000000002</v>
      </c>
      <c r="AM119">
        <f ca="1">IF(AND(ISNUMBER($AM$573),$B$419=1),$AM$573,HLOOKUP(INDIRECT(ADDRESS(2,COLUMN())),OFFSET($BN$2,0,0,ROW()-1,60),ROW()-1,FALSE))</f>
        <v>-17.442</v>
      </c>
      <c r="AN119">
        <f ca="1">IF(AND(ISNUMBER($AN$573),$B$419=1),$AN$573,HLOOKUP(INDIRECT(ADDRESS(2,COLUMN())),OFFSET($BN$2,0,0,ROW()-1,60),ROW()-1,FALSE))</f>
        <v>-79.566000000000003</v>
      </c>
      <c r="AO119">
        <f ca="1">IF(AND(ISNUMBER($AO$573),$B$419=1),$AO$573,HLOOKUP(INDIRECT(ADDRESS(2,COLUMN())),OFFSET($BN$2,0,0,ROW()-1,60),ROW()-1,FALSE))</f>
        <v>-155.91800000000001</v>
      </c>
      <c r="AP119">
        <f ca="1">IF(AND(ISNUMBER($AP$573),$B$419=1),$AP$573,HLOOKUP(INDIRECT(ADDRESS(2,COLUMN())),OFFSET($BN$2,0,0,ROW()-1,60),ROW()-1,FALSE))</f>
        <v>150.56299999999999</v>
      </c>
      <c r="AQ119">
        <f ca="1">IF(AND(ISNUMBER($AQ$573),$B$419=1),$AQ$573,HLOOKUP(INDIRECT(ADDRESS(2,COLUMN())),OFFSET($BN$2,0,0,ROW()-1,60),ROW()-1,FALSE))</f>
        <v>-108.685</v>
      </c>
      <c r="AR119">
        <f ca="1">IF(AND(ISNUMBER($AR$573),$B$419=1),$AR$573,HLOOKUP(INDIRECT(ADDRESS(2,COLUMN())),OFFSET($BN$2,0,0,ROW()-1,60),ROW()-1,FALSE))</f>
        <v>107.292</v>
      </c>
      <c r="AS119">
        <f ca="1">IF(AND(ISNUMBER($AS$573),$B$419=1),$AS$573,HLOOKUP(INDIRECT(ADDRESS(2,COLUMN())),OFFSET($BN$2,0,0,ROW()-1,60),ROW()-1,FALSE))</f>
        <v>106.452</v>
      </c>
      <c r="AT119">
        <f ca="1">IF(AND(ISNUMBER($AT$573),$B$419=1),$AT$573,HLOOKUP(INDIRECT(ADDRESS(2,COLUMN())),OFFSET($BN$2,0,0,ROW()-1,60),ROW()-1,FALSE))</f>
        <v>106.89100000000001</v>
      </c>
      <c r="AU119">
        <f ca="1">IF(AND(ISNUMBER($AU$573),$B$419=1),$AU$573,HLOOKUP(INDIRECT(ADDRESS(2,COLUMN())),OFFSET($BN$2,0,0,ROW()-1,60),ROW()-1,FALSE))</f>
        <v>110.6</v>
      </c>
      <c r="AV119">
        <f ca="1">IF(AND(ISNUMBER($AV$573),$B$419=1),$AV$573,HLOOKUP(INDIRECT(ADDRESS(2,COLUMN())),OFFSET($BN$2,0,0,ROW()-1,60),ROW()-1,FALSE))</f>
        <v>110.116</v>
      </c>
      <c r="AW119">
        <f ca="1">IF(AND(ISNUMBER($AW$573),$B$419=1),$AW$573,HLOOKUP(INDIRECT(ADDRESS(2,COLUMN())),OFFSET($BN$2,0,0,ROW()-1,60),ROW()-1,FALSE))</f>
        <v>175.26599999999999</v>
      </c>
      <c r="AX119">
        <f ca="1">IF(AND(ISNUMBER($AX$573),$B$419=1),$AX$573,HLOOKUP(INDIRECT(ADDRESS(2,COLUMN())),OFFSET($BN$2,0,0,ROW()-1,60),ROW()-1,FALSE))</f>
        <v>119.97499999999999</v>
      </c>
      <c r="AY119">
        <f ca="1">IF(AND(ISNUMBER($AY$573),$B$419=1),$AY$573,HLOOKUP(INDIRECT(ADDRESS(2,COLUMN())),OFFSET($BN$2,0,0,ROW()-1,60),ROW()-1,FALSE))</f>
        <v>103.892</v>
      </c>
      <c r="AZ119">
        <f ca="1">IF(AND(ISNUMBER($AZ$573),$B$419=1),$AZ$573,HLOOKUP(INDIRECT(ADDRESS(2,COLUMN())),OFFSET($BN$2,0,0,ROW()-1,60),ROW()-1,FALSE))</f>
        <v>105.52500000000001</v>
      </c>
      <c r="BA119">
        <f ca="1">IF(AND(ISNUMBER($BA$573),$B$419=1),$BA$573,HLOOKUP(INDIRECT(ADDRESS(2,COLUMN())),OFFSET($BN$2,0,0,ROW()-1,60),ROW()-1,FALSE))</f>
        <v>123.57599999999999</v>
      </c>
      <c r="BB119">
        <f ca="1">IF(AND(ISNUMBER($BB$573),$B$419=1),$BB$573,HLOOKUP(INDIRECT(ADDRESS(2,COLUMN())),OFFSET($BN$2,0,0,ROW()-1,60),ROW()-1,FALSE))</f>
        <v>99.983999999999995</v>
      </c>
      <c r="BC119">
        <f ca="1">IF(AND(ISNUMBER($BC$573),$B$419=1),$BC$573,HLOOKUP(INDIRECT(ADDRESS(2,COLUMN())),OFFSET($BN$2,0,0,ROW()-1,60),ROW()-1,FALSE))</f>
        <v>95.504000000000005</v>
      </c>
      <c r="BD119">
        <f ca="1">IF(AND(ISNUMBER($BD$573),$B$419=1),$BD$573,HLOOKUP(INDIRECT(ADDRESS(2,COLUMN())),OFFSET($BN$2,0,0,ROW()-1,60),ROW()-1,FALSE))</f>
        <v>81.783000000000001</v>
      </c>
      <c r="BE119">
        <f ca="1">IF(AND(ISNUMBER($BE$573),$B$419=1),$BE$573,HLOOKUP(INDIRECT(ADDRESS(2,COLUMN())),OFFSET($BN$2,0,0,ROW()-1,60),ROW()-1,FALSE))</f>
        <v>92.534999999999997</v>
      </c>
      <c r="BF119">
        <f ca="1">IF(AND(ISNUMBER($BF$573),$B$419=1),$BF$573,HLOOKUP(INDIRECT(ADDRESS(2,COLUMN())),OFFSET($BN$2,0,0,ROW()-1,60),ROW()-1,FALSE))</f>
        <v>112.863</v>
      </c>
      <c r="BG119">
        <f ca="1">IF(AND(ISNUMBER($BG$573),$B$419=1),$BG$573,HLOOKUP(INDIRECT(ADDRESS(2,COLUMN())),OFFSET($BN$2,0,0,ROW()-1,60),ROW()-1,FALSE))</f>
        <v>73.03</v>
      </c>
      <c r="BH119">
        <f ca="1">IF(AND(ISNUMBER($BH$573),$B$419=1),$BH$573,HLOOKUP(INDIRECT(ADDRESS(2,COLUMN())),OFFSET($BN$2,0,0,ROW()-1,60),ROW()-1,FALSE))</f>
        <v>74.887</v>
      </c>
      <c r="BI119">
        <f ca="1">IF(AND(ISNUMBER($BI$573),$B$419=1),$BI$573,HLOOKUP(INDIRECT(ADDRESS(2,COLUMN())),OFFSET($BN$2,0,0,ROW()-1,60),ROW()-1,FALSE))</f>
        <v>20.716999999999999</v>
      </c>
      <c r="BJ119">
        <f ca="1">IF(AND(ISNUMBER($BJ$573),$B$419=1),$BJ$573,HLOOKUP(INDIRECT(ADDRESS(2,COLUMN())),OFFSET($BN$2,0,0,ROW()-1,60),ROW()-1,FALSE))</f>
        <v>73.411000000000001</v>
      </c>
      <c r="BK119">
        <f ca="1">IF(AND(ISNUMBER($BK$573),$B$419=1),$BK$573,HLOOKUP(INDIRECT(ADDRESS(2,COLUMN())),OFFSET($BN$2,0,0,ROW()-1,60),ROW()-1,FALSE))</f>
        <v>60.131000520000001</v>
      </c>
      <c r="BL119">
        <f ca="1">IF(AND(ISNUMBER($BL$573),$B$419=1),$BL$573,HLOOKUP(INDIRECT(ADDRESS(2,COLUMN())),OFFSET($BN$2,0,0,ROW()-1,60),ROW()-1,FALSE))</f>
        <v>10.201000000000001</v>
      </c>
      <c r="BM119">
        <f ca="1">IF(AND(ISNUMBER($BM$573),$B$419=1),$BM$573,HLOOKUP(INDIRECT(ADDRESS(2,COLUMN())),OFFSET($BN$2,0,0,ROW()-1,60),ROW()-1,FALSE))</f>
        <v>9.2769999999999992</v>
      </c>
      <c r="BN119" t="str">
        <f>""</f>
        <v/>
      </c>
      <c r="BO119">
        <f>95.146</f>
        <v>95.146000000000001</v>
      </c>
      <c r="BP119">
        <f>46.34</f>
        <v>46.34</v>
      </c>
      <c r="BQ119">
        <f>93.125</f>
        <v>93.125</v>
      </c>
      <c r="BR119">
        <f>22.212</f>
        <v>22.212</v>
      </c>
      <c r="BS119">
        <f>111.16</f>
        <v>111.16</v>
      </c>
      <c r="BT119">
        <f>120.137</f>
        <v>120.137</v>
      </c>
      <c r="BU119">
        <f>120.321</f>
        <v>120.321</v>
      </c>
      <c r="BV119">
        <f>114.542</f>
        <v>114.542</v>
      </c>
      <c r="BW119">
        <f>116.655</f>
        <v>116.655</v>
      </c>
      <c r="BX119">
        <f>113.4</f>
        <v>113.4</v>
      </c>
      <c r="BY119">
        <f>105.039</f>
        <v>105.039</v>
      </c>
      <c r="BZ119">
        <f>13.203</f>
        <v>13.202999999999999</v>
      </c>
      <c r="CA119">
        <f>80.894</f>
        <v>80.894000000000005</v>
      </c>
      <c r="CB119">
        <f>110.8</f>
        <v>110.8</v>
      </c>
      <c r="CC119">
        <f>82.126</f>
        <v>82.126000000000005</v>
      </c>
      <c r="CD119">
        <f>85.812</f>
        <v>85.811999999999998</v>
      </c>
      <c r="CE119">
        <f>120.163</f>
        <v>120.163</v>
      </c>
      <c r="CF119">
        <f>89.878</f>
        <v>89.878</v>
      </c>
      <c r="CG119">
        <f>79.964</f>
        <v>79.963999999999999</v>
      </c>
      <c r="CH119">
        <f>82.516</f>
        <v>82.516000000000005</v>
      </c>
      <c r="CI119">
        <f>61.837</f>
        <v>61.837000000000003</v>
      </c>
      <c r="CJ119">
        <f>112.722</f>
        <v>112.72199999999999</v>
      </c>
      <c r="CK119">
        <f>78.073</f>
        <v>78.072999999999993</v>
      </c>
      <c r="CL119">
        <f>59.748</f>
        <v>59.747999999999998</v>
      </c>
      <c r="CM119">
        <f>47.415</f>
        <v>47.414999999999999</v>
      </c>
      <c r="CN119">
        <f>34.683</f>
        <v>34.683</v>
      </c>
      <c r="CO119">
        <f>52.556</f>
        <v>52.555999999999997</v>
      </c>
      <c r="CP119">
        <f>92.955</f>
        <v>92.954999999999998</v>
      </c>
      <c r="CQ119">
        <f>-26.404</f>
        <v>-26.404</v>
      </c>
      <c r="CR119">
        <f>47.643</f>
        <v>47.643000000000001</v>
      </c>
      <c r="CS119">
        <f>-22.277</f>
        <v>-22.277000000000001</v>
      </c>
      <c r="CT119">
        <f>38.996</f>
        <v>38.996000000000002</v>
      </c>
      <c r="CU119">
        <f>-17.442</f>
        <v>-17.442</v>
      </c>
      <c r="CV119">
        <f>-79.566</f>
        <v>-79.566000000000003</v>
      </c>
      <c r="CW119">
        <f>-155.918</f>
        <v>-155.91800000000001</v>
      </c>
      <c r="CX119">
        <f>150.563</f>
        <v>150.56299999999999</v>
      </c>
      <c r="CY119">
        <f>-108.685</f>
        <v>-108.685</v>
      </c>
      <c r="CZ119">
        <f>107.292</f>
        <v>107.292</v>
      </c>
      <c r="DA119">
        <f>106.452</f>
        <v>106.452</v>
      </c>
      <c r="DB119">
        <f>106.891</f>
        <v>106.89100000000001</v>
      </c>
      <c r="DC119">
        <f>110.6</f>
        <v>110.6</v>
      </c>
      <c r="DD119">
        <f>110.116</f>
        <v>110.116</v>
      </c>
      <c r="DE119">
        <f>175.266</f>
        <v>175.26599999999999</v>
      </c>
      <c r="DF119">
        <f>119.975</f>
        <v>119.97499999999999</v>
      </c>
      <c r="DG119">
        <f>103.892</f>
        <v>103.892</v>
      </c>
      <c r="DH119">
        <f>105.525</f>
        <v>105.52500000000001</v>
      </c>
      <c r="DI119">
        <f>123.576</f>
        <v>123.57599999999999</v>
      </c>
      <c r="DJ119">
        <f>99.984</f>
        <v>99.983999999999995</v>
      </c>
      <c r="DK119">
        <f>95.504</f>
        <v>95.504000000000005</v>
      </c>
      <c r="DL119">
        <f>81.783</f>
        <v>81.783000000000001</v>
      </c>
      <c r="DM119">
        <f>92.535</f>
        <v>92.534999999999997</v>
      </c>
      <c r="DN119">
        <f>112.863</f>
        <v>112.863</v>
      </c>
      <c r="DO119">
        <f>73.03</f>
        <v>73.03</v>
      </c>
      <c r="DP119">
        <f>74.887</f>
        <v>74.887</v>
      </c>
      <c r="DQ119">
        <f>20.717</f>
        <v>20.716999999999999</v>
      </c>
      <c r="DR119">
        <f>73.411</f>
        <v>73.411000000000001</v>
      </c>
      <c r="DS119">
        <f>60.13100052</f>
        <v>60.131000520000001</v>
      </c>
      <c r="DT119">
        <f>10.201</f>
        <v>10.201000000000001</v>
      </c>
      <c r="DU119">
        <f>9.277</f>
        <v>9.2769999999999992</v>
      </c>
    </row>
    <row r="120" spans="1:125">
      <c r="A120" t="str">
        <f>"    Federal Realty Investment Trus"</f>
        <v xml:space="preserve">    Federal Realty Investment Trus</v>
      </c>
      <c r="B120" t="str">
        <f>"FRT US Equity"</f>
        <v>FRT US Equity</v>
      </c>
      <c r="C120" t="str">
        <f t="shared" si="21"/>
        <v>CF039</v>
      </c>
      <c r="D120" t="str">
        <f t="shared" si="22"/>
        <v>CF_FFO</v>
      </c>
      <c r="E120" t="str">
        <f t="shared" si="23"/>
        <v>动态</v>
      </c>
      <c r="F120" t="str">
        <f ca="1">IF(AND(ISNUMBER($F$574),$B$419=1),$F$574,HLOOKUP(INDIRECT(ADDRESS(2,COLUMN())),OFFSET($BN$2,0,0,ROW()-1,60),ROW()-1,FALSE))</f>
        <v/>
      </c>
      <c r="G120">
        <f ca="1">IF(AND(ISNUMBER($G$574),$B$419=1),$G$574,HLOOKUP(INDIRECT(ADDRESS(2,COLUMN())),OFFSET($BN$2,0,0,ROW()-1,60),ROW()-1,FALSE))</f>
        <v>95.486000000000004</v>
      </c>
      <c r="H120">
        <f ca="1">IF(AND(ISNUMBER($H$574),$B$419=1),$H$574,HLOOKUP(INDIRECT(ADDRESS(2,COLUMN())),OFFSET($BN$2,0,0,ROW()-1,60),ROW()-1,FALSE))</f>
        <v>109.968</v>
      </c>
      <c r="I120">
        <f ca="1">IF(AND(ISNUMBER($I$574),$B$419=1),$I$574,HLOOKUP(INDIRECT(ADDRESS(2,COLUMN())),OFFSET($BN$2,0,0,ROW()-1,60),ROW()-1,FALSE))</f>
        <v>108.60299999999999</v>
      </c>
      <c r="J120">
        <f ca="1">IF(AND(ISNUMBER($J$574),$B$419=1),$J$574,HLOOKUP(INDIRECT(ADDRESS(2,COLUMN())),OFFSET($BN$2,0,0,ROW()-1,60),ROW()-1,FALSE))</f>
        <v>105.795</v>
      </c>
      <c r="K120">
        <f ca="1">IF(AND(ISNUMBER($K$574),$B$419=1),$K$574,HLOOKUP(INDIRECT(ADDRESS(2,COLUMN())),OFFSET($BN$2,0,0,ROW()-1,60),ROW()-1,FALSE))</f>
        <v>104.919</v>
      </c>
      <c r="L120">
        <f ca="1">IF(AND(ISNUMBER($L$574),$B$419=1),$L$574,HLOOKUP(INDIRECT(ADDRESS(2,COLUMN())),OFFSET($BN$2,0,0,ROW()-1,60),ROW()-1,FALSE))</f>
        <v>101.66800000000001</v>
      </c>
      <c r="M120">
        <f ca="1">IF(AND(ISNUMBER($M$574),$B$419=1),$M$574,HLOOKUP(INDIRECT(ADDRESS(2,COLUMN())),OFFSET($BN$2,0,0,ROW()-1,60),ROW()-1,FALSE))</f>
        <v>102.18300000000001</v>
      </c>
      <c r="N120">
        <f ca="1">IF(AND(ISNUMBER($N$574),$B$419=1),$N$574,HLOOKUP(INDIRECT(ADDRESS(2,COLUMN())),OFFSET($BN$2,0,0,ROW()-1,60),ROW()-1,FALSE))</f>
        <v>97.588999999999999</v>
      </c>
      <c r="O120">
        <f ca="1">IF(AND(ISNUMBER($O$574),$B$419=1),$O$574,HLOOKUP(INDIRECT(ADDRESS(2,COLUMN())),OFFSET($BN$2,0,0,ROW()-1,60),ROW()-1,FALSE))</f>
        <v>96.468000000000004</v>
      </c>
      <c r="P120">
        <f ca="1">IF(AND(ISNUMBER($P$574),$B$419=1),$P$574,HLOOKUP(INDIRECT(ADDRESS(2,COLUMN())),OFFSET($BN$2,0,0,ROW()-1,60),ROW()-1,FALSE))</f>
        <v>95.156999999999996</v>
      </c>
      <c r="Q120">
        <f ca="1">IF(AND(ISNUMBER($Q$574),$B$419=1),$Q$574,HLOOKUP(INDIRECT(ADDRESS(2,COLUMN())),OFFSET($BN$2,0,0,ROW()-1,60),ROW()-1,FALSE))</f>
        <v>73.944000000000003</v>
      </c>
      <c r="R120">
        <f ca="1">IF(AND(ISNUMBER($R$574),$B$419=1),$R$574,HLOOKUP(INDIRECT(ADDRESS(2,COLUMN())),OFFSET($BN$2,0,0,ROW()-1,60),ROW()-1,FALSE))</f>
        <v>87.287999999999997</v>
      </c>
      <c r="S120">
        <f ca="1">IF(AND(ISNUMBER($S$574),$B$419=1),$S$574,HLOOKUP(INDIRECT(ADDRESS(2,COLUMN())),OFFSET($BN$2,0,0,ROW()-1,60),ROW()-1,FALSE))</f>
        <v>77.745000000000005</v>
      </c>
      <c r="T120">
        <f ca="1">IF(AND(ISNUMBER($T$574),$B$419=1),$T$574,HLOOKUP(INDIRECT(ADDRESS(2,COLUMN())),OFFSET($BN$2,0,0,ROW()-1,60),ROW()-1,FALSE))</f>
        <v>84.47</v>
      </c>
      <c r="U120">
        <f ca="1">IF(AND(ISNUMBER($U$574),$B$419=1),$U$574,HLOOKUP(INDIRECT(ADDRESS(2,COLUMN())),OFFSET($BN$2,0,0,ROW()-1,60),ROW()-1,FALSE))</f>
        <v>83.628</v>
      </c>
      <c r="V120">
        <f ca="1">IF(AND(ISNUMBER($V$574),$B$419=1),$V$574,HLOOKUP(INDIRECT(ADDRESS(2,COLUMN())),OFFSET($BN$2,0,0,ROW()-1,60),ROW()-1,FALSE))</f>
        <v>81.754000000000005</v>
      </c>
      <c r="W120">
        <f ca="1">IF(AND(ISNUMBER($W$574),$B$419=1),$W$574,HLOOKUP(INDIRECT(ADDRESS(2,COLUMN())),OFFSET($BN$2,0,0,ROW()-1,60),ROW()-1,FALSE))</f>
        <v>68.372</v>
      </c>
      <c r="X120">
        <f ca="1">IF(AND(ISNUMBER($X$574),$B$419=1),$X$574,HLOOKUP(INDIRECT(ADDRESS(2,COLUMN())),OFFSET($BN$2,0,0,ROW()-1,60),ROW()-1,FALSE))</f>
        <v>76.369</v>
      </c>
      <c r="Y120">
        <f ca="1">IF(AND(ISNUMBER($Y$574),$B$419=1),$Y$574,HLOOKUP(INDIRECT(ADDRESS(2,COLUMN())),OFFSET($BN$2,0,0,ROW()-1,60),ROW()-1,FALSE))</f>
        <v>71.147000000000006</v>
      </c>
      <c r="Z120">
        <f ca="1">IF(AND(ISNUMBER($Z$574),$B$419=1),$Z$574,HLOOKUP(INDIRECT(ADDRESS(2,COLUMN())),OFFSET($BN$2,0,0,ROW()-1,60),ROW()-1,FALSE))</f>
        <v>74.05</v>
      </c>
      <c r="AA120">
        <f ca="1">IF(AND(ISNUMBER($AA$574),$B$419=1),$AA$574,HLOOKUP(INDIRECT(ADDRESS(2,COLUMN())),OFFSET($BN$2,0,0,ROW()-1,60),ROW()-1,FALSE))</f>
        <v>71.744</v>
      </c>
      <c r="AB120">
        <f ca="1">IF(AND(ISNUMBER($AB$574),$B$419=1),$AB$574,HLOOKUP(INDIRECT(ADDRESS(2,COLUMN())),OFFSET($BN$2,0,0,ROW()-1,60),ROW()-1,FALSE))</f>
        <v>72.063000000000002</v>
      </c>
      <c r="AC120">
        <f ca="1">IF(AND(ISNUMBER($AC$574),$B$419=1),$AC$574,HLOOKUP(INDIRECT(ADDRESS(2,COLUMN())),OFFSET($BN$2,0,0,ROW()-1,60),ROW()-1,FALSE))</f>
        <v>66.778000000000006</v>
      </c>
      <c r="AD120">
        <f ca="1">IF(AND(ISNUMBER($AD$574),$B$419=1),$AD$574,HLOOKUP(INDIRECT(ADDRESS(2,COLUMN())),OFFSET($BN$2,0,0,ROW()-1,60),ROW()-1,FALSE))</f>
        <v>66.653999999999996</v>
      </c>
      <c r="AE120">
        <f ca="1">IF(AND(ISNUMBER($AE$574),$B$419=1),$AE$574,HLOOKUP(INDIRECT(ADDRESS(2,COLUMN())),OFFSET($BN$2,0,0,ROW()-1,60),ROW()-1,FALSE))</f>
        <v>62.107999999999997</v>
      </c>
      <c r="AF120">
        <f ca="1">IF(AND(ISNUMBER($AF$574),$B$419=1),$AF$574,HLOOKUP(INDIRECT(ADDRESS(2,COLUMN())),OFFSET($BN$2,0,0,ROW()-1,60),ROW()-1,FALSE))</f>
        <v>63.926000000000002</v>
      </c>
      <c r="AG120">
        <f ca="1">IF(AND(ISNUMBER($AG$574),$B$419=1),$AG$574,HLOOKUP(INDIRECT(ADDRESS(2,COLUMN())),OFFSET($BN$2,0,0,ROW()-1,60),ROW()-1,FALSE))</f>
        <v>64.272000000000006</v>
      </c>
      <c r="AH120">
        <f ca="1">IF(AND(ISNUMBER($AH$574),$B$419=1),$AH$574,HLOOKUP(INDIRECT(ADDRESS(2,COLUMN())),OFFSET($BN$2,0,0,ROW()-1,60),ROW()-1,FALSE))</f>
        <v>61.27</v>
      </c>
      <c r="AI120">
        <f ca="1">IF(AND(ISNUMBER($AI$574),$B$419=1),$AI$574,HLOOKUP(INDIRECT(ADDRESS(2,COLUMN())),OFFSET($BN$2,0,0,ROW()-1,60),ROW()-1,FALSE))</f>
        <v>62.241</v>
      </c>
      <c r="AJ120">
        <f ca="1">IF(AND(ISNUMBER($AJ$574),$B$419=1),$AJ$574,HLOOKUP(INDIRECT(ADDRESS(2,COLUMN())),OFFSET($BN$2,0,0,ROW()-1,60),ROW()-1,FALSE))</f>
        <v>58.841999999999999</v>
      </c>
      <c r="AK120">
        <f ca="1">IF(AND(ISNUMBER($AK$574),$B$419=1),$AK$574,HLOOKUP(INDIRECT(ADDRESS(2,COLUMN())),OFFSET($BN$2,0,0,ROW()-1,60),ROW()-1,FALSE))</f>
        <v>60.314999999999998</v>
      </c>
      <c r="AL120">
        <f ca="1">IF(AND(ISNUMBER($AL$574),$B$419=1),$AL$574,HLOOKUP(INDIRECT(ADDRESS(2,COLUMN())),OFFSET($BN$2,0,0,ROW()-1,60),ROW()-1,FALSE))</f>
        <v>57.811999999999998</v>
      </c>
      <c r="AM120">
        <f ca="1">IF(AND(ISNUMBER($AM$574),$B$419=1),$AM$574,HLOOKUP(INDIRECT(ADDRESS(2,COLUMN())),OFFSET($BN$2,0,0,ROW()-1,60),ROW()-1,FALSE))</f>
        <v>60.094999999999999</v>
      </c>
      <c r="AN120">
        <f ca="1">IF(AND(ISNUMBER($AN$574),$B$419=1),$AN$574,HLOOKUP(INDIRECT(ADDRESS(2,COLUMN())),OFFSET($BN$2,0,0,ROW()-1,60),ROW()-1,FALSE))</f>
        <v>55.595999999999997</v>
      </c>
      <c r="AO120">
        <f ca="1">IF(AND(ISNUMBER($AO$574),$B$419=1),$AO$574,HLOOKUP(INDIRECT(ADDRESS(2,COLUMN())),OFFSET($BN$2,0,0,ROW()-1,60),ROW()-1,FALSE))</f>
        <v>57.366</v>
      </c>
      <c r="AP120">
        <f ca="1">IF(AND(ISNUMBER($AP$574),$B$419=1),$AP$574,HLOOKUP(INDIRECT(ADDRESS(2,COLUMN())),OFFSET($BN$2,0,0,ROW()-1,60),ROW()-1,FALSE))</f>
        <v>37.761000000000003</v>
      </c>
      <c r="AQ120">
        <f ca="1">IF(AND(ISNUMBER($AQ$574),$B$419=1),$AQ$574,HLOOKUP(INDIRECT(ADDRESS(2,COLUMN())),OFFSET($BN$2,0,0,ROW()-1,60),ROW()-1,FALSE))</f>
        <v>58.597000000000001</v>
      </c>
      <c r="AR120">
        <f ca="1">IF(AND(ISNUMBER($AR$574),$B$419=1),$AR$574,HLOOKUP(INDIRECT(ADDRESS(2,COLUMN())),OFFSET($BN$2,0,0,ROW()-1,60),ROW()-1,FALSE))</f>
        <v>57.887999999999998</v>
      </c>
      <c r="AS120">
        <f ca="1">IF(AND(ISNUMBER($AS$574),$B$419=1),$AS$574,HLOOKUP(INDIRECT(ADDRESS(2,COLUMN())),OFFSET($BN$2,0,0,ROW()-1,60),ROW()-1,FALSE))</f>
        <v>56.929000000000002</v>
      </c>
      <c r="AT120">
        <f ca="1">IF(AND(ISNUMBER($AT$574),$B$419=1),$AT$574,HLOOKUP(INDIRECT(ADDRESS(2,COLUMN())),OFFSET($BN$2,0,0,ROW()-1,60),ROW()-1,FALSE))</f>
        <v>55.189</v>
      </c>
      <c r="AU120">
        <f ca="1">IF(AND(ISNUMBER($AU$574),$B$419=1),$AU$574,HLOOKUP(INDIRECT(ADDRESS(2,COLUMN())),OFFSET($BN$2,0,0,ROW()-1,60),ROW()-1,FALSE))</f>
        <v>52.789000000000001</v>
      </c>
      <c r="AV120">
        <f ca="1">IF(AND(ISNUMBER($AV$574),$B$419=1),$AV$574,HLOOKUP(INDIRECT(ADDRESS(2,COLUMN())),OFFSET($BN$2,0,0,ROW()-1,60),ROW()-1,FALSE))</f>
        <v>52.478000000000002</v>
      </c>
      <c r="AW120">
        <f ca="1">IF(AND(ISNUMBER($AW$574),$B$419=1),$AW$574,HLOOKUP(INDIRECT(ADDRESS(2,COLUMN())),OFFSET($BN$2,0,0,ROW()-1,60),ROW()-1,FALSE))</f>
        <v>51.88</v>
      </c>
      <c r="AX120">
        <f ca="1">IF(AND(ISNUMBER($AX$574),$B$419=1),$AX$574,HLOOKUP(INDIRECT(ADDRESS(2,COLUMN())),OFFSET($BN$2,0,0,ROW()-1,60),ROW()-1,FALSE))</f>
        <v>49.625</v>
      </c>
      <c r="AY120">
        <f ca="1">IF(AND(ISNUMBER($AY$574),$B$419=1),$AY$574,HLOOKUP(INDIRECT(ADDRESS(2,COLUMN())),OFFSET($BN$2,0,0,ROW()-1,60),ROW()-1,FALSE))</f>
        <v>43.271000000000001</v>
      </c>
      <c r="AZ120">
        <f ca="1">IF(AND(ISNUMBER($AZ$574),$B$419=1),$AZ$574,HLOOKUP(INDIRECT(ADDRESS(2,COLUMN())),OFFSET($BN$2,0,0,ROW()-1,60),ROW()-1,FALSE))</f>
        <v>45.822000000000003</v>
      </c>
      <c r="BA120">
        <f ca="1">IF(AND(ISNUMBER($BA$574),$B$419=1),$BA$574,HLOOKUP(INDIRECT(ADDRESS(2,COLUMN())),OFFSET($BN$2,0,0,ROW()-1,60),ROW()-1,FALSE))</f>
        <v>44.584000000000003</v>
      </c>
      <c r="BB120">
        <f ca="1">IF(AND(ISNUMBER($BB$574),$B$419=1),$BB$574,HLOOKUP(INDIRECT(ADDRESS(2,COLUMN())),OFFSET($BN$2,0,0,ROW()-1,60),ROW()-1,FALSE))</f>
        <v>43.436</v>
      </c>
      <c r="BC120">
        <f ca="1">IF(AND(ISNUMBER($BC$574),$B$419=1),$BC$574,HLOOKUP(INDIRECT(ADDRESS(2,COLUMN())),OFFSET($BN$2,0,0,ROW()-1,60),ROW()-1,FALSE))</f>
        <v>42.012</v>
      </c>
      <c r="BD120">
        <f ca="1">IF(AND(ISNUMBER($BD$574),$B$419=1),$BD$574,HLOOKUP(INDIRECT(ADDRESS(2,COLUMN())),OFFSET($BN$2,0,0,ROW()-1,60),ROW()-1,FALSE))</f>
        <v>40.994</v>
      </c>
      <c r="BE120">
        <f ca="1">IF(AND(ISNUMBER($BE$574),$B$419=1),$BE$574,HLOOKUP(INDIRECT(ADDRESS(2,COLUMN())),OFFSET($BN$2,0,0,ROW()-1,60),ROW()-1,FALSE))</f>
        <v>41.223999999999997</v>
      </c>
      <c r="BF120">
        <f ca="1">IF(AND(ISNUMBER($BF$574),$B$419=1),$BF$574,HLOOKUP(INDIRECT(ADDRESS(2,COLUMN())),OFFSET($BN$2,0,0,ROW()-1,60),ROW()-1,FALSE))</f>
        <v>39.305</v>
      </c>
      <c r="BG120">
        <f ca="1">IF(AND(ISNUMBER($BG$574),$B$419=1),$BG$574,HLOOKUP(INDIRECT(ADDRESS(2,COLUMN())),OFFSET($BN$2,0,0,ROW()-1,60),ROW()-1,FALSE))</f>
        <v>37.124000549999998</v>
      </c>
      <c r="BH120">
        <f ca="1">IF(AND(ISNUMBER($BH$574),$B$419=1),$BH$574,HLOOKUP(INDIRECT(ADDRESS(2,COLUMN())),OFFSET($BN$2,0,0,ROW()-1,60),ROW()-1,FALSE))</f>
        <v>111.697</v>
      </c>
      <c r="BI120">
        <f ca="1">IF(AND(ISNUMBER($BI$574),$B$419=1),$BI$574,HLOOKUP(INDIRECT(ADDRESS(2,COLUMN())),OFFSET($BN$2,0,0,ROW()-1,60),ROW()-1,FALSE))</f>
        <v>38.638000490000003</v>
      </c>
      <c r="BJ120">
        <f ca="1">IF(AND(ISNUMBER($BJ$574),$B$419=1),$BJ$574,HLOOKUP(INDIRECT(ADDRESS(2,COLUMN())),OFFSET($BN$2,0,0,ROW()-1,60),ROW()-1,FALSE))</f>
        <v>34.779000000000003</v>
      </c>
      <c r="BK120">
        <f ca="1">IF(AND(ISNUMBER($BK$574),$B$419=1),$BK$574,HLOOKUP(INDIRECT(ADDRESS(2,COLUMN())),OFFSET($BN$2,0,0,ROW()-1,60),ROW()-1,FALSE))</f>
        <v>-767.61400000000003</v>
      </c>
      <c r="BL120">
        <f ca="1">IF(AND(ISNUMBER($BL$574),$B$419=1),$BL$574,HLOOKUP(INDIRECT(ADDRESS(2,COLUMN())),OFFSET($BN$2,0,0,ROW()-1,60),ROW()-1,FALSE))</f>
        <v>898.87099999999998</v>
      </c>
      <c r="BM120">
        <f ca="1">IF(AND(ISNUMBER($BM$574),$B$419=1),$BM$574,HLOOKUP(INDIRECT(ADDRESS(2,COLUMN())),OFFSET($BN$2,0,0,ROW()-1,60),ROW()-1,FALSE))</f>
        <v>599.95299999999997</v>
      </c>
      <c r="BN120" t="str">
        <f>""</f>
        <v/>
      </c>
      <c r="BO120">
        <f>95.486</f>
        <v>95.486000000000004</v>
      </c>
      <c r="BP120">
        <f>109.968</f>
        <v>109.968</v>
      </c>
      <c r="BQ120">
        <f>108.603</f>
        <v>108.60299999999999</v>
      </c>
      <c r="BR120">
        <f>105.795</f>
        <v>105.795</v>
      </c>
      <c r="BS120">
        <f>104.919</f>
        <v>104.919</v>
      </c>
      <c r="BT120">
        <f>101.668</f>
        <v>101.66800000000001</v>
      </c>
      <c r="BU120">
        <f>102.183</f>
        <v>102.18300000000001</v>
      </c>
      <c r="BV120">
        <f>97.589</f>
        <v>97.588999999999999</v>
      </c>
      <c r="BW120">
        <f>96.468</f>
        <v>96.468000000000004</v>
      </c>
      <c r="BX120">
        <f>95.157</f>
        <v>95.156999999999996</v>
      </c>
      <c r="BY120">
        <f>73.944</f>
        <v>73.944000000000003</v>
      </c>
      <c r="BZ120">
        <f>87.288</f>
        <v>87.287999999999997</v>
      </c>
      <c r="CA120">
        <f>77.745</f>
        <v>77.745000000000005</v>
      </c>
      <c r="CB120">
        <f>84.47</f>
        <v>84.47</v>
      </c>
      <c r="CC120">
        <f>83.628</f>
        <v>83.628</v>
      </c>
      <c r="CD120">
        <f>81.754</f>
        <v>81.754000000000005</v>
      </c>
      <c r="CE120">
        <f>68.372</f>
        <v>68.372</v>
      </c>
      <c r="CF120">
        <f>76.369</f>
        <v>76.369</v>
      </c>
      <c r="CG120">
        <f>71.147</f>
        <v>71.147000000000006</v>
      </c>
      <c r="CH120">
        <f>74.05</f>
        <v>74.05</v>
      </c>
      <c r="CI120">
        <f>71.744</f>
        <v>71.744</v>
      </c>
      <c r="CJ120">
        <f>72.063</f>
        <v>72.063000000000002</v>
      </c>
      <c r="CK120">
        <f>66.778</f>
        <v>66.778000000000006</v>
      </c>
      <c r="CL120">
        <f>66.654</f>
        <v>66.653999999999996</v>
      </c>
      <c r="CM120">
        <f>62.108</f>
        <v>62.107999999999997</v>
      </c>
      <c r="CN120">
        <f>63.926</f>
        <v>63.926000000000002</v>
      </c>
      <c r="CO120">
        <f>64.272</f>
        <v>64.272000000000006</v>
      </c>
      <c r="CP120">
        <f>61.27</f>
        <v>61.27</v>
      </c>
      <c r="CQ120">
        <f>62.241</f>
        <v>62.241</v>
      </c>
      <c r="CR120">
        <f>58.842</f>
        <v>58.841999999999999</v>
      </c>
      <c r="CS120">
        <f>60.315</f>
        <v>60.314999999999998</v>
      </c>
      <c r="CT120">
        <f>57.812</f>
        <v>57.811999999999998</v>
      </c>
      <c r="CU120">
        <f>60.095</f>
        <v>60.094999999999999</v>
      </c>
      <c r="CV120">
        <f>55.596</f>
        <v>55.595999999999997</v>
      </c>
      <c r="CW120">
        <f>57.366</f>
        <v>57.366</v>
      </c>
      <c r="CX120">
        <f>37.761</f>
        <v>37.761000000000003</v>
      </c>
      <c r="CY120">
        <f>58.597</f>
        <v>58.597000000000001</v>
      </c>
      <c r="CZ120">
        <f>57.888</f>
        <v>57.887999999999998</v>
      </c>
      <c r="DA120">
        <f>56.929</f>
        <v>56.929000000000002</v>
      </c>
      <c r="DB120">
        <f>55.189</f>
        <v>55.189</v>
      </c>
      <c r="DC120">
        <f>52.789</f>
        <v>52.789000000000001</v>
      </c>
      <c r="DD120">
        <f>52.478</f>
        <v>52.478000000000002</v>
      </c>
      <c r="DE120">
        <f>51.88</f>
        <v>51.88</v>
      </c>
      <c r="DF120">
        <f>49.625</f>
        <v>49.625</v>
      </c>
      <c r="DG120">
        <f>43.271</f>
        <v>43.271000000000001</v>
      </c>
      <c r="DH120">
        <f>45.822</f>
        <v>45.822000000000003</v>
      </c>
      <c r="DI120">
        <f>44.584</f>
        <v>44.584000000000003</v>
      </c>
      <c r="DJ120">
        <f>43.436</f>
        <v>43.436</v>
      </c>
      <c r="DK120">
        <f>42.012</f>
        <v>42.012</v>
      </c>
      <c r="DL120">
        <f>40.994</f>
        <v>40.994</v>
      </c>
      <c r="DM120">
        <f>41.224</f>
        <v>41.223999999999997</v>
      </c>
      <c r="DN120">
        <f>39.305</f>
        <v>39.305</v>
      </c>
      <c r="DO120">
        <f>37.12400055</f>
        <v>37.124000549999998</v>
      </c>
      <c r="DP120">
        <f>111.697</f>
        <v>111.697</v>
      </c>
      <c r="DQ120">
        <f>38.63800049</f>
        <v>38.638000490000003</v>
      </c>
      <c r="DR120">
        <f>34.779</f>
        <v>34.779000000000003</v>
      </c>
      <c r="DS120">
        <f>-767.614</f>
        <v>-767.61400000000003</v>
      </c>
      <c r="DT120">
        <f>898.871</f>
        <v>898.87099999999998</v>
      </c>
      <c r="DU120">
        <f>599.953</f>
        <v>599.95299999999997</v>
      </c>
    </row>
    <row r="121" spans="1:125">
      <c r="A121" t="str">
        <f>"    Kimco Realty Corp"</f>
        <v xml:space="preserve">    Kimco Realty Corp</v>
      </c>
      <c r="B121" t="str">
        <f>"KIM US Equity"</f>
        <v>KIM US Equity</v>
      </c>
      <c r="C121" t="str">
        <f t="shared" si="21"/>
        <v>CF039</v>
      </c>
      <c r="D121" t="str">
        <f t="shared" si="22"/>
        <v>CF_FFO</v>
      </c>
      <c r="E121" t="str">
        <f t="shared" si="23"/>
        <v>动态</v>
      </c>
      <c r="F121" t="str">
        <f ca="1">IF(AND(ISNUMBER($F$575),$B$419=1),$F$575,HLOOKUP(INDIRECT(ADDRESS(2,COLUMN())),OFFSET($BN$2,0,0,ROW()-1,60),ROW()-1,FALSE))</f>
        <v/>
      </c>
      <c r="G121">
        <f ca="1">IF(AND(ISNUMBER($G$575),$B$419=1),$G$575,HLOOKUP(INDIRECT(ADDRESS(2,COLUMN())),OFFSET($BN$2,0,0,ROW()-1,60),ROW()-1,FALSE))</f>
        <v>160.13999999999999</v>
      </c>
      <c r="H121">
        <f ca="1">IF(AND(ISNUMBER($H$575),$B$419=1),$H$575,HLOOKUP(INDIRECT(ADDRESS(2,COLUMN())),OFFSET($BN$2,0,0,ROW()-1,60),ROW()-1,FALSE))</f>
        <v>165.286</v>
      </c>
      <c r="I121">
        <f ca="1">IF(AND(ISNUMBER($I$575),$B$419=1),$I$575,HLOOKUP(INDIRECT(ADDRESS(2,COLUMN())),OFFSET($BN$2,0,0,ROW()-1,60),ROW()-1,FALSE))</f>
        <v>174.99600000000001</v>
      </c>
      <c r="J121">
        <f ca="1">IF(AND(ISNUMBER($J$575),$B$419=1),$J$575,HLOOKUP(INDIRECT(ADDRESS(2,COLUMN())),OFFSET($BN$2,0,0,ROW()-1,60),ROW()-1,FALSE))</f>
        <v>155.13999999999999</v>
      </c>
      <c r="K121">
        <f ca="1">IF(AND(ISNUMBER($K$575),$B$419=1),$K$575,HLOOKUP(INDIRECT(ADDRESS(2,COLUMN())),OFFSET($BN$2,0,0,ROW()-1,60),ROW()-1,FALSE))</f>
        <v>162.98400000000001</v>
      </c>
      <c r="L121">
        <f ca="1">IF(AND(ISNUMBER($L$575),$B$419=1),$L$575,HLOOKUP(INDIRECT(ADDRESS(2,COLUMN())),OFFSET($BN$2,0,0,ROW()-1,60),ROW()-1,FALSE))</f>
        <v>76.406000000000006</v>
      </c>
      <c r="M121">
        <f ca="1">IF(AND(ISNUMBER($M$575),$B$419=1),$M$575,HLOOKUP(INDIRECT(ADDRESS(2,COLUMN())),OFFSET($BN$2,0,0,ROW()-1,60),ROW()-1,FALSE))</f>
        <v>158.10300000000001</v>
      </c>
      <c r="N121">
        <f ca="1">IF(AND(ISNUMBER($N$575),$B$419=1),$N$575,HLOOKUP(INDIRECT(ADDRESS(2,COLUMN())),OFFSET($BN$2,0,0,ROW()-1,60),ROW()-1,FALSE))</f>
        <v>158.22200000000001</v>
      </c>
      <c r="O121">
        <f ca="1">IF(AND(ISNUMBER($O$575),$B$419=1),$O$575,HLOOKUP(INDIRECT(ADDRESS(2,COLUMN())),OFFSET($BN$2,0,0,ROW()-1,60),ROW()-1,FALSE))</f>
        <v>143.179</v>
      </c>
      <c r="P121">
        <f ca="1">IF(AND(ISNUMBER($P$575),$B$419=1),$P$575,HLOOKUP(INDIRECT(ADDRESS(2,COLUMN())),OFFSET($BN$2,0,0,ROW()-1,60),ROW()-1,FALSE))</f>
        <v>163.876</v>
      </c>
      <c r="Q121">
        <f ca="1">IF(AND(ISNUMBER($Q$575),$B$419=1),$Q$575,HLOOKUP(INDIRECT(ADDRESS(2,COLUMN())),OFFSET($BN$2,0,0,ROW()-1,60),ROW()-1,FALSE))</f>
        <v>182.714</v>
      </c>
      <c r="R121">
        <f ca="1">IF(AND(ISNUMBER($R$575),$B$419=1),$R$575,HLOOKUP(INDIRECT(ADDRESS(2,COLUMN())),OFFSET($BN$2,0,0,ROW()-1,60),ROW()-1,FALSE))</f>
        <v>153.47800000000001</v>
      </c>
      <c r="S121">
        <f ca="1">IF(AND(ISNUMBER($S$575),$B$419=1),$S$575,HLOOKUP(INDIRECT(ADDRESS(2,COLUMN())),OFFSET($BN$2,0,0,ROW()-1,60),ROW()-1,FALSE))</f>
        <v>156.72200000000001</v>
      </c>
      <c r="T121">
        <f ca="1">IF(AND(ISNUMBER($T$575),$B$419=1),$T$575,HLOOKUP(INDIRECT(ADDRESS(2,COLUMN())),OFFSET($BN$2,0,0,ROW()-1,60),ROW()-1,FALSE))</f>
        <v>159.90799999999999</v>
      </c>
      <c r="U121">
        <f ca="1">IF(AND(ISNUMBER($U$575),$B$419=1),$U$575,HLOOKUP(INDIRECT(ADDRESS(2,COLUMN())),OFFSET($BN$2,0,0,ROW()-1,60),ROW()-1,FALSE))</f>
        <v>141.21</v>
      </c>
      <c r="V121">
        <f ca="1">IF(AND(ISNUMBER($V$575),$B$419=1),$V$575,HLOOKUP(INDIRECT(ADDRESS(2,COLUMN())),OFFSET($BN$2,0,0,ROW()-1,60),ROW()-1,FALSE))</f>
        <v>138.393</v>
      </c>
      <c r="W121">
        <f ca="1">IF(AND(ISNUMBER($W$575),$B$419=1),$W$575,HLOOKUP(INDIRECT(ADDRESS(2,COLUMN())),OFFSET($BN$2,0,0,ROW()-1,60),ROW()-1,FALSE))</f>
        <v>134.66800000000001</v>
      </c>
      <c r="X121">
        <f ca="1">IF(AND(ISNUMBER($X$575),$B$419=1),$X$575,HLOOKUP(INDIRECT(ADDRESS(2,COLUMN())),OFFSET($BN$2,0,0,ROW()-1,60),ROW()-1,FALSE))</f>
        <v>141.35300000000001</v>
      </c>
      <c r="Y121">
        <f ca="1">IF(AND(ISNUMBER($Y$575),$B$419=1),$Y$575,HLOOKUP(INDIRECT(ADDRESS(2,COLUMN())),OFFSET($BN$2,0,0,ROW()-1,60),ROW()-1,FALSE))</f>
        <v>141.642</v>
      </c>
      <c r="Z121">
        <f ca="1">IF(AND(ISNUMBER($Z$575),$B$419=1),$Z$575,HLOOKUP(INDIRECT(ADDRESS(2,COLUMN())),OFFSET($BN$2,0,0,ROW()-1,60),ROW()-1,FALSE))</f>
        <v>134.87899999999999</v>
      </c>
      <c r="AA121">
        <f ca="1">IF(AND(ISNUMBER($AA$575),$B$419=1),$AA$575,HLOOKUP(INDIRECT(ADDRESS(2,COLUMN())),OFFSET($BN$2,0,0,ROW()-1,60),ROW()-1,FALSE))</f>
        <v>127.208</v>
      </c>
      <c r="AB121">
        <f ca="1">IF(AND(ISNUMBER($AB$575),$B$419=1),$AB$575,HLOOKUP(INDIRECT(ADDRESS(2,COLUMN())),OFFSET($BN$2,0,0,ROW()-1,60),ROW()-1,FALSE))</f>
        <v>118.99299999999999</v>
      </c>
      <c r="AC121">
        <f ca="1">IF(AND(ISNUMBER($AC$575),$B$419=1),$AC$575,HLOOKUP(INDIRECT(ADDRESS(2,COLUMN())),OFFSET($BN$2,0,0,ROW()-1,60),ROW()-1,FALSE))</f>
        <v>137.989</v>
      </c>
      <c r="AD121">
        <f ca="1">IF(AND(ISNUMBER($AD$575),$B$419=1),$AD$575,HLOOKUP(INDIRECT(ADDRESS(2,COLUMN())),OFFSET($BN$2,0,0,ROW()-1,60),ROW()-1,FALSE))</f>
        <v>126.249</v>
      </c>
      <c r="AE121">
        <f ca="1">IF(AND(ISNUMBER($AE$575),$B$419=1),$AE$575,HLOOKUP(INDIRECT(ADDRESS(2,COLUMN())),OFFSET($BN$2,0,0,ROW()-1,60),ROW()-1,FALSE))</f>
        <v>135.44300000000001</v>
      </c>
      <c r="AF121">
        <f ca="1">IF(AND(ISNUMBER($AF$575),$B$419=1),$AF$575,HLOOKUP(INDIRECT(ADDRESS(2,COLUMN())),OFFSET($BN$2,0,0,ROW()-1,60),ROW()-1,FALSE))</f>
        <v>134.26300000000001</v>
      </c>
      <c r="AG121">
        <f ca="1">IF(AND(ISNUMBER($AG$575),$B$419=1),$AG$575,HLOOKUP(INDIRECT(ADDRESS(2,COLUMN())),OFFSET($BN$2,0,0,ROW()-1,60),ROW()-1,FALSE))</f>
        <v>121.417</v>
      </c>
      <c r="AH121">
        <f ca="1">IF(AND(ISNUMBER($AH$575),$B$419=1),$AH$575,HLOOKUP(INDIRECT(ADDRESS(2,COLUMN())),OFFSET($BN$2,0,0,ROW()-1,60),ROW()-1,FALSE))</f>
        <v>122.029</v>
      </c>
      <c r="AI121">
        <f ca="1">IF(AND(ISNUMBER($AI$575),$B$419=1),$AI$575,HLOOKUP(INDIRECT(ADDRESS(2,COLUMN())),OFFSET($BN$2,0,0,ROW()-1,60),ROW()-1,FALSE))</f>
        <v>125.333</v>
      </c>
      <c r="AJ121">
        <f ca="1">IF(AND(ISNUMBER($AJ$575),$B$419=1),$AJ$575,HLOOKUP(INDIRECT(ADDRESS(2,COLUMN())),OFFSET($BN$2,0,0,ROW()-1,60),ROW()-1,FALSE))</f>
        <v>110.54900000000001</v>
      </c>
      <c r="AK121">
        <f ca="1">IF(AND(ISNUMBER($AK$575),$B$419=1),$AK$575,HLOOKUP(INDIRECT(ADDRESS(2,COLUMN())),OFFSET($BN$2,0,0,ROW()-1,60),ROW()-1,FALSE))</f>
        <v>105.586</v>
      </c>
      <c r="AL121">
        <f ca="1">IF(AND(ISNUMBER($AL$575),$B$419=1),$AL$575,HLOOKUP(INDIRECT(ADDRESS(2,COLUMN())),OFFSET($BN$2,0,0,ROW()-1,60),ROW()-1,FALSE))</f>
        <v>125.985</v>
      </c>
      <c r="AM121">
        <f ca="1">IF(AND(ISNUMBER($AM$575),$B$419=1),$AM$575,HLOOKUP(INDIRECT(ADDRESS(2,COLUMN())),OFFSET($BN$2,0,0,ROW()-1,60),ROW()-1,FALSE))</f>
        <v>119.456</v>
      </c>
      <c r="AN121">
        <f ca="1">IF(AND(ISNUMBER($AN$575),$B$419=1),$AN$575,HLOOKUP(INDIRECT(ADDRESS(2,COLUMN())),OFFSET($BN$2,0,0,ROW()-1,60),ROW()-1,FALSE))</f>
        <v>112.553</v>
      </c>
      <c r="AO121">
        <f ca="1">IF(AND(ISNUMBER($AO$575),$B$419=1),$AO$575,HLOOKUP(INDIRECT(ADDRESS(2,COLUMN())),OFFSET($BN$2,0,0,ROW()-1,60),ROW()-1,FALSE))</f>
        <v>-62.719000000000001</v>
      </c>
      <c r="AP121">
        <f ca="1">IF(AND(ISNUMBER($AP$575),$B$419=1),$AP$575,HLOOKUP(INDIRECT(ADDRESS(2,COLUMN())),OFFSET($BN$2,0,0,ROW()-1,60),ROW()-1,FALSE))</f>
        <v>117.80500000000001</v>
      </c>
      <c r="AQ121">
        <f ca="1">IF(AND(ISNUMBER($AQ$575),$B$419=1),$AQ$575,HLOOKUP(INDIRECT(ADDRESS(2,COLUMN())),OFFSET($BN$2,0,0,ROW()-1,60),ROW()-1,FALSE))</f>
        <v>10.505000000000001</v>
      </c>
      <c r="AR121">
        <f ca="1">IF(AND(ISNUMBER($AR$575),$B$419=1),$AR$575,HLOOKUP(INDIRECT(ADDRESS(2,COLUMN())),OFFSET($BN$2,0,0,ROW()-1,60),ROW()-1,FALSE))</f>
        <v>176.89400000000001</v>
      </c>
      <c r="AS121">
        <f ca="1">IF(AND(ISNUMBER($AS$575),$B$419=1),$AS$575,HLOOKUP(INDIRECT(ADDRESS(2,COLUMN())),OFFSET($BN$2,0,0,ROW()-1,60),ROW()-1,FALSE))</f>
        <v>171.066</v>
      </c>
      <c r="AT121">
        <f ca="1">IF(AND(ISNUMBER($AT$575),$B$419=1),$AT$575,HLOOKUP(INDIRECT(ADDRESS(2,COLUMN())),OFFSET($BN$2,0,0,ROW()-1,60),ROW()-1,FALSE))</f>
        <v>164.398</v>
      </c>
      <c r="AU121">
        <f ca="1">IF(AND(ISNUMBER($AU$575),$B$419=1),$AU$575,HLOOKUP(INDIRECT(ADDRESS(2,COLUMN())),OFFSET($BN$2,0,0,ROW()-1,60),ROW()-1,FALSE))</f>
        <v>136.21899999999999</v>
      </c>
      <c r="AV121">
        <f ca="1">IF(AND(ISNUMBER($AV$575),$B$419=1),$AV$575,HLOOKUP(INDIRECT(ADDRESS(2,COLUMN())),OFFSET($BN$2,0,0,ROW()-1,60),ROW()-1,FALSE))</f>
        <v>146.642</v>
      </c>
      <c r="AW121">
        <f ca="1">IF(AND(ISNUMBER($AW$575),$B$419=1),$AW$575,HLOOKUP(INDIRECT(ADDRESS(2,COLUMN())),OFFSET($BN$2,0,0,ROW()-1,60),ROW()-1,FALSE))</f>
        <v>184.17699999999999</v>
      </c>
      <c r="AX121">
        <f ca="1">IF(AND(ISNUMBER($AX$575),$B$419=1),$AX$575,HLOOKUP(INDIRECT(ADDRESS(2,COLUMN())),OFFSET($BN$2,0,0,ROW()-1,60),ROW()-1,FALSE))</f>
        <v>202.78399999999999</v>
      </c>
      <c r="AY121">
        <f ca="1">IF(AND(ISNUMBER($AY$575),$B$419=1),$AY$575,HLOOKUP(INDIRECT(ADDRESS(2,COLUMN())),OFFSET($BN$2,0,0,ROW()-1,60),ROW()-1,FALSE))</f>
        <v>147.83099999999999</v>
      </c>
      <c r="AZ121">
        <f ca="1">IF(AND(ISNUMBER($AZ$575),$B$419=1),$AZ$575,HLOOKUP(INDIRECT(ADDRESS(2,COLUMN())),OFFSET($BN$2,0,0,ROW()-1,60),ROW()-1,FALSE))</f>
        <v>138.59899999999999</v>
      </c>
      <c r="BA121">
        <f ca="1">IF(AND(ISNUMBER($BA$575),$B$419=1),$BA$575,HLOOKUP(INDIRECT(ADDRESS(2,COLUMN())),OFFSET($BN$2,0,0,ROW()-1,60),ROW()-1,FALSE))</f>
        <v>133.31</v>
      </c>
      <c r="BB121">
        <f ca="1">IF(AND(ISNUMBER($BB$575),$B$419=1),$BB$575,HLOOKUP(INDIRECT(ADDRESS(2,COLUMN())),OFFSET($BN$2,0,0,ROW()-1,60),ROW()-1,FALSE))</f>
        <v>124.614</v>
      </c>
      <c r="BC121">
        <f ca="1">IF(AND(ISNUMBER($BC$575),$B$419=1),$BC$575,HLOOKUP(INDIRECT(ADDRESS(2,COLUMN())),OFFSET($BN$2,0,0,ROW()-1,60),ROW()-1,FALSE))</f>
        <v>127.45</v>
      </c>
      <c r="BD121">
        <f ca="1">IF(AND(ISNUMBER($BD$575),$B$419=1),$BD$575,HLOOKUP(INDIRECT(ADDRESS(2,COLUMN())),OFFSET($BN$2,0,0,ROW()-1,60),ROW()-1,FALSE))</f>
        <v>116.26600000000001</v>
      </c>
      <c r="BE121">
        <f ca="1">IF(AND(ISNUMBER($BE$575),$B$419=1),$BE$575,HLOOKUP(INDIRECT(ADDRESS(2,COLUMN())),OFFSET($BN$2,0,0,ROW()-1,60),ROW()-1,FALSE))</f>
        <v>112.443</v>
      </c>
      <c r="BF121">
        <f ca="1">IF(AND(ISNUMBER($BF$575),$B$419=1),$BF$575,HLOOKUP(INDIRECT(ADDRESS(2,COLUMN())),OFFSET($BN$2,0,0,ROW()-1,60),ROW()-1,FALSE))</f>
        <v>108.535</v>
      </c>
      <c r="BG121">
        <f ca="1">IF(AND(ISNUMBER($BG$575),$B$419=1),$BG$575,HLOOKUP(INDIRECT(ADDRESS(2,COLUMN())),OFFSET($BN$2,0,0,ROW()-1,60),ROW()-1,FALSE))</f>
        <v>103.607</v>
      </c>
      <c r="BH121">
        <f ca="1">IF(AND(ISNUMBER($BH$575),$B$419=1),$BH$575,HLOOKUP(INDIRECT(ADDRESS(2,COLUMN())),OFFSET($BN$2,0,0,ROW()-1,60),ROW()-1,FALSE))</f>
        <v>101.605</v>
      </c>
      <c r="BI121" t="str">
        <f ca="1">IF(AND(ISNUMBER($BI$575),$B$419=1),$BI$575,HLOOKUP(INDIRECT(ADDRESS(2,COLUMN())),OFFSET($BN$2,0,0,ROW()-1,60),ROW()-1,FALSE))</f>
        <v/>
      </c>
      <c r="BJ121" t="str">
        <f ca="1">IF(AND(ISNUMBER($BJ$575),$B$419=1),$BJ$575,HLOOKUP(INDIRECT(ADDRESS(2,COLUMN())),OFFSET($BN$2,0,0,ROW()-1,60),ROW()-1,FALSE))</f>
        <v/>
      </c>
      <c r="BK121" t="str">
        <f ca="1">IF(AND(ISNUMBER($BK$575),$B$419=1),$BK$575,HLOOKUP(INDIRECT(ADDRESS(2,COLUMN())),OFFSET($BN$2,0,0,ROW()-1,60),ROW()-1,FALSE))</f>
        <v/>
      </c>
      <c r="BL121">
        <f ca="1">IF(AND(ISNUMBER($BL$575),$B$419=1),$BL$575,HLOOKUP(INDIRECT(ADDRESS(2,COLUMN())),OFFSET($BN$2,0,0,ROW()-1,60),ROW()-1,FALSE))</f>
        <v>90.565002440000001</v>
      </c>
      <c r="BM121" t="str">
        <f ca="1">IF(AND(ISNUMBER($BM$575),$B$419=1),$BM$575,HLOOKUP(INDIRECT(ADDRESS(2,COLUMN())),OFFSET($BN$2,0,0,ROW()-1,60),ROW()-1,FALSE))</f>
        <v/>
      </c>
      <c r="BN121" t="str">
        <f>""</f>
        <v/>
      </c>
      <c r="BO121">
        <f>160.14</f>
        <v>160.13999999999999</v>
      </c>
      <c r="BP121">
        <f>165.286</f>
        <v>165.286</v>
      </c>
      <c r="BQ121">
        <f>174.996</f>
        <v>174.99600000000001</v>
      </c>
      <c r="BR121">
        <f>155.14</f>
        <v>155.13999999999999</v>
      </c>
      <c r="BS121">
        <f>162.984</f>
        <v>162.98400000000001</v>
      </c>
      <c r="BT121">
        <f>76.406</f>
        <v>76.406000000000006</v>
      </c>
      <c r="BU121">
        <f>158.103</f>
        <v>158.10300000000001</v>
      </c>
      <c r="BV121">
        <f>158.222</f>
        <v>158.22200000000001</v>
      </c>
      <c r="BW121">
        <f>143.179</f>
        <v>143.179</v>
      </c>
      <c r="BX121">
        <f>163.876</f>
        <v>163.876</v>
      </c>
      <c r="BY121">
        <f>182.714</f>
        <v>182.714</v>
      </c>
      <c r="BZ121">
        <f>153.478</f>
        <v>153.47800000000001</v>
      </c>
      <c r="CA121">
        <f>156.722</f>
        <v>156.72200000000001</v>
      </c>
      <c r="CB121">
        <f>159.908</f>
        <v>159.90799999999999</v>
      </c>
      <c r="CC121">
        <f>141.21</f>
        <v>141.21</v>
      </c>
      <c r="CD121">
        <f>138.393</f>
        <v>138.393</v>
      </c>
      <c r="CE121">
        <f>134.668</f>
        <v>134.66800000000001</v>
      </c>
      <c r="CF121">
        <f>141.353</f>
        <v>141.35300000000001</v>
      </c>
      <c r="CG121">
        <f>141.642</f>
        <v>141.642</v>
      </c>
      <c r="CH121">
        <f>134.879</f>
        <v>134.87899999999999</v>
      </c>
      <c r="CI121">
        <f>127.208</f>
        <v>127.208</v>
      </c>
      <c r="CJ121">
        <f>118.993</f>
        <v>118.99299999999999</v>
      </c>
      <c r="CK121">
        <f>137.989</f>
        <v>137.989</v>
      </c>
      <c r="CL121">
        <f>126.249</f>
        <v>126.249</v>
      </c>
      <c r="CM121">
        <f>135.443</f>
        <v>135.44300000000001</v>
      </c>
      <c r="CN121">
        <f>134.263</f>
        <v>134.26300000000001</v>
      </c>
      <c r="CO121">
        <f>121.417</f>
        <v>121.417</v>
      </c>
      <c r="CP121">
        <f>122.029</f>
        <v>122.029</v>
      </c>
      <c r="CQ121">
        <f>125.333</f>
        <v>125.333</v>
      </c>
      <c r="CR121">
        <f>110.549</f>
        <v>110.54900000000001</v>
      </c>
      <c r="CS121">
        <f>105.586</f>
        <v>105.586</v>
      </c>
      <c r="CT121">
        <f>125.985</f>
        <v>125.985</v>
      </c>
      <c r="CU121">
        <f>119.456</f>
        <v>119.456</v>
      </c>
      <c r="CV121">
        <f>112.553</f>
        <v>112.553</v>
      </c>
      <c r="CW121">
        <f>-62.719</f>
        <v>-62.719000000000001</v>
      </c>
      <c r="CX121">
        <f>117.805</f>
        <v>117.80500000000001</v>
      </c>
      <c r="CY121">
        <f>10.505</f>
        <v>10.505000000000001</v>
      </c>
      <c r="CZ121">
        <f>176.894</f>
        <v>176.89400000000001</v>
      </c>
      <c r="DA121">
        <f>171.066</f>
        <v>171.066</v>
      </c>
      <c r="DB121">
        <f>164.398</f>
        <v>164.398</v>
      </c>
      <c r="DC121">
        <f>136.219</f>
        <v>136.21899999999999</v>
      </c>
      <c r="DD121">
        <f>146.642</f>
        <v>146.642</v>
      </c>
      <c r="DE121">
        <f>184.177</f>
        <v>184.17699999999999</v>
      </c>
      <c r="DF121">
        <f>202.784</f>
        <v>202.78399999999999</v>
      </c>
      <c r="DG121">
        <f>147.831</f>
        <v>147.83099999999999</v>
      </c>
      <c r="DH121">
        <f>138.599</f>
        <v>138.59899999999999</v>
      </c>
      <c r="DI121">
        <f>133.31</f>
        <v>133.31</v>
      </c>
      <c r="DJ121">
        <f>124.614</f>
        <v>124.614</v>
      </c>
      <c r="DK121">
        <f>127.45</f>
        <v>127.45</v>
      </c>
      <c r="DL121">
        <f>116.266</f>
        <v>116.26600000000001</v>
      </c>
      <c r="DM121">
        <f>112.443</f>
        <v>112.443</v>
      </c>
      <c r="DN121">
        <f>108.535</f>
        <v>108.535</v>
      </c>
      <c r="DO121">
        <f>103.607</f>
        <v>103.607</v>
      </c>
      <c r="DP121">
        <f>101.605</f>
        <v>101.605</v>
      </c>
      <c r="DQ121" t="str">
        <f>""</f>
        <v/>
      </c>
      <c r="DR121" t="str">
        <f>""</f>
        <v/>
      </c>
      <c r="DS121" t="str">
        <f>""</f>
        <v/>
      </c>
      <c r="DT121">
        <f>90.56500244</f>
        <v>90.565002440000001</v>
      </c>
      <c r="DU121" t="str">
        <f>""</f>
        <v/>
      </c>
    </row>
    <row r="122" spans="1:125">
      <c r="A122" t="str">
        <f>"    National Retail Properties Inc"</f>
        <v xml:space="preserve">    National Retail Properties Inc</v>
      </c>
      <c r="B122" t="str">
        <f>"NNN US Equity"</f>
        <v>NNN US Equity</v>
      </c>
      <c r="C122" t="str">
        <f t="shared" si="21"/>
        <v>CF039</v>
      </c>
      <c r="D122" t="str">
        <f t="shared" si="22"/>
        <v>CF_FFO</v>
      </c>
      <c r="E122" t="str">
        <f t="shared" si="23"/>
        <v>动态</v>
      </c>
      <c r="F122" t="str">
        <f ca="1">IF(AND(ISNUMBER($F$576),$B$419=1),$F$576,HLOOKUP(INDIRECT(ADDRESS(2,COLUMN())),OFFSET($BN$2,0,0,ROW()-1,60),ROW()-1,FALSE))</f>
        <v/>
      </c>
      <c r="G122">
        <f ca="1">IF(AND(ISNUMBER($G$576),$B$419=1),$G$576,HLOOKUP(INDIRECT(ADDRESS(2,COLUMN())),OFFSET($BN$2,0,0,ROW()-1,60),ROW()-1,FALSE))</f>
        <v>95.266999999999996</v>
      </c>
      <c r="H122">
        <f ca="1">IF(AND(ISNUMBER($H$576),$B$419=1),$H$576,HLOOKUP(INDIRECT(ADDRESS(2,COLUMN())),OFFSET($BN$2,0,0,ROW()-1,60),ROW()-1,FALSE))</f>
        <v>97.76</v>
      </c>
      <c r="I122">
        <f ca="1">IF(AND(ISNUMBER($I$576),$B$419=1),$I$576,HLOOKUP(INDIRECT(ADDRESS(2,COLUMN())),OFFSET($BN$2,0,0,ROW()-1,60),ROW()-1,FALSE))</f>
        <v>87.884</v>
      </c>
      <c r="J122">
        <f ca="1">IF(AND(ISNUMBER($J$576),$B$419=1),$J$576,HLOOKUP(INDIRECT(ADDRESS(2,COLUMN())),OFFSET($BN$2,0,0,ROW()-1,60),ROW()-1,FALSE))</f>
        <v>78.266999999999996</v>
      </c>
      <c r="K122">
        <f ca="1">IF(AND(ISNUMBER($K$576),$B$419=1),$K$576,HLOOKUP(INDIRECT(ADDRESS(2,COLUMN())),OFFSET($BN$2,0,0,ROW()-1,60),ROW()-1,FALSE))</f>
        <v>88.716999999999999</v>
      </c>
      <c r="L122">
        <f ca="1">IF(AND(ISNUMBER($L$576),$B$419=1),$L$576,HLOOKUP(INDIRECT(ADDRESS(2,COLUMN())),OFFSET($BN$2,0,0,ROW()-1,60),ROW()-1,FALSE))</f>
        <v>81.225999999999999</v>
      </c>
      <c r="M122">
        <f ca="1">IF(AND(ISNUMBER($M$576),$B$419=1),$M$576,HLOOKUP(INDIRECT(ADDRESS(2,COLUMN())),OFFSET($BN$2,0,0,ROW()-1,60),ROW()-1,FALSE))</f>
        <v>80.503</v>
      </c>
      <c r="N122">
        <f ca="1">IF(AND(ISNUMBER($N$576),$B$419=1),$N$576,HLOOKUP(INDIRECT(ADDRESS(2,COLUMN())),OFFSET($BN$2,0,0,ROW()-1,60),ROW()-1,FALSE))</f>
        <v>80.097999999999999</v>
      </c>
      <c r="O122">
        <f ca="1">IF(AND(ISNUMBER($O$576),$B$419=1),$O$576,HLOOKUP(INDIRECT(ADDRESS(2,COLUMN())),OFFSET($BN$2,0,0,ROW()-1,60),ROW()-1,FALSE))</f>
        <v>67.319000000000003</v>
      </c>
      <c r="P122">
        <f ca="1">IF(AND(ISNUMBER($P$576),$B$419=1),$P$576,HLOOKUP(INDIRECT(ADDRESS(2,COLUMN())),OFFSET($BN$2,0,0,ROW()-1,60),ROW()-1,FALSE))</f>
        <v>77.94</v>
      </c>
      <c r="Q122">
        <f ca="1">IF(AND(ISNUMBER($Q$576),$B$419=1),$Q$576,HLOOKUP(INDIRECT(ADDRESS(2,COLUMN())),OFFSET($BN$2,0,0,ROW()-1,60),ROW()-1,FALSE))</f>
        <v>73.061999999999998</v>
      </c>
      <c r="R122">
        <f ca="1">IF(AND(ISNUMBER($R$576),$B$419=1),$R$576,HLOOKUP(INDIRECT(ADDRESS(2,COLUMN())),OFFSET($BN$2,0,0,ROW()-1,60),ROW()-1,FALSE))</f>
        <v>70.870999999999995</v>
      </c>
      <c r="S122">
        <f ca="1">IF(AND(ISNUMBER($S$576),$B$419=1),$S$576,HLOOKUP(INDIRECT(ADDRESS(2,COLUMN())),OFFSET($BN$2,0,0,ROW()-1,60),ROW()-1,FALSE))</f>
        <v>72.277000000000001</v>
      </c>
      <c r="T122">
        <f ca="1">IF(AND(ISNUMBER($T$576),$B$419=1),$T$576,HLOOKUP(INDIRECT(ADDRESS(2,COLUMN())),OFFSET($BN$2,0,0,ROW()-1,60),ROW()-1,FALSE))</f>
        <v>65.369</v>
      </c>
      <c r="U122">
        <f ca="1">IF(AND(ISNUMBER($U$576),$B$419=1),$U$576,HLOOKUP(INDIRECT(ADDRESS(2,COLUMN())),OFFSET($BN$2,0,0,ROW()-1,60),ROW()-1,FALSE))</f>
        <v>61.69</v>
      </c>
      <c r="V122">
        <f ca="1">IF(AND(ISNUMBER($V$576),$B$419=1),$V$576,HLOOKUP(INDIRECT(ADDRESS(2,COLUMN())),OFFSET($BN$2,0,0,ROW()-1,60),ROW()-1,FALSE))</f>
        <v>61.640999999999998</v>
      </c>
      <c r="W122">
        <f ca="1">IF(AND(ISNUMBER($W$576),$B$419=1),$W$576,HLOOKUP(INDIRECT(ADDRESS(2,COLUMN())),OFFSET($BN$2,0,0,ROW()-1,60),ROW()-1,FALSE))</f>
        <v>60.646000000000001</v>
      </c>
      <c r="X122">
        <f ca="1">IF(AND(ISNUMBER($X$576),$B$419=1),$X$576,HLOOKUP(INDIRECT(ADDRESS(2,COLUMN())),OFFSET($BN$2,0,0,ROW()-1,60),ROW()-1,FALSE))</f>
        <v>59.945999999999998</v>
      </c>
      <c r="Y122">
        <f ca="1">IF(AND(ISNUMBER($Y$576),$B$419=1),$Y$576,HLOOKUP(INDIRECT(ADDRESS(2,COLUMN())),OFFSET($BN$2,0,0,ROW()-1,60),ROW()-1,FALSE))</f>
        <v>54.283999999999999</v>
      </c>
      <c r="Z122">
        <f ca="1">IF(AND(ISNUMBER($Z$576),$B$419=1),$Z$576,HLOOKUP(INDIRECT(ADDRESS(2,COLUMN())),OFFSET($BN$2,0,0,ROW()-1,60),ROW()-1,FALSE))</f>
        <v>54.64</v>
      </c>
      <c r="AA122">
        <f ca="1">IF(AND(ISNUMBER($AA$576),$B$419=1),$AA$576,HLOOKUP(INDIRECT(ADDRESS(2,COLUMN())),OFFSET($BN$2,0,0,ROW()-1,60),ROW()-1,FALSE))</f>
        <v>51.012</v>
      </c>
      <c r="AB122">
        <f ca="1">IF(AND(ISNUMBER($AB$576),$B$419=1),$AB$576,HLOOKUP(INDIRECT(ADDRESS(2,COLUMN())),OFFSET($BN$2,0,0,ROW()-1,60),ROW()-1,FALSE))</f>
        <v>57.043999999999997</v>
      </c>
      <c r="AC122">
        <f ca="1">IF(AND(ISNUMBER($AC$576),$B$419=1),$AC$576,HLOOKUP(INDIRECT(ADDRESS(2,COLUMN())),OFFSET($BN$2,0,0,ROW()-1,60),ROW()-1,FALSE))</f>
        <v>43.731000000000002</v>
      </c>
      <c r="AD122">
        <f ca="1">IF(AND(ISNUMBER($AD$576),$B$419=1),$AD$576,HLOOKUP(INDIRECT(ADDRESS(2,COLUMN())),OFFSET($BN$2,0,0,ROW()-1,60),ROW()-1,FALSE))</f>
        <v>41.82</v>
      </c>
      <c r="AE122">
        <f ca="1">IF(AND(ISNUMBER($AE$576),$B$419=1),$AE$576,HLOOKUP(INDIRECT(ADDRESS(2,COLUMN())),OFFSET($BN$2,0,0,ROW()-1,60),ROW()-1,FALSE))</f>
        <v>41.037999999999997</v>
      </c>
      <c r="AF122">
        <f ca="1">IF(AND(ISNUMBER($AF$576),$B$419=1),$AF$576,HLOOKUP(INDIRECT(ADDRESS(2,COLUMN())),OFFSET($BN$2,0,0,ROW()-1,60),ROW()-1,FALSE))</f>
        <v>34.622999999999998</v>
      </c>
      <c r="AG122">
        <f ca="1">IF(AND(ISNUMBER($AG$576),$B$419=1),$AG$576,HLOOKUP(INDIRECT(ADDRESS(2,COLUMN())),OFFSET($BN$2,0,0,ROW()-1,60),ROW()-1,FALSE))</f>
        <v>32.18</v>
      </c>
      <c r="AH122">
        <f ca="1">IF(AND(ISNUMBER($AH$576),$B$419=1),$AH$576,HLOOKUP(INDIRECT(ADDRESS(2,COLUMN())),OFFSET($BN$2,0,0,ROW()-1,60),ROW()-1,FALSE))</f>
        <v>31.393000000000001</v>
      </c>
      <c r="AI122">
        <f ca="1">IF(AND(ISNUMBER($AI$576),$B$419=1),$AI$576,HLOOKUP(INDIRECT(ADDRESS(2,COLUMN())),OFFSET($BN$2,0,0,ROW()-1,60),ROW()-1,FALSE))</f>
        <v>23.99</v>
      </c>
      <c r="AJ122">
        <f ca="1">IF(AND(ISNUMBER($AJ$576),$B$419=1),$AJ$576,HLOOKUP(INDIRECT(ADDRESS(2,COLUMN())),OFFSET($BN$2,0,0,ROW()-1,60),ROW()-1,FALSE))</f>
        <v>29.634</v>
      </c>
      <c r="AK122">
        <f ca="1">IF(AND(ISNUMBER($AK$576),$B$419=1),$AK$576,HLOOKUP(INDIRECT(ADDRESS(2,COLUMN())),OFFSET($BN$2,0,0,ROW()-1,60),ROW()-1,FALSE))</f>
        <v>29.445</v>
      </c>
      <c r="AL122">
        <f ca="1">IF(AND(ISNUMBER($AL$576),$B$419=1),$AL$576,HLOOKUP(INDIRECT(ADDRESS(2,COLUMN())),OFFSET($BN$2,0,0,ROW()-1,60),ROW()-1,FALSE))</f>
        <v>25.259</v>
      </c>
      <c r="AM122">
        <f ca="1">IF(AND(ISNUMBER($AM$576),$B$419=1),$AM$576,HLOOKUP(INDIRECT(ADDRESS(2,COLUMN())),OFFSET($BN$2,0,0,ROW()-1,60),ROW()-1,FALSE))</f>
        <v>-3.5310000000000001</v>
      </c>
      <c r="AN122">
        <f ca="1">IF(AND(ISNUMBER($AN$576),$B$419=1),$AN$576,HLOOKUP(INDIRECT(ADDRESS(2,COLUMN())),OFFSET($BN$2,0,0,ROW()-1,60),ROW()-1,FALSE))</f>
        <v>31.401</v>
      </c>
      <c r="AO122">
        <f ca="1">IF(AND(ISNUMBER($AO$576),$B$419=1),$AO$576,HLOOKUP(INDIRECT(ADDRESS(2,COLUMN())),OFFSET($BN$2,0,0,ROW()-1,60),ROW()-1,FALSE))</f>
        <v>27.126000000000001</v>
      </c>
      <c r="AP122">
        <f ca="1">IF(AND(ISNUMBER($AP$576),$B$419=1),$AP$576,HLOOKUP(INDIRECT(ADDRESS(2,COLUMN())),OFFSET($BN$2,0,0,ROW()-1,60),ROW()-1,FALSE))</f>
        <v>34.51</v>
      </c>
      <c r="AQ122">
        <f ca="1">IF(AND(ISNUMBER($AQ$576),$B$419=1),$AQ$576,HLOOKUP(INDIRECT(ADDRESS(2,COLUMN())),OFFSET($BN$2,0,0,ROW()-1,60),ROW()-1,FALSE))</f>
        <v>35.963999999999999</v>
      </c>
      <c r="AR122">
        <f ca="1">IF(AND(ISNUMBER($AR$576),$B$419=1),$AR$576,HLOOKUP(INDIRECT(ADDRESS(2,COLUMN())),OFFSET($BN$2,0,0,ROW()-1,60),ROW()-1,FALSE))</f>
        <v>36.707000000000001</v>
      </c>
      <c r="AS122">
        <f ca="1">IF(AND(ISNUMBER($AS$576),$B$419=1),$AS$576,HLOOKUP(INDIRECT(ADDRESS(2,COLUMN())),OFFSET($BN$2,0,0,ROW()-1,60),ROW()-1,FALSE))</f>
        <v>36.654000000000003</v>
      </c>
      <c r="AT122">
        <f ca="1">IF(AND(ISNUMBER($AT$576),$B$419=1),$AT$576,HLOOKUP(INDIRECT(ADDRESS(2,COLUMN())),OFFSET($BN$2,0,0,ROW()-1,60),ROW()-1,FALSE))</f>
        <v>36.159999999999997</v>
      </c>
      <c r="AU122">
        <f ca="1">IF(AND(ISNUMBER($AU$576),$B$419=1),$AU$576,HLOOKUP(INDIRECT(ADDRESS(2,COLUMN())),OFFSET($BN$2,0,0,ROW()-1,60),ROW()-1,FALSE))</f>
        <v>32.15</v>
      </c>
      <c r="AV122">
        <f ca="1">IF(AND(ISNUMBER($AV$576),$B$419=1),$AV$576,HLOOKUP(INDIRECT(ADDRESS(2,COLUMN())),OFFSET($BN$2,0,0,ROW()-1,60),ROW()-1,FALSE))</f>
        <v>30.872</v>
      </c>
      <c r="AW122">
        <f ca="1">IF(AND(ISNUMBER($AW$576),$B$419=1),$AW$576,HLOOKUP(INDIRECT(ADDRESS(2,COLUMN())),OFFSET($BN$2,0,0,ROW()-1,60),ROW()-1,FALSE))</f>
        <v>31.481000900000002</v>
      </c>
      <c r="AX122">
        <f ca="1">IF(AND(ISNUMBER($AX$576),$B$419=1),$AX$576,HLOOKUP(INDIRECT(ADDRESS(2,COLUMN())),OFFSET($BN$2,0,0,ROW()-1,60),ROW()-1,FALSE))</f>
        <v>29.61</v>
      </c>
      <c r="AY122">
        <f ca="1">IF(AND(ISNUMBER($AY$576),$B$419=1),$AY$576,HLOOKUP(INDIRECT(ADDRESS(2,COLUMN())),OFFSET($BN$2,0,0,ROW()-1,60),ROW()-1,FALSE))</f>
        <v>27.07299995</v>
      </c>
      <c r="AZ122">
        <f ca="1">IF(AND(ISNUMBER($AZ$576),$B$419=1),$AZ$576,HLOOKUP(INDIRECT(ADDRESS(2,COLUMN())),OFFSET($BN$2,0,0,ROW()-1,60),ROW()-1,FALSE))</f>
        <v>21.917000000000002</v>
      </c>
      <c r="BA122">
        <f ca="1">IF(AND(ISNUMBER($BA$576),$B$419=1),$BA$576,HLOOKUP(INDIRECT(ADDRESS(2,COLUMN())),OFFSET($BN$2,0,0,ROW()-1,60),ROW()-1,FALSE))</f>
        <v>24.503999709999999</v>
      </c>
      <c r="BB122">
        <f ca="1">IF(AND(ISNUMBER($BB$576),$B$419=1),$BB$576,HLOOKUP(INDIRECT(ADDRESS(2,COLUMN())),OFFSET($BN$2,0,0,ROW()-1,60),ROW()-1,FALSE))</f>
        <v>23.626999999999999</v>
      </c>
      <c r="BC122">
        <f ca="1">IF(AND(ISNUMBER($BC$576),$B$419=1),$BC$576,HLOOKUP(INDIRECT(ADDRESS(2,COLUMN())),OFFSET($BN$2,0,0,ROW()-1,60),ROW()-1,FALSE))</f>
        <v>60.428001399999999</v>
      </c>
      <c r="BD122">
        <f ca="1">IF(AND(ISNUMBER($BD$576),$B$419=1),$BD$576,HLOOKUP(INDIRECT(ADDRESS(2,COLUMN())),OFFSET($BN$2,0,0,ROW()-1,60),ROW()-1,FALSE))</f>
        <v>21.375</v>
      </c>
      <c r="BE122">
        <f ca="1">IF(AND(ISNUMBER($BE$576),$B$419=1),$BE$576,HLOOKUP(INDIRECT(ADDRESS(2,COLUMN())),OFFSET($BN$2,0,0,ROW()-1,60),ROW()-1,FALSE))</f>
        <v>-19.596000669999999</v>
      </c>
      <c r="BF122">
        <f ca="1">IF(AND(ISNUMBER($BF$576),$B$419=1),$BF$576,HLOOKUP(INDIRECT(ADDRESS(2,COLUMN())),OFFSET($BN$2,0,0,ROW()-1,60),ROW()-1,FALSE))</f>
        <v>19.596</v>
      </c>
      <c r="BG122">
        <f ca="1">IF(AND(ISNUMBER($BG$576),$B$419=1),$BG$576,HLOOKUP(INDIRECT(ADDRESS(2,COLUMN())),OFFSET($BN$2,0,0,ROW()-1,60),ROW()-1,FALSE))</f>
        <v>20.76</v>
      </c>
      <c r="BH122">
        <f ca="1">IF(AND(ISNUMBER($BH$576),$B$419=1),$BH$576,HLOOKUP(INDIRECT(ADDRESS(2,COLUMN())),OFFSET($BN$2,0,0,ROW()-1,60),ROW()-1,FALSE))</f>
        <v>0</v>
      </c>
      <c r="BI122" t="str">
        <f ca="1">IF(AND(ISNUMBER($BI$576),$B$419=1),$BI$576,HLOOKUP(INDIRECT(ADDRESS(2,COLUMN())),OFFSET($BN$2,0,0,ROW()-1,60),ROW()-1,FALSE))</f>
        <v/>
      </c>
      <c r="BJ122" t="str">
        <f ca="1">IF(AND(ISNUMBER($BJ$576),$B$419=1),$BJ$576,HLOOKUP(INDIRECT(ADDRESS(2,COLUMN())),OFFSET($BN$2,0,0,ROW()-1,60),ROW()-1,FALSE))</f>
        <v/>
      </c>
      <c r="BK122">
        <f ca="1">IF(AND(ISNUMBER($BK$576),$B$419=1),$BK$576,HLOOKUP(INDIRECT(ADDRESS(2,COLUMN())),OFFSET($BN$2,0,0,ROW()-1,60),ROW()-1,FALSE))</f>
        <v>64.162000000000006</v>
      </c>
      <c r="BL122" t="str">
        <f ca="1">IF(AND(ISNUMBER($BL$576),$B$419=1),$BL$576,HLOOKUP(INDIRECT(ADDRESS(2,COLUMN())),OFFSET($BN$2,0,0,ROW()-1,60),ROW()-1,FALSE))</f>
        <v/>
      </c>
      <c r="BM122" t="str">
        <f ca="1">IF(AND(ISNUMBER($BM$576),$B$419=1),$BM$576,HLOOKUP(INDIRECT(ADDRESS(2,COLUMN())),OFFSET($BN$2,0,0,ROW()-1,60),ROW()-1,FALSE))</f>
        <v/>
      </c>
      <c r="BN122" t="str">
        <f>""</f>
        <v/>
      </c>
      <c r="BO122">
        <f>95.267</f>
        <v>95.266999999999996</v>
      </c>
      <c r="BP122">
        <f>97.76</f>
        <v>97.76</v>
      </c>
      <c r="BQ122">
        <f>87.884</f>
        <v>87.884</v>
      </c>
      <c r="BR122">
        <f>78.267</f>
        <v>78.266999999999996</v>
      </c>
      <c r="BS122">
        <f>88.717</f>
        <v>88.716999999999999</v>
      </c>
      <c r="BT122">
        <f>81.226</f>
        <v>81.225999999999999</v>
      </c>
      <c r="BU122">
        <f>80.503</f>
        <v>80.503</v>
      </c>
      <c r="BV122">
        <f>80.098</f>
        <v>80.097999999999999</v>
      </c>
      <c r="BW122">
        <f>67.319</f>
        <v>67.319000000000003</v>
      </c>
      <c r="BX122">
        <f>77.94</f>
        <v>77.94</v>
      </c>
      <c r="BY122">
        <f>73.062</f>
        <v>73.061999999999998</v>
      </c>
      <c r="BZ122">
        <f>70.871</f>
        <v>70.870999999999995</v>
      </c>
      <c r="CA122">
        <f>72.277</f>
        <v>72.277000000000001</v>
      </c>
      <c r="CB122">
        <f>65.369</f>
        <v>65.369</v>
      </c>
      <c r="CC122">
        <f>61.69</f>
        <v>61.69</v>
      </c>
      <c r="CD122">
        <f>61.641</f>
        <v>61.640999999999998</v>
      </c>
      <c r="CE122">
        <f>60.646</f>
        <v>60.646000000000001</v>
      </c>
      <c r="CF122">
        <f>59.946</f>
        <v>59.945999999999998</v>
      </c>
      <c r="CG122">
        <f>54.284</f>
        <v>54.283999999999999</v>
      </c>
      <c r="CH122">
        <f>54.64</f>
        <v>54.64</v>
      </c>
      <c r="CI122">
        <f>51.012</f>
        <v>51.012</v>
      </c>
      <c r="CJ122">
        <f>57.044</f>
        <v>57.043999999999997</v>
      </c>
      <c r="CK122">
        <f>43.731</f>
        <v>43.731000000000002</v>
      </c>
      <c r="CL122">
        <f>41.82</f>
        <v>41.82</v>
      </c>
      <c r="CM122">
        <f>41.038</f>
        <v>41.037999999999997</v>
      </c>
      <c r="CN122">
        <f>34.623</f>
        <v>34.622999999999998</v>
      </c>
      <c r="CO122">
        <f>32.18</f>
        <v>32.18</v>
      </c>
      <c r="CP122">
        <f>31.393</f>
        <v>31.393000000000001</v>
      </c>
      <c r="CQ122">
        <f>23.99</f>
        <v>23.99</v>
      </c>
      <c r="CR122">
        <f>29.634</f>
        <v>29.634</v>
      </c>
      <c r="CS122">
        <f>29.445</f>
        <v>29.445</v>
      </c>
      <c r="CT122">
        <f>25.259</f>
        <v>25.259</v>
      </c>
      <c r="CU122">
        <f>-3.531</f>
        <v>-3.5310000000000001</v>
      </c>
      <c r="CV122">
        <f>31.401</f>
        <v>31.401</v>
      </c>
      <c r="CW122">
        <f>27.126</f>
        <v>27.126000000000001</v>
      </c>
      <c r="CX122">
        <f>34.51</f>
        <v>34.51</v>
      </c>
      <c r="CY122">
        <f>35.964</f>
        <v>35.963999999999999</v>
      </c>
      <c r="CZ122">
        <f>36.707</f>
        <v>36.707000000000001</v>
      </c>
      <c r="DA122">
        <f>36.654</f>
        <v>36.654000000000003</v>
      </c>
      <c r="DB122">
        <f>36.16</f>
        <v>36.159999999999997</v>
      </c>
      <c r="DC122">
        <f>32.15</f>
        <v>32.15</v>
      </c>
      <c r="DD122">
        <f>30.872</f>
        <v>30.872</v>
      </c>
      <c r="DE122">
        <f>31.4810009</f>
        <v>31.481000900000002</v>
      </c>
      <c r="DF122">
        <f>29.61</f>
        <v>29.61</v>
      </c>
      <c r="DG122">
        <f>27.07299995</f>
        <v>27.07299995</v>
      </c>
      <c r="DH122">
        <f>21.917</f>
        <v>21.917000000000002</v>
      </c>
      <c r="DI122">
        <f>24.50399971</f>
        <v>24.503999709999999</v>
      </c>
      <c r="DJ122">
        <f>23.627</f>
        <v>23.626999999999999</v>
      </c>
      <c r="DK122">
        <f>60.4280014</f>
        <v>60.428001399999999</v>
      </c>
      <c r="DL122">
        <f>21.375</f>
        <v>21.375</v>
      </c>
      <c r="DM122">
        <f>-19.59600067</f>
        <v>-19.596000669999999</v>
      </c>
      <c r="DN122">
        <f>19.596</f>
        <v>19.596</v>
      </c>
      <c r="DO122">
        <f>20.76</f>
        <v>20.76</v>
      </c>
      <c r="DP122">
        <f>0</f>
        <v>0</v>
      </c>
      <c r="DQ122" t="str">
        <f>""</f>
        <v/>
      </c>
      <c r="DR122" t="str">
        <f>""</f>
        <v/>
      </c>
      <c r="DS122">
        <f>64.162</f>
        <v>64.162000000000006</v>
      </c>
      <c r="DT122" t="str">
        <f>""</f>
        <v/>
      </c>
      <c r="DU122" t="str">
        <f>""</f>
        <v/>
      </c>
    </row>
    <row r="123" spans="1:125">
      <c r="A123" t="str">
        <f>"    Realty Income Corp"</f>
        <v xml:space="preserve">    Realty Income Corp</v>
      </c>
      <c r="B123" t="str">
        <f>"O US Equity"</f>
        <v>O US Equity</v>
      </c>
      <c r="C123" t="str">
        <f t="shared" si="21"/>
        <v>CF039</v>
      </c>
      <c r="D123" t="str">
        <f t="shared" si="22"/>
        <v>CF_FFO</v>
      </c>
      <c r="E123" t="str">
        <f t="shared" si="23"/>
        <v>动态</v>
      </c>
      <c r="F123" t="str">
        <f ca="1">IF(AND(ISNUMBER($F$577),$B$419=1),$F$577,HLOOKUP(INDIRECT(ADDRESS(2,COLUMN())),OFFSET($BN$2,0,0,ROW()-1,60),ROW()-1,FALSE))</f>
        <v/>
      </c>
      <c r="G123">
        <f ca="1">IF(AND(ISNUMBER($G$577),$B$419=1),$G$577,HLOOKUP(INDIRECT(ADDRESS(2,COLUMN())),OFFSET($BN$2,0,0,ROW()-1,60),ROW()-1,FALSE))</f>
        <v>170.988</v>
      </c>
      <c r="H123">
        <f ca="1">IF(AND(ISNUMBER($H$577),$B$419=1),$H$577,HLOOKUP(INDIRECT(ADDRESS(2,COLUMN())),OFFSET($BN$2,0,0,ROW()-1,60),ROW()-1,FALSE))</f>
        <v>211.19200000000001</v>
      </c>
      <c r="I123">
        <f ca="1">IF(AND(ISNUMBER($I$577),$B$419=1),$I$577,HLOOKUP(INDIRECT(ADDRESS(2,COLUMN())),OFFSET($BN$2,0,0,ROW()-1,60),ROW()-1,FALSE))</f>
        <v>203.27199999999999</v>
      </c>
      <c r="J123">
        <f ca="1">IF(AND(ISNUMBER($J$577),$B$419=1),$J$577,HLOOKUP(INDIRECT(ADDRESS(2,COLUMN())),OFFSET($BN$2,0,0,ROW()-1,60),ROW()-1,FALSE))</f>
        <v>187.21299999999999</v>
      </c>
      <c r="K123">
        <f ca="1">IF(AND(ISNUMBER($K$577),$B$419=1),$K$577,HLOOKUP(INDIRECT(ADDRESS(2,COLUMN())),OFFSET($BN$2,0,0,ROW()-1,60),ROW()-1,FALSE))</f>
        <v>199.833</v>
      </c>
      <c r="L123">
        <f ca="1">IF(AND(ISNUMBER($L$577),$B$419=1),$L$577,HLOOKUP(INDIRECT(ADDRESS(2,COLUMN())),OFFSET($BN$2,0,0,ROW()-1,60),ROW()-1,FALSE))</f>
        <v>188.286</v>
      </c>
      <c r="M123">
        <f ca="1">IF(AND(ISNUMBER($M$577),$B$419=1),$M$577,HLOOKUP(INDIRECT(ADDRESS(2,COLUMN())),OFFSET($BN$2,0,0,ROW()-1,60),ROW()-1,FALSE))</f>
        <v>176.648</v>
      </c>
      <c r="N123">
        <f ca="1">IF(AND(ISNUMBER($N$577),$B$419=1),$N$577,HLOOKUP(INDIRECT(ADDRESS(2,COLUMN())),OFFSET($BN$2,0,0,ROW()-1,60),ROW()-1,FALSE))</f>
        <v>170.62899999999999</v>
      </c>
      <c r="O123">
        <f ca="1">IF(AND(ISNUMBER($O$577),$B$419=1),$O$577,HLOOKUP(INDIRECT(ADDRESS(2,COLUMN())),OFFSET($BN$2,0,0,ROW()-1,60),ROW()-1,FALSE))</f>
        <v>177.90799999999999</v>
      </c>
      <c r="P123">
        <f ca="1">IF(AND(ISNUMBER($P$577),$B$419=1),$P$577,HLOOKUP(INDIRECT(ADDRESS(2,COLUMN())),OFFSET($BN$2,0,0,ROW()-1,60),ROW()-1,FALSE))</f>
        <v>162.16</v>
      </c>
      <c r="Q123">
        <f ca="1">IF(AND(ISNUMBER($Q$577),$B$419=1),$Q$577,HLOOKUP(INDIRECT(ADDRESS(2,COLUMN())),OFFSET($BN$2,0,0,ROW()-1,60),ROW()-1,FALSE))</f>
        <v>159.47</v>
      </c>
      <c r="R123">
        <f ca="1">IF(AND(ISNUMBER($R$577),$B$419=1),$R$577,HLOOKUP(INDIRECT(ADDRESS(2,COLUMN())),OFFSET($BN$2,0,0,ROW()-1,60),ROW()-1,FALSE))</f>
        <v>152.9</v>
      </c>
      <c r="S123">
        <f ca="1">IF(AND(ISNUMBER($S$577),$B$419=1),$S$577,HLOOKUP(INDIRECT(ADDRESS(2,COLUMN())),OFFSET($BN$2,0,0,ROW()-1,60),ROW()-1,FALSE))</f>
        <v>143.70599999999999</v>
      </c>
      <c r="T123">
        <f ca="1">IF(AND(ISNUMBER($T$577),$B$419=1),$T$577,HLOOKUP(INDIRECT(ADDRESS(2,COLUMN())),OFFSET($BN$2,0,0,ROW()-1,60),ROW()-1,FALSE))</f>
        <v>142.25899999999999</v>
      </c>
      <c r="U123">
        <f ca="1">IF(AND(ISNUMBER($U$577),$B$419=1),$U$577,HLOOKUP(INDIRECT(ADDRESS(2,COLUMN())),OFFSET($BN$2,0,0,ROW()-1,60),ROW()-1,FALSE))</f>
        <v>142.40899999999999</v>
      </c>
      <c r="V123">
        <f ca="1">IF(AND(ISNUMBER($V$577),$B$419=1),$V$577,HLOOKUP(INDIRECT(ADDRESS(2,COLUMN())),OFFSET($BN$2,0,0,ROW()-1,60),ROW()-1,FALSE))</f>
        <v>134.52000000000001</v>
      </c>
      <c r="W123">
        <f ca="1">IF(AND(ISNUMBER($W$577),$B$419=1),$W$577,HLOOKUP(INDIRECT(ADDRESS(2,COLUMN())),OFFSET($BN$2,0,0,ROW()-1,60),ROW()-1,FALSE))</f>
        <v>124.63</v>
      </c>
      <c r="X123">
        <f ca="1">IF(AND(ISNUMBER($X$577),$B$419=1),$X$577,HLOOKUP(INDIRECT(ADDRESS(2,COLUMN())),OFFSET($BN$2,0,0,ROW()-1,60),ROW()-1,FALSE))</f>
        <v>116.146</v>
      </c>
      <c r="Y123">
        <f ca="1">IF(AND(ISNUMBER($Y$577),$B$419=1),$Y$577,HLOOKUP(INDIRECT(ADDRESS(2,COLUMN())),OFFSET($BN$2,0,0,ROW()-1,60),ROW()-1,FALSE))</f>
        <v>117.565</v>
      </c>
      <c r="Z123">
        <f ca="1">IF(AND(ISNUMBER($Z$577),$B$419=1),$Z$577,HLOOKUP(INDIRECT(ADDRESS(2,COLUMN())),OFFSET($BN$2,0,0,ROW()-1,60),ROW()-1,FALSE))</f>
        <v>103.688</v>
      </c>
      <c r="AA123">
        <f ca="1">IF(AND(ISNUMBER($AA$577),$B$419=1),$AA$577,HLOOKUP(INDIRECT(ADDRESS(2,COLUMN())),OFFSET($BN$2,0,0,ROW()-1,60),ROW()-1,FALSE))</f>
        <v>71.578999999999994</v>
      </c>
      <c r="AB123">
        <f ca="1">IF(AND(ISNUMBER($AB$577),$B$419=1),$AB$577,HLOOKUP(INDIRECT(ADDRESS(2,COLUMN())),OFFSET($BN$2,0,0,ROW()-1,60),ROW()-1,FALSE))</f>
        <v>63.42</v>
      </c>
      <c r="AC123">
        <f ca="1">IF(AND(ISNUMBER($AC$577),$B$419=1),$AC$577,HLOOKUP(INDIRECT(ADDRESS(2,COLUMN())),OFFSET($BN$2,0,0,ROW()-1,60),ROW()-1,FALSE))</f>
        <v>65.167000000000002</v>
      </c>
      <c r="AD123">
        <f ca="1">IF(AND(ISNUMBER($AD$577),$B$419=1),$AD$577,HLOOKUP(INDIRECT(ADDRESS(2,COLUMN())),OFFSET($BN$2,0,0,ROW()-1,60),ROW()-1,FALSE))</f>
        <v>60.695</v>
      </c>
      <c r="AE123">
        <f ca="1">IF(AND(ISNUMBER($AE$577),$B$419=1),$AE$577,HLOOKUP(INDIRECT(ADDRESS(2,COLUMN())),OFFSET($BN$2,0,0,ROW()-1,60),ROW()-1,FALSE))</f>
        <v>68.076999999999998</v>
      </c>
      <c r="AF123">
        <f ca="1">IF(AND(ISNUMBER($AF$577),$B$419=1),$AF$577,HLOOKUP(INDIRECT(ADDRESS(2,COLUMN())),OFFSET($BN$2,0,0,ROW()-1,60),ROW()-1,FALSE))</f>
        <v>63.573999999999998</v>
      </c>
      <c r="AG123">
        <f ca="1">IF(AND(ISNUMBER($AG$577),$B$419=1),$AG$577,HLOOKUP(INDIRECT(ADDRESS(2,COLUMN())),OFFSET($BN$2,0,0,ROW()-1,60),ROW()-1,FALSE))</f>
        <v>60.944000000000003</v>
      </c>
      <c r="AH123">
        <f ca="1">IF(AND(ISNUMBER($AH$577),$B$419=1),$AH$577,HLOOKUP(INDIRECT(ADDRESS(2,COLUMN())),OFFSET($BN$2,0,0,ROW()-1,60),ROW()-1,FALSE))</f>
        <v>56.798000000000002</v>
      </c>
      <c r="AI123">
        <f ca="1">IF(AND(ISNUMBER($AI$577),$B$419=1),$AI$577,HLOOKUP(INDIRECT(ADDRESS(2,COLUMN())),OFFSET($BN$2,0,0,ROW()-1,60),ROW()-1,FALSE))</f>
        <v>52.509</v>
      </c>
      <c r="AJ123">
        <f ca="1">IF(AND(ISNUMBER($AJ$577),$B$419=1),$AJ$577,HLOOKUP(INDIRECT(ADDRESS(2,COLUMN())),OFFSET($BN$2,0,0,ROW()-1,60),ROW()-1,FALSE))</f>
        <v>47.804000000000002</v>
      </c>
      <c r="AK123">
        <f ca="1">IF(AND(ISNUMBER($AK$577),$B$419=1),$AK$577,HLOOKUP(INDIRECT(ADDRESS(2,COLUMN())),OFFSET($BN$2,0,0,ROW()-1,60),ROW()-1,FALSE))</f>
        <v>46.790999999999997</v>
      </c>
      <c r="AL123">
        <f ca="1">IF(AND(ISNUMBER($AL$577),$B$419=1),$AL$577,HLOOKUP(INDIRECT(ADDRESS(2,COLUMN())),OFFSET($BN$2,0,0,ROW()-1,60),ROW()-1,FALSE))</f>
        <v>46.652000000000001</v>
      </c>
      <c r="AM123">
        <f ca="1">IF(AND(ISNUMBER($AM$577),$B$419=1),$AM$577,HLOOKUP(INDIRECT(ADDRESS(2,COLUMN())),OFFSET($BN$2,0,0,ROW()-1,60),ROW()-1,FALSE))</f>
        <v>48.375</v>
      </c>
      <c r="AN123">
        <f ca="1">IF(AND(ISNUMBER($AN$577),$B$419=1),$AN$577,HLOOKUP(INDIRECT(ADDRESS(2,COLUMN())),OFFSET($BN$2,0,0,ROW()-1,60),ROW()-1,FALSE))</f>
        <v>48.154000000000003</v>
      </c>
      <c r="AO123">
        <f ca="1">IF(AND(ISNUMBER($AO$577),$B$419=1),$AO$577,HLOOKUP(INDIRECT(ADDRESS(2,COLUMN())),OFFSET($BN$2,0,0,ROW()-1,60),ROW()-1,FALSE))</f>
        <v>47.18</v>
      </c>
      <c r="AP123">
        <f ca="1">IF(AND(ISNUMBER($AP$577),$B$419=1),$AP$577,HLOOKUP(INDIRECT(ADDRESS(2,COLUMN())),OFFSET($BN$2,0,0,ROW()-1,60),ROW()-1,FALSE))</f>
        <v>46.734000000000002</v>
      </c>
      <c r="AQ123">
        <f ca="1">IF(AND(ISNUMBER($AQ$577),$B$419=1),$AQ$577,HLOOKUP(INDIRECT(ADDRESS(2,COLUMN())),OFFSET($BN$2,0,0,ROW()-1,60),ROW()-1,FALSE))</f>
        <v>47.027000000000001</v>
      </c>
      <c r="AR123">
        <f ca="1">IF(AND(ISNUMBER($AR$577),$B$419=1),$AR$577,HLOOKUP(INDIRECT(ADDRESS(2,COLUMN())),OFFSET($BN$2,0,0,ROW()-1,60),ROW()-1,FALSE))</f>
        <v>45.747999999999998</v>
      </c>
      <c r="AS123">
        <f ca="1">IF(AND(ISNUMBER($AS$577),$B$419=1),$AS$577,HLOOKUP(INDIRECT(ADDRESS(2,COLUMN())),OFFSET($BN$2,0,0,ROW()-1,60),ROW()-1,FALSE))</f>
        <v>46.811999999999998</v>
      </c>
      <c r="AT123">
        <f ca="1">IF(AND(ISNUMBER($AT$577),$B$419=1),$AT$577,HLOOKUP(INDIRECT(ADDRESS(2,COLUMN())),OFFSET($BN$2,0,0,ROW()-1,60),ROW()-1,FALSE))</f>
        <v>45.936999999999998</v>
      </c>
      <c r="AU123">
        <f ca="1">IF(AND(ISNUMBER($AU$577),$B$419=1),$AU$577,HLOOKUP(INDIRECT(ADDRESS(2,COLUMN())),OFFSET($BN$2,0,0,ROW()-1,60),ROW()-1,FALSE))</f>
        <v>47.75</v>
      </c>
      <c r="AV123">
        <f ca="1">IF(AND(ISNUMBER($AV$577),$B$419=1),$AV$577,HLOOKUP(INDIRECT(ADDRESS(2,COLUMN())),OFFSET($BN$2,0,0,ROW()-1,60),ROW()-1,FALSE))</f>
        <v>46.625</v>
      </c>
      <c r="AW123">
        <f ca="1">IF(AND(ISNUMBER($AW$577),$B$419=1),$AW$577,HLOOKUP(INDIRECT(ADDRESS(2,COLUMN())),OFFSET($BN$2,0,0,ROW()-1,60),ROW()-1,FALSE))</f>
        <v>48.759998320000001</v>
      </c>
      <c r="AX123">
        <f ca="1">IF(AND(ISNUMBER($AX$577),$B$419=1),$AX$577,HLOOKUP(INDIRECT(ADDRESS(2,COLUMN())),OFFSET($BN$2,0,0,ROW()-1,60),ROW()-1,FALSE))</f>
        <v>46.539000000000001</v>
      </c>
      <c r="AY123">
        <f ca="1">IF(AND(ISNUMBER($AY$577),$B$419=1),$AY$577,HLOOKUP(INDIRECT(ADDRESS(2,COLUMN())),OFFSET($BN$2,0,0,ROW()-1,60),ROW()-1,FALSE))</f>
        <v>44.901000000000003</v>
      </c>
      <c r="AZ123">
        <f ca="1">IF(AND(ISNUMBER($AZ$577),$B$419=1),$AZ$577,HLOOKUP(INDIRECT(ADDRESS(2,COLUMN())),OFFSET($BN$2,0,0,ROW()-1,60),ROW()-1,FALSE))</f>
        <v>37.975999999999999</v>
      </c>
      <c r="BA123">
        <f ca="1">IF(AND(ISNUMBER($BA$577),$B$419=1),$BA$577,HLOOKUP(INDIRECT(ADDRESS(2,COLUMN())),OFFSET($BN$2,0,0,ROW()-1,60),ROW()-1,FALSE))</f>
        <v>37.622001650000001</v>
      </c>
      <c r="BB123">
        <f ca="1">IF(AND(ISNUMBER($BB$577),$B$419=1),$BB$577,HLOOKUP(INDIRECT(ADDRESS(2,COLUMN())),OFFSET($BN$2,0,0,ROW()-1,60),ROW()-1,FALSE))</f>
        <v>35.299999999999997</v>
      </c>
      <c r="BC123">
        <f ca="1">IF(AND(ISNUMBER($BC$577),$B$419=1),$BC$577,HLOOKUP(INDIRECT(ADDRESS(2,COLUMN())),OFFSET($BN$2,0,0,ROW()-1,60),ROW()-1,FALSE))</f>
        <v>35.863</v>
      </c>
      <c r="BD123">
        <f ca="1">IF(AND(ISNUMBER($BD$577),$B$419=1),$BD$577,HLOOKUP(INDIRECT(ADDRESS(2,COLUMN())),OFFSET($BN$2,0,0,ROW()-1,60),ROW()-1,FALSE))</f>
        <v>31.747999190000002</v>
      </c>
      <c r="BE123">
        <f ca="1">IF(AND(ISNUMBER($BE$577),$B$419=1),$BE$577,HLOOKUP(INDIRECT(ADDRESS(2,COLUMN())),OFFSET($BN$2,0,0,ROW()-1,60),ROW()-1,FALSE))</f>
        <v>30.874000550000002</v>
      </c>
      <c r="BF123">
        <f ca="1">IF(AND(ISNUMBER($BF$577),$B$419=1),$BF$577,HLOOKUP(INDIRECT(ADDRESS(2,COLUMN())),OFFSET($BN$2,0,0,ROW()-1,60),ROW()-1,FALSE))</f>
        <v>31.16200066</v>
      </c>
      <c r="BG123">
        <f ca="1">IF(AND(ISNUMBER($BG$577),$B$419=1),$BG$577,HLOOKUP(INDIRECT(ADDRESS(2,COLUMN())),OFFSET($BN$2,0,0,ROW()-1,60),ROW()-1,FALSE))</f>
        <v>28.52</v>
      </c>
      <c r="BH123">
        <f ca="1">IF(AND(ISNUMBER($BH$577),$B$419=1),$BH$577,HLOOKUP(INDIRECT(ADDRESS(2,COLUMN())),OFFSET($BN$2,0,0,ROW()-1,60),ROW()-1,FALSE))</f>
        <v>29.478000000000002</v>
      </c>
      <c r="BI123">
        <f ca="1">IF(AND(ISNUMBER($BI$577),$B$419=1),$BI$577,HLOOKUP(INDIRECT(ADDRESS(2,COLUMN())),OFFSET($BN$2,0,0,ROW()-1,60),ROW()-1,FALSE))</f>
        <v>60.180999999999997</v>
      </c>
      <c r="BJ123">
        <f ca="1">IF(AND(ISNUMBER($BJ$577),$B$419=1),$BJ$577,HLOOKUP(INDIRECT(ADDRESS(2,COLUMN())),OFFSET($BN$2,0,0,ROW()-1,60),ROW()-1,FALSE))</f>
        <v>30.760000229999999</v>
      </c>
      <c r="BK123">
        <f ca="1">IF(AND(ISNUMBER($BK$577),$B$419=1),$BK$577,HLOOKUP(INDIRECT(ADDRESS(2,COLUMN())),OFFSET($BN$2,0,0,ROW()-1,60),ROW()-1,FALSE))</f>
        <v>31.545000080000001</v>
      </c>
      <c r="BL123">
        <f ca="1">IF(AND(ISNUMBER($BL$577),$B$419=1),$BL$577,HLOOKUP(INDIRECT(ADDRESS(2,COLUMN())),OFFSET($BN$2,0,0,ROW()-1,60),ROW()-1,FALSE))</f>
        <v>25.08799934</v>
      </c>
      <c r="BM123">
        <f ca="1">IF(AND(ISNUMBER($BM$577),$B$419=1),$BM$577,HLOOKUP(INDIRECT(ADDRESS(2,COLUMN())),OFFSET($BN$2,0,0,ROW()-1,60),ROW()-1,FALSE))</f>
        <v>23.902999879999999</v>
      </c>
      <c r="BN123" t="str">
        <f>""</f>
        <v/>
      </c>
      <c r="BO123">
        <f>170.988</f>
        <v>170.988</v>
      </c>
      <c r="BP123">
        <f>211.192</f>
        <v>211.19200000000001</v>
      </c>
      <c r="BQ123">
        <f>203.272</f>
        <v>203.27199999999999</v>
      </c>
      <c r="BR123">
        <f>187.213</f>
        <v>187.21299999999999</v>
      </c>
      <c r="BS123">
        <f>199.833</f>
        <v>199.833</v>
      </c>
      <c r="BT123">
        <f>188.286</f>
        <v>188.286</v>
      </c>
      <c r="BU123">
        <f>176.648</f>
        <v>176.648</v>
      </c>
      <c r="BV123">
        <f>170.629</f>
        <v>170.62899999999999</v>
      </c>
      <c r="BW123">
        <f>177.908</f>
        <v>177.90799999999999</v>
      </c>
      <c r="BX123">
        <f>162.16</f>
        <v>162.16</v>
      </c>
      <c r="BY123">
        <f>159.47</f>
        <v>159.47</v>
      </c>
      <c r="BZ123">
        <f>152.9</f>
        <v>152.9</v>
      </c>
      <c r="CA123">
        <f>143.706</f>
        <v>143.70599999999999</v>
      </c>
      <c r="CB123">
        <f>142.259</f>
        <v>142.25899999999999</v>
      </c>
      <c r="CC123">
        <f>142.409</f>
        <v>142.40899999999999</v>
      </c>
      <c r="CD123">
        <f>134.52</f>
        <v>134.52000000000001</v>
      </c>
      <c r="CE123">
        <f>124.63</f>
        <v>124.63</v>
      </c>
      <c r="CF123">
        <f>116.146</f>
        <v>116.146</v>
      </c>
      <c r="CG123">
        <f>117.565</f>
        <v>117.565</v>
      </c>
      <c r="CH123">
        <f>103.688</f>
        <v>103.688</v>
      </c>
      <c r="CI123">
        <f>71.579</f>
        <v>71.578999999999994</v>
      </c>
      <c r="CJ123">
        <f>63.42</f>
        <v>63.42</v>
      </c>
      <c r="CK123">
        <f>65.167</f>
        <v>65.167000000000002</v>
      </c>
      <c r="CL123">
        <f>60.695</f>
        <v>60.695</v>
      </c>
      <c r="CM123">
        <f>68.077</f>
        <v>68.076999999999998</v>
      </c>
      <c r="CN123">
        <f>63.574</f>
        <v>63.573999999999998</v>
      </c>
      <c r="CO123">
        <f>60.944</f>
        <v>60.944000000000003</v>
      </c>
      <c r="CP123">
        <f>56.798</f>
        <v>56.798000000000002</v>
      </c>
      <c r="CQ123">
        <f>52.509</f>
        <v>52.509</v>
      </c>
      <c r="CR123">
        <f>47.804</f>
        <v>47.804000000000002</v>
      </c>
      <c r="CS123">
        <f>46.791</f>
        <v>46.790999999999997</v>
      </c>
      <c r="CT123">
        <f>46.652</f>
        <v>46.652000000000001</v>
      </c>
      <c r="CU123">
        <f>48.375</f>
        <v>48.375</v>
      </c>
      <c r="CV123">
        <f>48.154</f>
        <v>48.154000000000003</v>
      </c>
      <c r="CW123">
        <f>47.18</f>
        <v>47.18</v>
      </c>
      <c r="CX123">
        <f>46.734</f>
        <v>46.734000000000002</v>
      </c>
      <c r="CY123">
        <f>47.027</f>
        <v>47.027000000000001</v>
      </c>
      <c r="CZ123">
        <f>45.748</f>
        <v>45.747999999999998</v>
      </c>
      <c r="DA123">
        <f>46.812</f>
        <v>46.811999999999998</v>
      </c>
      <c r="DB123">
        <f>45.937</f>
        <v>45.936999999999998</v>
      </c>
      <c r="DC123">
        <f>47.75</f>
        <v>47.75</v>
      </c>
      <c r="DD123">
        <f>46.625</f>
        <v>46.625</v>
      </c>
      <c r="DE123">
        <f>48.75999832</f>
        <v>48.759998320000001</v>
      </c>
      <c r="DF123">
        <f>46.539</f>
        <v>46.539000000000001</v>
      </c>
      <c r="DG123">
        <f>44.901</f>
        <v>44.901000000000003</v>
      </c>
      <c r="DH123">
        <f>37.976</f>
        <v>37.975999999999999</v>
      </c>
      <c r="DI123">
        <f>37.62200165</f>
        <v>37.622001650000001</v>
      </c>
      <c r="DJ123">
        <f>35.3</f>
        <v>35.299999999999997</v>
      </c>
      <c r="DK123">
        <f>35.863</f>
        <v>35.863</v>
      </c>
      <c r="DL123">
        <f>31.74799919</f>
        <v>31.747999190000002</v>
      </c>
      <c r="DM123">
        <f>30.87400055</f>
        <v>30.874000550000002</v>
      </c>
      <c r="DN123">
        <f>31.16200066</f>
        <v>31.16200066</v>
      </c>
      <c r="DO123">
        <f>28.52</f>
        <v>28.52</v>
      </c>
      <c r="DP123">
        <f>29.478</f>
        <v>29.478000000000002</v>
      </c>
      <c r="DQ123">
        <f>60.181</f>
        <v>60.180999999999997</v>
      </c>
      <c r="DR123">
        <f>30.76000023</f>
        <v>30.760000229999999</v>
      </c>
      <c r="DS123">
        <f>31.54500008</f>
        <v>31.545000080000001</v>
      </c>
      <c r="DT123">
        <f>25.08799934</f>
        <v>25.08799934</v>
      </c>
      <c r="DU123">
        <f>23.90299988</f>
        <v>23.902999879999999</v>
      </c>
    </row>
    <row r="124" spans="1:125">
      <c r="A124" t="str">
        <f>"    Regency Centers Corp"</f>
        <v xml:space="preserve">    Regency Centers Corp</v>
      </c>
      <c r="B124" t="str">
        <f>"REG US Equity"</f>
        <v>REG US Equity</v>
      </c>
      <c r="C124" t="str">
        <f t="shared" si="21"/>
        <v>CF039</v>
      </c>
      <c r="D124" t="str">
        <f t="shared" si="22"/>
        <v>CF_FFO</v>
      </c>
      <c r="E124" t="str">
        <f t="shared" si="23"/>
        <v>动态</v>
      </c>
      <c r="F124" t="str">
        <f ca="1">IF(AND(ISNUMBER($F$578),$B$419=1),$F$578,HLOOKUP(INDIRECT(ADDRESS(2,COLUMN())),OFFSET($BN$2,0,0,ROW()-1,60),ROW()-1,FALSE))</f>
        <v/>
      </c>
      <c r="G124">
        <f ca="1">IF(AND(ISNUMBER($G$578),$B$419=1),$G$578,HLOOKUP(INDIRECT(ADDRESS(2,COLUMN())),OFFSET($BN$2,0,0,ROW()-1,60),ROW()-1,FALSE))</f>
        <v>161.357</v>
      </c>
      <c r="H124">
        <f ca="1">IF(AND(ISNUMBER($H$578),$B$419=1),$H$578,HLOOKUP(INDIRECT(ADDRESS(2,COLUMN())),OFFSET($BN$2,0,0,ROW()-1,60),ROW()-1,FALSE))</f>
        <v>155.733</v>
      </c>
      <c r="I124">
        <f ca="1">IF(AND(ISNUMBER($I$578),$B$419=1),$I$578,HLOOKUP(INDIRECT(ADDRESS(2,COLUMN())),OFFSET($BN$2,0,0,ROW()-1,60),ROW()-1,FALSE))</f>
        <v>143.56200000000001</v>
      </c>
      <c r="J124">
        <f ca="1">IF(AND(ISNUMBER($J$578),$B$419=1),$J$578,HLOOKUP(INDIRECT(ADDRESS(2,COLUMN())),OFFSET($BN$2,0,0,ROW()-1,60),ROW()-1,FALSE))</f>
        <v>34.191000000000003</v>
      </c>
      <c r="K124">
        <f ca="1">IF(AND(ISNUMBER($K$578),$B$419=1),$K$578,HLOOKUP(INDIRECT(ADDRESS(2,COLUMN())),OFFSET($BN$2,0,0,ROW()-1,60),ROW()-1,FALSE))</f>
        <v>83.128</v>
      </c>
      <c r="L124">
        <f ca="1">IF(AND(ISNUMBER($L$578),$B$419=1),$L$578,HLOOKUP(INDIRECT(ADDRESS(2,COLUMN())),OFFSET($BN$2,0,0,ROW()-1,60),ROW()-1,FALSE))</f>
        <v>30.081</v>
      </c>
      <c r="M124">
        <f ca="1">IF(AND(ISNUMBER($M$578),$B$419=1),$M$578,HLOOKUP(INDIRECT(ADDRESS(2,COLUMN())),OFFSET($BN$2,0,0,ROW()-1,60),ROW()-1,FALSE))</f>
        <v>79.695999999999998</v>
      </c>
      <c r="N124">
        <f ca="1">IF(AND(ISNUMBER($N$578),$B$419=1),$N$578,HLOOKUP(INDIRECT(ADDRESS(2,COLUMN())),OFFSET($BN$2,0,0,ROW()-1,60),ROW()-1,FALSE))</f>
        <v>84.396000000000001</v>
      </c>
      <c r="O124">
        <f ca="1">IF(AND(ISNUMBER($O$578),$B$419=1),$O$578,HLOOKUP(INDIRECT(ADDRESS(2,COLUMN())),OFFSET($BN$2,0,0,ROW()-1,60),ROW()-1,FALSE))</f>
        <v>64.216999999999999</v>
      </c>
      <c r="P124">
        <f ca="1">IF(AND(ISNUMBER($P$578),$B$419=1),$P$578,HLOOKUP(INDIRECT(ADDRESS(2,COLUMN())),OFFSET($BN$2,0,0,ROW()-1,60),ROW()-1,FALSE))</f>
        <v>71.625</v>
      </c>
      <c r="Q124">
        <f ca="1">IF(AND(ISNUMBER($Q$578),$B$419=1),$Q$578,HLOOKUP(INDIRECT(ADDRESS(2,COLUMN())),OFFSET($BN$2,0,0,ROW()-1,60),ROW()-1,FALSE))</f>
        <v>71.042000000000002</v>
      </c>
      <c r="R124">
        <f ca="1">IF(AND(ISNUMBER($R$578),$B$419=1),$R$578,HLOOKUP(INDIRECT(ADDRESS(2,COLUMN())),OFFSET($BN$2,0,0,ROW()-1,60),ROW()-1,FALSE))</f>
        <v>69.631</v>
      </c>
      <c r="S124">
        <f ca="1">IF(AND(ISNUMBER($S$578),$B$419=1),$S$578,HLOOKUP(INDIRECT(ADDRESS(2,COLUMN())),OFFSET($BN$2,0,0,ROW()-1,60),ROW()-1,FALSE))</f>
        <v>72.915999999999997</v>
      </c>
      <c r="T124">
        <f ca="1">IF(AND(ISNUMBER($T$578),$B$419=1),$T$578,HLOOKUP(INDIRECT(ADDRESS(2,COLUMN())),OFFSET($BN$2,0,0,ROW()-1,60),ROW()-1,FALSE))</f>
        <v>64.715000000000003</v>
      </c>
      <c r="U124">
        <f ca="1">IF(AND(ISNUMBER($U$578),$B$419=1),$U$578,HLOOKUP(INDIRECT(ADDRESS(2,COLUMN())),OFFSET($BN$2,0,0,ROW()-1,60),ROW()-1,FALSE))</f>
        <v>65.739000000000004</v>
      </c>
      <c r="V124">
        <f ca="1">IF(AND(ISNUMBER($V$578),$B$419=1),$V$578,HLOOKUP(INDIRECT(ADDRESS(2,COLUMN())),OFFSET($BN$2,0,0,ROW()-1,60),ROW()-1,FALSE))</f>
        <v>65.275000000000006</v>
      </c>
      <c r="W124">
        <f ca="1">IF(AND(ISNUMBER($W$578),$B$419=1),$W$578,HLOOKUP(INDIRECT(ADDRESS(2,COLUMN())),OFFSET($BN$2,0,0,ROW()-1,60),ROW()-1,FALSE))</f>
        <v>60.109000000000002</v>
      </c>
      <c r="X124">
        <f ca="1">IF(AND(ISNUMBER($X$578),$B$419=1),$X$578,HLOOKUP(INDIRECT(ADDRESS(2,COLUMN())),OFFSET($BN$2,0,0,ROW()-1,60),ROW()-1,FALSE))</f>
        <v>60.277000000000001</v>
      </c>
      <c r="Y124">
        <f ca="1">IF(AND(ISNUMBER($Y$578),$B$419=1),$Y$578,HLOOKUP(INDIRECT(ADDRESS(2,COLUMN())),OFFSET($BN$2,0,0,ROW()-1,60),ROW()-1,FALSE))</f>
        <v>62.122</v>
      </c>
      <c r="Z124">
        <f ca="1">IF(AND(ISNUMBER($Z$578),$B$419=1),$Z$578,HLOOKUP(INDIRECT(ADDRESS(2,COLUMN())),OFFSET($BN$2,0,0,ROW()-1,60),ROW()-1,FALSE))</f>
        <v>57.686</v>
      </c>
      <c r="AA124">
        <f ca="1">IF(AND(ISNUMBER($AA$578),$B$419=1),$AA$578,HLOOKUP(INDIRECT(ADDRESS(2,COLUMN())),OFFSET($BN$2,0,0,ROW()-1,60),ROW()-1,FALSE))</f>
        <v>58.825000000000003</v>
      </c>
      <c r="AB124">
        <f ca="1">IF(AND(ISNUMBER($AB$578),$B$419=1),$AB$578,HLOOKUP(INDIRECT(ADDRESS(2,COLUMN())),OFFSET($BN$2,0,0,ROW()-1,60),ROW()-1,FALSE))</f>
        <v>51.965000000000003</v>
      </c>
      <c r="AC124">
        <f ca="1">IF(AND(ISNUMBER($AC$578),$B$419=1),$AC$578,HLOOKUP(INDIRECT(ADDRESS(2,COLUMN())),OFFSET($BN$2,0,0,ROW()-1,60),ROW()-1,FALSE))</f>
        <v>61.101999999999997</v>
      </c>
      <c r="AD124">
        <f ca="1">IF(AND(ISNUMBER($AD$578),$B$419=1),$AD$578,HLOOKUP(INDIRECT(ADDRESS(2,COLUMN())),OFFSET($BN$2,0,0,ROW()-1,60),ROW()-1,FALSE))</f>
        <v>49.688000000000002</v>
      </c>
      <c r="AE124">
        <f ca="1">IF(AND(ISNUMBER($AE$578),$B$419=1),$AE$578,HLOOKUP(INDIRECT(ADDRESS(2,COLUMN())),OFFSET($BN$2,0,0,ROW()-1,60),ROW()-1,FALSE))</f>
        <v>56.536105999999997</v>
      </c>
      <c r="AF124">
        <f ca="1">IF(AND(ISNUMBER($AF$578),$B$419=1),$AF$578,HLOOKUP(INDIRECT(ADDRESS(2,COLUMN())),OFFSET($BN$2,0,0,ROW()-1,60),ROW()-1,FALSE))</f>
        <v>55.84648</v>
      </c>
      <c r="AG124">
        <f ca="1">IF(AND(ISNUMBER($AG$578),$B$419=1),$AG$578,HLOOKUP(INDIRECT(ADDRESS(2,COLUMN())),OFFSET($BN$2,0,0,ROW()-1,60),ROW()-1,FALSE))</f>
        <v>54.855262000000003</v>
      </c>
      <c r="AH124">
        <f ca="1">IF(AND(ISNUMBER($AH$578),$B$419=1),$AH$578,HLOOKUP(INDIRECT(ADDRESS(2,COLUMN())),OFFSET($BN$2,0,0,ROW()-1,60),ROW()-1,FALSE))</f>
        <v>52.475999999999999</v>
      </c>
      <c r="AI124">
        <f ca="1">IF(AND(ISNUMBER($AI$578),$B$419=1),$AI$578,HLOOKUP(INDIRECT(ADDRESS(2,COLUMN())),OFFSET($BN$2,0,0,ROW()-1,60),ROW()-1,FALSE))</f>
        <v>41.967036999999998</v>
      </c>
      <c r="AJ124">
        <f ca="1">IF(AND(ISNUMBER($AJ$578),$B$419=1),$AJ$578,HLOOKUP(INDIRECT(ADDRESS(2,COLUMN())),OFFSET($BN$2,0,0,ROW()-1,60),ROW()-1,FALSE))</f>
        <v>51.662439999999997</v>
      </c>
      <c r="AK124">
        <f ca="1">IF(AND(ISNUMBER($AK$578),$B$419=1),$AK$578,HLOOKUP(INDIRECT(ADDRESS(2,COLUMN())),OFFSET($BN$2,0,0,ROW()-1,60),ROW()-1,FALSE))</f>
        <v>48.370240000000003</v>
      </c>
      <c r="AL124">
        <f ca="1">IF(AND(ISNUMBER($AL$578),$B$419=1),$AL$578,HLOOKUP(INDIRECT(ADDRESS(2,COLUMN())),OFFSET($BN$2,0,0,ROW()-1,60),ROW()-1,FALSE))</f>
        <v>48.415830999999997</v>
      </c>
      <c r="AM124">
        <f ca="1">IF(AND(ISNUMBER($AM$578),$B$419=1),$AM$578,HLOOKUP(INDIRECT(ADDRESS(2,COLUMN())),OFFSET($BN$2,0,0,ROW()-1,60),ROW()-1,FALSE))</f>
        <v>57.829718999999997</v>
      </c>
      <c r="AN124">
        <f ca="1">IF(AND(ISNUMBER($AN$578),$B$419=1),$AN$578,HLOOKUP(INDIRECT(ADDRESS(2,COLUMN())),OFFSET($BN$2,0,0,ROW()-1,60),ROW()-1,FALSE))</f>
        <v>-46.528553000000002</v>
      </c>
      <c r="AO124">
        <f ca="1">IF(AND(ISNUMBER($AO$578),$B$419=1),$AO$578,HLOOKUP(INDIRECT(ADDRESS(2,COLUMN())),OFFSET($BN$2,0,0,ROW()-1,60),ROW()-1,FALSE))</f>
        <v>19.190085</v>
      </c>
      <c r="AP124">
        <f ca="1">IF(AND(ISNUMBER($AP$578),$B$419=1),$AP$578,HLOOKUP(INDIRECT(ADDRESS(2,COLUMN())),OFFSET($BN$2,0,0,ROW()-1,60),ROW()-1,FALSE))</f>
        <v>54.980885000000001</v>
      </c>
      <c r="AQ124">
        <f ca="1">IF(AND(ISNUMBER($AQ$578),$B$419=1),$AQ$578,HLOOKUP(INDIRECT(ADDRESS(2,COLUMN())),OFFSET($BN$2,0,0,ROW()-1,60),ROW()-1,FALSE))</f>
        <v>50.614372000000003</v>
      </c>
      <c r="AR124">
        <f ca="1">IF(AND(ISNUMBER($AR$578),$B$419=1),$AR$578,HLOOKUP(INDIRECT(ADDRESS(2,COLUMN())),OFFSET($BN$2,0,0,ROW()-1,60),ROW()-1,FALSE))</f>
        <v>83.263104999999996</v>
      </c>
      <c r="AS124">
        <f ca="1">IF(AND(ISNUMBER($AS$578),$B$419=1),$AS$578,HLOOKUP(INDIRECT(ADDRESS(2,COLUMN())),OFFSET($BN$2,0,0,ROW()-1,60),ROW()-1,FALSE))</f>
        <v>67.941355000000001</v>
      </c>
      <c r="AT124">
        <f ca="1">IF(AND(ISNUMBER($AT$578),$B$419=1),$AT$578,HLOOKUP(INDIRECT(ADDRESS(2,COLUMN())),OFFSET($BN$2,0,0,ROW()-1,60),ROW()-1,FALSE))</f>
        <v>60.764384999999997</v>
      </c>
      <c r="AU124">
        <f ca="1">IF(AND(ISNUMBER($AU$578),$B$419=1),$AU$578,HLOOKUP(INDIRECT(ADDRESS(2,COLUMN())),OFFSET($BN$2,0,0,ROW()-1,60),ROW()-1,FALSE))</f>
        <v>81.009023999999997</v>
      </c>
      <c r="AV124">
        <f ca="1">IF(AND(ISNUMBER($AV$578),$B$419=1),$AV$578,HLOOKUP(INDIRECT(ADDRESS(2,COLUMN())),OFFSET($BN$2,0,0,ROW()-1,60),ROW()-1,FALSE))</f>
        <v>67.508081000000004</v>
      </c>
      <c r="AW124">
        <f ca="1">IF(AND(ISNUMBER($AW$578),$B$419=1),$AW$578,HLOOKUP(INDIRECT(ADDRESS(2,COLUMN())),OFFSET($BN$2,0,0,ROW()-1,60),ROW()-1,FALSE))</f>
        <v>65.502374000000003</v>
      </c>
      <c r="AX124">
        <f ca="1">IF(AND(ISNUMBER($AX$578),$B$419=1),$AX$578,HLOOKUP(INDIRECT(ADDRESS(2,COLUMN())),OFFSET($BN$2,0,0,ROW()-1,60),ROW()-1,FALSE))</f>
        <v>78.844945999999993</v>
      </c>
      <c r="AY124">
        <f ca="1">IF(AND(ISNUMBER($AY$578),$B$419=1),$AY$578,HLOOKUP(INDIRECT(ADDRESS(2,COLUMN())),OFFSET($BN$2,0,0,ROW()-1,60),ROW()-1,FALSE))</f>
        <v>76.849205999999995</v>
      </c>
      <c r="AZ124">
        <f ca="1">IF(AND(ISNUMBER($AZ$578),$B$419=1),$AZ$578,HLOOKUP(INDIRECT(ADDRESS(2,COLUMN())),OFFSET($BN$2,0,0,ROW()-1,60),ROW()-1,FALSE))</f>
        <v>69.241491999999994</v>
      </c>
      <c r="BA124">
        <f ca="1">IF(AND(ISNUMBER($BA$578),$B$419=1),$BA$578,HLOOKUP(INDIRECT(ADDRESS(2,COLUMN())),OFFSET($BN$2,0,0,ROW()-1,60),ROW()-1,FALSE))</f>
        <v>64.379822000000004</v>
      </c>
      <c r="BB124">
        <f ca="1">IF(AND(ISNUMBER($BB$578),$B$419=1),$BB$578,HLOOKUP(INDIRECT(ADDRESS(2,COLUMN())),OFFSET($BN$2,0,0,ROW()-1,60),ROW()-1,FALSE))</f>
        <v>58.455013999999998</v>
      </c>
      <c r="BC124">
        <f ca="1">IF(AND(ISNUMBER($BC$578),$B$419=1),$BC$578,HLOOKUP(INDIRECT(ADDRESS(2,COLUMN())),OFFSET($BN$2,0,0,ROW()-1,60),ROW()-1,FALSE))</f>
        <v>64.909346999999997</v>
      </c>
      <c r="BD124">
        <f ca="1">IF(AND(ISNUMBER($BD$578),$B$419=1),$BD$578,HLOOKUP(INDIRECT(ADDRESS(2,COLUMN())),OFFSET($BN$2,0,0,ROW()-1,60),ROW()-1,FALSE))</f>
        <v>54.173825000000001</v>
      </c>
      <c r="BE124">
        <f ca="1">IF(AND(ISNUMBER($BE$578),$B$419=1),$BE$578,HLOOKUP(INDIRECT(ADDRESS(2,COLUMN())),OFFSET($BN$2,0,0,ROW()-1,60),ROW()-1,FALSE))</f>
        <v>66.05</v>
      </c>
      <c r="BF124">
        <f ca="1">IF(AND(ISNUMBER($BF$578),$B$419=1),$BF$578,HLOOKUP(INDIRECT(ADDRESS(2,COLUMN())),OFFSET($BN$2,0,0,ROW()-1,60),ROW()-1,FALSE))</f>
        <v>57.276828000000002</v>
      </c>
      <c r="BG124">
        <f ca="1">IF(AND(ISNUMBER($BG$578),$B$419=1),$BG$578,HLOOKUP(INDIRECT(ADDRESS(2,COLUMN())),OFFSET($BN$2,0,0,ROW()-1,60),ROW()-1,FALSE))</f>
        <v>61.085000000000001</v>
      </c>
      <c r="BH124">
        <f ca="1">IF(AND(ISNUMBER($BH$578),$B$419=1),$BH$578,HLOOKUP(INDIRECT(ADDRESS(2,COLUMN())),OFFSET($BN$2,0,0,ROW()-1,60),ROW()-1,FALSE))</f>
        <v>51.261507999999999</v>
      </c>
      <c r="BI124">
        <f ca="1">IF(AND(ISNUMBER($BI$578),$B$419=1),$BI$578,HLOOKUP(INDIRECT(ADDRESS(2,COLUMN())),OFFSET($BN$2,0,0,ROW()-1,60),ROW()-1,FALSE))</f>
        <v>46.652000000000001</v>
      </c>
      <c r="BJ124">
        <f ca="1">IF(AND(ISNUMBER($BJ$578),$B$419=1),$BJ$578,HLOOKUP(INDIRECT(ADDRESS(2,COLUMN())),OFFSET($BN$2,0,0,ROW()-1,60),ROW()-1,FALSE))</f>
        <v>41.874001</v>
      </c>
      <c r="BK124">
        <f ca="1">IF(AND(ISNUMBER($BK$578),$B$419=1),$BK$578,HLOOKUP(INDIRECT(ADDRESS(2,COLUMN())),OFFSET($BN$2,0,0,ROW()-1,60),ROW()-1,FALSE))</f>
        <v>55.890998840000002</v>
      </c>
      <c r="BL124">
        <f ca="1">IF(AND(ISNUMBER($BL$578),$B$419=1),$BL$578,HLOOKUP(INDIRECT(ADDRESS(2,COLUMN())),OFFSET($BN$2,0,0,ROW()-1,60),ROW()-1,FALSE))</f>
        <v>46.220001000000003</v>
      </c>
      <c r="BM124">
        <f ca="1">IF(AND(ISNUMBER($BM$578),$B$419=1),$BM$578,HLOOKUP(INDIRECT(ADDRESS(2,COLUMN())),OFFSET($BN$2,0,0,ROW()-1,60),ROW()-1,FALSE))</f>
        <v>41.308998000000003</v>
      </c>
      <c r="BN124" t="str">
        <f>""</f>
        <v/>
      </c>
      <c r="BO124">
        <f>161.357</f>
        <v>161.357</v>
      </c>
      <c r="BP124">
        <f>155.733</f>
        <v>155.733</v>
      </c>
      <c r="BQ124">
        <f>143.562</f>
        <v>143.56200000000001</v>
      </c>
      <c r="BR124">
        <f>34.191</f>
        <v>34.191000000000003</v>
      </c>
      <c r="BS124">
        <f>83.128</f>
        <v>83.128</v>
      </c>
      <c r="BT124">
        <f>30.081</f>
        <v>30.081</v>
      </c>
      <c r="BU124">
        <f>79.696</f>
        <v>79.695999999999998</v>
      </c>
      <c r="BV124">
        <f>84.396</f>
        <v>84.396000000000001</v>
      </c>
      <c r="BW124">
        <f>64.217</f>
        <v>64.216999999999999</v>
      </c>
      <c r="BX124">
        <f>71.625</f>
        <v>71.625</v>
      </c>
      <c r="BY124">
        <f>71.042</f>
        <v>71.042000000000002</v>
      </c>
      <c r="BZ124">
        <f>69.631</f>
        <v>69.631</v>
      </c>
      <c r="CA124">
        <f>72.916</f>
        <v>72.915999999999997</v>
      </c>
      <c r="CB124">
        <f>64.715</f>
        <v>64.715000000000003</v>
      </c>
      <c r="CC124">
        <f>65.739</f>
        <v>65.739000000000004</v>
      </c>
      <c r="CD124">
        <f>65.275</f>
        <v>65.275000000000006</v>
      </c>
      <c r="CE124">
        <f>60.109</f>
        <v>60.109000000000002</v>
      </c>
      <c r="CF124">
        <f>60.277</f>
        <v>60.277000000000001</v>
      </c>
      <c r="CG124">
        <f>62.122</f>
        <v>62.122</v>
      </c>
      <c r="CH124">
        <f>57.686</f>
        <v>57.686</v>
      </c>
      <c r="CI124">
        <f>58.825</f>
        <v>58.825000000000003</v>
      </c>
      <c r="CJ124">
        <f>51.965</f>
        <v>51.965000000000003</v>
      </c>
      <c r="CK124">
        <f>61.102</f>
        <v>61.101999999999997</v>
      </c>
      <c r="CL124">
        <f>49.688</f>
        <v>49.688000000000002</v>
      </c>
      <c r="CM124">
        <f>56.536106</f>
        <v>56.536105999999997</v>
      </c>
      <c r="CN124">
        <f>55.84648</f>
        <v>55.84648</v>
      </c>
      <c r="CO124">
        <f>54.855262</f>
        <v>54.855262000000003</v>
      </c>
      <c r="CP124">
        <f>52.476</f>
        <v>52.475999999999999</v>
      </c>
      <c r="CQ124">
        <f>41.967037</f>
        <v>41.967036999999998</v>
      </c>
      <c r="CR124">
        <f>51.66244</f>
        <v>51.662439999999997</v>
      </c>
      <c r="CS124">
        <f>48.37024</f>
        <v>48.370240000000003</v>
      </c>
      <c r="CT124">
        <f>48.415831</f>
        <v>48.415830999999997</v>
      </c>
      <c r="CU124">
        <f>57.829719</f>
        <v>57.829718999999997</v>
      </c>
      <c r="CV124">
        <f>-46.528553</f>
        <v>-46.528553000000002</v>
      </c>
      <c r="CW124">
        <f>19.190085</f>
        <v>19.190085</v>
      </c>
      <c r="CX124">
        <f>54.980885</f>
        <v>54.980885000000001</v>
      </c>
      <c r="CY124">
        <f>50.614372</f>
        <v>50.614372000000003</v>
      </c>
      <c r="CZ124">
        <f>83.263105</f>
        <v>83.263104999999996</v>
      </c>
      <c r="DA124">
        <f>67.941355</f>
        <v>67.941355000000001</v>
      </c>
      <c r="DB124">
        <f>60.764385</f>
        <v>60.764384999999997</v>
      </c>
      <c r="DC124">
        <f>81.009024</f>
        <v>81.009023999999997</v>
      </c>
      <c r="DD124">
        <f>67.508081</f>
        <v>67.508081000000004</v>
      </c>
      <c r="DE124">
        <f>65.502374</f>
        <v>65.502374000000003</v>
      </c>
      <c r="DF124">
        <f>78.844946</f>
        <v>78.844945999999993</v>
      </c>
      <c r="DG124">
        <f>76.849206</f>
        <v>76.849205999999995</v>
      </c>
      <c r="DH124">
        <f>69.241492</f>
        <v>69.241491999999994</v>
      </c>
      <c r="DI124">
        <f>64.379822</f>
        <v>64.379822000000004</v>
      </c>
      <c r="DJ124">
        <f>58.455014</f>
        <v>58.455013999999998</v>
      </c>
      <c r="DK124">
        <f>64.909347</f>
        <v>64.909346999999997</v>
      </c>
      <c r="DL124">
        <f>54.173825</f>
        <v>54.173825000000001</v>
      </c>
      <c r="DM124">
        <f>66.05</f>
        <v>66.05</v>
      </c>
      <c r="DN124">
        <f>57.276828</f>
        <v>57.276828000000002</v>
      </c>
      <c r="DO124">
        <f>61.085</f>
        <v>61.085000000000001</v>
      </c>
      <c r="DP124">
        <f>51.261508</f>
        <v>51.261507999999999</v>
      </c>
      <c r="DQ124">
        <f>46.652</f>
        <v>46.652000000000001</v>
      </c>
      <c r="DR124">
        <f>41.874001</f>
        <v>41.874001</v>
      </c>
      <c r="DS124">
        <f>55.89099884</f>
        <v>55.890998840000002</v>
      </c>
      <c r="DT124">
        <f>46.220001</f>
        <v>46.220001000000003</v>
      </c>
      <c r="DU124">
        <f>41.308998</f>
        <v>41.308998000000003</v>
      </c>
    </row>
    <row r="125" spans="1:125">
      <c r="A125" t="str">
        <f>"    Retail Opportunity Investments"</f>
        <v xml:space="preserve">    Retail Opportunity Investments</v>
      </c>
      <c r="B125" t="str">
        <f>"ROIC US Equity"</f>
        <v>ROIC US Equity</v>
      </c>
      <c r="C125" t="str">
        <f t="shared" si="21"/>
        <v>CF039</v>
      </c>
      <c r="D125" t="str">
        <f t="shared" si="22"/>
        <v>CF_FFO</v>
      </c>
      <c r="E125" t="str">
        <f t="shared" si="23"/>
        <v>动态</v>
      </c>
      <c r="F125" t="str">
        <f ca="1">IF(AND(ISNUMBER($F$579),$B$419=1),$F$579,HLOOKUP(INDIRECT(ADDRESS(2,COLUMN())),OFFSET($BN$2,0,0,ROW()-1,60),ROW()-1,FALSE))</f>
        <v/>
      </c>
      <c r="G125">
        <f ca="1">IF(AND(ISNUMBER($G$579),$B$419=1),$G$579,HLOOKUP(INDIRECT(ADDRESS(2,COLUMN())),OFFSET($BN$2,0,0,ROW()-1,60),ROW()-1,FALSE))</f>
        <v>37.039000000000001</v>
      </c>
      <c r="H125">
        <f ca="1">IF(AND(ISNUMBER($H$579),$B$419=1),$H$579,HLOOKUP(INDIRECT(ADDRESS(2,COLUMN())),OFFSET($BN$2,0,0,ROW()-1,60),ROW()-1,FALSE))</f>
        <v>34.753999999999998</v>
      </c>
      <c r="I125">
        <f ca="1">IF(AND(ISNUMBER($I$579),$B$419=1),$I$579,HLOOKUP(INDIRECT(ADDRESS(2,COLUMN())),OFFSET($BN$2,0,0,ROW()-1,60),ROW()-1,FALSE))</f>
        <v>32.841999999999999</v>
      </c>
      <c r="J125">
        <f ca="1">IF(AND(ISNUMBER($J$579),$B$419=1),$J$579,HLOOKUP(INDIRECT(ADDRESS(2,COLUMN())),OFFSET($BN$2,0,0,ROW()-1,60),ROW()-1,FALSE))</f>
        <v>34.308999999999997</v>
      </c>
      <c r="K125">
        <f ca="1">IF(AND(ISNUMBER($K$579),$B$419=1),$K$579,HLOOKUP(INDIRECT(ADDRESS(2,COLUMN())),OFFSET($BN$2,0,0,ROW()-1,60),ROW()-1,FALSE))</f>
        <v>33.155000000000001</v>
      </c>
      <c r="L125">
        <f ca="1">IF(AND(ISNUMBER($L$579),$B$419=1),$L$579,HLOOKUP(INDIRECT(ADDRESS(2,COLUMN())),OFFSET($BN$2,0,0,ROW()-1,60),ROW()-1,FALSE))</f>
        <v>31.317</v>
      </c>
      <c r="M125">
        <f ca="1">IF(AND(ISNUMBER($M$579),$B$419=1),$M$579,HLOOKUP(INDIRECT(ADDRESS(2,COLUMN())),OFFSET($BN$2,0,0,ROW()-1,60),ROW()-1,FALSE))</f>
        <v>30.459</v>
      </c>
      <c r="N125">
        <f ca="1">IF(AND(ISNUMBER($N$579),$B$419=1),$N$579,HLOOKUP(INDIRECT(ADDRESS(2,COLUMN())),OFFSET($BN$2,0,0,ROW()-1,60),ROW()-1,FALSE))</f>
        <v>29.858000000000001</v>
      </c>
      <c r="O125">
        <f ca="1">IF(AND(ISNUMBER($O$579),$B$419=1),$O$579,HLOOKUP(INDIRECT(ADDRESS(2,COLUMN())),OFFSET($BN$2,0,0,ROW()-1,60),ROW()-1,FALSE))</f>
        <v>25.858000000000001</v>
      </c>
      <c r="P125">
        <f ca="1">IF(AND(ISNUMBER($P$579),$B$419=1),$P$579,HLOOKUP(INDIRECT(ADDRESS(2,COLUMN())),OFFSET($BN$2,0,0,ROW()-1,60),ROW()-1,FALSE))</f>
        <v>25.896000000000001</v>
      </c>
      <c r="Q125">
        <f ca="1">IF(AND(ISNUMBER($Q$579),$B$419=1),$Q$579,HLOOKUP(INDIRECT(ADDRESS(2,COLUMN())),OFFSET($BN$2,0,0,ROW()-1,60),ROW()-1,FALSE))</f>
        <v>22.285</v>
      </c>
      <c r="R125">
        <f ca="1">IF(AND(ISNUMBER($R$579),$B$419=1),$R$579,HLOOKUP(INDIRECT(ADDRESS(2,COLUMN())),OFFSET($BN$2,0,0,ROW()-1,60),ROW()-1,FALSE))</f>
        <v>22.01</v>
      </c>
      <c r="S125">
        <f ca="1">IF(AND(ISNUMBER($S$579),$B$419=1),$S$579,HLOOKUP(INDIRECT(ADDRESS(2,COLUMN())),OFFSET($BN$2,0,0,ROW()-1,60),ROW()-1,FALSE))</f>
        <v>20.200354000000001</v>
      </c>
      <c r="T125">
        <f ca="1">IF(AND(ISNUMBER($T$579),$B$419=1),$T$579,HLOOKUP(INDIRECT(ADDRESS(2,COLUMN())),OFFSET($BN$2,0,0,ROW()-1,60),ROW()-1,FALSE))</f>
        <v>20.795477000000002</v>
      </c>
      <c r="U125">
        <f ca="1">IF(AND(ISNUMBER($U$579),$B$419=1),$U$579,HLOOKUP(INDIRECT(ADDRESS(2,COLUMN())),OFFSET($BN$2,0,0,ROW()-1,60),ROW()-1,FALSE))</f>
        <v>16.989509999999999</v>
      </c>
      <c r="V125">
        <f ca="1">IF(AND(ISNUMBER($V$579),$B$419=1),$V$579,HLOOKUP(INDIRECT(ADDRESS(2,COLUMN())),OFFSET($BN$2,0,0,ROW()-1,60),ROW()-1,FALSE))</f>
        <v>16.495750999999998</v>
      </c>
      <c r="W125">
        <f ca="1">IF(AND(ISNUMBER($W$579),$B$419=1),$W$579,HLOOKUP(INDIRECT(ADDRESS(2,COLUMN())),OFFSET($BN$2,0,0,ROW()-1,60),ROW()-1,FALSE))</f>
        <v>16.375109999999999</v>
      </c>
      <c r="X125">
        <f ca="1">IF(AND(ISNUMBER($X$579),$B$419=1),$X$579,HLOOKUP(INDIRECT(ADDRESS(2,COLUMN())),OFFSET($BN$2,0,0,ROW()-1,60),ROW()-1,FALSE))</f>
        <v>35.372042999999998</v>
      </c>
      <c r="Y125">
        <f ca="1">IF(AND(ISNUMBER($Y$579),$B$419=1),$Y$579,HLOOKUP(INDIRECT(ADDRESS(2,COLUMN())),OFFSET($BN$2,0,0,ROW()-1,60),ROW()-1,FALSE))</f>
        <v>12.714501</v>
      </c>
      <c r="Z125">
        <f ca="1">IF(AND(ISNUMBER($Z$579),$B$419=1),$Z$579,HLOOKUP(INDIRECT(ADDRESS(2,COLUMN())),OFFSET($BN$2,0,0,ROW()-1,60),ROW()-1,FALSE))</f>
        <v>11.523092</v>
      </c>
      <c r="AA125">
        <f ca="1">IF(AND(ISNUMBER($AA$579),$B$419=1),$AA$579,HLOOKUP(INDIRECT(ADDRESS(2,COLUMN())),OFFSET($BN$2,0,0,ROW()-1,60),ROW()-1,FALSE))</f>
        <v>8.5078379999999996</v>
      </c>
      <c r="AB125">
        <f ca="1">IF(AND(ISNUMBER($AB$579),$B$419=1),$AB$579,HLOOKUP(INDIRECT(ADDRESS(2,COLUMN())),OFFSET($BN$2,0,0,ROW()-1,60),ROW()-1,FALSE))</f>
        <v>10.20261</v>
      </c>
      <c r="AC125">
        <f ca="1">IF(AND(ISNUMBER($AC$579),$B$419=1),$AC$579,HLOOKUP(INDIRECT(ADDRESS(2,COLUMN())),OFFSET($BN$2,0,0,ROW()-1,60),ROW()-1,FALSE))</f>
        <v>12.048266</v>
      </c>
      <c r="AD125">
        <f ca="1">IF(AND(ISNUMBER($AD$579),$B$419=1),$AD$579,HLOOKUP(INDIRECT(ADDRESS(2,COLUMN())),OFFSET($BN$2,0,0,ROW()-1,60),ROW()-1,FALSE))</f>
        <v>8.3834870000000006</v>
      </c>
      <c r="AE125">
        <f ca="1">IF(AND(ISNUMBER($AE$579),$B$419=1),$AE$579,HLOOKUP(INDIRECT(ADDRESS(2,COLUMN())),OFFSET($BN$2,0,0,ROW()-1,60),ROW()-1,FALSE))</f>
        <v>7.4774159999999998</v>
      </c>
      <c r="AF125">
        <f ca="1">IF(AND(ISNUMBER($AF$579),$B$419=1),$AF$579,HLOOKUP(INDIRECT(ADDRESS(2,COLUMN())),OFFSET($BN$2,0,0,ROW()-1,60),ROW()-1,FALSE))</f>
        <v>9.0163589999999996</v>
      </c>
      <c r="AG125">
        <f ca="1">IF(AND(ISNUMBER($AG$579),$B$419=1),$AG$579,HLOOKUP(INDIRECT(ADDRESS(2,COLUMN())),OFFSET($BN$2,0,0,ROW()-1,60),ROW()-1,FALSE))</f>
        <v>5.6767110000000001</v>
      </c>
      <c r="AH125">
        <f ca="1">IF(AND(ISNUMBER($AH$579),$B$419=1),$AH$579,HLOOKUP(INDIRECT(ADDRESS(2,COLUMN())),OFFSET($BN$2,0,0,ROW()-1,60),ROW()-1,FALSE))</f>
        <v>10.871238999999999</v>
      </c>
      <c r="AI125">
        <f ca="1">IF(AND(ISNUMBER($AI$579),$B$419=1),$AI$579,HLOOKUP(INDIRECT(ADDRESS(2,COLUMN())),OFFSET($BN$2,0,0,ROW()-1,60),ROW()-1,FALSE))</f>
        <v>5.6170580000000001</v>
      </c>
      <c r="AJ125">
        <f ca="1">IF(AND(ISNUMBER($AJ$579),$B$419=1),$AJ$579,HLOOKUP(INDIRECT(ADDRESS(2,COLUMN())),OFFSET($BN$2,0,0,ROW()-1,60),ROW()-1,FALSE))</f>
        <v>1.5354559999999999</v>
      </c>
      <c r="AK125">
        <f ca="1">IF(AND(ISNUMBER($AK$579),$B$419=1),$AK$579,HLOOKUP(INDIRECT(ADDRESS(2,COLUMN())),OFFSET($BN$2,0,0,ROW()-1,60),ROW()-1,FALSE))</f>
        <v>-0.25162099999999998</v>
      </c>
      <c r="AL125">
        <f ca="1">IF(AND(ISNUMBER($AL$579),$B$419=1),$AL$579,HLOOKUP(INDIRECT(ADDRESS(2,COLUMN())),OFFSET($BN$2,0,0,ROW()-1,60),ROW()-1,FALSE))</f>
        <v>-1.197425</v>
      </c>
      <c r="AM125" t="str">
        <f ca="1">IF(AND(ISNUMBER($AM$579),$B$419=1),$AM$579,HLOOKUP(INDIRECT(ADDRESS(2,COLUMN())),OFFSET($BN$2,0,0,ROW()-1,60),ROW()-1,FALSE))</f>
        <v/>
      </c>
      <c r="AN125" t="str">
        <f ca="1">IF(AND(ISNUMBER($AN$579),$B$419=1),$AN$579,HLOOKUP(INDIRECT(ADDRESS(2,COLUMN())),OFFSET($BN$2,0,0,ROW()-1,60),ROW()-1,FALSE))</f>
        <v/>
      </c>
      <c r="AO125" t="str">
        <f ca="1">IF(AND(ISNUMBER($AO$579),$B$419=1),$AO$579,HLOOKUP(INDIRECT(ADDRESS(2,COLUMN())),OFFSET($BN$2,0,0,ROW()-1,60),ROW()-1,FALSE))</f>
        <v/>
      </c>
      <c r="AP125" t="str">
        <f ca="1">IF(AND(ISNUMBER($AP$579),$B$419=1),$AP$579,HLOOKUP(INDIRECT(ADDRESS(2,COLUMN())),OFFSET($BN$2,0,0,ROW()-1,60),ROW()-1,FALSE))</f>
        <v/>
      </c>
      <c r="AQ125" t="str">
        <f ca="1">IF(AND(ISNUMBER($AQ$579),$B$419=1),$AQ$579,HLOOKUP(INDIRECT(ADDRESS(2,COLUMN())),OFFSET($BN$2,0,0,ROW()-1,60),ROW()-1,FALSE))</f>
        <v/>
      </c>
      <c r="AR125" t="str">
        <f ca="1">IF(AND(ISNUMBER($AR$579),$B$419=1),$AR$579,HLOOKUP(INDIRECT(ADDRESS(2,COLUMN())),OFFSET($BN$2,0,0,ROW()-1,60),ROW()-1,FALSE))</f>
        <v/>
      </c>
      <c r="AS125" t="str">
        <f ca="1">IF(AND(ISNUMBER($AS$579),$B$419=1),$AS$579,HLOOKUP(INDIRECT(ADDRESS(2,COLUMN())),OFFSET($BN$2,0,0,ROW()-1,60),ROW()-1,FALSE))</f>
        <v/>
      </c>
      <c r="AT125" t="str">
        <f ca="1">IF(AND(ISNUMBER($AT$579),$B$419=1),$AT$579,HLOOKUP(INDIRECT(ADDRESS(2,COLUMN())),OFFSET($BN$2,0,0,ROW()-1,60),ROW()-1,FALSE))</f>
        <v/>
      </c>
      <c r="AU125" t="str">
        <f ca="1">IF(AND(ISNUMBER($AU$579),$B$419=1),$AU$579,HLOOKUP(INDIRECT(ADDRESS(2,COLUMN())),OFFSET($BN$2,0,0,ROW()-1,60),ROW()-1,FALSE))</f>
        <v/>
      </c>
      <c r="AV125" t="str">
        <f ca="1">IF(AND(ISNUMBER($AV$579),$B$419=1),$AV$579,HLOOKUP(INDIRECT(ADDRESS(2,COLUMN())),OFFSET($BN$2,0,0,ROW()-1,60),ROW()-1,FALSE))</f>
        <v/>
      </c>
      <c r="AW125" t="str">
        <f ca="1">IF(AND(ISNUMBER($AW$579),$B$419=1),$AW$579,HLOOKUP(INDIRECT(ADDRESS(2,COLUMN())),OFFSET($BN$2,0,0,ROW()-1,60),ROW()-1,FALSE))</f>
        <v/>
      </c>
      <c r="AX125" t="str">
        <f ca="1">IF(AND(ISNUMBER($AX$579),$B$419=1),$AX$579,HLOOKUP(INDIRECT(ADDRESS(2,COLUMN())),OFFSET($BN$2,0,0,ROW()-1,60),ROW()-1,FALSE))</f>
        <v/>
      </c>
      <c r="AY125" t="str">
        <f ca="1">IF(AND(ISNUMBER($AY$579),$B$419=1),$AY$579,HLOOKUP(INDIRECT(ADDRESS(2,COLUMN())),OFFSET($BN$2,0,0,ROW()-1,60),ROW()-1,FALSE))</f>
        <v/>
      </c>
      <c r="AZ125" t="str">
        <f ca="1">IF(AND(ISNUMBER($AZ$579),$B$419=1),$AZ$579,HLOOKUP(INDIRECT(ADDRESS(2,COLUMN())),OFFSET($BN$2,0,0,ROW()-1,60),ROW()-1,FALSE))</f>
        <v/>
      </c>
      <c r="BA125" t="str">
        <f ca="1">IF(AND(ISNUMBER($BA$579),$B$419=1),$BA$579,HLOOKUP(INDIRECT(ADDRESS(2,COLUMN())),OFFSET($BN$2,0,0,ROW()-1,60),ROW()-1,FALSE))</f>
        <v/>
      </c>
      <c r="BB125" t="str">
        <f ca="1">IF(AND(ISNUMBER($BB$579),$B$419=1),$BB$579,HLOOKUP(INDIRECT(ADDRESS(2,COLUMN())),OFFSET($BN$2,0,0,ROW()-1,60),ROW()-1,FALSE))</f>
        <v/>
      </c>
      <c r="BC125" t="str">
        <f ca="1">IF(AND(ISNUMBER($BC$579),$B$419=1),$BC$579,HLOOKUP(INDIRECT(ADDRESS(2,COLUMN())),OFFSET($BN$2,0,0,ROW()-1,60),ROW()-1,FALSE))</f>
        <v/>
      </c>
      <c r="BD125" t="str">
        <f ca="1">IF(AND(ISNUMBER($BD$579),$B$419=1),$BD$579,HLOOKUP(INDIRECT(ADDRESS(2,COLUMN())),OFFSET($BN$2,0,0,ROW()-1,60),ROW()-1,FALSE))</f>
        <v/>
      </c>
      <c r="BE125" t="str">
        <f ca="1">IF(AND(ISNUMBER($BE$579),$B$419=1),$BE$579,HLOOKUP(INDIRECT(ADDRESS(2,COLUMN())),OFFSET($BN$2,0,0,ROW()-1,60),ROW()-1,FALSE))</f>
        <v/>
      </c>
      <c r="BF125" t="str">
        <f ca="1">IF(AND(ISNUMBER($BF$579),$B$419=1),$BF$579,HLOOKUP(INDIRECT(ADDRESS(2,COLUMN())),OFFSET($BN$2,0,0,ROW()-1,60),ROW()-1,FALSE))</f>
        <v/>
      </c>
      <c r="BG125" t="str">
        <f ca="1">IF(AND(ISNUMBER($BG$579),$B$419=1),$BG$579,HLOOKUP(INDIRECT(ADDRESS(2,COLUMN())),OFFSET($BN$2,0,0,ROW()-1,60),ROW()-1,FALSE))</f>
        <v/>
      </c>
      <c r="BH125" t="str">
        <f ca="1">IF(AND(ISNUMBER($BH$579),$B$419=1),$BH$579,HLOOKUP(INDIRECT(ADDRESS(2,COLUMN())),OFFSET($BN$2,0,0,ROW()-1,60),ROW()-1,FALSE))</f>
        <v/>
      </c>
      <c r="BI125" t="str">
        <f ca="1">IF(AND(ISNUMBER($BI$579),$B$419=1),$BI$579,HLOOKUP(INDIRECT(ADDRESS(2,COLUMN())),OFFSET($BN$2,0,0,ROW()-1,60),ROW()-1,FALSE))</f>
        <v/>
      </c>
      <c r="BJ125" t="str">
        <f ca="1">IF(AND(ISNUMBER($BJ$579),$B$419=1),$BJ$579,HLOOKUP(INDIRECT(ADDRESS(2,COLUMN())),OFFSET($BN$2,0,0,ROW()-1,60),ROW()-1,FALSE))</f>
        <v/>
      </c>
      <c r="BK125" t="str">
        <f ca="1">IF(AND(ISNUMBER($BK$579),$B$419=1),$BK$579,HLOOKUP(INDIRECT(ADDRESS(2,COLUMN())),OFFSET($BN$2,0,0,ROW()-1,60),ROW()-1,FALSE))</f>
        <v/>
      </c>
      <c r="BL125" t="str">
        <f ca="1">IF(AND(ISNUMBER($BL$579),$B$419=1),$BL$579,HLOOKUP(INDIRECT(ADDRESS(2,COLUMN())),OFFSET($BN$2,0,0,ROW()-1,60),ROW()-1,FALSE))</f>
        <v/>
      </c>
      <c r="BM125" t="str">
        <f ca="1">IF(AND(ISNUMBER($BM$579),$B$419=1),$BM$579,HLOOKUP(INDIRECT(ADDRESS(2,COLUMN())),OFFSET($BN$2,0,0,ROW()-1,60),ROW()-1,FALSE))</f>
        <v/>
      </c>
      <c r="BN125" t="str">
        <f>""</f>
        <v/>
      </c>
      <c r="BO125">
        <f>37.039</f>
        <v>37.039000000000001</v>
      </c>
      <c r="BP125">
        <f>34.754</f>
        <v>34.753999999999998</v>
      </c>
      <c r="BQ125">
        <f>32.842</f>
        <v>32.841999999999999</v>
      </c>
      <c r="BR125">
        <f>34.309</f>
        <v>34.308999999999997</v>
      </c>
      <c r="BS125">
        <f>33.155</f>
        <v>33.155000000000001</v>
      </c>
      <c r="BT125">
        <f>31.317</f>
        <v>31.317</v>
      </c>
      <c r="BU125">
        <f>30.459</f>
        <v>30.459</v>
      </c>
      <c r="BV125">
        <f>29.858</f>
        <v>29.858000000000001</v>
      </c>
      <c r="BW125">
        <f>25.858</f>
        <v>25.858000000000001</v>
      </c>
      <c r="BX125">
        <f>25.896</f>
        <v>25.896000000000001</v>
      </c>
      <c r="BY125">
        <f>22.285</f>
        <v>22.285</v>
      </c>
      <c r="BZ125">
        <f>22.01</f>
        <v>22.01</v>
      </c>
      <c r="CA125">
        <f>20.200354</f>
        <v>20.200354000000001</v>
      </c>
      <c r="CB125">
        <f>20.795477</f>
        <v>20.795477000000002</v>
      </c>
      <c r="CC125">
        <f>16.98951</f>
        <v>16.989509999999999</v>
      </c>
      <c r="CD125">
        <f>16.495751</f>
        <v>16.495750999999998</v>
      </c>
      <c r="CE125">
        <f>16.37511</f>
        <v>16.375109999999999</v>
      </c>
      <c r="CF125">
        <f>35.372043</f>
        <v>35.372042999999998</v>
      </c>
      <c r="CG125">
        <f>12.714501</f>
        <v>12.714501</v>
      </c>
      <c r="CH125">
        <f>11.523092</f>
        <v>11.523092</v>
      </c>
      <c r="CI125">
        <f>8.507838</f>
        <v>8.5078379999999996</v>
      </c>
      <c r="CJ125">
        <f>10.20261</f>
        <v>10.20261</v>
      </c>
      <c r="CK125">
        <f>12.048266</f>
        <v>12.048266</v>
      </c>
      <c r="CL125">
        <f>8.383487</f>
        <v>8.3834870000000006</v>
      </c>
      <c r="CM125">
        <f>7.477416</f>
        <v>7.4774159999999998</v>
      </c>
      <c r="CN125">
        <f>9.016359</f>
        <v>9.0163589999999996</v>
      </c>
      <c r="CO125">
        <f>5.676711</f>
        <v>5.6767110000000001</v>
      </c>
      <c r="CP125">
        <f>10.871239</f>
        <v>10.871238999999999</v>
      </c>
      <c r="CQ125">
        <f>5.617058</f>
        <v>5.6170580000000001</v>
      </c>
      <c r="CR125">
        <f>1.535456</f>
        <v>1.5354559999999999</v>
      </c>
      <c r="CS125">
        <f>-0.251621</f>
        <v>-0.25162099999999998</v>
      </c>
      <c r="CT125">
        <f>-1.197425</f>
        <v>-1.197425</v>
      </c>
      <c r="CU125" t="str">
        <f>""</f>
        <v/>
      </c>
      <c r="CV125" t="str">
        <f>""</f>
        <v/>
      </c>
      <c r="CW125" t="str">
        <f>""</f>
        <v/>
      </c>
      <c r="CX125" t="str">
        <f>""</f>
        <v/>
      </c>
      <c r="CY125" t="str">
        <f>""</f>
        <v/>
      </c>
      <c r="CZ125" t="str">
        <f>""</f>
        <v/>
      </c>
      <c r="DA125" t="str">
        <f>""</f>
        <v/>
      </c>
      <c r="DB125" t="str">
        <f>""</f>
        <v/>
      </c>
      <c r="DC125" t="str">
        <f>""</f>
        <v/>
      </c>
      <c r="DD125" t="str">
        <f>""</f>
        <v/>
      </c>
      <c r="DE125" t="str">
        <f>""</f>
        <v/>
      </c>
      <c r="DF125" t="str">
        <f>""</f>
        <v/>
      </c>
      <c r="DG125" t="str">
        <f>""</f>
        <v/>
      </c>
      <c r="DH125" t="str">
        <f>""</f>
        <v/>
      </c>
      <c r="DI125" t="str">
        <f>""</f>
        <v/>
      </c>
      <c r="DJ125" t="str">
        <f>""</f>
        <v/>
      </c>
      <c r="DK125" t="str">
        <f>""</f>
        <v/>
      </c>
      <c r="DL125" t="str">
        <f>""</f>
        <v/>
      </c>
      <c r="DM125" t="str">
        <f>""</f>
        <v/>
      </c>
      <c r="DN125" t="str">
        <f>""</f>
        <v/>
      </c>
      <c r="DO125" t="str">
        <f>""</f>
        <v/>
      </c>
      <c r="DP125" t="str">
        <f>""</f>
        <v/>
      </c>
      <c r="DQ125" t="str">
        <f>""</f>
        <v/>
      </c>
      <c r="DR125" t="str">
        <f>""</f>
        <v/>
      </c>
      <c r="DS125" t="str">
        <f>""</f>
        <v/>
      </c>
      <c r="DT125" t="str">
        <f>""</f>
        <v/>
      </c>
      <c r="DU125" t="str">
        <f>""</f>
        <v/>
      </c>
    </row>
    <row r="126" spans="1:125">
      <c r="A126" t="str">
        <f>"    Retail Properties of America I"</f>
        <v xml:space="preserve">    Retail Properties of America I</v>
      </c>
      <c r="B126" t="str">
        <f>"RPAI US Equity"</f>
        <v>RPAI US Equity</v>
      </c>
      <c r="C126" t="str">
        <f t="shared" si="21"/>
        <v>CF039</v>
      </c>
      <c r="D126" t="str">
        <f t="shared" si="22"/>
        <v>CF_FFO</v>
      </c>
      <c r="E126" t="str">
        <f t="shared" si="23"/>
        <v>动态</v>
      </c>
      <c r="F126" t="str">
        <f ca="1">IF(AND(ISNUMBER($F$580),$B$419=1),$F$580,HLOOKUP(INDIRECT(ADDRESS(2,COLUMN())),OFFSET($BN$2,0,0,ROW()-1,60),ROW()-1,FALSE))</f>
        <v/>
      </c>
      <c r="G126">
        <f ca="1">IF(AND(ISNUMBER($G$580),$B$419=1),$G$580,HLOOKUP(INDIRECT(ADDRESS(2,COLUMN())),OFFSET($BN$2,0,0,ROW()-1,60),ROW()-1,FALSE))</f>
        <v>50.442999999999998</v>
      </c>
      <c r="H126">
        <f ca="1">IF(AND(ISNUMBER($H$580),$B$419=1),$H$580,HLOOKUP(INDIRECT(ADDRESS(2,COLUMN())),OFFSET($BN$2,0,0,ROW()-1,60),ROW()-1,FALSE))</f>
        <v>57.149000000000001</v>
      </c>
      <c r="I126">
        <f ca="1">IF(AND(ISNUMBER($I$580),$B$419=1),$I$580,HLOOKUP(INDIRECT(ADDRESS(2,COLUMN())),OFFSET($BN$2,0,0,ROW()-1,60),ROW()-1,FALSE))</f>
        <v>60.716999999999999</v>
      </c>
      <c r="J126">
        <f ca="1">IF(AND(ISNUMBER($J$580),$B$419=1),$J$580,HLOOKUP(INDIRECT(ADDRESS(2,COLUMN())),OFFSET($BN$2,0,0,ROW()-1,60),ROW()-1,FALSE))</f>
        <v>0.45300000000000001</v>
      </c>
      <c r="K126">
        <f ca="1">IF(AND(ISNUMBER($K$580),$B$419=1),$K$580,HLOOKUP(INDIRECT(ADDRESS(2,COLUMN())),OFFSET($BN$2,0,0,ROW()-1,60),ROW()-1,FALSE))</f>
        <v>52.887999999999998</v>
      </c>
      <c r="L126">
        <f ca="1">IF(AND(ISNUMBER($L$580),$B$419=1),$L$580,HLOOKUP(INDIRECT(ADDRESS(2,COLUMN())),OFFSET($BN$2,0,0,ROW()-1,60),ROW()-1,FALSE))</f>
        <v>64.872</v>
      </c>
      <c r="M126">
        <f ca="1">IF(AND(ISNUMBER($M$580),$B$419=1),$M$580,HLOOKUP(INDIRECT(ADDRESS(2,COLUMN())),OFFSET($BN$2,0,0,ROW()-1,60),ROW()-1,FALSE))</f>
        <v>73.867999999999995</v>
      </c>
      <c r="N126">
        <f ca="1">IF(AND(ISNUMBER($N$580),$B$419=1),$N$580,HLOOKUP(INDIRECT(ADDRESS(2,COLUMN())),OFFSET($BN$2,0,0,ROW()-1,60),ROW()-1,FALSE))</f>
        <v>76.418999999999997</v>
      </c>
      <c r="O126">
        <f ca="1">IF(AND(ISNUMBER($O$580),$B$419=1),$O$580,HLOOKUP(INDIRECT(ADDRESS(2,COLUMN())),OFFSET($BN$2,0,0,ROW()-1,60),ROW()-1,FALSE))</f>
        <v>59.5</v>
      </c>
      <c r="P126">
        <f ca="1">IF(AND(ISNUMBER($P$580),$B$419=1),$P$580,HLOOKUP(INDIRECT(ADDRESS(2,COLUMN())),OFFSET($BN$2,0,0,ROW()-1,60),ROW()-1,FALSE))</f>
        <v>53.731000000000002</v>
      </c>
      <c r="Q126">
        <f ca="1">IF(AND(ISNUMBER($Q$580),$B$419=1),$Q$580,HLOOKUP(INDIRECT(ADDRESS(2,COLUMN())),OFFSET($BN$2,0,0,ROW()-1,60),ROW()-1,FALSE))</f>
        <v>54.146999999999998</v>
      </c>
      <c r="R126">
        <f ca="1">IF(AND(ISNUMBER($R$580),$B$419=1),$R$580,HLOOKUP(INDIRECT(ADDRESS(2,COLUMN())),OFFSET($BN$2,0,0,ROW()-1,60),ROW()-1,FALSE))</f>
        <v>60.542999999999999</v>
      </c>
      <c r="S126">
        <f ca="1">IF(AND(ISNUMBER($S$580),$B$419=1),$S$580,HLOOKUP(INDIRECT(ADDRESS(2,COLUMN())),OFFSET($BN$2,0,0,ROW()-1,60),ROW()-1,FALSE))</f>
        <v>61.210999999999999</v>
      </c>
      <c r="T126">
        <f ca="1">IF(AND(ISNUMBER($T$580),$B$419=1),$T$580,HLOOKUP(INDIRECT(ADDRESS(2,COLUMN())),OFFSET($BN$2,0,0,ROW()-1,60),ROW()-1,FALSE))</f>
        <v>65.009</v>
      </c>
      <c r="U126">
        <f ca="1">IF(AND(ISNUMBER($U$580),$B$419=1),$U$580,HLOOKUP(INDIRECT(ADDRESS(2,COLUMN())),OFFSET($BN$2,0,0,ROW()-1,60),ROW()-1,FALSE))</f>
        <v>63.752000000000002</v>
      </c>
      <c r="V126">
        <f ca="1">IF(AND(ISNUMBER($V$580),$B$419=1),$V$580,HLOOKUP(INDIRECT(ADDRESS(2,COLUMN())),OFFSET($BN$2,0,0,ROW()-1,60),ROW()-1,FALSE))</f>
        <v>65.748000000000005</v>
      </c>
      <c r="W126">
        <f ca="1">IF(AND(ISNUMBER($W$580),$B$419=1),$W$580,HLOOKUP(INDIRECT(ADDRESS(2,COLUMN())),OFFSET($BN$2,0,0,ROW()-1,60),ROW()-1,FALSE))</f>
        <v>71.83</v>
      </c>
      <c r="X126">
        <f ca="1">IF(AND(ISNUMBER($X$580),$B$419=1),$X$580,HLOOKUP(INDIRECT(ADDRESS(2,COLUMN())),OFFSET($BN$2,0,0,ROW()-1,60),ROW()-1,FALSE))</f>
        <v>63.430999999999997</v>
      </c>
      <c r="Y126">
        <f ca="1">IF(AND(ISNUMBER($Y$580),$B$419=1),$Y$580,HLOOKUP(INDIRECT(ADDRESS(2,COLUMN())),OFFSET($BN$2,0,0,ROW()-1,60),ROW()-1,FALSE))</f>
        <v>88.185000000000002</v>
      </c>
      <c r="Z126">
        <f ca="1">IF(AND(ISNUMBER($Z$580),$B$419=1),$Z$580,HLOOKUP(INDIRECT(ADDRESS(2,COLUMN())),OFFSET($BN$2,0,0,ROW()-1,60),ROW()-1,FALSE))</f>
        <v>43.204999999999998</v>
      </c>
      <c r="AA126">
        <f ca="1">IF(AND(ISNUMBER($AA$580),$B$419=1),$AA$580,HLOOKUP(INDIRECT(ADDRESS(2,COLUMN())),OFFSET($BN$2,0,0,ROW()-1,60),ROW()-1,FALSE))</f>
        <v>59.988999999999997</v>
      </c>
      <c r="AB126">
        <f ca="1">IF(AND(ISNUMBER($AB$580),$B$419=1),$AB$580,HLOOKUP(INDIRECT(ADDRESS(2,COLUMN())),OFFSET($BN$2,0,0,ROW()-1,60),ROW()-1,FALSE))</f>
        <v>57.238</v>
      </c>
      <c r="AC126">
        <f ca="1">IF(AND(ISNUMBER($AC$580),$B$419=1),$AC$580,HLOOKUP(INDIRECT(ADDRESS(2,COLUMN())),OFFSET($BN$2,0,0,ROW()-1,60),ROW()-1,FALSE))</f>
        <v>70.16</v>
      </c>
      <c r="AD126">
        <f ca="1">IF(AND(ISNUMBER($AD$580),$B$419=1),$AD$580,HLOOKUP(INDIRECT(ADDRESS(2,COLUMN())),OFFSET($BN$2,0,0,ROW()-1,60),ROW()-1,FALSE))</f>
        <v>48.398000000000003</v>
      </c>
      <c r="AE126">
        <f ca="1">IF(AND(ISNUMBER($AE$580),$B$419=1),$AE$580,HLOOKUP(INDIRECT(ADDRESS(2,COLUMN())),OFFSET($BN$2,0,0,ROW()-1,60),ROW()-1,FALSE))</f>
        <v>48.503999999999998</v>
      </c>
      <c r="AF126">
        <f ca="1">IF(AND(ISNUMBER($AF$580),$B$419=1),$AF$580,HLOOKUP(INDIRECT(ADDRESS(2,COLUMN())),OFFSET($BN$2,0,0,ROW()-1,60),ROW()-1,FALSE))</f>
        <v>46.146999999999998</v>
      </c>
      <c r="AG126">
        <f ca="1">IF(AND(ISNUMBER($AG$580),$B$419=1),$AG$580,HLOOKUP(INDIRECT(ADDRESS(2,COLUMN())),OFFSET($BN$2,0,0,ROW()-1,60),ROW()-1,FALSE))</f>
        <v>48.988</v>
      </c>
      <c r="AH126">
        <f ca="1">IF(AND(ISNUMBER($AH$580),$B$419=1),$AH$580,HLOOKUP(INDIRECT(ADDRESS(2,COLUMN())),OFFSET($BN$2,0,0,ROW()-1,60),ROW()-1,FALSE))</f>
        <v>51.466000000000001</v>
      </c>
      <c r="AI126">
        <f ca="1">IF(AND(ISNUMBER($AI$580),$B$419=1),$AI$580,HLOOKUP(INDIRECT(ADDRESS(2,COLUMN())),OFFSET($BN$2,0,0,ROW()-1,60),ROW()-1,FALSE))</f>
        <v>41.012999999999998</v>
      </c>
      <c r="AJ126" t="str">
        <f ca="1">IF(AND(ISNUMBER($AJ$580),$B$419=1),$AJ$580,HLOOKUP(INDIRECT(ADDRESS(2,COLUMN())),OFFSET($BN$2,0,0,ROW()-1,60),ROW()-1,FALSE))</f>
        <v/>
      </c>
      <c r="AK126" t="str">
        <f ca="1">IF(AND(ISNUMBER($AK$580),$B$419=1),$AK$580,HLOOKUP(INDIRECT(ADDRESS(2,COLUMN())),OFFSET($BN$2,0,0,ROW()-1,60),ROW()-1,FALSE))</f>
        <v/>
      </c>
      <c r="AL126" t="str">
        <f ca="1">IF(AND(ISNUMBER($AL$580),$B$419=1),$AL$580,HLOOKUP(INDIRECT(ADDRESS(2,COLUMN())),OFFSET($BN$2,0,0,ROW()-1,60),ROW()-1,FALSE))</f>
        <v/>
      </c>
      <c r="AM126" t="str">
        <f ca="1">IF(AND(ISNUMBER($AM$580),$B$419=1),$AM$580,HLOOKUP(INDIRECT(ADDRESS(2,COLUMN())),OFFSET($BN$2,0,0,ROW()-1,60),ROW()-1,FALSE))</f>
        <v/>
      </c>
      <c r="AN126">
        <f ca="1">IF(AND(ISNUMBER($AN$580),$B$419=1),$AN$580,HLOOKUP(INDIRECT(ADDRESS(2,COLUMN())),OFFSET($BN$2,0,0,ROW()-1,60),ROW()-1,FALSE))</f>
        <v>79.126000000000005</v>
      </c>
      <c r="AO126" t="str">
        <f ca="1">IF(AND(ISNUMBER($AO$580),$B$419=1),$AO$580,HLOOKUP(INDIRECT(ADDRESS(2,COLUMN())),OFFSET($BN$2,0,0,ROW()-1,60),ROW()-1,FALSE))</f>
        <v/>
      </c>
      <c r="AP126" t="str">
        <f ca="1">IF(AND(ISNUMBER($AP$580),$B$419=1),$AP$580,HLOOKUP(INDIRECT(ADDRESS(2,COLUMN())),OFFSET($BN$2,0,0,ROW()-1,60),ROW()-1,FALSE))</f>
        <v/>
      </c>
      <c r="AQ126" t="str">
        <f ca="1">IF(AND(ISNUMBER($AQ$580),$B$419=1),$AQ$580,HLOOKUP(INDIRECT(ADDRESS(2,COLUMN())),OFFSET($BN$2,0,0,ROW()-1,60),ROW()-1,FALSE))</f>
        <v/>
      </c>
      <c r="AR126" t="str">
        <f ca="1">IF(AND(ISNUMBER($AR$580),$B$419=1),$AR$580,HLOOKUP(INDIRECT(ADDRESS(2,COLUMN())),OFFSET($BN$2,0,0,ROW()-1,60),ROW()-1,FALSE))</f>
        <v/>
      </c>
      <c r="AS126" t="str">
        <f ca="1">IF(AND(ISNUMBER($AS$580),$B$419=1),$AS$580,HLOOKUP(INDIRECT(ADDRESS(2,COLUMN())),OFFSET($BN$2,0,0,ROW()-1,60),ROW()-1,FALSE))</f>
        <v/>
      </c>
      <c r="AT126" t="str">
        <f ca="1">IF(AND(ISNUMBER($AT$580),$B$419=1),$AT$580,HLOOKUP(INDIRECT(ADDRESS(2,COLUMN())),OFFSET($BN$2,0,0,ROW()-1,60),ROW()-1,FALSE))</f>
        <v/>
      </c>
      <c r="AU126" t="str">
        <f ca="1">IF(AND(ISNUMBER($AU$580),$B$419=1),$AU$580,HLOOKUP(INDIRECT(ADDRESS(2,COLUMN())),OFFSET($BN$2,0,0,ROW()-1,60),ROW()-1,FALSE))</f>
        <v/>
      </c>
      <c r="AV126" t="str">
        <f ca="1">IF(AND(ISNUMBER($AV$580),$B$419=1),$AV$580,HLOOKUP(INDIRECT(ADDRESS(2,COLUMN())),OFFSET($BN$2,0,0,ROW()-1,60),ROW()-1,FALSE))</f>
        <v/>
      </c>
      <c r="AW126" t="str">
        <f ca="1">IF(AND(ISNUMBER($AW$580),$B$419=1),$AW$580,HLOOKUP(INDIRECT(ADDRESS(2,COLUMN())),OFFSET($BN$2,0,0,ROW()-1,60),ROW()-1,FALSE))</f>
        <v/>
      </c>
      <c r="AX126" t="str">
        <f ca="1">IF(AND(ISNUMBER($AX$580),$B$419=1),$AX$580,HLOOKUP(INDIRECT(ADDRESS(2,COLUMN())),OFFSET($BN$2,0,0,ROW()-1,60),ROW()-1,FALSE))</f>
        <v/>
      </c>
      <c r="AY126" t="str">
        <f ca="1">IF(AND(ISNUMBER($AY$580),$B$419=1),$AY$580,HLOOKUP(INDIRECT(ADDRESS(2,COLUMN())),OFFSET($BN$2,0,0,ROW()-1,60),ROW()-1,FALSE))</f>
        <v/>
      </c>
      <c r="AZ126" t="str">
        <f ca="1">IF(AND(ISNUMBER($AZ$580),$B$419=1),$AZ$580,HLOOKUP(INDIRECT(ADDRESS(2,COLUMN())),OFFSET($BN$2,0,0,ROW()-1,60),ROW()-1,FALSE))</f>
        <v/>
      </c>
      <c r="BA126" t="str">
        <f ca="1">IF(AND(ISNUMBER($BA$580),$B$419=1),$BA$580,HLOOKUP(INDIRECT(ADDRESS(2,COLUMN())),OFFSET($BN$2,0,0,ROW()-1,60),ROW()-1,FALSE))</f>
        <v/>
      </c>
      <c r="BB126" t="str">
        <f ca="1">IF(AND(ISNUMBER($BB$580),$B$419=1),$BB$580,HLOOKUP(INDIRECT(ADDRESS(2,COLUMN())),OFFSET($BN$2,0,0,ROW()-1,60),ROW()-1,FALSE))</f>
        <v/>
      </c>
      <c r="BC126" t="str">
        <f ca="1">IF(AND(ISNUMBER($BC$580),$B$419=1),$BC$580,HLOOKUP(INDIRECT(ADDRESS(2,COLUMN())),OFFSET($BN$2,0,0,ROW()-1,60),ROW()-1,FALSE))</f>
        <v/>
      </c>
      <c r="BD126" t="str">
        <f ca="1">IF(AND(ISNUMBER($BD$580),$B$419=1),$BD$580,HLOOKUP(INDIRECT(ADDRESS(2,COLUMN())),OFFSET($BN$2,0,0,ROW()-1,60),ROW()-1,FALSE))</f>
        <v/>
      </c>
      <c r="BE126" t="str">
        <f ca="1">IF(AND(ISNUMBER($BE$580),$B$419=1),$BE$580,HLOOKUP(INDIRECT(ADDRESS(2,COLUMN())),OFFSET($BN$2,0,0,ROW()-1,60),ROW()-1,FALSE))</f>
        <v/>
      </c>
      <c r="BF126" t="str">
        <f ca="1">IF(AND(ISNUMBER($BF$580),$B$419=1),$BF$580,HLOOKUP(INDIRECT(ADDRESS(2,COLUMN())),OFFSET($BN$2,0,0,ROW()-1,60),ROW()-1,FALSE))</f>
        <v/>
      </c>
      <c r="BG126" t="str">
        <f ca="1">IF(AND(ISNUMBER($BG$580),$B$419=1),$BG$580,HLOOKUP(INDIRECT(ADDRESS(2,COLUMN())),OFFSET($BN$2,0,0,ROW()-1,60),ROW()-1,FALSE))</f>
        <v/>
      </c>
      <c r="BH126" t="str">
        <f ca="1">IF(AND(ISNUMBER($BH$580),$B$419=1),$BH$580,HLOOKUP(INDIRECT(ADDRESS(2,COLUMN())),OFFSET($BN$2,0,0,ROW()-1,60),ROW()-1,FALSE))</f>
        <v/>
      </c>
      <c r="BI126" t="str">
        <f ca="1">IF(AND(ISNUMBER($BI$580),$B$419=1),$BI$580,HLOOKUP(INDIRECT(ADDRESS(2,COLUMN())),OFFSET($BN$2,0,0,ROW()-1,60),ROW()-1,FALSE))</f>
        <v/>
      </c>
      <c r="BJ126" t="str">
        <f ca="1">IF(AND(ISNUMBER($BJ$580),$B$419=1),$BJ$580,HLOOKUP(INDIRECT(ADDRESS(2,COLUMN())),OFFSET($BN$2,0,0,ROW()-1,60),ROW()-1,FALSE))</f>
        <v/>
      </c>
      <c r="BK126" t="str">
        <f ca="1">IF(AND(ISNUMBER($BK$580),$B$419=1),$BK$580,HLOOKUP(INDIRECT(ADDRESS(2,COLUMN())),OFFSET($BN$2,0,0,ROW()-1,60),ROW()-1,FALSE))</f>
        <v/>
      </c>
      <c r="BL126" t="str">
        <f ca="1">IF(AND(ISNUMBER($BL$580),$B$419=1),$BL$580,HLOOKUP(INDIRECT(ADDRESS(2,COLUMN())),OFFSET($BN$2,0,0,ROW()-1,60),ROW()-1,FALSE))</f>
        <v/>
      </c>
      <c r="BM126" t="str">
        <f ca="1">IF(AND(ISNUMBER($BM$580),$B$419=1),$BM$580,HLOOKUP(INDIRECT(ADDRESS(2,COLUMN())),OFFSET($BN$2,0,0,ROW()-1,60),ROW()-1,FALSE))</f>
        <v/>
      </c>
      <c r="BN126" t="str">
        <f>""</f>
        <v/>
      </c>
      <c r="BO126">
        <f>50.443</f>
        <v>50.442999999999998</v>
      </c>
      <c r="BP126">
        <f>57.149</f>
        <v>57.149000000000001</v>
      </c>
      <c r="BQ126">
        <f>60.717</f>
        <v>60.716999999999999</v>
      </c>
      <c r="BR126">
        <f>0.453</f>
        <v>0.45300000000000001</v>
      </c>
      <c r="BS126">
        <f>52.888</f>
        <v>52.887999999999998</v>
      </c>
      <c r="BT126">
        <f>64.872</f>
        <v>64.872</v>
      </c>
      <c r="BU126">
        <f>73.868</f>
        <v>73.867999999999995</v>
      </c>
      <c r="BV126">
        <f>76.419</f>
        <v>76.418999999999997</v>
      </c>
      <c r="BW126">
        <f>59.5</f>
        <v>59.5</v>
      </c>
      <c r="BX126">
        <f>53.731</f>
        <v>53.731000000000002</v>
      </c>
      <c r="BY126">
        <f>54.147</f>
        <v>54.146999999999998</v>
      </c>
      <c r="BZ126">
        <f>60.543</f>
        <v>60.542999999999999</v>
      </c>
      <c r="CA126">
        <f>61.211</f>
        <v>61.210999999999999</v>
      </c>
      <c r="CB126">
        <f>65.009</f>
        <v>65.009</v>
      </c>
      <c r="CC126">
        <f>63.752</f>
        <v>63.752000000000002</v>
      </c>
      <c r="CD126">
        <f>65.748</f>
        <v>65.748000000000005</v>
      </c>
      <c r="CE126">
        <f>71.83</f>
        <v>71.83</v>
      </c>
      <c r="CF126">
        <f>63.431</f>
        <v>63.430999999999997</v>
      </c>
      <c r="CG126">
        <f>88.185</f>
        <v>88.185000000000002</v>
      </c>
      <c r="CH126">
        <f>43.205</f>
        <v>43.204999999999998</v>
      </c>
      <c r="CI126">
        <f>59.989</f>
        <v>59.988999999999997</v>
      </c>
      <c r="CJ126">
        <f>57.238</f>
        <v>57.238</v>
      </c>
      <c r="CK126">
        <f>70.16</f>
        <v>70.16</v>
      </c>
      <c r="CL126">
        <f>48.398</f>
        <v>48.398000000000003</v>
      </c>
      <c r="CM126">
        <f>48.504</f>
        <v>48.503999999999998</v>
      </c>
      <c r="CN126">
        <f>46.147</f>
        <v>46.146999999999998</v>
      </c>
      <c r="CO126">
        <f>48.988</f>
        <v>48.988</v>
      </c>
      <c r="CP126">
        <f>51.466</f>
        <v>51.466000000000001</v>
      </c>
      <c r="CQ126">
        <f>41.013</f>
        <v>41.012999999999998</v>
      </c>
      <c r="CR126" t="str">
        <f>""</f>
        <v/>
      </c>
      <c r="CS126" t="str">
        <f>""</f>
        <v/>
      </c>
      <c r="CT126" t="str">
        <f>""</f>
        <v/>
      </c>
      <c r="CU126" t="str">
        <f>""</f>
        <v/>
      </c>
      <c r="CV126">
        <f>79.126</f>
        <v>79.126000000000005</v>
      </c>
      <c r="CW126" t="str">
        <f>""</f>
        <v/>
      </c>
      <c r="CX126" t="str">
        <f>""</f>
        <v/>
      </c>
      <c r="CY126" t="str">
        <f>""</f>
        <v/>
      </c>
      <c r="CZ126" t="str">
        <f>""</f>
        <v/>
      </c>
      <c r="DA126" t="str">
        <f>""</f>
        <v/>
      </c>
      <c r="DB126" t="str">
        <f>""</f>
        <v/>
      </c>
      <c r="DC126" t="str">
        <f>""</f>
        <v/>
      </c>
      <c r="DD126" t="str">
        <f>""</f>
        <v/>
      </c>
      <c r="DE126" t="str">
        <f>""</f>
        <v/>
      </c>
      <c r="DF126" t="str">
        <f>""</f>
        <v/>
      </c>
      <c r="DG126" t="str">
        <f>""</f>
        <v/>
      </c>
      <c r="DH126" t="str">
        <f>""</f>
        <v/>
      </c>
      <c r="DI126" t="str">
        <f>""</f>
        <v/>
      </c>
      <c r="DJ126" t="str">
        <f>""</f>
        <v/>
      </c>
      <c r="DK126" t="str">
        <f>""</f>
        <v/>
      </c>
      <c r="DL126" t="str">
        <f>""</f>
        <v/>
      </c>
      <c r="DM126" t="str">
        <f>""</f>
        <v/>
      </c>
      <c r="DN126" t="str">
        <f>""</f>
        <v/>
      </c>
      <c r="DO126" t="str">
        <f>""</f>
        <v/>
      </c>
      <c r="DP126" t="str">
        <f>""</f>
        <v/>
      </c>
      <c r="DQ126" t="str">
        <f>""</f>
        <v/>
      </c>
      <c r="DR126" t="str">
        <f>""</f>
        <v/>
      </c>
      <c r="DS126" t="str">
        <f>""</f>
        <v/>
      </c>
      <c r="DT126" t="str">
        <f>""</f>
        <v/>
      </c>
      <c r="DU126" t="str">
        <f>""</f>
        <v/>
      </c>
    </row>
    <row r="127" spans="1:125">
      <c r="A127" t="str">
        <f>"    Simon Property Group Inc"</f>
        <v xml:space="preserve">    Simon Property Group Inc</v>
      </c>
      <c r="B127" t="str">
        <f>"SPG US Equity"</f>
        <v>SPG US Equity</v>
      </c>
      <c r="C127" t="str">
        <f t="shared" si="21"/>
        <v>CF039</v>
      </c>
      <c r="D127" t="str">
        <f t="shared" si="22"/>
        <v>CF_FFO</v>
      </c>
      <c r="E127" t="str">
        <f t="shared" si="23"/>
        <v>动态</v>
      </c>
      <c r="F127" t="str">
        <f ca="1">IF(AND(ISNUMBER($F$581),$B$419=1),$F$581,HLOOKUP(INDIRECT(ADDRESS(2,COLUMN())),OFFSET($BN$2,0,0,ROW()-1,60),ROW()-1,FALSE))</f>
        <v/>
      </c>
      <c r="G127">
        <f ca="1">IF(AND(ISNUMBER($G$581),$B$419=1),$G$581,HLOOKUP(INDIRECT(ADDRESS(2,COLUMN())),OFFSET($BN$2,0,0,ROW()-1,60),ROW()-1,FALSE))</f>
        <v>1115.2909999999999</v>
      </c>
      <c r="H127">
        <f ca="1">IF(AND(ISNUMBER($H$581),$B$419=1),$H$581,HLOOKUP(INDIRECT(ADDRESS(2,COLUMN())),OFFSET($BN$2,0,0,ROW()-1,60),ROW()-1,FALSE))</f>
        <v>1035.4590000000001</v>
      </c>
      <c r="I127">
        <f ca="1">IF(AND(ISNUMBER($I$581),$B$419=1),$I$581,HLOOKUP(INDIRECT(ADDRESS(2,COLUMN())),OFFSET($BN$2,0,0,ROW()-1,60),ROW()-1,FALSE))</f>
        <v>884.74300000000005</v>
      </c>
      <c r="J127">
        <f ca="1">IF(AND(ISNUMBER($J$581),$B$419=1),$J$581,HLOOKUP(INDIRECT(ADDRESS(2,COLUMN())),OFFSET($BN$2,0,0,ROW()-1,60),ROW()-1,FALSE))</f>
        <v>985.01199999999994</v>
      </c>
      <c r="K127">
        <f ca="1">IF(AND(ISNUMBER($K$581),$B$419=1),$K$581,HLOOKUP(INDIRECT(ADDRESS(2,COLUMN())),OFFSET($BN$2,0,0,ROW()-1,60),ROW()-1,FALSE))</f>
        <v>912.22699999999998</v>
      </c>
      <c r="L127">
        <f ca="1">IF(AND(ISNUMBER($L$581),$B$419=1),$L$581,HLOOKUP(INDIRECT(ADDRESS(2,COLUMN())),OFFSET($BN$2,0,0,ROW()-1,60),ROW()-1,FALSE))</f>
        <v>976.02</v>
      </c>
      <c r="M127">
        <f ca="1">IF(AND(ISNUMBER($M$581),$B$419=1),$M$581,HLOOKUP(INDIRECT(ADDRESS(2,COLUMN())),OFFSET($BN$2,0,0,ROW()-1,60),ROW()-1,FALSE))</f>
        <v>952.87099999999998</v>
      </c>
      <c r="N127">
        <f ca="1">IF(AND(ISNUMBER($N$581),$B$419=1),$N$581,HLOOKUP(INDIRECT(ADDRESS(2,COLUMN())),OFFSET($BN$2,0,0,ROW()-1,60),ROW()-1,FALSE))</f>
        <v>951.83299999999997</v>
      </c>
      <c r="O127">
        <f ca="1">IF(AND(ISNUMBER($O$581),$B$419=1),$O$581,HLOOKUP(INDIRECT(ADDRESS(2,COLUMN())),OFFSET($BN$2,0,0,ROW()-1,60),ROW()-1,FALSE))</f>
        <v>866.46400000000006</v>
      </c>
      <c r="P127">
        <f ca="1">IF(AND(ISNUMBER($P$581),$B$419=1),$P$581,HLOOKUP(INDIRECT(ADDRESS(2,COLUMN())),OFFSET($BN$2,0,0,ROW()-1,60),ROW()-1,FALSE))</f>
        <v>918.68600000000004</v>
      </c>
      <c r="Q127">
        <f ca="1">IF(AND(ISNUMBER($Q$581),$B$419=1),$Q$581,HLOOKUP(INDIRECT(ADDRESS(2,COLUMN())),OFFSET($BN$2,0,0,ROW()-1,60),ROW()-1,FALSE))</f>
        <v>955.35599999999999</v>
      </c>
      <c r="R127">
        <f ca="1">IF(AND(ISNUMBER($R$581),$B$419=1),$R$581,HLOOKUP(INDIRECT(ADDRESS(2,COLUMN())),OFFSET($BN$2,0,0,ROW()-1,60),ROW()-1,FALSE))</f>
        <v>830.73099999999999</v>
      </c>
      <c r="S127">
        <f ca="1">IF(AND(ISNUMBER($S$581),$B$419=1),$S$581,HLOOKUP(INDIRECT(ADDRESS(2,COLUMN())),OFFSET($BN$2,0,0,ROW()-1,60),ROW()-1,FALSE))</f>
        <v>896.74800000000005</v>
      </c>
      <c r="T127">
        <f ca="1">IF(AND(ISNUMBER($T$581),$B$419=1),$T$581,HLOOKUP(INDIRECT(ADDRESS(2,COLUMN())),OFFSET($BN$2,0,0,ROW()-1,60),ROW()-1,FALSE))</f>
        <v>689.38099999999997</v>
      </c>
      <c r="U127">
        <f ca="1">IF(AND(ISNUMBER($U$581),$B$419=1),$U$581,HLOOKUP(INDIRECT(ADDRESS(2,COLUMN())),OFFSET($BN$2,0,0,ROW()-1,60),ROW()-1,FALSE))</f>
        <v>783.83299999999997</v>
      </c>
      <c r="V127">
        <f ca="1">IF(AND(ISNUMBER($V$581),$B$419=1),$V$581,HLOOKUP(INDIRECT(ADDRESS(2,COLUMN())),OFFSET($BN$2,0,0,ROW()-1,60),ROW()-1,FALSE))</f>
        <v>865.33299999999997</v>
      </c>
      <c r="W127">
        <f ca="1">IF(AND(ISNUMBER($W$581),$B$419=1),$W$581,HLOOKUP(INDIRECT(ADDRESS(2,COLUMN())),OFFSET($BN$2,0,0,ROW()-1,60),ROW()-1,FALSE))</f>
        <v>894.76300000000003</v>
      </c>
      <c r="X127">
        <f ca="1">IF(AND(ISNUMBER($X$581),$B$419=1),$X$581,HLOOKUP(INDIRECT(ADDRESS(2,COLUMN())),OFFSET($BN$2,0,0,ROW()-1,60),ROW()-1,FALSE))</f>
        <v>802.75</v>
      </c>
      <c r="Y127">
        <f ca="1">IF(AND(ISNUMBER($Y$581),$B$419=1),$Y$581,HLOOKUP(INDIRECT(ADDRESS(2,COLUMN())),OFFSET($BN$2,0,0,ROW()-1,60),ROW()-1,FALSE))</f>
        <v>766.29300000000001</v>
      </c>
      <c r="Z127">
        <f ca="1">IF(AND(ISNUMBER($Z$581),$B$419=1),$Z$581,HLOOKUP(INDIRECT(ADDRESS(2,COLUMN())),OFFSET($BN$2,0,0,ROW()-1,60),ROW()-1,FALSE))</f>
        <v>741.88800000000003</v>
      </c>
      <c r="AA127">
        <f ca="1">IF(AND(ISNUMBER($AA$581),$B$419=1),$AA$581,HLOOKUP(INDIRECT(ADDRESS(2,COLUMN())),OFFSET($BN$2,0,0,ROW()-1,60),ROW()-1,FALSE))</f>
        <v>827.44200000000001</v>
      </c>
      <c r="AB127">
        <f ca="1">IF(AND(ISNUMBER($AB$581),$B$419=1),$AB$581,HLOOKUP(INDIRECT(ADDRESS(2,COLUMN())),OFFSET($BN$2,0,0,ROW()-1,60),ROW()-1,FALSE))</f>
        <v>720.05200000000002</v>
      </c>
      <c r="AC127">
        <f ca="1">IF(AND(ISNUMBER($AC$581),$B$419=1),$AC$581,HLOOKUP(INDIRECT(ADDRESS(2,COLUMN())),OFFSET($BN$2,0,0,ROW()-1,60),ROW()-1,FALSE))</f>
        <v>688.77</v>
      </c>
      <c r="AD127">
        <f ca="1">IF(AND(ISNUMBER($AD$581),$B$419=1),$AD$581,HLOOKUP(INDIRECT(ADDRESS(2,COLUMN())),OFFSET($BN$2,0,0,ROW()-1,60),ROW()-1,FALSE))</f>
        <v>648.65200000000004</v>
      </c>
      <c r="AE127">
        <f ca="1">IF(AND(ISNUMBER($AE$581),$B$419=1),$AE$581,HLOOKUP(INDIRECT(ADDRESS(2,COLUMN())),OFFSET($BN$2,0,0,ROW()-1,60),ROW()-1,FALSE))</f>
        <v>678.91899999999998</v>
      </c>
      <c r="AF127">
        <f ca="1">IF(AND(ISNUMBER($AF$581),$B$419=1),$AF$581,HLOOKUP(INDIRECT(ADDRESS(2,COLUMN())),OFFSET($BN$2,0,0,ROW()-1,60),ROW()-1,FALSE))</f>
        <v>606.23500000000001</v>
      </c>
      <c r="AG127">
        <f ca="1">IF(AND(ISNUMBER($AG$581),$B$419=1),$AG$581,HLOOKUP(INDIRECT(ADDRESS(2,COLUMN())),OFFSET($BN$2,0,0,ROW()-1,60),ROW()-1,FALSE))</f>
        <v>582.96699999999998</v>
      </c>
      <c r="AH127">
        <f ca="1">IF(AND(ISNUMBER($AH$581),$B$419=1),$AH$581,HLOOKUP(INDIRECT(ADDRESS(2,COLUMN())),OFFSET($BN$2,0,0,ROW()-1,60),ROW()-1,FALSE))</f>
        <v>570.64300000000003</v>
      </c>
      <c r="AI127">
        <f ca="1">IF(AND(ISNUMBER($AI$581),$B$419=1),$AI$581,HLOOKUP(INDIRECT(ADDRESS(2,COLUMN())),OFFSET($BN$2,0,0,ROW()-1,60),ROW()-1,FALSE))</f>
        <v>630.58000000000004</v>
      </c>
      <c r="AJ127">
        <f ca="1">IF(AND(ISNUMBER($AJ$581),$B$419=1),$AJ$581,HLOOKUP(INDIRECT(ADDRESS(2,COLUMN())),OFFSET($BN$2,0,0,ROW()-1,60),ROW()-1,FALSE))</f>
        <v>318.52199999999999</v>
      </c>
      <c r="AK127">
        <f ca="1">IF(AND(ISNUMBER($AK$581),$B$419=1),$AK$581,HLOOKUP(INDIRECT(ADDRESS(2,COLUMN())),OFFSET($BN$2,0,0,ROW()-1,60),ROW()-1,FALSE))</f>
        <v>487.66199999999998</v>
      </c>
      <c r="AL127">
        <f ca="1">IF(AND(ISNUMBER($AL$581),$B$419=1),$AL$581,HLOOKUP(INDIRECT(ADDRESS(2,COLUMN())),OFFSET($BN$2,0,0,ROW()-1,60),ROW()-1,FALSE))</f>
        <v>325.55799999999999</v>
      </c>
      <c r="AM127">
        <f ca="1">IF(AND(ISNUMBER($AM$581),$B$419=1),$AM$581,HLOOKUP(INDIRECT(ADDRESS(2,COLUMN())),OFFSET($BN$2,0,0,ROW()-1,60),ROW()-1,FALSE))</f>
        <v>485.226</v>
      </c>
      <c r="AN127">
        <f ca="1">IF(AND(ISNUMBER($AN$581),$B$419=1),$AN$581,HLOOKUP(INDIRECT(ADDRESS(2,COLUMN())),OFFSET($BN$2,0,0,ROW()-1,60),ROW()-1,FALSE))</f>
        <v>473.07299999999998</v>
      </c>
      <c r="AO127">
        <f ca="1">IF(AND(ISNUMBER($AO$581),$B$419=1),$AO$581,HLOOKUP(INDIRECT(ADDRESS(2,COLUMN())),OFFSET($BN$2,0,0,ROW()-1,60),ROW()-1,FALSE))</f>
        <v>313.149</v>
      </c>
      <c r="AP127">
        <f ca="1">IF(AND(ISNUMBER($AP$581),$B$419=1),$AP$581,HLOOKUP(INDIRECT(ADDRESS(2,COLUMN())),OFFSET($BN$2,0,0,ROW()-1,60),ROW()-1,FALSE))</f>
        <v>476.83199999999999</v>
      </c>
      <c r="AQ127">
        <f ca="1">IF(AND(ISNUMBER($AQ$581),$B$419=1),$AQ$581,HLOOKUP(INDIRECT(ADDRESS(2,COLUMN())),OFFSET($BN$2,0,0,ROW()-1,60),ROW()-1,FALSE))</f>
        <v>540.52700000000004</v>
      </c>
      <c r="AR127">
        <f ca="1">IF(AND(ISNUMBER($AR$581),$B$419=1),$AR$581,HLOOKUP(INDIRECT(ADDRESS(2,COLUMN())),OFFSET($BN$2,0,0,ROW()-1,60),ROW()-1,FALSE))</f>
        <v>463.89699999999999</v>
      </c>
      <c r="AS127">
        <f ca="1">IF(AND(ISNUMBER($AS$581),$B$419=1),$AS$581,HLOOKUP(INDIRECT(ADDRESS(2,COLUMN())),OFFSET($BN$2,0,0,ROW()-1,60),ROW()-1,FALSE))</f>
        <v>427.85500000000002</v>
      </c>
      <c r="AT127">
        <f ca="1">IF(AND(ISNUMBER($AT$581),$B$419=1),$AT$581,HLOOKUP(INDIRECT(ADDRESS(2,COLUMN())),OFFSET($BN$2,0,0,ROW()-1,60),ROW()-1,FALSE))</f>
        <v>420.05200000000002</v>
      </c>
      <c r="AU127">
        <f ca="1">IF(AND(ISNUMBER($AU$581),$B$419=1),$AU$581,HLOOKUP(INDIRECT(ADDRESS(2,COLUMN())),OFFSET($BN$2,0,0,ROW()-1,60),ROW()-1,FALSE))</f>
        <v>507.74200000000002</v>
      </c>
      <c r="AV127">
        <f ca="1">IF(AND(ISNUMBER($AV$581),$B$419=1),$AV$581,HLOOKUP(INDIRECT(ADDRESS(2,COLUMN())),OFFSET($BN$2,0,0,ROW()-1,60),ROW()-1,FALSE))</f>
        <v>418.71</v>
      </c>
      <c r="AW127">
        <f ca="1">IF(AND(ISNUMBER($AW$581),$B$419=1),$AW$581,HLOOKUP(INDIRECT(ADDRESS(2,COLUMN())),OFFSET($BN$2,0,0,ROW()-1,60),ROW()-1,FALSE))</f>
        <v>373.03399999999999</v>
      </c>
      <c r="AX127">
        <f ca="1">IF(AND(ISNUMBER($AX$581),$B$419=1),$AX$581,HLOOKUP(INDIRECT(ADDRESS(2,COLUMN())),OFFSET($BN$2,0,0,ROW()-1,60),ROW()-1,FALSE))</f>
        <v>392.4</v>
      </c>
      <c r="AY127">
        <f ca="1">IF(AND(ISNUMBER($AY$581),$B$419=1),$AY$581,HLOOKUP(INDIRECT(ADDRESS(2,COLUMN())),OFFSET($BN$2,0,0,ROW()-1,60),ROW()-1,FALSE))</f>
        <v>450.42</v>
      </c>
      <c r="AZ127">
        <f ca="1">IF(AND(ISNUMBER($AZ$581),$B$419=1),$AZ$581,HLOOKUP(INDIRECT(ADDRESS(2,COLUMN())),OFFSET($BN$2,0,0,ROW()-1,60),ROW()-1,FALSE))</f>
        <v>369.50599999999997</v>
      </c>
      <c r="BA127">
        <f ca="1">IF(AND(ISNUMBER($BA$581),$B$419=1),$BA$581,HLOOKUP(INDIRECT(ADDRESS(2,COLUMN())),OFFSET($BN$2,0,0,ROW()-1,60),ROW()-1,FALSE))</f>
        <v>358.44</v>
      </c>
      <c r="BB127">
        <f ca="1">IF(AND(ISNUMBER($BB$581),$B$419=1),$BB$581,HLOOKUP(INDIRECT(ADDRESS(2,COLUMN())),OFFSET($BN$2,0,0,ROW()-1,60),ROW()-1,FALSE))</f>
        <v>358.85700000000003</v>
      </c>
      <c r="BC127">
        <f ca="1">IF(AND(ISNUMBER($BC$581),$B$419=1),$BC$581,HLOOKUP(INDIRECT(ADDRESS(2,COLUMN())),OFFSET($BN$2,0,0,ROW()-1,60),ROW()-1,FALSE))</f>
        <v>418.95699999999999</v>
      </c>
      <c r="BD127">
        <f ca="1">IF(AND(ISNUMBER($BD$581),$B$419=1),$BD$581,HLOOKUP(INDIRECT(ADDRESS(2,COLUMN())),OFFSET($BN$2,0,0,ROW()-1,60),ROW()-1,FALSE))</f>
        <v>323.46100000000001</v>
      </c>
      <c r="BE127">
        <f ca="1">IF(AND(ISNUMBER($BE$581),$B$419=1),$BE$581,HLOOKUP(INDIRECT(ADDRESS(2,COLUMN())),OFFSET($BN$2,0,0,ROW()-1,60),ROW()-1,FALSE))</f>
        <v>335.16899999999998</v>
      </c>
      <c r="BF127">
        <f ca="1">IF(AND(ISNUMBER($BF$581),$B$419=1),$BF$581,HLOOKUP(INDIRECT(ADDRESS(2,COLUMN())),OFFSET($BN$2,0,0,ROW()-1,60),ROW()-1,FALSE))</f>
        <v>333.78100000000001</v>
      </c>
      <c r="BG127">
        <f ca="1">IF(AND(ISNUMBER($BG$581),$B$419=1),$BG$581,HLOOKUP(INDIRECT(ADDRESS(2,COLUMN())),OFFSET($BN$2,0,0,ROW()-1,60),ROW()-1,FALSE))</f>
        <v>382.71899999999999</v>
      </c>
      <c r="BH127">
        <f ca="1">IF(AND(ISNUMBER($BH$581),$B$419=1),$BH$581,HLOOKUP(INDIRECT(ADDRESS(2,COLUMN())),OFFSET($BN$2,0,0,ROW()-1,60),ROW()-1,FALSE))</f>
        <v>276.399</v>
      </c>
      <c r="BI127">
        <f ca="1">IF(AND(ISNUMBER($BI$581),$B$419=1),$BI$581,HLOOKUP(INDIRECT(ADDRESS(2,COLUMN())),OFFSET($BN$2,0,0,ROW()-1,60),ROW()-1,FALSE))</f>
        <v>208.55699999999999</v>
      </c>
      <c r="BJ127">
        <f ca="1">IF(AND(ISNUMBER($BJ$581),$B$419=1),$BJ$581,HLOOKUP(INDIRECT(ADDRESS(2,COLUMN())),OFFSET($BN$2,0,0,ROW()-1,60),ROW()-1,FALSE))</f>
        <v>194.60300000000001</v>
      </c>
      <c r="BK127">
        <f ca="1">IF(AND(ISNUMBER($BK$581),$B$419=1),$BK$581,HLOOKUP(INDIRECT(ADDRESS(2,COLUMN())),OFFSET($BN$2,0,0,ROW()-1,60),ROW()-1,FALSE))</f>
        <v>506.73500000000001</v>
      </c>
      <c r="BL127">
        <f ca="1">IF(AND(ISNUMBER($BL$581),$B$419=1),$BL$581,HLOOKUP(INDIRECT(ADDRESS(2,COLUMN())),OFFSET($BN$2,0,0,ROW()-1,60),ROW()-1,FALSE))</f>
        <v>179.345</v>
      </c>
      <c r="BM127">
        <f ca="1">IF(AND(ISNUMBER($BM$581),$B$419=1),$BM$581,HLOOKUP(INDIRECT(ADDRESS(2,COLUMN())),OFFSET($BN$2,0,0,ROW()-1,60),ROW()-1,FALSE))</f>
        <v>186.422</v>
      </c>
      <c r="BN127" t="str">
        <f>""</f>
        <v/>
      </c>
      <c r="BO127">
        <f>1115.291</f>
        <v>1115.2909999999999</v>
      </c>
      <c r="BP127">
        <f>1035.459</f>
        <v>1035.4590000000001</v>
      </c>
      <c r="BQ127">
        <f>884.743</f>
        <v>884.74300000000005</v>
      </c>
      <c r="BR127">
        <f>985.012</f>
        <v>985.01199999999994</v>
      </c>
      <c r="BS127">
        <f>912.227</f>
        <v>912.22699999999998</v>
      </c>
      <c r="BT127">
        <f>976.02</f>
        <v>976.02</v>
      </c>
      <c r="BU127">
        <f>952.871</f>
        <v>952.87099999999998</v>
      </c>
      <c r="BV127">
        <f>951.833</f>
        <v>951.83299999999997</v>
      </c>
      <c r="BW127">
        <f>866.464</f>
        <v>866.46400000000006</v>
      </c>
      <c r="BX127">
        <f>918.686</f>
        <v>918.68600000000004</v>
      </c>
      <c r="BY127">
        <f>955.356</f>
        <v>955.35599999999999</v>
      </c>
      <c r="BZ127">
        <f>830.731</f>
        <v>830.73099999999999</v>
      </c>
      <c r="CA127">
        <f>896.748</f>
        <v>896.74800000000005</v>
      </c>
      <c r="CB127">
        <f>689.381</f>
        <v>689.38099999999997</v>
      </c>
      <c r="CC127">
        <f>783.833</f>
        <v>783.83299999999997</v>
      </c>
      <c r="CD127">
        <f>865.333</f>
        <v>865.33299999999997</v>
      </c>
      <c r="CE127">
        <f>894.763</f>
        <v>894.76300000000003</v>
      </c>
      <c r="CF127">
        <f>802.75</f>
        <v>802.75</v>
      </c>
      <c r="CG127">
        <f>766.293</f>
        <v>766.29300000000001</v>
      </c>
      <c r="CH127">
        <f>741.888</f>
        <v>741.88800000000003</v>
      </c>
      <c r="CI127">
        <f>827.442</f>
        <v>827.44200000000001</v>
      </c>
      <c r="CJ127">
        <f>720.052</f>
        <v>720.05200000000002</v>
      </c>
      <c r="CK127">
        <f>688.77</f>
        <v>688.77</v>
      </c>
      <c r="CL127">
        <f>648.652</f>
        <v>648.65200000000004</v>
      </c>
      <c r="CM127">
        <f>678.919</f>
        <v>678.91899999999998</v>
      </c>
      <c r="CN127">
        <f>606.235</f>
        <v>606.23500000000001</v>
      </c>
      <c r="CO127">
        <f>582.967</f>
        <v>582.96699999999998</v>
      </c>
      <c r="CP127">
        <f>570.643</f>
        <v>570.64300000000003</v>
      </c>
      <c r="CQ127">
        <f>630.58</f>
        <v>630.58000000000004</v>
      </c>
      <c r="CR127">
        <f>318.522</f>
        <v>318.52199999999999</v>
      </c>
      <c r="CS127">
        <f>487.662</f>
        <v>487.66199999999998</v>
      </c>
      <c r="CT127">
        <f>325.558</f>
        <v>325.55799999999999</v>
      </c>
      <c r="CU127">
        <f>485.226</f>
        <v>485.226</v>
      </c>
      <c r="CV127">
        <f>473.073</f>
        <v>473.07299999999998</v>
      </c>
      <c r="CW127">
        <f>313.149</f>
        <v>313.149</v>
      </c>
      <c r="CX127">
        <f>476.832</f>
        <v>476.83199999999999</v>
      </c>
      <c r="CY127">
        <f>540.527</f>
        <v>540.52700000000004</v>
      </c>
      <c r="CZ127">
        <f>463.897</f>
        <v>463.89699999999999</v>
      </c>
      <c r="DA127">
        <f>427.855</f>
        <v>427.85500000000002</v>
      </c>
      <c r="DB127">
        <f>420.052</f>
        <v>420.05200000000002</v>
      </c>
      <c r="DC127">
        <f>507.742</f>
        <v>507.74200000000002</v>
      </c>
      <c r="DD127">
        <f>418.71</f>
        <v>418.71</v>
      </c>
      <c r="DE127">
        <f>373.034</f>
        <v>373.03399999999999</v>
      </c>
      <c r="DF127">
        <f>392.4</f>
        <v>392.4</v>
      </c>
      <c r="DG127">
        <f>450.42</f>
        <v>450.42</v>
      </c>
      <c r="DH127">
        <f>369.506</f>
        <v>369.50599999999997</v>
      </c>
      <c r="DI127">
        <f>358.44</f>
        <v>358.44</v>
      </c>
      <c r="DJ127">
        <f>358.857</f>
        <v>358.85700000000003</v>
      </c>
      <c r="DK127">
        <f>418.957</f>
        <v>418.95699999999999</v>
      </c>
      <c r="DL127">
        <f>323.461</f>
        <v>323.46100000000001</v>
      </c>
      <c r="DM127">
        <f>335.169</f>
        <v>335.16899999999998</v>
      </c>
      <c r="DN127">
        <f>333.781</f>
        <v>333.78100000000001</v>
      </c>
      <c r="DO127">
        <f>382.719</f>
        <v>382.71899999999999</v>
      </c>
      <c r="DP127">
        <f>276.399</f>
        <v>276.399</v>
      </c>
      <c r="DQ127">
        <f>208.557</f>
        <v>208.55699999999999</v>
      </c>
      <c r="DR127">
        <f>194.603</f>
        <v>194.60300000000001</v>
      </c>
      <c r="DS127">
        <f>506.735</f>
        <v>506.73500000000001</v>
      </c>
      <c r="DT127">
        <f>179.345</f>
        <v>179.345</v>
      </c>
      <c r="DU127">
        <f>186.422</f>
        <v>186.422</v>
      </c>
    </row>
    <row r="128" spans="1:125">
      <c r="A128" t="str">
        <f>"    Tanger Factory Outlet Centers"</f>
        <v xml:space="preserve">    Tanger Factory Outlet Centers</v>
      </c>
      <c r="B128" t="str">
        <f>"SKT US Equity"</f>
        <v>SKT US Equity</v>
      </c>
      <c r="C128" t="str">
        <f t="shared" si="21"/>
        <v>CF039</v>
      </c>
      <c r="D128" t="str">
        <f t="shared" si="22"/>
        <v>CF_FFO</v>
      </c>
      <c r="E128" t="str">
        <f t="shared" si="23"/>
        <v>动态</v>
      </c>
      <c r="F128" t="str">
        <f ca="1">IF(AND(ISNUMBER($F$582),$B$419=1),$F$582,HLOOKUP(INDIRECT(ADDRESS(2,COLUMN())),OFFSET($BN$2,0,0,ROW()-1,60),ROW()-1,FALSE))</f>
        <v/>
      </c>
      <c r="G128">
        <f ca="1">IF(AND(ISNUMBER($G$582),$B$419=1),$G$582,HLOOKUP(INDIRECT(ADDRESS(2,COLUMN())),OFFSET($BN$2,0,0,ROW()-1,60),ROW()-1,FALSE))</f>
        <v>67.459999999999994</v>
      </c>
      <c r="H128">
        <f ca="1">IF(AND(ISNUMBER($H$582),$B$419=1),$H$582,HLOOKUP(INDIRECT(ADDRESS(2,COLUMN())),OFFSET($BN$2,0,0,ROW()-1,60),ROW()-1,FALSE))</f>
        <v>26.66</v>
      </c>
      <c r="I128">
        <f ca="1">IF(AND(ISNUMBER($I$582),$B$419=1),$I$582,HLOOKUP(INDIRECT(ADDRESS(2,COLUMN())),OFFSET($BN$2,0,0,ROW()-1,60),ROW()-1,FALSE))</f>
        <v>59.408999999999999</v>
      </c>
      <c r="J128">
        <f ca="1">IF(AND(ISNUMBER($J$582),$B$419=1),$J$582,HLOOKUP(INDIRECT(ADDRESS(2,COLUMN())),OFFSET($BN$2,0,0,ROW()-1,60),ROW()-1,FALSE))</f>
        <v>57.695</v>
      </c>
      <c r="K128">
        <f ca="1">IF(AND(ISNUMBER($K$582),$B$419=1),$K$582,HLOOKUP(INDIRECT(ADDRESS(2,COLUMN())),OFFSET($BN$2,0,0,ROW()-1,60),ROW()-1,FALSE))</f>
        <v>60.920999999999999</v>
      </c>
      <c r="L128">
        <f ca="1">IF(AND(ISNUMBER($L$582),$B$419=1),$L$582,HLOOKUP(INDIRECT(ADDRESS(2,COLUMN())),OFFSET($BN$2,0,0,ROW()-1,60),ROW()-1,FALSE))</f>
        <v>62.067999999999998</v>
      </c>
      <c r="M128">
        <f ca="1">IF(AND(ISNUMBER($M$582),$B$419=1),$M$582,HLOOKUP(INDIRECT(ADDRESS(2,COLUMN())),OFFSET($BN$2,0,0,ROW()-1,60),ROW()-1,FALSE))</f>
        <v>59.213000000000001</v>
      </c>
      <c r="N128">
        <f ca="1">IF(AND(ISNUMBER($N$582),$B$419=1),$N$582,HLOOKUP(INDIRECT(ADDRESS(2,COLUMN())),OFFSET($BN$2,0,0,ROW()-1,60),ROW()-1,FALSE))</f>
        <v>54.658000000000001</v>
      </c>
      <c r="O128">
        <f ca="1">IF(AND(ISNUMBER($O$582),$B$419=1),$O$582,HLOOKUP(INDIRECT(ADDRESS(2,COLUMN())),OFFSET($BN$2,0,0,ROW()-1,60),ROW()-1,FALSE))</f>
        <v>58.834000000000003</v>
      </c>
      <c r="P128">
        <f ca="1">IF(AND(ISNUMBER($P$582),$B$419=1),$P$582,HLOOKUP(INDIRECT(ADDRESS(2,COLUMN())),OFFSET($BN$2,0,0,ROW()-1,60),ROW()-1,FALSE))</f>
        <v>59.399000000000001</v>
      </c>
      <c r="Q128">
        <f ca="1">IF(AND(ISNUMBER($Q$582),$B$419=1),$Q$582,HLOOKUP(INDIRECT(ADDRESS(2,COLUMN())),OFFSET($BN$2,0,0,ROW()-1,60),ROW()-1,FALSE))</f>
        <v>54.145000000000003</v>
      </c>
      <c r="R128">
        <f ca="1">IF(AND(ISNUMBER($R$582),$B$419=1),$R$582,HLOOKUP(INDIRECT(ADDRESS(2,COLUMN())),OFFSET($BN$2,0,0,ROW()-1,60),ROW()-1,FALSE))</f>
        <v>49.771000000000001</v>
      </c>
      <c r="S128">
        <f ca="1">IF(AND(ISNUMBER($S$582),$B$419=1),$S$582,HLOOKUP(INDIRECT(ADDRESS(2,COLUMN())),OFFSET($BN$2,0,0,ROW()-1,60),ROW()-1,FALSE))</f>
        <v>39.381999999999998</v>
      </c>
      <c r="T128">
        <f ca="1">IF(AND(ISNUMBER($T$582),$B$419=1),$T$582,HLOOKUP(INDIRECT(ADDRESS(2,COLUMN())),OFFSET($BN$2,0,0,ROW()-1,60),ROW()-1,FALSE))</f>
        <v>51.655000000000001</v>
      </c>
      <c r="U128">
        <f ca="1">IF(AND(ISNUMBER($U$582),$B$419=1),$U$582,HLOOKUP(INDIRECT(ADDRESS(2,COLUMN())),OFFSET($BN$2,0,0,ROW()-1,60),ROW()-1,FALSE))</f>
        <v>46.094000000000001</v>
      </c>
      <c r="V128">
        <f ca="1">IF(AND(ISNUMBER($V$582),$B$419=1),$V$582,HLOOKUP(INDIRECT(ADDRESS(2,COLUMN())),OFFSET($BN$2,0,0,ROW()-1,60),ROW()-1,FALSE))</f>
        <v>42.843000000000004</v>
      </c>
      <c r="W128">
        <f ca="1">IF(AND(ISNUMBER($W$582),$B$419=1),$W$582,HLOOKUP(INDIRECT(ADDRESS(2,COLUMN())),OFFSET($BN$2,0,0,ROW()-1,60),ROW()-1,FALSE))</f>
        <v>52.271000000000001</v>
      </c>
      <c r="X128">
        <f ca="1">IF(AND(ISNUMBER($X$582),$B$419=1),$X$582,HLOOKUP(INDIRECT(ADDRESS(2,COLUMN())),OFFSET($BN$2,0,0,ROW()-1,60),ROW()-1,FALSE))</f>
        <v>56.195999999999998</v>
      </c>
      <c r="Y128">
        <f ca="1">IF(AND(ISNUMBER($Y$582),$B$419=1),$Y$582,HLOOKUP(INDIRECT(ADDRESS(2,COLUMN())),OFFSET($BN$2,0,0,ROW()-1,60),ROW()-1,FALSE))</f>
        <v>42.546999999999997</v>
      </c>
      <c r="Z128">
        <f ca="1">IF(AND(ISNUMBER($Z$582),$B$419=1),$Z$582,HLOOKUP(INDIRECT(ADDRESS(2,COLUMN())),OFFSET($BN$2,0,0,ROW()-1,60),ROW()-1,FALSE))</f>
        <v>41.012999999999998</v>
      </c>
      <c r="AA128">
        <f ca="1">IF(AND(ISNUMBER($AA$582),$B$419=1),$AA$582,HLOOKUP(INDIRECT(ADDRESS(2,COLUMN())),OFFSET($BN$2,0,0,ROW()-1,60),ROW()-1,FALSE))</f>
        <v>44.74</v>
      </c>
      <c r="AB128">
        <f ca="1">IF(AND(ISNUMBER($AB$582),$B$419=1),$AB$582,HLOOKUP(INDIRECT(ADDRESS(2,COLUMN())),OFFSET($BN$2,0,0,ROW()-1,60),ROW()-1,FALSE))</f>
        <v>41.914000000000001</v>
      </c>
      <c r="AC128">
        <f ca="1">IF(AND(ISNUMBER($AC$582),$B$419=1),$AC$582,HLOOKUP(INDIRECT(ADDRESS(2,COLUMN())),OFFSET($BN$2,0,0,ROW()-1,60),ROW()-1,FALSE))</f>
        <v>38.585999999999999</v>
      </c>
      <c r="AD128">
        <f ca="1">IF(AND(ISNUMBER($AD$582),$B$419=1),$AD$582,HLOOKUP(INDIRECT(ADDRESS(2,COLUMN())),OFFSET($BN$2,0,0,ROW()-1,60),ROW()-1,FALSE))</f>
        <v>35.64</v>
      </c>
      <c r="AE128">
        <f ca="1">IF(AND(ISNUMBER($AE$582),$B$419=1),$AE$582,HLOOKUP(INDIRECT(ADDRESS(2,COLUMN())),OFFSET($BN$2,0,0,ROW()-1,60),ROW()-1,FALSE))</f>
        <v>41.347000000000001</v>
      </c>
      <c r="AF128">
        <f ca="1">IF(AND(ISNUMBER($AF$582),$B$419=1),$AF$582,HLOOKUP(INDIRECT(ADDRESS(2,COLUMN())),OFFSET($BN$2,0,0,ROW()-1,60),ROW()-1,FALSE))</f>
        <v>37.896000000000001</v>
      </c>
      <c r="AG128">
        <f ca="1">IF(AND(ISNUMBER($AG$582),$B$419=1),$AG$582,HLOOKUP(INDIRECT(ADDRESS(2,COLUMN())),OFFSET($BN$2,0,0,ROW()-1,60),ROW()-1,FALSE))</f>
        <v>29.602</v>
      </c>
      <c r="AH128">
        <f ca="1">IF(AND(ISNUMBER($AH$582),$B$419=1),$AH$582,HLOOKUP(INDIRECT(ADDRESS(2,COLUMN())),OFFSET($BN$2,0,0,ROW()-1,60),ROW()-1,FALSE))</f>
        <v>29.62</v>
      </c>
      <c r="AI128">
        <f ca="1">IF(AND(ISNUMBER($AI$582),$B$419=1),$AI$582,HLOOKUP(INDIRECT(ADDRESS(2,COLUMN())),OFFSET($BN$2,0,0,ROW()-1,60),ROW()-1,FALSE))</f>
        <v>30.056999999999999</v>
      </c>
      <c r="AJ128">
        <f ca="1">IF(AND(ISNUMBER($AJ$582),$B$419=1),$AJ$582,HLOOKUP(INDIRECT(ADDRESS(2,COLUMN())),OFFSET($BN$2,0,0,ROW()-1,60),ROW()-1,FALSE))</f>
        <v>31.064</v>
      </c>
      <c r="AK128">
        <f ca="1">IF(AND(ISNUMBER($AK$582),$B$419=1),$AK$582,HLOOKUP(INDIRECT(ADDRESS(2,COLUMN())),OFFSET($BN$2,0,0,ROW()-1,60),ROW()-1,FALSE))</f>
        <v>22.106000000000002</v>
      </c>
      <c r="AL128">
        <f ca="1">IF(AND(ISNUMBER($AL$582),$B$419=1),$AL$582,HLOOKUP(INDIRECT(ADDRESS(2,COLUMN())),OFFSET($BN$2,0,0,ROW()-1,60),ROW()-1,FALSE))</f>
        <v>29.006</v>
      </c>
      <c r="AM128">
        <f ca="1">IF(AND(ISNUMBER($AM$582),$B$419=1),$AM$582,HLOOKUP(INDIRECT(ADDRESS(2,COLUMN())),OFFSET($BN$2,0,0,ROW()-1,60),ROW()-1,FALSE))</f>
        <v>32.787999999999997</v>
      </c>
      <c r="AN128">
        <f ca="1">IF(AND(ISNUMBER($AN$582),$B$419=1),$AN$582,HLOOKUP(INDIRECT(ADDRESS(2,COLUMN())),OFFSET($BN$2,0,0,ROW()-1,60),ROW()-1,FALSE))</f>
        <v>23.983000000000001</v>
      </c>
      <c r="AO128">
        <f ca="1">IF(AND(ISNUMBER($AO$582),$B$419=1),$AO$582,HLOOKUP(INDIRECT(ADDRESS(2,COLUMN())),OFFSET($BN$2,0,0,ROW()-1,60),ROW()-1,FALSE))</f>
        <v>32.481000000000002</v>
      </c>
      <c r="AP128">
        <f ca="1">IF(AND(ISNUMBER($AP$582),$B$419=1),$AP$582,HLOOKUP(INDIRECT(ADDRESS(2,COLUMN())),OFFSET($BN$2,0,0,ROW()-1,60),ROW()-1,FALSE))</f>
        <v>24.702999999999999</v>
      </c>
      <c r="AQ128">
        <f ca="1">IF(AND(ISNUMBER($AQ$582),$B$419=1),$AQ$582,HLOOKUP(INDIRECT(ADDRESS(2,COLUMN())),OFFSET($BN$2,0,0,ROW()-1,60),ROW()-1,FALSE))</f>
        <v>26.449000000000002</v>
      </c>
      <c r="AR128">
        <f ca="1">IF(AND(ISNUMBER($AR$582),$B$419=1),$AR$582,HLOOKUP(INDIRECT(ADDRESS(2,COLUMN())),OFFSET($BN$2,0,0,ROW()-1,60),ROW()-1,FALSE))</f>
        <v>25.442</v>
      </c>
      <c r="AS128">
        <f ca="1">IF(AND(ISNUMBER($AS$582),$B$419=1),$AS$582,HLOOKUP(INDIRECT(ADDRESS(2,COLUMN())),OFFSET($BN$2,0,0,ROW()-1,60),ROW()-1,FALSE))</f>
        <v>14.273</v>
      </c>
      <c r="AT128">
        <f ca="1">IF(AND(ISNUMBER($AT$582),$B$419=1),$AT$582,HLOOKUP(INDIRECT(ADDRESS(2,COLUMN())),OFFSET($BN$2,0,0,ROW()-1,60),ROW()-1,FALSE))</f>
        <v>21.905999999999999</v>
      </c>
      <c r="AU128">
        <f ca="1">IF(AND(ISNUMBER($AU$582),$B$419=1),$AU$582,HLOOKUP(INDIRECT(ADDRESS(2,COLUMN())),OFFSET($BN$2,0,0,ROW()-1,60),ROW()-1,FALSE))</f>
        <v>26.335000000000001</v>
      </c>
      <c r="AV128">
        <f ca="1">IF(AND(ISNUMBER($AV$582),$B$419=1),$AV$582,HLOOKUP(INDIRECT(ADDRESS(2,COLUMN())),OFFSET($BN$2,0,0,ROW()-1,60),ROW()-1,FALSE))</f>
        <v>23.928999999999998</v>
      </c>
      <c r="AW128">
        <f ca="1">IF(AND(ISNUMBER($AW$582),$B$419=1),$AW$582,HLOOKUP(INDIRECT(ADDRESS(2,COLUMN())),OFFSET($BN$2,0,0,ROW()-1,60),ROW()-1,FALSE))</f>
        <v>22.146000000000001</v>
      </c>
      <c r="AX128">
        <f ca="1">IF(AND(ISNUMBER($AX$582),$B$419=1),$AX$582,HLOOKUP(INDIRECT(ADDRESS(2,COLUMN())),OFFSET($BN$2,0,0,ROW()-1,60),ROW()-1,FALSE))</f>
        <v>21.311</v>
      </c>
      <c r="AY128">
        <f ca="1">IF(AND(ISNUMBER($AY$582),$B$419=1),$AY$582,HLOOKUP(INDIRECT(ADDRESS(2,COLUMN())),OFFSET($BN$2,0,0,ROW()-1,60),ROW()-1,FALSE))</f>
        <v>23.446000000000002</v>
      </c>
      <c r="AZ128">
        <f ca="1">IF(AND(ISNUMBER($AZ$582),$B$419=1),$AZ$582,HLOOKUP(INDIRECT(ADDRESS(2,COLUMN())),OFFSET($BN$2,0,0,ROW()-1,60),ROW()-1,FALSE))</f>
        <v>21.155000000000001</v>
      </c>
      <c r="BA128">
        <f ca="1">IF(AND(ISNUMBER($BA$582),$B$419=1),$BA$582,HLOOKUP(INDIRECT(ADDRESS(2,COLUMN())),OFFSET($BN$2,0,0,ROW()-1,60),ROW()-1,FALSE))</f>
        <v>19.757000000000001</v>
      </c>
      <c r="BB128">
        <f ca="1">IF(AND(ISNUMBER($BB$582),$B$419=1),$BB$582,HLOOKUP(INDIRECT(ADDRESS(2,COLUMN())),OFFSET($BN$2,0,0,ROW()-1,60),ROW()-1,FALSE))</f>
        <v>18.888000000000002</v>
      </c>
      <c r="BC128">
        <f ca="1">IF(AND(ISNUMBER($BC$582),$B$419=1),$BC$582,HLOOKUP(INDIRECT(ADDRESS(2,COLUMN())),OFFSET($BN$2,0,0,ROW()-1,60),ROW()-1,FALSE))</f>
        <v>12.481999999999999</v>
      </c>
      <c r="BD128">
        <f ca="1">IF(AND(ISNUMBER($BD$582),$B$419=1),$BD$582,HLOOKUP(INDIRECT(ADDRESS(2,COLUMN())),OFFSET($BN$2,0,0,ROW()-1,60),ROW()-1,FALSE))</f>
        <v>17.367000000000001</v>
      </c>
      <c r="BE128">
        <f ca="1">IF(AND(ISNUMBER($BE$582),$B$419=1),$BE$582,HLOOKUP(INDIRECT(ADDRESS(2,COLUMN())),OFFSET($BN$2,0,0,ROW()-1,60),ROW()-1,FALSE))</f>
        <v>15.702999999999999</v>
      </c>
      <c r="BF128">
        <f ca="1">IF(AND(ISNUMBER($BF$582),$B$419=1),$BF$582,HLOOKUP(INDIRECT(ADDRESS(2,COLUMN())),OFFSET($BN$2,0,0,ROW()-1,60),ROW()-1,FALSE))</f>
        <v>14.53</v>
      </c>
      <c r="BG128">
        <f ca="1">IF(AND(ISNUMBER($BG$582),$B$419=1),$BG$582,HLOOKUP(INDIRECT(ADDRESS(2,COLUMN())),OFFSET($BN$2,0,0,ROW()-1,60),ROW()-1,FALSE))</f>
        <v>17.681999999999999</v>
      </c>
      <c r="BH128">
        <f ca="1">IF(AND(ISNUMBER($BH$582),$B$419=1),$BH$582,HLOOKUP(INDIRECT(ADDRESS(2,COLUMN())),OFFSET($BN$2,0,0,ROW()-1,60),ROW()-1,FALSE))</f>
        <v>15.837</v>
      </c>
      <c r="BI128">
        <f ca="1">IF(AND(ISNUMBER($BI$582),$B$419=1),$BI$582,HLOOKUP(INDIRECT(ADDRESS(2,COLUMN())),OFFSET($BN$2,0,0,ROW()-1,60),ROW()-1,FALSE))</f>
        <v>15.606</v>
      </c>
      <c r="BJ128">
        <f ca="1">IF(AND(ISNUMBER($BJ$582),$B$419=1),$BJ$582,HLOOKUP(INDIRECT(ADDRESS(2,COLUMN())),OFFSET($BN$2,0,0,ROW()-1,60),ROW()-1,FALSE))</f>
        <v>13.893000000000001</v>
      </c>
      <c r="BK128">
        <f ca="1">IF(AND(ISNUMBER($BK$582),$B$419=1),$BK$582,HLOOKUP(INDIRECT(ADDRESS(2,COLUMN())),OFFSET($BN$2,0,0,ROW()-1,60),ROW()-1,FALSE))</f>
        <v>13.91800022</v>
      </c>
      <c r="BL128">
        <f ca="1">IF(AND(ISNUMBER($BL$582),$B$419=1),$BL$582,HLOOKUP(INDIRECT(ADDRESS(2,COLUMN())),OFFSET($BN$2,0,0,ROW()-1,60),ROW()-1,FALSE))</f>
        <v>11.853999999999999</v>
      </c>
      <c r="BM128">
        <f ca="1">IF(AND(ISNUMBER($BM$582),$B$419=1),$BM$582,HLOOKUP(INDIRECT(ADDRESS(2,COLUMN())),OFFSET($BN$2,0,0,ROW()-1,60),ROW()-1,FALSE))</f>
        <v>10.989000000000001</v>
      </c>
      <c r="BN128" t="str">
        <f>""</f>
        <v/>
      </c>
      <c r="BO128">
        <f>67.46</f>
        <v>67.459999999999994</v>
      </c>
      <c r="BP128">
        <f>26.66</f>
        <v>26.66</v>
      </c>
      <c r="BQ128">
        <f>59.409</f>
        <v>59.408999999999999</v>
      </c>
      <c r="BR128">
        <f>57.695</f>
        <v>57.695</v>
      </c>
      <c r="BS128">
        <f>60.921</f>
        <v>60.920999999999999</v>
      </c>
      <c r="BT128">
        <f>62.068</f>
        <v>62.067999999999998</v>
      </c>
      <c r="BU128">
        <f>59.213</f>
        <v>59.213000000000001</v>
      </c>
      <c r="BV128">
        <f>54.658</f>
        <v>54.658000000000001</v>
      </c>
      <c r="BW128">
        <f>58.834</f>
        <v>58.834000000000003</v>
      </c>
      <c r="BX128">
        <f>59.399</f>
        <v>59.399000000000001</v>
      </c>
      <c r="BY128">
        <f>54.145</f>
        <v>54.145000000000003</v>
      </c>
      <c r="BZ128">
        <f>49.771</f>
        <v>49.771000000000001</v>
      </c>
      <c r="CA128">
        <f>39.382</f>
        <v>39.381999999999998</v>
      </c>
      <c r="CB128">
        <f>51.655</f>
        <v>51.655000000000001</v>
      </c>
      <c r="CC128">
        <f>46.094</f>
        <v>46.094000000000001</v>
      </c>
      <c r="CD128">
        <f>42.843</f>
        <v>42.843000000000004</v>
      </c>
      <c r="CE128">
        <f>52.271</f>
        <v>52.271000000000001</v>
      </c>
      <c r="CF128">
        <f>56.196</f>
        <v>56.195999999999998</v>
      </c>
      <c r="CG128">
        <f>42.547</f>
        <v>42.546999999999997</v>
      </c>
      <c r="CH128">
        <f>41.013</f>
        <v>41.012999999999998</v>
      </c>
      <c r="CI128">
        <f>44.74</f>
        <v>44.74</v>
      </c>
      <c r="CJ128">
        <f>41.914</f>
        <v>41.914000000000001</v>
      </c>
      <c r="CK128">
        <f>38.586</f>
        <v>38.585999999999999</v>
      </c>
      <c r="CL128">
        <f>35.64</f>
        <v>35.64</v>
      </c>
      <c r="CM128">
        <f>41.347</f>
        <v>41.347000000000001</v>
      </c>
      <c r="CN128">
        <f>37.896</f>
        <v>37.896000000000001</v>
      </c>
      <c r="CO128">
        <f>29.602</f>
        <v>29.602</v>
      </c>
      <c r="CP128">
        <f>29.62</f>
        <v>29.62</v>
      </c>
      <c r="CQ128">
        <f>30.057</f>
        <v>30.056999999999999</v>
      </c>
      <c r="CR128">
        <f>31.064</f>
        <v>31.064</v>
      </c>
      <c r="CS128">
        <f>22.106</f>
        <v>22.106000000000002</v>
      </c>
      <c r="CT128">
        <f>29.006</f>
        <v>29.006</v>
      </c>
      <c r="CU128">
        <f>32.788</f>
        <v>32.787999999999997</v>
      </c>
      <c r="CV128">
        <f>23.983</f>
        <v>23.983000000000001</v>
      </c>
      <c r="CW128">
        <f>32.481</f>
        <v>32.481000000000002</v>
      </c>
      <c r="CX128">
        <f>24.703</f>
        <v>24.702999999999999</v>
      </c>
      <c r="CY128">
        <f>26.449</f>
        <v>26.449000000000002</v>
      </c>
      <c r="CZ128">
        <f>25.442</f>
        <v>25.442</v>
      </c>
      <c r="DA128">
        <f>14.273</f>
        <v>14.273</v>
      </c>
      <c r="DB128">
        <f>21.906</f>
        <v>21.905999999999999</v>
      </c>
      <c r="DC128">
        <f>26.335</f>
        <v>26.335000000000001</v>
      </c>
      <c r="DD128">
        <f>23.929</f>
        <v>23.928999999999998</v>
      </c>
      <c r="DE128">
        <f>22.146</f>
        <v>22.146000000000001</v>
      </c>
      <c r="DF128">
        <f>21.311</f>
        <v>21.311</v>
      </c>
      <c r="DG128">
        <f>23.446</f>
        <v>23.446000000000002</v>
      </c>
      <c r="DH128">
        <f>21.155</f>
        <v>21.155000000000001</v>
      </c>
      <c r="DI128">
        <f>19.757</f>
        <v>19.757000000000001</v>
      </c>
      <c r="DJ128">
        <f>18.888</f>
        <v>18.888000000000002</v>
      </c>
      <c r="DK128">
        <f>12.482</f>
        <v>12.481999999999999</v>
      </c>
      <c r="DL128">
        <f>17.367</f>
        <v>17.367000000000001</v>
      </c>
      <c r="DM128">
        <f>15.703</f>
        <v>15.702999999999999</v>
      </c>
      <c r="DN128">
        <f>14.53</f>
        <v>14.53</v>
      </c>
      <c r="DO128">
        <f>17.682</f>
        <v>17.681999999999999</v>
      </c>
      <c r="DP128">
        <f>15.837</f>
        <v>15.837</v>
      </c>
      <c r="DQ128">
        <f>15.606</f>
        <v>15.606</v>
      </c>
      <c r="DR128">
        <f>13.893</f>
        <v>13.893000000000001</v>
      </c>
      <c r="DS128">
        <f>13.91800022</f>
        <v>13.91800022</v>
      </c>
      <c r="DT128">
        <f>11.854</f>
        <v>11.853999999999999</v>
      </c>
      <c r="DU128">
        <f>10.989</f>
        <v>10.989000000000001</v>
      </c>
    </row>
    <row r="129" spans="1:125">
      <c r="A129" t="str">
        <f>"    VEREIT Inc"</f>
        <v xml:space="preserve">    VEREIT Inc</v>
      </c>
      <c r="B129" t="str">
        <f>"VER US Equity"</f>
        <v>VER US Equity</v>
      </c>
      <c r="C129" t="str">
        <f t="shared" si="21"/>
        <v>CF039</v>
      </c>
      <c r="D129" t="str">
        <f t="shared" si="22"/>
        <v>CF_FFO</v>
      </c>
      <c r="E129" t="str">
        <f t="shared" si="23"/>
        <v>动态</v>
      </c>
      <c r="F129" t="str">
        <f ca="1">IF(AND(ISNUMBER($F$583),$B$419=1),$F$583,HLOOKUP(INDIRECT(ADDRESS(2,COLUMN())),OFFSET($BN$2,0,0,ROW()-1,60),ROW()-1,FALSE))</f>
        <v/>
      </c>
      <c r="G129">
        <f ca="1">IF(AND(ISNUMBER($G$583),$B$419=1),$G$583,HLOOKUP(INDIRECT(ADDRESS(2,COLUMN())),OFFSET($BN$2,0,0,ROW()-1,60),ROW()-1,FALSE))</f>
        <v>133.887</v>
      </c>
      <c r="H129">
        <f ca="1">IF(AND(ISNUMBER($H$583),$B$419=1),$H$583,HLOOKUP(INDIRECT(ADDRESS(2,COLUMN())),OFFSET($BN$2,0,0,ROW()-1,60),ROW()-1,FALSE))</f>
        <v>177.71299999999999</v>
      </c>
      <c r="I129">
        <f ca="1">IF(AND(ISNUMBER($I$583),$B$419=1),$I$583,HLOOKUP(INDIRECT(ADDRESS(2,COLUMN())),OFFSET($BN$2,0,0,ROW()-1,60),ROW()-1,FALSE))</f>
        <v>171.44300000000001</v>
      </c>
      <c r="J129">
        <f ca="1">IF(AND(ISNUMBER($J$583),$B$419=1),$J$583,HLOOKUP(INDIRECT(ADDRESS(2,COLUMN())),OFFSET($BN$2,0,0,ROW()-1,60),ROW()-1,FALSE))</f>
        <v>170.065</v>
      </c>
      <c r="K129">
        <f ca="1">IF(AND(ISNUMBER($K$583),$B$419=1),$K$583,HLOOKUP(INDIRECT(ADDRESS(2,COLUMN())),OFFSET($BN$2,0,0,ROW()-1,60),ROW()-1,FALSE))</f>
        <v>53.540999999999997</v>
      </c>
      <c r="L129">
        <f ca="1">IF(AND(ISNUMBER($L$583),$B$419=1),$L$583,HLOOKUP(INDIRECT(ADDRESS(2,COLUMN())),OFFSET($BN$2,0,0,ROW()-1,60),ROW()-1,FALSE))</f>
        <v>179.47200000000001</v>
      </c>
      <c r="M129">
        <f ca="1">IF(AND(ISNUMBER($M$583),$B$419=1),$M$583,HLOOKUP(INDIRECT(ADDRESS(2,COLUMN())),OFFSET($BN$2,0,0,ROW()-1,60),ROW()-1,FALSE))</f>
        <v>184.17400000000001</v>
      </c>
      <c r="N129">
        <f ca="1">IF(AND(ISNUMBER($N$583),$B$419=1),$N$583,HLOOKUP(INDIRECT(ADDRESS(2,COLUMN())),OFFSET($BN$2,0,0,ROW()-1,60),ROW()-1,FALSE))</f>
        <v>196.22900000000001</v>
      </c>
      <c r="O129">
        <f ca="1">IF(AND(ISNUMBER($O$583),$B$419=1),$O$583,HLOOKUP(INDIRECT(ADDRESS(2,COLUMN())),OFFSET($BN$2,0,0,ROW()-1,60),ROW()-1,FALSE))</f>
        <v>4.6230000000000002</v>
      </c>
      <c r="P129">
        <f ca="1">IF(AND(ISNUMBER($P$583),$B$419=1),$P$583,HLOOKUP(INDIRECT(ADDRESS(2,COLUMN())),OFFSET($BN$2,0,0,ROW()-1,60),ROW()-1,FALSE))</f>
        <v>191.56200000000001</v>
      </c>
      <c r="Q129">
        <f ca="1">IF(AND(ISNUMBER($Q$583),$B$419=1),$Q$583,HLOOKUP(INDIRECT(ADDRESS(2,COLUMN())),OFFSET($BN$2,0,0,ROW()-1,60),ROW()-1,FALSE))</f>
        <v>193.95099999999999</v>
      </c>
      <c r="R129">
        <f ca="1">IF(AND(ISNUMBER($R$583),$B$419=1),$R$583,HLOOKUP(INDIRECT(ADDRESS(2,COLUMN())),OFFSET($BN$2,0,0,ROW()-1,60),ROW()-1,FALSE))</f>
        <v>195.03</v>
      </c>
      <c r="S129">
        <f ca="1">IF(AND(ISNUMBER($S$583),$B$419=1),$S$583,HLOOKUP(INDIRECT(ADDRESS(2,COLUMN())),OFFSET($BN$2,0,0,ROW()-1,60),ROW()-1,FALSE))</f>
        <v>-58.825000000000003</v>
      </c>
      <c r="T129">
        <f ca="1">IF(AND(ISNUMBER($T$583),$B$419=1),$T$583,HLOOKUP(INDIRECT(ADDRESS(2,COLUMN())),OFFSET($BN$2,0,0,ROW()-1,60),ROW()-1,FALSE))</f>
        <v>195.798</v>
      </c>
      <c r="U129">
        <f ca="1">IF(AND(ISNUMBER($U$583),$B$419=1),$U$583,HLOOKUP(INDIRECT(ADDRESS(2,COLUMN())),OFFSET($BN$2,0,0,ROW()-1,60),ROW()-1,FALSE))</f>
        <v>156.96700000000001</v>
      </c>
      <c r="V129">
        <f ca="1">IF(AND(ISNUMBER($V$583),$B$419=1),$V$583,HLOOKUP(INDIRECT(ADDRESS(2,COLUMN())),OFFSET($BN$2,0,0,ROW()-1,60),ROW()-1,FALSE))</f>
        <v>-144.804</v>
      </c>
      <c r="W129">
        <f ca="1">IF(AND(ISNUMBER($W$583),$B$419=1),$W$583,HLOOKUP(INDIRECT(ADDRESS(2,COLUMN())),OFFSET($BN$2,0,0,ROW()-1,60),ROW()-1,FALSE))</f>
        <v>-121.295</v>
      </c>
      <c r="X129">
        <f ca="1">IF(AND(ISNUMBER($X$583),$B$419=1),$X$583,HLOOKUP(INDIRECT(ADDRESS(2,COLUMN())),OFFSET($BN$2,0,0,ROW()-1,60),ROW()-1,FALSE))</f>
        <v>-19.681000000000001</v>
      </c>
      <c r="Y129">
        <f ca="1">IF(AND(ISNUMBER($Y$583),$B$419=1),$Y$583,HLOOKUP(INDIRECT(ADDRESS(2,COLUMN())),OFFSET($BN$2,0,0,ROW()-1,60),ROW()-1,FALSE))</f>
        <v>13.611000000000001</v>
      </c>
      <c r="Z129">
        <f ca="1">IF(AND(ISNUMBER($Z$583),$B$419=1),$Z$583,HLOOKUP(INDIRECT(ADDRESS(2,COLUMN())),OFFSET($BN$2,0,0,ROW()-1,60),ROW()-1,FALSE))</f>
        <v>-114.432</v>
      </c>
      <c r="AA129">
        <f ca="1">IF(AND(ISNUMBER($AA$583),$B$419=1),$AA$583,HLOOKUP(INDIRECT(ADDRESS(2,COLUMN())),OFFSET($BN$2,0,0,ROW()-1,60),ROW()-1,FALSE))</f>
        <v>-0.27400000000000002</v>
      </c>
      <c r="AB129">
        <f ca="1">IF(AND(ISNUMBER($AB$583),$B$419=1),$AB$583,HLOOKUP(INDIRECT(ADDRESS(2,COLUMN())),OFFSET($BN$2,0,0,ROW()-1,60),ROW()-1,FALSE))</f>
        <v>1.851</v>
      </c>
      <c r="AC129">
        <f ca="1">IF(AND(ISNUMBER($AC$583),$B$419=1),$AC$583,HLOOKUP(INDIRECT(ADDRESS(2,COLUMN())),OFFSET($BN$2,0,0,ROW()-1,60),ROW()-1,FALSE))</f>
        <v>-0.308</v>
      </c>
      <c r="AD129">
        <f ca="1">IF(AND(ISNUMBER($AD$583),$B$419=1),$AD$583,HLOOKUP(INDIRECT(ADDRESS(2,COLUMN())),OFFSET($BN$2,0,0,ROW()-1,60),ROW()-1,FALSE))</f>
        <v>-1.17</v>
      </c>
      <c r="AE129">
        <f ca="1">IF(AND(ISNUMBER($AE$583),$B$419=1),$AE$583,HLOOKUP(INDIRECT(ADDRESS(2,COLUMN())),OFFSET($BN$2,0,0,ROW()-1,60),ROW()-1,FALSE))</f>
        <v>7.8E-2</v>
      </c>
      <c r="AF129">
        <f ca="1">IF(AND(ISNUMBER($AF$583),$B$419=1),$AF$583,HLOOKUP(INDIRECT(ADDRESS(2,COLUMN())),OFFSET($BN$2,0,0,ROW()-1,60),ROW()-1,FALSE))</f>
        <v>-0.28299999999999997</v>
      </c>
      <c r="AG129" t="str">
        <f ca="1">IF(AND(ISNUMBER($AG$583),$B$419=1),$AG$583,HLOOKUP(INDIRECT(ADDRESS(2,COLUMN())),OFFSET($BN$2,0,0,ROW()-1,60),ROW()-1,FALSE))</f>
        <v/>
      </c>
      <c r="AH129">
        <f ca="1">IF(AND(ISNUMBER($AH$583),$B$419=1),$AH$583,HLOOKUP(INDIRECT(ADDRESS(2,COLUMN())),OFFSET($BN$2,0,0,ROW()-1,60),ROW()-1,FALSE))</f>
        <v>-0.420873</v>
      </c>
      <c r="AI129" t="str">
        <f ca="1">IF(AND(ISNUMBER($AI$583),$B$419=1),$AI$583,HLOOKUP(INDIRECT(ADDRESS(2,COLUMN())),OFFSET($BN$2,0,0,ROW()-1,60),ROW()-1,FALSE))</f>
        <v/>
      </c>
      <c r="AJ129" t="str">
        <f ca="1">IF(AND(ISNUMBER($AJ$583),$B$419=1),$AJ$583,HLOOKUP(INDIRECT(ADDRESS(2,COLUMN())),OFFSET($BN$2,0,0,ROW()-1,60),ROW()-1,FALSE))</f>
        <v/>
      </c>
      <c r="AK129" t="str">
        <f ca="1">IF(AND(ISNUMBER($AK$583),$B$419=1),$AK$583,HLOOKUP(INDIRECT(ADDRESS(2,COLUMN())),OFFSET($BN$2,0,0,ROW()-1,60),ROW()-1,FALSE))</f>
        <v/>
      </c>
      <c r="AL129" t="str">
        <f ca="1">IF(AND(ISNUMBER($AL$583),$B$419=1),$AL$583,HLOOKUP(INDIRECT(ADDRESS(2,COLUMN())),OFFSET($BN$2,0,0,ROW()-1,60),ROW()-1,FALSE))</f>
        <v/>
      </c>
      <c r="AM129" t="str">
        <f ca="1">IF(AND(ISNUMBER($AM$583),$B$419=1),$AM$583,HLOOKUP(INDIRECT(ADDRESS(2,COLUMN())),OFFSET($BN$2,0,0,ROW()-1,60),ROW()-1,FALSE))</f>
        <v/>
      </c>
      <c r="AN129" t="str">
        <f ca="1">IF(AND(ISNUMBER($AN$583),$B$419=1),$AN$583,HLOOKUP(INDIRECT(ADDRESS(2,COLUMN())),OFFSET($BN$2,0,0,ROW()-1,60),ROW()-1,FALSE))</f>
        <v/>
      </c>
      <c r="AO129" t="str">
        <f ca="1">IF(AND(ISNUMBER($AO$583),$B$419=1),$AO$583,HLOOKUP(INDIRECT(ADDRESS(2,COLUMN())),OFFSET($BN$2,0,0,ROW()-1,60),ROW()-1,FALSE))</f>
        <v/>
      </c>
      <c r="AP129" t="str">
        <f ca="1">IF(AND(ISNUMBER($AP$583),$B$419=1),$AP$583,HLOOKUP(INDIRECT(ADDRESS(2,COLUMN())),OFFSET($BN$2,0,0,ROW()-1,60),ROW()-1,FALSE))</f>
        <v/>
      </c>
      <c r="AQ129" t="str">
        <f ca="1">IF(AND(ISNUMBER($AQ$583),$B$419=1),$AQ$583,HLOOKUP(INDIRECT(ADDRESS(2,COLUMN())),OFFSET($BN$2,0,0,ROW()-1,60),ROW()-1,FALSE))</f>
        <v/>
      </c>
      <c r="AR129" t="str">
        <f ca="1">IF(AND(ISNUMBER($AR$583),$B$419=1),$AR$583,HLOOKUP(INDIRECT(ADDRESS(2,COLUMN())),OFFSET($BN$2,0,0,ROW()-1,60),ROW()-1,FALSE))</f>
        <v/>
      </c>
      <c r="AS129" t="str">
        <f ca="1">IF(AND(ISNUMBER($AS$583),$B$419=1),$AS$583,HLOOKUP(INDIRECT(ADDRESS(2,COLUMN())),OFFSET($BN$2,0,0,ROW()-1,60),ROW()-1,FALSE))</f>
        <v/>
      </c>
      <c r="AT129" t="str">
        <f ca="1">IF(AND(ISNUMBER($AT$583),$B$419=1),$AT$583,HLOOKUP(INDIRECT(ADDRESS(2,COLUMN())),OFFSET($BN$2,0,0,ROW()-1,60),ROW()-1,FALSE))</f>
        <v/>
      </c>
      <c r="AU129" t="str">
        <f ca="1">IF(AND(ISNUMBER($AU$583),$B$419=1),$AU$583,HLOOKUP(INDIRECT(ADDRESS(2,COLUMN())),OFFSET($BN$2,0,0,ROW()-1,60),ROW()-1,FALSE))</f>
        <v/>
      </c>
      <c r="AV129" t="str">
        <f ca="1">IF(AND(ISNUMBER($AV$583),$B$419=1),$AV$583,HLOOKUP(INDIRECT(ADDRESS(2,COLUMN())),OFFSET($BN$2,0,0,ROW()-1,60),ROW()-1,FALSE))</f>
        <v/>
      </c>
      <c r="AW129" t="str">
        <f ca="1">IF(AND(ISNUMBER($AW$583),$B$419=1),$AW$583,HLOOKUP(INDIRECT(ADDRESS(2,COLUMN())),OFFSET($BN$2,0,0,ROW()-1,60),ROW()-1,FALSE))</f>
        <v/>
      </c>
      <c r="AX129" t="str">
        <f ca="1">IF(AND(ISNUMBER($AX$583),$B$419=1),$AX$583,HLOOKUP(INDIRECT(ADDRESS(2,COLUMN())),OFFSET($BN$2,0,0,ROW()-1,60),ROW()-1,FALSE))</f>
        <v/>
      </c>
      <c r="AY129" t="str">
        <f ca="1">IF(AND(ISNUMBER($AY$583),$B$419=1),$AY$583,HLOOKUP(INDIRECT(ADDRESS(2,COLUMN())),OFFSET($BN$2,0,0,ROW()-1,60),ROW()-1,FALSE))</f>
        <v/>
      </c>
      <c r="AZ129" t="str">
        <f ca="1">IF(AND(ISNUMBER($AZ$583),$B$419=1),$AZ$583,HLOOKUP(INDIRECT(ADDRESS(2,COLUMN())),OFFSET($BN$2,0,0,ROW()-1,60),ROW()-1,FALSE))</f>
        <v/>
      </c>
      <c r="BA129" t="str">
        <f ca="1">IF(AND(ISNUMBER($BA$583),$B$419=1),$BA$583,HLOOKUP(INDIRECT(ADDRESS(2,COLUMN())),OFFSET($BN$2,0,0,ROW()-1,60),ROW()-1,FALSE))</f>
        <v/>
      </c>
      <c r="BB129" t="str">
        <f ca="1">IF(AND(ISNUMBER($BB$583),$B$419=1),$BB$583,HLOOKUP(INDIRECT(ADDRESS(2,COLUMN())),OFFSET($BN$2,0,0,ROW()-1,60),ROW()-1,FALSE))</f>
        <v/>
      </c>
      <c r="BC129" t="str">
        <f ca="1">IF(AND(ISNUMBER($BC$583),$B$419=1),$BC$583,HLOOKUP(INDIRECT(ADDRESS(2,COLUMN())),OFFSET($BN$2,0,0,ROW()-1,60),ROW()-1,FALSE))</f>
        <v/>
      </c>
      <c r="BD129" t="str">
        <f ca="1">IF(AND(ISNUMBER($BD$583),$B$419=1),$BD$583,HLOOKUP(INDIRECT(ADDRESS(2,COLUMN())),OFFSET($BN$2,0,0,ROW()-1,60),ROW()-1,FALSE))</f>
        <v/>
      </c>
      <c r="BE129" t="str">
        <f ca="1">IF(AND(ISNUMBER($BE$583),$B$419=1),$BE$583,HLOOKUP(INDIRECT(ADDRESS(2,COLUMN())),OFFSET($BN$2,0,0,ROW()-1,60),ROW()-1,FALSE))</f>
        <v/>
      </c>
      <c r="BF129" t="str">
        <f ca="1">IF(AND(ISNUMBER($BF$583),$B$419=1),$BF$583,HLOOKUP(INDIRECT(ADDRESS(2,COLUMN())),OFFSET($BN$2,0,0,ROW()-1,60),ROW()-1,FALSE))</f>
        <v/>
      </c>
      <c r="BG129" t="str">
        <f ca="1">IF(AND(ISNUMBER($BG$583),$B$419=1),$BG$583,HLOOKUP(INDIRECT(ADDRESS(2,COLUMN())),OFFSET($BN$2,0,0,ROW()-1,60),ROW()-1,FALSE))</f>
        <v/>
      </c>
      <c r="BH129" t="str">
        <f ca="1">IF(AND(ISNUMBER($BH$583),$B$419=1),$BH$583,HLOOKUP(INDIRECT(ADDRESS(2,COLUMN())),OFFSET($BN$2,0,0,ROW()-1,60),ROW()-1,FALSE))</f>
        <v/>
      </c>
      <c r="BI129" t="str">
        <f ca="1">IF(AND(ISNUMBER($BI$583),$B$419=1),$BI$583,HLOOKUP(INDIRECT(ADDRESS(2,COLUMN())),OFFSET($BN$2,0,0,ROW()-1,60),ROW()-1,FALSE))</f>
        <v/>
      </c>
      <c r="BJ129" t="str">
        <f ca="1">IF(AND(ISNUMBER($BJ$583),$B$419=1),$BJ$583,HLOOKUP(INDIRECT(ADDRESS(2,COLUMN())),OFFSET($BN$2,0,0,ROW()-1,60),ROW()-1,FALSE))</f>
        <v/>
      </c>
      <c r="BK129" t="str">
        <f ca="1">IF(AND(ISNUMBER($BK$583),$B$419=1),$BK$583,HLOOKUP(INDIRECT(ADDRESS(2,COLUMN())),OFFSET($BN$2,0,0,ROW()-1,60),ROW()-1,FALSE))</f>
        <v/>
      </c>
      <c r="BL129" t="str">
        <f ca="1">IF(AND(ISNUMBER($BL$583),$B$419=1),$BL$583,HLOOKUP(INDIRECT(ADDRESS(2,COLUMN())),OFFSET($BN$2,0,0,ROW()-1,60),ROW()-1,FALSE))</f>
        <v/>
      </c>
      <c r="BM129" t="str">
        <f ca="1">IF(AND(ISNUMBER($BM$583),$B$419=1),$BM$583,HLOOKUP(INDIRECT(ADDRESS(2,COLUMN())),OFFSET($BN$2,0,0,ROW()-1,60),ROW()-1,FALSE))</f>
        <v/>
      </c>
      <c r="BN129" t="str">
        <f>""</f>
        <v/>
      </c>
      <c r="BO129">
        <f>133.887</f>
        <v>133.887</v>
      </c>
      <c r="BP129">
        <f>177.713</f>
        <v>177.71299999999999</v>
      </c>
      <c r="BQ129">
        <f>171.443</f>
        <v>171.44300000000001</v>
      </c>
      <c r="BR129">
        <f>170.065</f>
        <v>170.065</v>
      </c>
      <c r="BS129">
        <f>53.541</f>
        <v>53.540999999999997</v>
      </c>
      <c r="BT129">
        <f>179.472</f>
        <v>179.47200000000001</v>
      </c>
      <c r="BU129">
        <f>184.174</f>
        <v>184.17400000000001</v>
      </c>
      <c r="BV129">
        <f>196.229</f>
        <v>196.22900000000001</v>
      </c>
      <c r="BW129">
        <f>4.623</f>
        <v>4.6230000000000002</v>
      </c>
      <c r="BX129">
        <f>191.562</f>
        <v>191.56200000000001</v>
      </c>
      <c r="BY129">
        <f>193.951</f>
        <v>193.95099999999999</v>
      </c>
      <c r="BZ129">
        <f>195.03</f>
        <v>195.03</v>
      </c>
      <c r="CA129">
        <f>-58.825</f>
        <v>-58.825000000000003</v>
      </c>
      <c r="CB129">
        <f>195.798</f>
        <v>195.798</v>
      </c>
      <c r="CC129">
        <f>156.967</f>
        <v>156.96700000000001</v>
      </c>
      <c r="CD129">
        <f>-144.804</f>
        <v>-144.804</v>
      </c>
      <c r="CE129">
        <f>-121.295</f>
        <v>-121.295</v>
      </c>
      <c r="CF129">
        <f>-19.681</f>
        <v>-19.681000000000001</v>
      </c>
      <c r="CG129">
        <f>13.611</f>
        <v>13.611000000000001</v>
      </c>
      <c r="CH129">
        <f>-114.432</f>
        <v>-114.432</v>
      </c>
      <c r="CI129">
        <f>-0.274</f>
        <v>-0.27400000000000002</v>
      </c>
      <c r="CJ129">
        <f>1.851</f>
        <v>1.851</v>
      </c>
      <c r="CK129">
        <f>-0.308</f>
        <v>-0.308</v>
      </c>
      <c r="CL129">
        <f>-1.17</f>
        <v>-1.17</v>
      </c>
      <c r="CM129">
        <f>0.078</f>
        <v>7.8E-2</v>
      </c>
      <c r="CN129">
        <f>-0.283</f>
        <v>-0.28299999999999997</v>
      </c>
      <c r="CO129" t="str">
        <f>""</f>
        <v/>
      </c>
      <c r="CP129">
        <f>-0.420873</f>
        <v>-0.420873</v>
      </c>
      <c r="CQ129" t="str">
        <f>""</f>
        <v/>
      </c>
      <c r="CR129" t="str">
        <f>""</f>
        <v/>
      </c>
      <c r="CS129" t="str">
        <f>""</f>
        <v/>
      </c>
      <c r="CT129" t="str">
        <f>""</f>
        <v/>
      </c>
      <c r="CU129" t="str">
        <f>""</f>
        <v/>
      </c>
      <c r="CV129" t="str">
        <f>""</f>
        <v/>
      </c>
      <c r="CW129" t="str">
        <f>""</f>
        <v/>
      </c>
      <c r="CX129" t="str">
        <f>""</f>
        <v/>
      </c>
      <c r="CY129" t="str">
        <f>""</f>
        <v/>
      </c>
      <c r="CZ129" t="str">
        <f>""</f>
        <v/>
      </c>
      <c r="DA129" t="str">
        <f>""</f>
        <v/>
      </c>
      <c r="DB129" t="str">
        <f>""</f>
        <v/>
      </c>
      <c r="DC129" t="str">
        <f>""</f>
        <v/>
      </c>
      <c r="DD129" t="str">
        <f>""</f>
        <v/>
      </c>
      <c r="DE129" t="str">
        <f>""</f>
        <v/>
      </c>
      <c r="DF129" t="str">
        <f>""</f>
        <v/>
      </c>
      <c r="DG129" t="str">
        <f>""</f>
        <v/>
      </c>
      <c r="DH129" t="str">
        <f>""</f>
        <v/>
      </c>
      <c r="DI129" t="str">
        <f>""</f>
        <v/>
      </c>
      <c r="DJ129" t="str">
        <f>""</f>
        <v/>
      </c>
      <c r="DK129" t="str">
        <f>""</f>
        <v/>
      </c>
      <c r="DL129" t="str">
        <f>""</f>
        <v/>
      </c>
      <c r="DM129" t="str">
        <f>""</f>
        <v/>
      </c>
      <c r="DN129" t="str">
        <f>""</f>
        <v/>
      </c>
      <c r="DO129" t="str">
        <f>""</f>
        <v/>
      </c>
      <c r="DP129" t="str">
        <f>""</f>
        <v/>
      </c>
      <c r="DQ129" t="str">
        <f>""</f>
        <v/>
      </c>
      <c r="DR129" t="str">
        <f>""</f>
        <v/>
      </c>
      <c r="DS129" t="str">
        <f>""</f>
        <v/>
      </c>
      <c r="DT129" t="str">
        <f>""</f>
        <v/>
      </c>
      <c r="DU129" t="str">
        <f>""</f>
        <v/>
      </c>
    </row>
    <row r="130" spans="1:125">
      <c r="A130" t="str">
        <f>"    Washington Prime Group Inc"</f>
        <v xml:space="preserve">    Washington Prime Group Inc</v>
      </c>
      <c r="B130" t="str">
        <f>"WPG US Equity"</f>
        <v>WPG US Equity</v>
      </c>
      <c r="C130" t="str">
        <f t="shared" si="21"/>
        <v>CF039</v>
      </c>
      <c r="D130" t="str">
        <f t="shared" si="22"/>
        <v>CF_FFO</v>
      </c>
      <c r="E130" t="str">
        <f t="shared" si="23"/>
        <v>动态</v>
      </c>
      <c r="F130" t="str">
        <f ca="1">IF(AND(ISNUMBER($F$584),$B$419=1),$F$584,HLOOKUP(INDIRECT(ADDRESS(2,COLUMN())),OFFSET($BN$2,0,0,ROW()-1,60),ROW()-1,FALSE))</f>
        <v/>
      </c>
      <c r="G130">
        <f ca="1">IF(AND(ISNUMBER($G$584),$B$419=1),$G$584,HLOOKUP(INDIRECT(ADDRESS(2,COLUMN())),OFFSET($BN$2,0,0,ROW()-1,60),ROW()-1,FALSE))</f>
        <v>165.96899999999999</v>
      </c>
      <c r="H130">
        <f ca="1">IF(AND(ISNUMBER($H$584),$B$419=1),$H$584,HLOOKUP(INDIRECT(ADDRESS(2,COLUMN())),OFFSET($BN$2,0,0,ROW()-1,60),ROW()-1,FALSE))</f>
        <v>68.784000000000006</v>
      </c>
      <c r="I130">
        <f ca="1">IF(AND(ISNUMBER($I$584),$B$419=1),$I$584,HLOOKUP(INDIRECT(ADDRESS(2,COLUMN())),OFFSET($BN$2,0,0,ROW()-1,60),ROW()-1,FALSE))</f>
        <v>110.626</v>
      </c>
      <c r="J130">
        <f ca="1">IF(AND(ISNUMBER($J$584),$B$419=1),$J$584,HLOOKUP(INDIRECT(ADDRESS(2,COLUMN())),OFFSET($BN$2,0,0,ROW()-1,60),ROW()-1,FALSE))</f>
        <v>94.034999999999997</v>
      </c>
      <c r="K130">
        <f ca="1">IF(AND(ISNUMBER($K$584),$B$419=1),$K$584,HLOOKUP(INDIRECT(ADDRESS(2,COLUMN())),OFFSET($BN$2,0,0,ROW()-1,60),ROW()-1,FALSE))</f>
        <v>107.43</v>
      </c>
      <c r="L130">
        <f ca="1">IF(AND(ISNUMBER($L$584),$B$419=1),$L$584,HLOOKUP(INDIRECT(ADDRESS(2,COLUMN())),OFFSET($BN$2,0,0,ROW()-1,60),ROW()-1,FALSE))</f>
        <v>85.171000000000006</v>
      </c>
      <c r="M130">
        <f ca="1">IF(AND(ISNUMBER($M$584),$B$419=1),$M$584,HLOOKUP(INDIRECT(ADDRESS(2,COLUMN())),OFFSET($BN$2,0,0,ROW()-1,60),ROW()-1,FALSE))</f>
        <v>98.125</v>
      </c>
      <c r="N130">
        <f ca="1">IF(AND(ISNUMBER($N$584),$B$419=1),$N$584,HLOOKUP(INDIRECT(ADDRESS(2,COLUMN())),OFFSET($BN$2,0,0,ROW()-1,60),ROW()-1,FALSE))</f>
        <v>91.700999999999993</v>
      </c>
      <c r="O130">
        <f ca="1">IF(AND(ISNUMBER($O$584),$B$419=1),$O$584,HLOOKUP(INDIRECT(ADDRESS(2,COLUMN())),OFFSET($BN$2,0,0,ROW()-1,60),ROW()-1,FALSE))</f>
        <v>104.477</v>
      </c>
      <c r="P130">
        <f ca="1">IF(AND(ISNUMBER($P$584),$B$419=1),$P$584,HLOOKUP(INDIRECT(ADDRESS(2,COLUMN())),OFFSET($BN$2,0,0,ROW()-1,60),ROW()-1,FALSE))</f>
        <v>83.146000000000001</v>
      </c>
      <c r="Q130">
        <f ca="1">IF(AND(ISNUMBER($Q$584),$B$419=1),$Q$584,HLOOKUP(INDIRECT(ADDRESS(2,COLUMN())),OFFSET($BN$2,0,0,ROW()-1,60),ROW()-1,FALSE))</f>
        <v>95.215999999999994</v>
      </c>
      <c r="R130">
        <f ca="1">IF(AND(ISNUMBER($R$584),$B$419=1),$R$584,HLOOKUP(INDIRECT(ADDRESS(2,COLUMN())),OFFSET($BN$2,0,0,ROW()-1,60),ROW()-1,FALSE))</f>
        <v>77.036000000000001</v>
      </c>
      <c r="S130">
        <f ca="1">IF(AND(ISNUMBER($S$584),$B$419=1),$S$584,HLOOKUP(INDIRECT(ADDRESS(2,COLUMN())),OFFSET($BN$2,0,0,ROW()-1,60),ROW()-1,FALSE))</f>
        <v>85.897999999999996</v>
      </c>
      <c r="T130">
        <f ca="1">IF(AND(ISNUMBER($T$584),$B$419=1),$T$584,HLOOKUP(INDIRECT(ADDRESS(2,COLUMN())),OFFSET($BN$2,0,0,ROW()-1,60),ROW()-1,FALSE))</f>
        <v>79.489999999999995</v>
      </c>
      <c r="U130">
        <f ca="1">IF(AND(ISNUMBER($U$584),$B$419=1),$U$584,HLOOKUP(INDIRECT(ADDRESS(2,COLUMN())),OFFSET($BN$2,0,0,ROW()-1,60),ROW()-1,FALSE))</f>
        <v>41.268999999999998</v>
      </c>
      <c r="V130">
        <f ca="1">IF(AND(ISNUMBER($V$584),$B$419=1),$V$584,HLOOKUP(INDIRECT(ADDRESS(2,COLUMN())),OFFSET($BN$2,0,0,ROW()-1,60),ROW()-1,FALSE))</f>
        <v>88.394000000000005</v>
      </c>
      <c r="W130" t="str">
        <f ca="1">IF(AND(ISNUMBER($W$584),$B$419=1),$W$584,HLOOKUP(INDIRECT(ADDRESS(2,COLUMN())),OFFSET($BN$2,0,0,ROW()-1,60),ROW()-1,FALSE))</f>
        <v/>
      </c>
      <c r="X130" t="str">
        <f ca="1">IF(AND(ISNUMBER($X$584),$B$419=1),$X$584,HLOOKUP(INDIRECT(ADDRESS(2,COLUMN())),OFFSET($BN$2,0,0,ROW()-1,60),ROW()-1,FALSE))</f>
        <v/>
      </c>
      <c r="Y130" t="str">
        <f ca="1">IF(AND(ISNUMBER($Y$584),$B$419=1),$Y$584,HLOOKUP(INDIRECT(ADDRESS(2,COLUMN())),OFFSET($BN$2,0,0,ROW()-1,60),ROW()-1,FALSE))</f>
        <v/>
      </c>
      <c r="Z130" t="str">
        <f ca="1">IF(AND(ISNUMBER($Z$584),$B$419=1),$Z$584,HLOOKUP(INDIRECT(ADDRESS(2,COLUMN())),OFFSET($BN$2,0,0,ROW()-1,60),ROW()-1,FALSE))</f>
        <v/>
      </c>
      <c r="AA130" t="str">
        <f ca="1">IF(AND(ISNUMBER($AA$584),$B$419=1),$AA$584,HLOOKUP(INDIRECT(ADDRESS(2,COLUMN())),OFFSET($BN$2,0,0,ROW()-1,60),ROW()-1,FALSE))</f>
        <v/>
      </c>
      <c r="AB130" t="str">
        <f ca="1">IF(AND(ISNUMBER($AB$584),$B$419=1),$AB$584,HLOOKUP(INDIRECT(ADDRESS(2,COLUMN())),OFFSET($BN$2,0,0,ROW()-1,60),ROW()-1,FALSE))</f>
        <v/>
      </c>
      <c r="AC130" t="str">
        <f ca="1">IF(AND(ISNUMBER($AC$584),$B$419=1),$AC$584,HLOOKUP(INDIRECT(ADDRESS(2,COLUMN())),OFFSET($BN$2,0,0,ROW()-1,60),ROW()-1,FALSE))</f>
        <v/>
      </c>
      <c r="AD130" t="str">
        <f ca="1">IF(AND(ISNUMBER($AD$584),$B$419=1),$AD$584,HLOOKUP(INDIRECT(ADDRESS(2,COLUMN())),OFFSET($BN$2,0,0,ROW()-1,60),ROW()-1,FALSE))</f>
        <v/>
      </c>
      <c r="AE130" t="str">
        <f ca="1">IF(AND(ISNUMBER($AE$584),$B$419=1),$AE$584,HLOOKUP(INDIRECT(ADDRESS(2,COLUMN())),OFFSET($BN$2,0,0,ROW()-1,60),ROW()-1,FALSE))</f>
        <v/>
      </c>
      <c r="AF130" t="str">
        <f ca="1">IF(AND(ISNUMBER($AF$584),$B$419=1),$AF$584,HLOOKUP(INDIRECT(ADDRESS(2,COLUMN())),OFFSET($BN$2,0,0,ROW()-1,60),ROW()-1,FALSE))</f>
        <v/>
      </c>
      <c r="AG130" t="str">
        <f ca="1">IF(AND(ISNUMBER($AG$584),$B$419=1),$AG$584,HLOOKUP(INDIRECT(ADDRESS(2,COLUMN())),OFFSET($BN$2,0,0,ROW()-1,60),ROW()-1,FALSE))</f>
        <v/>
      </c>
      <c r="AH130" t="str">
        <f ca="1">IF(AND(ISNUMBER($AH$584),$B$419=1),$AH$584,HLOOKUP(INDIRECT(ADDRESS(2,COLUMN())),OFFSET($BN$2,0,0,ROW()-1,60),ROW()-1,FALSE))</f>
        <v/>
      </c>
      <c r="AI130" t="str">
        <f ca="1">IF(AND(ISNUMBER($AI$584),$B$419=1),$AI$584,HLOOKUP(INDIRECT(ADDRESS(2,COLUMN())),OFFSET($BN$2,0,0,ROW()-1,60),ROW()-1,FALSE))</f>
        <v/>
      </c>
      <c r="AJ130" t="str">
        <f ca="1">IF(AND(ISNUMBER($AJ$584),$B$419=1),$AJ$584,HLOOKUP(INDIRECT(ADDRESS(2,COLUMN())),OFFSET($BN$2,0,0,ROW()-1,60),ROW()-1,FALSE))</f>
        <v/>
      </c>
      <c r="AK130" t="str">
        <f ca="1">IF(AND(ISNUMBER($AK$584),$B$419=1),$AK$584,HLOOKUP(INDIRECT(ADDRESS(2,COLUMN())),OFFSET($BN$2,0,0,ROW()-1,60),ROW()-1,FALSE))</f>
        <v/>
      </c>
      <c r="AL130" t="str">
        <f ca="1">IF(AND(ISNUMBER($AL$584),$B$419=1),$AL$584,HLOOKUP(INDIRECT(ADDRESS(2,COLUMN())),OFFSET($BN$2,0,0,ROW()-1,60),ROW()-1,FALSE))</f>
        <v/>
      </c>
      <c r="AM130" t="str">
        <f ca="1">IF(AND(ISNUMBER($AM$584),$B$419=1),$AM$584,HLOOKUP(INDIRECT(ADDRESS(2,COLUMN())),OFFSET($BN$2,0,0,ROW()-1,60),ROW()-1,FALSE))</f>
        <v/>
      </c>
      <c r="AN130" t="str">
        <f ca="1">IF(AND(ISNUMBER($AN$584),$B$419=1),$AN$584,HLOOKUP(INDIRECT(ADDRESS(2,COLUMN())),OFFSET($BN$2,0,0,ROW()-1,60),ROW()-1,FALSE))</f>
        <v/>
      </c>
      <c r="AO130" t="str">
        <f ca="1">IF(AND(ISNUMBER($AO$584),$B$419=1),$AO$584,HLOOKUP(INDIRECT(ADDRESS(2,COLUMN())),OFFSET($BN$2,0,0,ROW()-1,60),ROW()-1,FALSE))</f>
        <v/>
      </c>
      <c r="AP130" t="str">
        <f ca="1">IF(AND(ISNUMBER($AP$584),$B$419=1),$AP$584,HLOOKUP(INDIRECT(ADDRESS(2,COLUMN())),OFFSET($BN$2,0,0,ROW()-1,60),ROW()-1,FALSE))</f>
        <v/>
      </c>
      <c r="AQ130" t="str">
        <f ca="1">IF(AND(ISNUMBER($AQ$584),$B$419=1),$AQ$584,HLOOKUP(INDIRECT(ADDRESS(2,COLUMN())),OFFSET($BN$2,0,0,ROW()-1,60),ROW()-1,FALSE))</f>
        <v/>
      </c>
      <c r="AR130" t="str">
        <f ca="1">IF(AND(ISNUMBER($AR$584),$B$419=1),$AR$584,HLOOKUP(INDIRECT(ADDRESS(2,COLUMN())),OFFSET($BN$2,0,0,ROW()-1,60),ROW()-1,FALSE))</f>
        <v/>
      </c>
      <c r="AS130" t="str">
        <f ca="1">IF(AND(ISNUMBER($AS$584),$B$419=1),$AS$584,HLOOKUP(INDIRECT(ADDRESS(2,COLUMN())),OFFSET($BN$2,0,0,ROW()-1,60),ROW()-1,FALSE))</f>
        <v/>
      </c>
      <c r="AT130" t="str">
        <f ca="1">IF(AND(ISNUMBER($AT$584),$B$419=1),$AT$584,HLOOKUP(INDIRECT(ADDRESS(2,COLUMN())),OFFSET($BN$2,0,0,ROW()-1,60),ROW()-1,FALSE))</f>
        <v/>
      </c>
      <c r="AU130" t="str">
        <f ca="1">IF(AND(ISNUMBER($AU$584),$B$419=1),$AU$584,HLOOKUP(INDIRECT(ADDRESS(2,COLUMN())),OFFSET($BN$2,0,0,ROW()-1,60),ROW()-1,FALSE))</f>
        <v/>
      </c>
      <c r="AV130" t="str">
        <f ca="1">IF(AND(ISNUMBER($AV$584),$B$419=1),$AV$584,HLOOKUP(INDIRECT(ADDRESS(2,COLUMN())),OFFSET($BN$2,0,0,ROW()-1,60),ROW()-1,FALSE))</f>
        <v/>
      </c>
      <c r="AW130" t="str">
        <f ca="1">IF(AND(ISNUMBER($AW$584),$B$419=1),$AW$584,HLOOKUP(INDIRECT(ADDRESS(2,COLUMN())),OFFSET($BN$2,0,0,ROW()-1,60),ROW()-1,FALSE))</f>
        <v/>
      </c>
      <c r="AX130" t="str">
        <f ca="1">IF(AND(ISNUMBER($AX$584),$B$419=1),$AX$584,HLOOKUP(INDIRECT(ADDRESS(2,COLUMN())),OFFSET($BN$2,0,0,ROW()-1,60),ROW()-1,FALSE))</f>
        <v/>
      </c>
      <c r="AY130" t="str">
        <f ca="1">IF(AND(ISNUMBER($AY$584),$B$419=1),$AY$584,HLOOKUP(INDIRECT(ADDRESS(2,COLUMN())),OFFSET($BN$2,0,0,ROW()-1,60),ROW()-1,FALSE))</f>
        <v/>
      </c>
      <c r="AZ130" t="str">
        <f ca="1">IF(AND(ISNUMBER($AZ$584),$B$419=1),$AZ$584,HLOOKUP(INDIRECT(ADDRESS(2,COLUMN())),OFFSET($BN$2,0,0,ROW()-1,60),ROW()-1,FALSE))</f>
        <v/>
      </c>
      <c r="BA130" t="str">
        <f ca="1">IF(AND(ISNUMBER($BA$584),$B$419=1),$BA$584,HLOOKUP(INDIRECT(ADDRESS(2,COLUMN())),OFFSET($BN$2,0,0,ROW()-1,60),ROW()-1,FALSE))</f>
        <v/>
      </c>
      <c r="BB130" t="str">
        <f ca="1">IF(AND(ISNUMBER($BB$584),$B$419=1),$BB$584,HLOOKUP(INDIRECT(ADDRESS(2,COLUMN())),OFFSET($BN$2,0,0,ROW()-1,60),ROW()-1,FALSE))</f>
        <v/>
      </c>
      <c r="BC130" t="str">
        <f ca="1">IF(AND(ISNUMBER($BC$584),$B$419=1),$BC$584,HLOOKUP(INDIRECT(ADDRESS(2,COLUMN())),OFFSET($BN$2,0,0,ROW()-1,60),ROW()-1,FALSE))</f>
        <v/>
      </c>
      <c r="BD130" t="str">
        <f ca="1">IF(AND(ISNUMBER($BD$584),$B$419=1),$BD$584,HLOOKUP(INDIRECT(ADDRESS(2,COLUMN())),OFFSET($BN$2,0,0,ROW()-1,60),ROW()-1,FALSE))</f>
        <v/>
      </c>
      <c r="BE130" t="str">
        <f ca="1">IF(AND(ISNUMBER($BE$584),$B$419=1),$BE$584,HLOOKUP(INDIRECT(ADDRESS(2,COLUMN())),OFFSET($BN$2,0,0,ROW()-1,60),ROW()-1,FALSE))</f>
        <v/>
      </c>
      <c r="BF130" t="str">
        <f ca="1">IF(AND(ISNUMBER($BF$584),$B$419=1),$BF$584,HLOOKUP(INDIRECT(ADDRESS(2,COLUMN())),OFFSET($BN$2,0,0,ROW()-1,60),ROW()-1,FALSE))</f>
        <v/>
      </c>
      <c r="BG130" t="str">
        <f ca="1">IF(AND(ISNUMBER($BG$584),$B$419=1),$BG$584,HLOOKUP(INDIRECT(ADDRESS(2,COLUMN())),OFFSET($BN$2,0,0,ROW()-1,60),ROW()-1,FALSE))</f>
        <v/>
      </c>
      <c r="BH130" t="str">
        <f ca="1">IF(AND(ISNUMBER($BH$584),$B$419=1),$BH$584,HLOOKUP(INDIRECT(ADDRESS(2,COLUMN())),OFFSET($BN$2,0,0,ROW()-1,60),ROW()-1,FALSE))</f>
        <v/>
      </c>
      <c r="BI130" t="str">
        <f ca="1">IF(AND(ISNUMBER($BI$584),$B$419=1),$BI$584,HLOOKUP(INDIRECT(ADDRESS(2,COLUMN())),OFFSET($BN$2,0,0,ROW()-1,60),ROW()-1,FALSE))</f>
        <v/>
      </c>
      <c r="BJ130" t="str">
        <f ca="1">IF(AND(ISNUMBER($BJ$584),$B$419=1),$BJ$584,HLOOKUP(INDIRECT(ADDRESS(2,COLUMN())),OFFSET($BN$2,0,0,ROW()-1,60),ROW()-1,FALSE))</f>
        <v/>
      </c>
      <c r="BK130" t="str">
        <f ca="1">IF(AND(ISNUMBER($BK$584),$B$419=1),$BK$584,HLOOKUP(INDIRECT(ADDRESS(2,COLUMN())),OFFSET($BN$2,0,0,ROW()-1,60),ROW()-1,FALSE))</f>
        <v/>
      </c>
      <c r="BL130" t="str">
        <f ca="1">IF(AND(ISNUMBER($BL$584),$B$419=1),$BL$584,HLOOKUP(INDIRECT(ADDRESS(2,COLUMN())),OFFSET($BN$2,0,0,ROW()-1,60),ROW()-1,FALSE))</f>
        <v/>
      </c>
      <c r="BM130" t="str">
        <f ca="1">IF(AND(ISNUMBER($BM$584),$B$419=1),$BM$584,HLOOKUP(INDIRECT(ADDRESS(2,COLUMN())),OFFSET($BN$2,0,0,ROW()-1,60),ROW()-1,FALSE))</f>
        <v/>
      </c>
      <c r="BN130" t="str">
        <f>""</f>
        <v/>
      </c>
      <c r="BO130">
        <f>165.969</f>
        <v>165.96899999999999</v>
      </c>
      <c r="BP130">
        <f>68.784</f>
        <v>68.784000000000006</v>
      </c>
      <c r="BQ130">
        <f>110.626</f>
        <v>110.626</v>
      </c>
      <c r="BR130">
        <f>94.035</f>
        <v>94.034999999999997</v>
      </c>
      <c r="BS130">
        <f>107.43</f>
        <v>107.43</v>
      </c>
      <c r="BT130">
        <f>85.171</f>
        <v>85.171000000000006</v>
      </c>
      <c r="BU130">
        <f>98.125</f>
        <v>98.125</v>
      </c>
      <c r="BV130">
        <f>91.701</f>
        <v>91.700999999999993</v>
      </c>
      <c r="BW130">
        <f>104.477</f>
        <v>104.477</v>
      </c>
      <c r="BX130">
        <f>83.146</f>
        <v>83.146000000000001</v>
      </c>
      <c r="BY130">
        <f>95.216</f>
        <v>95.215999999999994</v>
      </c>
      <c r="BZ130">
        <f>77.036</f>
        <v>77.036000000000001</v>
      </c>
      <c r="CA130">
        <f>85.898</f>
        <v>85.897999999999996</v>
      </c>
      <c r="CB130">
        <f>79.49</f>
        <v>79.489999999999995</v>
      </c>
      <c r="CC130">
        <f>41.269</f>
        <v>41.268999999999998</v>
      </c>
      <c r="CD130">
        <f>88.394</f>
        <v>88.394000000000005</v>
      </c>
      <c r="CE130" t="str">
        <f>""</f>
        <v/>
      </c>
      <c r="CF130" t="str">
        <f>""</f>
        <v/>
      </c>
      <c r="CG130" t="str">
        <f>""</f>
        <v/>
      </c>
      <c r="CH130" t="str">
        <f>""</f>
        <v/>
      </c>
      <c r="CI130" t="str">
        <f>""</f>
        <v/>
      </c>
      <c r="CJ130" t="str">
        <f>""</f>
        <v/>
      </c>
      <c r="CK130" t="str">
        <f>""</f>
        <v/>
      </c>
      <c r="CL130" t="str">
        <f>""</f>
        <v/>
      </c>
      <c r="CM130" t="str">
        <f>""</f>
        <v/>
      </c>
      <c r="CN130" t="str">
        <f>""</f>
        <v/>
      </c>
      <c r="CO130" t="str">
        <f>""</f>
        <v/>
      </c>
      <c r="CP130" t="str">
        <f>""</f>
        <v/>
      </c>
      <c r="CQ130" t="str">
        <f>""</f>
        <v/>
      </c>
      <c r="CR130" t="str">
        <f>""</f>
        <v/>
      </c>
      <c r="CS130" t="str">
        <f>""</f>
        <v/>
      </c>
      <c r="CT130" t="str">
        <f>""</f>
        <v/>
      </c>
      <c r="CU130" t="str">
        <f>""</f>
        <v/>
      </c>
      <c r="CV130" t="str">
        <f>""</f>
        <v/>
      </c>
      <c r="CW130" t="str">
        <f>""</f>
        <v/>
      </c>
      <c r="CX130" t="str">
        <f>""</f>
        <v/>
      </c>
      <c r="CY130" t="str">
        <f>""</f>
        <v/>
      </c>
      <c r="CZ130" t="str">
        <f>""</f>
        <v/>
      </c>
      <c r="DA130" t="str">
        <f>""</f>
        <v/>
      </c>
      <c r="DB130" t="str">
        <f>""</f>
        <v/>
      </c>
      <c r="DC130" t="str">
        <f>""</f>
        <v/>
      </c>
      <c r="DD130" t="str">
        <f>""</f>
        <v/>
      </c>
      <c r="DE130" t="str">
        <f>""</f>
        <v/>
      </c>
      <c r="DF130" t="str">
        <f>""</f>
        <v/>
      </c>
      <c r="DG130" t="str">
        <f>""</f>
        <v/>
      </c>
      <c r="DH130" t="str">
        <f>""</f>
        <v/>
      </c>
      <c r="DI130" t="str">
        <f>""</f>
        <v/>
      </c>
      <c r="DJ130" t="str">
        <f>""</f>
        <v/>
      </c>
      <c r="DK130" t="str">
        <f>""</f>
        <v/>
      </c>
      <c r="DL130" t="str">
        <f>""</f>
        <v/>
      </c>
      <c r="DM130" t="str">
        <f>""</f>
        <v/>
      </c>
      <c r="DN130" t="str">
        <f>""</f>
        <v/>
      </c>
      <c r="DO130" t="str">
        <f>""</f>
        <v/>
      </c>
      <c r="DP130" t="str">
        <f>""</f>
        <v/>
      </c>
      <c r="DQ130" t="str">
        <f>""</f>
        <v/>
      </c>
      <c r="DR130" t="str">
        <f>""</f>
        <v/>
      </c>
      <c r="DS130" t="str">
        <f>""</f>
        <v/>
      </c>
      <c r="DT130" t="str">
        <f>""</f>
        <v/>
      </c>
      <c r="DU130" t="str">
        <f>""</f>
        <v/>
      </c>
    </row>
    <row r="131" spans="1:125">
      <c r="A131" t="str">
        <f>"    Weingarten Realty Investors"</f>
        <v xml:space="preserve">    Weingarten Realty Investors</v>
      </c>
      <c r="B131" t="str">
        <f>"WRI US Equity"</f>
        <v>WRI US Equity</v>
      </c>
      <c r="C131" t="str">
        <f t="shared" si="21"/>
        <v>CF039</v>
      </c>
      <c r="D131" t="str">
        <f t="shared" si="22"/>
        <v>CF_FFO</v>
      </c>
      <c r="E131" t="str">
        <f t="shared" si="23"/>
        <v>动态</v>
      </c>
      <c r="F131" t="str">
        <f ca="1">IF(AND(ISNUMBER($F$585),$B$419=1),$F$585,HLOOKUP(INDIRECT(ADDRESS(2,COLUMN())),OFFSET($BN$2,0,0,ROW()-1,60),ROW()-1,FALSE))</f>
        <v/>
      </c>
      <c r="G131">
        <f ca="1">IF(AND(ISNUMBER($G$585),$B$419=1),$G$585,HLOOKUP(INDIRECT(ADDRESS(2,COLUMN())),OFFSET($BN$2,0,0,ROW()-1,60),ROW()-1,FALSE))</f>
        <v>77.415999999999997</v>
      </c>
      <c r="H131">
        <f ca="1">IF(AND(ISNUMBER($H$585),$B$419=1),$H$585,HLOOKUP(INDIRECT(ADDRESS(2,COLUMN())),OFFSET($BN$2,0,0,ROW()-1,60),ROW()-1,FALSE))</f>
        <v>78.881</v>
      </c>
      <c r="I131">
        <f ca="1">IF(AND(ISNUMBER($I$585),$B$419=1),$I$585,HLOOKUP(INDIRECT(ADDRESS(2,COLUMN())),OFFSET($BN$2,0,0,ROW()-1,60),ROW()-1,FALSE))</f>
        <v>79.373999999999995</v>
      </c>
      <c r="J131">
        <f ca="1">IF(AND(ISNUMBER($J$585),$B$419=1),$J$585,HLOOKUP(INDIRECT(ADDRESS(2,COLUMN())),OFFSET($BN$2,0,0,ROW()-1,60),ROW()-1,FALSE))</f>
        <v>74.412999999999997</v>
      </c>
      <c r="K131">
        <f ca="1">IF(AND(ISNUMBER($K$585),$B$419=1),$K$585,HLOOKUP(INDIRECT(ADDRESS(2,COLUMN())),OFFSET($BN$2,0,0,ROW()-1,60),ROW()-1,FALSE))</f>
        <v>78.936999999999998</v>
      </c>
      <c r="L131">
        <f ca="1">IF(AND(ISNUMBER($L$585),$B$419=1),$L$585,HLOOKUP(INDIRECT(ADDRESS(2,COLUMN())),OFFSET($BN$2,0,0,ROW()-1,60),ROW()-1,FALSE))</f>
        <v>73.117000000000004</v>
      </c>
      <c r="M131">
        <f ca="1">IF(AND(ISNUMBER($M$585),$B$419=1),$M$585,HLOOKUP(INDIRECT(ADDRESS(2,COLUMN())),OFFSET($BN$2,0,0,ROW()-1,60),ROW()-1,FALSE))</f>
        <v>75.311999999999998</v>
      </c>
      <c r="N131">
        <f ca="1">IF(AND(ISNUMBER($N$585),$B$419=1),$N$585,HLOOKUP(INDIRECT(ADDRESS(2,COLUMN())),OFFSET($BN$2,0,0,ROW()-1,60),ROW()-1,FALSE))</f>
        <v>66.286000000000001</v>
      </c>
      <c r="O131">
        <f ca="1">IF(AND(ISNUMBER($O$585),$B$419=1),$O$585,HLOOKUP(INDIRECT(ADDRESS(2,COLUMN())),OFFSET($BN$2,0,0,ROW()-1,60),ROW()-1,FALSE))</f>
        <v>70.900000000000006</v>
      </c>
      <c r="P131">
        <f ca="1">IF(AND(ISNUMBER($P$585),$B$419=1),$P$585,HLOOKUP(INDIRECT(ADDRESS(2,COLUMN())),OFFSET($BN$2,0,0,ROW()-1,60),ROW()-1,FALSE))</f>
        <v>69.498000000000005</v>
      </c>
      <c r="Q131">
        <f ca="1">IF(AND(ISNUMBER($Q$585),$B$419=1),$Q$585,HLOOKUP(INDIRECT(ADDRESS(2,COLUMN())),OFFSET($BN$2,0,0,ROW()-1,60),ROW()-1,FALSE))</f>
        <v>57.912999999999997</v>
      </c>
      <c r="R131">
        <f ca="1">IF(AND(ISNUMBER($R$585),$B$419=1),$R$585,HLOOKUP(INDIRECT(ADDRESS(2,COLUMN())),OFFSET($BN$2,0,0,ROW()-1,60),ROW()-1,FALSE))</f>
        <v>60.295999999999999</v>
      </c>
      <c r="S131">
        <f ca="1">IF(AND(ISNUMBER($S$585),$B$419=1),$S$585,HLOOKUP(INDIRECT(ADDRESS(2,COLUMN())),OFFSET($BN$2,0,0,ROW()-1,60),ROW()-1,FALSE))</f>
        <v>62.46</v>
      </c>
      <c r="T131">
        <f ca="1">IF(AND(ISNUMBER($T$585),$B$419=1),$T$585,HLOOKUP(INDIRECT(ADDRESS(2,COLUMN())),OFFSET($BN$2,0,0,ROW()-1,60),ROW()-1,FALSE))</f>
        <v>64.817999999999998</v>
      </c>
      <c r="U131">
        <f ca="1">IF(AND(ISNUMBER($U$585),$B$419=1),$U$585,HLOOKUP(INDIRECT(ADDRESS(2,COLUMN())),OFFSET($BN$2,0,0,ROW()-1,60),ROW()-1,FALSE))</f>
        <v>65.519000000000005</v>
      </c>
      <c r="V131">
        <f ca="1">IF(AND(ISNUMBER($V$585),$B$419=1),$V$585,HLOOKUP(INDIRECT(ADDRESS(2,COLUMN())),OFFSET($BN$2,0,0,ROW()-1,60),ROW()-1,FALSE))</f>
        <v>63.088999999999999</v>
      </c>
      <c r="W131">
        <f ca="1">IF(AND(ISNUMBER($W$585),$B$419=1),$W$585,HLOOKUP(INDIRECT(ADDRESS(2,COLUMN())),OFFSET($BN$2,0,0,ROW()-1,60),ROW()-1,FALSE))</f>
        <v>51.936999999999998</v>
      </c>
      <c r="X131">
        <f ca="1">IF(AND(ISNUMBER($X$585),$B$419=1),$X$585,HLOOKUP(INDIRECT(ADDRESS(2,COLUMN())),OFFSET($BN$2,0,0,ROW()-1,60),ROW()-1,FALSE))</f>
        <v>60.459000000000003</v>
      </c>
      <c r="Y131">
        <f ca="1">IF(AND(ISNUMBER($Y$585),$B$419=1),$Y$585,HLOOKUP(INDIRECT(ADDRESS(2,COLUMN())),OFFSET($BN$2,0,0,ROW()-1,60),ROW()-1,FALSE))</f>
        <v>45.628</v>
      </c>
      <c r="Z131">
        <f ca="1">IF(AND(ISNUMBER($Z$585),$B$419=1),$Z$585,HLOOKUP(INDIRECT(ADDRESS(2,COLUMN())),OFFSET($BN$2,0,0,ROW()-1,60),ROW()-1,FALSE))</f>
        <v>66.042000000000002</v>
      </c>
      <c r="AA131">
        <f ca="1">IF(AND(ISNUMBER($AA$585),$B$419=1),$AA$585,HLOOKUP(INDIRECT(ADDRESS(2,COLUMN())),OFFSET($BN$2,0,0,ROW()-1,60),ROW()-1,FALSE))</f>
        <v>56.981999999999999</v>
      </c>
      <c r="AB131">
        <f ca="1">IF(AND(ISNUMBER($AB$585),$B$419=1),$AB$585,HLOOKUP(INDIRECT(ADDRESS(2,COLUMN())),OFFSET($BN$2,0,0,ROW()-1,60),ROW()-1,FALSE))</f>
        <v>55.058999999999997</v>
      </c>
      <c r="AC131">
        <f ca="1">IF(AND(ISNUMBER($AC$585),$B$419=1),$AC$585,HLOOKUP(INDIRECT(ADDRESS(2,COLUMN())),OFFSET($BN$2,0,0,ROW()-1,60),ROW()-1,FALSE))</f>
        <v>54.716999999999999</v>
      </c>
      <c r="AD131">
        <f ca="1">IF(AND(ISNUMBER($AD$585),$B$419=1),$AD$585,HLOOKUP(INDIRECT(ADDRESS(2,COLUMN())),OFFSET($BN$2,0,0,ROW()-1,60),ROW()-1,FALSE))</f>
        <v>55.796999999999997</v>
      </c>
      <c r="AE131">
        <f ca="1">IF(AND(ISNUMBER($AE$585),$B$419=1),$AE$585,HLOOKUP(INDIRECT(ADDRESS(2,COLUMN())),OFFSET($BN$2,0,0,ROW()-1,60),ROW()-1,FALSE))</f>
        <v>58.112000000000002</v>
      </c>
      <c r="AF131">
        <f ca="1">IF(AND(ISNUMBER($AF$585),$B$419=1),$AF$585,HLOOKUP(INDIRECT(ADDRESS(2,COLUMN())),OFFSET($BN$2,0,0,ROW()-1,60),ROW()-1,FALSE))</f>
        <v>30.684999999999999</v>
      </c>
      <c r="AG131">
        <f ca="1">IF(AND(ISNUMBER($AG$585),$B$419=1),$AG$585,HLOOKUP(INDIRECT(ADDRESS(2,COLUMN())),OFFSET($BN$2,0,0,ROW()-1,60),ROW()-1,FALSE))</f>
        <v>34.286000000000001</v>
      </c>
      <c r="AH131">
        <f ca="1">IF(AND(ISNUMBER($AH$585),$B$419=1),$AH$585,HLOOKUP(INDIRECT(ADDRESS(2,COLUMN())),OFFSET($BN$2,0,0,ROW()-1,60),ROW()-1,FALSE))</f>
        <v>50.241999999999997</v>
      </c>
      <c r="AI131">
        <f ca="1">IF(AND(ISNUMBER($AI$585),$B$419=1),$AI$585,HLOOKUP(INDIRECT(ADDRESS(2,COLUMN())),OFFSET($BN$2,0,0,ROW()-1,60),ROW()-1,FALSE))</f>
        <v>39.033000000000001</v>
      </c>
      <c r="AJ131">
        <f ca="1">IF(AND(ISNUMBER($AJ$585),$B$419=1),$AJ$585,HLOOKUP(INDIRECT(ADDRESS(2,COLUMN())),OFFSET($BN$2,0,0,ROW()-1,60),ROW()-1,FALSE))</f>
        <v>48.656999999999996</v>
      </c>
      <c r="AK131">
        <f ca="1">IF(AND(ISNUMBER($AK$585),$B$419=1),$AK$585,HLOOKUP(INDIRECT(ADDRESS(2,COLUMN())),OFFSET($BN$2,0,0,ROW()-1,60),ROW()-1,FALSE))</f>
        <v>34.470999999999997</v>
      </c>
      <c r="AL131">
        <f ca="1">IF(AND(ISNUMBER($AL$585),$B$419=1),$AL$585,HLOOKUP(INDIRECT(ADDRESS(2,COLUMN())),OFFSET($BN$2,0,0,ROW()-1,60),ROW()-1,FALSE))</f>
        <v>48.875</v>
      </c>
      <c r="AM131">
        <f ca="1">IF(AND(ISNUMBER($AM$585),$B$419=1),$AM$585,HLOOKUP(INDIRECT(ADDRESS(2,COLUMN())),OFFSET($BN$2,0,0,ROW()-1,60),ROW()-1,FALSE))</f>
        <v>51.139000000000003</v>
      </c>
      <c r="AN131">
        <f ca="1">IF(AND(ISNUMBER($AN$585),$B$419=1),$AN$585,HLOOKUP(INDIRECT(ADDRESS(2,COLUMN())),OFFSET($BN$2,0,0,ROW()-1,60),ROW()-1,FALSE))</f>
        <v>29.728999999999999</v>
      </c>
      <c r="AO131">
        <f ca="1">IF(AND(ISNUMBER($AO$585),$B$419=1),$AO$585,HLOOKUP(INDIRECT(ADDRESS(2,COLUMN())),OFFSET($BN$2,0,0,ROW()-1,60),ROW()-1,FALSE))</f>
        <v>69.665000000000006</v>
      </c>
      <c r="AP131">
        <f ca="1">IF(AND(ISNUMBER($AP$585),$B$419=1),$AP$585,HLOOKUP(INDIRECT(ADDRESS(2,COLUMN())),OFFSET($BN$2,0,0,ROW()-1,60),ROW()-1,FALSE))</f>
        <v>67.215999999999994</v>
      </c>
      <c r="AQ131">
        <f ca="1">IF(AND(ISNUMBER($AQ$585),$B$419=1),$AQ$585,HLOOKUP(INDIRECT(ADDRESS(2,COLUMN())),OFFSET($BN$2,0,0,ROW()-1,60),ROW()-1,FALSE))</f>
        <v>12.699</v>
      </c>
      <c r="AR131">
        <f ca="1">IF(AND(ISNUMBER($AR$585),$B$419=1),$AR$585,HLOOKUP(INDIRECT(ADDRESS(2,COLUMN())),OFFSET($BN$2,0,0,ROW()-1,60),ROW()-1,FALSE))</f>
        <v>57.588000000000001</v>
      </c>
      <c r="AS131">
        <f ca="1">IF(AND(ISNUMBER($AS$585),$B$419=1),$AS$585,HLOOKUP(INDIRECT(ADDRESS(2,COLUMN())),OFFSET($BN$2,0,0,ROW()-1,60),ROW()-1,FALSE))</f>
        <v>66.960999999999999</v>
      </c>
      <c r="AT131">
        <f ca="1">IF(AND(ISNUMBER($AT$585),$B$419=1),$AT$585,HLOOKUP(INDIRECT(ADDRESS(2,COLUMN())),OFFSET($BN$2,0,0,ROW()-1,60),ROW()-1,FALSE))</f>
        <v>63.81</v>
      </c>
      <c r="AU131">
        <f ca="1">IF(AND(ISNUMBER($AU$585),$B$419=1),$AU$585,HLOOKUP(INDIRECT(ADDRESS(2,COLUMN())),OFFSET($BN$2,0,0,ROW()-1,60),ROW()-1,FALSE))</f>
        <v>68.25</v>
      </c>
      <c r="AV131">
        <f ca="1">IF(AND(ISNUMBER($AV$585),$B$419=1),$AV$585,HLOOKUP(INDIRECT(ADDRESS(2,COLUMN())),OFFSET($BN$2,0,0,ROW()-1,60),ROW()-1,FALSE))</f>
        <v>69.728999999999999</v>
      </c>
      <c r="AW131">
        <f ca="1">IF(AND(ISNUMBER($AW$585),$B$419=1),$AW$585,HLOOKUP(INDIRECT(ADDRESS(2,COLUMN())),OFFSET($BN$2,0,0,ROW()-1,60),ROW()-1,FALSE))</f>
        <v>67.290000000000006</v>
      </c>
      <c r="AX131">
        <f ca="1">IF(AND(ISNUMBER($AX$585),$B$419=1),$AX$585,HLOOKUP(INDIRECT(ADDRESS(2,COLUMN())),OFFSET($BN$2,0,0,ROW()-1,60),ROW()-1,FALSE))</f>
        <v>66.853999999999999</v>
      </c>
      <c r="AY131">
        <f ca="1">IF(AND(ISNUMBER($AY$585),$B$419=1),$AY$585,HLOOKUP(INDIRECT(ADDRESS(2,COLUMN())),OFFSET($BN$2,0,0,ROW()-1,60),ROW()-1,FALSE))</f>
        <v>64.701999999999998</v>
      </c>
      <c r="AZ131">
        <f ca="1">IF(AND(ISNUMBER($AZ$585),$B$419=1),$AZ$585,HLOOKUP(INDIRECT(ADDRESS(2,COLUMN())),OFFSET($BN$2,0,0,ROW()-1,60),ROW()-1,FALSE))</f>
        <v>64.997</v>
      </c>
      <c r="BA131">
        <f ca="1">IF(AND(ISNUMBER($BA$585),$B$419=1),$BA$585,HLOOKUP(INDIRECT(ADDRESS(2,COLUMN())),OFFSET($BN$2,0,0,ROW()-1,60),ROW()-1,FALSE))</f>
        <v>63.164999999999999</v>
      </c>
      <c r="BB131">
        <f ca="1">IF(AND(ISNUMBER($BB$585),$B$419=1),$BB$585,HLOOKUP(INDIRECT(ADDRESS(2,COLUMN())),OFFSET($BN$2,0,0,ROW()-1,60),ROW()-1,FALSE))</f>
        <v>67.233000000000004</v>
      </c>
      <c r="BC131">
        <f ca="1">IF(AND(ISNUMBER($BC$585),$B$419=1),$BC$585,HLOOKUP(INDIRECT(ADDRESS(2,COLUMN())),OFFSET($BN$2,0,0,ROW()-1,60),ROW()-1,FALSE))</f>
        <v>61.844999999999999</v>
      </c>
      <c r="BD131">
        <f ca="1">IF(AND(ISNUMBER($BD$585),$B$419=1),$BD$585,HLOOKUP(INDIRECT(ADDRESS(2,COLUMN())),OFFSET($BN$2,0,0,ROW()-1,60),ROW()-1,FALSE))</f>
        <v>-64.168999999999997</v>
      </c>
      <c r="BE131">
        <f ca="1">IF(AND(ISNUMBER($BE$585),$B$419=1),$BE$585,HLOOKUP(INDIRECT(ADDRESS(2,COLUMN())),OFFSET($BN$2,0,0,ROW()-1,60),ROW()-1,FALSE))</f>
        <v>64.606999999999999</v>
      </c>
      <c r="BF131">
        <f ca="1">IF(AND(ISNUMBER($BF$585),$B$419=1),$BF$585,HLOOKUP(INDIRECT(ADDRESS(2,COLUMN())),OFFSET($BN$2,0,0,ROW()-1,60),ROW()-1,FALSE))</f>
        <v>61.234999999999999</v>
      </c>
      <c r="BG131">
        <f ca="1">IF(AND(ISNUMBER($BG$585),$B$419=1),$BG$585,HLOOKUP(INDIRECT(ADDRESS(2,COLUMN())),OFFSET($BN$2,0,0,ROW()-1,60),ROW()-1,FALSE))</f>
        <v>61.649000000000001</v>
      </c>
      <c r="BH131">
        <f ca="1">IF(AND(ISNUMBER($BH$585),$B$419=1),$BH$585,HLOOKUP(INDIRECT(ADDRESS(2,COLUMN())),OFFSET($BN$2,0,0,ROW()-1,60),ROW()-1,FALSE))</f>
        <v>-47.963000000000001</v>
      </c>
      <c r="BI131">
        <f ca="1">IF(AND(ISNUMBER($BI$585),$B$419=1),$BI$585,HLOOKUP(INDIRECT(ADDRESS(2,COLUMN())),OFFSET($BN$2,0,0,ROW()-1,60),ROW()-1,FALSE))</f>
        <v>51.645000459999999</v>
      </c>
      <c r="BJ131">
        <f ca="1">IF(AND(ISNUMBER($BJ$585),$B$419=1),$BJ$585,HLOOKUP(INDIRECT(ADDRESS(2,COLUMN())),OFFSET($BN$2,0,0,ROW()-1,60),ROW()-1,FALSE))</f>
        <v>53.567000999999998</v>
      </c>
      <c r="BK131">
        <f ca="1">IF(AND(ISNUMBER($BK$585),$B$419=1),$BK$585,HLOOKUP(INDIRECT(ADDRESS(2,COLUMN())),OFFSET($BN$2,0,0,ROW()-1,60),ROW()-1,FALSE))</f>
        <v>47.914000999999999</v>
      </c>
      <c r="BL131">
        <f ca="1">IF(AND(ISNUMBER($BL$585),$B$419=1),$BL$585,HLOOKUP(INDIRECT(ADDRESS(2,COLUMN())),OFFSET($BN$2,0,0,ROW()-1,60),ROW()-1,FALSE))</f>
        <v>47.407001000000001</v>
      </c>
      <c r="BM131">
        <f ca="1">IF(AND(ISNUMBER($BM$585),$B$419=1),$BM$585,HLOOKUP(INDIRECT(ADDRESS(2,COLUMN())),OFFSET($BN$2,0,0,ROW()-1,60),ROW()-1,FALSE))</f>
        <v>43.514999000000003</v>
      </c>
      <c r="BN131" t="str">
        <f>""</f>
        <v/>
      </c>
      <c r="BO131">
        <f>77.416</f>
        <v>77.415999999999997</v>
      </c>
      <c r="BP131">
        <f>78.881</f>
        <v>78.881</v>
      </c>
      <c r="BQ131">
        <f>79.374</f>
        <v>79.373999999999995</v>
      </c>
      <c r="BR131">
        <f>74.413</f>
        <v>74.412999999999997</v>
      </c>
      <c r="BS131">
        <f>78.937</f>
        <v>78.936999999999998</v>
      </c>
      <c r="BT131">
        <f>73.117</f>
        <v>73.117000000000004</v>
      </c>
      <c r="BU131">
        <f>75.312</f>
        <v>75.311999999999998</v>
      </c>
      <c r="BV131">
        <f>66.286</f>
        <v>66.286000000000001</v>
      </c>
      <c r="BW131">
        <f>70.9</f>
        <v>70.900000000000006</v>
      </c>
      <c r="BX131">
        <f>69.498</f>
        <v>69.498000000000005</v>
      </c>
      <c r="BY131">
        <f>57.913</f>
        <v>57.912999999999997</v>
      </c>
      <c r="BZ131">
        <f>60.296</f>
        <v>60.295999999999999</v>
      </c>
      <c r="CA131">
        <f>62.46</f>
        <v>62.46</v>
      </c>
      <c r="CB131">
        <f>64.818</f>
        <v>64.817999999999998</v>
      </c>
      <c r="CC131">
        <f>65.519</f>
        <v>65.519000000000005</v>
      </c>
      <c r="CD131">
        <f>63.089</f>
        <v>63.088999999999999</v>
      </c>
      <c r="CE131">
        <f>51.937</f>
        <v>51.936999999999998</v>
      </c>
      <c r="CF131">
        <f>60.459</f>
        <v>60.459000000000003</v>
      </c>
      <c r="CG131">
        <f>45.628</f>
        <v>45.628</v>
      </c>
      <c r="CH131">
        <f>66.042</f>
        <v>66.042000000000002</v>
      </c>
      <c r="CI131">
        <f>56.982</f>
        <v>56.981999999999999</v>
      </c>
      <c r="CJ131">
        <f>55.059</f>
        <v>55.058999999999997</v>
      </c>
      <c r="CK131">
        <f>54.717</f>
        <v>54.716999999999999</v>
      </c>
      <c r="CL131">
        <f>55.797</f>
        <v>55.796999999999997</v>
      </c>
      <c r="CM131">
        <f>58.112</f>
        <v>58.112000000000002</v>
      </c>
      <c r="CN131">
        <f>30.685</f>
        <v>30.684999999999999</v>
      </c>
      <c r="CO131">
        <f>34.286</f>
        <v>34.286000000000001</v>
      </c>
      <c r="CP131">
        <f>50.242</f>
        <v>50.241999999999997</v>
      </c>
      <c r="CQ131">
        <f>39.033</f>
        <v>39.033000000000001</v>
      </c>
      <c r="CR131">
        <f>48.657</f>
        <v>48.656999999999996</v>
      </c>
      <c r="CS131">
        <f>34.471</f>
        <v>34.470999999999997</v>
      </c>
      <c r="CT131">
        <f>48.875</f>
        <v>48.875</v>
      </c>
      <c r="CU131">
        <f>51.139</f>
        <v>51.139000000000003</v>
      </c>
      <c r="CV131">
        <f>29.729</f>
        <v>29.728999999999999</v>
      </c>
      <c r="CW131">
        <f>69.665</f>
        <v>69.665000000000006</v>
      </c>
      <c r="CX131">
        <f>67.216</f>
        <v>67.215999999999994</v>
      </c>
      <c r="CY131">
        <f>12.699</f>
        <v>12.699</v>
      </c>
      <c r="CZ131">
        <f>57.588</f>
        <v>57.588000000000001</v>
      </c>
      <c r="DA131">
        <f>66.961</f>
        <v>66.960999999999999</v>
      </c>
      <c r="DB131">
        <f>63.81</f>
        <v>63.81</v>
      </c>
      <c r="DC131">
        <f>68.25</f>
        <v>68.25</v>
      </c>
      <c r="DD131">
        <f>69.729</f>
        <v>69.728999999999999</v>
      </c>
      <c r="DE131">
        <f>67.29</f>
        <v>67.290000000000006</v>
      </c>
      <c r="DF131">
        <f>66.854</f>
        <v>66.853999999999999</v>
      </c>
      <c r="DG131">
        <f>64.702</f>
        <v>64.701999999999998</v>
      </c>
      <c r="DH131">
        <f>64.997</f>
        <v>64.997</v>
      </c>
      <c r="DI131">
        <f>63.165</f>
        <v>63.164999999999999</v>
      </c>
      <c r="DJ131">
        <f>67.233</f>
        <v>67.233000000000004</v>
      </c>
      <c r="DK131">
        <f>61.845</f>
        <v>61.844999999999999</v>
      </c>
      <c r="DL131">
        <f>-64.169</f>
        <v>-64.168999999999997</v>
      </c>
      <c r="DM131">
        <f>64.607</f>
        <v>64.606999999999999</v>
      </c>
      <c r="DN131">
        <f>61.235</f>
        <v>61.234999999999999</v>
      </c>
      <c r="DO131">
        <f>61.649</f>
        <v>61.649000000000001</v>
      </c>
      <c r="DP131">
        <f>-47.963</f>
        <v>-47.963000000000001</v>
      </c>
      <c r="DQ131">
        <f>51.64500046</f>
        <v>51.645000459999999</v>
      </c>
      <c r="DR131">
        <f>53.567001</f>
        <v>53.567000999999998</v>
      </c>
      <c r="DS131">
        <f>47.914001</f>
        <v>47.914000999999999</v>
      </c>
      <c r="DT131">
        <f>47.407001</f>
        <v>47.407001000000001</v>
      </c>
      <c r="DU131">
        <f>43.514999</f>
        <v>43.514999000000003</v>
      </c>
    </row>
    <row r="132" spans="1:125">
      <c r="A132" t="str">
        <f>"可分配资本"</f>
        <v>可分配资本</v>
      </c>
      <c r="B132" t="str">
        <f>""</f>
        <v/>
      </c>
      <c r="E132" t="str">
        <f>"Median"</f>
        <v>Median</v>
      </c>
      <c r="F132" t="str">
        <f ca="1">IF(ISERROR(IF(MEDIAN($F$133:$F$147) = 0, "", MEDIAN($F$133:$F$147))), "", (IF(MEDIAN($F$133:$F$147) = 0, "", MEDIAN($F$133:$F$147))))</f>
        <v/>
      </c>
      <c r="G132">
        <f ca="1">IF(ISERROR(IF(MEDIAN($G$133:$G$147) = 0, "", MEDIAN($G$133:$G$147))), "", (IF(MEDIAN($G$133:$G$147) = 0, "", MEDIAN($G$133:$G$147))))</f>
        <v>95.691999999999993</v>
      </c>
      <c r="H132">
        <f ca="1">IF(ISERROR(IF(MEDIAN($H$133:$H$147) = 0, "", MEDIAN($H$133:$H$147))), "", (IF(MEDIAN($H$133:$H$147) = 0, "", MEDIAN($H$133:$H$147))))</f>
        <v>87.765000000000001</v>
      </c>
      <c r="I132">
        <f ca="1">IF(ISERROR(IF(MEDIAN($I$133:$I$147) = 0, "", MEDIAN($I$133:$I$147))), "", (IF(MEDIAN($I$133:$I$147) = 0, "", MEDIAN($I$133:$I$147))))</f>
        <v>84.444999999999993</v>
      </c>
      <c r="J132">
        <f ca="1">IF(ISERROR(IF(MEDIAN($J$133:$J$147) = 0, "", MEDIAN($J$133:$J$147))), "", (IF(MEDIAN($J$133:$J$147) = 0, "", MEDIAN($J$133:$J$147))))</f>
        <v>89.045000000000002</v>
      </c>
      <c r="K132">
        <f ca="1">IF(ISERROR(IF(MEDIAN($K$133:$K$147) = 0, "", MEDIAN($K$133:$K$147))), "", (IF(MEDIAN($K$133:$K$147) = 0, "", MEDIAN($K$133:$K$147))))</f>
        <v>90.034999999999997</v>
      </c>
      <c r="L132">
        <f ca="1">IF(ISERROR(IF(MEDIAN($L$133:$L$147) = 0, "", MEDIAN($L$133:$L$147))), "", (IF(MEDIAN($L$133:$L$147) = 0, "", MEDIAN($L$133:$L$147))))</f>
        <v>84.17</v>
      </c>
      <c r="M132">
        <f ca="1">IF(ISERROR(IF(MEDIAN($M$133:$M$147) = 0, "", MEDIAN($M$133:$M$147))), "", (IF(MEDIAN($M$133:$M$147) = 0, "", MEDIAN($M$133:$M$147))))</f>
        <v>86.531000000000006</v>
      </c>
      <c r="N132">
        <f ca="1">IF(ISERROR(IF(MEDIAN($N$133:$N$147) = 0, "", MEDIAN($N$133:$N$147))), "", (IF(MEDIAN($N$133:$N$147) = 0, "", MEDIAN($N$133:$N$147))))</f>
        <v>86.441000000000003</v>
      </c>
      <c r="O132">
        <f ca="1">IF(ISERROR(IF(MEDIAN($O$133:$O$147) = 0, "", MEDIAN($O$133:$O$147))), "", (IF(MEDIAN($O$133:$O$147) = 0, "", MEDIAN($O$133:$O$147))))</f>
        <v>74.356999999999999</v>
      </c>
      <c r="P132">
        <f ca="1">IF(ISERROR(IF(MEDIAN($P$133:$P$147) = 0, "", MEDIAN($P$133:$P$147))), "", (IF(MEDIAN($P$133:$P$147) = 0, "", MEDIAN($P$133:$P$147))))</f>
        <v>83.099000000000004</v>
      </c>
      <c r="Q132">
        <f ca="1">IF(ISERROR(IF(MEDIAN($Q$133:$Q$147) = 0, "", MEDIAN($Q$133:$Q$147))), "", (IF(MEDIAN($Q$133:$Q$147) = 0, "", MEDIAN($Q$133:$Q$147))))</f>
        <v>81.849999999999994</v>
      </c>
      <c r="R132">
        <f ca="1">IF(ISERROR(IF(MEDIAN($R$133:$R$147) = 0, "", MEDIAN($R$133:$R$147))), "", (IF(MEDIAN($R$133:$R$147) = 0, "", MEDIAN($R$133:$R$147))))</f>
        <v>85.712000000000003</v>
      </c>
      <c r="S132">
        <f ca="1">IF(ISERROR(IF(MEDIAN($S$133:$S$147) = 0, "", MEDIAN($S$133:$S$147))), "", (IF(MEDIAN($S$133:$S$147) = 0, "", MEDIAN($S$133:$S$147))))</f>
        <v>76.346000000000004</v>
      </c>
      <c r="T132">
        <f ca="1">IF(ISERROR(IF(MEDIAN($T$133:$T$147) = 0, "", MEDIAN($T$133:$T$147))), "", (IF(MEDIAN($T$133:$T$147) = 0, "", MEDIAN($T$133:$T$147))))</f>
        <v>71.323999999999998</v>
      </c>
      <c r="U132">
        <f ca="1">IF(ISERROR(IF(MEDIAN($U$133:$U$147) = 0, "", MEDIAN($U$133:$U$147))), "", (IF(MEDIAN($U$133:$U$147) = 0, "", MEDIAN($U$133:$U$147))))</f>
        <v>74.039000000000001</v>
      </c>
      <c r="V132">
        <f ca="1">IF(ISERROR(IF(MEDIAN($V$133:$V$147) = 0, "", MEDIAN($V$133:$V$147))), "", (IF(MEDIAN($V$133:$V$147) = 0, "", MEDIAN($V$133:$V$147))))</f>
        <v>84.712000000000003</v>
      </c>
      <c r="W132">
        <f ca="1">IF(ISERROR(IF(MEDIAN($W$133:$W$147) = 0, "", MEDIAN($W$133:$W$147))), "", (IF(MEDIAN($W$133:$W$147) = 0, "", MEDIAN($W$133:$W$147))))</f>
        <v>54.8155</v>
      </c>
      <c r="X132">
        <f ca="1">IF(ISERROR(IF(MEDIAN($X$133:$X$147) = 0, "", MEDIAN($X$133:$X$147))), "", (IF(MEDIAN($X$133:$X$147) = 0, "", MEDIAN($X$133:$X$147))))</f>
        <v>60.225000000000001</v>
      </c>
      <c r="Y132">
        <f ca="1">IF(ISERROR(IF(MEDIAN($Y$133:$Y$147) = 0, "", MEDIAN($Y$133:$Y$147))), "", (IF(MEDIAN($Y$133:$Y$147) = 0, "", MEDIAN($Y$133:$Y$147))))</f>
        <v>64.864000000000004</v>
      </c>
      <c r="Z132">
        <f ca="1">IF(ISERROR(IF(MEDIAN($Z$133:$Z$147) = 0, "", MEDIAN($Z$133:$Z$147))), "", (IF(MEDIAN($Z$133:$Z$147) = 0, "", MEDIAN($Z$133:$Z$147))))</f>
        <v>62.783000000000001</v>
      </c>
      <c r="AA132">
        <f ca="1">IF(ISERROR(IF(MEDIAN($AA$133:$AA$147) = 0, "", MEDIAN($AA$133:$AA$147))), "", (IF(MEDIAN($AA$133:$AA$147) = 0, "", MEDIAN($AA$133:$AA$147))))</f>
        <v>40.874499999999998</v>
      </c>
      <c r="AB132">
        <f ca="1">IF(ISERROR(IF(MEDIAN($AB$133:$AB$147) = 0, "", MEDIAN($AB$133:$AB$147))), "", (IF(MEDIAN($AB$133:$AB$147) = 0, "", MEDIAN($AB$133:$AB$147))))</f>
        <v>47.730000000000004</v>
      </c>
      <c r="AC132">
        <f ca="1">IF(ISERROR(IF(MEDIAN($AC$133:$AC$147) = 0, "", MEDIAN($AC$133:$AC$147))), "", (IF(MEDIAN($AC$133:$AC$147) = 0, "", MEDIAN($AC$133:$AC$147))))</f>
        <v>45.3155</v>
      </c>
      <c r="AD132">
        <f ca="1">IF(ISERROR(IF(MEDIAN($AD$133:$AD$147) = 0, "", MEDIAN($AD$133:$AD$147))), "", (IF(MEDIAN($AD$133:$AD$147) = 0, "", MEDIAN($AD$133:$AD$147))))</f>
        <v>44.620000000000005</v>
      </c>
      <c r="AE132">
        <f ca="1">IF(ISERROR(IF(MEDIAN($AE$133:$AE$147) = 0, "", MEDIAN($AE$133:$AE$147))), "", (IF(MEDIAN($AE$133:$AE$147) = 0, "", MEDIAN($AE$133:$AE$147))))</f>
        <v>41.686999999999998</v>
      </c>
      <c r="AF132">
        <f ca="1">IF(ISERROR(IF(MEDIAN($AF$133:$AF$147) = 0, "", MEDIAN($AF$133:$AF$147))), "", (IF(MEDIAN($AF$133:$AF$147) = 0, "", MEDIAN($AF$133:$AF$147))))</f>
        <v>39.250999999999998</v>
      </c>
      <c r="AG132">
        <f ca="1">IF(ISERROR(IF(MEDIAN($AG$133:$AG$147) = 0, "", MEDIAN($AG$133:$AG$147))), "", (IF(MEDIAN($AG$133:$AG$147) = 0, "", MEDIAN($AG$133:$AG$147))))</f>
        <v>39.534925999999999</v>
      </c>
      <c r="AH132">
        <f ca="1">IF(ISERROR(IF(MEDIAN($AH$133:$AH$147) = 0, "", MEDIAN($AH$133:$AH$147))), "", (IF(MEDIAN($AH$133:$AH$147) = 0, "", MEDIAN($AH$133:$AH$147))))</f>
        <v>35.35</v>
      </c>
      <c r="AI132">
        <f ca="1">IF(ISERROR(IF(MEDIAN($AI$133:$AI$147) = 0, "", MEDIAN($AI$133:$AI$147))), "", (IF(MEDIAN($AI$133:$AI$147) = 0, "", MEDIAN($AI$133:$AI$147))))</f>
        <v>39.9345</v>
      </c>
      <c r="AJ132">
        <f ca="1">IF(ISERROR(IF(MEDIAN($AJ$133:$AJ$147) = 0, "", MEDIAN($AJ$133:$AJ$147))), "", (IF(MEDIAN($AJ$133:$AJ$147) = 0, "", MEDIAN($AJ$133:$AJ$147))))</f>
        <v>41.353377000000002</v>
      </c>
      <c r="AK132">
        <f ca="1">IF(ISERROR(IF(MEDIAN($AK$133:$AK$147) = 0, "", MEDIAN($AK$133:$AK$147))), "", (IF(MEDIAN($AK$133:$AK$147) = 0, "", MEDIAN($AK$133:$AK$147))))</f>
        <v>39.548999999999999</v>
      </c>
      <c r="AL132">
        <f ca="1">IF(ISERROR(IF(MEDIAN($AL$133:$AL$147) = 0, "", MEDIAN($AL$133:$AL$147))), "", (IF(MEDIAN($AL$133:$AL$147) = 0, "", MEDIAN($AL$133:$AL$147))))</f>
        <v>45.033000000000001</v>
      </c>
      <c r="AM132">
        <f ca="1">IF(ISERROR(IF(MEDIAN($AM$133:$AM$147) = 0, "", MEDIAN($AM$133:$AM$147))), "", (IF(MEDIAN($AM$133:$AM$147) = 0, "", MEDIAN($AM$133:$AM$147))))</f>
        <v>44.233999999999995</v>
      </c>
      <c r="AN132">
        <f ca="1">IF(ISERROR(IF(MEDIAN($AN$133:$AN$147) = 0, "", MEDIAN($AN$133:$AN$147))), "", (IF(MEDIAN($AN$133:$AN$147) = 0, "", MEDIAN($AN$133:$AN$147))))</f>
        <v>45.95</v>
      </c>
      <c r="AO132">
        <f ca="1">IF(ISERROR(IF(MEDIAN($AO$133:$AO$147) = 0, "", MEDIAN($AO$133:$AO$147))), "", (IF(MEDIAN($AO$133:$AO$147) = 0, "", MEDIAN($AO$133:$AO$147))))</f>
        <v>45.431397000000004</v>
      </c>
      <c r="AP132">
        <f ca="1">IF(ISERROR(IF(MEDIAN($AP$133:$AP$147) = 0, "", MEDIAN($AP$133:$AP$147))), "", (IF(MEDIAN($AP$133:$AP$147) = 0, "", MEDIAN($AP$133:$AP$147))))</f>
        <v>47.3061425</v>
      </c>
      <c r="AQ132">
        <f ca="1">IF(ISERROR(IF(MEDIAN($AQ$133:$AQ$147) = 0, "", MEDIAN($AQ$133:$AQ$147))), "", (IF(MEDIAN($AQ$133:$AQ$147) = 0, "", MEDIAN($AQ$133:$AQ$147))))</f>
        <v>48.075500000000005</v>
      </c>
      <c r="AR132">
        <f ca="1">IF(ISERROR(IF(MEDIAN($AR$133:$AR$147) = 0, "", MEDIAN($AR$133:$AR$147))), "", (IF(MEDIAN($AR$133:$AR$147) = 0, "", MEDIAN($AR$133:$AR$147))))</f>
        <v>47.865181499999998</v>
      </c>
      <c r="AS132">
        <f ca="1">IF(ISERROR(IF(MEDIAN($AS$133:$AS$147) = 0, "", MEDIAN($AS$133:$AS$147))), "", (IF(MEDIAN($AS$133:$AS$147) = 0, "", MEDIAN($AS$133:$AS$147))))</f>
        <v>56.063069999999996</v>
      </c>
      <c r="AT132">
        <f ca="1">IF(ISERROR(IF(MEDIAN($AT$133:$AT$147) = 0, "", MEDIAN($AT$133:$AT$147))), "", (IF(MEDIAN($AT$133:$AT$147) = 0, "", MEDIAN($AT$133:$AT$147))))</f>
        <v>55.141576000000001</v>
      </c>
      <c r="AU132">
        <f ca="1">IF(ISERROR(IF(MEDIAN($AU$133:$AU$147) = 0, "", MEDIAN($AU$133:$AU$147))), "", (IF(MEDIAN($AU$133:$AU$147) = 0, "", MEDIAN($AU$133:$AU$147))))</f>
        <v>56.125</v>
      </c>
      <c r="AV132">
        <f ca="1">IF(ISERROR(IF(MEDIAN($AV$133:$AV$147) = 0, "", MEDIAN($AV$133:$AV$147))), "", (IF(MEDIAN($AV$133:$AV$147) = 0, "", MEDIAN($AV$133:$AV$147))))</f>
        <v>52.365527</v>
      </c>
      <c r="AW132">
        <f ca="1">IF(ISERROR(IF(MEDIAN($AW$133:$AW$147) = 0, "", MEDIAN($AW$133:$AW$147))), "", (IF(MEDIAN($AW$133:$AW$147) = 0, "", MEDIAN($AW$133:$AW$147))))</f>
        <v>53.994856159999998</v>
      </c>
      <c r="AX132">
        <f ca="1">IF(ISERROR(IF(MEDIAN($AX$133:$AX$147) = 0, "", MEDIAN($AX$133:$AX$147))), "", (IF(MEDIAN($AX$133:$AX$147) = 0, "", MEDIAN($AX$133:$AX$147))))</f>
        <v>56.536999999999999</v>
      </c>
      <c r="AY132">
        <f ca="1">IF(ISERROR(IF(MEDIAN($AY$133:$AY$147) = 0, "", MEDIAN($AY$133:$AY$147))), "", (IF(MEDIAN($AY$133:$AY$147) = 0, "", MEDIAN($AY$133:$AY$147))))</f>
        <v>53.770499999999998</v>
      </c>
      <c r="AZ132">
        <f ca="1">IF(ISERROR(IF(MEDIAN($AZ$133:$AZ$147) = 0, "", MEDIAN($AZ$133:$AZ$147))), "", (IF(MEDIAN($AZ$133:$AZ$147) = 0, "", MEDIAN($AZ$133:$AZ$147))))</f>
        <v>50.629242500000004</v>
      </c>
      <c r="BA132">
        <f ca="1">IF(ISERROR(IF(MEDIAN($BA$133:$BA$147) = 0, "", MEDIAN($BA$133:$BA$147))), "", (IF(MEDIAN($BA$133:$BA$147) = 0, "", MEDIAN($BA$133:$BA$147))))</f>
        <v>48.623414999999994</v>
      </c>
      <c r="BB132">
        <f ca="1">IF(ISERROR(IF(MEDIAN($BB$133:$BB$147) = 0, "", MEDIAN($BB$133:$BB$147))), "", (IF(MEDIAN($BB$133:$BB$147) = 0, "", MEDIAN($BB$133:$BB$147))))</f>
        <v>48.235223500000004</v>
      </c>
      <c r="BC132">
        <f ca="1">IF(ISERROR(IF(MEDIAN($BC$133:$BC$147) = 0, "", MEDIAN($BC$133:$BC$147))), "", (IF(MEDIAN($BC$133:$BC$147) = 0, "", MEDIAN($BC$133:$BC$147))))</f>
        <v>61.136500699999999</v>
      </c>
      <c r="BD132">
        <f ca="1">IF(ISERROR(IF(MEDIAN($BD$133:$BD$147) = 0, "", MEDIAN($BD$133:$BD$147))), "", (IF(MEDIAN($BD$133:$BD$147) = 0, "", MEDIAN($BD$133:$BD$147))))</f>
        <v>47.583912499999997</v>
      </c>
      <c r="BE132">
        <f ca="1">IF(ISERROR(IF(MEDIAN($BE$133:$BE$147) = 0, "", MEDIAN($BE$133:$BE$147))), "", (IF(MEDIAN($BE$133:$BE$147) = 0, "", MEDIAN($BE$133:$BE$147))))</f>
        <v>65.329018499999989</v>
      </c>
      <c r="BF132">
        <f ca="1">IF(ISERROR(IF(MEDIAN($BF$133:$BF$147) = 0, "", MEDIAN($BF$133:$BF$147))), "", (IF(MEDIAN($BF$133:$BF$147) = 0, "", MEDIAN($BF$133:$BF$147))))</f>
        <v>59.256535499999998</v>
      </c>
      <c r="BG132">
        <f ca="1">IF(ISERROR(IF(MEDIAN($BG$133:$BG$147) = 0, "", MEDIAN($BG$133:$BG$147))), "", (IF(MEDIAN($BG$133:$BG$147) = 0, "", MEDIAN($BG$133:$BG$147))))</f>
        <v>61.367000000000004</v>
      </c>
      <c r="BH132">
        <f ca="1">IF(ISERROR(IF(MEDIAN($BH$133:$BH$147) = 0, "", MEDIAN($BH$133:$BH$147))), "", (IF(MEDIAN($BH$133:$BH$147) = 0, "", MEDIAN($BH$133:$BH$147))))</f>
        <v>63.074253999999996</v>
      </c>
      <c r="BI132">
        <f ca="1">IF(ISERROR(IF(MEDIAN($BI$133:$BI$147) = 0, "", MEDIAN($BI$133:$BI$147))), "", (IF(MEDIAN($BI$133:$BI$147) = 0, "", MEDIAN($BI$133:$BI$147))))</f>
        <v>49.148500229999996</v>
      </c>
      <c r="BJ132">
        <f ca="1">IF(ISERROR(IF(MEDIAN($BJ$133:$BJ$147) = 0, "", MEDIAN($BJ$133:$BJ$147))), "", (IF(MEDIAN($BJ$133:$BJ$147) = 0, "", MEDIAN($BJ$133:$BJ$147))))</f>
        <v>47.720500999999999</v>
      </c>
      <c r="BK132">
        <f ca="1">IF(ISERROR(IF(MEDIAN($BK$133:$BK$147) = 0, "", MEDIAN($BK$133:$BK$147))), "", (IF(MEDIAN($BK$133:$BK$147) = 0, "", MEDIAN($BK$133:$BK$147))))</f>
        <v>55.890998840000002</v>
      </c>
      <c r="BL132">
        <f ca="1">IF(ISERROR(IF(MEDIAN($BL$133:$BL$147) = 0, "", MEDIAN($BL$133:$BL$147))), "", (IF(MEDIAN($BL$133:$BL$147) = 0, "", MEDIAN($BL$133:$BL$147))))</f>
        <v>47.407001000000001</v>
      </c>
      <c r="BM132">
        <f ca="1">IF(ISERROR(IF(MEDIAN($BM$133:$BM$147) = 0, "", MEDIAN($BM$133:$BM$147))), "", (IF(MEDIAN($BM$133:$BM$147) = 0, "", MEDIAN($BM$133:$BM$147))))</f>
        <v>42.411998500000003</v>
      </c>
      <c r="BN132" t="str">
        <f>""</f>
        <v/>
      </c>
      <c r="BO132">
        <f>95.692</f>
        <v>95.691999999999993</v>
      </c>
      <c r="BP132">
        <f>87.765</f>
        <v>87.765000000000001</v>
      </c>
      <c r="BQ132">
        <f>84.445</f>
        <v>84.444999999999993</v>
      </c>
      <c r="BR132">
        <f>89.045</f>
        <v>89.045000000000002</v>
      </c>
      <c r="BS132">
        <f>90.035</f>
        <v>90.034999999999997</v>
      </c>
      <c r="BT132">
        <f>84.17</f>
        <v>84.17</v>
      </c>
      <c r="BU132">
        <f>86.531</f>
        <v>86.531000000000006</v>
      </c>
      <c r="BV132">
        <f>86.441</f>
        <v>86.441000000000003</v>
      </c>
      <c r="BW132">
        <f>74.357</f>
        <v>74.356999999999999</v>
      </c>
      <c r="BX132">
        <f>83.099</f>
        <v>83.099000000000004</v>
      </c>
      <c r="BY132">
        <f>81.85</f>
        <v>81.849999999999994</v>
      </c>
      <c r="BZ132">
        <f>85.712</f>
        <v>85.712000000000003</v>
      </c>
      <c r="CA132">
        <f>76.346</f>
        <v>76.346000000000004</v>
      </c>
      <c r="CB132">
        <f>71.324</f>
        <v>71.323999999999998</v>
      </c>
      <c r="CC132">
        <f>74.039</f>
        <v>74.039000000000001</v>
      </c>
      <c r="CD132">
        <f>84.712</f>
        <v>84.712000000000003</v>
      </c>
      <c r="CE132">
        <f>54.8155</f>
        <v>54.8155</v>
      </c>
      <c r="CF132">
        <f>60.225</f>
        <v>60.225000000000001</v>
      </c>
      <c r="CG132">
        <f>64.864</f>
        <v>64.864000000000004</v>
      </c>
      <c r="CH132">
        <f>62.783</f>
        <v>62.783000000000001</v>
      </c>
      <c r="CI132">
        <f>40.8745</f>
        <v>40.874499999999998</v>
      </c>
      <c r="CJ132">
        <f>47.73</f>
        <v>47.73</v>
      </c>
      <c r="CK132">
        <f>45.3155</f>
        <v>45.3155</v>
      </c>
      <c r="CL132">
        <f>44.62</f>
        <v>44.62</v>
      </c>
      <c r="CM132">
        <f>41.687</f>
        <v>41.686999999999998</v>
      </c>
      <c r="CN132">
        <f>39.251</f>
        <v>39.250999999999998</v>
      </c>
      <c r="CO132">
        <f>39.534926</f>
        <v>39.534925999999999</v>
      </c>
      <c r="CP132">
        <f>35.35</f>
        <v>35.35</v>
      </c>
      <c r="CQ132">
        <f>39.9345</f>
        <v>39.9345</v>
      </c>
      <c r="CR132">
        <f>41.353377</f>
        <v>41.353377000000002</v>
      </c>
      <c r="CS132">
        <f>39.549</f>
        <v>39.548999999999999</v>
      </c>
      <c r="CT132">
        <f>45.033</f>
        <v>45.033000000000001</v>
      </c>
      <c r="CU132">
        <f>44.234</f>
        <v>44.234000000000002</v>
      </c>
      <c r="CV132">
        <f>45.95</f>
        <v>45.95</v>
      </c>
      <c r="CW132">
        <f>45.431397</f>
        <v>45.431396999999997</v>
      </c>
      <c r="CX132">
        <f>47.3061425</f>
        <v>47.3061425</v>
      </c>
      <c r="CY132">
        <f>48.0755</f>
        <v>48.075499999999998</v>
      </c>
      <c r="CZ132">
        <f>47.8651815</f>
        <v>47.865181499999998</v>
      </c>
      <c r="DA132">
        <f>56.06307</f>
        <v>56.063070000000003</v>
      </c>
      <c r="DB132">
        <f>55.141576</f>
        <v>55.141576000000001</v>
      </c>
      <c r="DC132">
        <f>56.125</f>
        <v>56.125</v>
      </c>
      <c r="DD132">
        <f>52.365527</f>
        <v>52.365527</v>
      </c>
      <c r="DE132">
        <f>53.99485616</f>
        <v>53.994856159999998</v>
      </c>
      <c r="DF132">
        <f>56.537</f>
        <v>56.536999999999999</v>
      </c>
      <c r="DG132">
        <f>53.7705</f>
        <v>53.770499999999998</v>
      </c>
      <c r="DH132">
        <f>50.6292425</f>
        <v>50.629242499999997</v>
      </c>
      <c r="DI132">
        <f>48.623415</f>
        <v>48.623415000000001</v>
      </c>
      <c r="DJ132">
        <f>48.2352235</f>
        <v>48.235223499999996</v>
      </c>
      <c r="DK132">
        <f>61.1365007</f>
        <v>61.136500699999999</v>
      </c>
      <c r="DL132">
        <f>47.5839125</f>
        <v>47.583912499999997</v>
      </c>
      <c r="DM132">
        <f>65.3290185</f>
        <v>65.329018500000004</v>
      </c>
      <c r="DN132">
        <f>59.2565355</f>
        <v>59.256535499999998</v>
      </c>
      <c r="DO132">
        <f>61.367</f>
        <v>61.366999999999997</v>
      </c>
      <c r="DP132">
        <f>63.074254</f>
        <v>63.074254000000003</v>
      </c>
      <c r="DQ132">
        <f>49.14850023</f>
        <v>49.148500230000003</v>
      </c>
      <c r="DR132">
        <f>47.720501</f>
        <v>47.720500999999999</v>
      </c>
      <c r="DS132">
        <f>55.89099884</f>
        <v>55.890998840000002</v>
      </c>
      <c r="DT132">
        <f>47.407001</f>
        <v>47.407001000000001</v>
      </c>
      <c r="DU132">
        <f>42.4119985</f>
        <v>42.411998500000003</v>
      </c>
    </row>
    <row r="133" spans="1:125">
      <c r="A133" t="str">
        <f>"    Brixmor Property Group Inc"</f>
        <v xml:space="preserve">    Brixmor Property Group Inc</v>
      </c>
      <c r="B133" t="str">
        <f>"BRX US Equity"</f>
        <v>BRX US Equity</v>
      </c>
      <c r="C133" t="str">
        <f t="shared" ref="C133:C147" si="24">"F0578"</f>
        <v>F0578</v>
      </c>
      <c r="D133" t="str">
        <f t="shared" ref="D133:D147" si="25">"FUNDS_AVAILABLE_FOR_DISTRIBUTION"</f>
        <v>FUNDS_AVAILABLE_FOR_DISTRIBUTION</v>
      </c>
      <c r="E133" t="str">
        <f t="shared" ref="E133:E147" si="26">"动态"</f>
        <v>动态</v>
      </c>
      <c r="F133" t="str">
        <f ca="1">IF(AND(ISNUMBER($F$586),$B$419=1),$F$586,HLOOKUP(INDIRECT(ADDRESS(2,COLUMN())),OFFSET($BN$2,0,0,ROW()-1,60),ROW()-1,FALSE))</f>
        <v/>
      </c>
      <c r="G133">
        <f ca="1">IF(AND(ISNUMBER($G$586),$B$419=1),$G$586,HLOOKUP(INDIRECT(ADDRESS(2,COLUMN())),OFFSET($BN$2,0,0,ROW()-1,60),ROW()-1,FALSE))</f>
        <v>125.199</v>
      </c>
      <c r="H133">
        <f ca="1">IF(AND(ISNUMBER($H$586),$B$419=1),$H$586,HLOOKUP(INDIRECT(ADDRESS(2,COLUMN())),OFFSET($BN$2,0,0,ROW()-1,60),ROW()-1,FALSE))</f>
        <v>136.73599999999999</v>
      </c>
      <c r="I133">
        <f ca="1">IF(AND(ISNUMBER($I$586),$B$419=1),$I$586,HLOOKUP(INDIRECT(ADDRESS(2,COLUMN())),OFFSET($BN$2,0,0,ROW()-1,60),ROW()-1,FALSE))</f>
        <v>125.462</v>
      </c>
      <c r="J133">
        <f ca="1">IF(AND(ISNUMBER($J$586),$B$419=1),$J$586,HLOOKUP(INDIRECT(ADDRESS(2,COLUMN())),OFFSET($BN$2,0,0,ROW()-1,60),ROW()-1,FALSE))</f>
        <v>124.361</v>
      </c>
      <c r="K133">
        <f ca="1">IF(AND(ISNUMBER($K$586),$B$419=1),$K$586,HLOOKUP(INDIRECT(ADDRESS(2,COLUMN())),OFFSET($BN$2,0,0,ROW()-1,60),ROW()-1,FALSE))</f>
        <v>112.533</v>
      </c>
      <c r="L133">
        <f ca="1">IF(AND(ISNUMBER($L$586),$B$419=1),$L$586,HLOOKUP(INDIRECT(ADDRESS(2,COLUMN())),OFFSET($BN$2,0,0,ROW()-1,60),ROW()-1,FALSE))</f>
        <v>120.117</v>
      </c>
      <c r="M133">
        <f ca="1">IF(AND(ISNUMBER($M$586),$B$419=1),$M$586,HLOOKUP(INDIRECT(ADDRESS(2,COLUMN())),OFFSET($BN$2,0,0,ROW()-1,60),ROW()-1,FALSE))</f>
        <v>121.209</v>
      </c>
      <c r="N133">
        <f ca="1">IF(AND(ISNUMBER($N$586),$B$419=1),$N$586,HLOOKUP(INDIRECT(ADDRESS(2,COLUMN())),OFFSET($BN$2,0,0,ROW()-1,60),ROW()-1,FALSE))</f>
        <v>148.60300000000001</v>
      </c>
      <c r="O133">
        <f ca="1">IF(AND(ISNUMBER($O$586),$B$419=1),$O$586,HLOOKUP(INDIRECT(ADDRESS(2,COLUMN())),OFFSET($BN$2,0,0,ROW()-1,60),ROW()-1,FALSE))</f>
        <v>115.316</v>
      </c>
      <c r="P133">
        <f ca="1">IF(AND(ISNUMBER($P$586),$B$419=1),$P$586,HLOOKUP(INDIRECT(ADDRESS(2,COLUMN())),OFFSET($BN$2,0,0,ROW()-1,60),ROW()-1,FALSE))</f>
        <v>125.256</v>
      </c>
      <c r="Q133">
        <f ca="1">IF(AND(ISNUMBER($Q$586),$B$419=1),$Q$586,HLOOKUP(INDIRECT(ADDRESS(2,COLUMN())),OFFSET($BN$2,0,0,ROW()-1,60),ROW()-1,FALSE))</f>
        <v>102.64700000000001</v>
      </c>
      <c r="R133">
        <f ca="1">IF(AND(ISNUMBER($R$586),$B$419=1),$R$586,HLOOKUP(INDIRECT(ADDRESS(2,COLUMN())),OFFSET($BN$2,0,0,ROW()-1,60),ROW()-1,FALSE))</f>
        <v>111.96599999999999</v>
      </c>
      <c r="S133">
        <f ca="1">IF(AND(ISNUMBER($S$586),$B$419=1),$S$586,HLOOKUP(INDIRECT(ADDRESS(2,COLUMN())),OFFSET($BN$2,0,0,ROW()-1,60),ROW()-1,FALSE))</f>
        <v>87.691999999999993</v>
      </c>
      <c r="T133">
        <f ca="1">IF(AND(ISNUMBER($T$586),$B$419=1),$T$586,HLOOKUP(INDIRECT(ADDRESS(2,COLUMN())),OFFSET($BN$2,0,0,ROW()-1,60),ROW()-1,FALSE))</f>
        <v>97.602000000000004</v>
      </c>
      <c r="U133">
        <f ca="1">IF(AND(ISNUMBER($U$586),$B$419=1),$U$586,HLOOKUP(INDIRECT(ADDRESS(2,COLUMN())),OFFSET($BN$2,0,0,ROW()-1,60),ROW()-1,FALSE))</f>
        <v>89.769000000000005</v>
      </c>
      <c r="V133">
        <f ca="1">IF(AND(ISNUMBER($V$586),$B$419=1),$V$586,HLOOKUP(INDIRECT(ADDRESS(2,COLUMN())),OFFSET($BN$2,0,0,ROW()-1,60),ROW()-1,FALSE))</f>
        <v>92.95</v>
      </c>
      <c r="W133">
        <f ca="1">IF(AND(ISNUMBER($W$586),$B$419=1),$W$586,HLOOKUP(INDIRECT(ADDRESS(2,COLUMN())),OFFSET($BN$2,0,0,ROW()-1,60),ROW()-1,FALSE))</f>
        <v>41.027999999999999</v>
      </c>
      <c r="X133">
        <f ca="1">IF(AND(ISNUMBER($X$586),$B$419=1),$X$586,HLOOKUP(INDIRECT(ADDRESS(2,COLUMN())),OFFSET($BN$2,0,0,ROW()-1,60),ROW()-1,FALSE))</f>
        <v>59.055</v>
      </c>
      <c r="Y133">
        <f ca="1">IF(AND(ISNUMBER($Y$586),$B$419=1),$Y$586,HLOOKUP(INDIRECT(ADDRESS(2,COLUMN())),OFFSET($BN$2,0,0,ROW()-1,60),ROW()-1,FALSE))</f>
        <v>103.163</v>
      </c>
      <c r="Z133">
        <f ca="1">IF(AND(ISNUMBER($Z$586),$B$419=1),$Z$586,HLOOKUP(INDIRECT(ADDRESS(2,COLUMN())),OFFSET($BN$2,0,0,ROW()-1,60),ROW()-1,FALSE))</f>
        <v>90.305000000000007</v>
      </c>
      <c r="AA133">
        <f ca="1">IF(AND(ISNUMBER($AA$586),$B$419=1),$AA$586,HLOOKUP(INDIRECT(ADDRESS(2,COLUMN())),OFFSET($BN$2,0,0,ROW()-1,60),ROW()-1,FALSE))</f>
        <v>94.802999999999997</v>
      </c>
      <c r="AB133">
        <f ca="1">IF(AND(ISNUMBER($AB$586),$B$419=1),$AB$586,HLOOKUP(INDIRECT(ADDRESS(2,COLUMN())),OFFSET($BN$2,0,0,ROW()-1,60),ROW()-1,FALSE))</f>
        <v>89.644000000000005</v>
      </c>
      <c r="AC133">
        <f ca="1">IF(AND(ISNUMBER($AC$586),$B$419=1),$AC$586,HLOOKUP(INDIRECT(ADDRESS(2,COLUMN())),OFFSET($BN$2,0,0,ROW()-1,60),ROW()-1,FALSE))</f>
        <v>85.463999999999999</v>
      </c>
      <c r="AD133">
        <f ca="1">IF(AND(ISNUMBER($AD$586),$B$419=1),$AD$586,HLOOKUP(INDIRECT(ADDRESS(2,COLUMN())),OFFSET($BN$2,0,0,ROW()-1,60),ROW()-1,FALSE))</f>
        <v>84.7</v>
      </c>
      <c r="AE133" t="str">
        <f ca="1">IF(AND(ISNUMBER($AE$586),$B$419=1),$AE$586,HLOOKUP(INDIRECT(ADDRESS(2,COLUMN())),OFFSET($BN$2,0,0,ROW()-1,60),ROW()-1,FALSE))</f>
        <v/>
      </c>
      <c r="AF133" t="str">
        <f ca="1">IF(AND(ISNUMBER($AF$586),$B$419=1),$AF$586,HLOOKUP(INDIRECT(ADDRESS(2,COLUMN())),OFFSET($BN$2,0,0,ROW()-1,60),ROW()-1,FALSE))</f>
        <v/>
      </c>
      <c r="AG133" t="str">
        <f ca="1">IF(AND(ISNUMBER($AG$586),$B$419=1),$AG$586,HLOOKUP(INDIRECT(ADDRESS(2,COLUMN())),OFFSET($BN$2,0,0,ROW()-1,60),ROW()-1,FALSE))</f>
        <v/>
      </c>
      <c r="AH133" t="str">
        <f ca="1">IF(AND(ISNUMBER($AH$586),$B$419=1),$AH$586,HLOOKUP(INDIRECT(ADDRESS(2,COLUMN())),OFFSET($BN$2,0,0,ROW()-1,60),ROW()-1,FALSE))</f>
        <v/>
      </c>
      <c r="AI133" t="str">
        <f ca="1">IF(AND(ISNUMBER($AI$586),$B$419=1),$AI$586,HLOOKUP(INDIRECT(ADDRESS(2,COLUMN())),OFFSET($BN$2,0,0,ROW()-1,60),ROW()-1,FALSE))</f>
        <v/>
      </c>
      <c r="AJ133" t="str">
        <f ca="1">IF(AND(ISNUMBER($AJ$586),$B$419=1),$AJ$586,HLOOKUP(INDIRECT(ADDRESS(2,COLUMN())),OFFSET($BN$2,0,0,ROW()-1,60),ROW()-1,FALSE))</f>
        <v/>
      </c>
      <c r="AK133" t="str">
        <f ca="1">IF(AND(ISNUMBER($AK$586),$B$419=1),$AK$586,HLOOKUP(INDIRECT(ADDRESS(2,COLUMN())),OFFSET($BN$2,0,0,ROW()-1,60),ROW()-1,FALSE))</f>
        <v/>
      </c>
      <c r="AL133" t="str">
        <f ca="1">IF(AND(ISNUMBER($AL$586),$B$419=1),$AL$586,HLOOKUP(INDIRECT(ADDRESS(2,COLUMN())),OFFSET($BN$2,0,0,ROW()-1,60),ROW()-1,FALSE))</f>
        <v/>
      </c>
      <c r="AM133" t="str">
        <f ca="1">IF(AND(ISNUMBER($AM$586),$B$419=1),$AM$586,HLOOKUP(INDIRECT(ADDRESS(2,COLUMN())),OFFSET($BN$2,0,0,ROW()-1,60),ROW()-1,FALSE))</f>
        <v/>
      </c>
      <c r="AN133" t="str">
        <f ca="1">IF(AND(ISNUMBER($AN$586),$B$419=1),$AN$586,HLOOKUP(INDIRECT(ADDRESS(2,COLUMN())),OFFSET($BN$2,0,0,ROW()-1,60),ROW()-1,FALSE))</f>
        <v/>
      </c>
      <c r="AO133" t="str">
        <f ca="1">IF(AND(ISNUMBER($AO$586),$B$419=1),$AO$586,HLOOKUP(INDIRECT(ADDRESS(2,COLUMN())),OFFSET($BN$2,0,0,ROW()-1,60),ROW()-1,FALSE))</f>
        <v/>
      </c>
      <c r="AP133" t="str">
        <f ca="1">IF(AND(ISNUMBER($AP$586),$B$419=1),$AP$586,HLOOKUP(INDIRECT(ADDRESS(2,COLUMN())),OFFSET($BN$2,0,0,ROW()-1,60),ROW()-1,FALSE))</f>
        <v/>
      </c>
      <c r="AQ133" t="str">
        <f ca="1">IF(AND(ISNUMBER($AQ$586),$B$419=1),$AQ$586,HLOOKUP(INDIRECT(ADDRESS(2,COLUMN())),OFFSET($BN$2,0,0,ROW()-1,60),ROW()-1,FALSE))</f>
        <v/>
      </c>
      <c r="AR133" t="str">
        <f ca="1">IF(AND(ISNUMBER($AR$586),$B$419=1),$AR$586,HLOOKUP(INDIRECT(ADDRESS(2,COLUMN())),OFFSET($BN$2,0,0,ROW()-1,60),ROW()-1,FALSE))</f>
        <v/>
      </c>
      <c r="AS133" t="str">
        <f ca="1">IF(AND(ISNUMBER($AS$586),$B$419=1),$AS$586,HLOOKUP(INDIRECT(ADDRESS(2,COLUMN())),OFFSET($BN$2,0,0,ROW()-1,60),ROW()-1,FALSE))</f>
        <v/>
      </c>
      <c r="AT133" t="str">
        <f ca="1">IF(AND(ISNUMBER($AT$586),$B$419=1),$AT$586,HLOOKUP(INDIRECT(ADDRESS(2,COLUMN())),OFFSET($BN$2,0,0,ROW()-1,60),ROW()-1,FALSE))</f>
        <v/>
      </c>
      <c r="AU133" t="str">
        <f ca="1">IF(AND(ISNUMBER($AU$586),$B$419=1),$AU$586,HLOOKUP(INDIRECT(ADDRESS(2,COLUMN())),OFFSET($BN$2,0,0,ROW()-1,60),ROW()-1,FALSE))</f>
        <v/>
      </c>
      <c r="AV133" t="str">
        <f ca="1">IF(AND(ISNUMBER($AV$586),$B$419=1),$AV$586,HLOOKUP(INDIRECT(ADDRESS(2,COLUMN())),OFFSET($BN$2,0,0,ROW()-1,60),ROW()-1,FALSE))</f>
        <v/>
      </c>
      <c r="AW133" t="str">
        <f ca="1">IF(AND(ISNUMBER($AW$586),$B$419=1),$AW$586,HLOOKUP(INDIRECT(ADDRESS(2,COLUMN())),OFFSET($BN$2,0,0,ROW()-1,60),ROW()-1,FALSE))</f>
        <v/>
      </c>
      <c r="AX133" t="str">
        <f ca="1">IF(AND(ISNUMBER($AX$586),$B$419=1),$AX$586,HLOOKUP(INDIRECT(ADDRESS(2,COLUMN())),OFFSET($BN$2,0,0,ROW()-1,60),ROW()-1,FALSE))</f>
        <v/>
      </c>
      <c r="AY133" t="str">
        <f ca="1">IF(AND(ISNUMBER($AY$586),$B$419=1),$AY$586,HLOOKUP(INDIRECT(ADDRESS(2,COLUMN())),OFFSET($BN$2,0,0,ROW()-1,60),ROW()-1,FALSE))</f>
        <v/>
      </c>
      <c r="AZ133" t="str">
        <f ca="1">IF(AND(ISNUMBER($AZ$586),$B$419=1),$AZ$586,HLOOKUP(INDIRECT(ADDRESS(2,COLUMN())),OFFSET($BN$2,0,0,ROW()-1,60),ROW()-1,FALSE))</f>
        <v/>
      </c>
      <c r="BA133" t="str">
        <f ca="1">IF(AND(ISNUMBER($BA$586),$B$419=1),$BA$586,HLOOKUP(INDIRECT(ADDRESS(2,COLUMN())),OFFSET($BN$2,0,0,ROW()-1,60),ROW()-1,FALSE))</f>
        <v/>
      </c>
      <c r="BB133" t="str">
        <f ca="1">IF(AND(ISNUMBER($BB$586),$B$419=1),$BB$586,HLOOKUP(INDIRECT(ADDRESS(2,COLUMN())),OFFSET($BN$2,0,0,ROW()-1,60),ROW()-1,FALSE))</f>
        <v/>
      </c>
      <c r="BC133" t="str">
        <f ca="1">IF(AND(ISNUMBER($BC$586),$B$419=1),$BC$586,HLOOKUP(INDIRECT(ADDRESS(2,COLUMN())),OFFSET($BN$2,0,0,ROW()-1,60),ROW()-1,FALSE))</f>
        <v/>
      </c>
      <c r="BD133" t="str">
        <f ca="1">IF(AND(ISNUMBER($BD$586),$B$419=1),$BD$586,HLOOKUP(INDIRECT(ADDRESS(2,COLUMN())),OFFSET($BN$2,0,0,ROW()-1,60),ROW()-1,FALSE))</f>
        <v/>
      </c>
      <c r="BE133" t="str">
        <f ca="1">IF(AND(ISNUMBER($BE$586),$B$419=1),$BE$586,HLOOKUP(INDIRECT(ADDRESS(2,COLUMN())),OFFSET($BN$2,0,0,ROW()-1,60),ROW()-1,FALSE))</f>
        <v/>
      </c>
      <c r="BF133" t="str">
        <f ca="1">IF(AND(ISNUMBER($BF$586),$B$419=1),$BF$586,HLOOKUP(INDIRECT(ADDRESS(2,COLUMN())),OFFSET($BN$2,0,0,ROW()-1,60),ROW()-1,FALSE))</f>
        <v/>
      </c>
      <c r="BG133" t="str">
        <f ca="1">IF(AND(ISNUMBER($BG$586),$B$419=1),$BG$586,HLOOKUP(INDIRECT(ADDRESS(2,COLUMN())),OFFSET($BN$2,0,0,ROW()-1,60),ROW()-1,FALSE))</f>
        <v/>
      </c>
      <c r="BH133" t="str">
        <f ca="1">IF(AND(ISNUMBER($BH$586),$B$419=1),$BH$586,HLOOKUP(INDIRECT(ADDRESS(2,COLUMN())),OFFSET($BN$2,0,0,ROW()-1,60),ROW()-1,FALSE))</f>
        <v/>
      </c>
      <c r="BI133" t="str">
        <f ca="1">IF(AND(ISNUMBER($BI$586),$B$419=1),$BI$586,HLOOKUP(INDIRECT(ADDRESS(2,COLUMN())),OFFSET($BN$2,0,0,ROW()-1,60),ROW()-1,FALSE))</f>
        <v/>
      </c>
      <c r="BJ133" t="str">
        <f ca="1">IF(AND(ISNUMBER($BJ$586),$B$419=1),$BJ$586,HLOOKUP(INDIRECT(ADDRESS(2,COLUMN())),OFFSET($BN$2,0,0,ROW()-1,60),ROW()-1,FALSE))</f>
        <v/>
      </c>
      <c r="BK133" t="str">
        <f ca="1">IF(AND(ISNUMBER($BK$586),$B$419=1),$BK$586,HLOOKUP(INDIRECT(ADDRESS(2,COLUMN())),OFFSET($BN$2,0,0,ROW()-1,60),ROW()-1,FALSE))</f>
        <v/>
      </c>
      <c r="BL133" t="str">
        <f ca="1">IF(AND(ISNUMBER($BL$586),$B$419=1),$BL$586,HLOOKUP(INDIRECT(ADDRESS(2,COLUMN())),OFFSET($BN$2,0,0,ROW()-1,60),ROW()-1,FALSE))</f>
        <v/>
      </c>
      <c r="BM133" t="str">
        <f ca="1">IF(AND(ISNUMBER($BM$586),$B$419=1),$BM$586,HLOOKUP(INDIRECT(ADDRESS(2,COLUMN())),OFFSET($BN$2,0,0,ROW()-1,60),ROW()-1,FALSE))</f>
        <v/>
      </c>
      <c r="BN133" t="str">
        <f>""</f>
        <v/>
      </c>
      <c r="BO133">
        <f>125.199</f>
        <v>125.199</v>
      </c>
      <c r="BP133">
        <f>136.736</f>
        <v>136.73599999999999</v>
      </c>
      <c r="BQ133">
        <f>125.462</f>
        <v>125.462</v>
      </c>
      <c r="BR133">
        <f>124.361</f>
        <v>124.361</v>
      </c>
      <c r="BS133">
        <f>112.533</f>
        <v>112.533</v>
      </c>
      <c r="BT133">
        <f>120.117</f>
        <v>120.117</v>
      </c>
      <c r="BU133">
        <f>121.209</f>
        <v>121.209</v>
      </c>
      <c r="BV133">
        <f>148.603</f>
        <v>148.60300000000001</v>
      </c>
      <c r="BW133">
        <f>115.316</f>
        <v>115.316</v>
      </c>
      <c r="BX133">
        <f>125.256</f>
        <v>125.256</v>
      </c>
      <c r="BY133">
        <f>102.647</f>
        <v>102.64700000000001</v>
      </c>
      <c r="BZ133">
        <f>111.966</f>
        <v>111.96599999999999</v>
      </c>
      <c r="CA133">
        <f>87.692</f>
        <v>87.691999999999993</v>
      </c>
      <c r="CB133">
        <f>97.602</f>
        <v>97.602000000000004</v>
      </c>
      <c r="CC133">
        <f>89.769</f>
        <v>89.769000000000005</v>
      </c>
      <c r="CD133">
        <f>92.95</f>
        <v>92.95</v>
      </c>
      <c r="CE133">
        <f>41.028</f>
        <v>41.027999999999999</v>
      </c>
      <c r="CF133">
        <f>59.055</f>
        <v>59.055</v>
      </c>
      <c r="CG133">
        <f>103.163</f>
        <v>103.163</v>
      </c>
      <c r="CH133">
        <f>90.305</f>
        <v>90.305000000000007</v>
      </c>
      <c r="CI133">
        <f>94.803</f>
        <v>94.802999999999997</v>
      </c>
      <c r="CJ133">
        <f>89.644</f>
        <v>89.644000000000005</v>
      </c>
      <c r="CK133">
        <f>85.464</f>
        <v>85.463999999999999</v>
      </c>
      <c r="CL133">
        <f>84.7</f>
        <v>84.7</v>
      </c>
      <c r="CM133" t="str">
        <f>""</f>
        <v/>
      </c>
      <c r="CN133" t="str">
        <f>""</f>
        <v/>
      </c>
      <c r="CO133" t="str">
        <f>""</f>
        <v/>
      </c>
      <c r="CP133" t="str">
        <f>""</f>
        <v/>
      </c>
      <c r="CQ133" t="str">
        <f>""</f>
        <v/>
      </c>
      <c r="CR133" t="str">
        <f>""</f>
        <v/>
      </c>
      <c r="CS133" t="str">
        <f>""</f>
        <v/>
      </c>
      <c r="CT133" t="str">
        <f>""</f>
        <v/>
      </c>
      <c r="CU133" t="str">
        <f>""</f>
        <v/>
      </c>
      <c r="CV133" t="str">
        <f>""</f>
        <v/>
      </c>
      <c r="CW133" t="str">
        <f>""</f>
        <v/>
      </c>
      <c r="CX133" t="str">
        <f>""</f>
        <v/>
      </c>
      <c r="CY133" t="str">
        <f>""</f>
        <v/>
      </c>
      <c r="CZ133" t="str">
        <f>""</f>
        <v/>
      </c>
      <c r="DA133" t="str">
        <f>""</f>
        <v/>
      </c>
      <c r="DB133" t="str">
        <f>""</f>
        <v/>
      </c>
      <c r="DC133" t="str">
        <f>""</f>
        <v/>
      </c>
      <c r="DD133" t="str">
        <f>""</f>
        <v/>
      </c>
      <c r="DE133" t="str">
        <f>""</f>
        <v/>
      </c>
      <c r="DF133" t="str">
        <f>""</f>
        <v/>
      </c>
      <c r="DG133" t="str">
        <f>""</f>
        <v/>
      </c>
      <c r="DH133" t="str">
        <f>""</f>
        <v/>
      </c>
      <c r="DI133" t="str">
        <f>""</f>
        <v/>
      </c>
      <c r="DJ133" t="str">
        <f>""</f>
        <v/>
      </c>
      <c r="DK133" t="str">
        <f>""</f>
        <v/>
      </c>
      <c r="DL133" t="str">
        <f>""</f>
        <v/>
      </c>
      <c r="DM133" t="str">
        <f>""</f>
        <v/>
      </c>
      <c r="DN133" t="str">
        <f>""</f>
        <v/>
      </c>
      <c r="DO133" t="str">
        <f>""</f>
        <v/>
      </c>
      <c r="DP133" t="str">
        <f>""</f>
        <v/>
      </c>
      <c r="DQ133" t="str">
        <f>""</f>
        <v/>
      </c>
      <c r="DR133" t="str">
        <f>""</f>
        <v/>
      </c>
      <c r="DS133" t="str">
        <f>""</f>
        <v/>
      </c>
      <c r="DT133" t="str">
        <f>""</f>
        <v/>
      </c>
      <c r="DU133" t="str">
        <f>""</f>
        <v/>
      </c>
    </row>
    <row r="134" spans="1:125">
      <c r="A134" t="str">
        <f>"    CBL &amp; Associates Properties In"</f>
        <v xml:space="preserve">    CBL &amp; Associates Properties In</v>
      </c>
      <c r="B134" t="str">
        <f>"CBL US Equity"</f>
        <v>CBL US Equity</v>
      </c>
      <c r="C134" t="str">
        <f t="shared" si="24"/>
        <v>F0578</v>
      </c>
      <c r="D134" t="str">
        <f t="shared" si="25"/>
        <v>FUNDS_AVAILABLE_FOR_DISTRIBUTION</v>
      </c>
      <c r="E134" t="str">
        <f t="shared" si="26"/>
        <v>动态</v>
      </c>
      <c r="F134" t="str">
        <f ca="1">IF(AND(ISNUMBER($F$587),$B$419=1),$F$587,HLOOKUP(INDIRECT(ADDRESS(2,COLUMN())),OFFSET($BN$2,0,0,ROW()-1,60),ROW()-1,FALSE))</f>
        <v/>
      </c>
      <c r="G134">
        <f ca="1">IF(AND(ISNUMBER($G$587),$B$419=1),$G$587,HLOOKUP(INDIRECT(ADDRESS(2,COLUMN())),OFFSET($BN$2,0,0,ROW()-1,60),ROW()-1,FALSE))</f>
        <v>113.17700000000001</v>
      </c>
      <c r="H134">
        <f ca="1">IF(AND(ISNUMBER($H$587),$B$419=1),$H$587,HLOOKUP(INDIRECT(ADDRESS(2,COLUMN())),OFFSET($BN$2,0,0,ROW()-1,60),ROW()-1,FALSE))</f>
        <v>78.064999999999998</v>
      </c>
      <c r="I134">
        <f ca="1">IF(AND(ISNUMBER($I$587),$B$419=1),$I$587,HLOOKUP(INDIRECT(ADDRESS(2,COLUMN())),OFFSET($BN$2,0,0,ROW()-1,60),ROW()-1,FALSE))</f>
        <v>80.085999999999999</v>
      </c>
      <c r="J134">
        <f ca="1">IF(AND(ISNUMBER($J$587),$B$419=1),$J$587,HLOOKUP(INDIRECT(ADDRESS(2,COLUMN())),OFFSET($BN$2,0,0,ROW()-1,60),ROW()-1,FALSE))</f>
        <v>87.257000000000005</v>
      </c>
      <c r="K134">
        <f ca="1">IF(AND(ISNUMBER($K$587),$B$419=1),$K$587,HLOOKUP(INDIRECT(ADDRESS(2,COLUMN())),OFFSET($BN$2,0,0,ROW()-1,60),ROW()-1,FALSE))</f>
        <v>113.524</v>
      </c>
      <c r="L134">
        <f ca="1">IF(AND(ISNUMBER($L$587),$B$419=1),$L$587,HLOOKUP(INDIRECT(ADDRESS(2,COLUMN())),OFFSET($BN$2,0,0,ROW()-1,60),ROW()-1,FALSE))</f>
        <v>84.17</v>
      </c>
      <c r="M134">
        <f ca="1">IF(AND(ISNUMBER($M$587),$B$419=1),$M$587,HLOOKUP(INDIRECT(ADDRESS(2,COLUMN())),OFFSET($BN$2,0,0,ROW()-1,60),ROW()-1,FALSE))</f>
        <v>92.33</v>
      </c>
      <c r="N134">
        <f ca="1">IF(AND(ISNUMBER($N$587),$B$419=1),$N$587,HLOOKUP(INDIRECT(ADDRESS(2,COLUMN())),OFFSET($BN$2,0,0,ROW()-1,60),ROW()-1,FALSE))</f>
        <v>94.388000000000005</v>
      </c>
      <c r="O134">
        <f ca="1">IF(AND(ISNUMBER($O$587),$B$419=1),$O$587,HLOOKUP(INDIRECT(ADDRESS(2,COLUMN())),OFFSET($BN$2,0,0,ROW()-1,60),ROW()-1,FALSE))</f>
        <v>116.657</v>
      </c>
      <c r="P134">
        <f ca="1">IF(AND(ISNUMBER($P$587),$B$419=1),$P$587,HLOOKUP(INDIRECT(ADDRESS(2,COLUMN())),OFFSET($BN$2,0,0,ROW()-1,60),ROW()-1,FALSE))</f>
        <v>76.983000000000004</v>
      </c>
      <c r="Q134">
        <f ca="1">IF(AND(ISNUMBER($Q$587),$B$419=1),$Q$587,HLOOKUP(INDIRECT(ADDRESS(2,COLUMN())),OFFSET($BN$2,0,0,ROW()-1,60),ROW()-1,FALSE))</f>
        <v>81.849999999999994</v>
      </c>
      <c r="R134">
        <f ca="1">IF(AND(ISNUMBER($R$587),$B$419=1),$R$587,HLOOKUP(INDIRECT(ADDRESS(2,COLUMN())),OFFSET($BN$2,0,0,ROW()-1,60),ROW()-1,FALSE))</f>
        <v>85.712000000000003</v>
      </c>
      <c r="S134">
        <f ca="1">IF(AND(ISNUMBER($S$587),$B$419=1),$S$587,HLOOKUP(INDIRECT(ADDRESS(2,COLUMN())),OFFSET($BN$2,0,0,ROW()-1,60),ROW()-1,FALSE))</f>
        <v>105.952</v>
      </c>
      <c r="T134">
        <f ca="1">IF(AND(ISNUMBER($T$587),$B$419=1),$T$587,HLOOKUP(INDIRECT(ADDRESS(2,COLUMN())),OFFSET($BN$2,0,0,ROW()-1,60),ROW()-1,FALSE))</f>
        <v>74.173000000000002</v>
      </c>
      <c r="U134">
        <f ca="1">IF(AND(ISNUMBER($U$587),$B$419=1),$U$587,HLOOKUP(INDIRECT(ADDRESS(2,COLUMN())),OFFSET($BN$2,0,0,ROW()-1,60),ROW()-1,FALSE))</f>
        <v>90.463999999999999</v>
      </c>
      <c r="V134">
        <f ca="1">IF(AND(ISNUMBER($V$587),$B$419=1),$V$587,HLOOKUP(INDIRECT(ADDRESS(2,COLUMN())),OFFSET($BN$2,0,0,ROW()-1,60),ROW()-1,FALSE))</f>
        <v>86.834999999999994</v>
      </c>
      <c r="W134">
        <f ca="1">IF(AND(ISNUMBER($W$587),$B$419=1),$W$587,HLOOKUP(INDIRECT(ADDRESS(2,COLUMN())),OFFSET($BN$2,0,0,ROW()-1,60),ROW()-1,FALSE))</f>
        <v>93.614000000000004</v>
      </c>
      <c r="X134">
        <f ca="1">IF(AND(ISNUMBER($X$587),$B$419=1),$X$587,HLOOKUP(INDIRECT(ADDRESS(2,COLUMN())),OFFSET($BN$2,0,0,ROW()-1,60),ROW()-1,FALSE))</f>
        <v>50.427</v>
      </c>
      <c r="Y134">
        <f ca="1">IF(AND(ISNUMBER($Y$587),$B$419=1),$Y$587,HLOOKUP(INDIRECT(ADDRESS(2,COLUMN())),OFFSET($BN$2,0,0,ROW()-1,60),ROW()-1,FALSE))</f>
        <v>77.932000000000002</v>
      </c>
      <c r="Z134">
        <f ca="1">IF(AND(ISNUMBER($Z$587),$B$419=1),$Z$587,HLOOKUP(INDIRECT(ADDRESS(2,COLUMN())),OFFSET($BN$2,0,0,ROW()-1,60),ROW()-1,FALSE))</f>
        <v>74.933000000000007</v>
      </c>
      <c r="AA134">
        <f ca="1">IF(AND(ISNUMBER($AA$587),$B$419=1),$AA$587,HLOOKUP(INDIRECT(ADDRESS(2,COLUMN())),OFFSET($BN$2,0,0,ROW()-1,60),ROW()-1,FALSE))</f>
        <v>28.363</v>
      </c>
      <c r="AB134">
        <f ca="1">IF(AND(ISNUMBER($AB$587),$B$419=1),$AB$587,HLOOKUP(INDIRECT(ADDRESS(2,COLUMN())),OFFSET($BN$2,0,0,ROW()-1,60),ROW()-1,FALSE))</f>
        <v>55.188000000000002</v>
      </c>
      <c r="AC134">
        <f ca="1">IF(AND(ISNUMBER($AC$587),$B$419=1),$AC$587,HLOOKUP(INDIRECT(ADDRESS(2,COLUMN())),OFFSET($BN$2,0,0,ROW()-1,60),ROW()-1,FALSE))</f>
        <v>46.77</v>
      </c>
      <c r="AD134">
        <f ca="1">IF(AND(ISNUMBER($AD$587),$B$419=1),$AD$587,HLOOKUP(INDIRECT(ADDRESS(2,COLUMN())),OFFSET($BN$2,0,0,ROW()-1,60),ROW()-1,FALSE))</f>
        <v>56.984999999999999</v>
      </c>
      <c r="AE134">
        <f ca="1">IF(AND(ISNUMBER($AE$587),$B$419=1),$AE$587,HLOOKUP(INDIRECT(ADDRESS(2,COLUMN())),OFFSET($BN$2,0,0,ROW()-1,60),ROW()-1,FALSE))</f>
        <v>63.63</v>
      </c>
      <c r="AF134">
        <f ca="1">IF(AND(ISNUMBER($AF$587),$B$419=1),$AF$587,HLOOKUP(INDIRECT(ADDRESS(2,COLUMN())),OFFSET($BN$2,0,0,ROW()-1,60),ROW()-1,FALSE))</f>
        <v>49.811999999999998</v>
      </c>
      <c r="AG134">
        <f ca="1">IF(AND(ISNUMBER($AG$587),$B$419=1),$AG$587,HLOOKUP(INDIRECT(ADDRESS(2,COLUMN())),OFFSET($BN$2,0,0,ROW()-1,60),ROW()-1,FALSE))</f>
        <v>53.064999999999998</v>
      </c>
      <c r="AH134">
        <f ca="1">IF(AND(ISNUMBER($AH$587),$B$419=1),$AH$587,HLOOKUP(INDIRECT(ADDRESS(2,COLUMN())),OFFSET($BN$2,0,0,ROW()-1,60),ROW()-1,FALSE))</f>
        <v>27.527000000000001</v>
      </c>
      <c r="AI134">
        <f ca="1">IF(AND(ISNUMBER($AI$587),$B$419=1),$AI$587,HLOOKUP(INDIRECT(ADDRESS(2,COLUMN())),OFFSET($BN$2,0,0,ROW()-1,60),ROW()-1,FALSE))</f>
        <v>84.572000000000003</v>
      </c>
      <c r="AJ134">
        <f ca="1">IF(AND(ISNUMBER($AJ$587),$B$419=1),$AJ$587,HLOOKUP(INDIRECT(ADDRESS(2,COLUMN())),OFFSET($BN$2,0,0,ROW()-1,60),ROW()-1,FALSE))</f>
        <v>40.732999999999997</v>
      </c>
      <c r="AK134">
        <f ca="1">IF(AND(ISNUMBER($AK$587),$B$419=1),$AK$587,HLOOKUP(INDIRECT(ADDRESS(2,COLUMN())),OFFSET($BN$2,0,0,ROW()-1,60),ROW()-1,FALSE))</f>
        <v>73.257000000000005</v>
      </c>
      <c r="AL134">
        <f ca="1">IF(AND(ISNUMBER($AL$587),$B$419=1),$AL$587,HLOOKUP(INDIRECT(ADDRESS(2,COLUMN())),OFFSET($BN$2,0,0,ROW()-1,60),ROW()-1,FALSE))</f>
        <v>56.738</v>
      </c>
      <c r="AM134">
        <f ca="1">IF(AND(ISNUMBER($AM$587),$B$419=1),$AM$587,HLOOKUP(INDIRECT(ADDRESS(2,COLUMN())),OFFSET($BN$2,0,0,ROW()-1,60),ROW()-1,FALSE))</f>
        <v>101.089</v>
      </c>
      <c r="AN134">
        <f ca="1">IF(AND(ISNUMBER($AN$587),$B$419=1),$AN$587,HLOOKUP(INDIRECT(ADDRESS(2,COLUMN())),OFFSET($BN$2,0,0,ROW()-1,60),ROW()-1,FALSE))</f>
        <v>45.95</v>
      </c>
      <c r="AO134">
        <f ca="1">IF(AND(ISNUMBER($AO$587),$B$419=1),$AO$587,HLOOKUP(INDIRECT(ADDRESS(2,COLUMN())),OFFSET($BN$2,0,0,ROW()-1,60),ROW()-1,FALSE))</f>
        <v>42.466000000000001</v>
      </c>
      <c r="AP134">
        <f ca="1">IF(AND(ISNUMBER($AP$587),$B$419=1),$AP$587,HLOOKUP(INDIRECT(ADDRESS(2,COLUMN())),OFFSET($BN$2,0,0,ROW()-1,60),ROW()-1,FALSE))</f>
        <v>43.136000000000003</v>
      </c>
      <c r="AQ134">
        <f ca="1">IF(AND(ISNUMBER($AQ$587),$B$419=1),$AQ$587,HLOOKUP(INDIRECT(ADDRESS(2,COLUMN())),OFFSET($BN$2,0,0,ROW()-1,60),ROW()-1,FALSE))</f>
        <v>41.167000000000002</v>
      </c>
      <c r="AR134">
        <f ca="1">IF(AND(ISNUMBER($AR$587),$B$419=1),$AR$587,HLOOKUP(INDIRECT(ADDRESS(2,COLUMN())),OFFSET($BN$2,0,0,ROW()-1,60),ROW()-1,FALSE))</f>
        <v>40.064</v>
      </c>
      <c r="AS134">
        <f ca="1">IF(AND(ISNUMBER($AS$587),$B$419=1),$AS$587,HLOOKUP(INDIRECT(ADDRESS(2,COLUMN())),OFFSET($BN$2,0,0,ROW()-1,60),ROW()-1,FALSE))</f>
        <v>32.146999999999998</v>
      </c>
      <c r="AT134">
        <f ca="1">IF(AND(ISNUMBER($AT$587),$B$419=1),$AT$587,HLOOKUP(INDIRECT(ADDRESS(2,COLUMN())),OFFSET($BN$2,0,0,ROW()-1,60),ROW()-1,FALSE))</f>
        <v>36.319000000000003</v>
      </c>
      <c r="AU134">
        <f ca="1">IF(AND(ISNUMBER($AU$587),$B$419=1),$AU$587,HLOOKUP(INDIRECT(ADDRESS(2,COLUMN())),OFFSET($BN$2,0,0,ROW()-1,60),ROW()-1,FALSE))</f>
        <v>12.738</v>
      </c>
      <c r="AV134">
        <f ca="1">IF(AND(ISNUMBER($AV$587),$B$419=1),$AV$587,HLOOKUP(INDIRECT(ADDRESS(2,COLUMN())),OFFSET($BN$2,0,0,ROW()-1,60),ROW()-1,FALSE))</f>
        <v>14.132999999999999</v>
      </c>
      <c r="AW134">
        <f ca="1">IF(AND(ISNUMBER($AW$587),$B$419=1),$AW$587,HLOOKUP(INDIRECT(ADDRESS(2,COLUMN())),OFFSET($BN$2,0,0,ROW()-1,60),ROW()-1,FALSE))</f>
        <v>21.773</v>
      </c>
      <c r="AX134">
        <f ca="1">IF(AND(ISNUMBER($AX$587),$B$419=1),$AX$587,HLOOKUP(INDIRECT(ADDRESS(2,COLUMN())),OFFSET($BN$2,0,0,ROW()-1,60),ROW()-1,FALSE))</f>
        <v>29.992000000000001</v>
      </c>
      <c r="AY134">
        <f ca="1">IF(AND(ISNUMBER($AY$587),$B$419=1),$AY$587,HLOOKUP(INDIRECT(ADDRESS(2,COLUMN())),OFFSET($BN$2,0,0,ROW()-1,60),ROW()-1,FALSE))</f>
        <v>19.558</v>
      </c>
      <c r="AZ134">
        <f ca="1">IF(AND(ISNUMBER($AZ$587),$B$419=1),$AZ$587,HLOOKUP(INDIRECT(ADDRESS(2,COLUMN())),OFFSET($BN$2,0,0,ROW()-1,60),ROW()-1,FALSE))</f>
        <v>15.430999999999999</v>
      </c>
      <c r="BA134">
        <f ca="1">IF(AND(ISNUMBER($BA$587),$B$419=1),$BA$587,HLOOKUP(INDIRECT(ADDRESS(2,COLUMN())),OFFSET($BN$2,0,0,ROW()-1,60),ROW()-1,FALSE))</f>
        <v>27.091999999999999</v>
      </c>
      <c r="BB134">
        <f ca="1">IF(AND(ISNUMBER($BB$587),$B$419=1),$BB$587,HLOOKUP(INDIRECT(ADDRESS(2,COLUMN())),OFFSET($BN$2,0,0,ROW()-1,60),ROW()-1,FALSE))</f>
        <v>43.13</v>
      </c>
      <c r="BC134">
        <f ca="1">IF(AND(ISNUMBER($BC$587),$B$419=1),$BC$587,HLOOKUP(INDIRECT(ADDRESS(2,COLUMN())),OFFSET($BN$2,0,0,ROW()-1,60),ROW()-1,FALSE))</f>
        <v>56.606999999999999</v>
      </c>
      <c r="BD134">
        <f ca="1">IF(AND(ISNUMBER($BD$587),$B$419=1),$BD$587,HLOOKUP(INDIRECT(ADDRESS(2,COLUMN())),OFFSET($BN$2,0,0,ROW()-1,60),ROW()-1,FALSE))</f>
        <v>114.41</v>
      </c>
      <c r="BE134">
        <f ca="1">IF(AND(ISNUMBER($BE$587),$B$419=1),$BE$587,HLOOKUP(INDIRECT(ADDRESS(2,COLUMN())),OFFSET($BN$2,0,0,ROW()-1,60),ROW()-1,FALSE))</f>
        <v>83.203000000000003</v>
      </c>
      <c r="BF134">
        <f ca="1">IF(AND(ISNUMBER($BF$587),$B$419=1),$BF$587,HLOOKUP(INDIRECT(ADDRESS(2,COLUMN())),OFFSET($BN$2,0,0,ROW()-1,60),ROW()-1,FALSE))</f>
        <v>88.460999999999999</v>
      </c>
      <c r="BG134">
        <f ca="1">IF(AND(ISNUMBER($BG$587),$B$419=1),$BG$587,HLOOKUP(INDIRECT(ADDRESS(2,COLUMN())),OFFSET($BN$2,0,0,ROW()-1,60),ROW()-1,FALSE))</f>
        <v>96.772000000000006</v>
      </c>
      <c r="BH134">
        <f ca="1">IF(AND(ISNUMBER($BH$587),$B$419=1),$BH$587,HLOOKUP(INDIRECT(ADDRESS(2,COLUMN())),OFFSET($BN$2,0,0,ROW()-1,60),ROW()-1,FALSE))</f>
        <v>75.235000999999997</v>
      </c>
      <c r="BI134">
        <f ca="1">IF(AND(ISNUMBER($BI$587),$B$419=1),$BI$587,HLOOKUP(INDIRECT(ADDRESS(2,COLUMN())),OFFSET($BN$2,0,0,ROW()-1,60),ROW()-1,FALSE))</f>
        <v>68.737999000000002</v>
      </c>
      <c r="BJ134">
        <f ca="1">IF(AND(ISNUMBER($BJ$587),$B$419=1),$BJ$587,HLOOKUP(INDIRECT(ADDRESS(2,COLUMN())),OFFSET($BN$2,0,0,ROW()-1,60),ROW()-1,FALSE))</f>
        <v>69.660004000000001</v>
      </c>
      <c r="BK134">
        <f ca="1">IF(AND(ISNUMBER($BK$587),$B$419=1),$BK$587,HLOOKUP(INDIRECT(ADDRESS(2,COLUMN())),OFFSET($BN$2,0,0,ROW()-1,60),ROW()-1,FALSE))</f>
        <v>71.084998999999996</v>
      </c>
      <c r="BL134">
        <f ca="1">IF(AND(ISNUMBER($BL$587),$B$419=1),$BL$587,HLOOKUP(INDIRECT(ADDRESS(2,COLUMN())),OFFSET($BN$2,0,0,ROW()-1,60),ROW()-1,FALSE))</f>
        <v>65.801002999999994</v>
      </c>
      <c r="BM134">
        <f ca="1">IF(AND(ISNUMBER($BM$587),$B$419=1),$BM$587,HLOOKUP(INDIRECT(ADDRESS(2,COLUMN())),OFFSET($BN$2,0,0,ROW()-1,60),ROW()-1,FALSE))</f>
        <v>67.405997999999997</v>
      </c>
      <c r="BN134" t="str">
        <f>""</f>
        <v/>
      </c>
      <c r="BO134">
        <f>113.177</f>
        <v>113.17700000000001</v>
      </c>
      <c r="BP134">
        <f>78.065</f>
        <v>78.064999999999998</v>
      </c>
      <c r="BQ134">
        <f>80.086</f>
        <v>80.085999999999999</v>
      </c>
      <c r="BR134">
        <f>87.257</f>
        <v>87.257000000000005</v>
      </c>
      <c r="BS134">
        <f>113.524</f>
        <v>113.524</v>
      </c>
      <c r="BT134">
        <f>84.17</f>
        <v>84.17</v>
      </c>
      <c r="BU134">
        <f>92.33</f>
        <v>92.33</v>
      </c>
      <c r="BV134">
        <f>94.388</f>
        <v>94.388000000000005</v>
      </c>
      <c r="BW134">
        <f>116.657</f>
        <v>116.657</v>
      </c>
      <c r="BX134">
        <f>76.983</f>
        <v>76.983000000000004</v>
      </c>
      <c r="BY134">
        <f>81.85</f>
        <v>81.849999999999994</v>
      </c>
      <c r="BZ134">
        <f>85.712</f>
        <v>85.712000000000003</v>
      </c>
      <c r="CA134">
        <f>105.952</f>
        <v>105.952</v>
      </c>
      <c r="CB134">
        <f>74.173</f>
        <v>74.173000000000002</v>
      </c>
      <c r="CC134">
        <f>90.464</f>
        <v>90.463999999999999</v>
      </c>
      <c r="CD134">
        <f>86.835</f>
        <v>86.834999999999994</v>
      </c>
      <c r="CE134">
        <f>93.614</f>
        <v>93.614000000000004</v>
      </c>
      <c r="CF134">
        <f>50.427</f>
        <v>50.427</v>
      </c>
      <c r="CG134">
        <f>77.932</f>
        <v>77.932000000000002</v>
      </c>
      <c r="CH134">
        <f>74.933</f>
        <v>74.933000000000007</v>
      </c>
      <c r="CI134">
        <f>28.363</f>
        <v>28.363</v>
      </c>
      <c r="CJ134">
        <f>55.188</f>
        <v>55.188000000000002</v>
      </c>
      <c r="CK134">
        <f>46.77</f>
        <v>46.77</v>
      </c>
      <c r="CL134">
        <f>56.985</f>
        <v>56.984999999999999</v>
      </c>
      <c r="CM134">
        <f>63.63</f>
        <v>63.63</v>
      </c>
      <c r="CN134">
        <f>49.812</f>
        <v>49.811999999999998</v>
      </c>
      <c r="CO134">
        <f>53.065</f>
        <v>53.064999999999998</v>
      </c>
      <c r="CP134">
        <f>27.527</f>
        <v>27.527000000000001</v>
      </c>
      <c r="CQ134">
        <f>84.572</f>
        <v>84.572000000000003</v>
      </c>
      <c r="CR134">
        <f>40.733</f>
        <v>40.732999999999997</v>
      </c>
      <c r="CS134">
        <f>73.257</f>
        <v>73.257000000000005</v>
      </c>
      <c r="CT134">
        <f>56.738</f>
        <v>56.738</v>
      </c>
      <c r="CU134">
        <f>101.089</f>
        <v>101.089</v>
      </c>
      <c r="CV134">
        <f>45.95</f>
        <v>45.95</v>
      </c>
      <c r="CW134">
        <f>42.466</f>
        <v>42.466000000000001</v>
      </c>
      <c r="CX134">
        <f>43.136</f>
        <v>43.136000000000003</v>
      </c>
      <c r="CY134">
        <f>41.167</f>
        <v>41.167000000000002</v>
      </c>
      <c r="CZ134">
        <f>40.064</f>
        <v>40.064</v>
      </c>
      <c r="DA134">
        <f>32.147</f>
        <v>32.146999999999998</v>
      </c>
      <c r="DB134">
        <f>36.319</f>
        <v>36.319000000000003</v>
      </c>
      <c r="DC134">
        <f>12.738</f>
        <v>12.738</v>
      </c>
      <c r="DD134">
        <f>14.133</f>
        <v>14.132999999999999</v>
      </c>
      <c r="DE134">
        <f>21.773</f>
        <v>21.773</v>
      </c>
      <c r="DF134">
        <f>29.992</f>
        <v>29.992000000000001</v>
      </c>
      <c r="DG134">
        <f>19.558</f>
        <v>19.558</v>
      </c>
      <c r="DH134">
        <f>15.431</f>
        <v>15.430999999999999</v>
      </c>
      <c r="DI134">
        <f>27.092</f>
        <v>27.091999999999999</v>
      </c>
      <c r="DJ134">
        <f>43.13</f>
        <v>43.13</v>
      </c>
      <c r="DK134">
        <f>56.607</f>
        <v>56.606999999999999</v>
      </c>
      <c r="DL134">
        <f>114.41</f>
        <v>114.41</v>
      </c>
      <c r="DM134">
        <f>83.203</f>
        <v>83.203000000000003</v>
      </c>
      <c r="DN134">
        <f>88.461</f>
        <v>88.460999999999999</v>
      </c>
      <c r="DO134">
        <f>96.772</f>
        <v>96.772000000000006</v>
      </c>
      <c r="DP134">
        <f>75.235001</f>
        <v>75.235000999999997</v>
      </c>
      <c r="DQ134">
        <f>68.737999</f>
        <v>68.737999000000002</v>
      </c>
      <c r="DR134">
        <f>69.660004</f>
        <v>69.660004000000001</v>
      </c>
      <c r="DS134">
        <f>71.084999</f>
        <v>71.084998999999996</v>
      </c>
      <c r="DT134">
        <f>65.801003</f>
        <v>65.801002999999994</v>
      </c>
      <c r="DU134">
        <f>67.405998</f>
        <v>67.405997999999997</v>
      </c>
    </row>
    <row r="135" spans="1:125">
      <c r="A135" t="str">
        <f>"    DDR Corp"</f>
        <v xml:space="preserve">    DDR Corp</v>
      </c>
      <c r="B135" t="str">
        <f>"DDR US Equity"</f>
        <v>DDR US Equity</v>
      </c>
      <c r="C135" t="str">
        <f t="shared" si="24"/>
        <v>F0578</v>
      </c>
      <c r="D135" t="str">
        <f t="shared" si="25"/>
        <v>FUNDS_AVAILABLE_FOR_DISTRIBUTION</v>
      </c>
      <c r="E135" t="str">
        <f t="shared" si="26"/>
        <v>动态</v>
      </c>
      <c r="F135" t="str">
        <f ca="1">IF(AND(ISNUMBER($F$588),$B$419=1),$F$588,HLOOKUP(INDIRECT(ADDRESS(2,COLUMN())),OFFSET($BN$2,0,0,ROW()-1,60),ROW()-1,FALSE))</f>
        <v/>
      </c>
      <c r="G135">
        <f ca="1">IF(AND(ISNUMBER($G$588),$B$419=1),$G$588,HLOOKUP(INDIRECT(ADDRESS(2,COLUMN())),OFFSET($BN$2,0,0,ROW()-1,60),ROW()-1,FALSE))</f>
        <v>96.277000000000001</v>
      </c>
      <c r="H135">
        <f ca="1">IF(AND(ISNUMBER($H$588),$B$419=1),$H$588,HLOOKUP(INDIRECT(ADDRESS(2,COLUMN())),OFFSET($BN$2,0,0,ROW()-1,60),ROW()-1,FALSE))</f>
        <v>105.334</v>
      </c>
      <c r="I135">
        <f ca="1">IF(AND(ISNUMBER($I$588),$B$419=1),$I$588,HLOOKUP(INDIRECT(ADDRESS(2,COLUMN())),OFFSET($BN$2,0,0,ROW()-1,60),ROW()-1,FALSE))</f>
        <v>97.793000000000006</v>
      </c>
      <c r="J135">
        <f ca="1">IF(AND(ISNUMBER($J$588),$B$419=1),$J$588,HLOOKUP(INDIRECT(ADDRESS(2,COLUMN())),OFFSET($BN$2,0,0,ROW()-1,60),ROW()-1,FALSE))</f>
        <v>95.513999999999996</v>
      </c>
      <c r="K135">
        <f ca="1">IF(AND(ISNUMBER($K$588),$B$419=1),$K$588,HLOOKUP(INDIRECT(ADDRESS(2,COLUMN())),OFFSET($BN$2,0,0,ROW()-1,60),ROW()-1,FALSE))</f>
        <v>99.36</v>
      </c>
      <c r="L135">
        <f ca="1">IF(AND(ISNUMBER($L$588),$B$419=1),$L$588,HLOOKUP(INDIRECT(ADDRESS(2,COLUMN())),OFFSET($BN$2,0,0,ROW()-1,60),ROW()-1,FALSE))</f>
        <v>122.083</v>
      </c>
      <c r="M135">
        <f ca="1">IF(AND(ISNUMBER($M$588),$B$419=1),$M$588,HLOOKUP(INDIRECT(ADDRESS(2,COLUMN())),OFFSET($BN$2,0,0,ROW()-1,60),ROW()-1,FALSE))</f>
        <v>109.16</v>
      </c>
      <c r="N135">
        <f ca="1">IF(AND(ISNUMBER($N$588),$B$419=1),$N$588,HLOOKUP(INDIRECT(ADDRESS(2,COLUMN())),OFFSET($BN$2,0,0,ROW()-1,60),ROW()-1,FALSE))</f>
        <v>108.316</v>
      </c>
      <c r="O135">
        <f ca="1">IF(AND(ISNUMBER($O$588),$B$419=1),$O$588,HLOOKUP(INDIRECT(ADDRESS(2,COLUMN())),OFFSET($BN$2,0,0,ROW()-1,60),ROW()-1,FALSE))</f>
        <v>99.055000000000007</v>
      </c>
      <c r="P135">
        <f ca="1">IF(AND(ISNUMBER($P$588),$B$419=1),$P$588,HLOOKUP(INDIRECT(ADDRESS(2,COLUMN())),OFFSET($BN$2,0,0,ROW()-1,60),ROW()-1,FALSE))</f>
        <v>130.69999999999999</v>
      </c>
      <c r="Q135">
        <f ca="1">IF(AND(ISNUMBER($Q$588),$B$419=1),$Q$588,HLOOKUP(INDIRECT(ADDRESS(2,COLUMN())),OFFSET($BN$2,0,0,ROW()-1,60),ROW()-1,FALSE))</f>
        <v>97.938999999999993</v>
      </c>
      <c r="R135">
        <f ca="1">IF(AND(ISNUMBER($R$588),$B$419=1),$R$588,HLOOKUP(INDIRECT(ADDRESS(2,COLUMN())),OFFSET($BN$2,0,0,ROW()-1,60),ROW()-1,FALSE))</f>
        <v>95.302999999999997</v>
      </c>
      <c r="S135">
        <f ca="1">IF(AND(ISNUMBER($S$588),$B$419=1),$S$588,HLOOKUP(INDIRECT(ADDRESS(2,COLUMN())),OFFSET($BN$2,0,0,ROW()-1,60),ROW()-1,FALSE))</f>
        <v>96.894000000000005</v>
      </c>
      <c r="T135">
        <f ca="1">IF(AND(ISNUMBER($T$588),$B$419=1),$T$588,HLOOKUP(INDIRECT(ADDRESS(2,COLUMN())),OFFSET($BN$2,0,0,ROW()-1,60),ROW()-1,FALSE))</f>
        <v>87.2</v>
      </c>
      <c r="U135">
        <f ca="1">IF(AND(ISNUMBER($U$588),$B$419=1),$U$588,HLOOKUP(INDIRECT(ADDRESS(2,COLUMN())),OFFSET($BN$2,0,0,ROW()-1,60),ROW()-1,FALSE))</f>
        <v>86.825999999999993</v>
      </c>
      <c r="V135">
        <f ca="1">IF(AND(ISNUMBER($V$588),$B$419=1),$V$588,HLOOKUP(INDIRECT(ADDRESS(2,COLUMN())),OFFSET($BN$2,0,0,ROW()-1,60),ROW()-1,FALSE))</f>
        <v>84.712000000000003</v>
      </c>
      <c r="W135">
        <f ca="1">IF(AND(ISNUMBER($W$588),$B$419=1),$W$588,HLOOKUP(INDIRECT(ADDRESS(2,COLUMN())),OFFSET($BN$2,0,0,ROW()-1,60),ROW()-1,FALSE))</f>
        <v>87.962999999999994</v>
      </c>
      <c r="X135">
        <f ca="1">IF(AND(ISNUMBER($X$588),$B$419=1),$X$588,HLOOKUP(INDIRECT(ADDRESS(2,COLUMN())),OFFSET($BN$2,0,0,ROW()-1,60),ROW()-1,FALSE))</f>
        <v>74.977999999999994</v>
      </c>
      <c r="Y135">
        <f ca="1">IF(AND(ISNUMBER($Y$588),$B$419=1),$Y$588,HLOOKUP(INDIRECT(ADDRESS(2,COLUMN())),OFFSET($BN$2,0,0,ROW()-1,60),ROW()-1,FALSE))</f>
        <v>67.194000000000003</v>
      </c>
      <c r="Z135">
        <f ca="1">IF(AND(ISNUMBER($Z$588),$B$419=1),$Z$588,HLOOKUP(INDIRECT(ADDRESS(2,COLUMN())),OFFSET($BN$2,0,0,ROW()-1,60),ROW()-1,FALSE))</f>
        <v>68.552000000000007</v>
      </c>
      <c r="AA135">
        <f ca="1">IF(AND(ISNUMBER($AA$588),$B$419=1),$AA$588,HLOOKUP(INDIRECT(ADDRESS(2,COLUMN())),OFFSET($BN$2,0,0,ROW()-1,60),ROW()-1,FALSE))</f>
        <v>72.397000000000006</v>
      </c>
      <c r="AB135">
        <f ca="1">IF(AND(ISNUMBER($AB$588),$B$419=1),$AB$588,HLOOKUP(INDIRECT(ADDRESS(2,COLUMN())),OFFSET($BN$2,0,0,ROW()-1,60),ROW()-1,FALSE))</f>
        <v>117.122</v>
      </c>
      <c r="AC135">
        <f ca="1">IF(AND(ISNUMBER($AC$588),$B$419=1),$AC$588,HLOOKUP(INDIRECT(ADDRESS(2,COLUMN())),OFFSET($BN$2,0,0,ROW()-1,60),ROW()-1,FALSE))</f>
        <v>61.712000000000003</v>
      </c>
      <c r="AD135">
        <f ca="1">IF(AND(ISNUMBER($AD$588),$B$419=1),$AD$588,HLOOKUP(INDIRECT(ADDRESS(2,COLUMN())),OFFSET($BN$2,0,0,ROW()-1,60),ROW()-1,FALSE))</f>
        <v>55.805999999999997</v>
      </c>
      <c r="AE135">
        <f ca="1">IF(AND(ISNUMBER($AE$588),$B$419=1),$AE$588,HLOOKUP(INDIRECT(ADDRESS(2,COLUMN())),OFFSET($BN$2,0,0,ROW()-1,60),ROW()-1,FALSE))</f>
        <v>62.795000000000002</v>
      </c>
      <c r="AF135">
        <f ca="1">IF(AND(ISNUMBER($AF$588),$B$419=1),$AF$588,HLOOKUP(INDIRECT(ADDRESS(2,COLUMN())),OFFSET($BN$2,0,0,ROW()-1,60),ROW()-1,FALSE))</f>
        <v>57.401000000000003</v>
      </c>
      <c r="AG135">
        <f ca="1">IF(AND(ISNUMBER($AG$588),$B$419=1),$AG$588,HLOOKUP(INDIRECT(ADDRESS(2,COLUMN())),OFFSET($BN$2,0,0,ROW()-1,60),ROW()-1,FALSE))</f>
        <v>55.72</v>
      </c>
      <c r="AH135">
        <f ca="1">IF(AND(ISNUMBER($AH$588),$B$419=1),$AH$588,HLOOKUP(INDIRECT(ADDRESS(2,COLUMN())),OFFSET($BN$2,0,0,ROW()-1,60),ROW()-1,FALSE))</f>
        <v>55.19</v>
      </c>
      <c r="AI135">
        <f ca="1">IF(AND(ISNUMBER($AI$588),$B$419=1),$AI$588,HLOOKUP(INDIRECT(ADDRESS(2,COLUMN())),OFFSET($BN$2,0,0,ROW()-1,60),ROW()-1,FALSE))</f>
        <v>70.195999999999998</v>
      </c>
      <c r="AJ135">
        <f ca="1">IF(AND(ISNUMBER($AJ$588),$B$419=1),$AJ$588,HLOOKUP(INDIRECT(ADDRESS(2,COLUMN())),OFFSET($BN$2,0,0,ROW()-1,60),ROW()-1,FALSE))</f>
        <v>101.143</v>
      </c>
      <c r="AK135">
        <f ca="1">IF(AND(ISNUMBER($AK$588),$B$419=1),$AK$588,HLOOKUP(INDIRECT(ADDRESS(2,COLUMN())),OFFSET($BN$2,0,0,ROW()-1,60),ROW()-1,FALSE))</f>
        <v>15.622999999999999</v>
      </c>
      <c r="AL135">
        <f ca="1">IF(AND(ISNUMBER($AL$588),$B$419=1),$AL$588,HLOOKUP(INDIRECT(ADDRESS(2,COLUMN())),OFFSET($BN$2,0,0,ROW()-1,60),ROW()-1,FALSE))</f>
        <v>63.496000000000002</v>
      </c>
      <c r="AM135">
        <f ca="1">IF(AND(ISNUMBER($AM$588),$B$419=1),$AM$588,HLOOKUP(INDIRECT(ADDRESS(2,COLUMN())),OFFSET($BN$2,0,0,ROW()-1,60),ROW()-1,FALSE))</f>
        <v>67.356999999999999</v>
      </c>
      <c r="AN135">
        <f ca="1">IF(AND(ISNUMBER($AN$588),$B$419=1),$AN$588,HLOOKUP(INDIRECT(ADDRESS(2,COLUMN())),OFFSET($BN$2,0,0,ROW()-1,60),ROW()-1,FALSE))</f>
        <v>-190.33099999999999</v>
      </c>
      <c r="AO135">
        <f ca="1">IF(AND(ISNUMBER($AO$588),$B$419=1),$AO$588,HLOOKUP(INDIRECT(ADDRESS(2,COLUMN())),OFFSET($BN$2,0,0,ROW()-1,60),ROW()-1,FALSE))</f>
        <v>76.974000000000004</v>
      </c>
      <c r="AP135">
        <f ca="1">IF(AND(ISNUMBER($AP$588),$B$419=1),$AP$588,HLOOKUP(INDIRECT(ADDRESS(2,COLUMN())),OFFSET($BN$2,0,0,ROW()-1,60),ROW()-1,FALSE))</f>
        <v>90.076999999999998</v>
      </c>
      <c r="AQ135">
        <f ca="1">IF(AND(ISNUMBER($AQ$588),$B$419=1),$AQ$588,HLOOKUP(INDIRECT(ADDRESS(2,COLUMN())),OFFSET($BN$2,0,0,ROW()-1,60),ROW()-1,FALSE))</f>
        <v>93.257000000000005</v>
      </c>
      <c r="AR135">
        <f ca="1">IF(AND(ISNUMBER($AR$588),$B$419=1),$AR$588,HLOOKUP(INDIRECT(ADDRESS(2,COLUMN())),OFFSET($BN$2,0,0,ROW()-1,60),ROW()-1,FALSE))</f>
        <v>104.72199999999999</v>
      </c>
      <c r="AS135">
        <f ca="1">IF(AND(ISNUMBER($AS$588),$B$419=1),$AS$588,HLOOKUP(INDIRECT(ADDRESS(2,COLUMN())),OFFSET($BN$2,0,0,ROW()-1,60),ROW()-1,FALSE))</f>
        <v>99.921999999999997</v>
      </c>
      <c r="AT135">
        <f ca="1">IF(AND(ISNUMBER($AT$588),$B$419=1),$AT$588,HLOOKUP(INDIRECT(ADDRESS(2,COLUMN())),OFFSET($BN$2,0,0,ROW()-1,60),ROW()-1,FALSE))</f>
        <v>100.47799999999999</v>
      </c>
      <c r="AU135">
        <f ca="1">IF(AND(ISNUMBER($AU$588),$B$419=1),$AU$588,HLOOKUP(INDIRECT(ADDRESS(2,COLUMN())),OFFSET($BN$2,0,0,ROW()-1,60),ROW()-1,FALSE))</f>
        <v>105.61199999999999</v>
      </c>
      <c r="AV135">
        <f ca="1">IF(AND(ISNUMBER($AV$588),$B$419=1),$AV$588,HLOOKUP(INDIRECT(ADDRESS(2,COLUMN())),OFFSET($BN$2,0,0,ROW()-1,60),ROW()-1,FALSE))</f>
        <v>101.422</v>
      </c>
      <c r="AW135">
        <f ca="1">IF(AND(ISNUMBER($AW$588),$B$419=1),$AW$588,HLOOKUP(INDIRECT(ADDRESS(2,COLUMN())),OFFSET($BN$2,0,0,ROW()-1,60),ROW()-1,FALSE))</f>
        <v>164.00700000000001</v>
      </c>
      <c r="AX135">
        <f ca="1">IF(AND(ISNUMBER($AX$588),$B$419=1),$AX$588,HLOOKUP(INDIRECT(ADDRESS(2,COLUMN())),OFFSET($BN$2,0,0,ROW()-1,60),ROW()-1,FALSE))</f>
        <v>113.102</v>
      </c>
      <c r="AY135">
        <f ca="1">IF(AND(ISNUMBER($AY$588),$B$419=1),$AY$588,HLOOKUP(INDIRECT(ADDRESS(2,COLUMN())),OFFSET($BN$2,0,0,ROW()-1,60),ROW()-1,FALSE))</f>
        <v>97.951999999999998</v>
      </c>
      <c r="AZ135">
        <f ca="1">IF(AND(ISNUMBER($AZ$588),$B$419=1),$AZ$588,HLOOKUP(INDIRECT(ADDRESS(2,COLUMN())),OFFSET($BN$2,0,0,ROW()-1,60),ROW()-1,FALSE))</f>
        <v>97.637</v>
      </c>
      <c r="BA135">
        <f ca="1">IF(AND(ISNUMBER($BA$588),$B$419=1),$BA$588,HLOOKUP(INDIRECT(ADDRESS(2,COLUMN())),OFFSET($BN$2,0,0,ROW()-1,60),ROW()-1,FALSE))</f>
        <v>116.82</v>
      </c>
      <c r="BB135">
        <f ca="1">IF(AND(ISNUMBER($BB$588),$B$419=1),$BB$588,HLOOKUP(INDIRECT(ADDRESS(2,COLUMN())),OFFSET($BN$2,0,0,ROW()-1,60),ROW()-1,FALSE))</f>
        <v>90.433000000000007</v>
      </c>
      <c r="BC135">
        <f ca="1">IF(AND(ISNUMBER($BC$588),$B$419=1),$BC$588,HLOOKUP(INDIRECT(ADDRESS(2,COLUMN())),OFFSET($BN$2,0,0,ROW()-1,60),ROW()-1,FALSE))</f>
        <v>95.504000000000005</v>
      </c>
      <c r="BD135">
        <f ca="1">IF(AND(ISNUMBER($BD$588),$B$419=1),$BD$588,HLOOKUP(INDIRECT(ADDRESS(2,COLUMN())),OFFSET($BN$2,0,0,ROW()-1,60),ROW()-1,FALSE))</f>
        <v>81.783000000000001</v>
      </c>
      <c r="BE135">
        <f ca="1">IF(AND(ISNUMBER($BE$588),$B$419=1),$BE$588,HLOOKUP(INDIRECT(ADDRESS(2,COLUMN())),OFFSET($BN$2,0,0,ROW()-1,60),ROW()-1,FALSE))</f>
        <v>92.534999999999997</v>
      </c>
      <c r="BF135">
        <f ca="1">IF(AND(ISNUMBER($BF$588),$B$419=1),$BF$588,HLOOKUP(INDIRECT(ADDRESS(2,COLUMN())),OFFSET($BN$2,0,0,ROW()-1,60),ROW()-1,FALSE))</f>
        <v>112.863</v>
      </c>
      <c r="BG135">
        <f ca="1">IF(AND(ISNUMBER($BG$588),$B$419=1),$BG$588,HLOOKUP(INDIRECT(ADDRESS(2,COLUMN())),OFFSET($BN$2,0,0,ROW()-1,60),ROW()-1,FALSE))</f>
        <v>73.03</v>
      </c>
      <c r="BH135">
        <f ca="1">IF(AND(ISNUMBER($BH$588),$B$419=1),$BH$588,HLOOKUP(INDIRECT(ADDRESS(2,COLUMN())),OFFSET($BN$2,0,0,ROW()-1,60),ROW()-1,FALSE))</f>
        <v>74.887</v>
      </c>
      <c r="BI135">
        <f ca="1">IF(AND(ISNUMBER($BI$588),$B$419=1),$BI$588,HLOOKUP(INDIRECT(ADDRESS(2,COLUMN())),OFFSET($BN$2,0,0,ROW()-1,60),ROW()-1,FALSE))</f>
        <v>20.716999999999999</v>
      </c>
      <c r="BJ135">
        <f ca="1">IF(AND(ISNUMBER($BJ$588),$B$419=1),$BJ$588,HLOOKUP(INDIRECT(ADDRESS(2,COLUMN())),OFFSET($BN$2,0,0,ROW()-1,60),ROW()-1,FALSE))</f>
        <v>73.411000000000001</v>
      </c>
      <c r="BK135">
        <f ca="1">IF(AND(ISNUMBER($BK$588),$B$419=1),$BK$588,HLOOKUP(INDIRECT(ADDRESS(2,COLUMN())),OFFSET($BN$2,0,0,ROW()-1,60),ROW()-1,FALSE))</f>
        <v>60.131000520000001</v>
      </c>
      <c r="BL135">
        <f ca="1">IF(AND(ISNUMBER($BL$588),$B$419=1),$BL$588,HLOOKUP(INDIRECT(ADDRESS(2,COLUMN())),OFFSET($BN$2,0,0,ROW()-1,60),ROW()-1,FALSE))</f>
        <v>10.201000000000001</v>
      </c>
      <c r="BM135">
        <f ca="1">IF(AND(ISNUMBER($BM$588),$B$419=1),$BM$588,HLOOKUP(INDIRECT(ADDRESS(2,COLUMN())),OFFSET($BN$2,0,0,ROW()-1,60),ROW()-1,FALSE))</f>
        <v>9.2769999999999992</v>
      </c>
      <c r="BN135" t="str">
        <f>""</f>
        <v/>
      </c>
      <c r="BO135">
        <f>96.277</f>
        <v>96.277000000000001</v>
      </c>
      <c r="BP135">
        <f>105.334</f>
        <v>105.334</v>
      </c>
      <c r="BQ135">
        <f>97.793</f>
        <v>97.793000000000006</v>
      </c>
      <c r="BR135">
        <f>95.514</f>
        <v>95.513999999999996</v>
      </c>
      <c r="BS135">
        <f>99.36</f>
        <v>99.36</v>
      </c>
      <c r="BT135">
        <f>122.083</f>
        <v>122.083</v>
      </c>
      <c r="BU135">
        <f>109.16</f>
        <v>109.16</v>
      </c>
      <c r="BV135">
        <f>108.316</f>
        <v>108.316</v>
      </c>
      <c r="BW135">
        <f>99.055</f>
        <v>99.055000000000007</v>
      </c>
      <c r="BX135">
        <f>130.7</f>
        <v>130.69999999999999</v>
      </c>
      <c r="BY135">
        <f>97.939</f>
        <v>97.938999999999993</v>
      </c>
      <c r="BZ135">
        <f>95.303</f>
        <v>95.302999999999997</v>
      </c>
      <c r="CA135">
        <f>96.894</f>
        <v>96.894000000000005</v>
      </c>
      <c r="CB135">
        <f>87.2</f>
        <v>87.2</v>
      </c>
      <c r="CC135">
        <f>86.826</f>
        <v>86.825999999999993</v>
      </c>
      <c r="CD135">
        <f>84.712</f>
        <v>84.712000000000003</v>
      </c>
      <c r="CE135">
        <f>87.963</f>
        <v>87.962999999999994</v>
      </c>
      <c r="CF135">
        <f>74.978</f>
        <v>74.977999999999994</v>
      </c>
      <c r="CG135">
        <f>67.194</f>
        <v>67.194000000000003</v>
      </c>
      <c r="CH135">
        <f>68.552</f>
        <v>68.552000000000007</v>
      </c>
      <c r="CI135">
        <f>72.397</f>
        <v>72.397000000000006</v>
      </c>
      <c r="CJ135">
        <f>117.122</f>
        <v>117.122</v>
      </c>
      <c r="CK135">
        <f>61.712</f>
        <v>61.712000000000003</v>
      </c>
      <c r="CL135">
        <f>55.806</f>
        <v>55.805999999999997</v>
      </c>
      <c r="CM135">
        <f>62.795</f>
        <v>62.795000000000002</v>
      </c>
      <c r="CN135">
        <f>57.401</f>
        <v>57.401000000000003</v>
      </c>
      <c r="CO135">
        <f>55.72</f>
        <v>55.72</v>
      </c>
      <c r="CP135">
        <f>55.19</f>
        <v>55.19</v>
      </c>
      <c r="CQ135">
        <f>70.196</f>
        <v>70.195999999999998</v>
      </c>
      <c r="CR135">
        <f>101.143</f>
        <v>101.143</v>
      </c>
      <c r="CS135">
        <f>15.623</f>
        <v>15.622999999999999</v>
      </c>
      <c r="CT135">
        <f>63.496</f>
        <v>63.496000000000002</v>
      </c>
      <c r="CU135">
        <f>67.357</f>
        <v>67.356999999999999</v>
      </c>
      <c r="CV135">
        <f>-190.331</f>
        <v>-190.33099999999999</v>
      </c>
      <c r="CW135">
        <f>76.974</f>
        <v>76.974000000000004</v>
      </c>
      <c r="CX135">
        <f>90.077</f>
        <v>90.076999999999998</v>
      </c>
      <c r="CY135">
        <f>93.257</f>
        <v>93.257000000000005</v>
      </c>
      <c r="CZ135">
        <f>104.722</f>
        <v>104.72199999999999</v>
      </c>
      <c r="DA135">
        <f>99.922</f>
        <v>99.921999999999997</v>
      </c>
      <c r="DB135">
        <f>100.478</f>
        <v>100.47799999999999</v>
      </c>
      <c r="DC135">
        <f>105.612</f>
        <v>105.61199999999999</v>
      </c>
      <c r="DD135">
        <f>101.422</f>
        <v>101.422</v>
      </c>
      <c r="DE135">
        <f>164.007</f>
        <v>164.00700000000001</v>
      </c>
      <c r="DF135">
        <f>113.102</f>
        <v>113.102</v>
      </c>
      <c r="DG135">
        <f>97.952</f>
        <v>97.951999999999998</v>
      </c>
      <c r="DH135">
        <f>97.637</f>
        <v>97.637</v>
      </c>
      <c r="DI135">
        <f>116.82</f>
        <v>116.82</v>
      </c>
      <c r="DJ135">
        <f>90.433</f>
        <v>90.433000000000007</v>
      </c>
      <c r="DK135">
        <f>95.504</f>
        <v>95.504000000000005</v>
      </c>
      <c r="DL135">
        <f>81.783</f>
        <v>81.783000000000001</v>
      </c>
      <c r="DM135">
        <f>92.535</f>
        <v>92.534999999999997</v>
      </c>
      <c r="DN135">
        <f>112.863</f>
        <v>112.863</v>
      </c>
      <c r="DO135">
        <f>73.03</f>
        <v>73.03</v>
      </c>
      <c r="DP135">
        <f>74.887</f>
        <v>74.887</v>
      </c>
      <c r="DQ135">
        <f>20.717</f>
        <v>20.716999999999999</v>
      </c>
      <c r="DR135">
        <f>73.411</f>
        <v>73.411000000000001</v>
      </c>
      <c r="DS135">
        <f>60.13100052</f>
        <v>60.131000520000001</v>
      </c>
      <c r="DT135">
        <f>10.201</f>
        <v>10.201000000000001</v>
      </c>
      <c r="DU135">
        <f>9.277</f>
        <v>9.2769999999999992</v>
      </c>
    </row>
    <row r="136" spans="1:125">
      <c r="A136" t="str">
        <f>"    Federal Realty Investment Trus"</f>
        <v xml:space="preserve">    Federal Realty Investment Trus</v>
      </c>
      <c r="B136" t="str">
        <f>"FRT US Equity"</f>
        <v>FRT US Equity</v>
      </c>
      <c r="C136" t="str">
        <f t="shared" si="24"/>
        <v>F0578</v>
      </c>
      <c r="D136" t="str">
        <f t="shared" si="25"/>
        <v>FUNDS_AVAILABLE_FOR_DISTRIBUTION</v>
      </c>
      <c r="E136" t="str">
        <f t="shared" si="26"/>
        <v>动态</v>
      </c>
      <c r="F136" t="str">
        <f ca="1">IF(AND(ISNUMBER($F$589),$B$419=1),$F$589,HLOOKUP(INDIRECT(ADDRESS(2,COLUMN())),OFFSET($BN$2,0,0,ROW()-1,60),ROW()-1,FALSE))</f>
        <v/>
      </c>
      <c r="G136">
        <f ca="1">IF(AND(ISNUMBER($G$589),$B$419=1),$G$589,HLOOKUP(INDIRECT(ADDRESS(2,COLUMN())),OFFSET($BN$2,0,0,ROW()-1,60),ROW()-1,FALSE))</f>
        <v>76.596999999999994</v>
      </c>
      <c r="H136">
        <f ca="1">IF(AND(ISNUMBER($H$589),$B$419=1),$H$589,HLOOKUP(INDIRECT(ADDRESS(2,COLUMN())),OFFSET($BN$2,0,0,ROW()-1,60),ROW()-1,FALSE))</f>
        <v>87.765000000000001</v>
      </c>
      <c r="I136">
        <f ca="1">IF(AND(ISNUMBER($I$589),$B$419=1),$I$589,HLOOKUP(INDIRECT(ADDRESS(2,COLUMN())),OFFSET($BN$2,0,0,ROW()-1,60),ROW()-1,FALSE))</f>
        <v>84.444999999999993</v>
      </c>
      <c r="J136">
        <f ca="1">IF(AND(ISNUMBER($J$589),$B$419=1),$J$589,HLOOKUP(INDIRECT(ADDRESS(2,COLUMN())),OFFSET($BN$2,0,0,ROW()-1,60),ROW()-1,FALSE))</f>
        <v>88.518000000000001</v>
      </c>
      <c r="K136">
        <f ca="1">IF(AND(ISNUMBER($K$589),$B$419=1),$K$589,HLOOKUP(INDIRECT(ADDRESS(2,COLUMN())),OFFSET($BN$2,0,0,ROW()-1,60),ROW()-1,FALSE))</f>
        <v>78.385999999999996</v>
      </c>
      <c r="L136">
        <f ca="1">IF(AND(ISNUMBER($L$589),$B$419=1),$L$589,HLOOKUP(INDIRECT(ADDRESS(2,COLUMN())),OFFSET($BN$2,0,0,ROW()-1,60),ROW()-1,FALSE))</f>
        <v>81.736000000000004</v>
      </c>
      <c r="M136">
        <f ca="1">IF(AND(ISNUMBER($M$589),$B$419=1),$M$589,HLOOKUP(INDIRECT(ADDRESS(2,COLUMN())),OFFSET($BN$2,0,0,ROW()-1,60),ROW()-1,FALSE))</f>
        <v>85.322000000000003</v>
      </c>
      <c r="N136">
        <f ca="1">IF(AND(ISNUMBER($N$589),$B$419=1),$N$589,HLOOKUP(INDIRECT(ADDRESS(2,COLUMN())),OFFSET($BN$2,0,0,ROW()-1,60),ROW()-1,FALSE))</f>
        <v>86.441000000000003</v>
      </c>
      <c r="O136">
        <f ca="1">IF(AND(ISNUMBER($O$589),$B$419=1),$O$589,HLOOKUP(INDIRECT(ADDRESS(2,COLUMN())),OFFSET($BN$2,0,0,ROW()-1,60),ROW()-1,FALSE))</f>
        <v>74.356999999999999</v>
      </c>
      <c r="P136">
        <f ca="1">IF(AND(ISNUMBER($P$589),$B$419=1),$P$589,HLOOKUP(INDIRECT(ADDRESS(2,COLUMN())),OFFSET($BN$2,0,0,ROW()-1,60),ROW()-1,FALSE))</f>
        <v>83.494</v>
      </c>
      <c r="Q136">
        <f ca="1">IF(AND(ISNUMBER($Q$589),$B$419=1),$Q$589,HLOOKUP(INDIRECT(ADDRESS(2,COLUMN())),OFFSET($BN$2,0,0,ROW()-1,60),ROW()-1,FALSE))</f>
        <v>80.741</v>
      </c>
      <c r="R136">
        <f ca="1">IF(AND(ISNUMBER($R$589),$B$419=1),$R$589,HLOOKUP(INDIRECT(ADDRESS(2,COLUMN())),OFFSET($BN$2,0,0,ROW()-1,60),ROW()-1,FALSE))</f>
        <v>79.221999999999994</v>
      </c>
      <c r="S136">
        <f ca="1">IF(AND(ISNUMBER($S$589),$B$419=1),$S$589,HLOOKUP(INDIRECT(ADDRESS(2,COLUMN())),OFFSET($BN$2,0,0,ROW()-1,60),ROW()-1,FALSE))</f>
        <v>70.861999999999995</v>
      </c>
      <c r="T136">
        <f ca="1">IF(AND(ISNUMBER($T$589),$B$419=1),$T$589,HLOOKUP(INDIRECT(ADDRESS(2,COLUMN())),OFFSET($BN$2,0,0,ROW()-1,60),ROW()-1,FALSE))</f>
        <v>71.441999999999993</v>
      </c>
      <c r="U136">
        <f ca="1">IF(AND(ISNUMBER($U$589),$B$419=1),$U$589,HLOOKUP(INDIRECT(ADDRESS(2,COLUMN())),OFFSET($BN$2,0,0,ROW()-1,60),ROW()-1,FALSE))</f>
        <v>69.698999999999998</v>
      </c>
      <c r="V136">
        <f ca="1">IF(AND(ISNUMBER($V$589),$B$419=1),$V$589,HLOOKUP(INDIRECT(ADDRESS(2,COLUMN())),OFFSET($BN$2,0,0,ROW()-1,60),ROW()-1,FALSE))</f>
        <v>73.909000000000006</v>
      </c>
      <c r="W136">
        <f ca="1">IF(AND(ISNUMBER($W$589),$B$419=1),$W$589,HLOOKUP(INDIRECT(ADDRESS(2,COLUMN())),OFFSET($BN$2,0,0,ROW()-1,60),ROW()-1,FALSE))</f>
        <v>61.414999999999999</v>
      </c>
      <c r="X136">
        <f ca="1">IF(AND(ISNUMBER($X$589),$B$419=1),$X$589,HLOOKUP(INDIRECT(ADDRESS(2,COLUMN())),OFFSET($BN$2,0,0,ROW()-1,60),ROW()-1,FALSE))</f>
        <v>62.371000000000002</v>
      </c>
      <c r="Y136">
        <f ca="1">IF(AND(ISNUMBER($Y$589),$B$419=1),$Y$589,HLOOKUP(INDIRECT(ADDRESS(2,COLUMN())),OFFSET($BN$2,0,0,ROW()-1,60),ROW()-1,FALSE))</f>
        <v>62.533999999999999</v>
      </c>
      <c r="Z136">
        <f ca="1">IF(AND(ISNUMBER($Z$589),$B$419=1),$Z$589,HLOOKUP(INDIRECT(ADDRESS(2,COLUMN())),OFFSET($BN$2,0,0,ROW()-1,60),ROW()-1,FALSE))</f>
        <v>69.405000000000001</v>
      </c>
      <c r="AA136">
        <f ca="1">IF(AND(ISNUMBER($AA$589),$B$419=1),$AA$589,HLOOKUP(INDIRECT(ADDRESS(2,COLUMN())),OFFSET($BN$2,0,0,ROW()-1,60),ROW()-1,FALSE))</f>
        <v>13.486000000000001</v>
      </c>
      <c r="AB136">
        <f ca="1">IF(AND(ISNUMBER($AB$589),$B$419=1),$AB$589,HLOOKUP(INDIRECT(ADDRESS(2,COLUMN())),OFFSET($BN$2,0,0,ROW()-1,60),ROW()-1,FALSE))</f>
        <v>11.052</v>
      </c>
      <c r="AC136">
        <f ca="1">IF(AND(ISNUMBER($AC$589),$B$419=1),$AC$589,HLOOKUP(INDIRECT(ADDRESS(2,COLUMN())),OFFSET($BN$2,0,0,ROW()-1,60),ROW()-1,FALSE))</f>
        <v>26.678000000000001</v>
      </c>
      <c r="AD136">
        <f ca="1">IF(AND(ISNUMBER($AD$589),$B$419=1),$AD$589,HLOOKUP(INDIRECT(ADDRESS(2,COLUMN())),OFFSET($BN$2,0,0,ROW()-1,60),ROW()-1,FALSE))</f>
        <v>39.872999999999998</v>
      </c>
      <c r="AE136">
        <f ca="1">IF(AND(ISNUMBER($AE$589),$B$419=1),$AE$589,HLOOKUP(INDIRECT(ADDRESS(2,COLUMN())),OFFSET($BN$2,0,0,ROW()-1,60),ROW()-1,FALSE))</f>
        <v>8.84</v>
      </c>
      <c r="AF136">
        <f ca="1">IF(AND(ISNUMBER($AF$589),$B$419=1),$AF$589,HLOOKUP(INDIRECT(ADDRESS(2,COLUMN())),OFFSET($BN$2,0,0,ROW()-1,60),ROW()-1,FALSE))</f>
        <v>25.849</v>
      </c>
      <c r="AG136">
        <f ca="1">IF(AND(ISNUMBER($AG$589),$B$419=1),$AG$589,HLOOKUP(INDIRECT(ADDRESS(2,COLUMN())),OFFSET($BN$2,0,0,ROW()-1,60),ROW()-1,FALSE))</f>
        <v>35.54</v>
      </c>
      <c r="AH136">
        <f ca="1">IF(AND(ISNUMBER($AH$589),$B$419=1),$AH$589,HLOOKUP(INDIRECT(ADDRESS(2,COLUMN())),OFFSET($BN$2,0,0,ROW()-1,60),ROW()-1,FALSE))</f>
        <v>35.35</v>
      </c>
      <c r="AI136">
        <f ca="1">IF(AND(ISNUMBER($AI$589),$B$419=1),$AI$589,HLOOKUP(INDIRECT(ADDRESS(2,COLUMN())),OFFSET($BN$2,0,0,ROW()-1,60),ROW()-1,FALSE))</f>
        <v>31.861999999999998</v>
      </c>
      <c r="AJ136">
        <f ca="1">IF(AND(ISNUMBER($AJ$589),$B$419=1),$AJ$589,HLOOKUP(INDIRECT(ADDRESS(2,COLUMN())),OFFSET($BN$2,0,0,ROW()-1,60),ROW()-1,FALSE))</f>
        <v>25.314</v>
      </c>
      <c r="AK136">
        <f ca="1">IF(AND(ISNUMBER($AK$589),$B$419=1),$AK$589,HLOOKUP(INDIRECT(ADDRESS(2,COLUMN())),OFFSET($BN$2,0,0,ROW()-1,60),ROW()-1,FALSE))</f>
        <v>39.398000000000003</v>
      </c>
      <c r="AL136">
        <f ca="1">IF(AND(ISNUMBER($AL$589),$B$419=1),$AL$589,HLOOKUP(INDIRECT(ADDRESS(2,COLUMN())),OFFSET($BN$2,0,0,ROW()-1,60),ROW()-1,FALSE))</f>
        <v>45.033000000000001</v>
      </c>
      <c r="AM136">
        <f ca="1">IF(AND(ISNUMBER($AM$589),$B$419=1),$AM$589,HLOOKUP(INDIRECT(ADDRESS(2,COLUMN())),OFFSET($BN$2,0,0,ROW()-1,60),ROW()-1,FALSE))</f>
        <v>39.845999999999997</v>
      </c>
      <c r="AN136">
        <f ca="1">IF(AND(ISNUMBER($AN$589),$B$419=1),$AN$589,HLOOKUP(INDIRECT(ADDRESS(2,COLUMN())),OFFSET($BN$2,0,0,ROW()-1,60),ROW()-1,FALSE))</f>
        <v>33.225999999999999</v>
      </c>
      <c r="AO136">
        <f ca="1">IF(AND(ISNUMBER($AO$589),$B$419=1),$AO$589,HLOOKUP(INDIRECT(ADDRESS(2,COLUMN())),OFFSET($BN$2,0,0,ROW()-1,60),ROW()-1,FALSE))</f>
        <v>34.951000000000001</v>
      </c>
      <c r="AP136">
        <f ca="1">IF(AND(ISNUMBER($AP$589),$B$419=1),$AP$589,HLOOKUP(INDIRECT(ADDRESS(2,COLUMN())),OFFSET($BN$2,0,0,ROW()-1,60),ROW()-1,FALSE))</f>
        <v>32.549999999999997</v>
      </c>
      <c r="AQ136">
        <f ca="1">IF(AND(ISNUMBER($AQ$589),$B$419=1),$AQ$589,HLOOKUP(INDIRECT(ADDRESS(2,COLUMN())),OFFSET($BN$2,0,0,ROW()-1,60),ROW()-1,FALSE))</f>
        <v>49.124000000000002</v>
      </c>
      <c r="AR136">
        <f ca="1">IF(AND(ISNUMBER($AR$589),$B$419=1),$AR$589,HLOOKUP(INDIRECT(ADDRESS(2,COLUMN())),OFFSET($BN$2,0,0,ROW()-1,60),ROW()-1,FALSE))</f>
        <v>48.241999999999997</v>
      </c>
      <c r="AS136">
        <f ca="1">IF(AND(ISNUMBER($AS$589),$B$419=1),$AS$589,HLOOKUP(INDIRECT(ADDRESS(2,COLUMN())),OFFSET($BN$2,0,0,ROW()-1,60),ROW()-1,FALSE))</f>
        <v>49.738</v>
      </c>
      <c r="AT136">
        <f ca="1">IF(AND(ISNUMBER($AT$589),$B$419=1),$AT$589,HLOOKUP(INDIRECT(ADDRESS(2,COLUMN())),OFFSET($BN$2,0,0,ROW()-1,60),ROW()-1,FALSE))</f>
        <v>55.189</v>
      </c>
      <c r="AU136">
        <f ca="1">IF(AND(ISNUMBER($AU$589),$B$419=1),$AU$589,HLOOKUP(INDIRECT(ADDRESS(2,COLUMN())),OFFSET($BN$2,0,0,ROW()-1,60),ROW()-1,FALSE))</f>
        <v>46.613999999999997</v>
      </c>
      <c r="AV136">
        <f ca="1">IF(AND(ISNUMBER($AV$589),$B$419=1),$AV$589,HLOOKUP(INDIRECT(ADDRESS(2,COLUMN())),OFFSET($BN$2,0,0,ROW()-1,60),ROW()-1,FALSE))</f>
        <v>43.686</v>
      </c>
      <c r="AW136">
        <f ca="1">IF(AND(ISNUMBER($AW$589),$B$419=1),$AW$589,HLOOKUP(INDIRECT(ADDRESS(2,COLUMN())),OFFSET($BN$2,0,0,ROW()-1,60),ROW()-1,FALSE))</f>
        <v>42.432000000000002</v>
      </c>
      <c r="AX136">
        <f ca="1">IF(AND(ISNUMBER($AX$589),$B$419=1),$AX$589,HLOOKUP(INDIRECT(ADDRESS(2,COLUMN())),OFFSET($BN$2,0,0,ROW()-1,60),ROW()-1,FALSE))</f>
        <v>42.929000000000002</v>
      </c>
      <c r="AY136">
        <f ca="1">IF(AND(ISNUMBER($AY$589),$B$419=1),$AY$589,HLOOKUP(INDIRECT(ADDRESS(2,COLUMN())),OFFSET($BN$2,0,0,ROW()-1,60),ROW()-1,FALSE))</f>
        <v>35.634</v>
      </c>
      <c r="AZ136">
        <f ca="1">IF(AND(ISNUMBER($AZ$589),$B$419=1),$AZ$589,HLOOKUP(INDIRECT(ADDRESS(2,COLUMN())),OFFSET($BN$2,0,0,ROW()-1,60),ROW()-1,FALSE))</f>
        <v>38.398000000000003</v>
      </c>
      <c r="BA136">
        <f ca="1">IF(AND(ISNUMBER($BA$589),$B$419=1),$BA$589,HLOOKUP(INDIRECT(ADDRESS(2,COLUMN())),OFFSET($BN$2,0,0,ROW()-1,60),ROW()-1,FALSE))</f>
        <v>38.351999999999997</v>
      </c>
      <c r="BB136">
        <f ca="1">IF(AND(ISNUMBER($BB$589),$B$419=1),$BB$589,HLOOKUP(INDIRECT(ADDRESS(2,COLUMN())),OFFSET($BN$2,0,0,ROW()-1,60),ROW()-1,FALSE))</f>
        <v>40.688000000000002</v>
      </c>
      <c r="BC136">
        <f ca="1">IF(AND(ISNUMBER($BC$589),$B$419=1),$BC$589,HLOOKUP(INDIRECT(ADDRESS(2,COLUMN())),OFFSET($BN$2,0,0,ROW()-1,60),ROW()-1,FALSE))</f>
        <v>42.012</v>
      </c>
      <c r="BD136">
        <f ca="1">IF(AND(ISNUMBER($BD$589),$B$419=1),$BD$589,HLOOKUP(INDIRECT(ADDRESS(2,COLUMN())),OFFSET($BN$2,0,0,ROW()-1,60),ROW()-1,FALSE))</f>
        <v>40.994</v>
      </c>
      <c r="BE136">
        <f ca="1">IF(AND(ISNUMBER($BE$589),$B$419=1),$BE$589,HLOOKUP(INDIRECT(ADDRESS(2,COLUMN())),OFFSET($BN$2,0,0,ROW()-1,60),ROW()-1,FALSE))</f>
        <v>41.223999999999997</v>
      </c>
      <c r="BF136">
        <f ca="1">IF(AND(ISNUMBER($BF$589),$B$419=1),$BF$589,HLOOKUP(INDIRECT(ADDRESS(2,COLUMN())),OFFSET($BN$2,0,0,ROW()-1,60),ROW()-1,FALSE))</f>
        <v>39.305</v>
      </c>
      <c r="BG136">
        <f ca="1">IF(AND(ISNUMBER($BG$589),$B$419=1),$BG$589,HLOOKUP(INDIRECT(ADDRESS(2,COLUMN())),OFFSET($BN$2,0,0,ROW()-1,60),ROW()-1,FALSE))</f>
        <v>37.124000549999998</v>
      </c>
      <c r="BH136">
        <f ca="1">IF(AND(ISNUMBER($BH$589),$B$419=1),$BH$589,HLOOKUP(INDIRECT(ADDRESS(2,COLUMN())),OFFSET($BN$2,0,0,ROW()-1,60),ROW()-1,FALSE))</f>
        <v>111.697</v>
      </c>
      <c r="BI136">
        <f ca="1">IF(AND(ISNUMBER($BI$589),$B$419=1),$BI$589,HLOOKUP(INDIRECT(ADDRESS(2,COLUMN())),OFFSET($BN$2,0,0,ROW()-1,60),ROW()-1,FALSE))</f>
        <v>38.638000490000003</v>
      </c>
      <c r="BJ136">
        <f ca="1">IF(AND(ISNUMBER($BJ$589),$B$419=1),$BJ$589,HLOOKUP(INDIRECT(ADDRESS(2,COLUMN())),OFFSET($BN$2,0,0,ROW()-1,60),ROW()-1,FALSE))</f>
        <v>34.779000000000003</v>
      </c>
      <c r="BK136">
        <f ca="1">IF(AND(ISNUMBER($BK$589),$B$419=1),$BK$589,HLOOKUP(INDIRECT(ADDRESS(2,COLUMN())),OFFSET($BN$2,0,0,ROW()-1,60),ROW()-1,FALSE))</f>
        <v>-767.61400000000003</v>
      </c>
      <c r="BL136">
        <f ca="1">IF(AND(ISNUMBER($BL$589),$B$419=1),$BL$589,HLOOKUP(INDIRECT(ADDRESS(2,COLUMN())),OFFSET($BN$2,0,0,ROW()-1,60),ROW()-1,FALSE))</f>
        <v>898.87099999999998</v>
      </c>
      <c r="BM136">
        <f ca="1">IF(AND(ISNUMBER($BM$589),$B$419=1),$BM$589,HLOOKUP(INDIRECT(ADDRESS(2,COLUMN())),OFFSET($BN$2,0,0,ROW()-1,60),ROW()-1,FALSE))</f>
        <v>599.95299999999997</v>
      </c>
      <c r="BN136" t="str">
        <f>""</f>
        <v/>
      </c>
      <c r="BO136">
        <f>76.597</f>
        <v>76.596999999999994</v>
      </c>
      <c r="BP136">
        <f>87.765</f>
        <v>87.765000000000001</v>
      </c>
      <c r="BQ136">
        <f>84.445</f>
        <v>84.444999999999993</v>
      </c>
      <c r="BR136">
        <f>88.518</f>
        <v>88.518000000000001</v>
      </c>
      <c r="BS136">
        <f>78.386</f>
        <v>78.385999999999996</v>
      </c>
      <c r="BT136">
        <f>81.736</f>
        <v>81.736000000000004</v>
      </c>
      <c r="BU136">
        <f>85.322</f>
        <v>85.322000000000003</v>
      </c>
      <c r="BV136">
        <f>86.441</f>
        <v>86.441000000000003</v>
      </c>
      <c r="BW136">
        <f>74.357</f>
        <v>74.356999999999999</v>
      </c>
      <c r="BX136">
        <f>83.494</f>
        <v>83.494</v>
      </c>
      <c r="BY136">
        <f>80.741</f>
        <v>80.741</v>
      </c>
      <c r="BZ136">
        <f>79.222</f>
        <v>79.221999999999994</v>
      </c>
      <c r="CA136">
        <f>70.862</f>
        <v>70.861999999999995</v>
      </c>
      <c r="CB136">
        <f>71.442</f>
        <v>71.441999999999993</v>
      </c>
      <c r="CC136">
        <f>69.699</f>
        <v>69.698999999999998</v>
      </c>
      <c r="CD136">
        <f>73.909</f>
        <v>73.909000000000006</v>
      </c>
      <c r="CE136">
        <f>61.415</f>
        <v>61.414999999999999</v>
      </c>
      <c r="CF136">
        <f>62.371</f>
        <v>62.371000000000002</v>
      </c>
      <c r="CG136">
        <f>62.534</f>
        <v>62.533999999999999</v>
      </c>
      <c r="CH136">
        <f>69.405</f>
        <v>69.405000000000001</v>
      </c>
      <c r="CI136">
        <f>13.486</f>
        <v>13.486000000000001</v>
      </c>
      <c r="CJ136">
        <f>11.052</f>
        <v>11.052</v>
      </c>
      <c r="CK136">
        <f>26.678</f>
        <v>26.678000000000001</v>
      </c>
      <c r="CL136">
        <f>39.873</f>
        <v>39.872999999999998</v>
      </c>
      <c r="CM136">
        <f>8.84</f>
        <v>8.84</v>
      </c>
      <c r="CN136">
        <f>25.849</f>
        <v>25.849</v>
      </c>
      <c r="CO136">
        <f>35.54</f>
        <v>35.54</v>
      </c>
      <c r="CP136">
        <f>35.35</f>
        <v>35.35</v>
      </c>
      <c r="CQ136">
        <f>31.862</f>
        <v>31.861999999999998</v>
      </c>
      <c r="CR136">
        <f>25.314</f>
        <v>25.314</v>
      </c>
      <c r="CS136">
        <f>39.398</f>
        <v>39.398000000000003</v>
      </c>
      <c r="CT136">
        <f>45.033</f>
        <v>45.033000000000001</v>
      </c>
      <c r="CU136">
        <f>39.846</f>
        <v>39.845999999999997</v>
      </c>
      <c r="CV136">
        <f>33.226</f>
        <v>33.225999999999999</v>
      </c>
      <c r="CW136">
        <f>34.951</f>
        <v>34.951000000000001</v>
      </c>
      <c r="CX136">
        <f>32.55</f>
        <v>32.549999999999997</v>
      </c>
      <c r="CY136">
        <f>49.124</f>
        <v>49.124000000000002</v>
      </c>
      <c r="CZ136">
        <f>48.242</f>
        <v>48.241999999999997</v>
      </c>
      <c r="DA136">
        <f>49.738</f>
        <v>49.738</v>
      </c>
      <c r="DB136">
        <f>55.189</f>
        <v>55.189</v>
      </c>
      <c r="DC136">
        <f>46.614</f>
        <v>46.613999999999997</v>
      </c>
      <c r="DD136">
        <f>43.686</f>
        <v>43.686</v>
      </c>
      <c r="DE136">
        <f>42.432</f>
        <v>42.432000000000002</v>
      </c>
      <c r="DF136">
        <f>42.929</f>
        <v>42.929000000000002</v>
      </c>
      <c r="DG136">
        <f>35.634</f>
        <v>35.634</v>
      </c>
      <c r="DH136">
        <f>38.398</f>
        <v>38.398000000000003</v>
      </c>
      <c r="DI136">
        <f>38.352</f>
        <v>38.351999999999997</v>
      </c>
      <c r="DJ136">
        <f>40.688</f>
        <v>40.688000000000002</v>
      </c>
      <c r="DK136">
        <f>42.012</f>
        <v>42.012</v>
      </c>
      <c r="DL136">
        <f>40.994</f>
        <v>40.994</v>
      </c>
      <c r="DM136">
        <f>41.224</f>
        <v>41.223999999999997</v>
      </c>
      <c r="DN136">
        <f>39.305</f>
        <v>39.305</v>
      </c>
      <c r="DO136">
        <f>37.12400055</f>
        <v>37.124000549999998</v>
      </c>
      <c r="DP136">
        <f>111.697</f>
        <v>111.697</v>
      </c>
      <c r="DQ136">
        <f>38.63800049</f>
        <v>38.638000490000003</v>
      </c>
      <c r="DR136">
        <f>34.779</f>
        <v>34.779000000000003</v>
      </c>
      <c r="DS136">
        <f>-767.614</f>
        <v>-767.61400000000003</v>
      </c>
      <c r="DT136">
        <f>898.871</f>
        <v>898.87099999999998</v>
      </c>
      <c r="DU136">
        <f>599.953</f>
        <v>599.95299999999997</v>
      </c>
    </row>
    <row r="137" spans="1:125">
      <c r="A137" t="str">
        <f>"    Kimco Realty Corp"</f>
        <v xml:space="preserve">    Kimco Realty Corp</v>
      </c>
      <c r="B137" t="str">
        <f>"KIM US Equity"</f>
        <v>KIM US Equity</v>
      </c>
      <c r="C137" t="str">
        <f t="shared" si="24"/>
        <v>F0578</v>
      </c>
      <c r="D137" t="str">
        <f t="shared" si="25"/>
        <v>FUNDS_AVAILABLE_FOR_DISTRIBUTION</v>
      </c>
      <c r="E137" t="str">
        <f t="shared" si="26"/>
        <v>动态</v>
      </c>
      <c r="F137" t="str">
        <f ca="1">IF(AND(ISNUMBER($F$590),$B$419=1),$F$590,HLOOKUP(INDIRECT(ADDRESS(2,COLUMN())),OFFSET($BN$2,0,0,ROW()-1,60),ROW()-1,FALSE))</f>
        <v/>
      </c>
      <c r="G137">
        <f ca="1">IF(AND(ISNUMBER($G$590),$B$419=1),$G$590,HLOOKUP(INDIRECT(ADDRESS(2,COLUMN())),OFFSET($BN$2,0,0,ROW()-1,60),ROW()-1,FALSE))</f>
        <v>62.317</v>
      </c>
      <c r="H137">
        <f ca="1">IF(AND(ISNUMBER($H$590),$B$419=1),$H$590,HLOOKUP(INDIRECT(ADDRESS(2,COLUMN())),OFFSET($BN$2,0,0,ROW()-1,60),ROW()-1,FALSE))</f>
        <v>71.387</v>
      </c>
      <c r="I137">
        <f ca="1">IF(AND(ISNUMBER($I$590),$B$419=1),$I$590,HLOOKUP(INDIRECT(ADDRESS(2,COLUMN())),OFFSET($BN$2,0,0,ROW()-1,60),ROW()-1,FALSE))</f>
        <v>73.718000000000004</v>
      </c>
      <c r="J137">
        <f ca="1">IF(AND(ISNUMBER($J$590),$B$419=1),$J$590,HLOOKUP(INDIRECT(ADDRESS(2,COLUMN())),OFFSET($BN$2,0,0,ROW()-1,60),ROW()-1,FALSE))</f>
        <v>108.408</v>
      </c>
      <c r="K137">
        <f ca="1">IF(AND(ISNUMBER($K$590),$B$419=1),$K$590,HLOOKUP(INDIRECT(ADDRESS(2,COLUMN())),OFFSET($BN$2,0,0,ROW()-1,60),ROW()-1,FALSE))</f>
        <v>83.188000000000002</v>
      </c>
      <c r="L137">
        <f ca="1">IF(AND(ISNUMBER($L$590),$B$419=1),$L$590,HLOOKUP(INDIRECT(ADDRESS(2,COLUMN())),OFFSET($BN$2,0,0,ROW()-1,60),ROW()-1,FALSE))</f>
        <v>96.221999999999994</v>
      </c>
      <c r="M137">
        <f ca="1">IF(AND(ISNUMBER($M$590),$B$419=1),$M$590,HLOOKUP(INDIRECT(ADDRESS(2,COLUMN())),OFFSET($BN$2,0,0,ROW()-1,60),ROW()-1,FALSE))</f>
        <v>93.042000000000002</v>
      </c>
      <c r="N137">
        <f ca="1">IF(AND(ISNUMBER($N$590),$B$419=1),$N$590,HLOOKUP(INDIRECT(ADDRESS(2,COLUMN())),OFFSET($BN$2,0,0,ROW()-1,60),ROW()-1,FALSE))</f>
        <v>99.63</v>
      </c>
      <c r="O137">
        <f ca="1">IF(AND(ISNUMBER($O$590),$B$419=1),$O$590,HLOOKUP(INDIRECT(ADDRESS(2,COLUMN())),OFFSET($BN$2,0,0,ROW()-1,60),ROW()-1,FALSE))</f>
        <v>58.726999999999997</v>
      </c>
      <c r="P137">
        <f ca="1">IF(AND(ISNUMBER($P$590),$B$419=1),$P$590,HLOOKUP(INDIRECT(ADDRESS(2,COLUMN())),OFFSET($BN$2,0,0,ROW()-1,60),ROW()-1,FALSE))</f>
        <v>83.099000000000004</v>
      </c>
      <c r="Q137">
        <f ca="1">IF(AND(ISNUMBER($Q$590),$B$419=1),$Q$590,HLOOKUP(INDIRECT(ADDRESS(2,COLUMN())),OFFSET($BN$2,0,0,ROW()-1,60),ROW()-1,FALSE))</f>
        <v>83.694000000000003</v>
      </c>
      <c r="R137">
        <f ca="1">IF(AND(ISNUMBER($R$590),$B$419=1),$R$590,HLOOKUP(INDIRECT(ADDRESS(2,COLUMN())),OFFSET($BN$2,0,0,ROW()-1,60),ROW()-1,FALSE))</f>
        <v>101.133</v>
      </c>
      <c r="S137">
        <f ca="1">IF(AND(ISNUMBER($S$590),$B$419=1),$S$590,HLOOKUP(INDIRECT(ADDRESS(2,COLUMN())),OFFSET($BN$2,0,0,ROW()-1,60),ROW()-1,FALSE))</f>
        <v>80.218000000000004</v>
      </c>
      <c r="T137">
        <f ca="1">IF(AND(ISNUMBER($T$590),$B$419=1),$T$590,HLOOKUP(INDIRECT(ADDRESS(2,COLUMN())),OFFSET($BN$2,0,0,ROW()-1,60),ROW()-1,FALSE))</f>
        <v>71.323999999999998</v>
      </c>
      <c r="U137">
        <f ca="1">IF(AND(ISNUMBER($U$590),$B$419=1),$U$590,HLOOKUP(INDIRECT(ADDRESS(2,COLUMN())),OFFSET($BN$2,0,0,ROW()-1,60),ROW()-1,FALSE))</f>
        <v>90.9</v>
      </c>
      <c r="V137">
        <f ca="1">IF(AND(ISNUMBER($V$590),$B$419=1),$V$590,HLOOKUP(INDIRECT(ADDRESS(2,COLUMN())),OFFSET($BN$2,0,0,ROW()-1,60),ROW()-1,FALSE))</f>
        <v>104.434</v>
      </c>
      <c r="W137">
        <f ca="1">IF(AND(ISNUMBER($W$590),$B$419=1),$W$590,HLOOKUP(INDIRECT(ADDRESS(2,COLUMN())),OFFSET($BN$2,0,0,ROW()-1,60),ROW()-1,FALSE))</f>
        <v>80.908000000000001</v>
      </c>
      <c r="X137">
        <f ca="1">IF(AND(ISNUMBER($X$590),$B$419=1),$X$590,HLOOKUP(INDIRECT(ADDRESS(2,COLUMN())),OFFSET($BN$2,0,0,ROW()-1,60),ROW()-1,FALSE))</f>
        <v>98.016000000000005</v>
      </c>
      <c r="Y137">
        <f ca="1">IF(AND(ISNUMBER($Y$590),$B$419=1),$Y$590,HLOOKUP(INDIRECT(ADDRESS(2,COLUMN())),OFFSET($BN$2,0,0,ROW()-1,60),ROW()-1,FALSE))</f>
        <v>98.97</v>
      </c>
      <c r="Z137">
        <f ca="1">IF(AND(ISNUMBER($Z$590),$B$419=1),$Z$590,HLOOKUP(INDIRECT(ADDRESS(2,COLUMN())),OFFSET($BN$2,0,0,ROW()-1,60),ROW()-1,FALSE))</f>
        <v>106.881</v>
      </c>
      <c r="AA137">
        <f ca="1">IF(AND(ISNUMBER($AA$590),$B$419=1),$AA$590,HLOOKUP(INDIRECT(ADDRESS(2,COLUMN())),OFFSET($BN$2,0,0,ROW()-1,60),ROW()-1,FALSE))</f>
        <v>89.853999999999999</v>
      </c>
      <c r="AB137">
        <f ca="1">IF(AND(ISNUMBER($AB$590),$B$419=1),$AB$590,HLOOKUP(INDIRECT(ADDRESS(2,COLUMN())),OFFSET($BN$2,0,0,ROW()-1,60),ROW()-1,FALSE))</f>
        <v>101.85599999999999</v>
      </c>
      <c r="AC137">
        <f ca="1">IF(AND(ISNUMBER($AC$590),$B$419=1),$AC$590,HLOOKUP(INDIRECT(ADDRESS(2,COLUMN())),OFFSET($BN$2,0,0,ROW()-1,60),ROW()-1,FALSE))</f>
        <v>94.38</v>
      </c>
      <c r="AD137">
        <f ca="1">IF(AND(ISNUMBER($AD$590),$B$419=1),$AD$590,HLOOKUP(INDIRECT(ADDRESS(2,COLUMN())),OFFSET($BN$2,0,0,ROW()-1,60),ROW()-1,FALSE))</f>
        <v>89.099000000000004</v>
      </c>
      <c r="AE137">
        <f ca="1">IF(AND(ISNUMBER($AE$590),$B$419=1),$AE$590,HLOOKUP(INDIRECT(ADDRESS(2,COLUMN())),OFFSET($BN$2,0,0,ROW()-1,60),ROW()-1,FALSE))</f>
        <v>76.587999999999994</v>
      </c>
      <c r="AF137">
        <f ca="1">IF(AND(ISNUMBER($AF$590),$B$419=1),$AF$590,HLOOKUP(INDIRECT(ADDRESS(2,COLUMN())),OFFSET($BN$2,0,0,ROW()-1,60),ROW()-1,FALSE))</f>
        <v>91.441000000000003</v>
      </c>
      <c r="AG137">
        <f ca="1">IF(AND(ISNUMBER($AG$590),$B$419=1),$AG$590,HLOOKUP(INDIRECT(ADDRESS(2,COLUMN())),OFFSET($BN$2,0,0,ROW()-1,60),ROW()-1,FALSE))</f>
        <v>86.373000000000005</v>
      </c>
      <c r="AH137">
        <f ca="1">IF(AND(ISNUMBER($AH$590),$B$419=1),$AH$590,HLOOKUP(INDIRECT(ADDRESS(2,COLUMN())),OFFSET($BN$2,0,0,ROW()-1,60),ROW()-1,FALSE))</f>
        <v>94.295000000000002</v>
      </c>
      <c r="AI137">
        <f ca="1">IF(AND(ISNUMBER($AI$590),$B$419=1),$AI$590,HLOOKUP(INDIRECT(ADDRESS(2,COLUMN())),OFFSET($BN$2,0,0,ROW()-1,60),ROW()-1,FALSE))</f>
        <v>71.495999999999995</v>
      </c>
      <c r="AJ137">
        <f ca="1">IF(AND(ISNUMBER($AJ$590),$B$419=1),$AJ$590,HLOOKUP(INDIRECT(ADDRESS(2,COLUMN())),OFFSET($BN$2,0,0,ROW()-1,60),ROW()-1,FALSE))</f>
        <v>90.596999999999994</v>
      </c>
      <c r="AK137">
        <f ca="1">IF(AND(ISNUMBER($AK$590),$B$419=1),$AK$590,HLOOKUP(INDIRECT(ADDRESS(2,COLUMN())),OFFSET($BN$2,0,0,ROW()-1,60),ROW()-1,FALSE))</f>
        <v>93.215999999999994</v>
      </c>
      <c r="AL137">
        <f ca="1">IF(AND(ISNUMBER($AL$590),$B$419=1),$AL$590,HLOOKUP(INDIRECT(ADDRESS(2,COLUMN())),OFFSET($BN$2,0,0,ROW()-1,60),ROW()-1,FALSE))</f>
        <v>86.903999999999996</v>
      </c>
      <c r="AM137">
        <f ca="1">IF(AND(ISNUMBER($AM$590),$B$419=1),$AM$590,HLOOKUP(INDIRECT(ADDRESS(2,COLUMN())),OFFSET($BN$2,0,0,ROW()-1,60),ROW()-1,FALSE))</f>
        <v>83.991</v>
      </c>
      <c r="AN137">
        <f ca="1">IF(AND(ISNUMBER($AN$590),$B$419=1),$AN$590,HLOOKUP(INDIRECT(ADDRESS(2,COLUMN())),OFFSET($BN$2,0,0,ROW()-1,60),ROW()-1,FALSE))</f>
        <v>81.040999999999997</v>
      </c>
      <c r="AO137">
        <f ca="1">IF(AND(ISNUMBER($AO$590),$B$419=1),$AO$590,HLOOKUP(INDIRECT(ADDRESS(2,COLUMN())),OFFSET($BN$2,0,0,ROW()-1,60),ROW()-1,FALSE))</f>
        <v>89.400999999999996</v>
      </c>
      <c r="AP137">
        <f ca="1">IF(AND(ISNUMBER($AP$590),$B$419=1),$AP$590,HLOOKUP(INDIRECT(ADDRESS(2,COLUMN())),OFFSET($BN$2,0,0,ROW()-1,60),ROW()-1,FALSE))</f>
        <v>94.704999999999998</v>
      </c>
      <c r="AQ137">
        <f ca="1">IF(AND(ISNUMBER($AQ$590),$B$419=1),$AQ$590,HLOOKUP(INDIRECT(ADDRESS(2,COLUMN())),OFFSET($BN$2,0,0,ROW()-1,60),ROW()-1,FALSE))</f>
        <v>89.944999999999993</v>
      </c>
      <c r="AR137">
        <f ca="1">IF(AND(ISNUMBER($AR$590),$B$419=1),$AR$590,HLOOKUP(INDIRECT(ADDRESS(2,COLUMN())),OFFSET($BN$2,0,0,ROW()-1,60),ROW()-1,FALSE))</f>
        <v>154.54</v>
      </c>
      <c r="AS137">
        <f ca="1">IF(AND(ISNUMBER($AS$590),$B$419=1),$AS$590,HLOOKUP(INDIRECT(ADDRESS(2,COLUMN())),OFFSET($BN$2,0,0,ROW()-1,60),ROW()-1,FALSE))</f>
        <v>146.29499999999999</v>
      </c>
      <c r="AT137">
        <f ca="1">IF(AND(ISNUMBER($AT$590),$B$419=1),$AT$590,HLOOKUP(INDIRECT(ADDRESS(2,COLUMN())),OFFSET($BN$2,0,0,ROW()-1,60),ROW()-1,FALSE))</f>
        <v>136.435</v>
      </c>
      <c r="AU137">
        <f ca="1">IF(AND(ISNUMBER($AU$590),$B$419=1),$AU$590,HLOOKUP(INDIRECT(ADDRESS(2,COLUMN())),OFFSET($BN$2,0,0,ROW()-1,60),ROW()-1,FALSE))</f>
        <v>108.71899999999999</v>
      </c>
      <c r="AV137">
        <f ca="1">IF(AND(ISNUMBER($AV$590),$B$419=1),$AV$590,HLOOKUP(INDIRECT(ADDRESS(2,COLUMN())),OFFSET($BN$2,0,0,ROW()-1,60),ROW()-1,FALSE))</f>
        <v>120.342</v>
      </c>
      <c r="AW137">
        <f ca="1">IF(AND(ISNUMBER($AW$590),$B$419=1),$AW$590,HLOOKUP(INDIRECT(ADDRESS(2,COLUMN())),OFFSET($BN$2,0,0,ROW()-1,60),ROW()-1,FALSE))</f>
        <v>161.97200000000001</v>
      </c>
      <c r="AX137">
        <f ca="1">IF(AND(ISNUMBER($AX$590),$B$419=1),$AX$590,HLOOKUP(INDIRECT(ADDRESS(2,COLUMN())),OFFSET($BN$2,0,0,ROW()-1,60),ROW()-1,FALSE))</f>
        <v>183.852</v>
      </c>
      <c r="AY137">
        <f ca="1">IF(AND(ISNUMBER($AY$590),$B$419=1),$AY$590,HLOOKUP(INDIRECT(ADDRESS(2,COLUMN())),OFFSET($BN$2,0,0,ROW()-1,60),ROW()-1,FALSE))</f>
        <v>123.53100000000001</v>
      </c>
      <c r="AZ137">
        <f ca="1">IF(AND(ISNUMBER($AZ$590),$B$419=1),$AZ$590,HLOOKUP(INDIRECT(ADDRESS(2,COLUMN())),OFFSET($BN$2,0,0,ROW()-1,60),ROW()-1,FALSE))</f>
        <v>119.999</v>
      </c>
      <c r="BA137">
        <f ca="1">IF(AND(ISNUMBER($BA$590),$B$419=1),$BA$590,HLOOKUP(INDIRECT(ADDRESS(2,COLUMN())),OFFSET($BN$2,0,0,ROW()-1,60),ROW()-1,FALSE))</f>
        <v>119.41</v>
      </c>
      <c r="BB137">
        <f ca="1">IF(AND(ISNUMBER($BB$590),$B$419=1),$BB$590,HLOOKUP(INDIRECT(ADDRESS(2,COLUMN())),OFFSET($BN$2,0,0,ROW()-1,60),ROW()-1,FALSE))</f>
        <v>111.614</v>
      </c>
      <c r="BC137">
        <f ca="1">IF(AND(ISNUMBER($BC$590),$B$419=1),$BC$590,HLOOKUP(INDIRECT(ADDRESS(2,COLUMN())),OFFSET($BN$2,0,0,ROW()-1,60),ROW()-1,FALSE))</f>
        <v>127.45</v>
      </c>
      <c r="BD137">
        <f ca="1">IF(AND(ISNUMBER($BD$590),$B$419=1),$BD$590,HLOOKUP(INDIRECT(ADDRESS(2,COLUMN())),OFFSET($BN$2,0,0,ROW()-1,60),ROW()-1,FALSE))</f>
        <v>116.26600000000001</v>
      </c>
      <c r="BE137">
        <f ca="1">IF(AND(ISNUMBER($BE$590),$B$419=1),$BE$590,HLOOKUP(INDIRECT(ADDRESS(2,COLUMN())),OFFSET($BN$2,0,0,ROW()-1,60),ROW()-1,FALSE))</f>
        <v>112.443</v>
      </c>
      <c r="BF137">
        <f ca="1">IF(AND(ISNUMBER($BF$590),$B$419=1),$BF$590,HLOOKUP(INDIRECT(ADDRESS(2,COLUMN())),OFFSET($BN$2,0,0,ROW()-1,60),ROW()-1,FALSE))</f>
        <v>108.535</v>
      </c>
      <c r="BG137">
        <f ca="1">IF(AND(ISNUMBER($BG$590),$B$419=1),$BG$590,HLOOKUP(INDIRECT(ADDRESS(2,COLUMN())),OFFSET($BN$2,0,0,ROW()-1,60),ROW()-1,FALSE))</f>
        <v>103.607</v>
      </c>
      <c r="BH137">
        <f ca="1">IF(AND(ISNUMBER($BH$590),$B$419=1),$BH$590,HLOOKUP(INDIRECT(ADDRESS(2,COLUMN())),OFFSET($BN$2,0,0,ROW()-1,60),ROW()-1,FALSE))</f>
        <v>101.605</v>
      </c>
      <c r="BI137" t="str">
        <f ca="1">IF(AND(ISNUMBER($BI$590),$B$419=1),$BI$590,HLOOKUP(INDIRECT(ADDRESS(2,COLUMN())),OFFSET($BN$2,0,0,ROW()-1,60),ROW()-1,FALSE))</f>
        <v/>
      </c>
      <c r="BJ137" t="str">
        <f ca="1">IF(AND(ISNUMBER($BJ$590),$B$419=1),$BJ$590,HLOOKUP(INDIRECT(ADDRESS(2,COLUMN())),OFFSET($BN$2,0,0,ROW()-1,60),ROW()-1,FALSE))</f>
        <v/>
      </c>
      <c r="BK137" t="str">
        <f ca="1">IF(AND(ISNUMBER($BK$590),$B$419=1),$BK$590,HLOOKUP(INDIRECT(ADDRESS(2,COLUMN())),OFFSET($BN$2,0,0,ROW()-1,60),ROW()-1,FALSE))</f>
        <v/>
      </c>
      <c r="BL137">
        <f ca="1">IF(AND(ISNUMBER($BL$590),$B$419=1),$BL$590,HLOOKUP(INDIRECT(ADDRESS(2,COLUMN())),OFFSET($BN$2,0,0,ROW()-1,60),ROW()-1,FALSE))</f>
        <v>90.565002440000001</v>
      </c>
      <c r="BM137" t="str">
        <f ca="1">IF(AND(ISNUMBER($BM$590),$B$419=1),$BM$590,HLOOKUP(INDIRECT(ADDRESS(2,COLUMN())),OFFSET($BN$2,0,0,ROW()-1,60),ROW()-1,FALSE))</f>
        <v/>
      </c>
      <c r="BN137" t="str">
        <f>""</f>
        <v/>
      </c>
      <c r="BO137">
        <f>62.317</f>
        <v>62.317</v>
      </c>
      <c r="BP137">
        <f>71.387</f>
        <v>71.387</v>
      </c>
      <c r="BQ137">
        <f>73.718</f>
        <v>73.718000000000004</v>
      </c>
      <c r="BR137">
        <f>108.408</f>
        <v>108.408</v>
      </c>
      <c r="BS137">
        <f>83.188</f>
        <v>83.188000000000002</v>
      </c>
      <c r="BT137">
        <f>96.222</f>
        <v>96.221999999999994</v>
      </c>
      <c r="BU137">
        <f>93.042</f>
        <v>93.042000000000002</v>
      </c>
      <c r="BV137">
        <f>99.63</f>
        <v>99.63</v>
      </c>
      <c r="BW137">
        <f>58.727</f>
        <v>58.726999999999997</v>
      </c>
      <c r="BX137">
        <f>83.099</f>
        <v>83.099000000000004</v>
      </c>
      <c r="BY137">
        <f>83.694</f>
        <v>83.694000000000003</v>
      </c>
      <c r="BZ137">
        <f>101.133</f>
        <v>101.133</v>
      </c>
      <c r="CA137">
        <f>80.218</f>
        <v>80.218000000000004</v>
      </c>
      <c r="CB137">
        <f>71.324</f>
        <v>71.323999999999998</v>
      </c>
      <c r="CC137">
        <f>90.9</f>
        <v>90.9</v>
      </c>
      <c r="CD137">
        <f>104.434</f>
        <v>104.434</v>
      </c>
      <c r="CE137">
        <f>80.908</f>
        <v>80.908000000000001</v>
      </c>
      <c r="CF137">
        <f>98.016</f>
        <v>98.016000000000005</v>
      </c>
      <c r="CG137">
        <f>98.97</f>
        <v>98.97</v>
      </c>
      <c r="CH137">
        <f>106.881</f>
        <v>106.881</v>
      </c>
      <c r="CI137">
        <f>89.854</f>
        <v>89.853999999999999</v>
      </c>
      <c r="CJ137">
        <f>101.856</f>
        <v>101.85599999999999</v>
      </c>
      <c r="CK137">
        <f>94.38</f>
        <v>94.38</v>
      </c>
      <c r="CL137">
        <f>89.099</f>
        <v>89.099000000000004</v>
      </c>
      <c r="CM137">
        <f>76.588</f>
        <v>76.587999999999994</v>
      </c>
      <c r="CN137">
        <f>91.441</f>
        <v>91.441000000000003</v>
      </c>
      <c r="CO137">
        <f>86.373</f>
        <v>86.373000000000005</v>
      </c>
      <c r="CP137">
        <f>94.295</f>
        <v>94.295000000000002</v>
      </c>
      <c r="CQ137">
        <f>71.496</f>
        <v>71.495999999999995</v>
      </c>
      <c r="CR137">
        <f>90.597</f>
        <v>90.596999999999994</v>
      </c>
      <c r="CS137">
        <f>93.216</f>
        <v>93.215999999999994</v>
      </c>
      <c r="CT137">
        <f>86.904</f>
        <v>86.903999999999996</v>
      </c>
      <c r="CU137">
        <f>83.991</f>
        <v>83.991</v>
      </c>
      <c r="CV137">
        <f>81.041</f>
        <v>81.040999999999997</v>
      </c>
      <c r="CW137">
        <f>89.401</f>
        <v>89.400999999999996</v>
      </c>
      <c r="CX137">
        <f>94.705</f>
        <v>94.704999999999998</v>
      </c>
      <c r="CY137">
        <f>89.945</f>
        <v>89.944999999999993</v>
      </c>
      <c r="CZ137">
        <f>154.54</f>
        <v>154.54</v>
      </c>
      <c r="DA137">
        <f>146.295</f>
        <v>146.29499999999999</v>
      </c>
      <c r="DB137">
        <f>136.435</f>
        <v>136.435</v>
      </c>
      <c r="DC137">
        <f>108.719</f>
        <v>108.71899999999999</v>
      </c>
      <c r="DD137">
        <f>120.342</f>
        <v>120.342</v>
      </c>
      <c r="DE137">
        <f>161.972</f>
        <v>161.97200000000001</v>
      </c>
      <c r="DF137">
        <f>183.852</f>
        <v>183.852</v>
      </c>
      <c r="DG137">
        <f>123.531</f>
        <v>123.53100000000001</v>
      </c>
      <c r="DH137">
        <f>119.999</f>
        <v>119.999</v>
      </c>
      <c r="DI137">
        <f>119.41</f>
        <v>119.41</v>
      </c>
      <c r="DJ137">
        <f>111.614</f>
        <v>111.614</v>
      </c>
      <c r="DK137">
        <f>127.45</f>
        <v>127.45</v>
      </c>
      <c r="DL137">
        <f>116.266</f>
        <v>116.26600000000001</v>
      </c>
      <c r="DM137">
        <f>112.443</f>
        <v>112.443</v>
      </c>
      <c r="DN137">
        <f>108.535</f>
        <v>108.535</v>
      </c>
      <c r="DO137">
        <f>103.607</f>
        <v>103.607</v>
      </c>
      <c r="DP137">
        <f>101.605</f>
        <v>101.605</v>
      </c>
      <c r="DQ137" t="str">
        <f>""</f>
        <v/>
      </c>
      <c r="DR137" t="str">
        <f>""</f>
        <v/>
      </c>
      <c r="DS137" t="str">
        <f>""</f>
        <v/>
      </c>
      <c r="DT137">
        <f>90.56500244</f>
        <v>90.565002440000001</v>
      </c>
      <c r="DU137" t="str">
        <f>""</f>
        <v/>
      </c>
    </row>
    <row r="138" spans="1:125">
      <c r="A138" t="str">
        <f>"    National Retail Properties Inc"</f>
        <v xml:space="preserve">    National Retail Properties Inc</v>
      </c>
      <c r="B138" t="str">
        <f>"NNN US Equity"</f>
        <v>NNN US Equity</v>
      </c>
      <c r="C138" t="str">
        <f t="shared" si="24"/>
        <v>F0578</v>
      </c>
      <c r="D138" t="str">
        <f t="shared" si="25"/>
        <v>FUNDS_AVAILABLE_FOR_DISTRIBUTION</v>
      </c>
      <c r="E138" t="str">
        <f t="shared" si="26"/>
        <v>动态</v>
      </c>
      <c r="F138" t="str">
        <f ca="1">IF(AND(ISNUMBER($F$591),$B$419=1),$F$591,HLOOKUP(INDIRECT(ADDRESS(2,COLUMN())),OFFSET($BN$2,0,0,ROW()-1,60),ROW()-1,FALSE))</f>
        <v/>
      </c>
      <c r="G138">
        <f ca="1">IF(AND(ISNUMBER($G$591),$B$419=1),$G$591,HLOOKUP(INDIRECT(ADDRESS(2,COLUMN())),OFFSET($BN$2,0,0,ROW()-1,60),ROW()-1,FALSE))</f>
        <v>95.691999999999993</v>
      </c>
      <c r="H138">
        <f ca="1">IF(AND(ISNUMBER($H$591),$B$419=1),$H$591,HLOOKUP(INDIRECT(ADDRESS(2,COLUMN())),OFFSET($BN$2,0,0,ROW()-1,60),ROW()-1,FALSE))</f>
        <v>97.933999999999997</v>
      </c>
      <c r="I138">
        <f ca="1">IF(AND(ISNUMBER($I$591),$B$419=1),$I$591,HLOOKUP(INDIRECT(ADDRESS(2,COLUMN())),OFFSET($BN$2,0,0,ROW()-1,60),ROW()-1,FALSE))</f>
        <v>96.412000000000006</v>
      </c>
      <c r="J138">
        <f ca="1">IF(AND(ISNUMBER($J$591),$B$419=1),$J$591,HLOOKUP(INDIRECT(ADDRESS(2,COLUMN())),OFFSET($BN$2,0,0,ROW()-1,60),ROW()-1,FALSE))</f>
        <v>89.045000000000002</v>
      </c>
      <c r="K138">
        <f ca="1">IF(AND(ISNUMBER($K$591),$B$419=1),$K$591,HLOOKUP(INDIRECT(ADDRESS(2,COLUMN())),OFFSET($BN$2,0,0,ROW()-1,60),ROW()-1,FALSE))</f>
        <v>90.284999999999997</v>
      </c>
      <c r="L138">
        <f ca="1">IF(AND(ISNUMBER($L$591),$B$419=1),$L$591,HLOOKUP(INDIRECT(ADDRESS(2,COLUMN())),OFFSET($BN$2,0,0,ROW()-1,60),ROW()-1,FALSE))</f>
        <v>89.367000000000004</v>
      </c>
      <c r="M138">
        <f ca="1">IF(AND(ISNUMBER($M$591),$B$419=1),$M$591,HLOOKUP(INDIRECT(ADDRESS(2,COLUMN())),OFFSET($BN$2,0,0,ROW()-1,60),ROW()-1,FALSE))</f>
        <v>86.531000000000006</v>
      </c>
      <c r="N138">
        <f ca="1">IF(AND(ISNUMBER($N$591),$B$419=1),$N$591,HLOOKUP(INDIRECT(ADDRESS(2,COLUMN())),OFFSET($BN$2,0,0,ROW()-1,60),ROW()-1,FALSE))</f>
        <v>81.748999999999995</v>
      </c>
      <c r="O138">
        <f ca="1">IF(AND(ISNUMBER($O$591),$B$419=1),$O$591,HLOOKUP(INDIRECT(ADDRESS(2,COLUMN())),OFFSET($BN$2,0,0,ROW()-1,60),ROW()-1,FALSE))</f>
        <v>67.623000000000005</v>
      </c>
      <c r="P138">
        <f ca="1">IF(AND(ISNUMBER($P$591),$B$419=1),$P$591,HLOOKUP(INDIRECT(ADDRESS(2,COLUMN())),OFFSET($BN$2,0,0,ROW()-1,60),ROW()-1,FALSE))</f>
        <v>79.516000000000005</v>
      </c>
      <c r="Q138">
        <f ca="1">IF(AND(ISNUMBER($Q$591),$B$419=1),$Q$591,HLOOKUP(INDIRECT(ADDRESS(2,COLUMN())),OFFSET($BN$2,0,0,ROW()-1,60),ROW()-1,FALSE))</f>
        <v>75.153000000000006</v>
      </c>
      <c r="R138">
        <f ca="1">IF(AND(ISNUMBER($R$591),$B$419=1),$R$591,HLOOKUP(INDIRECT(ADDRESS(2,COLUMN())),OFFSET($BN$2,0,0,ROW()-1,60),ROW()-1,FALSE))</f>
        <v>72.150999999999996</v>
      </c>
      <c r="S138">
        <f ca="1">IF(AND(ISNUMBER($S$591),$B$419=1),$S$591,HLOOKUP(INDIRECT(ADDRESS(2,COLUMN())),OFFSET($BN$2,0,0,ROW()-1,60),ROW()-1,FALSE))</f>
        <v>71.97</v>
      </c>
      <c r="T138">
        <f ca="1">IF(AND(ISNUMBER($T$591),$B$419=1),$T$591,HLOOKUP(INDIRECT(ADDRESS(2,COLUMN())),OFFSET($BN$2,0,0,ROW()-1,60),ROW()-1,FALSE))</f>
        <v>66.644000000000005</v>
      </c>
      <c r="U138">
        <f ca="1">IF(AND(ISNUMBER($U$591),$B$419=1),$U$591,HLOOKUP(INDIRECT(ADDRESS(2,COLUMN())),OFFSET($BN$2,0,0,ROW()-1,60),ROW()-1,FALSE))</f>
        <v>62.71</v>
      </c>
      <c r="V138">
        <f ca="1">IF(AND(ISNUMBER($V$591),$B$419=1),$V$591,HLOOKUP(INDIRECT(ADDRESS(2,COLUMN())),OFFSET($BN$2,0,0,ROW()-1,60),ROW()-1,FALSE))</f>
        <v>63.186</v>
      </c>
      <c r="W138">
        <f ca="1">IF(AND(ISNUMBER($W$591),$B$419=1),$W$591,HLOOKUP(INDIRECT(ADDRESS(2,COLUMN())),OFFSET($BN$2,0,0,ROW()-1,60),ROW()-1,FALSE))</f>
        <v>63.603000000000002</v>
      </c>
      <c r="X138">
        <f ca="1">IF(AND(ISNUMBER($X$591),$B$419=1),$X$591,HLOOKUP(INDIRECT(ADDRESS(2,COLUMN())),OFFSET($BN$2,0,0,ROW()-1,60),ROW()-1,FALSE))</f>
        <v>61.395000000000003</v>
      </c>
      <c r="Y138">
        <f ca="1">IF(AND(ISNUMBER($Y$591),$B$419=1),$Y$591,HLOOKUP(INDIRECT(ADDRESS(2,COLUMN())),OFFSET($BN$2,0,0,ROW()-1,60),ROW()-1,FALSE))</f>
        <v>57.634999999999998</v>
      </c>
      <c r="Z138">
        <f ca="1">IF(AND(ISNUMBER($Z$591),$B$419=1),$Z$591,HLOOKUP(INDIRECT(ADDRESS(2,COLUMN())),OFFSET($BN$2,0,0,ROW()-1,60),ROW()-1,FALSE))</f>
        <v>57.014000000000003</v>
      </c>
      <c r="AA138">
        <f ca="1">IF(AND(ISNUMBER($AA$591),$B$419=1),$AA$591,HLOOKUP(INDIRECT(ADDRESS(2,COLUMN())),OFFSET($BN$2,0,0,ROW()-1,60),ROW()-1,FALSE))</f>
        <v>54.182000000000002</v>
      </c>
      <c r="AB138">
        <f ca="1">IF(AND(ISNUMBER($AB$591),$B$419=1),$AB$591,HLOOKUP(INDIRECT(ADDRESS(2,COLUMN())),OFFSET($BN$2,0,0,ROW()-1,60),ROW()-1,FALSE))</f>
        <v>51.365000000000002</v>
      </c>
      <c r="AC138">
        <f ca="1">IF(AND(ISNUMBER($AC$591),$B$419=1),$AC$591,HLOOKUP(INDIRECT(ADDRESS(2,COLUMN())),OFFSET($BN$2,0,0,ROW()-1,60),ROW()-1,FALSE))</f>
        <v>43.860999999999997</v>
      </c>
      <c r="AD138">
        <f ca="1">IF(AND(ISNUMBER($AD$591),$B$419=1),$AD$591,HLOOKUP(INDIRECT(ADDRESS(2,COLUMN())),OFFSET($BN$2,0,0,ROW()-1,60),ROW()-1,FALSE))</f>
        <v>43.161999999999999</v>
      </c>
      <c r="AE138">
        <f ca="1">IF(AND(ISNUMBER($AE$591),$B$419=1),$AE$591,HLOOKUP(INDIRECT(ADDRESS(2,COLUMN())),OFFSET($BN$2,0,0,ROW()-1,60),ROW()-1,FALSE))</f>
        <v>42.728999999999999</v>
      </c>
      <c r="AF138">
        <f ca="1">IF(AND(ISNUMBER($AF$591),$B$419=1),$AF$591,HLOOKUP(INDIRECT(ADDRESS(2,COLUMN())),OFFSET($BN$2,0,0,ROW()-1,60),ROW()-1,FALSE))</f>
        <v>38.25</v>
      </c>
      <c r="AG138">
        <f ca="1">IF(AND(ISNUMBER($AG$591),$B$419=1),$AG$591,HLOOKUP(INDIRECT(ADDRESS(2,COLUMN())),OFFSET($BN$2,0,0,ROW()-1,60),ROW()-1,FALSE))</f>
        <v>35.064</v>
      </c>
      <c r="AH138">
        <f ca="1">IF(AND(ISNUMBER($AH$591),$B$419=1),$AH$591,HLOOKUP(INDIRECT(ADDRESS(2,COLUMN())),OFFSET($BN$2,0,0,ROW()-1,60),ROW()-1,FALSE))</f>
        <v>34.515999999999998</v>
      </c>
      <c r="AI138">
        <f ca="1">IF(AND(ISNUMBER($AI$591),$B$419=1),$AI$591,HLOOKUP(INDIRECT(ADDRESS(2,COLUMN())),OFFSET($BN$2,0,0,ROW()-1,60),ROW()-1,FALSE))</f>
        <v>34.850999999999999</v>
      </c>
      <c r="AJ138">
        <f ca="1">IF(AND(ISNUMBER($AJ$591),$B$419=1),$AJ$591,HLOOKUP(INDIRECT(ADDRESS(2,COLUMN())),OFFSET($BN$2,0,0,ROW()-1,60),ROW()-1,FALSE))</f>
        <v>32.597000000000001</v>
      </c>
      <c r="AK138">
        <f ca="1">IF(AND(ISNUMBER($AK$591),$B$419=1),$AK$591,HLOOKUP(INDIRECT(ADDRESS(2,COLUMN())),OFFSET($BN$2,0,0,ROW()-1,60),ROW()-1,FALSE))</f>
        <v>32.831000000000003</v>
      </c>
      <c r="AL138">
        <f ca="1">IF(AND(ISNUMBER($AL$591),$B$419=1),$AL$591,HLOOKUP(INDIRECT(ADDRESS(2,COLUMN())),OFFSET($BN$2,0,0,ROW()-1,60),ROW()-1,FALSE))</f>
        <v>31.443999999999999</v>
      </c>
      <c r="AM138">
        <f ca="1">IF(AND(ISNUMBER($AM$591),$B$419=1),$AM$591,HLOOKUP(INDIRECT(ADDRESS(2,COLUMN())),OFFSET($BN$2,0,0,ROW()-1,60),ROW()-1,FALSE))</f>
        <v>31.321999999999999</v>
      </c>
      <c r="AN138">
        <f ca="1">IF(AND(ISNUMBER($AN$591),$B$419=1),$AN$591,HLOOKUP(INDIRECT(ADDRESS(2,COLUMN())),OFFSET($BN$2,0,0,ROW()-1,60),ROW()-1,FALSE))</f>
        <v>33.322000000000003</v>
      </c>
      <c r="AO138">
        <f ca="1">IF(AND(ISNUMBER($AO$591),$B$419=1),$AO$591,HLOOKUP(INDIRECT(ADDRESS(2,COLUMN())),OFFSET($BN$2,0,0,ROW()-1,60),ROW()-1,FALSE))</f>
        <v>37.433</v>
      </c>
      <c r="AP138">
        <f ca="1">IF(AND(ISNUMBER($AP$591),$B$419=1),$AP$591,HLOOKUP(INDIRECT(ADDRESS(2,COLUMN())),OFFSET($BN$2,0,0,ROW()-1,60),ROW()-1,FALSE))</f>
        <v>36.826999999999998</v>
      </c>
      <c r="AQ138">
        <f ca="1">IF(AND(ISNUMBER($AQ$591),$B$419=1),$AQ$591,HLOOKUP(INDIRECT(ADDRESS(2,COLUMN())),OFFSET($BN$2,0,0,ROW()-1,60),ROW()-1,FALSE))</f>
        <v>35.963999999999999</v>
      </c>
      <c r="AR138">
        <f ca="1">IF(AND(ISNUMBER($AR$591),$B$419=1),$AR$591,HLOOKUP(INDIRECT(ADDRESS(2,COLUMN())),OFFSET($BN$2,0,0,ROW()-1,60),ROW()-1,FALSE))</f>
        <v>36.707000000000001</v>
      </c>
      <c r="AS138">
        <f ca="1">IF(AND(ISNUMBER($AS$591),$B$419=1),$AS$591,HLOOKUP(INDIRECT(ADDRESS(2,COLUMN())),OFFSET($BN$2,0,0,ROW()-1,60),ROW()-1,FALSE))</f>
        <v>36.654000000000003</v>
      </c>
      <c r="AT138">
        <f ca="1">IF(AND(ISNUMBER($AT$591),$B$419=1),$AT$591,HLOOKUP(INDIRECT(ADDRESS(2,COLUMN())),OFFSET($BN$2,0,0,ROW()-1,60),ROW()-1,FALSE))</f>
        <v>35.581000000000003</v>
      </c>
      <c r="AU138">
        <f ca="1">IF(AND(ISNUMBER($AU$591),$B$419=1),$AU$591,HLOOKUP(INDIRECT(ADDRESS(2,COLUMN())),OFFSET($BN$2,0,0,ROW()-1,60),ROW()-1,FALSE))</f>
        <v>32.15</v>
      </c>
      <c r="AV138">
        <f ca="1">IF(AND(ISNUMBER($AV$591),$B$419=1),$AV$591,HLOOKUP(INDIRECT(ADDRESS(2,COLUMN())),OFFSET($BN$2,0,0,ROW()-1,60),ROW()-1,FALSE))</f>
        <v>30.872</v>
      </c>
      <c r="AW138">
        <f ca="1">IF(AND(ISNUMBER($AW$591),$B$419=1),$AW$591,HLOOKUP(INDIRECT(ADDRESS(2,COLUMN())),OFFSET($BN$2,0,0,ROW()-1,60),ROW()-1,FALSE))</f>
        <v>31.481000900000002</v>
      </c>
      <c r="AX138">
        <f ca="1">IF(AND(ISNUMBER($AX$591),$B$419=1),$AX$591,HLOOKUP(INDIRECT(ADDRESS(2,COLUMN())),OFFSET($BN$2,0,0,ROW()-1,60),ROW()-1,FALSE))</f>
        <v>29.61</v>
      </c>
      <c r="AY138">
        <f ca="1">IF(AND(ISNUMBER($AY$591),$B$419=1),$AY$591,HLOOKUP(INDIRECT(ADDRESS(2,COLUMN())),OFFSET($BN$2,0,0,ROW()-1,60),ROW()-1,FALSE))</f>
        <v>27.07299995</v>
      </c>
      <c r="AZ138">
        <f ca="1">IF(AND(ISNUMBER($AZ$591),$B$419=1),$AZ$591,HLOOKUP(INDIRECT(ADDRESS(2,COLUMN())),OFFSET($BN$2,0,0,ROW()-1,60),ROW()-1,FALSE))</f>
        <v>21.917000000000002</v>
      </c>
      <c r="BA138">
        <f ca="1">IF(AND(ISNUMBER($BA$591),$B$419=1),$BA$591,HLOOKUP(INDIRECT(ADDRESS(2,COLUMN())),OFFSET($BN$2,0,0,ROW()-1,60),ROW()-1,FALSE))</f>
        <v>24.503999709999999</v>
      </c>
      <c r="BB138">
        <f ca="1">IF(AND(ISNUMBER($BB$591),$B$419=1),$BB$591,HLOOKUP(INDIRECT(ADDRESS(2,COLUMN())),OFFSET($BN$2,0,0,ROW()-1,60),ROW()-1,FALSE))</f>
        <v>23.626999999999999</v>
      </c>
      <c r="BC138">
        <f ca="1">IF(AND(ISNUMBER($BC$591),$B$419=1),$BC$591,HLOOKUP(INDIRECT(ADDRESS(2,COLUMN())),OFFSET($BN$2,0,0,ROW()-1,60),ROW()-1,FALSE))</f>
        <v>60.428001399999999</v>
      </c>
      <c r="BD138">
        <f ca="1">IF(AND(ISNUMBER($BD$591),$B$419=1),$BD$591,HLOOKUP(INDIRECT(ADDRESS(2,COLUMN())),OFFSET($BN$2,0,0,ROW()-1,60),ROW()-1,FALSE))</f>
        <v>21.375</v>
      </c>
      <c r="BE138">
        <f ca="1">IF(AND(ISNUMBER($BE$591),$B$419=1),$BE$591,HLOOKUP(INDIRECT(ADDRESS(2,COLUMN())),OFFSET($BN$2,0,0,ROW()-1,60),ROW()-1,FALSE))</f>
        <v>-19.596000669999999</v>
      </c>
      <c r="BF138">
        <f ca="1">IF(AND(ISNUMBER($BF$591),$B$419=1),$BF$591,HLOOKUP(INDIRECT(ADDRESS(2,COLUMN())),OFFSET($BN$2,0,0,ROW()-1,60),ROW()-1,FALSE))</f>
        <v>19.596</v>
      </c>
      <c r="BG138">
        <f ca="1">IF(AND(ISNUMBER($BG$591),$B$419=1),$BG$591,HLOOKUP(INDIRECT(ADDRESS(2,COLUMN())),OFFSET($BN$2,0,0,ROW()-1,60),ROW()-1,FALSE))</f>
        <v>20.76</v>
      </c>
      <c r="BH138">
        <f ca="1">IF(AND(ISNUMBER($BH$591),$B$419=1),$BH$591,HLOOKUP(INDIRECT(ADDRESS(2,COLUMN())),OFFSET($BN$2,0,0,ROW()-1,60),ROW()-1,FALSE))</f>
        <v>0</v>
      </c>
      <c r="BI138" t="str">
        <f ca="1">IF(AND(ISNUMBER($BI$591),$B$419=1),$BI$591,HLOOKUP(INDIRECT(ADDRESS(2,COLUMN())),OFFSET($BN$2,0,0,ROW()-1,60),ROW()-1,FALSE))</f>
        <v/>
      </c>
      <c r="BJ138" t="str">
        <f ca="1">IF(AND(ISNUMBER($BJ$591),$B$419=1),$BJ$591,HLOOKUP(INDIRECT(ADDRESS(2,COLUMN())),OFFSET($BN$2,0,0,ROW()-1,60),ROW()-1,FALSE))</f>
        <v/>
      </c>
      <c r="BK138">
        <f ca="1">IF(AND(ISNUMBER($BK$591),$B$419=1),$BK$591,HLOOKUP(INDIRECT(ADDRESS(2,COLUMN())),OFFSET($BN$2,0,0,ROW()-1,60),ROW()-1,FALSE))</f>
        <v>64.162000000000006</v>
      </c>
      <c r="BL138" t="str">
        <f ca="1">IF(AND(ISNUMBER($BL$591),$B$419=1),$BL$591,HLOOKUP(INDIRECT(ADDRESS(2,COLUMN())),OFFSET($BN$2,0,0,ROW()-1,60),ROW()-1,FALSE))</f>
        <v/>
      </c>
      <c r="BM138" t="str">
        <f ca="1">IF(AND(ISNUMBER($BM$591),$B$419=1),$BM$591,HLOOKUP(INDIRECT(ADDRESS(2,COLUMN())),OFFSET($BN$2,0,0,ROW()-1,60),ROW()-1,FALSE))</f>
        <v/>
      </c>
      <c r="BN138" t="str">
        <f>""</f>
        <v/>
      </c>
      <c r="BO138">
        <f>95.692</f>
        <v>95.691999999999993</v>
      </c>
      <c r="BP138">
        <f>97.934</f>
        <v>97.933999999999997</v>
      </c>
      <c r="BQ138">
        <f>96.412</f>
        <v>96.412000000000006</v>
      </c>
      <c r="BR138">
        <f>89.045</f>
        <v>89.045000000000002</v>
      </c>
      <c r="BS138">
        <f>90.285</f>
        <v>90.284999999999997</v>
      </c>
      <c r="BT138">
        <f>89.367</f>
        <v>89.367000000000004</v>
      </c>
      <c r="BU138">
        <f>86.531</f>
        <v>86.531000000000006</v>
      </c>
      <c r="BV138">
        <f>81.749</f>
        <v>81.748999999999995</v>
      </c>
      <c r="BW138">
        <f>67.623</f>
        <v>67.623000000000005</v>
      </c>
      <c r="BX138">
        <f>79.516</f>
        <v>79.516000000000005</v>
      </c>
      <c r="BY138">
        <f>75.153</f>
        <v>75.153000000000006</v>
      </c>
      <c r="BZ138">
        <f>72.151</f>
        <v>72.150999999999996</v>
      </c>
      <c r="CA138">
        <f>71.97</f>
        <v>71.97</v>
      </c>
      <c r="CB138">
        <f>66.644</f>
        <v>66.644000000000005</v>
      </c>
      <c r="CC138">
        <f>62.71</f>
        <v>62.71</v>
      </c>
      <c r="CD138">
        <f>63.186</f>
        <v>63.186</v>
      </c>
      <c r="CE138">
        <f>63.603</f>
        <v>63.603000000000002</v>
      </c>
      <c r="CF138">
        <f>61.395</f>
        <v>61.395000000000003</v>
      </c>
      <c r="CG138">
        <f>57.635</f>
        <v>57.634999999999998</v>
      </c>
      <c r="CH138">
        <f>57.014</f>
        <v>57.014000000000003</v>
      </c>
      <c r="CI138">
        <f>54.182</f>
        <v>54.182000000000002</v>
      </c>
      <c r="CJ138">
        <f>51.365</f>
        <v>51.365000000000002</v>
      </c>
      <c r="CK138">
        <f>43.861</f>
        <v>43.860999999999997</v>
      </c>
      <c r="CL138">
        <f>43.162</f>
        <v>43.161999999999999</v>
      </c>
      <c r="CM138">
        <f>42.729</f>
        <v>42.728999999999999</v>
      </c>
      <c r="CN138">
        <f>38.25</f>
        <v>38.25</v>
      </c>
      <c r="CO138">
        <f>35.064</f>
        <v>35.064</v>
      </c>
      <c r="CP138">
        <f>34.516</f>
        <v>34.515999999999998</v>
      </c>
      <c r="CQ138">
        <f>34.851</f>
        <v>34.850999999999999</v>
      </c>
      <c r="CR138">
        <f>32.597</f>
        <v>32.597000000000001</v>
      </c>
      <c r="CS138">
        <f>32.831</f>
        <v>32.831000000000003</v>
      </c>
      <c r="CT138">
        <f>31.444</f>
        <v>31.443999999999999</v>
      </c>
      <c r="CU138">
        <f>31.322</f>
        <v>31.321999999999999</v>
      </c>
      <c r="CV138">
        <f>33.322</f>
        <v>33.322000000000003</v>
      </c>
      <c r="CW138">
        <f>37.433</f>
        <v>37.433</v>
      </c>
      <c r="CX138">
        <f>36.827</f>
        <v>36.826999999999998</v>
      </c>
      <c r="CY138">
        <f>35.964</f>
        <v>35.963999999999999</v>
      </c>
      <c r="CZ138">
        <f>36.707</f>
        <v>36.707000000000001</v>
      </c>
      <c r="DA138">
        <f>36.654</f>
        <v>36.654000000000003</v>
      </c>
      <c r="DB138">
        <f>35.581</f>
        <v>35.581000000000003</v>
      </c>
      <c r="DC138">
        <f>32.15</f>
        <v>32.15</v>
      </c>
      <c r="DD138">
        <f>30.872</f>
        <v>30.872</v>
      </c>
      <c r="DE138">
        <f>31.4810009</f>
        <v>31.481000900000002</v>
      </c>
      <c r="DF138">
        <f>29.61</f>
        <v>29.61</v>
      </c>
      <c r="DG138">
        <f>27.07299995</f>
        <v>27.07299995</v>
      </c>
      <c r="DH138">
        <f>21.917</f>
        <v>21.917000000000002</v>
      </c>
      <c r="DI138">
        <f>24.50399971</f>
        <v>24.503999709999999</v>
      </c>
      <c r="DJ138">
        <f>23.627</f>
        <v>23.626999999999999</v>
      </c>
      <c r="DK138">
        <f>60.4280014</f>
        <v>60.428001399999999</v>
      </c>
      <c r="DL138">
        <f>21.375</f>
        <v>21.375</v>
      </c>
      <c r="DM138">
        <f>-19.59600067</f>
        <v>-19.596000669999999</v>
      </c>
      <c r="DN138">
        <f>19.596</f>
        <v>19.596</v>
      </c>
      <c r="DO138">
        <f>20.76</f>
        <v>20.76</v>
      </c>
      <c r="DP138">
        <f>0</f>
        <v>0</v>
      </c>
      <c r="DQ138" t="str">
        <f>""</f>
        <v/>
      </c>
      <c r="DR138" t="str">
        <f>""</f>
        <v/>
      </c>
      <c r="DS138">
        <f>64.162</f>
        <v>64.162000000000006</v>
      </c>
      <c r="DT138" t="str">
        <f>""</f>
        <v/>
      </c>
      <c r="DU138" t="str">
        <f>""</f>
        <v/>
      </c>
    </row>
    <row r="139" spans="1:125">
      <c r="A139" t="str">
        <f>"    Realty Income Corp"</f>
        <v xml:space="preserve">    Realty Income Corp</v>
      </c>
      <c r="B139" t="str">
        <f>"O US Equity"</f>
        <v>O US Equity</v>
      </c>
      <c r="C139" t="str">
        <f t="shared" si="24"/>
        <v>F0578</v>
      </c>
      <c r="D139" t="str">
        <f t="shared" si="25"/>
        <v>FUNDS_AVAILABLE_FOR_DISTRIBUTION</v>
      </c>
      <c r="E139" t="str">
        <f t="shared" si="26"/>
        <v>动态</v>
      </c>
      <c r="F139" t="str">
        <f ca="1">IF(AND(ISNUMBER($F$592),$B$419=1),$F$592,HLOOKUP(INDIRECT(ADDRESS(2,COLUMN())),OFFSET($BN$2,0,0,ROW()-1,60),ROW()-1,FALSE))</f>
        <v/>
      </c>
      <c r="G139">
        <f ca="1">IF(AND(ISNUMBER($G$592),$B$419=1),$G$592,HLOOKUP(INDIRECT(ADDRESS(2,COLUMN())),OFFSET($BN$2,0,0,ROW()-1,60),ROW()-1,FALSE))</f>
        <v>215.31200000000001</v>
      </c>
      <c r="H139">
        <f ca="1">IF(AND(ISNUMBER($H$592),$B$419=1),$H$592,HLOOKUP(INDIRECT(ADDRESS(2,COLUMN())),OFFSET($BN$2,0,0,ROW()-1,60),ROW()-1,FALSE))</f>
        <v>213.601</v>
      </c>
      <c r="I139">
        <f ca="1">IF(AND(ISNUMBER($I$592),$B$419=1),$I$592,HLOOKUP(INDIRECT(ADDRESS(2,COLUMN())),OFFSET($BN$2,0,0,ROW()-1,60),ROW()-1,FALSE))</f>
        <v>208.38800000000001</v>
      </c>
      <c r="J139">
        <f ca="1">IF(AND(ISNUMBER($J$592),$B$419=1),$J$592,HLOOKUP(INDIRECT(ADDRESS(2,COLUMN())),OFFSET($BN$2,0,0,ROW()-1,60),ROW()-1,FALSE))</f>
        <v>201.33600000000001</v>
      </c>
      <c r="K139">
        <f ca="1">IF(AND(ISNUMBER($K$592),$B$419=1),$K$592,HLOOKUP(INDIRECT(ADDRESS(2,COLUMN())),OFFSET($BN$2,0,0,ROW()-1,60),ROW()-1,FALSE))</f>
        <v>192.964</v>
      </c>
      <c r="L139">
        <f ca="1">IF(AND(ISNUMBER($L$592),$B$419=1),$L$592,HLOOKUP(INDIRECT(ADDRESS(2,COLUMN())),OFFSET($BN$2,0,0,ROW()-1,60),ROW()-1,FALSE))</f>
        <v>186.57499999999999</v>
      </c>
      <c r="M139">
        <f ca="1">IF(AND(ISNUMBER($M$592),$B$419=1),$M$592,HLOOKUP(INDIRECT(ADDRESS(2,COLUMN())),OFFSET($BN$2,0,0,ROW()-1,60),ROW()-1,FALSE))</f>
        <v>180.876</v>
      </c>
      <c r="N139">
        <f ca="1">IF(AND(ISNUMBER($N$592),$B$419=1),$N$592,HLOOKUP(INDIRECT(ADDRESS(2,COLUMN())),OFFSET($BN$2,0,0,ROW()-1,60),ROW()-1,FALSE))</f>
        <v>175.91800000000001</v>
      </c>
      <c r="O139">
        <f ca="1">IF(AND(ISNUMBER($O$592),$B$419=1),$O$592,HLOOKUP(INDIRECT(ADDRESS(2,COLUMN())),OFFSET($BN$2,0,0,ROW()-1,60),ROW()-1,FALSE))</f>
        <v>170.023</v>
      </c>
      <c r="P139">
        <f ca="1">IF(AND(ISNUMBER($P$592),$B$419=1),$P$592,HLOOKUP(INDIRECT(ADDRESS(2,COLUMN())),OFFSET($BN$2,0,0,ROW()-1,60),ROW()-1,FALSE))</f>
        <v>165.79</v>
      </c>
      <c r="Q139">
        <f ca="1">IF(AND(ISNUMBER($Q$592),$B$419=1),$Q$592,HLOOKUP(INDIRECT(ADDRESS(2,COLUMN())),OFFSET($BN$2,0,0,ROW()-1,60),ROW()-1,FALSE))</f>
        <v>159.06</v>
      </c>
      <c r="R139">
        <f ca="1">IF(AND(ISNUMBER($R$592),$B$419=1),$R$592,HLOOKUP(INDIRECT(ADDRESS(2,COLUMN())),OFFSET($BN$2,0,0,ROW()-1,60),ROW()-1,FALSE))</f>
        <v>152.12100000000001</v>
      </c>
      <c r="S139">
        <f ca="1">IF(AND(ISNUMBER($S$592),$B$419=1),$S$592,HLOOKUP(INDIRECT(ADDRESS(2,COLUMN())),OFFSET($BN$2,0,0,ROW()-1,60),ROW()-1,FALSE))</f>
        <v>145.39400000000001</v>
      </c>
      <c r="T139">
        <f ca="1">IF(AND(ISNUMBER($T$592),$B$419=1),$T$592,HLOOKUP(INDIRECT(ADDRESS(2,COLUMN())),OFFSET($BN$2,0,0,ROW()-1,60),ROW()-1,FALSE))</f>
        <v>142.429</v>
      </c>
      <c r="U139">
        <f ca="1">IF(AND(ISNUMBER($U$592),$B$419=1),$U$592,HLOOKUP(INDIRECT(ADDRESS(2,COLUMN())),OFFSET($BN$2,0,0,ROW()-1,60),ROW()-1,FALSE))</f>
        <v>141.178</v>
      </c>
      <c r="V139">
        <f ca="1">IF(AND(ISNUMBER($V$592),$B$419=1),$V$592,HLOOKUP(INDIRECT(ADDRESS(2,COLUMN())),OFFSET($BN$2,0,0,ROW()-1,60),ROW()-1,FALSE))</f>
        <v>132.66</v>
      </c>
      <c r="W139">
        <f ca="1">IF(AND(ISNUMBER($W$592),$B$419=1),$W$592,HLOOKUP(INDIRECT(ADDRESS(2,COLUMN())),OFFSET($BN$2,0,0,ROW()-1,60),ROW()-1,FALSE))</f>
        <v>125.7</v>
      </c>
      <c r="X139">
        <f ca="1">IF(AND(ISNUMBER($X$592),$B$419=1),$X$592,HLOOKUP(INDIRECT(ADDRESS(2,COLUMN())),OFFSET($BN$2,0,0,ROW()-1,60),ROW()-1,FALSE))</f>
        <v>117.919</v>
      </c>
      <c r="Y139">
        <f ca="1">IF(AND(ISNUMBER($Y$592),$B$419=1),$Y$592,HLOOKUP(INDIRECT(ADDRESS(2,COLUMN())),OFFSET($BN$2,0,0,ROW()-1,60),ROW()-1,FALSE))</f>
        <v>115.584</v>
      </c>
      <c r="Z139">
        <f ca="1">IF(AND(ISNUMBER($Z$592),$B$419=1),$Z$592,HLOOKUP(INDIRECT(ADDRESS(2,COLUMN())),OFFSET($BN$2,0,0,ROW()-1,60),ROW()-1,FALSE))</f>
        <v>103.97199999999999</v>
      </c>
      <c r="AA139">
        <f ca="1">IF(AND(ISNUMBER($AA$592),$B$419=1),$AA$592,HLOOKUP(INDIRECT(ADDRESS(2,COLUMN())),OFFSET($BN$2,0,0,ROW()-1,60),ROW()-1,FALSE))</f>
        <v>72.891999999999996</v>
      </c>
      <c r="AB139">
        <f ca="1">IF(AND(ISNUMBER($AB$592),$B$419=1),$AB$592,HLOOKUP(INDIRECT(ADDRESS(2,COLUMN())),OFFSET($BN$2,0,0,ROW()-1,60),ROW()-1,FALSE))</f>
        <v>68.495999999999995</v>
      </c>
      <c r="AC139">
        <f ca="1">IF(AND(ISNUMBER($AC$592),$B$419=1),$AC$592,HLOOKUP(INDIRECT(ADDRESS(2,COLUMN())),OFFSET($BN$2,0,0,ROW()-1,60),ROW()-1,FALSE))</f>
        <v>66.498999999999995</v>
      </c>
      <c r="AD139">
        <f ca="1">IF(AND(ISNUMBER($AD$592),$B$419=1),$AD$592,HLOOKUP(INDIRECT(ADDRESS(2,COLUMN())),OFFSET($BN$2,0,0,ROW()-1,60),ROW()-1,FALSE))</f>
        <v>66.293999999999997</v>
      </c>
      <c r="AE139">
        <f ca="1">IF(AND(ISNUMBER($AE$592),$B$419=1),$AE$592,HLOOKUP(INDIRECT(ADDRESS(2,COLUMN())),OFFSET($BN$2,0,0,ROW()-1,60),ROW()-1,FALSE))</f>
        <v>68.524000000000001</v>
      </c>
      <c r="AF139">
        <f ca="1">IF(AND(ISNUMBER($AF$592),$B$419=1),$AF$592,HLOOKUP(INDIRECT(ADDRESS(2,COLUMN())),OFFSET($BN$2,0,0,ROW()-1,60),ROW()-1,FALSE))</f>
        <v>64.239000000000004</v>
      </c>
      <c r="AG139">
        <f ca="1">IF(AND(ISNUMBER($AG$592),$B$419=1),$AG$592,HLOOKUP(INDIRECT(ADDRESS(2,COLUMN())),OFFSET($BN$2,0,0,ROW()-1,60),ROW()-1,FALSE))</f>
        <v>62.37</v>
      </c>
      <c r="AH139">
        <f ca="1">IF(AND(ISNUMBER($AH$592),$B$419=1),$AH$592,HLOOKUP(INDIRECT(ADDRESS(2,COLUMN())),OFFSET($BN$2,0,0,ROW()-1,60),ROW()-1,FALSE))</f>
        <v>58.238999999999997</v>
      </c>
      <c r="AI139">
        <f ca="1">IF(AND(ISNUMBER($AI$592),$B$419=1),$AI$592,HLOOKUP(INDIRECT(ADDRESS(2,COLUMN())),OFFSET($BN$2,0,0,ROW()-1,60),ROW()-1,FALSE))</f>
        <v>53.534999999999997</v>
      </c>
      <c r="AJ139">
        <f ca="1">IF(AND(ISNUMBER($AJ$592),$B$419=1),$AJ$592,HLOOKUP(INDIRECT(ADDRESS(2,COLUMN())),OFFSET($BN$2,0,0,ROW()-1,60),ROW()-1,FALSE))</f>
        <v>48.585000000000001</v>
      </c>
      <c r="AK139">
        <f ca="1">IF(AND(ISNUMBER($AK$592),$B$419=1),$AK$592,HLOOKUP(INDIRECT(ADDRESS(2,COLUMN())),OFFSET($BN$2,0,0,ROW()-1,60),ROW()-1,FALSE))</f>
        <v>47.73</v>
      </c>
      <c r="AL139">
        <f ca="1">IF(AND(ISNUMBER($AL$592),$B$419=1),$AL$592,HLOOKUP(INDIRECT(ADDRESS(2,COLUMN())),OFFSET($BN$2,0,0,ROW()-1,60),ROW()-1,FALSE))</f>
        <v>47.615000000000002</v>
      </c>
      <c r="AM139">
        <f ca="1">IF(AND(ISNUMBER($AM$592),$B$419=1),$AM$592,HLOOKUP(INDIRECT(ADDRESS(2,COLUMN())),OFFSET($BN$2,0,0,ROW()-1,60),ROW()-1,FALSE))</f>
        <v>48.622</v>
      </c>
      <c r="AN139">
        <f ca="1">IF(AND(ISNUMBER($AN$592),$B$419=1),$AN$592,HLOOKUP(INDIRECT(ADDRESS(2,COLUMN())),OFFSET($BN$2,0,0,ROW()-1,60),ROW()-1,FALSE))</f>
        <v>48.499000000000002</v>
      </c>
      <c r="AO139">
        <f ca="1">IF(AND(ISNUMBER($AO$592),$B$419=1),$AO$592,HLOOKUP(INDIRECT(ADDRESS(2,COLUMN())),OFFSET($BN$2,0,0,ROW()-1,60),ROW()-1,FALSE))</f>
        <v>47.942999999999998</v>
      </c>
      <c r="AP139">
        <f ca="1">IF(AND(ISNUMBER($AP$592),$B$419=1),$AP$592,HLOOKUP(INDIRECT(ADDRESS(2,COLUMN())),OFFSET($BN$2,0,0,ROW()-1,60),ROW()-1,FALSE))</f>
        <v>47.674999999999997</v>
      </c>
      <c r="AQ139">
        <f ca="1">IF(AND(ISNUMBER($AQ$592),$B$419=1),$AQ$592,HLOOKUP(INDIRECT(ADDRESS(2,COLUMN())),OFFSET($BN$2,0,0,ROW()-1,60),ROW()-1,FALSE))</f>
        <v>47.027000000000001</v>
      </c>
      <c r="AR139">
        <f ca="1">IF(AND(ISNUMBER($AR$592),$B$419=1),$AR$592,HLOOKUP(INDIRECT(ADDRESS(2,COLUMN())),OFFSET($BN$2,0,0,ROW()-1,60),ROW()-1,FALSE))</f>
        <v>45.747999999999998</v>
      </c>
      <c r="AS139">
        <f ca="1">IF(AND(ISNUMBER($AS$592),$B$419=1),$AS$592,HLOOKUP(INDIRECT(ADDRESS(2,COLUMN())),OFFSET($BN$2,0,0,ROW()-1,60),ROW()-1,FALSE))</f>
        <v>46.811999999999998</v>
      </c>
      <c r="AT139">
        <f ca="1">IF(AND(ISNUMBER($AT$592),$B$419=1),$AT$592,HLOOKUP(INDIRECT(ADDRESS(2,COLUMN())),OFFSET($BN$2,0,0,ROW()-1,60),ROW()-1,FALSE))</f>
        <v>45.936999999999998</v>
      </c>
      <c r="AU139">
        <f ca="1">IF(AND(ISNUMBER($AU$592),$B$419=1),$AU$592,HLOOKUP(INDIRECT(ADDRESS(2,COLUMN())),OFFSET($BN$2,0,0,ROW()-1,60),ROW()-1,FALSE))</f>
        <v>47.75</v>
      </c>
      <c r="AV139">
        <f ca="1">IF(AND(ISNUMBER($AV$592),$B$419=1),$AV$592,HLOOKUP(INDIRECT(ADDRESS(2,COLUMN())),OFFSET($BN$2,0,0,ROW()-1,60),ROW()-1,FALSE))</f>
        <v>46.625</v>
      </c>
      <c r="AW139">
        <f ca="1">IF(AND(ISNUMBER($AW$592),$B$419=1),$AW$592,HLOOKUP(INDIRECT(ADDRESS(2,COLUMN())),OFFSET($BN$2,0,0,ROW()-1,60),ROW()-1,FALSE))</f>
        <v>48.759998320000001</v>
      </c>
      <c r="AX139">
        <f ca="1">IF(AND(ISNUMBER($AX$592),$B$419=1),$AX$592,HLOOKUP(INDIRECT(ADDRESS(2,COLUMN())),OFFSET($BN$2,0,0,ROW()-1,60),ROW()-1,FALSE))</f>
        <v>46.539000000000001</v>
      </c>
      <c r="AY139">
        <f ca="1">IF(AND(ISNUMBER($AY$592),$B$419=1),$AY$592,HLOOKUP(INDIRECT(ADDRESS(2,COLUMN())),OFFSET($BN$2,0,0,ROW()-1,60),ROW()-1,FALSE))</f>
        <v>44.901000000000003</v>
      </c>
      <c r="AZ139">
        <f ca="1">IF(AND(ISNUMBER($AZ$592),$B$419=1),$AZ$592,HLOOKUP(INDIRECT(ADDRESS(2,COLUMN())),OFFSET($BN$2,0,0,ROW()-1,60),ROW()-1,FALSE))</f>
        <v>37.975999999999999</v>
      </c>
      <c r="BA139">
        <f ca="1">IF(AND(ISNUMBER($BA$592),$B$419=1),$BA$592,HLOOKUP(INDIRECT(ADDRESS(2,COLUMN())),OFFSET($BN$2,0,0,ROW()-1,60),ROW()-1,FALSE))</f>
        <v>37.622001650000001</v>
      </c>
      <c r="BB139">
        <f ca="1">IF(AND(ISNUMBER($BB$592),$B$419=1),$BB$592,HLOOKUP(INDIRECT(ADDRESS(2,COLUMN())),OFFSET($BN$2,0,0,ROW()-1,60),ROW()-1,FALSE))</f>
        <v>35.299999999999997</v>
      </c>
      <c r="BC139">
        <f ca="1">IF(AND(ISNUMBER($BC$592),$B$419=1),$BC$592,HLOOKUP(INDIRECT(ADDRESS(2,COLUMN())),OFFSET($BN$2,0,0,ROW()-1,60),ROW()-1,FALSE))</f>
        <v>35.863</v>
      </c>
      <c r="BD139">
        <f ca="1">IF(AND(ISNUMBER($BD$592),$B$419=1),$BD$592,HLOOKUP(INDIRECT(ADDRESS(2,COLUMN())),OFFSET($BN$2,0,0,ROW()-1,60),ROW()-1,FALSE))</f>
        <v>31.747999190000002</v>
      </c>
      <c r="BE139">
        <f ca="1">IF(AND(ISNUMBER($BE$592),$B$419=1),$BE$592,HLOOKUP(INDIRECT(ADDRESS(2,COLUMN())),OFFSET($BN$2,0,0,ROW()-1,60),ROW()-1,FALSE))</f>
        <v>30.874000550000002</v>
      </c>
      <c r="BF139">
        <f ca="1">IF(AND(ISNUMBER($BF$592),$B$419=1),$BF$592,HLOOKUP(INDIRECT(ADDRESS(2,COLUMN())),OFFSET($BN$2,0,0,ROW()-1,60),ROW()-1,FALSE))</f>
        <v>31.16200066</v>
      </c>
      <c r="BG139">
        <f ca="1">IF(AND(ISNUMBER($BG$592),$B$419=1),$BG$592,HLOOKUP(INDIRECT(ADDRESS(2,COLUMN())),OFFSET($BN$2,0,0,ROW()-1,60),ROW()-1,FALSE))</f>
        <v>28.52</v>
      </c>
      <c r="BH139">
        <f ca="1">IF(AND(ISNUMBER($BH$592),$B$419=1),$BH$592,HLOOKUP(INDIRECT(ADDRESS(2,COLUMN())),OFFSET($BN$2,0,0,ROW()-1,60),ROW()-1,FALSE))</f>
        <v>29.478000000000002</v>
      </c>
      <c r="BI139">
        <f ca="1">IF(AND(ISNUMBER($BI$592),$B$419=1),$BI$592,HLOOKUP(INDIRECT(ADDRESS(2,COLUMN())),OFFSET($BN$2,0,0,ROW()-1,60),ROW()-1,FALSE))</f>
        <v>60.180999999999997</v>
      </c>
      <c r="BJ139">
        <f ca="1">IF(AND(ISNUMBER($BJ$592),$B$419=1),$BJ$592,HLOOKUP(INDIRECT(ADDRESS(2,COLUMN())),OFFSET($BN$2,0,0,ROW()-1,60),ROW()-1,FALSE))</f>
        <v>30.760000229999999</v>
      </c>
      <c r="BK139">
        <f ca="1">IF(AND(ISNUMBER($BK$592),$B$419=1),$BK$592,HLOOKUP(INDIRECT(ADDRESS(2,COLUMN())),OFFSET($BN$2,0,0,ROW()-1,60),ROW()-1,FALSE))</f>
        <v>31.545000080000001</v>
      </c>
      <c r="BL139">
        <f ca="1">IF(AND(ISNUMBER($BL$592),$B$419=1),$BL$592,HLOOKUP(INDIRECT(ADDRESS(2,COLUMN())),OFFSET($BN$2,0,0,ROW()-1,60),ROW()-1,FALSE))</f>
        <v>25.08799934</v>
      </c>
      <c r="BM139">
        <f ca="1">IF(AND(ISNUMBER($BM$592),$B$419=1),$BM$592,HLOOKUP(INDIRECT(ADDRESS(2,COLUMN())),OFFSET($BN$2,0,0,ROW()-1,60),ROW()-1,FALSE))</f>
        <v>23.902999879999999</v>
      </c>
      <c r="BN139" t="str">
        <f>""</f>
        <v/>
      </c>
      <c r="BO139">
        <f>215.312</f>
        <v>215.31200000000001</v>
      </c>
      <c r="BP139">
        <f>213.601</f>
        <v>213.601</v>
      </c>
      <c r="BQ139">
        <f>208.388</f>
        <v>208.38800000000001</v>
      </c>
      <c r="BR139">
        <f>201.336</f>
        <v>201.33600000000001</v>
      </c>
      <c r="BS139">
        <f>192.964</f>
        <v>192.964</v>
      </c>
      <c r="BT139">
        <f>186.575</f>
        <v>186.57499999999999</v>
      </c>
      <c r="BU139">
        <f>180.876</f>
        <v>180.876</v>
      </c>
      <c r="BV139">
        <f>175.918</f>
        <v>175.91800000000001</v>
      </c>
      <c r="BW139">
        <f>170.023</f>
        <v>170.023</v>
      </c>
      <c r="BX139">
        <f>165.79</f>
        <v>165.79</v>
      </c>
      <c r="BY139">
        <f>159.06</f>
        <v>159.06</v>
      </c>
      <c r="BZ139">
        <f>152.121</f>
        <v>152.12100000000001</v>
      </c>
      <c r="CA139">
        <f>145.394</f>
        <v>145.39400000000001</v>
      </c>
      <c r="CB139">
        <f>142.429</f>
        <v>142.429</v>
      </c>
      <c r="CC139">
        <f>141.178</f>
        <v>141.178</v>
      </c>
      <c r="CD139">
        <f>132.66</f>
        <v>132.66</v>
      </c>
      <c r="CE139">
        <f>125.7</f>
        <v>125.7</v>
      </c>
      <c r="CF139">
        <f>117.919</f>
        <v>117.919</v>
      </c>
      <c r="CG139">
        <f>115.584</f>
        <v>115.584</v>
      </c>
      <c r="CH139">
        <f>103.972</f>
        <v>103.97199999999999</v>
      </c>
      <c r="CI139">
        <f>72.892</f>
        <v>72.891999999999996</v>
      </c>
      <c r="CJ139">
        <f>68.496</f>
        <v>68.495999999999995</v>
      </c>
      <c r="CK139">
        <f>66.499</f>
        <v>66.498999999999995</v>
      </c>
      <c r="CL139">
        <f>66.294</f>
        <v>66.293999999999997</v>
      </c>
      <c r="CM139">
        <f>68.524</f>
        <v>68.524000000000001</v>
      </c>
      <c r="CN139">
        <f>64.239</f>
        <v>64.239000000000004</v>
      </c>
      <c r="CO139">
        <f>62.37</f>
        <v>62.37</v>
      </c>
      <c r="CP139">
        <f>58.239</f>
        <v>58.238999999999997</v>
      </c>
      <c r="CQ139">
        <f>53.535</f>
        <v>53.534999999999997</v>
      </c>
      <c r="CR139">
        <f>48.585</f>
        <v>48.585000000000001</v>
      </c>
      <c r="CS139">
        <f>47.73</f>
        <v>47.73</v>
      </c>
      <c r="CT139">
        <f>47.615</f>
        <v>47.615000000000002</v>
      </c>
      <c r="CU139">
        <f>48.622</f>
        <v>48.622</v>
      </c>
      <c r="CV139">
        <f>48.499</f>
        <v>48.499000000000002</v>
      </c>
      <c r="CW139">
        <f>47.943</f>
        <v>47.942999999999998</v>
      </c>
      <c r="CX139">
        <f>47.675</f>
        <v>47.674999999999997</v>
      </c>
      <c r="CY139">
        <f>47.027</f>
        <v>47.027000000000001</v>
      </c>
      <c r="CZ139">
        <f>45.748</f>
        <v>45.747999999999998</v>
      </c>
      <c r="DA139">
        <f>46.812</f>
        <v>46.811999999999998</v>
      </c>
      <c r="DB139">
        <f>45.937</f>
        <v>45.936999999999998</v>
      </c>
      <c r="DC139">
        <f>47.75</f>
        <v>47.75</v>
      </c>
      <c r="DD139">
        <f>46.625</f>
        <v>46.625</v>
      </c>
      <c r="DE139">
        <f>48.75999832</f>
        <v>48.759998320000001</v>
      </c>
      <c r="DF139">
        <f>46.539</f>
        <v>46.539000000000001</v>
      </c>
      <c r="DG139">
        <f>44.901</f>
        <v>44.901000000000003</v>
      </c>
      <c r="DH139">
        <f>37.976</f>
        <v>37.975999999999999</v>
      </c>
      <c r="DI139">
        <f>37.62200165</f>
        <v>37.622001650000001</v>
      </c>
      <c r="DJ139">
        <f>35.3</f>
        <v>35.299999999999997</v>
      </c>
      <c r="DK139">
        <f>35.863</f>
        <v>35.863</v>
      </c>
      <c r="DL139">
        <f>31.74799919</f>
        <v>31.747999190000002</v>
      </c>
      <c r="DM139">
        <f>30.87400055</f>
        <v>30.874000550000002</v>
      </c>
      <c r="DN139">
        <f>31.16200066</f>
        <v>31.16200066</v>
      </c>
      <c r="DO139">
        <f>28.52</f>
        <v>28.52</v>
      </c>
      <c r="DP139">
        <f>29.478</f>
        <v>29.478000000000002</v>
      </c>
      <c r="DQ139">
        <f>60.181</f>
        <v>60.180999999999997</v>
      </c>
      <c r="DR139">
        <f>30.76000023</f>
        <v>30.760000229999999</v>
      </c>
      <c r="DS139">
        <f>31.54500008</f>
        <v>31.545000080000001</v>
      </c>
      <c r="DT139">
        <f>25.08799934</f>
        <v>25.08799934</v>
      </c>
      <c r="DU139">
        <f>23.90299988</f>
        <v>23.902999879999999</v>
      </c>
    </row>
    <row r="140" spans="1:125">
      <c r="A140" t="str">
        <f>"    Regency Centers Corp"</f>
        <v xml:space="preserve">    Regency Centers Corp</v>
      </c>
      <c r="B140" t="str">
        <f>"REG US Equity"</f>
        <v>REG US Equity</v>
      </c>
      <c r="C140" t="str">
        <f t="shared" si="24"/>
        <v>F0578</v>
      </c>
      <c r="D140" t="str">
        <f t="shared" si="25"/>
        <v>FUNDS_AVAILABLE_FOR_DISTRIBUTION</v>
      </c>
      <c r="E140" t="str">
        <f t="shared" si="26"/>
        <v>动态</v>
      </c>
      <c r="F140" t="str">
        <f ca="1">IF(AND(ISNUMBER($F$593),$B$419=1),$F$593,HLOOKUP(INDIRECT(ADDRESS(2,COLUMN())),OFFSET($BN$2,0,0,ROW()-1,60),ROW()-1,FALSE))</f>
        <v/>
      </c>
      <c r="G140">
        <f ca="1">IF(AND(ISNUMBER($G$593),$B$419=1),$G$593,HLOOKUP(INDIRECT(ADDRESS(2,COLUMN())),OFFSET($BN$2,0,0,ROW()-1,60),ROW()-1,FALSE))</f>
        <v>123.259</v>
      </c>
      <c r="H140">
        <f ca="1">IF(AND(ISNUMBER($H$593),$B$419=1),$H$593,HLOOKUP(INDIRECT(ADDRESS(2,COLUMN())),OFFSET($BN$2,0,0,ROW()-1,60),ROW()-1,FALSE))</f>
        <v>136.636</v>
      </c>
      <c r="I140">
        <f ca="1">IF(AND(ISNUMBER($I$593),$B$419=1),$I$593,HLOOKUP(INDIRECT(ADDRESS(2,COLUMN())),OFFSET($BN$2,0,0,ROW()-1,60),ROW()-1,FALSE))</f>
        <v>132.32300000000001</v>
      </c>
      <c r="J140">
        <f ca="1">IF(AND(ISNUMBER($J$593),$B$419=1),$J$593,HLOOKUP(INDIRECT(ADDRESS(2,COLUMN())),OFFSET($BN$2,0,0,ROW()-1,60),ROW()-1,FALSE))</f>
        <v>102.376</v>
      </c>
      <c r="K140">
        <f ca="1">IF(AND(ISNUMBER($K$593),$B$419=1),$K$593,HLOOKUP(INDIRECT(ADDRESS(2,COLUMN())),OFFSET($BN$2,0,0,ROW()-1,60),ROW()-1,FALSE))</f>
        <v>74.072000000000003</v>
      </c>
      <c r="L140">
        <f ca="1">IF(AND(ISNUMBER($L$593),$B$419=1),$L$593,HLOOKUP(INDIRECT(ADDRESS(2,COLUMN())),OFFSET($BN$2,0,0,ROW()-1,60),ROW()-1,FALSE))</f>
        <v>75.414000000000001</v>
      </c>
      <c r="M140">
        <f ca="1">IF(AND(ISNUMBER($M$593),$B$419=1),$M$593,HLOOKUP(INDIRECT(ADDRESS(2,COLUMN())),OFFSET($BN$2,0,0,ROW()-1,60),ROW()-1,FALSE))</f>
        <v>73.373000000000005</v>
      </c>
      <c r="N140">
        <f ca="1">IF(AND(ISNUMBER($N$593),$B$419=1),$N$593,HLOOKUP(INDIRECT(ADDRESS(2,COLUMN())),OFFSET($BN$2,0,0,ROW()-1,60),ROW()-1,FALSE))</f>
        <v>72.322999999999993</v>
      </c>
      <c r="O140">
        <f ca="1">IF(AND(ISNUMBER($O$593),$B$419=1),$O$593,HLOOKUP(INDIRECT(ADDRESS(2,COLUMN())),OFFSET($BN$2,0,0,ROW()-1,60),ROW()-1,FALSE))</f>
        <v>63.997999999999998</v>
      </c>
      <c r="P140">
        <f ca="1">IF(AND(ISNUMBER($P$593),$B$419=1),$P$593,HLOOKUP(INDIRECT(ADDRESS(2,COLUMN())),OFFSET($BN$2,0,0,ROW()-1,60),ROW()-1,FALSE))</f>
        <v>62.389000000000003</v>
      </c>
      <c r="Q140">
        <f ca="1">IF(AND(ISNUMBER($Q$593),$B$419=1),$Q$593,HLOOKUP(INDIRECT(ADDRESS(2,COLUMN())),OFFSET($BN$2,0,0,ROW()-1,60),ROW()-1,FALSE))</f>
        <v>64.978999999999999</v>
      </c>
      <c r="R140">
        <f ca="1">IF(AND(ISNUMBER($R$593),$B$419=1),$R$593,HLOOKUP(INDIRECT(ADDRESS(2,COLUMN())),OFFSET($BN$2,0,0,ROW()-1,60),ROW()-1,FALSE))</f>
        <v>63.645000000000003</v>
      </c>
      <c r="S140">
        <f ca="1">IF(AND(ISNUMBER($S$593),$B$419=1),$S$593,HLOOKUP(INDIRECT(ADDRESS(2,COLUMN())),OFFSET($BN$2,0,0,ROW()-1,60),ROW()-1,FALSE))</f>
        <v>51.848999999999997</v>
      </c>
      <c r="T140">
        <f ca="1">IF(AND(ISNUMBER($T$593),$B$419=1),$T$593,HLOOKUP(INDIRECT(ADDRESS(2,COLUMN())),OFFSET($BN$2,0,0,ROW()-1,60),ROW()-1,FALSE))</f>
        <v>52.156999999999996</v>
      </c>
      <c r="U140">
        <f ca="1">IF(AND(ISNUMBER($U$593),$B$419=1),$U$593,HLOOKUP(INDIRECT(ADDRESS(2,COLUMN())),OFFSET($BN$2,0,0,ROW()-1,60),ROW()-1,FALSE))</f>
        <v>54.704000000000001</v>
      </c>
      <c r="V140">
        <f ca="1">IF(AND(ISNUMBER($V$593),$B$419=1),$V$593,HLOOKUP(INDIRECT(ADDRESS(2,COLUMN())),OFFSET($BN$2,0,0,ROW()-1,60),ROW()-1,FALSE))</f>
        <v>54.703000000000003</v>
      </c>
      <c r="W140">
        <f ca="1">IF(AND(ISNUMBER($W$593),$B$419=1),$W$593,HLOOKUP(INDIRECT(ADDRESS(2,COLUMN())),OFFSET($BN$2,0,0,ROW()-1,60),ROW()-1,FALSE))</f>
        <v>44.024999999999999</v>
      </c>
      <c r="X140">
        <f ca="1">IF(AND(ISNUMBER($X$593),$B$419=1),$X$593,HLOOKUP(INDIRECT(ADDRESS(2,COLUMN())),OFFSET($BN$2,0,0,ROW()-1,60),ROW()-1,FALSE))</f>
        <v>46.085999999999999</v>
      </c>
      <c r="Y140">
        <f ca="1">IF(AND(ISNUMBER($Y$593),$B$419=1),$Y$593,HLOOKUP(INDIRECT(ADDRESS(2,COLUMN())),OFFSET($BN$2,0,0,ROW()-1,60),ROW()-1,FALSE))</f>
        <v>51.665999999999997</v>
      </c>
      <c r="Z140">
        <f ca="1">IF(AND(ISNUMBER($Z$593),$B$419=1),$Z$593,HLOOKUP(INDIRECT(ADDRESS(2,COLUMN())),OFFSET($BN$2,0,0,ROW()-1,60),ROW()-1,FALSE))</f>
        <v>48.801000000000002</v>
      </c>
      <c r="AA140">
        <f ca="1">IF(AND(ISNUMBER($AA$593),$B$419=1),$AA$593,HLOOKUP(INDIRECT(ADDRESS(2,COLUMN())),OFFSET($BN$2,0,0,ROW()-1,60),ROW()-1,FALSE))</f>
        <v>38.594000000000001</v>
      </c>
      <c r="AB140">
        <f ca="1">IF(AND(ISNUMBER($AB$593),$B$419=1),$AB$593,HLOOKUP(INDIRECT(ADDRESS(2,COLUMN())),OFFSET($BN$2,0,0,ROW()-1,60),ROW()-1,FALSE))</f>
        <v>42.593000000000004</v>
      </c>
      <c r="AC140">
        <f ca="1">IF(AND(ISNUMBER($AC$593),$B$419=1),$AC$593,HLOOKUP(INDIRECT(ADDRESS(2,COLUMN())),OFFSET($BN$2,0,0,ROW()-1,60),ROW()-1,FALSE))</f>
        <v>47.951000000000001</v>
      </c>
      <c r="AD140">
        <f ca="1">IF(AND(ISNUMBER($AD$593),$B$419=1),$AD$593,HLOOKUP(INDIRECT(ADDRESS(2,COLUMN())),OFFSET($BN$2,0,0,ROW()-1,60),ROW()-1,FALSE))</f>
        <v>44.661000000000001</v>
      </c>
      <c r="AE140">
        <f ca="1">IF(AND(ISNUMBER($AE$593),$B$419=1),$AE$593,HLOOKUP(INDIRECT(ADDRESS(2,COLUMN())),OFFSET($BN$2,0,0,ROW()-1,60),ROW()-1,FALSE))</f>
        <v>39.437446999999999</v>
      </c>
      <c r="AF140">
        <f ca="1">IF(AND(ISNUMBER($AF$593),$B$419=1),$AF$593,HLOOKUP(INDIRECT(ADDRESS(2,COLUMN())),OFFSET($BN$2,0,0,ROW()-1,60),ROW()-1,FALSE))</f>
        <v>40.86448</v>
      </c>
      <c r="AG140">
        <f ca="1">IF(AND(ISNUMBER($AG$593),$B$419=1),$AG$593,HLOOKUP(INDIRECT(ADDRESS(2,COLUMN())),OFFSET($BN$2,0,0,ROW()-1,60),ROW()-1,FALSE))</f>
        <v>40.166851999999999</v>
      </c>
      <c r="AH140">
        <f ca="1">IF(AND(ISNUMBER($AH$593),$B$419=1),$AH$593,HLOOKUP(INDIRECT(ADDRESS(2,COLUMN())),OFFSET($BN$2,0,0,ROW()-1,60),ROW()-1,FALSE))</f>
        <v>43.658000000000001</v>
      </c>
      <c r="AI140">
        <f ca="1">IF(AND(ISNUMBER($AI$593),$B$419=1),$AI$593,HLOOKUP(INDIRECT(ADDRESS(2,COLUMN())),OFFSET($BN$2,0,0,ROW()-1,60),ROW()-1,FALSE))</f>
        <v>33.648085999999999</v>
      </c>
      <c r="AJ140">
        <f ca="1">IF(AND(ISNUMBER($AJ$593),$B$419=1),$AJ$593,HLOOKUP(INDIRECT(ADDRESS(2,COLUMN())),OFFSET($BN$2,0,0,ROW()-1,60),ROW()-1,FALSE))</f>
        <v>41.353377000000002</v>
      </c>
      <c r="AK140">
        <f ca="1">IF(AND(ISNUMBER($AK$593),$B$419=1),$AK$593,HLOOKUP(INDIRECT(ADDRESS(2,COLUMN())),OFFSET($BN$2,0,0,ROW()-1,60),ROW()-1,FALSE))</f>
        <v>40.684373000000001</v>
      </c>
      <c r="AL140">
        <f ca="1">IF(AND(ISNUMBER($AL$593),$B$419=1),$AL$593,HLOOKUP(INDIRECT(ADDRESS(2,COLUMN())),OFFSET($BN$2,0,0,ROW()-1,60),ROW()-1,FALSE))</f>
        <v>44.473135999999997</v>
      </c>
      <c r="AM140">
        <f ca="1">IF(AND(ISNUMBER($AM$593),$B$419=1),$AM$593,HLOOKUP(INDIRECT(ADDRESS(2,COLUMN())),OFFSET($BN$2,0,0,ROW()-1,60),ROW()-1,FALSE))</f>
        <v>34.787936000000002</v>
      </c>
      <c r="AN140">
        <f ca="1">IF(AND(ISNUMBER($AN$593),$B$419=1),$AN$593,HLOOKUP(INDIRECT(ADDRESS(2,COLUMN())),OFFSET($BN$2,0,0,ROW()-1,60),ROW()-1,FALSE))</f>
        <v>48.266190000000002</v>
      </c>
      <c r="AO140">
        <f ca="1">IF(AND(ISNUMBER($AO$593),$B$419=1),$AO$593,HLOOKUP(INDIRECT(ADDRESS(2,COLUMN())),OFFSET($BN$2,0,0,ROW()-1,60),ROW()-1,FALSE))</f>
        <v>42.919794000000003</v>
      </c>
      <c r="AP140">
        <f ca="1">IF(AND(ISNUMBER($AP$593),$B$419=1),$AP$593,HLOOKUP(INDIRECT(ADDRESS(2,COLUMN())),OFFSET($BN$2,0,0,ROW()-1,60),ROW()-1,FALSE))</f>
        <v>46.937285000000003</v>
      </c>
      <c r="AQ140">
        <f ca="1">IF(AND(ISNUMBER($AQ$593),$B$419=1),$AQ$593,HLOOKUP(INDIRECT(ADDRESS(2,COLUMN())),OFFSET($BN$2,0,0,ROW()-1,60),ROW()-1,FALSE))</f>
        <v>49.484648999999997</v>
      </c>
      <c r="AR140">
        <f ca="1">IF(AND(ISNUMBER($AR$593),$B$419=1),$AR$593,HLOOKUP(INDIRECT(ADDRESS(2,COLUMN())),OFFSET($BN$2,0,0,ROW()-1,60),ROW()-1,FALSE))</f>
        <v>47.488363</v>
      </c>
      <c r="AS140">
        <f ca="1">IF(AND(ISNUMBER($AS$593),$B$419=1),$AS$593,HLOOKUP(INDIRECT(ADDRESS(2,COLUMN())),OFFSET($BN$2,0,0,ROW()-1,60),ROW()-1,FALSE))</f>
        <v>62.38814</v>
      </c>
      <c r="AT140">
        <f ca="1">IF(AND(ISNUMBER($AT$593),$B$419=1),$AT$593,HLOOKUP(INDIRECT(ADDRESS(2,COLUMN())),OFFSET($BN$2,0,0,ROW()-1,60),ROW()-1,FALSE))</f>
        <v>55.094152000000001</v>
      </c>
      <c r="AU140">
        <f ca="1">IF(AND(ISNUMBER($AU$593),$B$419=1),$AU$593,HLOOKUP(INDIRECT(ADDRESS(2,COLUMN())),OFFSET($BN$2,0,0,ROW()-1,60),ROW()-1,FALSE))</f>
        <v>72.258463000000006</v>
      </c>
      <c r="AV140">
        <f ca="1">IF(AND(ISNUMBER($AV$593),$B$419=1),$AV$593,HLOOKUP(INDIRECT(ADDRESS(2,COLUMN())),OFFSET($BN$2,0,0,ROW()-1,60),ROW()-1,FALSE))</f>
        <v>58.106054</v>
      </c>
      <c r="AW140">
        <f ca="1">IF(AND(ISNUMBER($AW$593),$B$419=1),$AW$593,HLOOKUP(INDIRECT(ADDRESS(2,COLUMN())),OFFSET($BN$2,0,0,ROW()-1,60),ROW()-1,FALSE))</f>
        <v>59.229714000000001</v>
      </c>
      <c r="AX140">
        <f ca="1">IF(AND(ISNUMBER($AX$593),$B$419=1),$AX$593,HLOOKUP(INDIRECT(ADDRESS(2,COLUMN())),OFFSET($BN$2,0,0,ROW()-1,60),ROW()-1,FALSE))</f>
        <v>73.653593000000001</v>
      </c>
      <c r="AY140">
        <f ca="1">IF(AND(ISNUMBER($AY$593),$B$419=1),$AY$593,HLOOKUP(INDIRECT(ADDRESS(2,COLUMN())),OFFSET($BN$2,0,0,ROW()-1,60),ROW()-1,FALSE))</f>
        <v>74.014010999999996</v>
      </c>
      <c r="AZ140">
        <f ca="1">IF(AND(ISNUMBER($AZ$593),$B$419=1),$AZ$593,HLOOKUP(INDIRECT(ADDRESS(2,COLUMN())),OFFSET($BN$2,0,0,ROW()-1,60),ROW()-1,FALSE))</f>
        <v>62.860484999999997</v>
      </c>
      <c r="BA140">
        <f ca="1">IF(AND(ISNUMBER($BA$593),$B$419=1),$BA$593,HLOOKUP(INDIRECT(ADDRESS(2,COLUMN())),OFFSET($BN$2,0,0,ROW()-1,60),ROW()-1,FALSE))</f>
        <v>58.894829999999999</v>
      </c>
      <c r="BB140">
        <f ca="1">IF(AND(ISNUMBER($BB$593),$B$419=1),$BB$593,HLOOKUP(INDIRECT(ADDRESS(2,COLUMN())),OFFSET($BN$2,0,0,ROW()-1,60),ROW()-1,FALSE))</f>
        <v>53.340446999999998</v>
      </c>
      <c r="BC140">
        <f ca="1">IF(AND(ISNUMBER($BC$593),$B$419=1),$BC$593,HLOOKUP(INDIRECT(ADDRESS(2,COLUMN())),OFFSET($BN$2,0,0,ROW()-1,60),ROW()-1,FALSE))</f>
        <v>64.909346999999997</v>
      </c>
      <c r="BD140">
        <f ca="1">IF(AND(ISNUMBER($BD$593),$B$419=1),$BD$593,HLOOKUP(INDIRECT(ADDRESS(2,COLUMN())),OFFSET($BN$2,0,0,ROW()-1,60),ROW()-1,FALSE))</f>
        <v>54.173825000000001</v>
      </c>
      <c r="BE140">
        <f ca="1">IF(AND(ISNUMBER($BE$593),$B$419=1),$BE$593,HLOOKUP(INDIRECT(ADDRESS(2,COLUMN())),OFFSET($BN$2,0,0,ROW()-1,60),ROW()-1,FALSE))</f>
        <v>66.05</v>
      </c>
      <c r="BF140">
        <f ca="1">IF(AND(ISNUMBER($BF$593),$B$419=1),$BF$593,HLOOKUP(INDIRECT(ADDRESS(2,COLUMN())),OFFSET($BN$2,0,0,ROW()-1,60),ROW()-1,FALSE))</f>
        <v>57.276828000000002</v>
      </c>
      <c r="BG140">
        <f ca="1">IF(AND(ISNUMBER($BG$593),$B$419=1),$BG$593,HLOOKUP(INDIRECT(ADDRESS(2,COLUMN())),OFFSET($BN$2,0,0,ROW()-1,60),ROW()-1,FALSE))</f>
        <v>61.085000000000001</v>
      </c>
      <c r="BH140">
        <f ca="1">IF(AND(ISNUMBER($BH$593),$B$419=1),$BH$593,HLOOKUP(INDIRECT(ADDRESS(2,COLUMN())),OFFSET($BN$2,0,0,ROW()-1,60),ROW()-1,FALSE))</f>
        <v>51.261507999999999</v>
      </c>
      <c r="BI140">
        <f ca="1">IF(AND(ISNUMBER($BI$593),$B$419=1),$BI$593,HLOOKUP(INDIRECT(ADDRESS(2,COLUMN())),OFFSET($BN$2,0,0,ROW()-1,60),ROW()-1,FALSE))</f>
        <v>46.652000000000001</v>
      </c>
      <c r="BJ140">
        <f ca="1">IF(AND(ISNUMBER($BJ$593),$B$419=1),$BJ$593,HLOOKUP(INDIRECT(ADDRESS(2,COLUMN())),OFFSET($BN$2,0,0,ROW()-1,60),ROW()-1,FALSE))</f>
        <v>41.874001</v>
      </c>
      <c r="BK140">
        <f ca="1">IF(AND(ISNUMBER($BK$593),$B$419=1),$BK$593,HLOOKUP(INDIRECT(ADDRESS(2,COLUMN())),OFFSET($BN$2,0,0,ROW()-1,60),ROW()-1,FALSE))</f>
        <v>55.890998840000002</v>
      </c>
      <c r="BL140">
        <f ca="1">IF(AND(ISNUMBER($BL$593),$B$419=1),$BL$593,HLOOKUP(INDIRECT(ADDRESS(2,COLUMN())),OFFSET($BN$2,0,0,ROW()-1,60),ROW()-1,FALSE))</f>
        <v>46.220001000000003</v>
      </c>
      <c r="BM140">
        <f ca="1">IF(AND(ISNUMBER($BM$593),$B$419=1),$BM$593,HLOOKUP(INDIRECT(ADDRESS(2,COLUMN())),OFFSET($BN$2,0,0,ROW()-1,60),ROW()-1,FALSE))</f>
        <v>41.308998000000003</v>
      </c>
      <c r="BN140" t="str">
        <f>""</f>
        <v/>
      </c>
      <c r="BO140">
        <f>123.259</f>
        <v>123.259</v>
      </c>
      <c r="BP140">
        <f>136.636</f>
        <v>136.636</v>
      </c>
      <c r="BQ140">
        <f>132.323</f>
        <v>132.32300000000001</v>
      </c>
      <c r="BR140">
        <f>102.376</f>
        <v>102.376</v>
      </c>
      <c r="BS140">
        <f>74.072</f>
        <v>74.072000000000003</v>
      </c>
      <c r="BT140">
        <f>75.414</f>
        <v>75.414000000000001</v>
      </c>
      <c r="BU140">
        <f>73.373</f>
        <v>73.373000000000005</v>
      </c>
      <c r="BV140">
        <f>72.323</f>
        <v>72.322999999999993</v>
      </c>
      <c r="BW140">
        <f>63.998</f>
        <v>63.997999999999998</v>
      </c>
      <c r="BX140">
        <f>62.389</f>
        <v>62.389000000000003</v>
      </c>
      <c r="BY140">
        <f>64.979</f>
        <v>64.978999999999999</v>
      </c>
      <c r="BZ140">
        <f>63.645</f>
        <v>63.645000000000003</v>
      </c>
      <c r="CA140">
        <f>51.849</f>
        <v>51.848999999999997</v>
      </c>
      <c r="CB140">
        <f>52.157</f>
        <v>52.156999999999996</v>
      </c>
      <c r="CC140">
        <f>54.704</f>
        <v>54.704000000000001</v>
      </c>
      <c r="CD140">
        <f>54.703</f>
        <v>54.703000000000003</v>
      </c>
      <c r="CE140">
        <f>44.025</f>
        <v>44.024999999999999</v>
      </c>
      <c r="CF140">
        <f>46.086</f>
        <v>46.085999999999999</v>
      </c>
      <c r="CG140">
        <f>51.666</f>
        <v>51.665999999999997</v>
      </c>
      <c r="CH140">
        <f>48.801</f>
        <v>48.801000000000002</v>
      </c>
      <c r="CI140">
        <f>38.594</f>
        <v>38.594000000000001</v>
      </c>
      <c r="CJ140">
        <f>42.593</f>
        <v>42.593000000000004</v>
      </c>
      <c r="CK140">
        <f>47.951</f>
        <v>47.951000000000001</v>
      </c>
      <c r="CL140">
        <f>44.661</f>
        <v>44.661000000000001</v>
      </c>
      <c r="CM140">
        <f>39.437447</f>
        <v>39.437446999999999</v>
      </c>
      <c r="CN140">
        <f>40.86448</f>
        <v>40.86448</v>
      </c>
      <c r="CO140">
        <f>40.166852</f>
        <v>40.166851999999999</v>
      </c>
      <c r="CP140">
        <f>43.658</f>
        <v>43.658000000000001</v>
      </c>
      <c r="CQ140">
        <f>33.648086</f>
        <v>33.648085999999999</v>
      </c>
      <c r="CR140">
        <f>41.353377</f>
        <v>41.353377000000002</v>
      </c>
      <c r="CS140">
        <f>40.684373</f>
        <v>40.684373000000001</v>
      </c>
      <c r="CT140">
        <f>44.473136</f>
        <v>44.473135999999997</v>
      </c>
      <c r="CU140">
        <f>34.787936</f>
        <v>34.787936000000002</v>
      </c>
      <c r="CV140">
        <f>48.26619</f>
        <v>48.266190000000002</v>
      </c>
      <c r="CW140">
        <f>42.919794</f>
        <v>42.919794000000003</v>
      </c>
      <c r="CX140">
        <f>46.937285</f>
        <v>46.937285000000003</v>
      </c>
      <c r="CY140">
        <f>49.484649</f>
        <v>49.484648999999997</v>
      </c>
      <c r="CZ140">
        <f>47.488363</f>
        <v>47.488363</v>
      </c>
      <c r="DA140">
        <f>62.38814</f>
        <v>62.38814</v>
      </c>
      <c r="DB140">
        <f>55.094152</f>
        <v>55.094152000000001</v>
      </c>
      <c r="DC140">
        <f>72.258463</f>
        <v>72.258463000000006</v>
      </c>
      <c r="DD140">
        <f>58.106054</f>
        <v>58.106054</v>
      </c>
      <c r="DE140">
        <f>59.229714</f>
        <v>59.229714000000001</v>
      </c>
      <c r="DF140">
        <f>73.653593</f>
        <v>73.653593000000001</v>
      </c>
      <c r="DG140">
        <f>74.014011</f>
        <v>74.014010999999996</v>
      </c>
      <c r="DH140">
        <f>62.860485</f>
        <v>62.860484999999997</v>
      </c>
      <c r="DI140">
        <f>58.89483</f>
        <v>58.894829999999999</v>
      </c>
      <c r="DJ140">
        <f>53.340447</f>
        <v>53.340446999999998</v>
      </c>
      <c r="DK140">
        <f>64.909347</f>
        <v>64.909346999999997</v>
      </c>
      <c r="DL140">
        <f>54.173825</f>
        <v>54.173825000000001</v>
      </c>
      <c r="DM140">
        <f>66.05</f>
        <v>66.05</v>
      </c>
      <c r="DN140">
        <f>57.276828</f>
        <v>57.276828000000002</v>
      </c>
      <c r="DO140">
        <f>61.085</f>
        <v>61.085000000000001</v>
      </c>
      <c r="DP140">
        <f>51.261508</f>
        <v>51.261507999999999</v>
      </c>
      <c r="DQ140">
        <f>46.652</f>
        <v>46.652000000000001</v>
      </c>
      <c r="DR140">
        <f>41.874001</f>
        <v>41.874001</v>
      </c>
      <c r="DS140">
        <f>55.89099884</f>
        <v>55.890998840000002</v>
      </c>
      <c r="DT140">
        <f>46.220001</f>
        <v>46.220001000000003</v>
      </c>
      <c r="DU140">
        <f>41.308998</f>
        <v>41.308998000000003</v>
      </c>
    </row>
    <row r="141" spans="1:125">
      <c r="A141" t="str">
        <f>"    Retail Opportunity Investments"</f>
        <v xml:space="preserve">    Retail Opportunity Investments</v>
      </c>
      <c r="B141" t="str">
        <f>"ROIC US Equity"</f>
        <v>ROIC US Equity</v>
      </c>
      <c r="C141" t="str">
        <f t="shared" si="24"/>
        <v>F0578</v>
      </c>
      <c r="D141" t="str">
        <f t="shared" si="25"/>
        <v>FUNDS_AVAILABLE_FOR_DISTRIBUTION</v>
      </c>
      <c r="E141" t="str">
        <f t="shared" si="26"/>
        <v>动态</v>
      </c>
      <c r="F141" t="str">
        <f ca="1">IF(AND(ISNUMBER($F$594),$B$419=1),$F$594,HLOOKUP(INDIRECT(ADDRESS(2,COLUMN())),OFFSET($BN$2,0,0,ROW()-1,60),ROW()-1,FALSE))</f>
        <v/>
      </c>
      <c r="G141">
        <f ca="1">IF(AND(ISNUMBER($G$594),$B$419=1),$G$594,HLOOKUP(INDIRECT(ADDRESS(2,COLUMN())),OFFSET($BN$2,0,0,ROW()-1,60),ROW()-1,FALSE))</f>
        <v>18.829000000000001</v>
      </c>
      <c r="H141">
        <f ca="1">IF(AND(ISNUMBER($H$594),$B$419=1),$H$594,HLOOKUP(INDIRECT(ADDRESS(2,COLUMN())),OFFSET($BN$2,0,0,ROW()-1,60),ROW()-1,FALSE))</f>
        <v>10.308</v>
      </c>
      <c r="I141">
        <f ca="1">IF(AND(ISNUMBER($I$594),$B$419=1),$I$594,HLOOKUP(INDIRECT(ADDRESS(2,COLUMN())),OFFSET($BN$2,0,0,ROW()-1,60),ROW()-1,FALSE))</f>
        <v>19.065999999999999</v>
      </c>
      <c r="J141">
        <f ca="1">IF(AND(ISNUMBER($J$594),$B$419=1),$J$594,HLOOKUP(INDIRECT(ADDRESS(2,COLUMN())),OFFSET($BN$2,0,0,ROW()-1,60),ROW()-1,FALSE))</f>
        <v>21.606000000000002</v>
      </c>
      <c r="K141">
        <f ca="1">IF(AND(ISNUMBER($K$594),$B$419=1),$K$594,HLOOKUP(INDIRECT(ADDRESS(2,COLUMN())),OFFSET($BN$2,0,0,ROW()-1,60),ROW()-1,FALSE))</f>
        <v>21.786999999999999</v>
      </c>
      <c r="L141">
        <f ca="1">IF(AND(ISNUMBER($L$594),$B$419=1),$L$594,HLOOKUP(INDIRECT(ADDRESS(2,COLUMN())),OFFSET($BN$2,0,0,ROW()-1,60),ROW()-1,FALSE))</f>
        <v>17.088000000000001</v>
      </c>
      <c r="M141">
        <f ca="1">IF(AND(ISNUMBER($M$594),$B$419=1),$M$594,HLOOKUP(INDIRECT(ADDRESS(2,COLUMN())),OFFSET($BN$2,0,0,ROW()-1,60),ROW()-1,FALSE))</f>
        <v>16.437000000000001</v>
      </c>
      <c r="N141">
        <f ca="1">IF(AND(ISNUMBER($N$594),$B$419=1),$N$594,HLOOKUP(INDIRECT(ADDRESS(2,COLUMN())),OFFSET($BN$2,0,0,ROW()-1,60),ROW()-1,FALSE))</f>
        <v>17.315999999999999</v>
      </c>
      <c r="O141">
        <f ca="1">IF(AND(ISNUMBER($O$594),$B$419=1),$O$594,HLOOKUP(INDIRECT(ADDRESS(2,COLUMN())),OFFSET($BN$2,0,0,ROW()-1,60),ROW()-1,FALSE))</f>
        <v>15.648</v>
      </c>
      <c r="P141">
        <f ca="1">IF(AND(ISNUMBER($P$594),$B$419=1),$P$594,HLOOKUP(INDIRECT(ADDRESS(2,COLUMN())),OFFSET($BN$2,0,0,ROW()-1,60),ROW()-1,FALSE))</f>
        <v>16.315999999999999</v>
      </c>
      <c r="Q141">
        <f ca="1">IF(AND(ISNUMBER($Q$594),$B$419=1),$Q$594,HLOOKUP(INDIRECT(ADDRESS(2,COLUMN())),OFFSET($BN$2,0,0,ROW()-1,60),ROW()-1,FALSE))</f>
        <v>13.582000000000001</v>
      </c>
      <c r="R141">
        <f ca="1">IF(AND(ISNUMBER($R$594),$B$419=1),$R$594,HLOOKUP(INDIRECT(ADDRESS(2,COLUMN())),OFFSET($BN$2,0,0,ROW()-1,60),ROW()-1,FALSE))</f>
        <v>13.430999999999999</v>
      </c>
      <c r="S141">
        <f ca="1">IF(AND(ISNUMBER($S$594),$B$419=1),$S$594,HLOOKUP(INDIRECT(ADDRESS(2,COLUMN())),OFFSET($BN$2,0,0,ROW()-1,60),ROW()-1,FALSE))</f>
        <v>7.6141420000000002</v>
      </c>
      <c r="T141">
        <f ca="1">IF(AND(ISNUMBER($T$594),$B$419=1),$T$594,HLOOKUP(INDIRECT(ADDRESS(2,COLUMN())),OFFSET($BN$2,0,0,ROW()-1,60),ROW()-1,FALSE))</f>
        <v>8.8307470000000006</v>
      </c>
      <c r="U141">
        <f ca="1">IF(AND(ISNUMBER($U$594),$B$419=1),$U$594,HLOOKUP(INDIRECT(ADDRESS(2,COLUMN())),OFFSET($BN$2,0,0,ROW()-1,60),ROW()-1,FALSE))</f>
        <v>12.7125</v>
      </c>
      <c r="V141">
        <f ca="1">IF(AND(ISNUMBER($V$594),$B$419=1),$V$594,HLOOKUP(INDIRECT(ADDRESS(2,COLUMN())),OFFSET($BN$2,0,0,ROW()-1,60),ROW()-1,FALSE))</f>
        <v>11.671555</v>
      </c>
      <c r="W141">
        <f ca="1">IF(AND(ISNUMBER($W$594),$B$419=1),$W$594,HLOOKUP(INDIRECT(ADDRESS(2,COLUMN())),OFFSET($BN$2,0,0,ROW()-1,60),ROW()-1,FALSE))</f>
        <v>-10.739157000000001</v>
      </c>
      <c r="X141">
        <f ca="1">IF(AND(ISNUMBER($X$594),$B$419=1),$X$594,HLOOKUP(INDIRECT(ADDRESS(2,COLUMN())),OFFSET($BN$2,0,0,ROW()-1,60),ROW()-1,FALSE))</f>
        <v>28.331175999999999</v>
      </c>
      <c r="Y141">
        <f ca="1">IF(AND(ISNUMBER($Y$594),$B$419=1),$Y$594,HLOOKUP(INDIRECT(ADDRESS(2,COLUMN())),OFFSET($BN$2,0,0,ROW()-1,60),ROW()-1,FALSE))</f>
        <v>6.4414579999999999</v>
      </c>
      <c r="Z141">
        <f ca="1">IF(AND(ISNUMBER($Z$594),$B$419=1),$Z$594,HLOOKUP(INDIRECT(ADDRESS(2,COLUMN())),OFFSET($BN$2,0,0,ROW()-1,60),ROW()-1,FALSE))</f>
        <v>7.0369429999999999</v>
      </c>
      <c r="AA141">
        <f ca="1">IF(AND(ISNUMBER($AA$594),$B$419=1),$AA$594,HLOOKUP(INDIRECT(ADDRESS(2,COLUMN())),OFFSET($BN$2,0,0,ROW()-1,60),ROW()-1,FALSE))</f>
        <v>2.5994440000000001</v>
      </c>
      <c r="AB141">
        <f ca="1">IF(AND(ISNUMBER($AB$594),$B$419=1),$AB$594,HLOOKUP(INDIRECT(ADDRESS(2,COLUMN())),OFFSET($BN$2,0,0,ROW()-1,60),ROW()-1,FALSE))</f>
        <v>5.5326139999999997</v>
      </c>
      <c r="AC141">
        <f ca="1">IF(AND(ISNUMBER($AC$594),$B$419=1),$AC$594,HLOOKUP(INDIRECT(ADDRESS(2,COLUMN())),OFFSET($BN$2,0,0,ROW()-1,60),ROW()-1,FALSE))</f>
        <v>6.272437</v>
      </c>
      <c r="AD141">
        <f ca="1">IF(AND(ISNUMBER($AD$594),$B$419=1),$AD$594,HLOOKUP(INDIRECT(ADDRESS(2,COLUMN())),OFFSET($BN$2,0,0,ROW()-1,60),ROW()-1,FALSE))</f>
        <v>5.8611389999999997</v>
      </c>
      <c r="AE141">
        <f ca="1">IF(AND(ISNUMBER($AE$594),$B$419=1),$AE$594,HLOOKUP(INDIRECT(ADDRESS(2,COLUMN())),OFFSET($BN$2,0,0,ROW()-1,60),ROW()-1,FALSE))</f>
        <v>7.9927200000000003</v>
      </c>
      <c r="AF141">
        <f ca="1">IF(AND(ISNUMBER($AF$594),$B$419=1),$AF$594,HLOOKUP(INDIRECT(ADDRESS(2,COLUMN())),OFFSET($BN$2,0,0,ROW()-1,60),ROW()-1,FALSE))</f>
        <v>10.36321</v>
      </c>
      <c r="AG141">
        <f ca="1">IF(AND(ISNUMBER($AG$594),$B$419=1),$AG$594,HLOOKUP(INDIRECT(ADDRESS(2,COLUMN())),OFFSET($BN$2,0,0,ROW()-1,60),ROW()-1,FALSE))</f>
        <v>5.9302789999999996</v>
      </c>
      <c r="AH141">
        <f ca="1">IF(AND(ISNUMBER($AH$594),$B$419=1),$AH$594,HLOOKUP(INDIRECT(ADDRESS(2,COLUMN())),OFFSET($BN$2,0,0,ROW()-1,60),ROW()-1,FALSE))</f>
        <v>11.046353999999999</v>
      </c>
      <c r="AI141">
        <f ca="1">IF(AND(ISNUMBER($AI$594),$B$419=1),$AI$594,HLOOKUP(INDIRECT(ADDRESS(2,COLUMN())),OFFSET($BN$2,0,0,ROW()-1,60),ROW()-1,FALSE))</f>
        <v>6.7741470000000001</v>
      </c>
      <c r="AJ141">
        <f ca="1">IF(AND(ISNUMBER($AJ$594),$B$419=1),$AJ$594,HLOOKUP(INDIRECT(ADDRESS(2,COLUMN())),OFFSET($BN$2,0,0,ROW()-1,60),ROW()-1,FALSE))</f>
        <v>2.0110610000000002</v>
      </c>
      <c r="AK141">
        <f ca="1">IF(AND(ISNUMBER($AK$594),$B$419=1),$AK$594,HLOOKUP(INDIRECT(ADDRESS(2,COLUMN())),OFFSET($BN$2,0,0,ROW()-1,60),ROW()-1,FALSE))</f>
        <v>0.26489000000000001</v>
      </c>
      <c r="AL141">
        <f ca="1">IF(AND(ISNUMBER($AL$594),$B$419=1),$AL$594,HLOOKUP(INDIRECT(ADDRESS(2,COLUMN())),OFFSET($BN$2,0,0,ROW()-1,60),ROW()-1,FALSE))</f>
        <v>-1.197425</v>
      </c>
      <c r="AM141" t="str">
        <f ca="1">IF(AND(ISNUMBER($AM$594),$B$419=1),$AM$594,HLOOKUP(INDIRECT(ADDRESS(2,COLUMN())),OFFSET($BN$2,0,0,ROW()-1,60),ROW()-1,FALSE))</f>
        <v/>
      </c>
      <c r="AN141" t="str">
        <f ca="1">IF(AND(ISNUMBER($AN$594),$B$419=1),$AN$594,HLOOKUP(INDIRECT(ADDRESS(2,COLUMN())),OFFSET($BN$2,0,0,ROW()-1,60),ROW()-1,FALSE))</f>
        <v/>
      </c>
      <c r="AO141" t="str">
        <f ca="1">IF(AND(ISNUMBER($AO$594),$B$419=1),$AO$594,HLOOKUP(INDIRECT(ADDRESS(2,COLUMN())),OFFSET($BN$2,0,0,ROW()-1,60),ROW()-1,FALSE))</f>
        <v/>
      </c>
      <c r="AP141" t="str">
        <f ca="1">IF(AND(ISNUMBER($AP$594),$B$419=1),$AP$594,HLOOKUP(INDIRECT(ADDRESS(2,COLUMN())),OFFSET($BN$2,0,0,ROW()-1,60),ROW()-1,FALSE))</f>
        <v/>
      </c>
      <c r="AQ141" t="str">
        <f ca="1">IF(AND(ISNUMBER($AQ$594),$B$419=1),$AQ$594,HLOOKUP(INDIRECT(ADDRESS(2,COLUMN())),OFFSET($BN$2,0,0,ROW()-1,60),ROW()-1,FALSE))</f>
        <v/>
      </c>
      <c r="AR141" t="str">
        <f ca="1">IF(AND(ISNUMBER($AR$594),$B$419=1),$AR$594,HLOOKUP(INDIRECT(ADDRESS(2,COLUMN())),OFFSET($BN$2,0,0,ROW()-1,60),ROW()-1,FALSE))</f>
        <v/>
      </c>
      <c r="AS141" t="str">
        <f ca="1">IF(AND(ISNUMBER($AS$594),$B$419=1),$AS$594,HLOOKUP(INDIRECT(ADDRESS(2,COLUMN())),OFFSET($BN$2,0,0,ROW()-1,60),ROW()-1,FALSE))</f>
        <v/>
      </c>
      <c r="AT141" t="str">
        <f ca="1">IF(AND(ISNUMBER($AT$594),$B$419=1),$AT$594,HLOOKUP(INDIRECT(ADDRESS(2,COLUMN())),OFFSET($BN$2,0,0,ROW()-1,60),ROW()-1,FALSE))</f>
        <v/>
      </c>
      <c r="AU141" t="str">
        <f ca="1">IF(AND(ISNUMBER($AU$594),$B$419=1),$AU$594,HLOOKUP(INDIRECT(ADDRESS(2,COLUMN())),OFFSET($BN$2,0,0,ROW()-1,60),ROW()-1,FALSE))</f>
        <v/>
      </c>
      <c r="AV141" t="str">
        <f ca="1">IF(AND(ISNUMBER($AV$594),$B$419=1),$AV$594,HLOOKUP(INDIRECT(ADDRESS(2,COLUMN())),OFFSET($BN$2,0,0,ROW()-1,60),ROW()-1,FALSE))</f>
        <v/>
      </c>
      <c r="AW141" t="str">
        <f ca="1">IF(AND(ISNUMBER($AW$594),$B$419=1),$AW$594,HLOOKUP(INDIRECT(ADDRESS(2,COLUMN())),OFFSET($BN$2,0,0,ROW()-1,60),ROW()-1,FALSE))</f>
        <v/>
      </c>
      <c r="AX141" t="str">
        <f ca="1">IF(AND(ISNUMBER($AX$594),$B$419=1),$AX$594,HLOOKUP(INDIRECT(ADDRESS(2,COLUMN())),OFFSET($BN$2,0,0,ROW()-1,60),ROW()-1,FALSE))</f>
        <v/>
      </c>
      <c r="AY141" t="str">
        <f ca="1">IF(AND(ISNUMBER($AY$594),$B$419=1),$AY$594,HLOOKUP(INDIRECT(ADDRESS(2,COLUMN())),OFFSET($BN$2,0,0,ROW()-1,60),ROW()-1,FALSE))</f>
        <v/>
      </c>
      <c r="AZ141" t="str">
        <f ca="1">IF(AND(ISNUMBER($AZ$594),$B$419=1),$AZ$594,HLOOKUP(INDIRECT(ADDRESS(2,COLUMN())),OFFSET($BN$2,0,0,ROW()-1,60),ROW()-1,FALSE))</f>
        <v/>
      </c>
      <c r="BA141" t="str">
        <f ca="1">IF(AND(ISNUMBER($BA$594),$B$419=1),$BA$594,HLOOKUP(INDIRECT(ADDRESS(2,COLUMN())),OFFSET($BN$2,0,0,ROW()-1,60),ROW()-1,FALSE))</f>
        <v/>
      </c>
      <c r="BB141" t="str">
        <f ca="1">IF(AND(ISNUMBER($BB$594),$B$419=1),$BB$594,HLOOKUP(INDIRECT(ADDRESS(2,COLUMN())),OFFSET($BN$2,0,0,ROW()-1,60),ROW()-1,FALSE))</f>
        <v/>
      </c>
      <c r="BC141" t="str">
        <f ca="1">IF(AND(ISNUMBER($BC$594),$B$419=1),$BC$594,HLOOKUP(INDIRECT(ADDRESS(2,COLUMN())),OFFSET($BN$2,0,0,ROW()-1,60),ROW()-1,FALSE))</f>
        <v/>
      </c>
      <c r="BD141" t="str">
        <f ca="1">IF(AND(ISNUMBER($BD$594),$B$419=1),$BD$594,HLOOKUP(INDIRECT(ADDRESS(2,COLUMN())),OFFSET($BN$2,0,0,ROW()-1,60),ROW()-1,FALSE))</f>
        <v/>
      </c>
      <c r="BE141" t="str">
        <f ca="1">IF(AND(ISNUMBER($BE$594),$B$419=1),$BE$594,HLOOKUP(INDIRECT(ADDRESS(2,COLUMN())),OFFSET($BN$2,0,0,ROW()-1,60),ROW()-1,FALSE))</f>
        <v/>
      </c>
      <c r="BF141" t="str">
        <f ca="1">IF(AND(ISNUMBER($BF$594),$B$419=1),$BF$594,HLOOKUP(INDIRECT(ADDRESS(2,COLUMN())),OFFSET($BN$2,0,0,ROW()-1,60),ROW()-1,FALSE))</f>
        <v/>
      </c>
      <c r="BG141" t="str">
        <f ca="1">IF(AND(ISNUMBER($BG$594),$B$419=1),$BG$594,HLOOKUP(INDIRECT(ADDRESS(2,COLUMN())),OFFSET($BN$2,0,0,ROW()-1,60),ROW()-1,FALSE))</f>
        <v/>
      </c>
      <c r="BH141" t="str">
        <f ca="1">IF(AND(ISNUMBER($BH$594),$B$419=1),$BH$594,HLOOKUP(INDIRECT(ADDRESS(2,COLUMN())),OFFSET($BN$2,0,0,ROW()-1,60),ROW()-1,FALSE))</f>
        <v/>
      </c>
      <c r="BI141" t="str">
        <f ca="1">IF(AND(ISNUMBER($BI$594),$B$419=1),$BI$594,HLOOKUP(INDIRECT(ADDRESS(2,COLUMN())),OFFSET($BN$2,0,0,ROW()-1,60),ROW()-1,FALSE))</f>
        <v/>
      </c>
      <c r="BJ141" t="str">
        <f ca="1">IF(AND(ISNUMBER($BJ$594),$B$419=1),$BJ$594,HLOOKUP(INDIRECT(ADDRESS(2,COLUMN())),OFFSET($BN$2,0,0,ROW()-1,60),ROW()-1,FALSE))</f>
        <v/>
      </c>
      <c r="BK141" t="str">
        <f ca="1">IF(AND(ISNUMBER($BK$594),$B$419=1),$BK$594,HLOOKUP(INDIRECT(ADDRESS(2,COLUMN())),OFFSET($BN$2,0,0,ROW()-1,60),ROW()-1,FALSE))</f>
        <v/>
      </c>
      <c r="BL141" t="str">
        <f ca="1">IF(AND(ISNUMBER($BL$594),$B$419=1),$BL$594,HLOOKUP(INDIRECT(ADDRESS(2,COLUMN())),OFFSET($BN$2,0,0,ROW()-1,60),ROW()-1,FALSE))</f>
        <v/>
      </c>
      <c r="BM141" t="str">
        <f ca="1">IF(AND(ISNUMBER($BM$594),$B$419=1),$BM$594,HLOOKUP(INDIRECT(ADDRESS(2,COLUMN())),OFFSET($BN$2,0,0,ROW()-1,60),ROW()-1,FALSE))</f>
        <v/>
      </c>
      <c r="BN141" t="str">
        <f>""</f>
        <v/>
      </c>
      <c r="BO141">
        <f>18.829</f>
        <v>18.829000000000001</v>
      </c>
      <c r="BP141">
        <f>10.308</f>
        <v>10.308</v>
      </c>
      <c r="BQ141">
        <f>19.066</f>
        <v>19.065999999999999</v>
      </c>
      <c r="BR141">
        <f>21.606</f>
        <v>21.606000000000002</v>
      </c>
      <c r="BS141">
        <f>21.787</f>
        <v>21.786999999999999</v>
      </c>
      <c r="BT141">
        <f>17.088</f>
        <v>17.088000000000001</v>
      </c>
      <c r="BU141">
        <f>16.437</f>
        <v>16.437000000000001</v>
      </c>
      <c r="BV141">
        <f>17.316</f>
        <v>17.315999999999999</v>
      </c>
      <c r="BW141">
        <f>15.648</f>
        <v>15.648</v>
      </c>
      <c r="BX141">
        <f>16.316</f>
        <v>16.315999999999999</v>
      </c>
      <c r="BY141">
        <f>13.582</f>
        <v>13.582000000000001</v>
      </c>
      <c r="BZ141">
        <f>13.431</f>
        <v>13.430999999999999</v>
      </c>
      <c r="CA141">
        <f>7.614142</f>
        <v>7.6141420000000002</v>
      </c>
      <c r="CB141">
        <f>8.830747</f>
        <v>8.8307470000000006</v>
      </c>
      <c r="CC141">
        <f>12.7125</f>
        <v>12.7125</v>
      </c>
      <c r="CD141">
        <f>11.671555</f>
        <v>11.671555</v>
      </c>
      <c r="CE141">
        <f>-10.739157</f>
        <v>-10.739157000000001</v>
      </c>
      <c r="CF141">
        <f>28.331176</f>
        <v>28.331175999999999</v>
      </c>
      <c r="CG141">
        <f>6.441458</f>
        <v>6.4414579999999999</v>
      </c>
      <c r="CH141">
        <f>7.036943</f>
        <v>7.0369429999999999</v>
      </c>
      <c r="CI141">
        <f>2.599444</f>
        <v>2.5994440000000001</v>
      </c>
      <c r="CJ141">
        <f>5.532614</f>
        <v>5.5326139999999997</v>
      </c>
      <c r="CK141">
        <f>6.272437</f>
        <v>6.272437</v>
      </c>
      <c r="CL141">
        <f>5.861139</f>
        <v>5.8611389999999997</v>
      </c>
      <c r="CM141">
        <f>7.99272</f>
        <v>7.9927200000000003</v>
      </c>
      <c r="CN141">
        <f>10.36321</f>
        <v>10.36321</v>
      </c>
      <c r="CO141">
        <f>5.930279</f>
        <v>5.9302789999999996</v>
      </c>
      <c r="CP141">
        <f>11.046354</f>
        <v>11.046353999999999</v>
      </c>
      <c r="CQ141">
        <f>6.774147</f>
        <v>6.7741470000000001</v>
      </c>
      <c r="CR141">
        <f>2.011061</f>
        <v>2.0110610000000002</v>
      </c>
      <c r="CS141">
        <f>0.26489</f>
        <v>0.26489000000000001</v>
      </c>
      <c r="CT141">
        <f>-1.197425</f>
        <v>-1.197425</v>
      </c>
      <c r="CU141" t="str">
        <f>""</f>
        <v/>
      </c>
      <c r="CV141" t="str">
        <f>""</f>
        <v/>
      </c>
      <c r="CW141" t="str">
        <f>""</f>
        <v/>
      </c>
      <c r="CX141" t="str">
        <f>""</f>
        <v/>
      </c>
      <c r="CY141" t="str">
        <f>""</f>
        <v/>
      </c>
      <c r="CZ141" t="str">
        <f>""</f>
        <v/>
      </c>
      <c r="DA141" t="str">
        <f>""</f>
        <v/>
      </c>
      <c r="DB141" t="str">
        <f>""</f>
        <v/>
      </c>
      <c r="DC141" t="str">
        <f>""</f>
        <v/>
      </c>
      <c r="DD141" t="str">
        <f>""</f>
        <v/>
      </c>
      <c r="DE141" t="str">
        <f>""</f>
        <v/>
      </c>
      <c r="DF141" t="str">
        <f>""</f>
        <v/>
      </c>
      <c r="DG141" t="str">
        <f>""</f>
        <v/>
      </c>
      <c r="DH141" t="str">
        <f>""</f>
        <v/>
      </c>
      <c r="DI141" t="str">
        <f>""</f>
        <v/>
      </c>
      <c r="DJ141" t="str">
        <f>""</f>
        <v/>
      </c>
      <c r="DK141" t="str">
        <f>""</f>
        <v/>
      </c>
      <c r="DL141" t="str">
        <f>""</f>
        <v/>
      </c>
      <c r="DM141" t="str">
        <f>""</f>
        <v/>
      </c>
      <c r="DN141" t="str">
        <f>""</f>
        <v/>
      </c>
      <c r="DO141" t="str">
        <f>""</f>
        <v/>
      </c>
      <c r="DP141" t="str">
        <f>""</f>
        <v/>
      </c>
      <c r="DQ141" t="str">
        <f>""</f>
        <v/>
      </c>
      <c r="DR141" t="str">
        <f>""</f>
        <v/>
      </c>
      <c r="DS141" t="str">
        <f>""</f>
        <v/>
      </c>
      <c r="DT141" t="str">
        <f>""</f>
        <v/>
      </c>
      <c r="DU141" t="str">
        <f>""</f>
        <v/>
      </c>
    </row>
    <row r="142" spans="1:125">
      <c r="A142" t="str">
        <f>"    Retail Properties of America I"</f>
        <v xml:space="preserve">    Retail Properties of America I</v>
      </c>
      <c r="B142" t="str">
        <f>"RPAI US Equity"</f>
        <v>RPAI US Equity</v>
      </c>
      <c r="C142" t="str">
        <f t="shared" si="24"/>
        <v>F0578</v>
      </c>
      <c r="D142" t="str">
        <f t="shared" si="25"/>
        <v>FUNDS_AVAILABLE_FOR_DISTRIBUTION</v>
      </c>
      <c r="E142" t="str">
        <f t="shared" si="26"/>
        <v>动态</v>
      </c>
      <c r="F142" t="str">
        <f ca="1">IF(AND(ISNUMBER($F$595),$B$419=1),$F$595,HLOOKUP(INDIRECT(ADDRESS(2,COLUMN())),OFFSET($BN$2,0,0,ROW()-1,60),ROW()-1,FALSE))</f>
        <v/>
      </c>
      <c r="G142">
        <f ca="1">IF(AND(ISNUMBER($G$595),$B$419=1),$G$595,HLOOKUP(INDIRECT(ADDRESS(2,COLUMN())),OFFSET($BN$2,0,0,ROW()-1,60),ROW()-1,FALSE))</f>
        <v>43.540999999999997</v>
      </c>
      <c r="H142">
        <f ca="1">IF(AND(ISNUMBER($H$595),$B$419=1),$H$595,HLOOKUP(INDIRECT(ADDRESS(2,COLUMN())),OFFSET($BN$2,0,0,ROW()-1,60),ROW()-1,FALSE))</f>
        <v>32.418999999999997</v>
      </c>
      <c r="I142">
        <f ca="1">IF(AND(ISNUMBER($I$595),$B$419=1),$I$595,HLOOKUP(INDIRECT(ADDRESS(2,COLUMN())),OFFSET($BN$2,0,0,ROW()-1,60),ROW()-1,FALSE))</f>
        <v>34.917000000000002</v>
      </c>
      <c r="J142">
        <f ca="1">IF(AND(ISNUMBER($J$595),$B$419=1),$J$595,HLOOKUP(INDIRECT(ADDRESS(2,COLUMN())),OFFSET($BN$2,0,0,ROW()-1,60),ROW()-1,FALSE))</f>
        <v>51.883000000000003</v>
      </c>
      <c r="K142">
        <f ca="1">IF(AND(ISNUMBER($K$595),$B$419=1),$K$595,HLOOKUP(INDIRECT(ADDRESS(2,COLUMN())),OFFSET($BN$2,0,0,ROW()-1,60),ROW()-1,FALSE))</f>
        <v>47.484000000000002</v>
      </c>
      <c r="L142">
        <f ca="1">IF(AND(ISNUMBER($L$595),$B$419=1),$L$595,HLOOKUP(INDIRECT(ADDRESS(2,COLUMN())),OFFSET($BN$2,0,0,ROW()-1,60),ROW()-1,FALSE))</f>
        <v>49.472999999999999</v>
      </c>
      <c r="M142">
        <f ca="1">IF(AND(ISNUMBER($M$595),$B$419=1),$M$595,HLOOKUP(INDIRECT(ADDRESS(2,COLUMN())),OFFSET($BN$2,0,0,ROW()-1,60),ROW()-1,FALSE))</f>
        <v>40.756</v>
      </c>
      <c r="N142">
        <f ca="1">IF(AND(ISNUMBER($N$595),$B$419=1),$N$595,HLOOKUP(INDIRECT(ADDRESS(2,COLUMN())),OFFSET($BN$2,0,0,ROW()-1,60),ROW()-1,FALSE))</f>
        <v>52.701999999999998</v>
      </c>
      <c r="O142">
        <f ca="1">IF(AND(ISNUMBER($O$595),$B$419=1),$O$595,HLOOKUP(INDIRECT(ADDRESS(2,COLUMN())),OFFSET($BN$2,0,0,ROW()-1,60),ROW()-1,FALSE))</f>
        <v>50.567999999999998</v>
      </c>
      <c r="P142">
        <f ca="1">IF(AND(ISNUMBER($P$595),$B$419=1),$P$595,HLOOKUP(INDIRECT(ADDRESS(2,COLUMN())),OFFSET($BN$2,0,0,ROW()-1,60),ROW()-1,FALSE))</f>
        <v>48.579000000000001</v>
      </c>
      <c r="Q142">
        <f ca="1">IF(AND(ISNUMBER($Q$595),$B$419=1),$Q$595,HLOOKUP(INDIRECT(ADDRESS(2,COLUMN())),OFFSET($BN$2,0,0,ROW()-1,60),ROW()-1,FALSE))</f>
        <v>46.125</v>
      </c>
      <c r="R142">
        <f ca="1">IF(AND(ISNUMBER($R$595),$B$419=1),$R$595,HLOOKUP(INDIRECT(ADDRESS(2,COLUMN())),OFFSET($BN$2,0,0,ROW()-1,60),ROW()-1,FALSE))</f>
        <v>48.274999999999999</v>
      </c>
      <c r="S142">
        <f ca="1">IF(AND(ISNUMBER($S$595),$B$419=1),$S$595,HLOOKUP(INDIRECT(ADDRESS(2,COLUMN())),OFFSET($BN$2,0,0,ROW()-1,60),ROW()-1,FALSE))</f>
        <v>46.906999999999996</v>
      </c>
      <c r="T142">
        <f ca="1">IF(AND(ISNUMBER($T$595),$B$419=1),$T$595,HLOOKUP(INDIRECT(ADDRESS(2,COLUMN())),OFFSET($BN$2,0,0,ROW()-1,60),ROW()-1,FALSE))</f>
        <v>51.691000000000003</v>
      </c>
      <c r="U142">
        <f ca="1">IF(AND(ISNUMBER($U$595),$B$419=1),$U$595,HLOOKUP(INDIRECT(ADDRESS(2,COLUMN())),OFFSET($BN$2,0,0,ROW()-1,60),ROW()-1,FALSE))</f>
        <v>50.118000000000002</v>
      </c>
      <c r="V142">
        <f ca="1">IF(AND(ISNUMBER($V$595),$B$419=1),$V$595,HLOOKUP(INDIRECT(ADDRESS(2,COLUMN())),OFFSET($BN$2,0,0,ROW()-1,60),ROW()-1,FALSE))</f>
        <v>48.755000000000003</v>
      </c>
      <c r="W142">
        <f ca="1">IF(AND(ISNUMBER($W$595),$B$419=1),$W$595,HLOOKUP(INDIRECT(ADDRESS(2,COLUMN())),OFFSET($BN$2,0,0,ROW()-1,60),ROW()-1,FALSE))</f>
        <v>45.933999999999997</v>
      </c>
      <c r="X142">
        <f ca="1">IF(AND(ISNUMBER($X$595),$B$419=1),$X$595,HLOOKUP(INDIRECT(ADDRESS(2,COLUMN())),OFFSET($BN$2,0,0,ROW()-1,60),ROW()-1,FALSE))</f>
        <v>51.750999999999998</v>
      </c>
      <c r="Y142">
        <f ca="1">IF(AND(ISNUMBER($Y$595),$B$419=1),$Y$595,HLOOKUP(INDIRECT(ADDRESS(2,COLUMN())),OFFSET($BN$2,0,0,ROW()-1,60),ROW()-1,FALSE))</f>
        <v>50.320999999999998</v>
      </c>
      <c r="Z142">
        <f ca="1">IF(AND(ISNUMBER($Z$595),$B$419=1),$Z$595,HLOOKUP(INDIRECT(ADDRESS(2,COLUMN())),OFFSET($BN$2,0,0,ROW()-1,60),ROW()-1,FALSE))</f>
        <v>39.401000000000003</v>
      </c>
      <c r="AA142">
        <f ca="1">IF(AND(ISNUMBER($AA$595),$B$419=1),$AA$595,HLOOKUP(INDIRECT(ADDRESS(2,COLUMN())),OFFSET($BN$2,0,0,ROW()-1,60),ROW()-1,FALSE))</f>
        <v>31.558</v>
      </c>
      <c r="AB142">
        <f ca="1">IF(AND(ISNUMBER($AB$595),$B$419=1),$AB$595,HLOOKUP(INDIRECT(ADDRESS(2,COLUMN())),OFFSET($BN$2,0,0,ROW()-1,60),ROW()-1,FALSE))</f>
        <v>6.3289999999999997</v>
      </c>
      <c r="AC142">
        <f ca="1">IF(AND(ISNUMBER($AC$595),$B$419=1),$AC$595,HLOOKUP(INDIRECT(ADDRESS(2,COLUMN())),OFFSET($BN$2,0,0,ROW()-1,60),ROW()-1,FALSE))</f>
        <v>39.597000000000001</v>
      </c>
      <c r="AD142">
        <f ca="1">IF(AND(ISNUMBER($AD$595),$B$419=1),$AD$595,HLOOKUP(INDIRECT(ADDRESS(2,COLUMN())),OFFSET($BN$2,0,0,ROW()-1,60),ROW()-1,FALSE))</f>
        <v>35.146000000000001</v>
      </c>
      <c r="AE142">
        <f ca="1">IF(AND(ISNUMBER($AE$595),$B$419=1),$AE$595,HLOOKUP(INDIRECT(ADDRESS(2,COLUMN())),OFFSET($BN$2,0,0,ROW()-1,60),ROW()-1,FALSE))</f>
        <v>29.922000000000001</v>
      </c>
      <c r="AF142">
        <f ca="1">IF(AND(ISNUMBER($AF$595),$B$419=1),$AF$595,HLOOKUP(INDIRECT(ADDRESS(2,COLUMN())),OFFSET($BN$2,0,0,ROW()-1,60),ROW()-1,FALSE))</f>
        <v>34.765000000000001</v>
      </c>
      <c r="AG142">
        <f ca="1">IF(AND(ISNUMBER($AG$595),$B$419=1),$AG$595,HLOOKUP(INDIRECT(ADDRESS(2,COLUMN())),OFFSET($BN$2,0,0,ROW()-1,60),ROW()-1,FALSE))</f>
        <v>36.267000000000003</v>
      </c>
      <c r="AH142">
        <f ca="1">IF(AND(ISNUMBER($AH$595),$B$419=1),$AH$595,HLOOKUP(INDIRECT(ADDRESS(2,COLUMN())),OFFSET($BN$2,0,0,ROW()-1,60),ROW()-1,FALSE))</f>
        <v>30.27</v>
      </c>
      <c r="AI142">
        <f ca="1">IF(AND(ISNUMBER($AI$595),$B$419=1),$AI$595,HLOOKUP(INDIRECT(ADDRESS(2,COLUMN())),OFFSET($BN$2,0,0,ROW()-1,60),ROW()-1,FALSE))</f>
        <v>41.012999999999998</v>
      </c>
      <c r="AJ142" t="str">
        <f ca="1">IF(AND(ISNUMBER($AJ$595),$B$419=1),$AJ$595,HLOOKUP(INDIRECT(ADDRESS(2,COLUMN())),OFFSET($BN$2,0,0,ROW()-1,60),ROW()-1,FALSE))</f>
        <v/>
      </c>
      <c r="AK142" t="str">
        <f ca="1">IF(AND(ISNUMBER($AK$595),$B$419=1),$AK$595,HLOOKUP(INDIRECT(ADDRESS(2,COLUMN())),OFFSET($BN$2,0,0,ROW()-1,60),ROW()-1,FALSE))</f>
        <v/>
      </c>
      <c r="AL142" t="str">
        <f ca="1">IF(AND(ISNUMBER($AL$595),$B$419=1),$AL$595,HLOOKUP(INDIRECT(ADDRESS(2,COLUMN())),OFFSET($BN$2,0,0,ROW()-1,60),ROW()-1,FALSE))</f>
        <v/>
      </c>
      <c r="AM142" t="str">
        <f ca="1">IF(AND(ISNUMBER($AM$595),$B$419=1),$AM$595,HLOOKUP(INDIRECT(ADDRESS(2,COLUMN())),OFFSET($BN$2,0,0,ROW()-1,60),ROW()-1,FALSE))</f>
        <v/>
      </c>
      <c r="AN142">
        <f ca="1">IF(AND(ISNUMBER($AN$595),$B$419=1),$AN$595,HLOOKUP(INDIRECT(ADDRESS(2,COLUMN())),OFFSET($BN$2,0,0,ROW()-1,60),ROW()-1,FALSE))</f>
        <v>79.126000000000005</v>
      </c>
      <c r="AO142" t="str">
        <f ca="1">IF(AND(ISNUMBER($AO$595),$B$419=1),$AO$595,HLOOKUP(INDIRECT(ADDRESS(2,COLUMN())),OFFSET($BN$2,0,0,ROW()-1,60),ROW()-1,FALSE))</f>
        <v/>
      </c>
      <c r="AP142" t="str">
        <f ca="1">IF(AND(ISNUMBER($AP$595),$B$419=1),$AP$595,HLOOKUP(INDIRECT(ADDRESS(2,COLUMN())),OFFSET($BN$2,0,0,ROW()-1,60),ROW()-1,FALSE))</f>
        <v/>
      </c>
      <c r="AQ142" t="str">
        <f ca="1">IF(AND(ISNUMBER($AQ$595),$B$419=1),$AQ$595,HLOOKUP(INDIRECT(ADDRESS(2,COLUMN())),OFFSET($BN$2,0,0,ROW()-1,60),ROW()-1,FALSE))</f>
        <v/>
      </c>
      <c r="AR142" t="str">
        <f ca="1">IF(AND(ISNUMBER($AR$595),$B$419=1),$AR$595,HLOOKUP(INDIRECT(ADDRESS(2,COLUMN())),OFFSET($BN$2,0,0,ROW()-1,60),ROW()-1,FALSE))</f>
        <v/>
      </c>
      <c r="AS142" t="str">
        <f ca="1">IF(AND(ISNUMBER($AS$595),$B$419=1),$AS$595,HLOOKUP(INDIRECT(ADDRESS(2,COLUMN())),OFFSET($BN$2,0,0,ROW()-1,60),ROW()-1,FALSE))</f>
        <v/>
      </c>
      <c r="AT142" t="str">
        <f ca="1">IF(AND(ISNUMBER($AT$595),$B$419=1),$AT$595,HLOOKUP(INDIRECT(ADDRESS(2,COLUMN())),OFFSET($BN$2,0,0,ROW()-1,60),ROW()-1,FALSE))</f>
        <v/>
      </c>
      <c r="AU142" t="str">
        <f ca="1">IF(AND(ISNUMBER($AU$595),$B$419=1),$AU$595,HLOOKUP(INDIRECT(ADDRESS(2,COLUMN())),OFFSET($BN$2,0,0,ROW()-1,60),ROW()-1,FALSE))</f>
        <v/>
      </c>
      <c r="AV142" t="str">
        <f ca="1">IF(AND(ISNUMBER($AV$595),$B$419=1),$AV$595,HLOOKUP(INDIRECT(ADDRESS(2,COLUMN())),OFFSET($BN$2,0,0,ROW()-1,60),ROW()-1,FALSE))</f>
        <v/>
      </c>
      <c r="AW142" t="str">
        <f ca="1">IF(AND(ISNUMBER($AW$595),$B$419=1),$AW$595,HLOOKUP(INDIRECT(ADDRESS(2,COLUMN())),OFFSET($BN$2,0,0,ROW()-1,60),ROW()-1,FALSE))</f>
        <v/>
      </c>
      <c r="AX142" t="str">
        <f ca="1">IF(AND(ISNUMBER($AX$595),$B$419=1),$AX$595,HLOOKUP(INDIRECT(ADDRESS(2,COLUMN())),OFFSET($BN$2,0,0,ROW()-1,60),ROW()-1,FALSE))</f>
        <v/>
      </c>
      <c r="AY142" t="str">
        <f ca="1">IF(AND(ISNUMBER($AY$595),$B$419=1),$AY$595,HLOOKUP(INDIRECT(ADDRESS(2,COLUMN())),OFFSET($BN$2,0,0,ROW()-1,60),ROW()-1,FALSE))</f>
        <v/>
      </c>
      <c r="AZ142" t="str">
        <f ca="1">IF(AND(ISNUMBER($AZ$595),$B$419=1),$AZ$595,HLOOKUP(INDIRECT(ADDRESS(2,COLUMN())),OFFSET($BN$2,0,0,ROW()-1,60),ROW()-1,FALSE))</f>
        <v/>
      </c>
      <c r="BA142" t="str">
        <f ca="1">IF(AND(ISNUMBER($BA$595),$B$419=1),$BA$595,HLOOKUP(INDIRECT(ADDRESS(2,COLUMN())),OFFSET($BN$2,0,0,ROW()-1,60),ROW()-1,FALSE))</f>
        <v/>
      </c>
      <c r="BB142" t="str">
        <f ca="1">IF(AND(ISNUMBER($BB$595),$B$419=1),$BB$595,HLOOKUP(INDIRECT(ADDRESS(2,COLUMN())),OFFSET($BN$2,0,0,ROW()-1,60),ROW()-1,FALSE))</f>
        <v/>
      </c>
      <c r="BC142" t="str">
        <f ca="1">IF(AND(ISNUMBER($BC$595),$B$419=1),$BC$595,HLOOKUP(INDIRECT(ADDRESS(2,COLUMN())),OFFSET($BN$2,0,0,ROW()-1,60),ROW()-1,FALSE))</f>
        <v/>
      </c>
      <c r="BD142" t="str">
        <f ca="1">IF(AND(ISNUMBER($BD$595),$B$419=1),$BD$595,HLOOKUP(INDIRECT(ADDRESS(2,COLUMN())),OFFSET($BN$2,0,0,ROW()-1,60),ROW()-1,FALSE))</f>
        <v/>
      </c>
      <c r="BE142" t="str">
        <f ca="1">IF(AND(ISNUMBER($BE$595),$B$419=1),$BE$595,HLOOKUP(INDIRECT(ADDRESS(2,COLUMN())),OFFSET($BN$2,0,0,ROW()-1,60),ROW()-1,FALSE))</f>
        <v/>
      </c>
      <c r="BF142" t="str">
        <f ca="1">IF(AND(ISNUMBER($BF$595),$B$419=1),$BF$595,HLOOKUP(INDIRECT(ADDRESS(2,COLUMN())),OFFSET($BN$2,0,0,ROW()-1,60),ROW()-1,FALSE))</f>
        <v/>
      </c>
      <c r="BG142" t="str">
        <f ca="1">IF(AND(ISNUMBER($BG$595),$B$419=1),$BG$595,HLOOKUP(INDIRECT(ADDRESS(2,COLUMN())),OFFSET($BN$2,0,0,ROW()-1,60),ROW()-1,FALSE))</f>
        <v/>
      </c>
      <c r="BH142" t="str">
        <f ca="1">IF(AND(ISNUMBER($BH$595),$B$419=1),$BH$595,HLOOKUP(INDIRECT(ADDRESS(2,COLUMN())),OFFSET($BN$2,0,0,ROW()-1,60),ROW()-1,FALSE))</f>
        <v/>
      </c>
      <c r="BI142" t="str">
        <f ca="1">IF(AND(ISNUMBER($BI$595),$B$419=1),$BI$595,HLOOKUP(INDIRECT(ADDRESS(2,COLUMN())),OFFSET($BN$2,0,0,ROW()-1,60),ROW()-1,FALSE))</f>
        <v/>
      </c>
      <c r="BJ142" t="str">
        <f ca="1">IF(AND(ISNUMBER($BJ$595),$B$419=1),$BJ$595,HLOOKUP(INDIRECT(ADDRESS(2,COLUMN())),OFFSET($BN$2,0,0,ROW()-1,60),ROW()-1,FALSE))</f>
        <v/>
      </c>
      <c r="BK142" t="str">
        <f ca="1">IF(AND(ISNUMBER($BK$595),$B$419=1),$BK$595,HLOOKUP(INDIRECT(ADDRESS(2,COLUMN())),OFFSET($BN$2,0,0,ROW()-1,60),ROW()-1,FALSE))</f>
        <v/>
      </c>
      <c r="BL142" t="str">
        <f ca="1">IF(AND(ISNUMBER($BL$595),$B$419=1),$BL$595,HLOOKUP(INDIRECT(ADDRESS(2,COLUMN())),OFFSET($BN$2,0,0,ROW()-1,60),ROW()-1,FALSE))</f>
        <v/>
      </c>
      <c r="BM142" t="str">
        <f ca="1">IF(AND(ISNUMBER($BM$595),$B$419=1),$BM$595,HLOOKUP(INDIRECT(ADDRESS(2,COLUMN())),OFFSET($BN$2,0,0,ROW()-1,60),ROW()-1,FALSE))</f>
        <v/>
      </c>
      <c r="BN142" t="str">
        <f>""</f>
        <v/>
      </c>
      <c r="BO142">
        <f>43.541</f>
        <v>43.540999999999997</v>
      </c>
      <c r="BP142">
        <f>32.419</f>
        <v>32.418999999999997</v>
      </c>
      <c r="BQ142">
        <f>34.917</f>
        <v>34.917000000000002</v>
      </c>
      <c r="BR142">
        <f>51.883</f>
        <v>51.883000000000003</v>
      </c>
      <c r="BS142">
        <f>47.484</f>
        <v>47.484000000000002</v>
      </c>
      <c r="BT142">
        <f>49.473</f>
        <v>49.472999999999999</v>
      </c>
      <c r="BU142">
        <f>40.756</f>
        <v>40.756</v>
      </c>
      <c r="BV142">
        <f>52.702</f>
        <v>52.701999999999998</v>
      </c>
      <c r="BW142">
        <f>50.568</f>
        <v>50.567999999999998</v>
      </c>
      <c r="BX142">
        <f>48.579</f>
        <v>48.579000000000001</v>
      </c>
      <c r="BY142">
        <f>46.125</f>
        <v>46.125</v>
      </c>
      <c r="BZ142">
        <f>48.275</f>
        <v>48.274999999999999</v>
      </c>
      <c r="CA142">
        <f>46.907</f>
        <v>46.906999999999996</v>
      </c>
      <c r="CB142">
        <f>51.691</f>
        <v>51.691000000000003</v>
      </c>
      <c r="CC142">
        <f>50.118</f>
        <v>50.118000000000002</v>
      </c>
      <c r="CD142">
        <f>48.755</f>
        <v>48.755000000000003</v>
      </c>
      <c r="CE142">
        <f>45.934</f>
        <v>45.933999999999997</v>
      </c>
      <c r="CF142">
        <f>51.751</f>
        <v>51.750999999999998</v>
      </c>
      <c r="CG142">
        <f>50.321</f>
        <v>50.320999999999998</v>
      </c>
      <c r="CH142">
        <f>39.401</f>
        <v>39.401000000000003</v>
      </c>
      <c r="CI142">
        <f>31.558</f>
        <v>31.558</v>
      </c>
      <c r="CJ142">
        <f>6.329</f>
        <v>6.3289999999999997</v>
      </c>
      <c r="CK142">
        <f>39.597</f>
        <v>39.597000000000001</v>
      </c>
      <c r="CL142">
        <f>35.146</f>
        <v>35.146000000000001</v>
      </c>
      <c r="CM142">
        <f>29.922</f>
        <v>29.922000000000001</v>
      </c>
      <c r="CN142">
        <f>34.765</f>
        <v>34.765000000000001</v>
      </c>
      <c r="CO142">
        <f>36.267</f>
        <v>36.267000000000003</v>
      </c>
      <c r="CP142">
        <f>30.27</f>
        <v>30.27</v>
      </c>
      <c r="CQ142">
        <f>41.013</f>
        <v>41.012999999999998</v>
      </c>
      <c r="CR142" t="str">
        <f>""</f>
        <v/>
      </c>
      <c r="CS142" t="str">
        <f>""</f>
        <v/>
      </c>
      <c r="CT142" t="str">
        <f>""</f>
        <v/>
      </c>
      <c r="CU142" t="str">
        <f>""</f>
        <v/>
      </c>
      <c r="CV142">
        <f>79.126</f>
        <v>79.126000000000005</v>
      </c>
      <c r="CW142" t="str">
        <f>""</f>
        <v/>
      </c>
      <c r="CX142" t="str">
        <f>""</f>
        <v/>
      </c>
      <c r="CY142" t="str">
        <f>""</f>
        <v/>
      </c>
      <c r="CZ142" t="str">
        <f>""</f>
        <v/>
      </c>
      <c r="DA142" t="str">
        <f>""</f>
        <v/>
      </c>
      <c r="DB142" t="str">
        <f>""</f>
        <v/>
      </c>
      <c r="DC142" t="str">
        <f>""</f>
        <v/>
      </c>
      <c r="DD142" t="str">
        <f>""</f>
        <v/>
      </c>
      <c r="DE142" t="str">
        <f>""</f>
        <v/>
      </c>
      <c r="DF142" t="str">
        <f>""</f>
        <v/>
      </c>
      <c r="DG142" t="str">
        <f>""</f>
        <v/>
      </c>
      <c r="DH142" t="str">
        <f>""</f>
        <v/>
      </c>
      <c r="DI142" t="str">
        <f>""</f>
        <v/>
      </c>
      <c r="DJ142" t="str">
        <f>""</f>
        <v/>
      </c>
      <c r="DK142" t="str">
        <f>""</f>
        <v/>
      </c>
      <c r="DL142" t="str">
        <f>""</f>
        <v/>
      </c>
      <c r="DM142" t="str">
        <f>""</f>
        <v/>
      </c>
      <c r="DN142" t="str">
        <f>""</f>
        <v/>
      </c>
      <c r="DO142" t="str">
        <f>""</f>
        <v/>
      </c>
      <c r="DP142" t="str">
        <f>""</f>
        <v/>
      </c>
      <c r="DQ142" t="str">
        <f>""</f>
        <v/>
      </c>
      <c r="DR142" t="str">
        <f>""</f>
        <v/>
      </c>
      <c r="DS142" t="str">
        <f>""</f>
        <v/>
      </c>
      <c r="DT142" t="str">
        <f>""</f>
        <v/>
      </c>
      <c r="DU142" t="str">
        <f>""</f>
        <v/>
      </c>
    </row>
    <row r="143" spans="1:125">
      <c r="A143" t="str">
        <f>"    Simon Property Group Inc"</f>
        <v xml:space="preserve">    Simon Property Group Inc</v>
      </c>
      <c r="B143" t="str">
        <f>"SPG US Equity"</f>
        <v>SPG US Equity</v>
      </c>
      <c r="C143" t="str">
        <f t="shared" si="24"/>
        <v>F0578</v>
      </c>
      <c r="D143" t="str">
        <f t="shared" si="25"/>
        <v>FUNDS_AVAILABLE_FOR_DISTRIBUTION</v>
      </c>
      <c r="E143" t="str">
        <f t="shared" si="26"/>
        <v>动态</v>
      </c>
      <c r="F143" t="str">
        <f ca="1">IF(AND(ISNUMBER($F$596),$B$419=1),$F$596,HLOOKUP(INDIRECT(ADDRESS(2,COLUMN())),OFFSET($BN$2,0,0,ROW()-1,60),ROW()-1,FALSE))</f>
        <v/>
      </c>
      <c r="G143">
        <f ca="1">IF(AND(ISNUMBER($G$596),$B$419=1),$G$596,HLOOKUP(INDIRECT(ADDRESS(2,COLUMN())),OFFSET($BN$2,0,0,ROW()-1,60),ROW()-1,FALSE))</f>
        <v>878.55600000000004</v>
      </c>
      <c r="H143">
        <f ca="1">IF(AND(ISNUMBER($H$596),$B$419=1),$H$596,HLOOKUP(INDIRECT(ADDRESS(2,COLUMN())),OFFSET($BN$2,0,0,ROW()-1,60),ROW()-1,FALSE))</f>
        <v>841.76099999999997</v>
      </c>
      <c r="I143">
        <f ca="1">IF(AND(ISNUMBER($I$596),$B$419=1),$I$596,HLOOKUP(INDIRECT(ADDRESS(2,COLUMN())),OFFSET($BN$2,0,0,ROW()-1,60),ROW()-1,FALSE))</f>
        <v>725.94500000000005</v>
      </c>
      <c r="J143">
        <f ca="1">IF(AND(ISNUMBER($J$596),$B$419=1),$J$596,HLOOKUP(INDIRECT(ADDRESS(2,COLUMN())),OFFSET($BN$2,0,0,ROW()-1,60),ROW()-1,FALSE))</f>
        <v>795.86300000000006</v>
      </c>
      <c r="K143">
        <f ca="1">IF(AND(ISNUMBER($K$596),$B$419=1),$K$596,HLOOKUP(INDIRECT(ADDRESS(2,COLUMN())),OFFSET($BN$2,0,0,ROW()-1,60),ROW()-1,FALSE))</f>
        <v>730.46299999999997</v>
      </c>
      <c r="L143">
        <f ca="1">IF(AND(ISNUMBER($L$596),$B$419=1),$L$596,HLOOKUP(INDIRECT(ADDRESS(2,COLUMN())),OFFSET($BN$2,0,0,ROW()-1,60),ROW()-1,FALSE))</f>
        <v>847.72500000000002</v>
      </c>
      <c r="M143">
        <f ca="1">IF(AND(ISNUMBER($M$596),$B$419=1),$M$596,HLOOKUP(INDIRECT(ADDRESS(2,COLUMN())),OFFSET($BN$2,0,0,ROW()-1,60),ROW()-1,FALSE))</f>
        <v>786.26400000000001</v>
      </c>
      <c r="N143">
        <f ca="1">IF(AND(ISNUMBER($N$596),$B$419=1),$N$596,HLOOKUP(INDIRECT(ADDRESS(2,COLUMN())),OFFSET($BN$2,0,0,ROW()-1,60),ROW()-1,FALSE))</f>
        <v>778.02</v>
      </c>
      <c r="O143">
        <f ca="1">IF(AND(ISNUMBER($O$596),$B$419=1),$O$596,HLOOKUP(INDIRECT(ADDRESS(2,COLUMN())),OFFSET($BN$2,0,0,ROW()-1,60),ROW()-1,FALSE))</f>
        <v>678.64099999999996</v>
      </c>
      <c r="P143">
        <f ca="1">IF(AND(ISNUMBER($P$596),$B$419=1),$P$596,HLOOKUP(INDIRECT(ADDRESS(2,COLUMN())),OFFSET($BN$2,0,0,ROW()-1,60),ROW()-1,FALSE))</f>
        <v>731.14400000000001</v>
      </c>
      <c r="Q143">
        <f ca="1">IF(AND(ISNUMBER($Q$596),$B$419=1),$Q$596,HLOOKUP(INDIRECT(ADDRESS(2,COLUMN())),OFFSET($BN$2,0,0,ROW()-1,60),ROW()-1,FALSE))</f>
        <v>688.71100000000001</v>
      </c>
      <c r="R143">
        <f ca="1">IF(AND(ISNUMBER($R$596),$B$419=1),$R$596,HLOOKUP(INDIRECT(ADDRESS(2,COLUMN())),OFFSET($BN$2,0,0,ROW()-1,60),ROW()-1,FALSE))</f>
        <v>681.71699999999998</v>
      </c>
      <c r="S143">
        <f ca="1">IF(AND(ISNUMBER($S$596),$B$419=1),$S$596,HLOOKUP(INDIRECT(ADDRESS(2,COLUMN())),OFFSET($BN$2,0,0,ROW()-1,60),ROW()-1,FALSE))</f>
        <v>704.3</v>
      </c>
      <c r="T143">
        <f ca="1">IF(AND(ISNUMBER($T$596),$B$419=1),$T$596,HLOOKUP(INDIRECT(ADDRESS(2,COLUMN())),OFFSET($BN$2,0,0,ROW()-1,60),ROW()-1,FALSE))</f>
        <v>659.47</v>
      </c>
      <c r="U143">
        <f ca="1">IF(AND(ISNUMBER($U$596),$B$419=1),$U$596,HLOOKUP(INDIRECT(ADDRESS(2,COLUMN())),OFFSET($BN$2,0,0,ROW()-1,60),ROW()-1,FALSE))</f>
        <v>621.58399999999995</v>
      </c>
      <c r="V143">
        <f ca="1">IF(AND(ISNUMBER($V$596),$B$419=1),$V$596,HLOOKUP(INDIRECT(ADDRESS(2,COLUMN())),OFFSET($BN$2,0,0,ROW()-1,60),ROW()-1,FALSE))</f>
        <v>731.33600000000001</v>
      </c>
      <c r="W143">
        <f ca="1">IF(AND(ISNUMBER($W$596),$B$419=1),$W$596,HLOOKUP(INDIRECT(ADDRESS(2,COLUMN())),OFFSET($BN$2,0,0,ROW()-1,60),ROW()-1,FALSE))</f>
        <v>681.94899999999996</v>
      </c>
      <c r="X143">
        <f ca="1">IF(AND(ISNUMBER($X$596),$B$419=1),$X$596,HLOOKUP(INDIRECT(ADDRESS(2,COLUMN())),OFFSET($BN$2,0,0,ROW()-1,60),ROW()-1,FALSE))</f>
        <v>630.947</v>
      </c>
      <c r="Y143">
        <f ca="1">IF(AND(ISNUMBER($Y$596),$B$419=1),$Y$596,HLOOKUP(INDIRECT(ADDRESS(2,COLUMN())),OFFSET($BN$2,0,0,ROW()-1,60),ROW()-1,FALSE))</f>
        <v>612.995</v>
      </c>
      <c r="Z143">
        <f ca="1">IF(AND(ISNUMBER($Z$596),$B$419=1),$Z$596,HLOOKUP(INDIRECT(ADDRESS(2,COLUMN())),OFFSET($BN$2,0,0,ROW()-1,60),ROW()-1,FALSE))</f>
        <v>628.18299999999999</v>
      </c>
      <c r="AA143">
        <f ca="1">IF(AND(ISNUMBER($AA$596),$B$419=1),$AA$596,HLOOKUP(INDIRECT(ADDRESS(2,COLUMN())),OFFSET($BN$2,0,0,ROW()-1,60),ROW()-1,FALSE))</f>
        <v>576.69000000000005</v>
      </c>
      <c r="AB143">
        <f ca="1">IF(AND(ISNUMBER($AB$596),$B$419=1),$AB$596,HLOOKUP(INDIRECT(ADDRESS(2,COLUMN())),OFFSET($BN$2,0,0,ROW()-1,60),ROW()-1,FALSE))</f>
        <v>539.18799999999999</v>
      </c>
      <c r="AC143">
        <f ca="1">IF(AND(ISNUMBER($AC$596),$B$419=1),$AC$596,HLOOKUP(INDIRECT(ADDRESS(2,COLUMN())),OFFSET($BN$2,0,0,ROW()-1,60),ROW()-1,FALSE))</f>
        <v>495.46899999999999</v>
      </c>
      <c r="AD143">
        <f ca="1">IF(AND(ISNUMBER($AD$596),$B$419=1),$AD$596,HLOOKUP(INDIRECT(ADDRESS(2,COLUMN())),OFFSET($BN$2,0,0,ROW()-1,60),ROW()-1,FALSE))</f>
        <v>490.29500000000002</v>
      </c>
      <c r="AE143">
        <f ca="1">IF(AND(ISNUMBER($AE$596),$B$419=1),$AE$596,HLOOKUP(INDIRECT(ADDRESS(2,COLUMN())),OFFSET($BN$2,0,0,ROW()-1,60),ROW()-1,FALSE))</f>
        <v>457.62400000000002</v>
      </c>
      <c r="AF143">
        <f ca="1">IF(AND(ISNUMBER($AF$596),$B$419=1),$AF$596,HLOOKUP(INDIRECT(ADDRESS(2,COLUMN())),OFFSET($BN$2,0,0,ROW()-1,60),ROW()-1,FALSE))</f>
        <v>436.37700000000001</v>
      </c>
      <c r="AG143">
        <f ca="1">IF(AND(ISNUMBER($AG$596),$B$419=1),$AG$596,HLOOKUP(INDIRECT(ADDRESS(2,COLUMN())),OFFSET($BN$2,0,0,ROW()-1,60),ROW()-1,FALSE))</f>
        <v>406.30799999999999</v>
      </c>
      <c r="AH143">
        <f ca="1">IF(AND(ISNUMBER($AH$596),$B$419=1),$AH$596,HLOOKUP(INDIRECT(ADDRESS(2,COLUMN())),OFFSET($BN$2,0,0,ROW()-1,60),ROW()-1,FALSE))</f>
        <v>430.03199999999998</v>
      </c>
      <c r="AI143">
        <f ca="1">IF(AND(ISNUMBER($AI$596),$B$419=1),$AI$596,HLOOKUP(INDIRECT(ADDRESS(2,COLUMN())),OFFSET($BN$2,0,0,ROW()-1,60),ROW()-1,FALSE))</f>
        <v>467.392</v>
      </c>
      <c r="AJ143">
        <f ca="1">IF(AND(ISNUMBER($AJ$596),$B$419=1),$AJ$596,HLOOKUP(INDIRECT(ADDRESS(2,COLUMN())),OFFSET($BN$2,0,0,ROW()-1,60),ROW()-1,FALSE))</f>
        <v>410.84</v>
      </c>
      <c r="AK143">
        <f ca="1">IF(AND(ISNUMBER($AK$596),$B$419=1),$AK$596,HLOOKUP(INDIRECT(ADDRESS(2,COLUMN())),OFFSET($BN$2,0,0,ROW()-1,60),ROW()-1,FALSE))</f>
        <v>355.58499999999998</v>
      </c>
      <c r="AL143">
        <f ca="1">IF(AND(ISNUMBER($AL$596),$B$419=1),$AL$596,HLOOKUP(INDIRECT(ADDRESS(2,COLUMN())),OFFSET($BN$2,0,0,ROW()-1,60),ROW()-1,FALSE))</f>
        <v>399.64699999999999</v>
      </c>
      <c r="AM143">
        <f ca="1">IF(AND(ISNUMBER($AM$596),$B$419=1),$AM$596,HLOOKUP(INDIRECT(ADDRESS(2,COLUMN())),OFFSET($BN$2,0,0,ROW()-1,60),ROW()-1,FALSE))</f>
        <v>473.53640000000001</v>
      </c>
      <c r="AN143">
        <f ca="1">IF(AND(ISNUMBER($AN$596),$B$419=1),$AN$596,HLOOKUP(INDIRECT(ADDRESS(2,COLUMN())),OFFSET($BN$2,0,0,ROW()-1,60),ROW()-1,FALSE))</f>
        <v>358.565</v>
      </c>
      <c r="AO143">
        <f ca="1">IF(AND(ISNUMBER($AO$596),$B$419=1),$AO$596,HLOOKUP(INDIRECT(ADDRESS(2,COLUMN())),OFFSET($BN$2,0,0,ROW()-1,60),ROW()-1,FALSE))</f>
        <v>389.28500000000003</v>
      </c>
      <c r="AP143">
        <f ca="1">IF(AND(ISNUMBER($AP$596),$B$419=1),$AP$596,HLOOKUP(INDIRECT(ADDRESS(2,COLUMN())),OFFSET($BN$2,0,0,ROW()-1,60),ROW()-1,FALSE))</f>
        <v>382.99849999999998</v>
      </c>
      <c r="AQ143">
        <f ca="1">IF(AND(ISNUMBER($AQ$596),$B$419=1),$AQ$596,HLOOKUP(INDIRECT(ADDRESS(2,COLUMN())),OFFSET($BN$2,0,0,ROW()-1,60),ROW()-1,FALSE))</f>
        <v>373.62599999999998</v>
      </c>
      <c r="AR143">
        <f ca="1">IF(AND(ISNUMBER($AR$596),$B$419=1),$AR$596,HLOOKUP(INDIRECT(ADDRESS(2,COLUMN())),OFFSET($BN$2,0,0,ROW()-1,60),ROW()-1,FALSE))</f>
        <v>320.88200000000001</v>
      </c>
      <c r="AS143">
        <f ca="1">IF(AND(ISNUMBER($AS$596),$B$419=1),$AS$596,HLOOKUP(INDIRECT(ADDRESS(2,COLUMN())),OFFSET($BN$2,0,0,ROW()-1,60),ROW()-1,FALSE))</f>
        <v>299.85000000000002</v>
      </c>
      <c r="AT143">
        <f ca="1">IF(AND(ISNUMBER($AT$596),$B$419=1),$AT$596,HLOOKUP(INDIRECT(ADDRESS(2,COLUMN())),OFFSET($BN$2,0,0,ROW()-1,60),ROW()-1,FALSE))</f>
        <v>314.78899999999999</v>
      </c>
      <c r="AU143">
        <f ca="1">IF(AND(ISNUMBER($AU$596),$B$419=1),$AU$596,HLOOKUP(INDIRECT(ADDRESS(2,COLUMN())),OFFSET($BN$2,0,0,ROW()-1,60),ROW()-1,FALSE))</f>
        <v>285.11700000000002</v>
      </c>
      <c r="AV143">
        <f ca="1">IF(AND(ISNUMBER($AV$596),$B$419=1),$AV$596,HLOOKUP(INDIRECT(ADDRESS(2,COLUMN())),OFFSET($BN$2,0,0,ROW()-1,60),ROW()-1,FALSE))</f>
        <v>247.40899999999999</v>
      </c>
      <c r="AW143">
        <f ca="1">IF(AND(ISNUMBER($AW$596),$B$419=1),$AW$596,HLOOKUP(INDIRECT(ADDRESS(2,COLUMN())),OFFSET($BN$2,0,0,ROW()-1,60),ROW()-1,FALSE))</f>
        <v>270.72300000000001</v>
      </c>
      <c r="AX143">
        <f ca="1">IF(AND(ISNUMBER($AX$596),$B$419=1),$AX$596,HLOOKUP(INDIRECT(ADDRESS(2,COLUMN())),OFFSET($BN$2,0,0,ROW()-1,60),ROW()-1,FALSE))</f>
        <v>292.51499999999999</v>
      </c>
      <c r="AY143">
        <f ca="1">IF(AND(ISNUMBER($AY$596),$B$419=1),$AY$596,HLOOKUP(INDIRECT(ADDRESS(2,COLUMN())),OFFSET($BN$2,0,0,ROW()-1,60),ROW()-1,FALSE))</f>
        <v>219.79499999999999</v>
      </c>
      <c r="AZ143">
        <f ca="1">IF(AND(ISNUMBER($AZ$596),$B$419=1),$AZ$596,HLOOKUP(INDIRECT(ADDRESS(2,COLUMN())),OFFSET($BN$2,0,0,ROW()-1,60),ROW()-1,FALSE))</f>
        <v>336.16</v>
      </c>
      <c r="BA143">
        <f ca="1">IF(AND(ISNUMBER($BA$596),$B$419=1),$BA$596,HLOOKUP(INDIRECT(ADDRESS(2,COLUMN())),OFFSET($BN$2,0,0,ROW()-1,60),ROW()-1,FALSE))</f>
        <v>269.428</v>
      </c>
      <c r="BB143">
        <f ca="1">IF(AND(ISNUMBER($BB$596),$B$419=1),$BB$596,HLOOKUP(INDIRECT(ADDRESS(2,COLUMN())),OFFSET($BN$2,0,0,ROW()-1,60),ROW()-1,FALSE))</f>
        <v>278.90899999999999</v>
      </c>
      <c r="BC143">
        <f ca="1">IF(AND(ISNUMBER($BC$596),$B$419=1),$BC$596,HLOOKUP(INDIRECT(ADDRESS(2,COLUMN())),OFFSET($BN$2,0,0,ROW()-1,60),ROW()-1,FALSE))</f>
        <v>418.95699999999999</v>
      </c>
      <c r="BD143">
        <f ca="1">IF(AND(ISNUMBER($BD$596),$B$419=1),$BD$596,HLOOKUP(INDIRECT(ADDRESS(2,COLUMN())),OFFSET($BN$2,0,0,ROW()-1,60),ROW()-1,FALSE))</f>
        <v>323.46100000000001</v>
      </c>
      <c r="BE143">
        <f ca="1">IF(AND(ISNUMBER($BE$596),$B$419=1),$BE$596,HLOOKUP(INDIRECT(ADDRESS(2,COLUMN())),OFFSET($BN$2,0,0,ROW()-1,60),ROW()-1,FALSE))</f>
        <v>335.16899999999998</v>
      </c>
      <c r="BF143">
        <f ca="1">IF(AND(ISNUMBER($BF$596),$B$419=1),$BF$596,HLOOKUP(INDIRECT(ADDRESS(2,COLUMN())),OFFSET($BN$2,0,0,ROW()-1,60),ROW()-1,FALSE))</f>
        <v>333.78100000000001</v>
      </c>
      <c r="BG143">
        <f ca="1">IF(AND(ISNUMBER($BG$596),$B$419=1),$BG$596,HLOOKUP(INDIRECT(ADDRESS(2,COLUMN())),OFFSET($BN$2,0,0,ROW()-1,60),ROW()-1,FALSE))</f>
        <v>382.71899999999999</v>
      </c>
      <c r="BH143">
        <f ca="1">IF(AND(ISNUMBER($BH$596),$B$419=1),$BH$596,HLOOKUP(INDIRECT(ADDRESS(2,COLUMN())),OFFSET($BN$2,0,0,ROW()-1,60),ROW()-1,FALSE))</f>
        <v>276.399</v>
      </c>
      <c r="BI143">
        <f ca="1">IF(AND(ISNUMBER($BI$596),$B$419=1),$BI$596,HLOOKUP(INDIRECT(ADDRESS(2,COLUMN())),OFFSET($BN$2,0,0,ROW()-1,60),ROW()-1,FALSE))</f>
        <v>208.55699999999999</v>
      </c>
      <c r="BJ143">
        <f ca="1">IF(AND(ISNUMBER($BJ$596),$B$419=1),$BJ$596,HLOOKUP(INDIRECT(ADDRESS(2,COLUMN())),OFFSET($BN$2,0,0,ROW()-1,60),ROW()-1,FALSE))</f>
        <v>194.60300000000001</v>
      </c>
      <c r="BK143">
        <f ca="1">IF(AND(ISNUMBER($BK$596),$B$419=1),$BK$596,HLOOKUP(INDIRECT(ADDRESS(2,COLUMN())),OFFSET($BN$2,0,0,ROW()-1,60),ROW()-1,FALSE))</f>
        <v>506.73500000000001</v>
      </c>
      <c r="BL143">
        <f ca="1">IF(AND(ISNUMBER($BL$596),$B$419=1),$BL$596,HLOOKUP(INDIRECT(ADDRESS(2,COLUMN())),OFFSET($BN$2,0,0,ROW()-1,60),ROW()-1,FALSE))</f>
        <v>179.345</v>
      </c>
      <c r="BM143">
        <f ca="1">IF(AND(ISNUMBER($BM$596),$B$419=1),$BM$596,HLOOKUP(INDIRECT(ADDRESS(2,COLUMN())),OFFSET($BN$2,0,0,ROW()-1,60),ROW()-1,FALSE))</f>
        <v>186.422</v>
      </c>
      <c r="BN143" t="str">
        <f>""</f>
        <v/>
      </c>
      <c r="BO143">
        <f>878.556</f>
        <v>878.55600000000004</v>
      </c>
      <c r="BP143">
        <f>841.761</f>
        <v>841.76099999999997</v>
      </c>
      <c r="BQ143">
        <f>725.945</f>
        <v>725.94500000000005</v>
      </c>
      <c r="BR143">
        <f>795.863</f>
        <v>795.86300000000006</v>
      </c>
      <c r="BS143">
        <f>730.463</f>
        <v>730.46299999999997</v>
      </c>
      <c r="BT143">
        <f>847.725</f>
        <v>847.72500000000002</v>
      </c>
      <c r="BU143">
        <f>786.264</f>
        <v>786.26400000000001</v>
      </c>
      <c r="BV143">
        <f>778.02</f>
        <v>778.02</v>
      </c>
      <c r="BW143">
        <f>678.641</f>
        <v>678.64099999999996</v>
      </c>
      <c r="BX143">
        <f>731.144</f>
        <v>731.14400000000001</v>
      </c>
      <c r="BY143">
        <f>688.711</f>
        <v>688.71100000000001</v>
      </c>
      <c r="BZ143">
        <f>681.717</f>
        <v>681.71699999999998</v>
      </c>
      <c r="CA143">
        <f>704.3</f>
        <v>704.3</v>
      </c>
      <c r="CB143">
        <f>659.47</f>
        <v>659.47</v>
      </c>
      <c r="CC143">
        <f>621.584</f>
        <v>621.58399999999995</v>
      </c>
      <c r="CD143">
        <f>731.336</f>
        <v>731.33600000000001</v>
      </c>
      <c r="CE143">
        <f>681.949</f>
        <v>681.94899999999996</v>
      </c>
      <c r="CF143">
        <f>630.947</f>
        <v>630.947</v>
      </c>
      <c r="CG143">
        <f>612.995</f>
        <v>612.995</v>
      </c>
      <c r="CH143">
        <f>628.183</f>
        <v>628.18299999999999</v>
      </c>
      <c r="CI143">
        <f>576.69</f>
        <v>576.69000000000005</v>
      </c>
      <c r="CJ143">
        <f>539.188</f>
        <v>539.18799999999999</v>
      </c>
      <c r="CK143">
        <f>495.469</f>
        <v>495.46899999999999</v>
      </c>
      <c r="CL143">
        <f>490.295</f>
        <v>490.29500000000002</v>
      </c>
      <c r="CM143">
        <f>457.624</f>
        <v>457.62400000000002</v>
      </c>
      <c r="CN143">
        <f>436.377</f>
        <v>436.37700000000001</v>
      </c>
      <c r="CO143">
        <f>406.308</f>
        <v>406.30799999999999</v>
      </c>
      <c r="CP143">
        <f>430.032</f>
        <v>430.03199999999998</v>
      </c>
      <c r="CQ143">
        <f>467.392</f>
        <v>467.392</v>
      </c>
      <c r="CR143">
        <f>410.84</f>
        <v>410.84</v>
      </c>
      <c r="CS143">
        <f>355.585</f>
        <v>355.58499999999998</v>
      </c>
      <c r="CT143">
        <f>399.647</f>
        <v>399.64699999999999</v>
      </c>
      <c r="CU143">
        <f>473.5364</f>
        <v>473.53640000000001</v>
      </c>
      <c r="CV143">
        <f>358.565</f>
        <v>358.565</v>
      </c>
      <c r="CW143">
        <f>389.285</f>
        <v>389.28500000000003</v>
      </c>
      <c r="CX143">
        <f>382.9985</f>
        <v>382.99849999999998</v>
      </c>
      <c r="CY143">
        <f>373.626</f>
        <v>373.62599999999998</v>
      </c>
      <c r="CZ143">
        <f>320.882</f>
        <v>320.88200000000001</v>
      </c>
      <c r="DA143">
        <f>299.85</f>
        <v>299.85000000000002</v>
      </c>
      <c r="DB143">
        <f>314.789</f>
        <v>314.78899999999999</v>
      </c>
      <c r="DC143">
        <f>285.117</f>
        <v>285.11700000000002</v>
      </c>
      <c r="DD143">
        <f>247.409</f>
        <v>247.40899999999999</v>
      </c>
      <c r="DE143">
        <f>270.723</f>
        <v>270.72300000000001</v>
      </c>
      <c r="DF143">
        <f>292.515</f>
        <v>292.51499999999999</v>
      </c>
      <c r="DG143">
        <f>219.795</f>
        <v>219.79499999999999</v>
      </c>
      <c r="DH143">
        <f>336.16</f>
        <v>336.16</v>
      </c>
      <c r="DI143">
        <f>269.428</f>
        <v>269.428</v>
      </c>
      <c r="DJ143">
        <f>278.909</f>
        <v>278.90899999999999</v>
      </c>
      <c r="DK143">
        <f>418.957</f>
        <v>418.95699999999999</v>
      </c>
      <c r="DL143">
        <f>323.461</f>
        <v>323.46100000000001</v>
      </c>
      <c r="DM143">
        <f>335.169</f>
        <v>335.16899999999998</v>
      </c>
      <c r="DN143">
        <f>333.781</f>
        <v>333.78100000000001</v>
      </c>
      <c r="DO143">
        <f>382.719</f>
        <v>382.71899999999999</v>
      </c>
      <c r="DP143">
        <f>276.399</f>
        <v>276.399</v>
      </c>
      <c r="DQ143">
        <f>208.557</f>
        <v>208.55699999999999</v>
      </c>
      <c r="DR143">
        <f>194.603</f>
        <v>194.60300000000001</v>
      </c>
      <c r="DS143">
        <f>506.735</f>
        <v>506.73500000000001</v>
      </c>
      <c r="DT143">
        <f>179.345</f>
        <v>179.345</v>
      </c>
      <c r="DU143">
        <f>186.422</f>
        <v>186.422</v>
      </c>
    </row>
    <row r="144" spans="1:125">
      <c r="A144" t="str">
        <f>"    Tanger Factory Outlet Centers"</f>
        <v xml:space="preserve">    Tanger Factory Outlet Centers</v>
      </c>
      <c r="B144" t="str">
        <f>"SKT US Equity"</f>
        <v>SKT US Equity</v>
      </c>
      <c r="C144" t="str">
        <f t="shared" si="24"/>
        <v>F0578</v>
      </c>
      <c r="D144" t="str">
        <f t="shared" si="25"/>
        <v>FUNDS_AVAILABLE_FOR_DISTRIBUTION</v>
      </c>
      <c r="E144" t="str">
        <f t="shared" si="26"/>
        <v>动态</v>
      </c>
      <c r="F144" t="str">
        <f ca="1">IF(AND(ISNUMBER($F$597),$B$419=1),$F$597,HLOOKUP(INDIRECT(ADDRESS(2,COLUMN())),OFFSET($BN$2,0,0,ROW()-1,60),ROW()-1,FALSE))</f>
        <v/>
      </c>
      <c r="G144">
        <f ca="1">IF(AND(ISNUMBER($G$597),$B$419=1),$G$597,HLOOKUP(INDIRECT(ADDRESS(2,COLUMN())),OFFSET($BN$2,0,0,ROW()-1,60),ROW()-1,FALSE))</f>
        <v>53.988</v>
      </c>
      <c r="H144">
        <f ca="1">IF(AND(ISNUMBER($H$597),$B$419=1),$H$597,HLOOKUP(INDIRECT(ADDRESS(2,COLUMN())),OFFSET($BN$2,0,0,ROW()-1,60),ROW()-1,FALSE))</f>
        <v>51.878999999999998</v>
      </c>
      <c r="I144">
        <f ca="1">IF(AND(ISNUMBER($I$597),$B$419=1),$I$597,HLOOKUP(INDIRECT(ADDRESS(2,COLUMN())),OFFSET($BN$2,0,0,ROW()-1,60),ROW()-1,FALSE))</f>
        <v>41.921999999999997</v>
      </c>
      <c r="J144">
        <f ca="1">IF(AND(ISNUMBER($J$597),$B$419=1),$J$597,HLOOKUP(INDIRECT(ADDRESS(2,COLUMN())),OFFSET($BN$2,0,0,ROW()-1,60),ROW()-1,FALSE))</f>
        <v>52.255000000000003</v>
      </c>
      <c r="K144">
        <f ca="1">IF(AND(ISNUMBER($K$597),$B$419=1),$K$597,HLOOKUP(INDIRECT(ADDRESS(2,COLUMN())),OFFSET($BN$2,0,0,ROW()-1,60),ROW()-1,FALSE))</f>
        <v>53.106999999999999</v>
      </c>
      <c r="L144">
        <f ca="1">IF(AND(ISNUMBER($L$597),$B$419=1),$L$597,HLOOKUP(INDIRECT(ADDRESS(2,COLUMN())),OFFSET($BN$2,0,0,ROW()-1,60),ROW()-1,FALSE))</f>
        <v>52.265999999999998</v>
      </c>
      <c r="M144">
        <f ca="1">IF(AND(ISNUMBER($M$597),$B$419=1),$M$597,HLOOKUP(INDIRECT(ADDRESS(2,COLUMN())),OFFSET($BN$2,0,0,ROW()-1,60),ROW()-1,FALSE))</f>
        <v>51.524000000000001</v>
      </c>
      <c r="N144">
        <f ca="1">IF(AND(ISNUMBER($N$597),$B$419=1),$N$597,HLOOKUP(INDIRECT(ADDRESS(2,COLUMN())),OFFSET($BN$2,0,0,ROW()-1,60),ROW()-1,FALSE))</f>
        <v>55.844999999999999</v>
      </c>
      <c r="O144">
        <f ca="1">IF(AND(ISNUMBER($O$597),$B$419=1),$O$597,HLOOKUP(INDIRECT(ADDRESS(2,COLUMN())),OFFSET($BN$2,0,0,ROW()-1,60),ROW()-1,FALSE))</f>
        <v>55.993000000000002</v>
      </c>
      <c r="P144">
        <f ca="1">IF(AND(ISNUMBER($P$597),$B$419=1),$P$597,HLOOKUP(INDIRECT(ADDRESS(2,COLUMN())),OFFSET($BN$2,0,0,ROW()-1,60),ROW()-1,FALSE))</f>
        <v>57.994999999999997</v>
      </c>
      <c r="Q144">
        <f ca="1">IF(AND(ISNUMBER($Q$597),$B$419=1),$Q$597,HLOOKUP(INDIRECT(ADDRESS(2,COLUMN())),OFFSET($BN$2,0,0,ROW()-1,60),ROW()-1,FALSE))</f>
        <v>48.715000000000003</v>
      </c>
      <c r="R144">
        <f ca="1">IF(AND(ISNUMBER($R$597),$B$419=1),$R$597,HLOOKUP(INDIRECT(ADDRESS(2,COLUMN())),OFFSET($BN$2,0,0,ROW()-1,60),ROW()-1,FALSE))</f>
        <v>49.823</v>
      </c>
      <c r="S144">
        <f ca="1">IF(AND(ISNUMBER($S$597),$B$419=1),$S$597,HLOOKUP(INDIRECT(ADDRESS(2,COLUMN())),OFFSET($BN$2,0,0,ROW()-1,60),ROW()-1,FALSE))</f>
        <v>42.014000000000003</v>
      </c>
      <c r="T144">
        <f ca="1">IF(AND(ISNUMBER($T$597),$B$419=1),$T$597,HLOOKUP(INDIRECT(ADDRESS(2,COLUMN())),OFFSET($BN$2,0,0,ROW()-1,60),ROW()-1,FALSE))</f>
        <v>39.691000000000003</v>
      </c>
      <c r="U144">
        <f ca="1">IF(AND(ISNUMBER($U$597),$B$419=1),$U$597,HLOOKUP(INDIRECT(ADDRESS(2,COLUMN())),OFFSET($BN$2,0,0,ROW()-1,60),ROW()-1,FALSE))</f>
        <v>34.81</v>
      </c>
      <c r="V144">
        <f ca="1">IF(AND(ISNUMBER($V$597),$B$419=1),$V$597,HLOOKUP(INDIRECT(ADDRESS(2,COLUMN())),OFFSET($BN$2,0,0,ROW()-1,60),ROW()-1,FALSE))</f>
        <v>39.613</v>
      </c>
      <c r="W144">
        <f ca="1">IF(AND(ISNUMBER($W$597),$B$419=1),$W$597,HLOOKUP(INDIRECT(ADDRESS(2,COLUMN())),OFFSET($BN$2,0,0,ROW()-1,60),ROW()-1,FALSE))</f>
        <v>48.216000000000001</v>
      </c>
      <c r="X144">
        <f ca="1">IF(AND(ISNUMBER($X$597),$B$419=1),$X$597,HLOOKUP(INDIRECT(ADDRESS(2,COLUMN())),OFFSET($BN$2,0,0,ROW()-1,60),ROW()-1,FALSE))</f>
        <v>38.683999999999997</v>
      </c>
      <c r="Y144">
        <f ca="1">IF(AND(ISNUMBER($Y$597),$B$419=1),$Y$597,HLOOKUP(INDIRECT(ADDRESS(2,COLUMN())),OFFSET($BN$2,0,0,ROW()-1,60),ROW()-1,FALSE))</f>
        <v>33.103000000000002</v>
      </c>
      <c r="Z144">
        <f ca="1">IF(AND(ISNUMBER($Z$597),$B$419=1),$Z$597,HLOOKUP(INDIRECT(ADDRESS(2,COLUMN())),OFFSET($BN$2,0,0,ROW()-1,60),ROW()-1,FALSE))</f>
        <v>38.539000000000001</v>
      </c>
      <c r="AA144">
        <f ca="1">IF(AND(ISNUMBER($AA$597),$B$419=1),$AA$597,HLOOKUP(INDIRECT(ADDRESS(2,COLUMN())),OFFSET($BN$2,0,0,ROW()-1,60),ROW()-1,FALSE))</f>
        <v>39.814999999999998</v>
      </c>
      <c r="AB144">
        <f ca="1">IF(AND(ISNUMBER($AB$597),$B$419=1),$AB$597,HLOOKUP(INDIRECT(ADDRESS(2,COLUMN())),OFFSET($BN$2,0,0,ROW()-1,60),ROW()-1,FALSE))</f>
        <v>39.792999999999999</v>
      </c>
      <c r="AC144">
        <f ca="1">IF(AND(ISNUMBER($AC$597),$B$419=1),$AC$597,HLOOKUP(INDIRECT(ADDRESS(2,COLUMN())),OFFSET($BN$2,0,0,ROW()-1,60),ROW()-1,FALSE))</f>
        <v>34.993000000000002</v>
      </c>
      <c r="AD144">
        <f ca="1">IF(AND(ISNUMBER($AD$597),$B$419=1),$AD$597,HLOOKUP(INDIRECT(ADDRESS(2,COLUMN())),OFFSET($BN$2,0,0,ROW()-1,60),ROW()-1,FALSE))</f>
        <v>32.661999999999999</v>
      </c>
      <c r="AE144">
        <f ca="1">IF(AND(ISNUMBER($AE$597),$B$419=1),$AE$597,HLOOKUP(INDIRECT(ADDRESS(2,COLUMN())),OFFSET($BN$2,0,0,ROW()-1,60),ROW()-1,FALSE))</f>
        <v>38.713000000000001</v>
      </c>
      <c r="AF144">
        <f ca="1">IF(AND(ISNUMBER($AF$597),$B$419=1),$AF$597,HLOOKUP(INDIRECT(ADDRESS(2,COLUMN())),OFFSET($BN$2,0,0,ROW()-1,60),ROW()-1,FALSE))</f>
        <v>30.364000000000001</v>
      </c>
      <c r="AG144">
        <f ca="1">IF(AND(ISNUMBER($AG$597),$B$419=1),$AG$597,HLOOKUP(INDIRECT(ADDRESS(2,COLUMN())),OFFSET($BN$2,0,0,ROW()-1,60),ROW()-1,FALSE))</f>
        <v>23.138000000000002</v>
      </c>
      <c r="AH144">
        <f ca="1">IF(AND(ISNUMBER($AH$597),$B$419=1),$AH$597,HLOOKUP(INDIRECT(ADDRESS(2,COLUMN())),OFFSET($BN$2,0,0,ROW()-1,60),ROW()-1,FALSE))</f>
        <v>27.076000000000001</v>
      </c>
      <c r="AI144">
        <f ca="1">IF(AND(ISNUMBER($AI$597),$B$419=1),$AI$597,HLOOKUP(INDIRECT(ADDRESS(2,COLUMN())),OFFSET($BN$2,0,0,ROW()-1,60),ROW()-1,FALSE))</f>
        <v>25.747</v>
      </c>
      <c r="AJ144">
        <f ca="1">IF(AND(ISNUMBER($AJ$597),$B$419=1),$AJ$597,HLOOKUP(INDIRECT(ADDRESS(2,COLUMN())),OFFSET($BN$2,0,0,ROW()-1,60),ROW()-1,FALSE))</f>
        <v>24.579000000000001</v>
      </c>
      <c r="AK144">
        <f ca="1">IF(AND(ISNUMBER($AK$597),$B$419=1),$AK$597,HLOOKUP(INDIRECT(ADDRESS(2,COLUMN())),OFFSET($BN$2,0,0,ROW()-1,60),ROW()-1,FALSE))</f>
        <v>27.096</v>
      </c>
      <c r="AL144">
        <f ca="1">IF(AND(ISNUMBER($AL$597),$B$419=1),$AL$597,HLOOKUP(INDIRECT(ADDRESS(2,COLUMN())),OFFSET($BN$2,0,0,ROW()-1,60),ROW()-1,FALSE))</f>
        <v>27.332000000000001</v>
      </c>
      <c r="AM144">
        <f ca="1">IF(AND(ISNUMBER($AM$597),$B$419=1),$AM$597,HLOOKUP(INDIRECT(ADDRESS(2,COLUMN())),OFFSET($BN$2,0,0,ROW()-1,60),ROW()-1,FALSE))</f>
        <v>30.83</v>
      </c>
      <c r="AN144">
        <f ca="1">IF(AND(ISNUMBER($AN$597),$B$419=1),$AN$597,HLOOKUP(INDIRECT(ADDRESS(2,COLUMN())),OFFSET($BN$2,0,0,ROW()-1,60),ROW()-1,FALSE))</f>
        <v>29.056000000000001</v>
      </c>
      <c r="AO144">
        <f ca="1">IF(AND(ISNUMBER($AO$597),$B$419=1),$AO$597,HLOOKUP(INDIRECT(ADDRESS(2,COLUMN())),OFFSET($BN$2,0,0,ROW()-1,60),ROW()-1,FALSE))</f>
        <v>22.39</v>
      </c>
      <c r="AP144">
        <f ca="1">IF(AND(ISNUMBER($AP$597),$B$419=1),$AP$597,HLOOKUP(INDIRECT(ADDRESS(2,COLUMN())),OFFSET($BN$2,0,0,ROW()-1,60),ROW()-1,FALSE))</f>
        <v>21.823</v>
      </c>
      <c r="AQ144">
        <f ca="1">IF(AND(ISNUMBER($AQ$597),$B$419=1),$AQ$597,HLOOKUP(INDIRECT(ADDRESS(2,COLUMN())),OFFSET($BN$2,0,0,ROW()-1,60),ROW()-1,FALSE))</f>
        <v>18.75</v>
      </c>
      <c r="AR144">
        <f ca="1">IF(AND(ISNUMBER($AR$597),$B$419=1),$AR$597,HLOOKUP(INDIRECT(ADDRESS(2,COLUMN())),OFFSET($BN$2,0,0,ROW()-1,60),ROW()-1,FALSE))</f>
        <v>11.436999999999999</v>
      </c>
      <c r="AS144">
        <f ca="1">IF(AND(ISNUMBER($AS$597),$B$419=1),$AS$597,HLOOKUP(INDIRECT(ADDRESS(2,COLUMN())),OFFSET($BN$2,0,0,ROW()-1,60),ROW()-1,FALSE))</f>
        <v>11.826000000000001</v>
      </c>
      <c r="AT144">
        <f ca="1">IF(AND(ISNUMBER($AT$597),$B$419=1),$AT$597,HLOOKUP(INDIRECT(ADDRESS(2,COLUMN())),OFFSET($BN$2,0,0,ROW()-1,60),ROW()-1,FALSE))</f>
        <v>25.183</v>
      </c>
      <c r="AU144">
        <f ca="1">IF(AND(ISNUMBER($AU$597),$B$419=1),$AU$597,HLOOKUP(INDIRECT(ADDRESS(2,COLUMN())),OFFSET($BN$2,0,0,ROW()-1,60),ROW()-1,FALSE))</f>
        <v>19.178999999999998</v>
      </c>
      <c r="AV144">
        <f ca="1">IF(AND(ISNUMBER($AV$597),$B$419=1),$AV$597,HLOOKUP(INDIRECT(ADDRESS(2,COLUMN())),OFFSET($BN$2,0,0,ROW()-1,60),ROW()-1,FALSE))</f>
        <v>19.734999999999999</v>
      </c>
      <c r="AW144">
        <f ca="1">IF(AND(ISNUMBER($AW$597),$B$419=1),$AW$597,HLOOKUP(INDIRECT(ADDRESS(2,COLUMN())),OFFSET($BN$2,0,0,ROW()-1,60),ROW()-1,FALSE))</f>
        <v>14.523999999999999</v>
      </c>
      <c r="AX144">
        <f ca="1">IF(AND(ISNUMBER($AX$597),$B$419=1),$AX$597,HLOOKUP(INDIRECT(ADDRESS(2,COLUMN())),OFFSET($BN$2,0,0,ROW()-1,60),ROW()-1,FALSE))</f>
        <v>13.689</v>
      </c>
      <c r="AY144">
        <f ca="1">IF(AND(ISNUMBER($AY$597),$B$419=1),$AY$597,HLOOKUP(INDIRECT(ADDRESS(2,COLUMN())),OFFSET($BN$2,0,0,ROW()-1,60),ROW()-1,FALSE))</f>
        <v>16.739999999999998</v>
      </c>
      <c r="AZ144">
        <f ca="1">IF(AND(ISNUMBER($AZ$597),$B$419=1),$AZ$597,HLOOKUP(INDIRECT(ADDRESS(2,COLUMN())),OFFSET($BN$2,0,0,ROW()-1,60),ROW()-1,FALSE))</f>
        <v>15.502000000000001</v>
      </c>
      <c r="BA144">
        <f ca="1">IF(AND(ISNUMBER($BA$597),$B$419=1),$BA$597,HLOOKUP(INDIRECT(ADDRESS(2,COLUMN())),OFFSET($BN$2,0,0,ROW()-1,60),ROW()-1,FALSE))</f>
        <v>14.321999999999999</v>
      </c>
      <c r="BB144">
        <f ca="1">IF(AND(ISNUMBER($BB$597),$B$419=1),$BB$597,HLOOKUP(INDIRECT(ADDRESS(2,COLUMN())),OFFSET($BN$2,0,0,ROW()-1,60),ROW()-1,FALSE))</f>
        <v>14.167999999999999</v>
      </c>
      <c r="BC144">
        <f ca="1">IF(AND(ISNUMBER($BC$597),$B$419=1),$BC$597,HLOOKUP(INDIRECT(ADDRESS(2,COLUMN())),OFFSET($BN$2,0,0,ROW()-1,60),ROW()-1,FALSE))</f>
        <v>12.481999999999999</v>
      </c>
      <c r="BD144">
        <f ca="1">IF(AND(ISNUMBER($BD$597),$B$419=1),$BD$597,HLOOKUP(INDIRECT(ADDRESS(2,COLUMN())),OFFSET($BN$2,0,0,ROW()-1,60),ROW()-1,FALSE))</f>
        <v>17.363402000000001</v>
      </c>
      <c r="BE144">
        <f ca="1">IF(AND(ISNUMBER($BE$597),$B$419=1),$BE$597,HLOOKUP(INDIRECT(ADDRESS(2,COLUMN())),OFFSET($BN$2,0,0,ROW()-1,60),ROW()-1,FALSE))</f>
        <v>11.2</v>
      </c>
      <c r="BF144">
        <f ca="1">IF(AND(ISNUMBER($BF$597),$B$419=1),$BF$597,HLOOKUP(INDIRECT(ADDRESS(2,COLUMN())),OFFSET($BN$2,0,0,ROW()-1,60),ROW()-1,FALSE))</f>
        <v>8.9809999999999999</v>
      </c>
      <c r="BG144">
        <f ca="1">IF(AND(ISNUMBER($BG$597),$B$419=1),$BG$597,HLOOKUP(INDIRECT(ADDRESS(2,COLUMN())),OFFSET($BN$2,0,0,ROW()-1,60),ROW()-1,FALSE))</f>
        <v>17.681999999999999</v>
      </c>
      <c r="BH144">
        <f ca="1">IF(AND(ISNUMBER($BH$597),$B$419=1),$BH$597,HLOOKUP(INDIRECT(ADDRESS(2,COLUMN())),OFFSET($BN$2,0,0,ROW()-1,60),ROW()-1,FALSE))</f>
        <v>15.837</v>
      </c>
      <c r="BI144">
        <f ca="1">IF(AND(ISNUMBER($BI$597),$B$419=1),$BI$597,HLOOKUP(INDIRECT(ADDRESS(2,COLUMN())),OFFSET($BN$2,0,0,ROW()-1,60),ROW()-1,FALSE))</f>
        <v>15.606</v>
      </c>
      <c r="BJ144">
        <f ca="1">IF(AND(ISNUMBER($BJ$597),$B$419=1),$BJ$597,HLOOKUP(INDIRECT(ADDRESS(2,COLUMN())),OFFSET($BN$2,0,0,ROW()-1,60),ROW()-1,FALSE))</f>
        <v>13.893000000000001</v>
      </c>
      <c r="BK144">
        <f ca="1">IF(AND(ISNUMBER($BK$597),$B$419=1),$BK$597,HLOOKUP(INDIRECT(ADDRESS(2,COLUMN())),OFFSET($BN$2,0,0,ROW()-1,60),ROW()-1,FALSE))</f>
        <v>13.91800022</v>
      </c>
      <c r="BL144">
        <f ca="1">IF(AND(ISNUMBER($BL$597),$B$419=1),$BL$597,HLOOKUP(INDIRECT(ADDRESS(2,COLUMN())),OFFSET($BN$2,0,0,ROW()-1,60),ROW()-1,FALSE))</f>
        <v>11.853999999999999</v>
      </c>
      <c r="BM144">
        <f ca="1">IF(AND(ISNUMBER($BM$597),$B$419=1),$BM$597,HLOOKUP(INDIRECT(ADDRESS(2,COLUMN())),OFFSET($BN$2,0,0,ROW()-1,60),ROW()-1,FALSE))</f>
        <v>10.989000000000001</v>
      </c>
      <c r="BN144" t="str">
        <f>""</f>
        <v/>
      </c>
      <c r="BO144">
        <f>53.988</f>
        <v>53.988</v>
      </c>
      <c r="BP144">
        <f>51.879</f>
        <v>51.878999999999998</v>
      </c>
      <c r="BQ144">
        <f>41.922</f>
        <v>41.921999999999997</v>
      </c>
      <c r="BR144">
        <f>52.255</f>
        <v>52.255000000000003</v>
      </c>
      <c r="BS144">
        <f>53.107</f>
        <v>53.106999999999999</v>
      </c>
      <c r="BT144">
        <f>52.266</f>
        <v>52.265999999999998</v>
      </c>
      <c r="BU144">
        <f>51.524</f>
        <v>51.524000000000001</v>
      </c>
      <c r="BV144">
        <f>55.845</f>
        <v>55.844999999999999</v>
      </c>
      <c r="BW144">
        <f>55.993</f>
        <v>55.993000000000002</v>
      </c>
      <c r="BX144">
        <f>57.995</f>
        <v>57.994999999999997</v>
      </c>
      <c r="BY144">
        <f>48.715</f>
        <v>48.715000000000003</v>
      </c>
      <c r="BZ144">
        <f>49.823</f>
        <v>49.823</v>
      </c>
      <c r="CA144">
        <f>42.014</f>
        <v>42.014000000000003</v>
      </c>
      <c r="CB144">
        <f>39.691</f>
        <v>39.691000000000003</v>
      </c>
      <c r="CC144">
        <f>34.81</f>
        <v>34.81</v>
      </c>
      <c r="CD144">
        <f>39.613</f>
        <v>39.613</v>
      </c>
      <c r="CE144">
        <f>48.216</f>
        <v>48.216000000000001</v>
      </c>
      <c r="CF144">
        <f>38.684</f>
        <v>38.683999999999997</v>
      </c>
      <c r="CG144">
        <f>33.103</f>
        <v>33.103000000000002</v>
      </c>
      <c r="CH144">
        <f>38.539</f>
        <v>38.539000000000001</v>
      </c>
      <c r="CI144">
        <f>39.815</f>
        <v>39.814999999999998</v>
      </c>
      <c r="CJ144">
        <f>39.793</f>
        <v>39.792999999999999</v>
      </c>
      <c r="CK144">
        <f>34.993</f>
        <v>34.993000000000002</v>
      </c>
      <c r="CL144">
        <f>32.662</f>
        <v>32.661999999999999</v>
      </c>
      <c r="CM144">
        <f>38.713</f>
        <v>38.713000000000001</v>
      </c>
      <c r="CN144">
        <f>30.364</f>
        <v>30.364000000000001</v>
      </c>
      <c r="CO144">
        <f>23.138</f>
        <v>23.138000000000002</v>
      </c>
      <c r="CP144">
        <f>27.076</f>
        <v>27.076000000000001</v>
      </c>
      <c r="CQ144">
        <f>25.747</f>
        <v>25.747</v>
      </c>
      <c r="CR144">
        <f>24.579</f>
        <v>24.579000000000001</v>
      </c>
      <c r="CS144">
        <f>27.096</f>
        <v>27.096</v>
      </c>
      <c r="CT144">
        <f>27.332</f>
        <v>27.332000000000001</v>
      </c>
      <c r="CU144">
        <f>30.83</f>
        <v>30.83</v>
      </c>
      <c r="CV144">
        <f>29.056</f>
        <v>29.056000000000001</v>
      </c>
      <c r="CW144">
        <f>22.39</f>
        <v>22.39</v>
      </c>
      <c r="CX144">
        <f>21.823</f>
        <v>21.823</v>
      </c>
      <c r="CY144">
        <f>18.75</f>
        <v>18.75</v>
      </c>
      <c r="CZ144">
        <f>11.437</f>
        <v>11.436999999999999</v>
      </c>
      <c r="DA144">
        <f>11.826</f>
        <v>11.826000000000001</v>
      </c>
      <c r="DB144">
        <f>25.183</f>
        <v>25.183</v>
      </c>
      <c r="DC144">
        <f>19.179</f>
        <v>19.178999999999998</v>
      </c>
      <c r="DD144">
        <f>19.735</f>
        <v>19.734999999999999</v>
      </c>
      <c r="DE144">
        <f>14.524</f>
        <v>14.523999999999999</v>
      </c>
      <c r="DF144">
        <f>13.689</f>
        <v>13.689</v>
      </c>
      <c r="DG144">
        <f>16.74</f>
        <v>16.739999999999998</v>
      </c>
      <c r="DH144">
        <f>15.502</f>
        <v>15.502000000000001</v>
      </c>
      <c r="DI144">
        <f>14.322</f>
        <v>14.321999999999999</v>
      </c>
      <c r="DJ144">
        <f>14.168</f>
        <v>14.167999999999999</v>
      </c>
      <c r="DK144">
        <f>12.482</f>
        <v>12.481999999999999</v>
      </c>
      <c r="DL144">
        <f>17.363402</f>
        <v>17.363402000000001</v>
      </c>
      <c r="DM144">
        <f>11.2</f>
        <v>11.2</v>
      </c>
      <c r="DN144">
        <f>8.981</f>
        <v>8.9809999999999999</v>
      </c>
      <c r="DO144">
        <f>17.682</f>
        <v>17.681999999999999</v>
      </c>
      <c r="DP144">
        <f>15.837</f>
        <v>15.837</v>
      </c>
      <c r="DQ144">
        <f>15.606</f>
        <v>15.606</v>
      </c>
      <c r="DR144">
        <f>13.893</f>
        <v>13.893000000000001</v>
      </c>
      <c r="DS144">
        <f>13.91800022</f>
        <v>13.91800022</v>
      </c>
      <c r="DT144">
        <f>11.854</f>
        <v>11.853999999999999</v>
      </c>
      <c r="DU144">
        <f>10.989</f>
        <v>10.989000000000001</v>
      </c>
    </row>
    <row r="145" spans="1:125">
      <c r="A145" t="str">
        <f>"    VEREIT Inc"</f>
        <v xml:space="preserve">    VEREIT Inc</v>
      </c>
      <c r="B145" t="str">
        <f>"VER US Equity"</f>
        <v>VER US Equity</v>
      </c>
      <c r="C145" t="str">
        <f t="shared" si="24"/>
        <v>F0578</v>
      </c>
      <c r="D145" t="str">
        <f t="shared" si="25"/>
        <v>FUNDS_AVAILABLE_FOR_DISTRIBUTION</v>
      </c>
      <c r="E145" t="str">
        <f t="shared" si="26"/>
        <v>动态</v>
      </c>
      <c r="F145" t="str">
        <f ca="1">IF(AND(ISNUMBER($F$598),$B$419=1),$F$598,HLOOKUP(INDIRECT(ADDRESS(2,COLUMN())),OFFSET($BN$2,0,0,ROW()-1,60),ROW()-1,FALSE))</f>
        <v/>
      </c>
      <c r="G145">
        <f ca="1">IF(AND(ISNUMBER($G$598),$B$419=1),$G$598,HLOOKUP(INDIRECT(ADDRESS(2,COLUMN())),OFFSET($BN$2,0,0,ROW()-1,60),ROW()-1,FALSE))</f>
        <v>178.57400000000001</v>
      </c>
      <c r="H145">
        <f ca="1">IF(AND(ISNUMBER($H$598),$B$419=1),$H$598,HLOOKUP(INDIRECT(ADDRESS(2,COLUMN())),OFFSET($BN$2,0,0,ROW()-1,60),ROW()-1,FALSE))</f>
        <v>192.524</v>
      </c>
      <c r="I145">
        <f ca="1">IF(AND(ISNUMBER($I$598),$B$419=1),$I$598,HLOOKUP(INDIRECT(ADDRESS(2,COLUMN())),OFFSET($BN$2,0,0,ROW()-1,60),ROW()-1,FALSE))</f>
        <v>180.86799999999999</v>
      </c>
      <c r="J145">
        <f ca="1">IF(AND(ISNUMBER($J$598),$B$419=1),$J$598,HLOOKUP(INDIRECT(ADDRESS(2,COLUMN())),OFFSET($BN$2,0,0,ROW()-1,60),ROW()-1,FALSE))</f>
        <v>185.874</v>
      </c>
      <c r="K145">
        <f ca="1">IF(AND(ISNUMBER($K$598),$B$419=1),$K$598,HLOOKUP(INDIRECT(ADDRESS(2,COLUMN())),OFFSET($BN$2,0,0,ROW()-1,60),ROW()-1,FALSE))</f>
        <v>169.09</v>
      </c>
      <c r="L145">
        <f ca="1">IF(AND(ISNUMBER($L$598),$B$419=1),$L$598,HLOOKUP(INDIRECT(ADDRESS(2,COLUMN())),OFFSET($BN$2,0,0,ROW()-1,60),ROW()-1,FALSE))</f>
        <v>198.108</v>
      </c>
      <c r="M145">
        <f ca="1">IF(AND(ISNUMBER($M$598),$B$419=1),$M$598,HLOOKUP(INDIRECT(ADDRESS(2,COLUMN())),OFFSET($BN$2,0,0,ROW()-1,60),ROW()-1,FALSE))</f>
        <v>180.107</v>
      </c>
      <c r="N145">
        <f ca="1">IF(AND(ISNUMBER($N$598),$B$419=1),$N$598,HLOOKUP(INDIRECT(ADDRESS(2,COLUMN())),OFFSET($BN$2,0,0,ROW()-1,60),ROW()-1,FALSE))</f>
        <v>192.892</v>
      </c>
      <c r="O145">
        <f ca="1">IF(AND(ISNUMBER($O$598),$B$419=1),$O$598,HLOOKUP(INDIRECT(ADDRESS(2,COLUMN())),OFFSET($BN$2,0,0,ROW()-1,60),ROW()-1,FALSE))</f>
        <v>184.434</v>
      </c>
      <c r="P145">
        <f ca="1">IF(AND(ISNUMBER($P$598),$B$419=1),$P$598,HLOOKUP(INDIRECT(ADDRESS(2,COLUMN())),OFFSET($BN$2,0,0,ROW()-1,60),ROW()-1,FALSE))</f>
        <v>196.428</v>
      </c>
      <c r="Q145">
        <f ca="1">IF(AND(ISNUMBER($Q$598),$B$419=1),$Q$598,HLOOKUP(INDIRECT(ADDRESS(2,COLUMN())),OFFSET($BN$2,0,0,ROW()-1,60),ROW()-1,FALSE))</f>
        <v>202.33799999999999</v>
      </c>
      <c r="R145">
        <f ca="1">IF(AND(ISNUMBER($R$598),$B$419=1),$R$598,HLOOKUP(INDIRECT(ADDRESS(2,COLUMN())),OFFSET($BN$2,0,0,ROW()-1,60),ROW()-1,FALSE))</f>
        <v>207.393</v>
      </c>
      <c r="S145">
        <f ca="1">IF(AND(ISNUMBER($S$598),$B$419=1),$S$598,HLOOKUP(INDIRECT(ADDRESS(2,COLUMN())),OFFSET($BN$2,0,0,ROW()-1,60),ROW()-1,FALSE))</f>
        <v>207.999</v>
      </c>
      <c r="T145">
        <f ca="1">IF(AND(ISNUMBER($T$598),$B$419=1),$T$598,HLOOKUP(INDIRECT(ADDRESS(2,COLUMN())),OFFSET($BN$2,0,0,ROW()-1,60),ROW()-1,FALSE))</f>
        <v>231.00200000000001</v>
      </c>
      <c r="U145">
        <f ca="1">IF(AND(ISNUMBER($U$598),$B$419=1),$U$598,HLOOKUP(INDIRECT(ADDRESS(2,COLUMN())),OFFSET($BN$2,0,0,ROW()-1,60),ROW()-1,FALSE))</f>
        <v>178.08799999999999</v>
      </c>
      <c r="V145">
        <f ca="1">IF(AND(ISNUMBER($V$598),$B$419=1),$V$598,HLOOKUP(INDIRECT(ADDRESS(2,COLUMN())),OFFSET($BN$2,0,0,ROW()-1,60),ROW()-1,FALSE))</f>
        <v>114.77200000000001</v>
      </c>
      <c r="W145">
        <f ca="1">IF(AND(ISNUMBER($W$598),$B$419=1),$W$598,HLOOKUP(INDIRECT(ADDRESS(2,COLUMN())),OFFSET($BN$2,0,0,ROW()-1,60),ROW()-1,FALSE))</f>
        <v>27.7</v>
      </c>
      <c r="X145">
        <f ca="1">IF(AND(ISNUMBER($X$598),$B$419=1),$X$598,HLOOKUP(INDIRECT(ADDRESS(2,COLUMN())),OFFSET($BN$2,0,0,ROW()-1,60),ROW()-1,FALSE))</f>
        <v>71.608000000000004</v>
      </c>
      <c r="Y145">
        <f ca="1">IF(AND(ISNUMBER($Y$598),$B$419=1),$Y$598,HLOOKUP(INDIRECT(ADDRESS(2,COLUMN())),OFFSET($BN$2,0,0,ROW()-1,60),ROW()-1,FALSE))</f>
        <v>91.034999999999997</v>
      </c>
      <c r="Z145">
        <f ca="1">IF(AND(ISNUMBER($Z$598),$B$419=1),$Z$598,HLOOKUP(INDIRECT(ADDRESS(2,COLUMN())),OFFSET($BN$2,0,0,ROW()-1,60),ROW()-1,FALSE))</f>
        <v>33.921999999999997</v>
      </c>
      <c r="AA145">
        <f ca="1">IF(AND(ISNUMBER($AA$598),$B$419=1),$AA$598,HLOOKUP(INDIRECT(ADDRESS(2,COLUMN())),OFFSET($BN$2,0,0,ROW()-1,60),ROW()-1,FALSE))</f>
        <v>18.050999999999998</v>
      </c>
      <c r="AB145">
        <f ca="1">IF(AND(ISNUMBER($AB$598),$B$419=1),$AB$598,HLOOKUP(INDIRECT(ADDRESS(2,COLUMN())),OFFSET($BN$2,0,0,ROW()-1,60),ROW()-1,FALSE))</f>
        <v>16.771000000000001</v>
      </c>
      <c r="AC145">
        <f ca="1">IF(AND(ISNUMBER($AC$598),$B$419=1),$AC$598,HLOOKUP(INDIRECT(ADDRESS(2,COLUMN())),OFFSET($BN$2,0,0,ROW()-1,60),ROW()-1,FALSE))</f>
        <v>7.7069999999999999</v>
      </c>
      <c r="AD145">
        <f ca="1">IF(AND(ISNUMBER($AD$598),$B$419=1),$AD$598,HLOOKUP(INDIRECT(ADDRESS(2,COLUMN())),OFFSET($BN$2,0,0,ROW()-1,60),ROW()-1,FALSE))</f>
        <v>3.7509999999999999</v>
      </c>
      <c r="AE145">
        <f ca="1">IF(AND(ISNUMBER($AE$598),$B$419=1),$AE$598,HLOOKUP(INDIRECT(ADDRESS(2,COLUMN())),OFFSET($BN$2,0,0,ROW()-1,60),ROW()-1,FALSE))</f>
        <v>1.4910000000000001</v>
      </c>
      <c r="AF145">
        <f ca="1">IF(AND(ISNUMBER($AF$598),$B$419=1),$AF$598,HLOOKUP(INDIRECT(ADDRESS(2,COLUMN())),OFFSET($BN$2,0,0,ROW()-1,60),ROW()-1,FALSE))</f>
        <v>0.28699999999999998</v>
      </c>
      <c r="AG145" t="str">
        <f ca="1">IF(AND(ISNUMBER($AG$598),$B$419=1),$AG$598,HLOOKUP(INDIRECT(ADDRESS(2,COLUMN())),OFFSET($BN$2,0,0,ROW()-1,60),ROW()-1,FALSE))</f>
        <v/>
      </c>
      <c r="AH145">
        <f ca="1">IF(AND(ISNUMBER($AH$598),$B$419=1),$AH$598,HLOOKUP(INDIRECT(ADDRESS(2,COLUMN())),OFFSET($BN$2,0,0,ROW()-1,60),ROW()-1,FALSE))</f>
        <v>-0.420873</v>
      </c>
      <c r="AI145" t="str">
        <f ca="1">IF(AND(ISNUMBER($AI$598),$B$419=1),$AI$598,HLOOKUP(INDIRECT(ADDRESS(2,COLUMN())),OFFSET($BN$2,0,0,ROW()-1,60),ROW()-1,FALSE))</f>
        <v/>
      </c>
      <c r="AJ145" t="str">
        <f ca="1">IF(AND(ISNUMBER($AJ$598),$B$419=1),$AJ$598,HLOOKUP(INDIRECT(ADDRESS(2,COLUMN())),OFFSET($BN$2,0,0,ROW()-1,60),ROW()-1,FALSE))</f>
        <v/>
      </c>
      <c r="AK145" t="str">
        <f ca="1">IF(AND(ISNUMBER($AK$598),$B$419=1),$AK$598,HLOOKUP(INDIRECT(ADDRESS(2,COLUMN())),OFFSET($BN$2,0,0,ROW()-1,60),ROW()-1,FALSE))</f>
        <v/>
      </c>
      <c r="AL145" t="str">
        <f ca="1">IF(AND(ISNUMBER($AL$598),$B$419=1),$AL$598,HLOOKUP(INDIRECT(ADDRESS(2,COLUMN())),OFFSET($BN$2,0,0,ROW()-1,60),ROW()-1,FALSE))</f>
        <v/>
      </c>
      <c r="AM145" t="str">
        <f ca="1">IF(AND(ISNUMBER($AM$598),$B$419=1),$AM$598,HLOOKUP(INDIRECT(ADDRESS(2,COLUMN())),OFFSET($BN$2,0,0,ROW()-1,60),ROW()-1,FALSE))</f>
        <v/>
      </c>
      <c r="AN145" t="str">
        <f ca="1">IF(AND(ISNUMBER($AN$598),$B$419=1),$AN$598,HLOOKUP(INDIRECT(ADDRESS(2,COLUMN())),OFFSET($BN$2,0,0,ROW()-1,60),ROW()-1,FALSE))</f>
        <v/>
      </c>
      <c r="AO145" t="str">
        <f ca="1">IF(AND(ISNUMBER($AO$598),$B$419=1),$AO$598,HLOOKUP(INDIRECT(ADDRESS(2,COLUMN())),OFFSET($BN$2,0,0,ROW()-1,60),ROW()-1,FALSE))</f>
        <v/>
      </c>
      <c r="AP145" t="str">
        <f ca="1">IF(AND(ISNUMBER($AP$598),$B$419=1),$AP$598,HLOOKUP(INDIRECT(ADDRESS(2,COLUMN())),OFFSET($BN$2,0,0,ROW()-1,60),ROW()-1,FALSE))</f>
        <v/>
      </c>
      <c r="AQ145" t="str">
        <f ca="1">IF(AND(ISNUMBER($AQ$598),$B$419=1),$AQ$598,HLOOKUP(INDIRECT(ADDRESS(2,COLUMN())),OFFSET($BN$2,0,0,ROW()-1,60),ROW()-1,FALSE))</f>
        <v/>
      </c>
      <c r="AR145" t="str">
        <f ca="1">IF(AND(ISNUMBER($AR$598),$B$419=1),$AR$598,HLOOKUP(INDIRECT(ADDRESS(2,COLUMN())),OFFSET($BN$2,0,0,ROW()-1,60),ROW()-1,FALSE))</f>
        <v/>
      </c>
      <c r="AS145" t="str">
        <f ca="1">IF(AND(ISNUMBER($AS$598),$B$419=1),$AS$598,HLOOKUP(INDIRECT(ADDRESS(2,COLUMN())),OFFSET($BN$2,0,0,ROW()-1,60),ROW()-1,FALSE))</f>
        <v/>
      </c>
      <c r="AT145" t="str">
        <f ca="1">IF(AND(ISNUMBER($AT$598),$B$419=1),$AT$598,HLOOKUP(INDIRECT(ADDRESS(2,COLUMN())),OFFSET($BN$2,0,0,ROW()-1,60),ROW()-1,FALSE))</f>
        <v/>
      </c>
      <c r="AU145" t="str">
        <f ca="1">IF(AND(ISNUMBER($AU$598),$B$419=1),$AU$598,HLOOKUP(INDIRECT(ADDRESS(2,COLUMN())),OFFSET($BN$2,0,0,ROW()-1,60),ROW()-1,FALSE))</f>
        <v/>
      </c>
      <c r="AV145" t="str">
        <f ca="1">IF(AND(ISNUMBER($AV$598),$B$419=1),$AV$598,HLOOKUP(INDIRECT(ADDRESS(2,COLUMN())),OFFSET($BN$2,0,0,ROW()-1,60),ROW()-1,FALSE))</f>
        <v/>
      </c>
      <c r="AW145" t="str">
        <f ca="1">IF(AND(ISNUMBER($AW$598),$B$419=1),$AW$598,HLOOKUP(INDIRECT(ADDRESS(2,COLUMN())),OFFSET($BN$2,0,0,ROW()-1,60),ROW()-1,FALSE))</f>
        <v/>
      </c>
      <c r="AX145" t="str">
        <f ca="1">IF(AND(ISNUMBER($AX$598),$B$419=1),$AX$598,HLOOKUP(INDIRECT(ADDRESS(2,COLUMN())),OFFSET($BN$2,0,0,ROW()-1,60),ROW()-1,FALSE))</f>
        <v/>
      </c>
      <c r="AY145" t="str">
        <f ca="1">IF(AND(ISNUMBER($AY$598),$B$419=1),$AY$598,HLOOKUP(INDIRECT(ADDRESS(2,COLUMN())),OFFSET($BN$2,0,0,ROW()-1,60),ROW()-1,FALSE))</f>
        <v/>
      </c>
      <c r="AZ145" t="str">
        <f ca="1">IF(AND(ISNUMBER($AZ$598),$B$419=1),$AZ$598,HLOOKUP(INDIRECT(ADDRESS(2,COLUMN())),OFFSET($BN$2,0,0,ROW()-1,60),ROW()-1,FALSE))</f>
        <v/>
      </c>
      <c r="BA145" t="str">
        <f ca="1">IF(AND(ISNUMBER($BA$598),$B$419=1),$BA$598,HLOOKUP(INDIRECT(ADDRESS(2,COLUMN())),OFFSET($BN$2,0,0,ROW()-1,60),ROW()-1,FALSE))</f>
        <v/>
      </c>
      <c r="BB145" t="str">
        <f ca="1">IF(AND(ISNUMBER($BB$598),$B$419=1),$BB$598,HLOOKUP(INDIRECT(ADDRESS(2,COLUMN())),OFFSET($BN$2,0,0,ROW()-1,60),ROW()-1,FALSE))</f>
        <v/>
      </c>
      <c r="BC145" t="str">
        <f ca="1">IF(AND(ISNUMBER($BC$598),$B$419=1),$BC$598,HLOOKUP(INDIRECT(ADDRESS(2,COLUMN())),OFFSET($BN$2,0,0,ROW()-1,60),ROW()-1,FALSE))</f>
        <v/>
      </c>
      <c r="BD145" t="str">
        <f ca="1">IF(AND(ISNUMBER($BD$598),$B$419=1),$BD$598,HLOOKUP(INDIRECT(ADDRESS(2,COLUMN())),OFFSET($BN$2,0,0,ROW()-1,60),ROW()-1,FALSE))</f>
        <v/>
      </c>
      <c r="BE145" t="str">
        <f ca="1">IF(AND(ISNUMBER($BE$598),$B$419=1),$BE$598,HLOOKUP(INDIRECT(ADDRESS(2,COLUMN())),OFFSET($BN$2,0,0,ROW()-1,60),ROW()-1,FALSE))</f>
        <v/>
      </c>
      <c r="BF145" t="str">
        <f ca="1">IF(AND(ISNUMBER($BF$598),$B$419=1),$BF$598,HLOOKUP(INDIRECT(ADDRESS(2,COLUMN())),OFFSET($BN$2,0,0,ROW()-1,60),ROW()-1,FALSE))</f>
        <v/>
      </c>
      <c r="BG145" t="str">
        <f ca="1">IF(AND(ISNUMBER($BG$598),$B$419=1),$BG$598,HLOOKUP(INDIRECT(ADDRESS(2,COLUMN())),OFFSET($BN$2,0,0,ROW()-1,60),ROW()-1,FALSE))</f>
        <v/>
      </c>
      <c r="BH145" t="str">
        <f ca="1">IF(AND(ISNUMBER($BH$598),$B$419=1),$BH$598,HLOOKUP(INDIRECT(ADDRESS(2,COLUMN())),OFFSET($BN$2,0,0,ROW()-1,60),ROW()-1,FALSE))</f>
        <v/>
      </c>
      <c r="BI145" t="str">
        <f ca="1">IF(AND(ISNUMBER($BI$598),$B$419=1),$BI$598,HLOOKUP(INDIRECT(ADDRESS(2,COLUMN())),OFFSET($BN$2,0,0,ROW()-1,60),ROW()-1,FALSE))</f>
        <v/>
      </c>
      <c r="BJ145" t="str">
        <f ca="1">IF(AND(ISNUMBER($BJ$598),$B$419=1),$BJ$598,HLOOKUP(INDIRECT(ADDRESS(2,COLUMN())),OFFSET($BN$2,0,0,ROW()-1,60),ROW()-1,FALSE))</f>
        <v/>
      </c>
      <c r="BK145" t="str">
        <f ca="1">IF(AND(ISNUMBER($BK$598),$B$419=1),$BK$598,HLOOKUP(INDIRECT(ADDRESS(2,COLUMN())),OFFSET($BN$2,0,0,ROW()-1,60),ROW()-1,FALSE))</f>
        <v/>
      </c>
      <c r="BL145" t="str">
        <f ca="1">IF(AND(ISNUMBER($BL$598),$B$419=1),$BL$598,HLOOKUP(INDIRECT(ADDRESS(2,COLUMN())),OFFSET($BN$2,0,0,ROW()-1,60),ROW()-1,FALSE))</f>
        <v/>
      </c>
      <c r="BM145" t="str">
        <f ca="1">IF(AND(ISNUMBER($BM$598),$B$419=1),$BM$598,HLOOKUP(INDIRECT(ADDRESS(2,COLUMN())),OFFSET($BN$2,0,0,ROW()-1,60),ROW()-1,FALSE))</f>
        <v/>
      </c>
      <c r="BN145" t="str">
        <f>""</f>
        <v/>
      </c>
      <c r="BO145">
        <f>178.574</f>
        <v>178.57400000000001</v>
      </c>
      <c r="BP145">
        <f>192.524</f>
        <v>192.524</v>
      </c>
      <c r="BQ145">
        <f>180.868</f>
        <v>180.86799999999999</v>
      </c>
      <c r="BR145">
        <f>185.874</f>
        <v>185.874</v>
      </c>
      <c r="BS145">
        <f>169.09</f>
        <v>169.09</v>
      </c>
      <c r="BT145">
        <f>198.108</f>
        <v>198.108</v>
      </c>
      <c r="BU145">
        <f>180.107</f>
        <v>180.107</v>
      </c>
      <c r="BV145">
        <f>192.892</f>
        <v>192.892</v>
      </c>
      <c r="BW145">
        <f>184.434</f>
        <v>184.434</v>
      </c>
      <c r="BX145">
        <f>196.428</f>
        <v>196.428</v>
      </c>
      <c r="BY145">
        <f>202.338</f>
        <v>202.33799999999999</v>
      </c>
      <c r="BZ145">
        <f>207.393</f>
        <v>207.393</v>
      </c>
      <c r="CA145">
        <f>207.999</f>
        <v>207.999</v>
      </c>
      <c r="CB145">
        <f>231.002</f>
        <v>231.00200000000001</v>
      </c>
      <c r="CC145">
        <f>178.088</f>
        <v>178.08799999999999</v>
      </c>
      <c r="CD145">
        <f>114.772</f>
        <v>114.77200000000001</v>
      </c>
      <c r="CE145">
        <f>27.7</f>
        <v>27.7</v>
      </c>
      <c r="CF145">
        <f>71.608</f>
        <v>71.608000000000004</v>
      </c>
      <c r="CG145">
        <f>91.035</f>
        <v>91.034999999999997</v>
      </c>
      <c r="CH145">
        <f>33.922</f>
        <v>33.921999999999997</v>
      </c>
      <c r="CI145">
        <f>18.051</f>
        <v>18.050999999999998</v>
      </c>
      <c r="CJ145">
        <f>16.771</f>
        <v>16.771000000000001</v>
      </c>
      <c r="CK145">
        <f>7.707</f>
        <v>7.7069999999999999</v>
      </c>
      <c r="CL145">
        <f>3.751</f>
        <v>3.7509999999999999</v>
      </c>
      <c r="CM145">
        <f>1.491</f>
        <v>1.4910000000000001</v>
      </c>
      <c r="CN145">
        <f>0.287</f>
        <v>0.28699999999999998</v>
      </c>
      <c r="CO145" t="str">
        <f>""</f>
        <v/>
      </c>
      <c r="CP145">
        <f>-0.420873</f>
        <v>-0.420873</v>
      </c>
      <c r="CQ145" t="str">
        <f>""</f>
        <v/>
      </c>
      <c r="CR145" t="str">
        <f>""</f>
        <v/>
      </c>
      <c r="CS145" t="str">
        <f>""</f>
        <v/>
      </c>
      <c r="CT145" t="str">
        <f>""</f>
        <v/>
      </c>
      <c r="CU145" t="str">
        <f>""</f>
        <v/>
      </c>
      <c r="CV145" t="str">
        <f>""</f>
        <v/>
      </c>
      <c r="CW145" t="str">
        <f>""</f>
        <v/>
      </c>
      <c r="CX145" t="str">
        <f>""</f>
        <v/>
      </c>
      <c r="CY145" t="str">
        <f>""</f>
        <v/>
      </c>
      <c r="CZ145" t="str">
        <f>""</f>
        <v/>
      </c>
      <c r="DA145" t="str">
        <f>""</f>
        <v/>
      </c>
      <c r="DB145" t="str">
        <f>""</f>
        <v/>
      </c>
      <c r="DC145" t="str">
        <f>""</f>
        <v/>
      </c>
      <c r="DD145" t="str">
        <f>""</f>
        <v/>
      </c>
      <c r="DE145" t="str">
        <f>""</f>
        <v/>
      </c>
      <c r="DF145" t="str">
        <f>""</f>
        <v/>
      </c>
      <c r="DG145" t="str">
        <f>""</f>
        <v/>
      </c>
      <c r="DH145" t="str">
        <f>""</f>
        <v/>
      </c>
      <c r="DI145" t="str">
        <f>""</f>
        <v/>
      </c>
      <c r="DJ145" t="str">
        <f>""</f>
        <v/>
      </c>
      <c r="DK145" t="str">
        <f>""</f>
        <v/>
      </c>
      <c r="DL145" t="str">
        <f>""</f>
        <v/>
      </c>
      <c r="DM145" t="str">
        <f>""</f>
        <v/>
      </c>
      <c r="DN145" t="str">
        <f>""</f>
        <v/>
      </c>
      <c r="DO145" t="str">
        <f>""</f>
        <v/>
      </c>
      <c r="DP145" t="str">
        <f>""</f>
        <v/>
      </c>
      <c r="DQ145" t="str">
        <f>""</f>
        <v/>
      </c>
      <c r="DR145" t="str">
        <f>""</f>
        <v/>
      </c>
      <c r="DS145" t="str">
        <f>""</f>
        <v/>
      </c>
      <c r="DT145" t="str">
        <f>""</f>
        <v/>
      </c>
      <c r="DU145" t="str">
        <f>""</f>
        <v/>
      </c>
    </row>
    <row r="146" spans="1:125">
      <c r="A146" t="str">
        <f>"    Washington Prime Group Inc"</f>
        <v xml:space="preserve">    Washington Prime Group Inc</v>
      </c>
      <c r="B146" t="str">
        <f>"WPG US Equity"</f>
        <v>WPG US Equity</v>
      </c>
      <c r="C146" t="str">
        <f t="shared" si="24"/>
        <v>F0578</v>
      </c>
      <c r="D146" t="str">
        <f t="shared" si="25"/>
        <v>FUNDS_AVAILABLE_FOR_DISTRIBUTION</v>
      </c>
      <c r="E146" t="str">
        <f t="shared" si="26"/>
        <v>动态</v>
      </c>
      <c r="F146" t="str">
        <f ca="1">IF(AND(ISNUMBER($F$599),$B$419=1),$F$599,HLOOKUP(INDIRECT(ADDRESS(2,COLUMN())),OFFSET($BN$2,0,0,ROW()-1,60),ROW()-1,FALSE))</f>
        <v/>
      </c>
      <c r="G146">
        <f ca="1">IF(AND(ISNUMBER($G$599),$B$419=1),$G$599,HLOOKUP(INDIRECT(ADDRESS(2,COLUMN())),OFFSET($BN$2,0,0,ROW()-1,60),ROW()-1,FALSE))</f>
        <v>95.488</v>
      </c>
      <c r="H146">
        <f ca="1">IF(AND(ISNUMBER($H$599),$B$419=1),$H$599,HLOOKUP(INDIRECT(ADDRESS(2,COLUMN())),OFFSET($BN$2,0,0,ROW()-1,60),ROW()-1,FALSE))</f>
        <v>68.616</v>
      </c>
      <c r="I146">
        <f ca="1">IF(AND(ISNUMBER($I$599),$B$419=1),$I$599,HLOOKUP(INDIRECT(ADDRESS(2,COLUMN())),OFFSET($BN$2,0,0,ROW()-1,60),ROW()-1,FALSE))</f>
        <v>71.66</v>
      </c>
      <c r="J146">
        <f ca="1">IF(AND(ISNUMBER($J$599),$B$419=1),$J$599,HLOOKUP(INDIRECT(ADDRESS(2,COLUMN())),OFFSET($BN$2,0,0,ROW()-1,60),ROW()-1,FALSE))</f>
        <v>78.747</v>
      </c>
      <c r="K146">
        <f ca="1">IF(AND(ISNUMBER($K$599),$B$419=1),$K$599,HLOOKUP(INDIRECT(ADDRESS(2,COLUMN())),OFFSET($BN$2,0,0,ROW()-1,60),ROW()-1,FALSE))</f>
        <v>90.034999999999997</v>
      </c>
      <c r="L146">
        <f ca="1">IF(AND(ISNUMBER($L$599),$B$419=1),$L$599,HLOOKUP(INDIRECT(ADDRESS(2,COLUMN())),OFFSET($BN$2,0,0,ROW()-1,60),ROW()-1,FALSE))</f>
        <v>84.046000000000006</v>
      </c>
      <c r="M146">
        <f ca="1">IF(AND(ISNUMBER($M$599),$B$419=1),$M$599,HLOOKUP(INDIRECT(ADDRESS(2,COLUMN())),OFFSET($BN$2,0,0,ROW()-1,60),ROW()-1,FALSE))</f>
        <v>78.546999999999997</v>
      </c>
      <c r="N146">
        <f ca="1">IF(AND(ISNUMBER($N$599),$B$419=1),$N$599,HLOOKUP(INDIRECT(ADDRESS(2,COLUMN())),OFFSET($BN$2,0,0,ROW()-1,60),ROW()-1,FALSE))</f>
        <v>77.665000000000006</v>
      </c>
      <c r="O146">
        <f ca="1">IF(AND(ISNUMBER($O$599),$B$419=1),$O$599,HLOOKUP(INDIRECT(ADDRESS(2,COLUMN())),OFFSET($BN$2,0,0,ROW()-1,60),ROW()-1,FALSE))</f>
        <v>171.30699999999999</v>
      </c>
      <c r="P146">
        <f ca="1">IF(AND(ISNUMBER($P$599),$B$419=1),$P$599,HLOOKUP(INDIRECT(ADDRESS(2,COLUMN())),OFFSET($BN$2,0,0,ROW()-1,60),ROW()-1,FALSE))</f>
        <v>85.593999999999994</v>
      </c>
      <c r="Q146">
        <f ca="1">IF(AND(ISNUMBER($Q$599),$B$419=1),$Q$599,HLOOKUP(INDIRECT(ADDRESS(2,COLUMN())),OFFSET($BN$2,0,0,ROW()-1,60),ROW()-1,FALSE))</f>
        <v>89.831000000000003</v>
      </c>
      <c r="R146">
        <f ca="1">IF(AND(ISNUMBER($R$599),$B$419=1),$R$599,HLOOKUP(INDIRECT(ADDRESS(2,COLUMN())),OFFSET($BN$2,0,0,ROW()-1,60),ROW()-1,FALSE))</f>
        <v>92.168000000000006</v>
      </c>
      <c r="S146">
        <f ca="1">IF(AND(ISNUMBER($S$599),$B$419=1),$S$599,HLOOKUP(INDIRECT(ADDRESS(2,COLUMN())),OFFSET($BN$2,0,0,ROW()-1,60),ROW()-1,FALSE))</f>
        <v>76.346000000000004</v>
      </c>
      <c r="T146">
        <f ca="1">IF(AND(ISNUMBER($T$599),$B$419=1),$T$599,HLOOKUP(INDIRECT(ADDRESS(2,COLUMN())),OFFSET($BN$2,0,0,ROW()-1,60),ROW()-1,FALSE))</f>
        <v>67.840999999999994</v>
      </c>
      <c r="U146">
        <f ca="1">IF(AND(ISNUMBER($U$599),$B$419=1),$U$599,HLOOKUP(INDIRECT(ADDRESS(2,COLUMN())),OFFSET($BN$2,0,0,ROW()-1,60),ROW()-1,FALSE))</f>
        <v>74.039000000000001</v>
      </c>
      <c r="V146">
        <f ca="1">IF(AND(ISNUMBER($V$599),$B$419=1),$V$599,HLOOKUP(INDIRECT(ADDRESS(2,COLUMN())),OFFSET($BN$2,0,0,ROW()-1,60),ROW()-1,FALSE))</f>
        <v>88.218000000000004</v>
      </c>
      <c r="W146" t="str">
        <f ca="1">IF(AND(ISNUMBER($W$599),$B$419=1),$W$599,HLOOKUP(INDIRECT(ADDRESS(2,COLUMN())),OFFSET($BN$2,0,0,ROW()-1,60),ROW()-1,FALSE))</f>
        <v/>
      </c>
      <c r="X146" t="str">
        <f ca="1">IF(AND(ISNUMBER($X$599),$B$419=1),$X$599,HLOOKUP(INDIRECT(ADDRESS(2,COLUMN())),OFFSET($BN$2,0,0,ROW()-1,60),ROW()-1,FALSE))</f>
        <v/>
      </c>
      <c r="Y146" t="str">
        <f ca="1">IF(AND(ISNUMBER($Y$599),$B$419=1),$Y$599,HLOOKUP(INDIRECT(ADDRESS(2,COLUMN())),OFFSET($BN$2,0,0,ROW()-1,60),ROW()-1,FALSE))</f>
        <v/>
      </c>
      <c r="Z146" t="str">
        <f ca="1">IF(AND(ISNUMBER($Z$599),$B$419=1),$Z$599,HLOOKUP(INDIRECT(ADDRESS(2,COLUMN())),OFFSET($BN$2,0,0,ROW()-1,60),ROW()-1,FALSE))</f>
        <v/>
      </c>
      <c r="AA146" t="str">
        <f ca="1">IF(AND(ISNUMBER($AA$599),$B$419=1),$AA$599,HLOOKUP(INDIRECT(ADDRESS(2,COLUMN())),OFFSET($BN$2,0,0,ROW()-1,60),ROW()-1,FALSE))</f>
        <v/>
      </c>
      <c r="AB146" t="str">
        <f ca="1">IF(AND(ISNUMBER($AB$599),$B$419=1),$AB$599,HLOOKUP(INDIRECT(ADDRESS(2,COLUMN())),OFFSET($BN$2,0,0,ROW()-1,60),ROW()-1,FALSE))</f>
        <v/>
      </c>
      <c r="AC146" t="str">
        <f ca="1">IF(AND(ISNUMBER($AC$599),$B$419=1),$AC$599,HLOOKUP(INDIRECT(ADDRESS(2,COLUMN())),OFFSET($BN$2,0,0,ROW()-1,60),ROW()-1,FALSE))</f>
        <v/>
      </c>
      <c r="AD146" t="str">
        <f ca="1">IF(AND(ISNUMBER($AD$599),$B$419=1),$AD$599,HLOOKUP(INDIRECT(ADDRESS(2,COLUMN())),OFFSET($BN$2,0,0,ROW()-1,60),ROW()-1,FALSE))</f>
        <v/>
      </c>
      <c r="AE146" t="str">
        <f ca="1">IF(AND(ISNUMBER($AE$599),$B$419=1),$AE$599,HLOOKUP(INDIRECT(ADDRESS(2,COLUMN())),OFFSET($BN$2,0,0,ROW()-1,60),ROW()-1,FALSE))</f>
        <v/>
      </c>
      <c r="AF146" t="str">
        <f ca="1">IF(AND(ISNUMBER($AF$599),$B$419=1),$AF$599,HLOOKUP(INDIRECT(ADDRESS(2,COLUMN())),OFFSET($BN$2,0,0,ROW()-1,60),ROW()-1,FALSE))</f>
        <v/>
      </c>
      <c r="AG146" t="str">
        <f ca="1">IF(AND(ISNUMBER($AG$599),$B$419=1),$AG$599,HLOOKUP(INDIRECT(ADDRESS(2,COLUMN())),OFFSET($BN$2,0,0,ROW()-1,60),ROW()-1,FALSE))</f>
        <v/>
      </c>
      <c r="AH146" t="str">
        <f ca="1">IF(AND(ISNUMBER($AH$599),$B$419=1),$AH$599,HLOOKUP(INDIRECT(ADDRESS(2,COLUMN())),OFFSET($BN$2,0,0,ROW()-1,60),ROW()-1,FALSE))</f>
        <v/>
      </c>
      <c r="AI146" t="str">
        <f ca="1">IF(AND(ISNUMBER($AI$599),$B$419=1),$AI$599,HLOOKUP(INDIRECT(ADDRESS(2,COLUMN())),OFFSET($BN$2,0,0,ROW()-1,60),ROW()-1,FALSE))</f>
        <v/>
      </c>
      <c r="AJ146" t="str">
        <f ca="1">IF(AND(ISNUMBER($AJ$599),$B$419=1),$AJ$599,HLOOKUP(INDIRECT(ADDRESS(2,COLUMN())),OFFSET($BN$2,0,0,ROW()-1,60),ROW()-1,FALSE))</f>
        <v/>
      </c>
      <c r="AK146" t="str">
        <f ca="1">IF(AND(ISNUMBER($AK$599),$B$419=1),$AK$599,HLOOKUP(INDIRECT(ADDRESS(2,COLUMN())),OFFSET($BN$2,0,0,ROW()-1,60),ROW()-1,FALSE))</f>
        <v/>
      </c>
      <c r="AL146" t="str">
        <f ca="1">IF(AND(ISNUMBER($AL$599),$B$419=1),$AL$599,HLOOKUP(INDIRECT(ADDRESS(2,COLUMN())),OFFSET($BN$2,0,0,ROW()-1,60),ROW()-1,FALSE))</f>
        <v/>
      </c>
      <c r="AM146" t="str">
        <f ca="1">IF(AND(ISNUMBER($AM$599),$B$419=1),$AM$599,HLOOKUP(INDIRECT(ADDRESS(2,COLUMN())),OFFSET($BN$2,0,0,ROW()-1,60),ROW()-1,FALSE))</f>
        <v/>
      </c>
      <c r="AN146" t="str">
        <f ca="1">IF(AND(ISNUMBER($AN$599),$B$419=1),$AN$599,HLOOKUP(INDIRECT(ADDRESS(2,COLUMN())),OFFSET($BN$2,0,0,ROW()-1,60),ROW()-1,FALSE))</f>
        <v/>
      </c>
      <c r="AO146" t="str">
        <f ca="1">IF(AND(ISNUMBER($AO$599),$B$419=1),$AO$599,HLOOKUP(INDIRECT(ADDRESS(2,COLUMN())),OFFSET($BN$2,0,0,ROW()-1,60),ROW()-1,FALSE))</f>
        <v/>
      </c>
      <c r="AP146" t="str">
        <f ca="1">IF(AND(ISNUMBER($AP$599),$B$419=1),$AP$599,HLOOKUP(INDIRECT(ADDRESS(2,COLUMN())),OFFSET($BN$2,0,0,ROW()-1,60),ROW()-1,FALSE))</f>
        <v/>
      </c>
      <c r="AQ146" t="str">
        <f ca="1">IF(AND(ISNUMBER($AQ$599),$B$419=1),$AQ$599,HLOOKUP(INDIRECT(ADDRESS(2,COLUMN())),OFFSET($BN$2,0,0,ROW()-1,60),ROW()-1,FALSE))</f>
        <v/>
      </c>
      <c r="AR146" t="str">
        <f ca="1">IF(AND(ISNUMBER($AR$599),$B$419=1),$AR$599,HLOOKUP(INDIRECT(ADDRESS(2,COLUMN())),OFFSET($BN$2,0,0,ROW()-1,60),ROW()-1,FALSE))</f>
        <v/>
      </c>
      <c r="AS146" t="str">
        <f ca="1">IF(AND(ISNUMBER($AS$599),$B$419=1),$AS$599,HLOOKUP(INDIRECT(ADDRESS(2,COLUMN())),OFFSET($BN$2,0,0,ROW()-1,60),ROW()-1,FALSE))</f>
        <v/>
      </c>
      <c r="AT146" t="str">
        <f ca="1">IF(AND(ISNUMBER($AT$599),$B$419=1),$AT$599,HLOOKUP(INDIRECT(ADDRESS(2,COLUMN())),OFFSET($BN$2,0,0,ROW()-1,60),ROW()-1,FALSE))</f>
        <v/>
      </c>
      <c r="AU146" t="str">
        <f ca="1">IF(AND(ISNUMBER($AU$599),$B$419=1),$AU$599,HLOOKUP(INDIRECT(ADDRESS(2,COLUMN())),OFFSET($BN$2,0,0,ROW()-1,60),ROW()-1,FALSE))</f>
        <v/>
      </c>
      <c r="AV146" t="str">
        <f ca="1">IF(AND(ISNUMBER($AV$599),$B$419=1),$AV$599,HLOOKUP(INDIRECT(ADDRESS(2,COLUMN())),OFFSET($BN$2,0,0,ROW()-1,60),ROW()-1,FALSE))</f>
        <v/>
      </c>
      <c r="AW146" t="str">
        <f ca="1">IF(AND(ISNUMBER($AW$599),$B$419=1),$AW$599,HLOOKUP(INDIRECT(ADDRESS(2,COLUMN())),OFFSET($BN$2,0,0,ROW()-1,60),ROW()-1,FALSE))</f>
        <v/>
      </c>
      <c r="AX146" t="str">
        <f ca="1">IF(AND(ISNUMBER($AX$599),$B$419=1),$AX$599,HLOOKUP(INDIRECT(ADDRESS(2,COLUMN())),OFFSET($BN$2,0,0,ROW()-1,60),ROW()-1,FALSE))</f>
        <v/>
      </c>
      <c r="AY146" t="str">
        <f ca="1">IF(AND(ISNUMBER($AY$599),$B$419=1),$AY$599,HLOOKUP(INDIRECT(ADDRESS(2,COLUMN())),OFFSET($BN$2,0,0,ROW()-1,60),ROW()-1,FALSE))</f>
        <v/>
      </c>
      <c r="AZ146" t="str">
        <f ca="1">IF(AND(ISNUMBER($AZ$599),$B$419=1),$AZ$599,HLOOKUP(INDIRECT(ADDRESS(2,COLUMN())),OFFSET($BN$2,0,0,ROW()-1,60),ROW()-1,FALSE))</f>
        <v/>
      </c>
      <c r="BA146" t="str">
        <f ca="1">IF(AND(ISNUMBER($BA$599),$B$419=1),$BA$599,HLOOKUP(INDIRECT(ADDRESS(2,COLUMN())),OFFSET($BN$2,0,0,ROW()-1,60),ROW()-1,FALSE))</f>
        <v/>
      </c>
      <c r="BB146" t="str">
        <f ca="1">IF(AND(ISNUMBER($BB$599),$B$419=1),$BB$599,HLOOKUP(INDIRECT(ADDRESS(2,COLUMN())),OFFSET($BN$2,0,0,ROW()-1,60),ROW()-1,FALSE))</f>
        <v/>
      </c>
      <c r="BC146" t="str">
        <f ca="1">IF(AND(ISNUMBER($BC$599),$B$419=1),$BC$599,HLOOKUP(INDIRECT(ADDRESS(2,COLUMN())),OFFSET($BN$2,0,0,ROW()-1,60),ROW()-1,FALSE))</f>
        <v/>
      </c>
      <c r="BD146" t="str">
        <f ca="1">IF(AND(ISNUMBER($BD$599),$B$419=1),$BD$599,HLOOKUP(INDIRECT(ADDRESS(2,COLUMN())),OFFSET($BN$2,0,0,ROW()-1,60),ROW()-1,FALSE))</f>
        <v/>
      </c>
      <c r="BE146" t="str">
        <f ca="1">IF(AND(ISNUMBER($BE$599),$B$419=1),$BE$599,HLOOKUP(INDIRECT(ADDRESS(2,COLUMN())),OFFSET($BN$2,0,0,ROW()-1,60),ROW()-1,FALSE))</f>
        <v/>
      </c>
      <c r="BF146" t="str">
        <f ca="1">IF(AND(ISNUMBER($BF$599),$B$419=1),$BF$599,HLOOKUP(INDIRECT(ADDRESS(2,COLUMN())),OFFSET($BN$2,0,0,ROW()-1,60),ROW()-1,FALSE))</f>
        <v/>
      </c>
      <c r="BG146" t="str">
        <f ca="1">IF(AND(ISNUMBER($BG$599),$B$419=1),$BG$599,HLOOKUP(INDIRECT(ADDRESS(2,COLUMN())),OFFSET($BN$2,0,0,ROW()-1,60),ROW()-1,FALSE))</f>
        <v/>
      </c>
      <c r="BH146" t="str">
        <f ca="1">IF(AND(ISNUMBER($BH$599),$B$419=1),$BH$599,HLOOKUP(INDIRECT(ADDRESS(2,COLUMN())),OFFSET($BN$2,0,0,ROW()-1,60),ROW()-1,FALSE))</f>
        <v/>
      </c>
      <c r="BI146" t="str">
        <f ca="1">IF(AND(ISNUMBER($BI$599),$B$419=1),$BI$599,HLOOKUP(INDIRECT(ADDRESS(2,COLUMN())),OFFSET($BN$2,0,0,ROW()-1,60),ROW()-1,FALSE))</f>
        <v/>
      </c>
      <c r="BJ146" t="str">
        <f ca="1">IF(AND(ISNUMBER($BJ$599),$B$419=1),$BJ$599,HLOOKUP(INDIRECT(ADDRESS(2,COLUMN())),OFFSET($BN$2,0,0,ROW()-1,60),ROW()-1,FALSE))</f>
        <v/>
      </c>
      <c r="BK146" t="str">
        <f ca="1">IF(AND(ISNUMBER($BK$599),$B$419=1),$BK$599,HLOOKUP(INDIRECT(ADDRESS(2,COLUMN())),OFFSET($BN$2,0,0,ROW()-1,60),ROW()-1,FALSE))</f>
        <v/>
      </c>
      <c r="BL146" t="str">
        <f ca="1">IF(AND(ISNUMBER($BL$599),$B$419=1),$BL$599,HLOOKUP(INDIRECT(ADDRESS(2,COLUMN())),OFFSET($BN$2,0,0,ROW()-1,60),ROW()-1,FALSE))</f>
        <v/>
      </c>
      <c r="BM146" t="str">
        <f ca="1">IF(AND(ISNUMBER($BM$599),$B$419=1),$BM$599,HLOOKUP(INDIRECT(ADDRESS(2,COLUMN())),OFFSET($BN$2,0,0,ROW()-1,60),ROW()-1,FALSE))</f>
        <v/>
      </c>
      <c r="BN146" t="str">
        <f>""</f>
        <v/>
      </c>
      <c r="BO146">
        <f>95.488</f>
        <v>95.488</v>
      </c>
      <c r="BP146">
        <f>68.616</f>
        <v>68.616</v>
      </c>
      <c r="BQ146">
        <f>71.66</f>
        <v>71.66</v>
      </c>
      <c r="BR146">
        <f>78.747</f>
        <v>78.747</v>
      </c>
      <c r="BS146">
        <f>90.035</f>
        <v>90.034999999999997</v>
      </c>
      <c r="BT146">
        <f>84.046</f>
        <v>84.046000000000006</v>
      </c>
      <c r="BU146">
        <f>78.547</f>
        <v>78.546999999999997</v>
      </c>
      <c r="BV146">
        <f>77.665</f>
        <v>77.665000000000006</v>
      </c>
      <c r="BW146">
        <f>171.307</f>
        <v>171.30699999999999</v>
      </c>
      <c r="BX146">
        <f>85.594</f>
        <v>85.593999999999994</v>
      </c>
      <c r="BY146">
        <f>89.831</f>
        <v>89.831000000000003</v>
      </c>
      <c r="BZ146">
        <f>92.168</f>
        <v>92.168000000000006</v>
      </c>
      <c r="CA146">
        <f>76.346</f>
        <v>76.346000000000004</v>
      </c>
      <c r="CB146">
        <f>67.841</f>
        <v>67.840999999999994</v>
      </c>
      <c r="CC146">
        <f>74.039</f>
        <v>74.039000000000001</v>
      </c>
      <c r="CD146">
        <f>88.218</f>
        <v>88.218000000000004</v>
      </c>
      <c r="CE146" t="str">
        <f>""</f>
        <v/>
      </c>
      <c r="CF146" t="str">
        <f>""</f>
        <v/>
      </c>
      <c r="CG146" t="str">
        <f>""</f>
        <v/>
      </c>
      <c r="CH146" t="str">
        <f>""</f>
        <v/>
      </c>
      <c r="CI146" t="str">
        <f>""</f>
        <v/>
      </c>
      <c r="CJ146" t="str">
        <f>""</f>
        <v/>
      </c>
      <c r="CK146" t="str">
        <f>""</f>
        <v/>
      </c>
      <c r="CL146" t="str">
        <f>""</f>
        <v/>
      </c>
      <c r="CM146" t="str">
        <f>""</f>
        <v/>
      </c>
      <c r="CN146" t="str">
        <f>""</f>
        <v/>
      </c>
      <c r="CO146" t="str">
        <f>""</f>
        <v/>
      </c>
      <c r="CP146" t="str">
        <f>""</f>
        <v/>
      </c>
      <c r="CQ146" t="str">
        <f>""</f>
        <v/>
      </c>
      <c r="CR146" t="str">
        <f>""</f>
        <v/>
      </c>
      <c r="CS146" t="str">
        <f>""</f>
        <v/>
      </c>
      <c r="CT146" t="str">
        <f>""</f>
        <v/>
      </c>
      <c r="CU146" t="str">
        <f>""</f>
        <v/>
      </c>
      <c r="CV146" t="str">
        <f>""</f>
        <v/>
      </c>
      <c r="CW146" t="str">
        <f>""</f>
        <v/>
      </c>
      <c r="CX146" t="str">
        <f>""</f>
        <v/>
      </c>
      <c r="CY146" t="str">
        <f>""</f>
        <v/>
      </c>
      <c r="CZ146" t="str">
        <f>""</f>
        <v/>
      </c>
      <c r="DA146" t="str">
        <f>""</f>
        <v/>
      </c>
      <c r="DB146" t="str">
        <f>""</f>
        <v/>
      </c>
      <c r="DC146" t="str">
        <f>""</f>
        <v/>
      </c>
      <c r="DD146" t="str">
        <f>""</f>
        <v/>
      </c>
      <c r="DE146" t="str">
        <f>""</f>
        <v/>
      </c>
      <c r="DF146" t="str">
        <f>""</f>
        <v/>
      </c>
      <c r="DG146" t="str">
        <f>""</f>
        <v/>
      </c>
      <c r="DH146" t="str">
        <f>""</f>
        <v/>
      </c>
      <c r="DI146" t="str">
        <f>""</f>
        <v/>
      </c>
      <c r="DJ146" t="str">
        <f>""</f>
        <v/>
      </c>
      <c r="DK146" t="str">
        <f>""</f>
        <v/>
      </c>
      <c r="DL146" t="str">
        <f>""</f>
        <v/>
      </c>
      <c r="DM146" t="str">
        <f>""</f>
        <v/>
      </c>
      <c r="DN146" t="str">
        <f>""</f>
        <v/>
      </c>
      <c r="DO146" t="str">
        <f>""</f>
        <v/>
      </c>
      <c r="DP146" t="str">
        <f>""</f>
        <v/>
      </c>
      <c r="DQ146" t="str">
        <f>""</f>
        <v/>
      </c>
      <c r="DR146" t="str">
        <f>""</f>
        <v/>
      </c>
      <c r="DS146" t="str">
        <f>""</f>
        <v/>
      </c>
      <c r="DT146" t="str">
        <f>""</f>
        <v/>
      </c>
      <c r="DU146" t="str">
        <f>""</f>
        <v/>
      </c>
    </row>
    <row r="147" spans="1:125">
      <c r="A147" t="str">
        <f>"    Weingarten Realty Investors"</f>
        <v xml:space="preserve">    Weingarten Realty Investors</v>
      </c>
      <c r="B147" t="str">
        <f>"WRI US Equity"</f>
        <v>WRI US Equity</v>
      </c>
      <c r="C147" t="str">
        <f t="shared" si="24"/>
        <v>F0578</v>
      </c>
      <c r="D147" t="str">
        <f t="shared" si="25"/>
        <v>FUNDS_AVAILABLE_FOR_DISTRIBUTION</v>
      </c>
      <c r="E147" t="str">
        <f t="shared" si="26"/>
        <v>动态</v>
      </c>
      <c r="F147" t="str">
        <f ca="1">IF(AND(ISNUMBER($F$600),$B$419=1),$F$600,HLOOKUP(INDIRECT(ADDRESS(2,COLUMN())),OFFSET($BN$2,0,0,ROW()-1,60),ROW()-1,FALSE))</f>
        <v/>
      </c>
      <c r="G147">
        <f ca="1">IF(AND(ISNUMBER($G$600),$B$419=1),$G$600,HLOOKUP(INDIRECT(ADDRESS(2,COLUMN())),OFFSET($BN$2,0,0,ROW()-1,60),ROW()-1,FALSE))</f>
        <v>64.459000000000003</v>
      </c>
      <c r="H147">
        <f ca="1">IF(AND(ISNUMBER($H$600),$B$419=1),$H$600,HLOOKUP(INDIRECT(ADDRESS(2,COLUMN())),OFFSET($BN$2,0,0,ROW()-1,60),ROW()-1,FALSE))</f>
        <v>64.543999999999997</v>
      </c>
      <c r="I147">
        <f ca="1">IF(AND(ISNUMBER($I$600),$B$419=1),$I$600,HLOOKUP(INDIRECT(ADDRESS(2,COLUMN())),OFFSET($BN$2,0,0,ROW()-1,60),ROW()-1,FALSE))</f>
        <v>66.355000000000004</v>
      </c>
      <c r="J147">
        <f ca="1">IF(AND(ISNUMBER($J$600),$B$419=1),$J$600,HLOOKUP(INDIRECT(ADDRESS(2,COLUMN())),OFFSET($BN$2,0,0,ROW()-1,60),ROW()-1,FALSE))</f>
        <v>62.771999999999998</v>
      </c>
      <c r="K147">
        <f ca="1">IF(AND(ISNUMBER($K$600),$B$419=1),$K$600,HLOOKUP(INDIRECT(ADDRESS(2,COLUMN())),OFFSET($BN$2,0,0,ROW()-1,60),ROW()-1,FALSE))</f>
        <v>62.926000000000002</v>
      </c>
      <c r="L147">
        <f ca="1">IF(AND(ISNUMBER($L$600),$B$419=1),$L$600,HLOOKUP(INDIRECT(ADDRESS(2,COLUMN())),OFFSET($BN$2,0,0,ROW()-1,60),ROW()-1,FALSE))</f>
        <v>62.862000000000002</v>
      </c>
      <c r="M147">
        <f ca="1">IF(AND(ISNUMBER($M$600),$B$419=1),$M$600,HLOOKUP(INDIRECT(ADDRESS(2,COLUMN())),OFFSET($BN$2,0,0,ROW()-1,60),ROW()-1,FALSE))</f>
        <v>62.618000000000002</v>
      </c>
      <c r="N147">
        <f ca="1">IF(AND(ISNUMBER($N$600),$B$419=1),$N$600,HLOOKUP(INDIRECT(ADDRESS(2,COLUMN())),OFFSET($BN$2,0,0,ROW()-1,60),ROW()-1,FALSE))</f>
        <v>62.834000000000003</v>
      </c>
      <c r="O147">
        <f ca="1">IF(AND(ISNUMBER($O$600),$B$419=1),$O$600,HLOOKUP(INDIRECT(ADDRESS(2,COLUMN())),OFFSET($BN$2,0,0,ROW()-1,60),ROW()-1,FALSE))</f>
        <v>56.811</v>
      </c>
      <c r="P147">
        <f ca="1">IF(AND(ISNUMBER($P$600),$B$419=1),$P$600,HLOOKUP(INDIRECT(ADDRESS(2,COLUMN())),OFFSET($BN$2,0,0,ROW()-1,60),ROW()-1,FALSE))</f>
        <v>61.805</v>
      </c>
      <c r="Q147">
        <f ca="1">IF(AND(ISNUMBER($Q$600),$B$419=1),$Q$600,HLOOKUP(INDIRECT(ADDRESS(2,COLUMN())),OFFSET($BN$2,0,0,ROW()-1,60),ROW()-1,FALSE))</f>
        <v>59.844999999999999</v>
      </c>
      <c r="R147">
        <f ca="1">IF(AND(ISNUMBER($R$600),$B$419=1),$R$600,HLOOKUP(INDIRECT(ADDRESS(2,COLUMN())),OFFSET($BN$2,0,0,ROW()-1,60),ROW()-1,FALSE))</f>
        <v>59.1</v>
      </c>
      <c r="S147">
        <f ca="1">IF(AND(ISNUMBER($S$600),$B$419=1),$S$600,HLOOKUP(INDIRECT(ADDRESS(2,COLUMN())),OFFSET($BN$2,0,0,ROW()-1,60),ROW()-1,FALSE))</f>
        <v>49.298000000000002</v>
      </c>
      <c r="T147">
        <f ca="1">IF(AND(ISNUMBER($T$600),$B$419=1),$T$600,HLOOKUP(INDIRECT(ADDRESS(2,COLUMN())),OFFSET($BN$2,0,0,ROW()-1,60),ROW()-1,FALSE))</f>
        <v>54.063000000000002</v>
      </c>
      <c r="U147">
        <f ca="1">IF(AND(ISNUMBER($U$600),$B$419=1),$U$600,HLOOKUP(INDIRECT(ADDRESS(2,COLUMN())),OFFSET($BN$2,0,0,ROW()-1,60),ROW()-1,FALSE))</f>
        <v>55.292999999999999</v>
      </c>
      <c r="V147">
        <f ca="1">IF(AND(ISNUMBER($V$600),$B$419=1),$V$600,HLOOKUP(INDIRECT(ADDRESS(2,COLUMN())),OFFSET($BN$2,0,0,ROW()-1,60),ROW()-1,FALSE))</f>
        <v>52.198</v>
      </c>
      <c r="W147">
        <f ca="1">IF(AND(ISNUMBER($W$600),$B$419=1),$W$600,HLOOKUP(INDIRECT(ADDRESS(2,COLUMN())),OFFSET($BN$2,0,0,ROW()-1,60),ROW()-1,FALSE))</f>
        <v>43.305999999999997</v>
      </c>
      <c r="X147">
        <f ca="1">IF(AND(ISNUMBER($X$600),$B$419=1),$X$600,HLOOKUP(INDIRECT(ADDRESS(2,COLUMN())),OFFSET($BN$2,0,0,ROW()-1,60),ROW()-1,FALSE))</f>
        <v>48.295000000000002</v>
      </c>
      <c r="Y147">
        <f ca="1">IF(AND(ISNUMBER($Y$600),$B$419=1),$Y$600,HLOOKUP(INDIRECT(ADDRESS(2,COLUMN())),OFFSET($BN$2,0,0,ROW()-1,60),ROW()-1,FALSE))</f>
        <v>52.594999999999999</v>
      </c>
      <c r="Z147">
        <f ca="1">IF(AND(ISNUMBER($Z$600),$B$419=1),$Z$600,HLOOKUP(INDIRECT(ADDRESS(2,COLUMN())),OFFSET($BN$2,0,0,ROW()-1,60),ROW()-1,FALSE))</f>
        <v>50.838999999999999</v>
      </c>
      <c r="AA147">
        <f ca="1">IF(AND(ISNUMBER($AA$600),$B$419=1),$AA$600,HLOOKUP(INDIRECT(ADDRESS(2,COLUMN())),OFFSET($BN$2,0,0,ROW()-1,60),ROW()-1,FALSE))</f>
        <v>41.933999999999997</v>
      </c>
      <c r="AB147">
        <f ca="1">IF(AND(ISNUMBER($AB$600),$B$419=1),$AB$600,HLOOKUP(INDIRECT(ADDRESS(2,COLUMN())),OFFSET($BN$2,0,0,ROW()-1,60),ROW()-1,FALSE))</f>
        <v>44.094999999999999</v>
      </c>
      <c r="AC147">
        <f ca="1">IF(AND(ISNUMBER($AC$600),$B$419=1),$AC$600,HLOOKUP(INDIRECT(ADDRESS(2,COLUMN())),OFFSET($BN$2,0,0,ROW()-1,60),ROW()-1,FALSE))</f>
        <v>43.58</v>
      </c>
      <c r="AD147">
        <f ca="1">IF(AND(ISNUMBER($AD$600),$B$419=1),$AD$600,HLOOKUP(INDIRECT(ADDRESS(2,COLUMN())),OFFSET($BN$2,0,0,ROW()-1,60),ROW()-1,FALSE))</f>
        <v>44.579000000000001</v>
      </c>
      <c r="AE147">
        <f ca="1">IF(AND(ISNUMBER($AE$600),$B$419=1),$AE$600,HLOOKUP(INDIRECT(ADDRESS(2,COLUMN())),OFFSET($BN$2,0,0,ROW()-1,60),ROW()-1,FALSE))</f>
        <v>41.686999999999998</v>
      </c>
      <c r="AF147">
        <f ca="1">IF(AND(ISNUMBER($AF$600),$B$419=1),$AF$600,HLOOKUP(INDIRECT(ADDRESS(2,COLUMN())),OFFSET($BN$2,0,0,ROW()-1,60),ROW()-1,FALSE))</f>
        <v>39.250999999999998</v>
      </c>
      <c r="AG147">
        <f ca="1">IF(AND(ISNUMBER($AG$600),$B$419=1),$AG$600,HLOOKUP(INDIRECT(ADDRESS(2,COLUMN())),OFFSET($BN$2,0,0,ROW()-1,60),ROW()-1,FALSE))</f>
        <v>38.902999999999999</v>
      </c>
      <c r="AH147">
        <f ca="1">IF(AND(ISNUMBER($AH$600),$B$419=1),$AH$600,HLOOKUP(INDIRECT(ADDRESS(2,COLUMN())),OFFSET($BN$2,0,0,ROW()-1,60),ROW()-1,FALSE))</f>
        <v>38.435000000000002</v>
      </c>
      <c r="AI147">
        <f ca="1">IF(AND(ISNUMBER($AI$600),$B$419=1),$AI$600,HLOOKUP(INDIRECT(ADDRESS(2,COLUMN())),OFFSET($BN$2,0,0,ROW()-1,60),ROW()-1,FALSE))</f>
        <v>38.856000000000002</v>
      </c>
      <c r="AJ147">
        <f ca="1">IF(AND(ISNUMBER($AJ$600),$B$419=1),$AJ$600,HLOOKUP(INDIRECT(ADDRESS(2,COLUMN())),OFFSET($BN$2,0,0,ROW()-1,60),ROW()-1,FALSE))</f>
        <v>45.423000000000002</v>
      </c>
      <c r="AK147">
        <f ca="1">IF(AND(ISNUMBER($AK$600),$B$419=1),$AK$600,HLOOKUP(INDIRECT(ADDRESS(2,COLUMN())),OFFSET($BN$2,0,0,ROW()-1,60),ROW()-1,FALSE))</f>
        <v>39.548999999999999</v>
      </c>
      <c r="AL147">
        <f ca="1">IF(AND(ISNUMBER($AL$600),$B$419=1),$AL$600,HLOOKUP(INDIRECT(ADDRESS(2,COLUMN())),OFFSET($BN$2,0,0,ROW()-1,60),ROW()-1,FALSE))</f>
        <v>36.72</v>
      </c>
      <c r="AM147">
        <f ca="1">IF(AND(ISNUMBER($AM$600),$B$419=1),$AM$600,HLOOKUP(INDIRECT(ADDRESS(2,COLUMN())),OFFSET($BN$2,0,0,ROW()-1,60),ROW()-1,FALSE))</f>
        <v>37.186999999999998</v>
      </c>
      <c r="AN147">
        <f ca="1">IF(AND(ISNUMBER($AN$600),$B$419=1),$AN$600,HLOOKUP(INDIRECT(ADDRESS(2,COLUMN())),OFFSET($BN$2,0,0,ROW()-1,60),ROW()-1,FALSE))</f>
        <v>23.795999999999999</v>
      </c>
      <c r="AO147">
        <f ca="1">IF(AND(ISNUMBER($AO$600),$B$419=1),$AO$600,HLOOKUP(INDIRECT(ADDRESS(2,COLUMN())),OFFSET($BN$2,0,0,ROW()-1,60),ROW()-1,FALSE))</f>
        <v>62.51</v>
      </c>
      <c r="AP147">
        <f ca="1">IF(AND(ISNUMBER($AP$600),$B$419=1),$AP$600,HLOOKUP(INDIRECT(ADDRESS(2,COLUMN())),OFFSET($BN$2,0,0,ROW()-1,60),ROW()-1,FALSE))</f>
        <v>61.616</v>
      </c>
      <c r="AQ147">
        <f ca="1">IF(AND(ISNUMBER($AQ$600),$B$419=1),$AQ$600,HLOOKUP(INDIRECT(ADDRESS(2,COLUMN())),OFFSET($BN$2,0,0,ROW()-1,60),ROW()-1,FALSE))</f>
        <v>-29.292000000000002</v>
      </c>
      <c r="AR147">
        <f ca="1">IF(AND(ISNUMBER($AR$600),$B$419=1),$AR$600,HLOOKUP(INDIRECT(ADDRESS(2,COLUMN())),OFFSET($BN$2,0,0,ROW()-1,60),ROW()-1,FALSE))</f>
        <v>69.736999999999995</v>
      </c>
      <c r="AS147">
        <f ca="1">IF(AND(ISNUMBER($AS$600),$B$419=1),$AS$600,HLOOKUP(INDIRECT(ADDRESS(2,COLUMN())),OFFSET($BN$2,0,0,ROW()-1,60),ROW()-1,FALSE))</f>
        <v>82.927000000000007</v>
      </c>
      <c r="AT147">
        <f ca="1">IF(AND(ISNUMBER($AT$600),$B$419=1),$AT$600,HLOOKUP(INDIRECT(ADDRESS(2,COLUMN())),OFFSET($BN$2,0,0,ROW()-1,60),ROW()-1,FALSE))</f>
        <v>71.403999999999996</v>
      </c>
      <c r="AU147">
        <f ca="1">IF(AND(ISNUMBER($AU$600),$B$419=1),$AU$600,HLOOKUP(INDIRECT(ADDRESS(2,COLUMN())),OFFSET($BN$2,0,0,ROW()-1,60),ROW()-1,FALSE))</f>
        <v>64.5</v>
      </c>
      <c r="AV147">
        <f ca="1">IF(AND(ISNUMBER($AV$600),$B$419=1),$AV$600,HLOOKUP(INDIRECT(ADDRESS(2,COLUMN())),OFFSET($BN$2,0,0,ROW()-1,60),ROW()-1,FALSE))</f>
        <v>70.656999999999996</v>
      </c>
      <c r="AW147">
        <f ca="1">IF(AND(ISNUMBER($AW$600),$B$419=1),$AW$600,HLOOKUP(INDIRECT(ADDRESS(2,COLUMN())),OFFSET($BN$2,0,0,ROW()-1,60),ROW()-1,FALSE))</f>
        <v>65.994</v>
      </c>
      <c r="AX147">
        <f ca="1">IF(AND(ISNUMBER($AX$600),$B$419=1),$AX$600,HLOOKUP(INDIRECT(ADDRESS(2,COLUMN())),OFFSET($BN$2,0,0,ROW()-1,60),ROW()-1,FALSE))</f>
        <v>66.534999999999997</v>
      </c>
      <c r="AY147">
        <f ca="1">IF(AND(ISNUMBER($AY$600),$B$419=1),$AY$600,HLOOKUP(INDIRECT(ADDRESS(2,COLUMN())),OFFSET($BN$2,0,0,ROW()-1,60),ROW()-1,FALSE))</f>
        <v>62.64</v>
      </c>
      <c r="AZ147">
        <f ca="1">IF(AND(ISNUMBER($AZ$600),$B$419=1),$AZ$600,HLOOKUP(INDIRECT(ADDRESS(2,COLUMN())),OFFSET($BN$2,0,0,ROW()-1,60),ROW()-1,FALSE))</f>
        <v>63.3</v>
      </c>
      <c r="BA147">
        <f ca="1">IF(AND(ISNUMBER($BA$600),$B$419=1),$BA$600,HLOOKUP(INDIRECT(ADDRESS(2,COLUMN())),OFFSET($BN$2,0,0,ROW()-1,60),ROW()-1,FALSE))</f>
        <v>61.87</v>
      </c>
      <c r="BB147">
        <f ca="1">IF(AND(ISNUMBER($BB$600),$B$419=1),$BB$600,HLOOKUP(INDIRECT(ADDRESS(2,COLUMN())),OFFSET($BN$2,0,0,ROW()-1,60),ROW()-1,FALSE))</f>
        <v>66.03</v>
      </c>
      <c r="BC147">
        <f ca="1">IF(AND(ISNUMBER($BC$600),$B$419=1),$BC$600,HLOOKUP(INDIRECT(ADDRESS(2,COLUMN())),OFFSET($BN$2,0,0,ROW()-1,60),ROW()-1,FALSE))</f>
        <v>61.844999999999999</v>
      </c>
      <c r="BD147">
        <f ca="1">IF(AND(ISNUMBER($BD$600),$B$419=1),$BD$600,HLOOKUP(INDIRECT(ADDRESS(2,COLUMN())),OFFSET($BN$2,0,0,ROW()-1,60),ROW()-1,FALSE))</f>
        <v>-64.167570999999995</v>
      </c>
      <c r="BE147">
        <f ca="1">IF(AND(ISNUMBER($BE$600),$B$419=1),$BE$600,HLOOKUP(INDIRECT(ADDRESS(2,COLUMN())),OFFSET($BN$2,0,0,ROW()-1,60),ROW()-1,FALSE))</f>
        <v>64.608036999999996</v>
      </c>
      <c r="BF147">
        <f ca="1">IF(AND(ISNUMBER($BF$600),$B$419=1),$BF$600,HLOOKUP(INDIRECT(ADDRESS(2,COLUMN())),OFFSET($BN$2,0,0,ROW()-1,60),ROW()-1,FALSE))</f>
        <v>61.236243000000002</v>
      </c>
      <c r="BG147">
        <f ca="1">IF(AND(ISNUMBER($BG$600),$B$419=1),$BG$600,HLOOKUP(INDIRECT(ADDRESS(2,COLUMN())),OFFSET($BN$2,0,0,ROW()-1,60),ROW()-1,FALSE))</f>
        <v>61.649000000000001</v>
      </c>
      <c r="BH147">
        <f ca="1">IF(AND(ISNUMBER($BH$600),$B$419=1),$BH$600,HLOOKUP(INDIRECT(ADDRESS(2,COLUMN())),OFFSET($BN$2,0,0,ROW()-1,60),ROW()-1,FALSE))</f>
        <v>-47.963000000000001</v>
      </c>
      <c r="BI147">
        <f ca="1">IF(AND(ISNUMBER($BI$600),$B$419=1),$BI$600,HLOOKUP(INDIRECT(ADDRESS(2,COLUMN())),OFFSET($BN$2,0,0,ROW()-1,60),ROW()-1,FALSE))</f>
        <v>51.645000459999999</v>
      </c>
      <c r="BJ147">
        <f ca="1">IF(AND(ISNUMBER($BJ$600),$B$419=1),$BJ$600,HLOOKUP(INDIRECT(ADDRESS(2,COLUMN())),OFFSET($BN$2,0,0,ROW()-1,60),ROW()-1,FALSE))</f>
        <v>53.567000999999998</v>
      </c>
      <c r="BK147">
        <f ca="1">IF(AND(ISNUMBER($BK$600),$B$419=1),$BK$600,HLOOKUP(INDIRECT(ADDRESS(2,COLUMN())),OFFSET($BN$2,0,0,ROW()-1,60),ROW()-1,FALSE))</f>
        <v>47.914000999999999</v>
      </c>
      <c r="BL147">
        <f ca="1">IF(AND(ISNUMBER($BL$600),$B$419=1),$BL$600,HLOOKUP(INDIRECT(ADDRESS(2,COLUMN())),OFFSET($BN$2,0,0,ROW()-1,60),ROW()-1,FALSE))</f>
        <v>47.407001000000001</v>
      </c>
      <c r="BM147">
        <f ca="1">IF(AND(ISNUMBER($BM$600),$B$419=1),$BM$600,HLOOKUP(INDIRECT(ADDRESS(2,COLUMN())),OFFSET($BN$2,0,0,ROW()-1,60),ROW()-1,FALSE))</f>
        <v>43.514999000000003</v>
      </c>
      <c r="BN147" t="str">
        <f>""</f>
        <v/>
      </c>
      <c r="BO147">
        <f>64.459</f>
        <v>64.459000000000003</v>
      </c>
      <c r="BP147">
        <f>64.544</f>
        <v>64.543999999999997</v>
      </c>
      <c r="BQ147">
        <f>66.355</f>
        <v>66.355000000000004</v>
      </c>
      <c r="BR147">
        <f>62.772</f>
        <v>62.771999999999998</v>
      </c>
      <c r="BS147">
        <f>62.926</f>
        <v>62.926000000000002</v>
      </c>
      <c r="BT147">
        <f>62.862</f>
        <v>62.862000000000002</v>
      </c>
      <c r="BU147">
        <f>62.618</f>
        <v>62.618000000000002</v>
      </c>
      <c r="BV147">
        <f>62.834</f>
        <v>62.834000000000003</v>
      </c>
      <c r="BW147">
        <f>56.811</f>
        <v>56.811</v>
      </c>
      <c r="BX147">
        <f>61.805</f>
        <v>61.805</v>
      </c>
      <c r="BY147">
        <f>59.845</f>
        <v>59.844999999999999</v>
      </c>
      <c r="BZ147">
        <f>59.1</f>
        <v>59.1</v>
      </c>
      <c r="CA147">
        <f>49.298</f>
        <v>49.298000000000002</v>
      </c>
      <c r="CB147">
        <f>54.063</f>
        <v>54.063000000000002</v>
      </c>
      <c r="CC147">
        <f>55.293</f>
        <v>55.292999999999999</v>
      </c>
      <c r="CD147">
        <f>52.198</f>
        <v>52.198</v>
      </c>
      <c r="CE147">
        <f>43.306</f>
        <v>43.305999999999997</v>
      </c>
      <c r="CF147">
        <f>48.295</f>
        <v>48.295000000000002</v>
      </c>
      <c r="CG147">
        <f>52.595</f>
        <v>52.594999999999999</v>
      </c>
      <c r="CH147">
        <f>50.839</f>
        <v>50.838999999999999</v>
      </c>
      <c r="CI147">
        <f>41.934</f>
        <v>41.933999999999997</v>
      </c>
      <c r="CJ147">
        <f>44.095</f>
        <v>44.094999999999999</v>
      </c>
      <c r="CK147">
        <f>43.58</f>
        <v>43.58</v>
      </c>
      <c r="CL147">
        <f>44.579</f>
        <v>44.579000000000001</v>
      </c>
      <c r="CM147">
        <f>41.687</f>
        <v>41.686999999999998</v>
      </c>
      <c r="CN147">
        <f>39.251</f>
        <v>39.250999999999998</v>
      </c>
      <c r="CO147">
        <f>38.903</f>
        <v>38.902999999999999</v>
      </c>
      <c r="CP147">
        <f>38.435</f>
        <v>38.435000000000002</v>
      </c>
      <c r="CQ147">
        <f>38.856</f>
        <v>38.856000000000002</v>
      </c>
      <c r="CR147">
        <f>45.423</f>
        <v>45.423000000000002</v>
      </c>
      <c r="CS147">
        <f>39.549</f>
        <v>39.548999999999999</v>
      </c>
      <c r="CT147">
        <f>36.72</f>
        <v>36.72</v>
      </c>
      <c r="CU147">
        <f>37.187</f>
        <v>37.186999999999998</v>
      </c>
      <c r="CV147">
        <f>23.796</f>
        <v>23.795999999999999</v>
      </c>
      <c r="CW147">
        <f>62.51</f>
        <v>62.51</v>
      </c>
      <c r="CX147">
        <f>61.616</f>
        <v>61.616</v>
      </c>
      <c r="CY147">
        <f>-29.292</f>
        <v>-29.292000000000002</v>
      </c>
      <c r="CZ147">
        <f>69.737</f>
        <v>69.736999999999995</v>
      </c>
      <c r="DA147">
        <f>82.927</f>
        <v>82.927000000000007</v>
      </c>
      <c r="DB147">
        <f>71.404</f>
        <v>71.403999999999996</v>
      </c>
      <c r="DC147">
        <f>64.5</f>
        <v>64.5</v>
      </c>
      <c r="DD147">
        <f>70.657</f>
        <v>70.656999999999996</v>
      </c>
      <c r="DE147">
        <f>65.994</f>
        <v>65.994</v>
      </c>
      <c r="DF147">
        <f>66.535</f>
        <v>66.534999999999997</v>
      </c>
      <c r="DG147">
        <f>62.64</f>
        <v>62.64</v>
      </c>
      <c r="DH147">
        <f>63.3</f>
        <v>63.3</v>
      </c>
      <c r="DI147">
        <f>61.87</f>
        <v>61.87</v>
      </c>
      <c r="DJ147">
        <f>66.03</f>
        <v>66.03</v>
      </c>
      <c r="DK147">
        <f>61.845</f>
        <v>61.844999999999999</v>
      </c>
      <c r="DL147">
        <f>-64.167571</f>
        <v>-64.167570999999995</v>
      </c>
      <c r="DM147">
        <f>64.608037</f>
        <v>64.608036999999996</v>
      </c>
      <c r="DN147">
        <f>61.236243</f>
        <v>61.236243000000002</v>
      </c>
      <c r="DO147">
        <f>61.649</f>
        <v>61.649000000000001</v>
      </c>
      <c r="DP147">
        <f>-47.963</f>
        <v>-47.963000000000001</v>
      </c>
      <c r="DQ147">
        <f>51.64500046</f>
        <v>51.645000459999999</v>
      </c>
      <c r="DR147">
        <f>53.567001</f>
        <v>53.567000999999998</v>
      </c>
      <c r="DS147">
        <f>47.914001</f>
        <v>47.914000999999999</v>
      </c>
      <c r="DT147">
        <f>47.407001</f>
        <v>47.407001000000001</v>
      </c>
      <c r="DU147">
        <f>43.514999</f>
        <v>43.514999000000003</v>
      </c>
    </row>
    <row r="148" spans="1:125">
      <c r="A148" t="str">
        <f>"收入增长同比(%)"</f>
        <v>收入增长同比(%)</v>
      </c>
      <c r="B148" t="str">
        <f>""</f>
        <v/>
      </c>
      <c r="E148" t="str">
        <f>"Median"</f>
        <v>Median</v>
      </c>
      <c r="F148" t="str">
        <f ca="1">IF(ISERROR(IF(MEDIAN($F$149:$F$163) = 0, "", MEDIAN($F$149:$F$163))), "", (IF(MEDIAN($F$149:$F$163) = 0, "", MEDIAN($F$149:$F$163))))</f>
        <v/>
      </c>
      <c r="G148">
        <f ca="1">IF(ISERROR(IF(MEDIAN($G$149:$G$163) = 0, "", MEDIAN($G$149:$G$163))), "", (IF(MEDIAN($G$149:$G$163) = 0, "", MEDIAN($G$149:$G$163))))</f>
        <v>0.121040754</v>
      </c>
      <c r="H148">
        <f ca="1">IF(ISERROR(IF(MEDIAN($H$149:$H$163) = 0, "", MEDIAN($H$149:$H$163))), "", (IF(MEDIAN($H$149:$H$163) = 0, "", MEDIAN($H$149:$H$163))))</f>
        <v>3.424041828</v>
      </c>
      <c r="I148">
        <f ca="1">IF(ISERROR(IF(MEDIAN($I$149:$I$163) = 0, "", MEDIAN($I$149:$I$163))), "", (IF(MEDIAN($I$149:$I$163) = 0, "", MEDIAN($I$149:$I$163))))</f>
        <v>4.1156948560000002</v>
      </c>
      <c r="J148">
        <f ca="1">IF(ISERROR(IF(MEDIAN($J$149:$J$163) = 0, "", MEDIAN($J$149:$J$163))), "", (IF(MEDIAN($J$149:$J$163) = 0, "", MEDIAN($J$149:$J$163))))</f>
        <v>0.83626324699999999</v>
      </c>
      <c r="K148">
        <f ca="1">IF(ISERROR(IF(MEDIAN($K$149:$K$163) = 0, "", MEDIAN($K$149:$K$163))), "", (IF(MEDIAN($K$149:$K$163) = 0, "", MEDIAN($K$149:$K$163))))</f>
        <v>3.2843915890000002</v>
      </c>
      <c r="L148">
        <f ca="1">IF(ISERROR(IF(MEDIAN($L$149:$L$163) = 0, "", MEDIAN($L$149:$L$163))), "", (IF(MEDIAN($L$149:$L$163) = 0, "", MEDIAN($L$149:$L$163))))</f>
        <v>2.8050876539999998</v>
      </c>
      <c r="M148">
        <f ca="1">IF(ISERROR(IF(MEDIAN($M$149:$M$163) = 0, "", MEDIAN($M$149:$M$163))), "", (IF(MEDIAN($M$149:$M$163) = 0, "", MEDIAN($M$149:$M$163))))</f>
        <v>0.442005492</v>
      </c>
      <c r="N148">
        <f ca="1">IF(ISERROR(IF(MEDIAN($N$149:$N$163) = 0, "", MEDIAN($N$149:$N$163))), "", (IF(MEDIAN($N$149:$N$163) = 0, "", MEDIAN($N$149:$N$163))))</f>
        <v>4.849429894</v>
      </c>
      <c r="O148">
        <f ca="1">IF(ISERROR(IF(MEDIAN($O$149:$O$163) = 0, "", MEDIAN($O$149:$O$163))), "", (IF(MEDIAN($O$149:$O$163) = 0, "", MEDIAN($O$149:$O$163))))</f>
        <v>6.437415197</v>
      </c>
      <c r="P148">
        <f ca="1">IF(ISERROR(IF(MEDIAN($P$149:$P$163) = 0, "", MEDIAN($P$149:$P$163))), "", (IF(MEDIAN($P$149:$P$163) = 0, "", MEDIAN($P$149:$P$163))))</f>
        <v>6.9201761729999998</v>
      </c>
      <c r="Q148">
        <f ca="1">IF(ISERROR(IF(MEDIAN($Q$149:$Q$163) = 0, "", MEDIAN($Q$149:$Q$163))), "", (IF(MEDIAN($Q$149:$Q$163) = 0, "", MEDIAN($Q$149:$Q$163))))</f>
        <v>6.3142455789999996</v>
      </c>
      <c r="R148">
        <f ca="1">IF(ISERROR(IF(MEDIAN($R$149:$R$163) = 0, "", MEDIAN($R$149:$R$163))), "", (IF(MEDIAN($R$149:$R$163) = 0, "", MEDIAN($R$149:$R$163))))</f>
        <v>7.168587896</v>
      </c>
      <c r="S148">
        <f ca="1">IF(ISERROR(IF(MEDIAN($S$149:$S$163) = 0, "", MEDIAN($S$149:$S$163))), "", (IF(MEDIAN($S$149:$S$163) = 0, "", MEDIAN($S$149:$S$163))))</f>
        <v>7.2314238089999998</v>
      </c>
      <c r="T148">
        <f ca="1">IF(ISERROR(IF(MEDIAN($T$149:$T$163) = 0, "", MEDIAN($T$149:$T$163))), "", (IF(MEDIAN($T$149:$T$163) = 0, "", MEDIAN($T$149:$T$163))))</f>
        <v>10.091504000500001</v>
      </c>
      <c r="U148">
        <f ca="1">IF(ISERROR(IF(MEDIAN($U$149:$U$163) = 0, "", MEDIAN($U$149:$U$163))), "", (IF(MEDIAN($U$149:$U$163) = 0, "", MEDIAN($U$149:$U$163))))</f>
        <v>10.482657850000001</v>
      </c>
      <c r="V148">
        <f ca="1">IF(ISERROR(IF(MEDIAN($V$149:$V$163) = 0, "", MEDIAN($V$149:$V$163))), "", (IF(MEDIAN($V$149:$V$163) = 0, "", MEDIAN($V$149:$V$163))))</f>
        <v>11.728001135</v>
      </c>
      <c r="W148">
        <f ca="1">IF(ISERROR(IF(MEDIAN($W$149:$W$163) = 0, "", MEDIAN($W$149:$W$163))), "", (IF(MEDIAN($W$149:$W$163) = 0, "", MEDIAN($W$149:$W$163))))</f>
        <v>10.032720340499999</v>
      </c>
      <c r="X148">
        <f ca="1">IF(ISERROR(IF(MEDIAN($X$149:$X$163) = 0, "", MEDIAN($X$149:$X$163))), "", (IF(MEDIAN($X$149:$X$163) = 0, "", MEDIAN($X$149:$X$163))))</f>
        <v>3.723673652</v>
      </c>
      <c r="Y148">
        <f ca="1">IF(ISERROR(IF(MEDIAN($Y$149:$Y$163) = 0, "", MEDIAN($Y$149:$Y$163))), "", (IF(MEDIAN($Y$149:$Y$163) = 0, "", MEDIAN($Y$149:$Y$163))))</f>
        <v>5.4370008004999999</v>
      </c>
      <c r="Z148">
        <f ca="1">IF(ISERROR(IF(MEDIAN($Z$149:$Z$163) = 0, "", MEDIAN($Z$149:$Z$163))), "", (IF(MEDIAN($Z$149:$Z$163) = 0, "", MEDIAN($Z$149:$Z$163))))</f>
        <v>4.9878641994999997</v>
      </c>
      <c r="AA148">
        <f ca="1">IF(ISERROR(IF(MEDIAN($AA$149:$AA$163) = 0, "", MEDIAN($AA$149:$AA$163))), "", (IF(MEDIAN($AA$149:$AA$163) = 0, "", MEDIAN($AA$149:$AA$163))))</f>
        <v>6.502131479</v>
      </c>
      <c r="AB148">
        <f ca="1">IF(ISERROR(IF(MEDIAN($AB$149:$AB$163) = 0, "", MEDIAN($AB$149:$AB$163))), "", (IF(MEDIAN($AB$149:$AB$163) = 0, "", MEDIAN($AB$149:$AB$163))))</f>
        <v>6.7862023589999998</v>
      </c>
      <c r="AC148">
        <f ca="1">IF(ISERROR(IF(MEDIAN($AC$149:$AC$163) = 0, "", MEDIAN($AC$149:$AC$163))), "", (IF(MEDIAN($AC$149:$AC$163) = 0, "", MEDIAN($AC$149:$AC$163))))</f>
        <v>5.6028184999999997</v>
      </c>
      <c r="AD148">
        <f ca="1">IF(ISERROR(IF(MEDIAN($AD$149:$AD$163) = 0, "", MEDIAN($AD$149:$AD$163))), "", (IF(MEDIAN($AD$149:$AD$163) = 0, "", MEDIAN($AD$149:$AD$163))))</f>
        <v>6.2768345569999999</v>
      </c>
      <c r="AE148">
        <f ca="1">IF(ISERROR(IF(MEDIAN($AE$149:$AE$163) = 0, "", MEDIAN($AE$149:$AE$163))), "", (IF(MEDIAN($AE$149:$AE$163) = 0, "", MEDIAN($AE$149:$AE$163))))</f>
        <v>3.8093616385</v>
      </c>
      <c r="AF148">
        <f ca="1">IF(ISERROR(IF(MEDIAN($AF$149:$AF$163) = 0, "", MEDIAN($AF$149:$AF$163))), "", (IF(MEDIAN($AF$149:$AF$163) = 0, "", MEDIAN($AF$149:$AF$163))))</f>
        <v>2.8450403215</v>
      </c>
      <c r="AG148">
        <f ca="1">IF(ISERROR(IF(MEDIAN($AG$149:$AG$163) = 0, "", MEDIAN($AG$149:$AG$163))), "", (IF(MEDIAN($AG$149:$AG$163) = 0, "", MEDIAN($AG$149:$AG$163))))</f>
        <v>2.5487633609999998</v>
      </c>
      <c r="AH148">
        <f ca="1">IF(ISERROR(IF(MEDIAN($AH$149:$AH$163) = 0, "", MEDIAN($AH$149:$AH$163))), "", (IF(MEDIAN($AH$149:$AH$163) = 0, "", MEDIAN($AH$149:$AH$163))))</f>
        <v>0.201486162</v>
      </c>
      <c r="AI148">
        <f ca="1">IF(ISERROR(IF(MEDIAN($AI$149:$AI$163) = 0, "", MEDIAN($AI$149:$AI$163))), "", (IF(MEDIAN($AI$149:$AI$163) = 0, "", MEDIAN($AI$149:$AI$163))))</f>
        <v>-0.49167369599999999</v>
      </c>
      <c r="AJ148">
        <f ca="1">IF(ISERROR(IF(MEDIAN($AJ$149:$AJ$163) = 0, "", MEDIAN($AJ$149:$AJ$163))), "", (IF(MEDIAN($AJ$149:$AJ$163) = 0, "", MEDIAN($AJ$149:$AJ$163))))</f>
        <v>9.1823455999999998E-2</v>
      </c>
      <c r="AK148">
        <f ca="1">IF(ISERROR(IF(MEDIAN($AK$149:$AK$163) = 0, "", MEDIAN($AK$149:$AK$163))), "", (IF(MEDIAN($AK$149:$AK$163) = 0, "", MEDIAN($AK$149:$AK$163))))</f>
        <v>1.7989283169999999</v>
      </c>
      <c r="AL148">
        <f ca="1">IF(ISERROR(IF(MEDIAN($AL$149:$AL$163) = 0, "", MEDIAN($AL$149:$AL$163))), "", (IF(MEDIAN($AL$149:$AL$163) = 0, "", MEDIAN($AL$149:$AL$163))))</f>
        <v>1.0364924735000001</v>
      </c>
      <c r="AM148">
        <f ca="1">IF(ISERROR(IF(MEDIAN($AM$149:$AM$163) = 0, "", MEDIAN($AM$149:$AM$163))), "", (IF(MEDIAN($AM$149:$AM$163) = 0, "", MEDIAN($AM$149:$AM$163))))</f>
        <v>-0.61294780799999993</v>
      </c>
      <c r="AN148">
        <f ca="1">IF(ISERROR(IF(MEDIAN($AN$149:$AN$163) = 0, "", MEDIAN($AN$149:$AN$163))), "", (IF(MEDIAN($AN$149:$AN$163) = 0, "", MEDIAN($AN$149:$AN$163))))</f>
        <v>-1.0319562284999999</v>
      </c>
      <c r="AO148">
        <f ca="1">IF(ISERROR(IF(MEDIAN($AO$149:$AO$163) = 0, "", MEDIAN($AO$149:$AO$163))), "", (IF(MEDIAN($AO$149:$AO$163) = 0, "", MEDIAN($AO$149:$AO$163))))</f>
        <v>-2.1409226415</v>
      </c>
      <c r="AP148">
        <f ca="1">IF(ISERROR(IF(MEDIAN($AP$149:$AP$163) = 0, "", MEDIAN($AP$149:$AP$163))), "", (IF(MEDIAN($AP$149:$AP$163) = 0, "", MEDIAN($AP$149:$AP$163))))</f>
        <v>1.2003888679999999</v>
      </c>
      <c r="AQ148">
        <f ca="1">IF(ISERROR(IF(MEDIAN($AQ$149:$AQ$163) = 0, "", MEDIAN($AQ$149:$AQ$163))), "", (IF(MEDIAN($AQ$149:$AQ$163) = 0, "", MEDIAN($AQ$149:$AQ$163))))</f>
        <v>4.2034921315</v>
      </c>
      <c r="AR148">
        <f ca="1">IF(ISERROR(IF(MEDIAN($AR$149:$AR$163) = 0, "", MEDIAN($AR$149:$AR$163))), "", (IF(MEDIAN($AR$149:$AR$163) = 0, "", MEDIAN($AR$149:$AR$163))))</f>
        <v>7.0519473515</v>
      </c>
      <c r="AS148">
        <f ca="1">IF(ISERROR(IF(MEDIAN($AS$149:$AS$163) = 0, "", MEDIAN($AS$149:$AS$163))), "", (IF(MEDIAN($AS$149:$AS$163) = 0, "", MEDIAN($AS$149:$AS$163))))</f>
        <v>7.9223417129999998</v>
      </c>
      <c r="AT148">
        <f ca="1">IF(ISERROR(IF(MEDIAN($AT$149:$AT$163) = 0, "", MEDIAN($AT$149:$AT$163))), "", (IF(MEDIAN($AT$149:$AT$163) = 0, "", MEDIAN($AT$149:$AT$163))))</f>
        <v>8.9829134844999992</v>
      </c>
      <c r="AU148">
        <f ca="1">IF(ISERROR(IF(MEDIAN($AU$149:$AU$163) = 0, "", MEDIAN($AU$149:$AU$163))), "", (IF(MEDIAN($AU$149:$AU$163) = 0, "", MEDIAN($AU$149:$AU$163))))</f>
        <v>9.0908678584999993</v>
      </c>
      <c r="AV148">
        <f ca="1">IF(ISERROR(IF(MEDIAN($AV$149:$AV$163) = 0, "", MEDIAN($AV$149:$AV$163))), "", (IF(MEDIAN($AV$149:$AV$163) = 0, "", MEDIAN($AV$149:$AV$163))))</f>
        <v>11.28654128</v>
      </c>
      <c r="AW148">
        <f ca="1">IF(ISERROR(IF(MEDIAN($AW$149:$AW$163) = 0, "", MEDIAN($AW$149:$AW$163))), "", (IF(MEDIAN($AW$149:$AW$163) = 0, "", MEDIAN($AW$149:$AW$163))))</f>
        <v>9.4795447604999996</v>
      </c>
      <c r="AX148">
        <f ca="1">IF(ISERROR(IF(MEDIAN($AX$149:$AX$163) = 0, "", MEDIAN($AX$149:$AX$163))), "", (IF(MEDIAN($AX$149:$AX$163) = 0, "", MEDIAN($AX$149:$AX$163))))</f>
        <v>9.3355883189999993</v>
      </c>
      <c r="AY148">
        <f ca="1">IF(ISERROR(IF(MEDIAN($AY$149:$AY$163) = 0, "", MEDIAN($AY$149:$AY$163))), "", (IF(MEDIAN($AY$149:$AY$163) = 0, "", MEDIAN($AY$149:$AY$163))))</f>
        <v>14.616969694999998</v>
      </c>
      <c r="AZ148">
        <f ca="1">IF(ISERROR(IF(MEDIAN($AZ$149:$AZ$163) = 0, "", MEDIAN($AZ$149:$AZ$163))), "", (IF(MEDIAN($AZ$149:$AZ$163) = 0, "", MEDIAN($AZ$149:$AZ$163))))</f>
        <v>7.8710598204999993</v>
      </c>
      <c r="BA148">
        <f ca="1">IF(ISERROR(IF(MEDIAN($BA$149:$BA$163) = 0, "", MEDIAN($BA$149:$BA$163))), "", (IF(MEDIAN($BA$149:$BA$163) = 0, "", MEDIAN($BA$149:$BA$163))))</f>
        <v>7.7546534109999996</v>
      </c>
      <c r="BB148">
        <f ca="1">IF(ISERROR(IF(MEDIAN($BB$149:$BB$163) = 0, "", MEDIAN($BB$149:$BB$163))), "", (IF(MEDIAN($BB$149:$BB$163) = 0, "", MEDIAN($BB$149:$BB$163))))</f>
        <v>6.6170503015</v>
      </c>
      <c r="BC148">
        <f ca="1">IF(ISERROR(IF(MEDIAN($BC$149:$BC$163) = 0, "", MEDIAN($BC$149:$BC$163))), "", (IF(MEDIAN($BC$149:$BC$163) = 0, "", MEDIAN($BC$149:$BC$163))))</f>
        <v>4.9845568010000001</v>
      </c>
      <c r="BD148">
        <f ca="1">IF(ISERROR(IF(MEDIAN($BD$149:$BD$163) = 0, "", MEDIAN($BD$149:$BD$163))), "", (IF(MEDIAN($BD$149:$BD$163) = 0, "", MEDIAN($BD$149:$BD$163))))</f>
        <v>3.5806893139999998</v>
      </c>
      <c r="BE148">
        <f ca="1">IF(ISERROR(IF(MEDIAN($BE$149:$BE$163) = 0, "", MEDIAN($BE$149:$BE$163))), "", (IF(MEDIAN($BE$149:$BE$163) = 0, "", MEDIAN($BE$149:$BE$163))))</f>
        <v>10.9035363825</v>
      </c>
      <c r="BF148">
        <f ca="1">IF(ISERROR(IF(MEDIAN($BF$149:$BF$163) = 0, "", MEDIAN($BF$149:$BF$163))), "", (IF(MEDIAN($BF$149:$BF$163) = 0, "", MEDIAN($BF$149:$BF$163))))</f>
        <v>7.8847128840000007</v>
      </c>
      <c r="BG148">
        <f ca="1">IF(ISERROR(IF(MEDIAN($BG$149:$BG$163) = 0, "", MEDIAN($BG$149:$BG$163))), "", (IF(MEDIAN($BG$149:$BG$163) = 0, "", MEDIAN($BG$149:$BG$163))))</f>
        <v>17.878359379999999</v>
      </c>
      <c r="BH148">
        <f ca="1">IF(ISERROR(IF(MEDIAN($BH$149:$BH$163) = 0, "", MEDIAN($BH$149:$BH$163))), "", (IF(MEDIAN($BH$149:$BH$163) = 0, "", MEDIAN($BH$149:$BH$163))))</f>
        <v>16.387418194999999</v>
      </c>
      <c r="BI148">
        <f ca="1">IF(ISERROR(IF(MEDIAN($BI$149:$BI$163) = 0, "", MEDIAN($BI$149:$BI$163))), "", (IF(MEDIAN($BI$149:$BI$163) = 0, "", MEDIAN($BI$149:$BI$163))))</f>
        <v>17.388684545</v>
      </c>
      <c r="BJ148">
        <f ca="1">IF(ISERROR(IF(MEDIAN($BJ$149:$BJ$163) = 0, "", MEDIAN($BJ$149:$BJ$163))), "", (IF(MEDIAN($BJ$149:$BJ$163) = 0, "", MEDIAN($BJ$149:$BJ$163))))</f>
        <v>17.72530077</v>
      </c>
      <c r="BK148">
        <f ca="1">IF(ISERROR(IF(MEDIAN($BK$149:$BK$163) = 0, "", MEDIAN($BK$149:$BK$163))), "", (IF(MEDIAN($BK$149:$BK$163) = 0, "", MEDIAN($BK$149:$BK$163))))</f>
        <v>13.324835934999999</v>
      </c>
      <c r="BL148">
        <f ca="1">IF(ISERROR(IF(MEDIAN($BL$149:$BL$163) = 0, "", MEDIAN($BL$149:$BL$163))), "", (IF(MEDIAN($BL$149:$BL$163) = 0, "", MEDIAN($BL$149:$BL$163))))</f>
        <v>11.18265527</v>
      </c>
      <c r="BM148">
        <f ca="1">IF(ISERROR(IF(MEDIAN($BM$149:$BM$163) = 0, "", MEDIAN($BM$149:$BM$163))), "", (IF(MEDIAN($BM$149:$BM$163) = 0, "", MEDIAN($BM$149:$BM$163))))</f>
        <v>8.6572832965000011</v>
      </c>
      <c r="BN148" t="str">
        <f>""</f>
        <v/>
      </c>
      <c r="BO148">
        <f>0.121040754</f>
        <v>0.121040754</v>
      </c>
      <c r="BP148">
        <f>3.424041828</f>
        <v>3.424041828</v>
      </c>
      <c r="BQ148">
        <f>4.115694856</f>
        <v>4.1156948560000002</v>
      </c>
      <c r="BR148">
        <f>0.836263247</f>
        <v>0.83626324699999999</v>
      </c>
      <c r="BS148">
        <f>3.284391589</f>
        <v>3.2843915890000002</v>
      </c>
      <c r="BT148">
        <f>2.805087654</f>
        <v>2.8050876539999998</v>
      </c>
      <c r="BU148">
        <f>0.442005492</f>
        <v>0.442005492</v>
      </c>
      <c r="BV148">
        <f>4.849429894</f>
        <v>4.849429894</v>
      </c>
      <c r="BW148">
        <f>6.437415197</f>
        <v>6.437415197</v>
      </c>
      <c r="BX148">
        <f>6.920176173</f>
        <v>6.9201761729999998</v>
      </c>
      <c r="BY148">
        <f>6.314245579</f>
        <v>6.3142455789999996</v>
      </c>
      <c r="BZ148">
        <f>7.168587896</f>
        <v>7.168587896</v>
      </c>
      <c r="CA148">
        <f>7.231423809</f>
        <v>7.2314238089999998</v>
      </c>
      <c r="CB148">
        <f>10.091504</f>
        <v>10.091504</v>
      </c>
      <c r="CC148">
        <f>10.48265785</f>
        <v>10.482657850000001</v>
      </c>
      <c r="CD148">
        <f>11.72800114</f>
        <v>11.72800114</v>
      </c>
      <c r="CE148">
        <f>10.03272034</f>
        <v>10.032720339999999</v>
      </c>
      <c r="CF148">
        <f>3.723673652</f>
        <v>3.723673652</v>
      </c>
      <c r="CG148">
        <f>5.4370008</f>
        <v>5.4370007999999999</v>
      </c>
      <c r="CH148">
        <f>4.9878642</f>
        <v>4.9878641999999997</v>
      </c>
      <c r="CI148">
        <f>6.502131479</f>
        <v>6.502131479</v>
      </c>
      <c r="CJ148">
        <f>6.786202359</f>
        <v>6.7862023589999998</v>
      </c>
      <c r="CK148">
        <f>5.6028185</f>
        <v>5.6028184999999997</v>
      </c>
      <c r="CL148">
        <f>6.276834557</f>
        <v>6.2768345569999999</v>
      </c>
      <c r="CM148">
        <f>3.809361638</f>
        <v>3.8093616379999999</v>
      </c>
      <c r="CN148">
        <f>2.845040322</f>
        <v>2.845040322</v>
      </c>
      <c r="CO148">
        <f>2.548763361</f>
        <v>2.5487633609999998</v>
      </c>
      <c r="CP148">
        <f>0.201486162</f>
        <v>0.201486162</v>
      </c>
      <c r="CQ148">
        <f>-0.491673696</f>
        <v>-0.49167369599999999</v>
      </c>
      <c r="CR148">
        <f>0.091823456</f>
        <v>9.1823455999999998E-2</v>
      </c>
      <c r="CS148">
        <f>1.798928317</f>
        <v>1.7989283170000001</v>
      </c>
      <c r="CT148">
        <f>1.036492473</f>
        <v>1.036492473</v>
      </c>
      <c r="CU148">
        <f>-0.612947808</f>
        <v>-0.61294780800000004</v>
      </c>
      <c r="CV148">
        <f>-1.031956229</f>
        <v>-1.0319562289999999</v>
      </c>
      <c r="CW148">
        <f>-2.140922641</f>
        <v>-2.140922641</v>
      </c>
      <c r="CX148">
        <f>1.200388868</f>
        <v>1.2003888680000001</v>
      </c>
      <c r="CY148">
        <f>4.203492132</f>
        <v>4.203492132</v>
      </c>
      <c r="CZ148">
        <f>7.051947351</f>
        <v>7.0519473509999999</v>
      </c>
      <c r="DA148">
        <f>7.922341713</f>
        <v>7.9223417129999998</v>
      </c>
      <c r="DB148">
        <f>8.982913484</f>
        <v>8.9829134839999991</v>
      </c>
      <c r="DC148">
        <f>9.090867856</f>
        <v>9.0908678559999991</v>
      </c>
      <c r="DD148">
        <f>11.28654128</f>
        <v>11.28654128</v>
      </c>
      <c r="DE148">
        <f>9.47954476</f>
        <v>9.4795447599999996</v>
      </c>
      <c r="DF148">
        <f>9.335588319</f>
        <v>9.3355883189999993</v>
      </c>
      <c r="DG148">
        <f>14.6169697</f>
        <v>14.6169697</v>
      </c>
      <c r="DH148">
        <f>7.871059821</f>
        <v>7.8710598210000002</v>
      </c>
      <c r="DI148">
        <f>7.754653411</f>
        <v>7.7546534109999996</v>
      </c>
      <c r="DJ148">
        <f>6.617050302</f>
        <v>6.617050302</v>
      </c>
      <c r="DK148">
        <f>4.984556801</f>
        <v>4.9845568010000001</v>
      </c>
      <c r="DL148">
        <f>3.580689314</f>
        <v>3.5806893139999998</v>
      </c>
      <c r="DM148">
        <f>10.90353638</f>
        <v>10.90353638</v>
      </c>
      <c r="DN148">
        <f>7.884712884</f>
        <v>7.8847128839999998</v>
      </c>
      <c r="DO148">
        <f>17.87835938</f>
        <v>17.878359379999999</v>
      </c>
      <c r="DP148">
        <f>16.38741819</f>
        <v>16.387418190000002</v>
      </c>
      <c r="DQ148">
        <f>17.38868455</f>
        <v>17.388684550000001</v>
      </c>
      <c r="DR148">
        <f>17.72530077</f>
        <v>17.72530077</v>
      </c>
      <c r="DS148">
        <f>13.32483593</f>
        <v>13.324835930000001</v>
      </c>
      <c r="DT148">
        <f>11.18265527</f>
        <v>11.18265527</v>
      </c>
      <c r="DU148">
        <f>8.657283296</f>
        <v>8.6572832959999992</v>
      </c>
    </row>
    <row r="149" spans="1:125">
      <c r="A149" t="str">
        <f>"    Brixmor Property Group Inc"</f>
        <v xml:space="preserve">    Brixmor Property Group Inc</v>
      </c>
      <c r="B149" t="str">
        <f>"BRX US Equity"</f>
        <v>BRX US Equity</v>
      </c>
      <c r="C149" t="str">
        <f t="shared" ref="C149:C163" si="27">"RR033"</f>
        <v>RR033</v>
      </c>
      <c r="D149" t="str">
        <f t="shared" ref="D149:D163" si="28">"SALES_GROWTH"</f>
        <v>SALES_GROWTH</v>
      </c>
      <c r="E149" t="str">
        <f t="shared" ref="E149:E163" si="29">"动态"</f>
        <v>动态</v>
      </c>
      <c r="F149" t="str">
        <f ca="1">IF(AND(ISNUMBER($F$601),$B$419=1),$F$601,HLOOKUP(INDIRECT(ADDRESS(2,COLUMN())),OFFSET($BN$2,0,0,ROW()-1,60),ROW()-1,FALSE))</f>
        <v/>
      </c>
      <c r="G149">
        <f ca="1">IF(AND(ISNUMBER($G$601),$B$419=1),$G$601,HLOOKUP(INDIRECT(ADDRESS(2,COLUMN())),OFFSET($BN$2,0,0,ROW()-1,60),ROW()-1,FALSE))</f>
        <v>-1.2264145120000001</v>
      </c>
      <c r="H149">
        <f ca="1">IF(AND(ISNUMBER($H$601),$B$419=1),$H$601,HLOOKUP(INDIRECT(ADDRESS(2,COLUMN())),OFFSET($BN$2,0,0,ROW()-1,60),ROW()-1,FALSE))</f>
        <v>-1.2810089870000001</v>
      </c>
      <c r="I149">
        <f ca="1">IF(AND(ISNUMBER($I$601),$B$419=1),$I$601,HLOOKUP(INDIRECT(ADDRESS(2,COLUMN())),OFFSET($BN$2,0,0,ROW()-1,60),ROW()-1,FALSE))</f>
        <v>4.1156948560000002</v>
      </c>
      <c r="J149">
        <f ca="1">IF(AND(ISNUMBER($J$601),$B$419=1),$J$601,HLOOKUP(INDIRECT(ADDRESS(2,COLUMN())),OFFSET($BN$2,0,0,ROW()-1,60),ROW()-1,FALSE))</f>
        <v>0.83626324699999999</v>
      </c>
      <c r="K149">
        <f ca="1">IF(AND(ISNUMBER($K$601),$B$419=1),$K$601,HLOOKUP(INDIRECT(ADDRESS(2,COLUMN())),OFFSET($BN$2,0,0,ROW()-1,60),ROW()-1,FALSE))</f>
        <v>-0.465979217</v>
      </c>
      <c r="L149">
        <f ca="1">IF(AND(ISNUMBER($L$601),$B$419=1),$L$601,HLOOKUP(INDIRECT(ADDRESS(2,COLUMN())),OFFSET($BN$2,0,0,ROW()-1,60),ROW()-1,FALSE))</f>
        <v>1.7736602509999999</v>
      </c>
      <c r="M149">
        <f ca="1">IF(AND(ISNUMBER($M$601),$B$419=1),$M$601,HLOOKUP(INDIRECT(ADDRESS(2,COLUMN())),OFFSET($BN$2,0,0,ROW()-1,60),ROW()-1,FALSE))</f>
        <v>-0.65809920200000005</v>
      </c>
      <c r="N149">
        <f ca="1">IF(AND(ISNUMBER($N$601),$B$419=1),$N$601,HLOOKUP(INDIRECT(ADDRESS(2,COLUMN())),OFFSET($BN$2,0,0,ROW()-1,60),ROW()-1,FALSE))</f>
        <v>2.4773781850000001</v>
      </c>
      <c r="O149">
        <f ca="1">IF(AND(ISNUMBER($O$601),$B$419=1),$O$601,HLOOKUP(INDIRECT(ADDRESS(2,COLUMN())),OFFSET($BN$2,0,0,ROW()-1,60),ROW()-1,FALSE))</f>
        <v>3.479283546</v>
      </c>
      <c r="P149">
        <f ca="1">IF(AND(ISNUMBER($P$601),$B$419=1),$P$601,HLOOKUP(INDIRECT(ADDRESS(2,COLUMN())),OFFSET($BN$2,0,0,ROW()-1,60),ROW()-1,FALSE))</f>
        <v>2.1392049439999998</v>
      </c>
      <c r="Q149">
        <f ca="1">IF(AND(ISNUMBER($Q$601),$B$419=1),$Q$601,HLOOKUP(INDIRECT(ADDRESS(2,COLUMN())),OFFSET($BN$2,0,0,ROW()-1,60),ROW()-1,FALSE))</f>
        <v>1.351522492</v>
      </c>
      <c r="R149">
        <f ca="1">IF(AND(ISNUMBER($R$601),$B$419=1),$R$601,HLOOKUP(INDIRECT(ADDRESS(2,COLUMN())),OFFSET($BN$2,0,0,ROW()-1,60),ROW()-1,FALSE))</f>
        <v>2.5093066730000002</v>
      </c>
      <c r="S149">
        <f ca="1">IF(AND(ISNUMBER($S$601),$B$419=1),$S$601,HLOOKUP(INDIRECT(ADDRESS(2,COLUMN())),OFFSET($BN$2,0,0,ROW()-1,60),ROW()-1,FALSE))</f>
        <v>3.1008412449999998</v>
      </c>
      <c r="T149">
        <f ca="1">IF(AND(ISNUMBER($T$601),$B$419=1),$T$601,HLOOKUP(INDIRECT(ADDRESS(2,COLUMN())),OFFSET($BN$2,0,0,ROW()-1,60),ROW()-1,FALSE))</f>
        <v>7.1232828829999999</v>
      </c>
      <c r="U149">
        <f ca="1">IF(AND(ISNUMBER($U$601),$B$419=1),$U$601,HLOOKUP(INDIRECT(ADDRESS(2,COLUMN())),OFFSET($BN$2,0,0,ROW()-1,60),ROW()-1,FALSE))</f>
        <v>10.6854288</v>
      </c>
      <c r="V149">
        <f ca="1">IF(AND(ISNUMBER($V$601),$B$419=1),$V$601,HLOOKUP(INDIRECT(ADDRESS(2,COLUMN())),OFFSET($BN$2,0,0,ROW()-1,60),ROW()-1,FALSE))</f>
        <v>10.91057919</v>
      </c>
      <c r="W149">
        <f ca="1">IF(AND(ISNUMBER($W$601),$B$419=1),$W$601,HLOOKUP(INDIRECT(ADDRESS(2,COLUMN())),OFFSET($BN$2,0,0,ROW()-1,60),ROW()-1,FALSE))</f>
        <v>6.9367686590000002</v>
      </c>
      <c r="X149">
        <f ca="1">IF(AND(ISNUMBER($X$601),$B$419=1),$X$601,HLOOKUP(INDIRECT(ADDRESS(2,COLUMN())),OFFSET($BN$2,0,0,ROW()-1,60),ROW()-1,FALSE))</f>
        <v>1.9957788460000001</v>
      </c>
      <c r="Y149">
        <f ca="1">IF(AND(ISNUMBER($Y$601),$B$419=1),$Y$601,HLOOKUP(INDIRECT(ADDRESS(2,COLUMN())),OFFSET($BN$2,0,0,ROW()-1,60),ROW()-1,FALSE))</f>
        <v>0.53043880399999999</v>
      </c>
      <c r="Z149">
        <f ca="1">IF(AND(ISNUMBER($Z$601),$B$419=1),$Z$601,HLOOKUP(INDIRECT(ADDRESS(2,COLUMN())),OFFSET($BN$2,0,0,ROW()-1,60),ROW()-1,FALSE))</f>
        <v>-1.1721019079999999</v>
      </c>
      <c r="AA149" t="str">
        <f ca="1">IF(AND(ISNUMBER($AA$601),$B$419=1),$AA$601,HLOOKUP(INDIRECT(ADDRESS(2,COLUMN())),OFFSET($BN$2,0,0,ROW()-1,60),ROW()-1,FALSE))</f>
        <v/>
      </c>
      <c r="AB149" t="str">
        <f ca="1">IF(AND(ISNUMBER($AB$601),$B$419=1),$AB$601,HLOOKUP(INDIRECT(ADDRESS(2,COLUMN())),OFFSET($BN$2,0,0,ROW()-1,60),ROW()-1,FALSE))</f>
        <v/>
      </c>
      <c r="AC149" t="str">
        <f ca="1">IF(AND(ISNUMBER($AC$601),$B$419=1),$AC$601,HLOOKUP(INDIRECT(ADDRESS(2,COLUMN())),OFFSET($BN$2,0,0,ROW()-1,60),ROW()-1,FALSE))</f>
        <v/>
      </c>
      <c r="AD149" t="str">
        <f ca="1">IF(AND(ISNUMBER($AD$601),$B$419=1),$AD$601,HLOOKUP(INDIRECT(ADDRESS(2,COLUMN())),OFFSET($BN$2,0,0,ROW()-1,60),ROW()-1,FALSE))</f>
        <v/>
      </c>
      <c r="AE149" t="str">
        <f ca="1">IF(AND(ISNUMBER($AE$601),$B$419=1),$AE$601,HLOOKUP(INDIRECT(ADDRESS(2,COLUMN())),OFFSET($BN$2,0,0,ROW()-1,60),ROW()-1,FALSE))</f>
        <v/>
      </c>
      <c r="AF149" t="str">
        <f ca="1">IF(AND(ISNUMBER($AF$601),$B$419=1),$AF$601,HLOOKUP(INDIRECT(ADDRESS(2,COLUMN())),OFFSET($BN$2,0,0,ROW()-1,60),ROW()-1,FALSE))</f>
        <v/>
      </c>
      <c r="AG149" t="str">
        <f ca="1">IF(AND(ISNUMBER($AG$601),$B$419=1),$AG$601,HLOOKUP(INDIRECT(ADDRESS(2,COLUMN())),OFFSET($BN$2,0,0,ROW()-1,60),ROW()-1,FALSE))</f>
        <v/>
      </c>
      <c r="AH149" t="str">
        <f ca="1">IF(AND(ISNUMBER($AH$601),$B$419=1),$AH$601,HLOOKUP(INDIRECT(ADDRESS(2,COLUMN())),OFFSET($BN$2,0,0,ROW()-1,60),ROW()-1,FALSE))</f>
        <v/>
      </c>
      <c r="AI149" t="str">
        <f ca="1">IF(AND(ISNUMBER($AI$601),$B$419=1),$AI$601,HLOOKUP(INDIRECT(ADDRESS(2,COLUMN())),OFFSET($BN$2,0,0,ROW()-1,60),ROW()-1,FALSE))</f>
        <v/>
      </c>
      <c r="AJ149" t="str">
        <f ca="1">IF(AND(ISNUMBER($AJ$601),$B$419=1),$AJ$601,HLOOKUP(INDIRECT(ADDRESS(2,COLUMN())),OFFSET($BN$2,0,0,ROW()-1,60),ROW()-1,FALSE))</f>
        <v/>
      </c>
      <c r="AK149" t="str">
        <f ca="1">IF(AND(ISNUMBER($AK$601),$B$419=1),$AK$601,HLOOKUP(INDIRECT(ADDRESS(2,COLUMN())),OFFSET($BN$2,0,0,ROW()-1,60),ROW()-1,FALSE))</f>
        <v/>
      </c>
      <c r="AL149" t="str">
        <f ca="1">IF(AND(ISNUMBER($AL$601),$B$419=1),$AL$601,HLOOKUP(INDIRECT(ADDRESS(2,COLUMN())),OFFSET($BN$2,0,0,ROW()-1,60),ROW()-1,FALSE))</f>
        <v/>
      </c>
      <c r="AM149" t="str">
        <f ca="1">IF(AND(ISNUMBER($AM$601),$B$419=1),$AM$601,HLOOKUP(INDIRECT(ADDRESS(2,COLUMN())),OFFSET($BN$2,0,0,ROW()-1,60),ROW()-1,FALSE))</f>
        <v/>
      </c>
      <c r="AN149" t="str">
        <f ca="1">IF(AND(ISNUMBER($AN$601),$B$419=1),$AN$601,HLOOKUP(INDIRECT(ADDRESS(2,COLUMN())),OFFSET($BN$2,0,0,ROW()-1,60),ROW()-1,FALSE))</f>
        <v/>
      </c>
      <c r="AO149" t="str">
        <f ca="1">IF(AND(ISNUMBER($AO$601),$B$419=1),$AO$601,HLOOKUP(INDIRECT(ADDRESS(2,COLUMN())),OFFSET($BN$2,0,0,ROW()-1,60),ROW()-1,FALSE))</f>
        <v/>
      </c>
      <c r="AP149" t="str">
        <f ca="1">IF(AND(ISNUMBER($AP$601),$B$419=1),$AP$601,HLOOKUP(INDIRECT(ADDRESS(2,COLUMN())),OFFSET($BN$2,0,0,ROW()-1,60),ROW()-1,FALSE))</f>
        <v/>
      </c>
      <c r="AQ149" t="str">
        <f ca="1">IF(AND(ISNUMBER($AQ$601),$B$419=1),$AQ$601,HLOOKUP(INDIRECT(ADDRESS(2,COLUMN())),OFFSET($BN$2,0,0,ROW()-1,60),ROW()-1,FALSE))</f>
        <v/>
      </c>
      <c r="AR149" t="str">
        <f ca="1">IF(AND(ISNUMBER($AR$601),$B$419=1),$AR$601,HLOOKUP(INDIRECT(ADDRESS(2,COLUMN())),OFFSET($BN$2,0,0,ROW()-1,60),ROW()-1,FALSE))</f>
        <v/>
      </c>
      <c r="AS149" t="str">
        <f ca="1">IF(AND(ISNUMBER($AS$601),$B$419=1),$AS$601,HLOOKUP(INDIRECT(ADDRESS(2,COLUMN())),OFFSET($BN$2,0,0,ROW()-1,60),ROW()-1,FALSE))</f>
        <v/>
      </c>
      <c r="AT149" t="str">
        <f ca="1">IF(AND(ISNUMBER($AT$601),$B$419=1),$AT$601,HLOOKUP(INDIRECT(ADDRESS(2,COLUMN())),OFFSET($BN$2,0,0,ROW()-1,60),ROW()-1,FALSE))</f>
        <v/>
      </c>
      <c r="AU149" t="str">
        <f ca="1">IF(AND(ISNUMBER($AU$601),$B$419=1),$AU$601,HLOOKUP(INDIRECT(ADDRESS(2,COLUMN())),OFFSET($BN$2,0,0,ROW()-1,60),ROW()-1,FALSE))</f>
        <v/>
      </c>
      <c r="AV149" t="str">
        <f ca="1">IF(AND(ISNUMBER($AV$601),$B$419=1),$AV$601,HLOOKUP(INDIRECT(ADDRESS(2,COLUMN())),OFFSET($BN$2,0,0,ROW()-1,60),ROW()-1,FALSE))</f>
        <v/>
      </c>
      <c r="AW149" t="str">
        <f ca="1">IF(AND(ISNUMBER($AW$601),$B$419=1),$AW$601,HLOOKUP(INDIRECT(ADDRESS(2,COLUMN())),OFFSET($BN$2,0,0,ROW()-1,60),ROW()-1,FALSE))</f>
        <v/>
      </c>
      <c r="AX149" t="str">
        <f ca="1">IF(AND(ISNUMBER($AX$601),$B$419=1),$AX$601,HLOOKUP(INDIRECT(ADDRESS(2,COLUMN())),OFFSET($BN$2,0,0,ROW()-1,60),ROW()-1,FALSE))</f>
        <v/>
      </c>
      <c r="AY149" t="str">
        <f ca="1">IF(AND(ISNUMBER($AY$601),$B$419=1),$AY$601,HLOOKUP(INDIRECT(ADDRESS(2,COLUMN())),OFFSET($BN$2,0,0,ROW()-1,60),ROW()-1,FALSE))</f>
        <v/>
      </c>
      <c r="AZ149" t="str">
        <f ca="1">IF(AND(ISNUMBER($AZ$601),$B$419=1),$AZ$601,HLOOKUP(INDIRECT(ADDRESS(2,COLUMN())),OFFSET($BN$2,0,0,ROW()-1,60),ROW()-1,FALSE))</f>
        <v/>
      </c>
      <c r="BA149" t="str">
        <f ca="1">IF(AND(ISNUMBER($BA$601),$B$419=1),$BA$601,HLOOKUP(INDIRECT(ADDRESS(2,COLUMN())),OFFSET($BN$2,0,0,ROW()-1,60),ROW()-1,FALSE))</f>
        <v/>
      </c>
      <c r="BB149" t="str">
        <f ca="1">IF(AND(ISNUMBER($BB$601),$B$419=1),$BB$601,HLOOKUP(INDIRECT(ADDRESS(2,COLUMN())),OFFSET($BN$2,0,0,ROW()-1,60),ROW()-1,FALSE))</f>
        <v/>
      </c>
      <c r="BC149" t="str">
        <f ca="1">IF(AND(ISNUMBER($BC$601),$B$419=1),$BC$601,HLOOKUP(INDIRECT(ADDRESS(2,COLUMN())),OFFSET($BN$2,0,0,ROW()-1,60),ROW()-1,FALSE))</f>
        <v/>
      </c>
      <c r="BD149" t="str">
        <f ca="1">IF(AND(ISNUMBER($BD$601),$B$419=1),$BD$601,HLOOKUP(INDIRECT(ADDRESS(2,COLUMN())),OFFSET($BN$2,0,0,ROW()-1,60),ROW()-1,FALSE))</f>
        <v/>
      </c>
      <c r="BE149" t="str">
        <f ca="1">IF(AND(ISNUMBER($BE$601),$B$419=1),$BE$601,HLOOKUP(INDIRECT(ADDRESS(2,COLUMN())),OFFSET($BN$2,0,0,ROW()-1,60),ROW()-1,FALSE))</f>
        <v/>
      </c>
      <c r="BF149" t="str">
        <f ca="1">IF(AND(ISNUMBER($BF$601),$B$419=1),$BF$601,HLOOKUP(INDIRECT(ADDRESS(2,COLUMN())),OFFSET($BN$2,0,0,ROW()-1,60),ROW()-1,FALSE))</f>
        <v/>
      </c>
      <c r="BG149" t="str">
        <f ca="1">IF(AND(ISNUMBER($BG$601),$B$419=1),$BG$601,HLOOKUP(INDIRECT(ADDRESS(2,COLUMN())),OFFSET($BN$2,0,0,ROW()-1,60),ROW()-1,FALSE))</f>
        <v/>
      </c>
      <c r="BH149" t="str">
        <f ca="1">IF(AND(ISNUMBER($BH$601),$B$419=1),$BH$601,HLOOKUP(INDIRECT(ADDRESS(2,COLUMN())),OFFSET($BN$2,0,0,ROW()-1,60),ROW()-1,FALSE))</f>
        <v/>
      </c>
      <c r="BI149" t="str">
        <f ca="1">IF(AND(ISNUMBER($BI$601),$B$419=1),$BI$601,HLOOKUP(INDIRECT(ADDRESS(2,COLUMN())),OFFSET($BN$2,0,0,ROW()-1,60),ROW()-1,FALSE))</f>
        <v/>
      </c>
      <c r="BJ149" t="str">
        <f ca="1">IF(AND(ISNUMBER($BJ$601),$B$419=1),$BJ$601,HLOOKUP(INDIRECT(ADDRESS(2,COLUMN())),OFFSET($BN$2,0,0,ROW()-1,60),ROW()-1,FALSE))</f>
        <v/>
      </c>
      <c r="BK149" t="str">
        <f ca="1">IF(AND(ISNUMBER($BK$601),$B$419=1),$BK$601,HLOOKUP(INDIRECT(ADDRESS(2,COLUMN())),OFFSET($BN$2,0,0,ROW()-1,60),ROW()-1,FALSE))</f>
        <v/>
      </c>
      <c r="BL149" t="str">
        <f ca="1">IF(AND(ISNUMBER($BL$601),$B$419=1),$BL$601,HLOOKUP(INDIRECT(ADDRESS(2,COLUMN())),OFFSET($BN$2,0,0,ROW()-1,60),ROW()-1,FALSE))</f>
        <v/>
      </c>
      <c r="BM149" t="str">
        <f ca="1">IF(AND(ISNUMBER($BM$601),$B$419=1),$BM$601,HLOOKUP(INDIRECT(ADDRESS(2,COLUMN())),OFFSET($BN$2,0,0,ROW()-1,60),ROW()-1,FALSE))</f>
        <v/>
      </c>
      <c r="BN149" t="str">
        <f>""</f>
        <v/>
      </c>
      <c r="BO149">
        <f>-1.226414512</f>
        <v>-1.2264145120000001</v>
      </c>
      <c r="BP149">
        <f>-1.281008987</f>
        <v>-1.2810089870000001</v>
      </c>
      <c r="BQ149">
        <f>4.115694856</f>
        <v>4.1156948560000002</v>
      </c>
      <c r="BR149">
        <f>0.836263247</f>
        <v>0.83626324699999999</v>
      </c>
      <c r="BS149">
        <f>-0.465979217</f>
        <v>-0.465979217</v>
      </c>
      <c r="BT149">
        <f>1.773660251</f>
        <v>1.7736602509999999</v>
      </c>
      <c r="BU149">
        <f>-0.658099202</f>
        <v>-0.65809920200000005</v>
      </c>
      <c r="BV149">
        <f>2.477378185</f>
        <v>2.4773781850000001</v>
      </c>
      <c r="BW149">
        <f>3.479283546</f>
        <v>3.479283546</v>
      </c>
      <c r="BX149">
        <f>2.139204944</f>
        <v>2.1392049439999998</v>
      </c>
      <c r="BY149">
        <f>1.351522492</f>
        <v>1.351522492</v>
      </c>
      <c r="BZ149">
        <f>2.509306673</f>
        <v>2.5093066730000002</v>
      </c>
      <c r="CA149">
        <f>3.100841245</f>
        <v>3.1008412449999998</v>
      </c>
      <c r="CB149">
        <f>7.123282883</f>
        <v>7.1232828829999999</v>
      </c>
      <c r="CC149">
        <f>10.6854288</f>
        <v>10.6854288</v>
      </c>
      <c r="CD149">
        <f>10.91057919</f>
        <v>10.91057919</v>
      </c>
      <c r="CE149">
        <f>6.936768659</f>
        <v>6.9367686590000002</v>
      </c>
      <c r="CF149">
        <f>1.995778846</f>
        <v>1.9957788460000001</v>
      </c>
      <c r="CG149">
        <f>0.530438804</f>
        <v>0.53043880399999999</v>
      </c>
      <c r="CH149">
        <f>-1.172101908</f>
        <v>-1.1721019079999999</v>
      </c>
      <c r="CI149" t="str">
        <f>""</f>
        <v/>
      </c>
      <c r="CJ149" t="str">
        <f>""</f>
        <v/>
      </c>
      <c r="CK149" t="str">
        <f>""</f>
        <v/>
      </c>
      <c r="CL149" t="str">
        <f>""</f>
        <v/>
      </c>
      <c r="CM149" t="str">
        <f>""</f>
        <v/>
      </c>
      <c r="CN149" t="str">
        <f>""</f>
        <v/>
      </c>
      <c r="CO149" t="str">
        <f>""</f>
        <v/>
      </c>
      <c r="CP149" t="str">
        <f>""</f>
        <v/>
      </c>
      <c r="CQ149" t="str">
        <f>""</f>
        <v/>
      </c>
      <c r="CR149" t="str">
        <f>""</f>
        <v/>
      </c>
      <c r="CS149" t="str">
        <f>""</f>
        <v/>
      </c>
      <c r="CT149" t="str">
        <f>""</f>
        <v/>
      </c>
      <c r="CU149" t="str">
        <f>""</f>
        <v/>
      </c>
      <c r="CV149" t="str">
        <f>""</f>
        <v/>
      </c>
      <c r="CW149" t="str">
        <f>""</f>
        <v/>
      </c>
      <c r="CX149" t="str">
        <f>""</f>
        <v/>
      </c>
      <c r="CY149" t="str">
        <f>""</f>
        <v/>
      </c>
      <c r="CZ149" t="str">
        <f>""</f>
        <v/>
      </c>
      <c r="DA149" t="str">
        <f>""</f>
        <v/>
      </c>
      <c r="DB149" t="str">
        <f>""</f>
        <v/>
      </c>
      <c r="DC149" t="str">
        <f>""</f>
        <v/>
      </c>
      <c r="DD149" t="str">
        <f>""</f>
        <v/>
      </c>
      <c r="DE149" t="str">
        <f>""</f>
        <v/>
      </c>
      <c r="DF149" t="str">
        <f>""</f>
        <v/>
      </c>
      <c r="DG149" t="str">
        <f>""</f>
        <v/>
      </c>
      <c r="DH149" t="str">
        <f>""</f>
        <v/>
      </c>
      <c r="DI149" t="str">
        <f>""</f>
        <v/>
      </c>
      <c r="DJ149" t="str">
        <f>""</f>
        <v/>
      </c>
      <c r="DK149" t="str">
        <f>""</f>
        <v/>
      </c>
      <c r="DL149" t="str">
        <f>""</f>
        <v/>
      </c>
      <c r="DM149" t="str">
        <f>""</f>
        <v/>
      </c>
      <c r="DN149" t="str">
        <f>""</f>
        <v/>
      </c>
      <c r="DO149" t="str">
        <f>""</f>
        <v/>
      </c>
      <c r="DP149" t="str">
        <f>""</f>
        <v/>
      </c>
      <c r="DQ149" t="str">
        <f>""</f>
        <v/>
      </c>
      <c r="DR149" t="str">
        <f>""</f>
        <v/>
      </c>
      <c r="DS149" t="str">
        <f>""</f>
        <v/>
      </c>
      <c r="DT149" t="str">
        <f>""</f>
        <v/>
      </c>
      <c r="DU149" t="str">
        <f>""</f>
        <v/>
      </c>
    </row>
    <row r="150" spans="1:125">
      <c r="A150" t="str">
        <f>"    CBL &amp; Associates Properties In"</f>
        <v xml:space="preserve">    CBL &amp; Associates Properties In</v>
      </c>
      <c r="B150" t="str">
        <f>"CBL US Equity"</f>
        <v>CBL US Equity</v>
      </c>
      <c r="C150" t="str">
        <f t="shared" si="27"/>
        <v>RR033</v>
      </c>
      <c r="D150" t="str">
        <f t="shared" si="28"/>
        <v>SALES_GROWTH</v>
      </c>
      <c r="E150" t="str">
        <f t="shared" si="29"/>
        <v>动态</v>
      </c>
      <c r="F150" t="str">
        <f ca="1">IF(AND(ISNUMBER($F$602),$B$419=1),$F$602,HLOOKUP(INDIRECT(ADDRESS(2,COLUMN())),OFFSET($BN$2,0,0,ROW()-1,60),ROW()-1,FALSE))</f>
        <v/>
      </c>
      <c r="G150">
        <f ca="1">IF(AND(ISNUMBER($G$602),$B$419=1),$G$602,HLOOKUP(INDIRECT(ADDRESS(2,COLUMN())),OFFSET($BN$2,0,0,ROW()-1,60),ROW()-1,FALSE))</f>
        <v>-8.9507259379999997</v>
      </c>
      <c r="H150">
        <f ca="1">IF(AND(ISNUMBER($H$602),$B$419=1),$H$602,HLOOKUP(INDIRECT(ADDRESS(2,COLUMN())),OFFSET($BN$2,0,0,ROW()-1,60),ROW()-1,FALSE))</f>
        <v>-10.754366940000001</v>
      </c>
      <c r="I150">
        <f ca="1">IF(AND(ISNUMBER($I$602),$B$419=1),$I$602,HLOOKUP(INDIRECT(ADDRESS(2,COLUMN())),OFFSET($BN$2,0,0,ROW()-1,60),ROW()-1,FALSE))</f>
        <v>-10.092365620000001</v>
      </c>
      <c r="J150">
        <f ca="1">IF(AND(ISNUMBER($J$602),$B$419=1),$J$602,HLOOKUP(INDIRECT(ADDRESS(2,COLUMN())),OFFSET($BN$2,0,0,ROW()-1,60),ROW()-1,FALSE))</f>
        <v>-9.5275925770000001</v>
      </c>
      <c r="K150">
        <f ca="1">IF(AND(ISNUMBER($K$602),$B$419=1),$K$602,HLOOKUP(INDIRECT(ADDRESS(2,COLUMN())),OFFSET($BN$2,0,0,ROW()-1,60),ROW()-1,FALSE))</f>
        <v>-6.8929870690000001</v>
      </c>
      <c r="L150">
        <f ca="1">IF(AND(ISNUMBER($L$602),$B$419=1),$L$602,HLOOKUP(INDIRECT(ADDRESS(2,COLUMN())),OFFSET($BN$2,0,0,ROW()-1,60),ROW()-1,FALSE))</f>
        <v>-4.1559420640000004</v>
      </c>
      <c r="M150">
        <f ca="1">IF(AND(ISNUMBER($M$602),$B$419=1),$M$602,HLOOKUP(INDIRECT(ADDRESS(2,COLUMN())),OFFSET($BN$2,0,0,ROW()-1,60),ROW()-1,FALSE))</f>
        <v>0.442005492</v>
      </c>
      <c r="N150">
        <f ca="1">IF(AND(ISNUMBER($N$602),$B$419=1),$N$602,HLOOKUP(INDIRECT(ADDRESS(2,COLUMN())),OFFSET($BN$2,0,0,ROW()-1,60),ROW()-1,FALSE))</f>
        <v>0.831324332</v>
      </c>
      <c r="O150">
        <f ca="1">IF(AND(ISNUMBER($O$602),$B$419=1),$O$602,HLOOKUP(INDIRECT(ADDRESS(2,COLUMN())),OFFSET($BN$2,0,0,ROW()-1,60),ROW()-1,FALSE))</f>
        <v>-2.1909536410000001</v>
      </c>
      <c r="P150">
        <f ca="1">IF(AND(ISNUMBER($P$602),$B$419=1),$P$602,HLOOKUP(INDIRECT(ADDRESS(2,COLUMN())),OFFSET($BN$2,0,0,ROW()-1,60),ROW()-1,FALSE))</f>
        <v>1.515959708</v>
      </c>
      <c r="Q150">
        <f ca="1">IF(AND(ISNUMBER($Q$602),$B$419=1),$Q$602,HLOOKUP(INDIRECT(ADDRESS(2,COLUMN())),OFFSET($BN$2,0,0,ROW()-1,60),ROW()-1,FALSE))</f>
        <v>-1.2026481609999999</v>
      </c>
      <c r="R150">
        <f ca="1">IF(AND(ISNUMBER($R$602),$B$419=1),$R$602,HLOOKUP(INDIRECT(ADDRESS(2,COLUMN())),OFFSET($BN$2,0,0,ROW()-1,60),ROW()-1,FALSE))</f>
        <v>-0.12785031599999999</v>
      </c>
      <c r="S150">
        <f ca="1">IF(AND(ISNUMBER($S$602),$B$419=1),$S$602,HLOOKUP(INDIRECT(ADDRESS(2,COLUMN())),OFFSET($BN$2,0,0,ROW()-1,60),ROW()-1,FALSE))</f>
        <v>0.652461446</v>
      </c>
      <c r="T150">
        <f ca="1">IF(AND(ISNUMBER($T$602),$B$419=1),$T$602,HLOOKUP(INDIRECT(ADDRESS(2,COLUMN())),OFFSET($BN$2,0,0,ROW()-1,60),ROW()-1,FALSE))</f>
        <v>0.45234110799999999</v>
      </c>
      <c r="U150">
        <f ca="1">IF(AND(ISNUMBER($U$602),$B$419=1),$U$602,HLOOKUP(INDIRECT(ADDRESS(2,COLUMN())),OFFSET($BN$2,0,0,ROW()-1,60),ROW()-1,FALSE))</f>
        <v>0.52741749299999996</v>
      </c>
      <c r="V150">
        <f ca="1">IF(AND(ISNUMBER($V$602),$B$419=1),$V$602,HLOOKUP(INDIRECT(ADDRESS(2,COLUMN())),OFFSET($BN$2,0,0,ROW()-1,60),ROW()-1,FALSE))</f>
        <v>1.068159485</v>
      </c>
      <c r="W150">
        <f ca="1">IF(AND(ISNUMBER($W$602),$B$419=1),$W$602,HLOOKUP(INDIRECT(ADDRESS(2,COLUMN())),OFFSET($BN$2,0,0,ROW()-1,60),ROW()-1,FALSE))</f>
        <v>4.3519285989999998</v>
      </c>
      <c r="X150">
        <f ca="1">IF(AND(ISNUMBER($X$602),$B$419=1),$X$602,HLOOKUP(INDIRECT(ADDRESS(2,COLUMN())),OFFSET($BN$2,0,0,ROW()-1,60),ROW()-1,FALSE))</f>
        <v>3.3561275510000002</v>
      </c>
      <c r="Y150">
        <f ca="1">IF(AND(ISNUMBER($Y$602),$B$419=1),$Y$602,HLOOKUP(INDIRECT(ADDRESS(2,COLUMN())),OFFSET($BN$2,0,0,ROW()-1,60),ROW()-1,FALSE))</f>
        <v>1.48544337</v>
      </c>
      <c r="Z150">
        <f ca="1">IF(AND(ISNUMBER($Z$602),$B$419=1),$Z$602,HLOOKUP(INDIRECT(ADDRESS(2,COLUMN())),OFFSET($BN$2,0,0,ROW()-1,60),ROW()-1,FALSE))</f>
        <v>4.8740409539999998</v>
      </c>
      <c r="AA150">
        <f ca="1">IF(AND(ISNUMBER($AA$602),$B$419=1),$AA$602,HLOOKUP(INDIRECT(ADDRESS(2,COLUMN())),OFFSET($BN$2,0,0,ROW()-1,60),ROW()-1,FALSE))</f>
        <v>2.0408317380000001</v>
      </c>
      <c r="AB150">
        <f ca="1">IF(AND(ISNUMBER($AB$602),$B$419=1),$AB$602,HLOOKUP(INDIRECT(ADDRESS(2,COLUMN())),OFFSET($BN$2,0,0,ROW()-1,60),ROW()-1,FALSE))</f>
        <v>-6.7637495650000004</v>
      </c>
      <c r="AC150">
        <f ca="1">IF(AND(ISNUMBER($AC$602),$B$419=1),$AC$602,HLOOKUP(INDIRECT(ADDRESS(2,COLUMN())),OFFSET($BN$2,0,0,ROW()-1,60),ROW()-1,FALSE))</f>
        <v>-3.9199752779999999</v>
      </c>
      <c r="AD150">
        <f ca="1">IF(AND(ISNUMBER($AD$602),$B$419=1),$AD$602,HLOOKUP(INDIRECT(ADDRESS(2,COLUMN())),OFFSET($BN$2,0,0,ROW()-1,60),ROW()-1,FALSE))</f>
        <v>-7.7479048840000004</v>
      </c>
      <c r="AE150">
        <f ca="1">IF(AND(ISNUMBER($AE$602),$B$419=1),$AE$602,HLOOKUP(INDIRECT(ADDRESS(2,COLUMN())),OFFSET($BN$2,0,0,ROW()-1,60),ROW()-1,FALSE))</f>
        <v>-7.4658206710000004</v>
      </c>
      <c r="AF150">
        <f ca="1">IF(AND(ISNUMBER($AF$602),$B$419=1),$AF$602,HLOOKUP(INDIRECT(ADDRESS(2,COLUMN())),OFFSET($BN$2,0,0,ROW()-1,60),ROW()-1,FALSE))</f>
        <v>2.5292515440000001</v>
      </c>
      <c r="AG150">
        <f ca="1">IF(AND(ISNUMBER($AG$602),$B$419=1),$AG$602,HLOOKUP(INDIRECT(ADDRESS(2,COLUMN())),OFFSET($BN$2,0,0,ROW()-1,60),ROW()-1,FALSE))</f>
        <v>1.7333390259999999</v>
      </c>
      <c r="AH150">
        <f ca="1">IF(AND(ISNUMBER($AH$602),$B$419=1),$AH$602,HLOOKUP(INDIRECT(ADDRESS(2,COLUMN())),OFFSET($BN$2,0,0,ROW()-1,60),ROW()-1,FALSE))</f>
        <v>2.078095748</v>
      </c>
      <c r="AI150">
        <f ca="1">IF(AND(ISNUMBER($AI$602),$B$419=1),$AI$602,HLOOKUP(INDIRECT(ADDRESS(2,COLUMN())),OFFSET($BN$2,0,0,ROW()-1,60),ROW()-1,FALSE))</f>
        <v>-0.198061922</v>
      </c>
      <c r="AJ150">
        <f ca="1">IF(AND(ISNUMBER($AJ$602),$B$419=1),$AJ$602,HLOOKUP(INDIRECT(ADDRESS(2,COLUMN())),OFFSET($BN$2,0,0,ROW()-1,60),ROW()-1,FALSE))</f>
        <v>-0.68163027399999998</v>
      </c>
      <c r="AK150">
        <f ca="1">IF(AND(ISNUMBER($AK$602),$B$419=1),$AK$602,HLOOKUP(INDIRECT(ADDRESS(2,COLUMN())),OFFSET($BN$2,0,0,ROW()-1,60),ROW()-1,FALSE))</f>
        <v>-3.328405697</v>
      </c>
      <c r="AL150">
        <f ca="1">IF(AND(ISNUMBER($AL$602),$B$419=1),$AL$602,HLOOKUP(INDIRECT(ADDRESS(2,COLUMN())),OFFSET($BN$2,0,0,ROW()-1,60),ROW()-1,FALSE))</f>
        <v>-3.4420423520000001</v>
      </c>
      <c r="AM150">
        <f ca="1">IF(AND(ISNUMBER($AM$602),$B$419=1),$AM$602,HLOOKUP(INDIRECT(ADDRESS(2,COLUMN())),OFFSET($BN$2,0,0,ROW()-1,60),ROW()-1,FALSE))</f>
        <v>-4.2147910140000002</v>
      </c>
      <c r="AN150">
        <f ca="1">IF(AND(ISNUMBER($AN$602),$B$419=1),$AN$602,HLOOKUP(INDIRECT(ADDRESS(2,COLUMN())),OFFSET($BN$2,0,0,ROW()-1,60),ROW()-1,FALSE))</f>
        <v>-8.0398030869999992</v>
      </c>
      <c r="AO150">
        <f ca="1">IF(AND(ISNUMBER($AO$602),$B$419=1),$AO$602,HLOOKUP(INDIRECT(ADDRESS(2,COLUMN())),OFFSET($BN$2,0,0,ROW()-1,60),ROW()-1,FALSE))</f>
        <v>-2.1869254229999999</v>
      </c>
      <c r="AP150">
        <f ca="1">IF(AND(ISNUMBER($AP$602),$B$419=1),$AP$602,HLOOKUP(INDIRECT(ADDRESS(2,COLUMN())),OFFSET($BN$2,0,0,ROW()-1,60),ROW()-1,FALSE))</f>
        <v>-3.5136741759999999</v>
      </c>
      <c r="AQ150">
        <f ca="1">IF(AND(ISNUMBER($AQ$602),$B$419=1),$AQ$602,HLOOKUP(INDIRECT(ADDRESS(2,COLUMN())),OFFSET($BN$2,0,0,ROW()-1,60),ROW()-1,FALSE))</f>
        <v>2.9237554700000001</v>
      </c>
      <c r="AR150">
        <f ca="1">IF(AND(ISNUMBER($AR$602),$B$419=1),$AR$602,HLOOKUP(INDIRECT(ADDRESS(2,COLUMN())),OFFSET($BN$2,0,0,ROW()-1,60),ROW()-1,FALSE))</f>
        <v>13.70762433</v>
      </c>
      <c r="AS150">
        <f ca="1">IF(AND(ISNUMBER($AS$602),$B$419=1),$AS$602,HLOOKUP(INDIRECT(ADDRESS(2,COLUMN())),OFFSET($BN$2,0,0,ROW()-1,60),ROW()-1,FALSE))</f>
        <v>10.63547296</v>
      </c>
      <c r="AT150">
        <f ca="1">IF(AND(ISNUMBER($AT$602),$B$419=1),$AT$602,HLOOKUP(INDIRECT(ADDRESS(2,COLUMN())),OFFSET($BN$2,0,0,ROW()-1,60),ROW()-1,FALSE))</f>
        <v>11.58549906</v>
      </c>
      <c r="AU150">
        <f ca="1">IF(AND(ISNUMBER($AU$602),$B$419=1),$AU$602,HLOOKUP(INDIRECT(ADDRESS(2,COLUMN())),OFFSET($BN$2,0,0,ROW()-1,60),ROW()-1,FALSE))</f>
        <v>6.4723106770000003</v>
      </c>
      <c r="AV150">
        <f ca="1">IF(AND(ISNUMBER($AV$602),$B$419=1),$AV$602,HLOOKUP(INDIRECT(ADDRESS(2,COLUMN())),OFFSET($BN$2,0,0,ROW()-1,60),ROW()-1,FALSE))</f>
        <v>1.597228125</v>
      </c>
      <c r="AW150">
        <f ca="1">IF(AND(ISNUMBER($AW$602),$B$419=1),$AW$602,HLOOKUP(INDIRECT(ADDRESS(2,COLUMN())),OFFSET($BN$2,0,0,ROW()-1,60),ROW()-1,FALSE))</f>
        <v>3.8002798480000002</v>
      </c>
      <c r="AX150">
        <f ca="1">IF(AND(ISNUMBER($AX$602),$B$419=1),$AX$602,HLOOKUP(INDIRECT(ADDRESS(2,COLUMN())),OFFSET($BN$2,0,0,ROW()-1,60),ROW()-1,FALSE))</f>
        <v>1.9072984930000001</v>
      </c>
      <c r="AY150">
        <f ca="1">IF(AND(ISNUMBER($AY$602),$B$419=1),$AY$602,HLOOKUP(INDIRECT(ADDRESS(2,COLUMN())),OFFSET($BN$2,0,0,ROW()-1,60),ROW()-1,FALSE))</f>
        <v>4.058989994</v>
      </c>
      <c r="AZ150">
        <f ca="1">IF(AND(ISNUMBER($AZ$602),$B$419=1),$AZ$602,HLOOKUP(INDIRECT(ADDRESS(2,COLUMN())),OFFSET($BN$2,0,0,ROW()-1,60),ROW()-1,FALSE))</f>
        <v>7.5466769979999997</v>
      </c>
      <c r="BA150">
        <f ca="1">IF(AND(ISNUMBER($BA$602),$B$419=1),$BA$602,HLOOKUP(INDIRECT(ADDRESS(2,COLUMN())),OFFSET($BN$2,0,0,ROW()-1,60),ROW()-1,FALSE))</f>
        <v>15.38951597</v>
      </c>
      <c r="BB150">
        <f ca="1">IF(AND(ISNUMBER($BB$602),$B$419=1),$BB$602,HLOOKUP(INDIRECT(ADDRESS(2,COLUMN())),OFFSET($BN$2,0,0,ROW()-1,60),ROW()-1,FALSE))</f>
        <v>14.16721351</v>
      </c>
      <c r="BC150">
        <f ca="1">IF(AND(ISNUMBER($BC$602),$B$419=1),$BC$602,HLOOKUP(INDIRECT(ADDRESS(2,COLUMN())),OFFSET($BN$2,0,0,ROW()-1,60),ROW()-1,FALSE))</f>
        <v>16.362854720000001</v>
      </c>
      <c r="BD150">
        <f ca="1">IF(AND(ISNUMBER($BD$602),$B$419=1),$BD$602,HLOOKUP(INDIRECT(ADDRESS(2,COLUMN())),OFFSET($BN$2,0,0,ROW()-1,60),ROW()-1,FALSE))</f>
        <v>18.123431650000001</v>
      </c>
      <c r="BE150">
        <f ca="1">IF(AND(ISNUMBER($BE$602),$B$419=1),$BE$602,HLOOKUP(INDIRECT(ADDRESS(2,COLUMN())),OFFSET($BN$2,0,0,ROW()-1,60),ROW()-1,FALSE))</f>
        <v>16.69494748</v>
      </c>
      <c r="BF150">
        <f ca="1">IF(AND(ISNUMBER($BF$602),$B$419=1),$BF$602,HLOOKUP(INDIRECT(ADDRESS(2,COLUMN())),OFFSET($BN$2,0,0,ROW()-1,60),ROW()-1,FALSE))</f>
        <v>24.46952525</v>
      </c>
      <c r="BG150">
        <f ca="1">IF(AND(ISNUMBER($BG$602),$B$419=1),$BG$602,HLOOKUP(INDIRECT(ADDRESS(2,COLUMN())),OFFSET($BN$2,0,0,ROW()-1,60),ROW()-1,FALSE))</f>
        <v>26.437628929999999</v>
      </c>
      <c r="BH150">
        <f ca="1">IF(AND(ISNUMBER($BH$602),$B$419=1),$BH$602,HLOOKUP(INDIRECT(ADDRESS(2,COLUMN())),OFFSET($BN$2,0,0,ROW()-1,60),ROW()-1,FALSE))</f>
        <v>18.944573519999999</v>
      </c>
      <c r="BI150">
        <f ca="1">IF(AND(ISNUMBER($BI$602),$B$419=1),$BI$602,HLOOKUP(INDIRECT(ADDRESS(2,COLUMN())),OFFSET($BN$2,0,0,ROW()-1,60),ROW()-1,FALSE))</f>
        <v>8.1109781410000004</v>
      </c>
      <c r="BJ150">
        <f ca="1">IF(AND(ISNUMBER($BJ$602),$B$419=1),$BJ$602,HLOOKUP(INDIRECT(ADDRESS(2,COLUMN())),OFFSET($BN$2,0,0,ROW()-1,60),ROW()-1,FALSE))</f>
        <v>5.8987937099999996</v>
      </c>
      <c r="BK150">
        <f ca="1">IF(AND(ISNUMBER($BK$602),$B$419=1),$BK$602,HLOOKUP(INDIRECT(ADDRESS(2,COLUMN())),OFFSET($BN$2,0,0,ROW()-1,60),ROW()-1,FALSE))</f>
        <v>14.658183080000001</v>
      </c>
      <c r="BL150">
        <f ca="1">IF(AND(ISNUMBER($BL$602),$B$419=1),$BL$602,HLOOKUP(INDIRECT(ADDRESS(2,COLUMN())),OFFSET($BN$2,0,0,ROW()-1,60),ROW()-1,FALSE))</f>
        <v>11.00866647</v>
      </c>
      <c r="BM150">
        <f ca="1">IF(AND(ISNUMBER($BM$602),$B$419=1),$BM$602,HLOOKUP(INDIRECT(ADDRESS(2,COLUMN())),OFFSET($BN$2,0,0,ROW()-1,60),ROW()-1,FALSE))</f>
        <v>10.166409959999999</v>
      </c>
      <c r="BN150" t="str">
        <f>""</f>
        <v/>
      </c>
      <c r="BO150">
        <f>-8.950725938</f>
        <v>-8.9507259379999997</v>
      </c>
      <c r="BP150">
        <f>-10.75436694</f>
        <v>-10.754366940000001</v>
      </c>
      <c r="BQ150">
        <f>-10.09236562</f>
        <v>-10.092365620000001</v>
      </c>
      <c r="BR150">
        <f>-9.527592577</f>
        <v>-9.5275925770000001</v>
      </c>
      <c r="BS150">
        <f>-6.892987069</f>
        <v>-6.8929870690000001</v>
      </c>
      <c r="BT150">
        <f>-4.155942064</f>
        <v>-4.1559420640000004</v>
      </c>
      <c r="BU150">
        <f>0.442005492</f>
        <v>0.442005492</v>
      </c>
      <c r="BV150">
        <f>0.831324332</f>
        <v>0.831324332</v>
      </c>
      <c r="BW150">
        <f>-2.190953641</f>
        <v>-2.1909536410000001</v>
      </c>
      <c r="BX150">
        <f>1.515959708</f>
        <v>1.515959708</v>
      </c>
      <c r="BY150">
        <f>-1.202648161</f>
        <v>-1.2026481609999999</v>
      </c>
      <c r="BZ150">
        <f>-0.127850316</f>
        <v>-0.12785031599999999</v>
      </c>
      <c r="CA150">
        <f>0.652461446</f>
        <v>0.652461446</v>
      </c>
      <c r="CB150">
        <f>0.452341108</f>
        <v>0.45234110799999999</v>
      </c>
      <c r="CC150">
        <f>0.527417493</f>
        <v>0.52741749299999996</v>
      </c>
      <c r="CD150">
        <f>1.068159485</f>
        <v>1.068159485</v>
      </c>
      <c r="CE150">
        <f>4.351928599</f>
        <v>4.3519285989999998</v>
      </c>
      <c r="CF150">
        <f>3.356127551</f>
        <v>3.3561275510000002</v>
      </c>
      <c r="CG150">
        <f>1.48544337</f>
        <v>1.48544337</v>
      </c>
      <c r="CH150">
        <f>4.874040954</f>
        <v>4.8740409539999998</v>
      </c>
      <c r="CI150">
        <f>2.040831738</f>
        <v>2.0408317380000001</v>
      </c>
      <c r="CJ150">
        <f>-6.763749565</f>
        <v>-6.7637495650000004</v>
      </c>
      <c r="CK150">
        <f>-3.919975278</f>
        <v>-3.9199752779999999</v>
      </c>
      <c r="CL150">
        <f>-7.747904884</f>
        <v>-7.7479048840000004</v>
      </c>
      <c r="CM150">
        <f>-7.465820671</f>
        <v>-7.4658206710000004</v>
      </c>
      <c r="CN150">
        <f>2.529251544</f>
        <v>2.5292515440000001</v>
      </c>
      <c r="CO150">
        <f>1.733339026</f>
        <v>1.7333390259999999</v>
      </c>
      <c r="CP150">
        <f>2.078095748</f>
        <v>2.078095748</v>
      </c>
      <c r="CQ150">
        <f>-0.198061922</f>
        <v>-0.198061922</v>
      </c>
      <c r="CR150">
        <f>-0.681630274</f>
        <v>-0.68163027399999998</v>
      </c>
      <c r="CS150">
        <f>-3.328405697</f>
        <v>-3.328405697</v>
      </c>
      <c r="CT150">
        <f>-3.442042352</f>
        <v>-3.4420423520000001</v>
      </c>
      <c r="CU150">
        <f>-4.214791014</f>
        <v>-4.2147910140000002</v>
      </c>
      <c r="CV150">
        <f>-8.039803087</f>
        <v>-8.0398030869999992</v>
      </c>
      <c r="CW150">
        <f>-2.186925423</f>
        <v>-2.1869254229999999</v>
      </c>
      <c r="CX150">
        <f>-3.513674176</f>
        <v>-3.5136741759999999</v>
      </c>
      <c r="CY150">
        <f>2.92375547</f>
        <v>2.9237554700000001</v>
      </c>
      <c r="CZ150">
        <f>13.70762433</f>
        <v>13.70762433</v>
      </c>
      <c r="DA150">
        <f>10.63547296</f>
        <v>10.63547296</v>
      </c>
      <c r="DB150">
        <f>11.58549906</f>
        <v>11.58549906</v>
      </c>
      <c r="DC150">
        <f>6.472310677</f>
        <v>6.4723106770000003</v>
      </c>
      <c r="DD150">
        <f>1.597228125</f>
        <v>1.597228125</v>
      </c>
      <c r="DE150">
        <f>3.800279848</f>
        <v>3.8002798480000002</v>
      </c>
      <c r="DF150">
        <f>1.907298493</f>
        <v>1.9072984930000001</v>
      </c>
      <c r="DG150">
        <f>4.058989994</f>
        <v>4.058989994</v>
      </c>
      <c r="DH150">
        <f>7.546676998</f>
        <v>7.5466769979999997</v>
      </c>
      <c r="DI150">
        <f>15.38951597</f>
        <v>15.38951597</v>
      </c>
      <c r="DJ150">
        <f>14.16721351</f>
        <v>14.16721351</v>
      </c>
      <c r="DK150">
        <f>16.36285472</f>
        <v>16.362854720000001</v>
      </c>
      <c r="DL150">
        <f>18.12343165</f>
        <v>18.123431650000001</v>
      </c>
      <c r="DM150">
        <f>16.69494748</f>
        <v>16.69494748</v>
      </c>
      <c r="DN150">
        <f>24.46952525</f>
        <v>24.46952525</v>
      </c>
      <c r="DO150">
        <f>26.43762893</f>
        <v>26.437628929999999</v>
      </c>
      <c r="DP150">
        <f>18.94457352</f>
        <v>18.944573519999999</v>
      </c>
      <c r="DQ150">
        <f>8.110978141</f>
        <v>8.1109781410000004</v>
      </c>
      <c r="DR150">
        <f>5.89879371</f>
        <v>5.8987937099999996</v>
      </c>
      <c r="DS150">
        <f>14.65818308</f>
        <v>14.658183080000001</v>
      </c>
      <c r="DT150">
        <f>11.00866647</f>
        <v>11.00866647</v>
      </c>
      <c r="DU150">
        <f>10.16640996</f>
        <v>10.166409959999999</v>
      </c>
    </row>
    <row r="151" spans="1:125">
      <c r="A151" t="str">
        <f>"    DDR Corp"</f>
        <v xml:space="preserve">    DDR Corp</v>
      </c>
      <c r="B151" t="str">
        <f>"DDR US Equity"</f>
        <v>DDR US Equity</v>
      </c>
      <c r="C151" t="str">
        <f t="shared" si="27"/>
        <v>RR033</v>
      </c>
      <c r="D151" t="str">
        <f t="shared" si="28"/>
        <v>SALES_GROWTH</v>
      </c>
      <c r="E151" t="str">
        <f t="shared" si="29"/>
        <v>动态</v>
      </c>
      <c r="F151" t="str">
        <f ca="1">IF(AND(ISNUMBER($F$603),$B$419=1),$F$603,HLOOKUP(INDIRECT(ADDRESS(2,COLUMN())),OFFSET($BN$2,0,0,ROW()-1,60),ROW()-1,FALSE))</f>
        <v/>
      </c>
      <c r="G151">
        <f ca="1">IF(AND(ISNUMBER($G$603),$B$419=1),$G$603,HLOOKUP(INDIRECT(ADDRESS(2,COLUMN())),OFFSET($BN$2,0,0,ROW()-1,60),ROW()-1,FALSE))</f>
        <v>-9.7929085829999991</v>
      </c>
      <c r="H151">
        <f ca="1">IF(AND(ISNUMBER($H$603),$B$419=1),$H$603,HLOOKUP(INDIRECT(ADDRESS(2,COLUMN())),OFFSET($BN$2,0,0,ROW()-1,60),ROW()-1,FALSE))</f>
        <v>-10.39243499</v>
      </c>
      <c r="I151">
        <f ca="1">IF(AND(ISNUMBER($I$603),$B$419=1),$I$603,HLOOKUP(INDIRECT(ADDRESS(2,COLUMN())),OFFSET($BN$2,0,0,ROW()-1,60),ROW()-1,FALSE))</f>
        <v>-8.2130879330000006</v>
      </c>
      <c r="J151">
        <f ca="1">IF(AND(ISNUMBER($J$603),$B$419=1),$J$603,HLOOKUP(INDIRECT(ADDRESS(2,COLUMN())),OFFSET($BN$2,0,0,ROW()-1,60),ROW()-1,FALSE))</f>
        <v>-5.5034332590000004</v>
      </c>
      <c r="K151">
        <f ca="1">IF(AND(ISNUMBER($K$603),$B$419=1),$K$603,HLOOKUP(INDIRECT(ADDRESS(2,COLUMN())),OFFSET($BN$2,0,0,ROW()-1,60),ROW()-1,FALSE))</f>
        <v>-5.8256601630000002</v>
      </c>
      <c r="L151">
        <f ca="1">IF(AND(ISNUMBER($L$603),$B$419=1),$L$603,HLOOKUP(INDIRECT(ADDRESS(2,COLUMN())),OFFSET($BN$2,0,0,ROW()-1,60),ROW()-1,FALSE))</f>
        <v>-1.2969840749999999</v>
      </c>
      <c r="M151">
        <f ca="1">IF(AND(ISNUMBER($M$603),$B$419=1),$M$603,HLOOKUP(INDIRECT(ADDRESS(2,COLUMN())),OFFSET($BN$2,0,0,ROW()-1,60),ROW()-1,FALSE))</f>
        <v>-7.77233E-4</v>
      </c>
      <c r="N151">
        <f ca="1">IF(AND(ISNUMBER($N$603),$B$419=1),$N$603,HLOOKUP(INDIRECT(ADDRESS(2,COLUMN())),OFFSET($BN$2,0,0,ROW()-1,60),ROW()-1,FALSE))</f>
        <v>-1.700763064</v>
      </c>
      <c r="O151">
        <f ca="1">IF(AND(ISNUMBER($O$603),$B$419=1),$O$603,HLOOKUP(INDIRECT(ADDRESS(2,COLUMN())),OFFSET($BN$2,0,0,ROW()-1,60),ROW()-1,FALSE))</f>
        <v>-0.81550710699999995</v>
      </c>
      <c r="P151">
        <f ca="1">IF(AND(ISNUMBER($P$603),$B$419=1),$P$603,HLOOKUP(INDIRECT(ADDRESS(2,COLUMN())),OFFSET($BN$2,0,0,ROW()-1,60),ROW()-1,FALSE))</f>
        <v>4.8012064150000002</v>
      </c>
      <c r="Q151">
        <f ca="1">IF(AND(ISNUMBER($Q$603),$B$419=1),$Q$603,HLOOKUP(INDIRECT(ADDRESS(2,COLUMN())),OFFSET($BN$2,0,0,ROW()-1,60),ROW()-1,FALSE))</f>
        <v>6.3142455789999996</v>
      </c>
      <c r="R151">
        <f ca="1">IF(AND(ISNUMBER($R$603),$B$419=1),$R$603,HLOOKUP(INDIRECT(ADDRESS(2,COLUMN())),OFFSET($BN$2,0,0,ROW()-1,60),ROW()-1,FALSE))</f>
        <v>7.168587896</v>
      </c>
      <c r="S151">
        <f ca="1">IF(AND(ISNUMBER($S$603),$B$419=1),$S$603,HLOOKUP(INDIRECT(ADDRESS(2,COLUMN())),OFFSET($BN$2,0,0,ROW()-1,60),ROW()-1,FALSE))</f>
        <v>6.8148122679999998</v>
      </c>
      <c r="T151">
        <f ca="1">IF(AND(ISNUMBER($T$603),$B$419=1),$T$603,HLOOKUP(INDIRECT(ADDRESS(2,COLUMN())),OFFSET($BN$2,0,0,ROW()-1,60),ROW()-1,FALSE))</f>
        <v>18.873546510000001</v>
      </c>
      <c r="U151">
        <f ca="1">IF(AND(ISNUMBER($U$603),$B$419=1),$U$603,HLOOKUP(INDIRECT(ADDRESS(2,COLUMN())),OFFSET($BN$2,0,0,ROW()-1,60),ROW()-1,FALSE))</f>
        <v>16.533461719999998</v>
      </c>
      <c r="V151">
        <f ca="1">IF(AND(ISNUMBER($V$603),$B$419=1),$V$603,HLOOKUP(INDIRECT(ADDRESS(2,COLUMN())),OFFSET($BN$2,0,0,ROW()-1,60),ROW()-1,FALSE))</f>
        <v>20.570923629999999</v>
      </c>
      <c r="W151">
        <f ca="1">IF(AND(ISNUMBER($W$603),$B$419=1),$W$603,HLOOKUP(INDIRECT(ADDRESS(2,COLUMN())),OFFSET($BN$2,0,0,ROW()-1,60),ROW()-1,FALSE))</f>
        <v>14.771393339999999</v>
      </c>
      <c r="X151">
        <f ca="1">IF(AND(ISNUMBER($X$603),$B$419=1),$X$603,HLOOKUP(INDIRECT(ADDRESS(2,COLUMN())),OFFSET($BN$2,0,0,ROW()-1,60),ROW()-1,FALSE))</f>
        <v>4.6244620510000001</v>
      </c>
      <c r="Y151">
        <f ca="1">IF(AND(ISNUMBER($Y$603),$B$419=1),$Y$603,HLOOKUP(INDIRECT(ADDRESS(2,COLUMN())),OFFSET($BN$2,0,0,ROW()-1,60),ROW()-1,FALSE))</f>
        <v>8.9179523219999997</v>
      </c>
      <c r="Z151">
        <f ca="1">IF(AND(ISNUMBER($Z$603),$B$419=1),$Z$603,HLOOKUP(INDIRECT(ADDRESS(2,COLUMN())),OFFSET($BN$2,0,0,ROW()-1,60),ROW()-1,FALSE))</f>
        <v>5.1016874449999996</v>
      </c>
      <c r="AA151">
        <f ca="1">IF(AND(ISNUMBER($AA$603),$B$419=1),$AA$603,HLOOKUP(INDIRECT(ADDRESS(2,COLUMN())),OFFSET($BN$2,0,0,ROW()-1,60),ROW()-1,FALSE))</f>
        <v>7.0728834950000001</v>
      </c>
      <c r="AB151">
        <f ca="1">IF(AND(ISNUMBER($AB$603),$B$419=1),$AB$603,HLOOKUP(INDIRECT(ADDRESS(2,COLUMN())),OFFSET($BN$2,0,0,ROW()-1,60),ROW()-1,FALSE))</f>
        <v>5.444409405</v>
      </c>
      <c r="AC151">
        <f ca="1">IF(AND(ISNUMBER($AC$603),$B$419=1),$AC$603,HLOOKUP(INDIRECT(ADDRESS(2,COLUMN())),OFFSET($BN$2,0,0,ROW()-1,60),ROW()-1,FALSE))</f>
        <v>2.015770947</v>
      </c>
      <c r="AD151">
        <f ca="1">IF(AND(ISNUMBER($AD$603),$B$419=1),$AD$603,HLOOKUP(INDIRECT(ADDRESS(2,COLUMN())),OFFSET($BN$2,0,0,ROW()-1,60),ROW()-1,FALSE))</f>
        <v>-0.87740740900000003</v>
      </c>
      <c r="AE151">
        <f ca="1">IF(AND(ISNUMBER($AE$603),$B$419=1),$AE$603,HLOOKUP(INDIRECT(ADDRESS(2,COLUMN())),OFFSET($BN$2,0,0,ROW()-1,60),ROW()-1,FALSE))</f>
        <v>-2.1198399650000002</v>
      </c>
      <c r="AF151">
        <f ca="1">IF(AND(ISNUMBER($AF$603),$B$419=1),$AF$603,HLOOKUP(INDIRECT(ADDRESS(2,COLUMN())),OFFSET($BN$2,0,0,ROW()-1,60),ROW()-1,FALSE))</f>
        <v>-3.0576396950000002</v>
      </c>
      <c r="AG151">
        <f ca="1">IF(AND(ISNUMBER($AG$603),$B$419=1),$AG$603,HLOOKUP(INDIRECT(ADDRESS(2,COLUMN())),OFFSET($BN$2,0,0,ROW()-1,60),ROW()-1,FALSE))</f>
        <v>-4.9206510679999997</v>
      </c>
      <c r="AH151">
        <f ca="1">IF(AND(ISNUMBER($AH$603),$B$419=1),$AH$603,HLOOKUP(INDIRECT(ADDRESS(2,COLUMN())),OFFSET($BN$2,0,0,ROW()-1,60),ROW()-1,FALSE))</f>
        <v>-4.8780246470000002</v>
      </c>
      <c r="AI151">
        <f ca="1">IF(AND(ISNUMBER($AI$603),$B$419=1),$AI$603,HLOOKUP(INDIRECT(ADDRESS(2,COLUMN())),OFFSET($BN$2,0,0,ROW()-1,60),ROW()-1,FALSE))</f>
        <v>-4.9883358299999996</v>
      </c>
      <c r="AJ151">
        <f ca="1">IF(AND(ISNUMBER($AJ$603),$B$419=1),$AJ$603,HLOOKUP(INDIRECT(ADDRESS(2,COLUMN())),OFFSET($BN$2,0,0,ROW()-1,60),ROW()-1,FALSE))</f>
        <v>-4.5841078990000002</v>
      </c>
      <c r="AK151">
        <f ca="1">IF(AND(ISNUMBER($AK$603),$B$419=1),$AK$603,HLOOKUP(INDIRECT(ADDRESS(2,COLUMN())),OFFSET($BN$2,0,0,ROW()-1,60),ROW()-1,FALSE))</f>
        <v>-0.44359820900000002</v>
      </c>
      <c r="AL151">
        <f ca="1">IF(AND(ISNUMBER($AL$603),$B$419=1),$AL$603,HLOOKUP(INDIRECT(ADDRESS(2,COLUMN())),OFFSET($BN$2,0,0,ROW()-1,60),ROW()-1,FALSE))</f>
        <v>-2.6653376089999998</v>
      </c>
      <c r="AM151">
        <f ca="1">IF(AND(ISNUMBER($AM$603),$B$419=1),$AM$603,HLOOKUP(INDIRECT(ADDRESS(2,COLUMN())),OFFSET($BN$2,0,0,ROW()-1,60),ROW()-1,FALSE))</f>
        <v>-6.8221651730000001</v>
      </c>
      <c r="AN151">
        <f ca="1">IF(AND(ISNUMBER($AN$603),$B$419=1),$AN$603,HLOOKUP(INDIRECT(ADDRESS(2,COLUMN())),OFFSET($BN$2,0,0,ROW()-1,60),ROW()-1,FALSE))</f>
        <v>-9.2416763890000002</v>
      </c>
      <c r="AO151">
        <f ca="1">IF(AND(ISNUMBER($AO$603),$B$419=1),$AO$603,HLOOKUP(INDIRECT(ADDRESS(2,COLUMN())),OFFSET($BN$2,0,0,ROW()-1,60),ROW()-1,FALSE))</f>
        <v>-11.3001608</v>
      </c>
      <c r="AP151">
        <f ca="1">IF(AND(ISNUMBER($AP$603),$B$419=1),$AP$603,HLOOKUP(INDIRECT(ADDRESS(2,COLUMN())),OFFSET($BN$2,0,0,ROW()-1,60),ROW()-1,FALSE))</f>
        <v>-12.04171185</v>
      </c>
      <c r="AQ151">
        <f ca="1">IF(AND(ISNUMBER($AQ$603),$B$419=1),$AQ$603,HLOOKUP(INDIRECT(ADDRESS(2,COLUMN())),OFFSET($BN$2,0,0,ROW()-1,60),ROW()-1,FALSE))</f>
        <v>-7.2266445900000003</v>
      </c>
      <c r="AR151">
        <f ca="1">IF(AND(ISNUMBER($AR$603),$B$419=1),$AR$603,HLOOKUP(INDIRECT(ADDRESS(2,COLUMN())),OFFSET($BN$2,0,0,ROW()-1,60),ROW()-1,FALSE))</f>
        <v>-3.751722113</v>
      </c>
      <c r="AS151">
        <f ca="1">IF(AND(ISNUMBER($AS$603),$B$419=1),$AS$603,HLOOKUP(INDIRECT(ADDRESS(2,COLUMN())),OFFSET($BN$2,0,0,ROW()-1,60),ROW()-1,FALSE))</f>
        <v>-11.68926986</v>
      </c>
      <c r="AT151">
        <f ca="1">IF(AND(ISNUMBER($AT$603),$B$419=1),$AT$603,HLOOKUP(INDIRECT(ADDRESS(2,COLUMN())),OFFSET($BN$2,0,0,ROW()-1,60),ROW()-1,FALSE))</f>
        <v>7.7842452460000002</v>
      </c>
      <c r="AU151">
        <f ca="1">IF(AND(ISNUMBER($AU$603),$B$419=1),$AU$603,HLOOKUP(INDIRECT(ADDRESS(2,COLUMN())),OFFSET($BN$2,0,0,ROW()-1,60),ROW()-1,FALSE))</f>
        <v>21.24994852</v>
      </c>
      <c r="AV151">
        <f ca="1">IF(AND(ISNUMBER($AV$603),$B$419=1),$AV$603,HLOOKUP(INDIRECT(ADDRESS(2,COLUMN())),OFFSET($BN$2,0,0,ROW()-1,60),ROW()-1,FALSE))</f>
        <v>19.231204940000001</v>
      </c>
      <c r="AW151">
        <f ca="1">IF(AND(ISNUMBER($AW$603),$B$419=1),$AW$603,HLOOKUP(INDIRECT(ADDRESS(2,COLUMN())),OFFSET($BN$2,0,0,ROW()-1,60),ROW()-1,FALSE))</f>
        <v>33.36877801</v>
      </c>
      <c r="AX151">
        <f ca="1">IF(AND(ISNUMBER($AX$603),$B$419=1),$AX$603,HLOOKUP(INDIRECT(ADDRESS(2,COLUMN())),OFFSET($BN$2,0,0,ROW()-1,60),ROW()-1,FALSE))</f>
        <v>9.8911849249999992</v>
      </c>
      <c r="AY151">
        <f ca="1">IF(AND(ISNUMBER($AY$603),$B$419=1),$AY$603,HLOOKUP(INDIRECT(ADDRESS(2,COLUMN())),OFFSET($BN$2,0,0,ROW()-1,60),ROW()-1,FALSE))</f>
        <v>-0.66829949200000005</v>
      </c>
      <c r="AZ151">
        <f ca="1">IF(AND(ISNUMBER($AZ$603),$B$419=1),$AZ$603,HLOOKUP(INDIRECT(ADDRESS(2,COLUMN())),OFFSET($BN$2,0,0,ROW()-1,60),ROW()-1,FALSE))</f>
        <v>8.1954426429999998</v>
      </c>
      <c r="BA151">
        <f ca="1">IF(AND(ISNUMBER($BA$603),$B$419=1),$BA$603,HLOOKUP(INDIRECT(ADDRESS(2,COLUMN())),OFFSET($BN$2,0,0,ROW()-1,60),ROW()-1,FALSE))</f>
        <v>7.2341511839999999</v>
      </c>
      <c r="BB151">
        <f ca="1">IF(AND(ISNUMBER($BB$603),$B$419=1),$BB$603,HLOOKUP(INDIRECT(ADDRESS(2,COLUMN())),OFFSET($BN$2,0,0,ROW()-1,60),ROW()-1,FALSE))</f>
        <v>15.948275860000001</v>
      </c>
      <c r="BC151">
        <f ca="1">IF(AND(ISNUMBER($BC$603),$B$419=1),$BC$603,HLOOKUP(INDIRECT(ADDRESS(2,COLUMN())),OFFSET($BN$2,0,0,ROW()-1,60),ROW()-1,FALSE))</f>
        <v>23.445498560000001</v>
      </c>
      <c r="BD151">
        <f ca="1">IF(AND(ISNUMBER($BD$603),$B$419=1),$BD$603,HLOOKUP(INDIRECT(ADDRESS(2,COLUMN())),OFFSET($BN$2,0,0,ROW()-1,60),ROW()-1,FALSE))</f>
        <v>14.228801259999999</v>
      </c>
      <c r="BE151">
        <f ca="1">IF(AND(ISNUMBER($BE$603),$B$419=1),$BE$603,HLOOKUP(INDIRECT(ADDRESS(2,COLUMN())),OFFSET($BN$2,0,0,ROW()-1,60),ROW()-1,FALSE))</f>
        <v>18.524121699999998</v>
      </c>
      <c r="BF151">
        <f ca="1">IF(AND(ISNUMBER($BF$603),$B$419=1),$BF$603,HLOOKUP(INDIRECT(ADDRESS(2,COLUMN())),OFFSET($BN$2,0,0,ROW()-1,60),ROW()-1,FALSE))</f>
        <v>36.082768010000002</v>
      </c>
      <c r="BG151">
        <f ca="1">IF(AND(ISNUMBER($BG$603),$B$419=1),$BG$603,HLOOKUP(INDIRECT(ADDRESS(2,COLUMN())),OFFSET($BN$2,0,0,ROW()-1,60),ROW()-1,FALSE))</f>
        <v>26.28998842</v>
      </c>
      <c r="BH151">
        <f ca="1">IF(AND(ISNUMBER($BH$603),$B$419=1),$BH$603,HLOOKUP(INDIRECT(ADDRESS(2,COLUMN())),OFFSET($BN$2,0,0,ROW()-1,60),ROW()-1,FALSE))</f>
        <v>28.591186220000001</v>
      </c>
      <c r="BI151">
        <f ca="1">IF(AND(ISNUMBER($BI$603),$B$419=1),$BI$603,HLOOKUP(INDIRECT(ADDRESS(2,COLUMN())),OFFSET($BN$2,0,0,ROW()-1,60),ROW()-1,FALSE))</f>
        <v>21.878764539999999</v>
      </c>
      <c r="BJ151">
        <f ca="1">IF(AND(ISNUMBER($BJ$603),$B$419=1),$BJ$603,HLOOKUP(INDIRECT(ADDRESS(2,COLUMN())),OFFSET($BN$2,0,0,ROW()-1,60),ROW()-1,FALSE))</f>
        <v>23.21775177</v>
      </c>
      <c r="BK151">
        <f ca="1">IF(AND(ISNUMBER($BK$603),$B$419=1),$BK$603,HLOOKUP(INDIRECT(ADDRESS(2,COLUMN())),OFFSET($BN$2,0,0,ROW()-1,60),ROW()-1,FALSE))</f>
        <v>33.837256189999998</v>
      </c>
      <c r="BL151">
        <f ca="1">IF(AND(ISNUMBER($BL$603),$B$419=1),$BL$603,HLOOKUP(INDIRECT(ADDRESS(2,COLUMN())),OFFSET($BN$2,0,0,ROW()-1,60),ROW()-1,FALSE))</f>
        <v>33.367167629999997</v>
      </c>
      <c r="BM151">
        <f ca="1">IF(AND(ISNUMBER($BM$603),$B$419=1),$BM$603,HLOOKUP(INDIRECT(ADDRESS(2,COLUMN())),OFFSET($BN$2,0,0,ROW()-1,60),ROW()-1,FALSE))</f>
        <v>43.943897890000002</v>
      </c>
      <c r="BN151" t="str">
        <f>""</f>
        <v/>
      </c>
      <c r="BO151">
        <f>-9.792908583</f>
        <v>-9.7929085829999991</v>
      </c>
      <c r="BP151">
        <f>-10.39243499</f>
        <v>-10.39243499</v>
      </c>
      <c r="BQ151">
        <f>-8.213087933</f>
        <v>-8.2130879330000006</v>
      </c>
      <c r="BR151">
        <f>-5.503433259</f>
        <v>-5.5034332590000004</v>
      </c>
      <c r="BS151">
        <f>-5.825660163</f>
        <v>-5.8256601630000002</v>
      </c>
      <c r="BT151">
        <f>-1.296984075</f>
        <v>-1.2969840749999999</v>
      </c>
      <c r="BU151">
        <f>-0.000777233</f>
        <v>-7.77233E-4</v>
      </c>
      <c r="BV151">
        <f>-1.700763064</f>
        <v>-1.700763064</v>
      </c>
      <c r="BW151">
        <f>-0.815507107</f>
        <v>-0.81550710699999995</v>
      </c>
      <c r="BX151">
        <f>4.801206415</f>
        <v>4.8012064150000002</v>
      </c>
      <c r="BY151">
        <f>6.314245579</f>
        <v>6.3142455789999996</v>
      </c>
      <c r="BZ151">
        <f>7.168587896</f>
        <v>7.168587896</v>
      </c>
      <c r="CA151">
        <f>6.814812268</f>
        <v>6.8148122679999998</v>
      </c>
      <c r="CB151">
        <f>18.87354651</f>
        <v>18.873546510000001</v>
      </c>
      <c r="CC151">
        <f>16.53346172</f>
        <v>16.533461719999998</v>
      </c>
      <c r="CD151">
        <f>20.57092363</f>
        <v>20.570923629999999</v>
      </c>
      <c r="CE151">
        <f>14.77139334</f>
        <v>14.771393339999999</v>
      </c>
      <c r="CF151">
        <f>4.624462051</f>
        <v>4.6244620510000001</v>
      </c>
      <c r="CG151">
        <f>8.917952322</f>
        <v>8.9179523219999997</v>
      </c>
      <c r="CH151">
        <f>5.101687445</f>
        <v>5.1016874449999996</v>
      </c>
      <c r="CI151">
        <f>7.072883495</f>
        <v>7.0728834950000001</v>
      </c>
      <c r="CJ151">
        <f>5.444409405</f>
        <v>5.444409405</v>
      </c>
      <c r="CK151">
        <f>2.015770947</f>
        <v>2.015770947</v>
      </c>
      <c r="CL151">
        <f>-0.877407409</f>
        <v>-0.87740740900000003</v>
      </c>
      <c r="CM151">
        <f>-2.119839965</f>
        <v>-2.1198399650000002</v>
      </c>
      <c r="CN151">
        <f>-3.057639695</f>
        <v>-3.0576396950000002</v>
      </c>
      <c r="CO151">
        <f>-4.920651068</f>
        <v>-4.9206510679999997</v>
      </c>
      <c r="CP151">
        <f>-4.878024647</f>
        <v>-4.8780246470000002</v>
      </c>
      <c r="CQ151">
        <f>-4.98833583</f>
        <v>-4.9883358299999996</v>
      </c>
      <c r="CR151">
        <f>-4.584107899</f>
        <v>-4.5841078990000002</v>
      </c>
      <c r="CS151">
        <f>-0.443598209</f>
        <v>-0.44359820900000002</v>
      </c>
      <c r="CT151">
        <f>-2.665337609</f>
        <v>-2.6653376089999998</v>
      </c>
      <c r="CU151">
        <f>-6.822165173</f>
        <v>-6.8221651730000001</v>
      </c>
      <c r="CV151">
        <f>-9.241676389</f>
        <v>-9.2416763890000002</v>
      </c>
      <c r="CW151">
        <f>-11.3001608</f>
        <v>-11.3001608</v>
      </c>
      <c r="CX151">
        <f>-12.04171185</f>
        <v>-12.04171185</v>
      </c>
      <c r="CY151">
        <f>-7.22664459</f>
        <v>-7.2266445900000003</v>
      </c>
      <c r="CZ151">
        <f>-3.751722113</f>
        <v>-3.751722113</v>
      </c>
      <c r="DA151">
        <f>-11.68926986</f>
        <v>-11.68926986</v>
      </c>
      <c r="DB151">
        <f>7.784245246</f>
        <v>7.7842452460000002</v>
      </c>
      <c r="DC151">
        <f>21.24994852</f>
        <v>21.24994852</v>
      </c>
      <c r="DD151">
        <f>19.23120494</f>
        <v>19.231204940000001</v>
      </c>
      <c r="DE151">
        <f>33.36877801</f>
        <v>33.36877801</v>
      </c>
      <c r="DF151">
        <f>9.891184925</f>
        <v>9.8911849249999992</v>
      </c>
      <c r="DG151">
        <f>-0.668299492</f>
        <v>-0.66829949200000005</v>
      </c>
      <c r="DH151">
        <f>8.195442643</f>
        <v>8.1954426429999998</v>
      </c>
      <c r="DI151">
        <f>7.234151184</f>
        <v>7.2341511839999999</v>
      </c>
      <c r="DJ151">
        <f>15.94827586</f>
        <v>15.948275860000001</v>
      </c>
      <c r="DK151">
        <f>23.44549856</f>
        <v>23.445498560000001</v>
      </c>
      <c r="DL151">
        <f>14.22880126</f>
        <v>14.228801259999999</v>
      </c>
      <c r="DM151">
        <f>18.5241217</f>
        <v>18.524121699999998</v>
      </c>
      <c r="DN151">
        <f>36.08276801</f>
        <v>36.082768010000002</v>
      </c>
      <c r="DO151">
        <f>26.28998842</f>
        <v>26.28998842</v>
      </c>
      <c r="DP151">
        <f>28.59118622</f>
        <v>28.591186220000001</v>
      </c>
      <c r="DQ151">
        <f>21.87876454</f>
        <v>21.878764539999999</v>
      </c>
      <c r="DR151">
        <f>23.21775177</f>
        <v>23.21775177</v>
      </c>
      <c r="DS151">
        <f>33.83725619</f>
        <v>33.837256189999998</v>
      </c>
      <c r="DT151">
        <f>33.36716763</f>
        <v>33.367167629999997</v>
      </c>
      <c r="DU151">
        <f>43.94389789</f>
        <v>43.943897890000002</v>
      </c>
    </row>
    <row r="152" spans="1:125">
      <c r="A152" t="str">
        <f>"    Federal Realty Investment Trus"</f>
        <v xml:space="preserve">    Federal Realty Investment Trus</v>
      </c>
      <c r="B152" t="str">
        <f>"FRT US Equity"</f>
        <v>FRT US Equity</v>
      </c>
      <c r="C152" t="str">
        <f t="shared" si="27"/>
        <v>RR033</v>
      </c>
      <c r="D152" t="str">
        <f t="shared" si="28"/>
        <v>SALES_GROWTH</v>
      </c>
      <c r="E152" t="str">
        <f t="shared" si="29"/>
        <v>动态</v>
      </c>
      <c r="F152" t="str">
        <f ca="1">IF(AND(ISNUMBER($F$604),$B$419=1),$F$604,HLOOKUP(INDIRECT(ADDRESS(2,COLUMN())),OFFSET($BN$2,0,0,ROW()-1,60),ROW()-1,FALSE))</f>
        <v/>
      </c>
      <c r="G152">
        <f ca="1">IF(AND(ISNUMBER($G$604),$B$419=1),$G$604,HLOOKUP(INDIRECT(ADDRESS(2,COLUMN())),OFFSET($BN$2,0,0,ROW()-1,60),ROW()-1,FALSE))</f>
        <v>9.7242159830000006</v>
      </c>
      <c r="H152">
        <f ca="1">IF(AND(ISNUMBER($H$604),$B$419=1),$H$604,HLOOKUP(INDIRECT(ADDRESS(2,COLUMN())),OFFSET($BN$2,0,0,ROW()-1,60),ROW()-1,FALSE))</f>
        <v>8.3496970029999993</v>
      </c>
      <c r="I152">
        <f ca="1">IF(AND(ISNUMBER($I$604),$B$419=1),$I$604,HLOOKUP(INDIRECT(ADDRESS(2,COLUMN())),OFFSET($BN$2,0,0,ROW()-1,60),ROW()-1,FALSE))</f>
        <v>5.0853364719999998</v>
      </c>
      <c r="J152">
        <f ca="1">IF(AND(ISNUMBER($J$604),$B$419=1),$J$604,HLOOKUP(INDIRECT(ADDRESS(2,COLUMN())),OFFSET($BN$2,0,0,ROW()-1,60),ROW()-1,FALSE))</f>
        <v>4.5602589440000001</v>
      </c>
      <c r="K152">
        <f ca="1">IF(AND(ISNUMBER($K$604),$B$419=1),$K$604,HLOOKUP(INDIRECT(ADDRESS(2,COLUMN())),OFFSET($BN$2,0,0,ROW()-1,60),ROW()-1,FALSE))</f>
        <v>6.026793831</v>
      </c>
      <c r="L152">
        <f ca="1">IF(AND(ISNUMBER($L$604),$B$419=1),$L$604,HLOOKUP(INDIRECT(ADDRESS(2,COLUMN())),OFFSET($BN$2,0,0,ROW()-1,60),ROW()-1,FALSE))</f>
        <v>8.5856023149999992</v>
      </c>
      <c r="M152">
        <f ca="1">IF(AND(ISNUMBER($M$604),$B$419=1),$M$604,HLOOKUP(INDIRECT(ADDRESS(2,COLUMN())),OFFSET($BN$2,0,0,ROW()-1,60),ROW()-1,FALSE))</f>
        <v>9.1038845810000009</v>
      </c>
      <c r="N152">
        <f ca="1">IF(AND(ISNUMBER($N$604),$B$419=1),$N$604,HLOOKUP(INDIRECT(ADDRESS(2,COLUMN())),OFFSET($BN$2,0,0,ROW()-1,60),ROW()-1,FALSE))</f>
        <v>7.3336508069999997</v>
      </c>
      <c r="O152">
        <f ca="1">IF(AND(ISNUMBER($O$604),$B$419=1),$O$604,HLOOKUP(INDIRECT(ADDRESS(2,COLUMN())),OFFSET($BN$2,0,0,ROW()-1,60),ROW()-1,FALSE))</f>
        <v>9.145183329</v>
      </c>
      <c r="P152">
        <f ca="1">IF(AND(ISNUMBER($P$604),$B$419=1),$P$604,HLOOKUP(INDIRECT(ADDRESS(2,COLUMN())),OFFSET($BN$2,0,0,ROW()-1,60),ROW()-1,FALSE))</f>
        <v>8.3737963470000008</v>
      </c>
      <c r="Q152">
        <f ca="1">IF(AND(ISNUMBER($Q$604),$B$419=1),$Q$604,HLOOKUP(INDIRECT(ADDRESS(2,COLUMN())),OFFSET($BN$2,0,0,ROW()-1,60),ROW()-1,FALSE))</f>
        <v>8.0465861249999993</v>
      </c>
      <c r="R152">
        <f ca="1">IF(AND(ISNUMBER($R$604),$B$419=1),$R$604,HLOOKUP(INDIRECT(ADDRESS(2,COLUMN())),OFFSET($BN$2,0,0,ROW()-1,60),ROW()-1,FALSE))</f>
        <v>8.1743039779999993</v>
      </c>
      <c r="S152">
        <f ca="1">IF(AND(ISNUMBER($S$604),$B$419=1),$S$604,HLOOKUP(INDIRECT(ADDRESS(2,COLUMN())),OFFSET($BN$2,0,0,ROW()-1,60),ROW()-1,FALSE))</f>
        <v>7.6480353499999998</v>
      </c>
      <c r="T152">
        <f ca="1">IF(AND(ISNUMBER($T$604),$B$419=1),$T$604,HLOOKUP(INDIRECT(ADDRESS(2,COLUMN())),OFFSET($BN$2,0,0,ROW()-1,60),ROW()-1,FALSE))</f>
        <v>7.4878953660000001</v>
      </c>
      <c r="U152">
        <f ca="1">IF(AND(ISNUMBER($U$604),$B$419=1),$U$604,HLOOKUP(INDIRECT(ADDRESS(2,COLUMN())),OFFSET($BN$2,0,0,ROW()-1,60),ROW()-1,FALSE))</f>
        <v>6.7088977559999998</v>
      </c>
      <c r="V152">
        <f ca="1">IF(AND(ISNUMBER($V$604),$B$419=1),$V$604,HLOOKUP(INDIRECT(ADDRESS(2,COLUMN())),OFFSET($BN$2,0,0,ROW()-1,60),ROW()-1,FALSE))</f>
        <v>8.7044779160000001</v>
      </c>
      <c r="W152">
        <f ca="1">IF(AND(ISNUMBER($W$604),$B$419=1),$W$604,HLOOKUP(INDIRECT(ADDRESS(2,COLUMN())),OFFSET($BN$2,0,0,ROW()-1,60),ROW()-1,FALSE))</f>
        <v>5.1744391309999997</v>
      </c>
      <c r="X152">
        <f ca="1">IF(AND(ISNUMBER($X$604),$B$419=1),$X$604,HLOOKUP(INDIRECT(ADDRESS(2,COLUMN())),OFFSET($BN$2,0,0,ROW()-1,60),ROW()-1,FALSE))</f>
        <v>1.1435331230000001</v>
      </c>
      <c r="Y152">
        <f ca="1">IF(AND(ISNUMBER($Y$604),$B$419=1),$Y$604,HLOOKUP(INDIRECT(ADDRESS(2,COLUMN())),OFFSET($BN$2,0,0,ROW()-1,60),ROW()-1,FALSE))</f>
        <v>6.6603415559999997</v>
      </c>
      <c r="Z152">
        <f ca="1">IF(AND(ISNUMBER($Z$604),$B$419=1),$Z$604,HLOOKUP(INDIRECT(ADDRESS(2,COLUMN())),OFFSET($BN$2,0,0,ROW()-1,60),ROW()-1,FALSE))</f>
        <v>7.4236613829999998</v>
      </c>
      <c r="AA152">
        <f ca="1">IF(AND(ISNUMBER($AA$604),$B$419=1),$AA$604,HLOOKUP(INDIRECT(ADDRESS(2,COLUMN())),OFFSET($BN$2,0,0,ROW()-1,60),ROW()-1,FALSE))</f>
        <v>10.12186674</v>
      </c>
      <c r="AB152">
        <f ca="1">IF(AND(ISNUMBER($AB$604),$B$419=1),$AB$604,HLOOKUP(INDIRECT(ADDRESS(2,COLUMN())),OFFSET($BN$2,0,0,ROW()-1,60),ROW()-1,FALSE))</f>
        <v>14.21431892</v>
      </c>
      <c r="AC152">
        <f ca="1">IF(AND(ISNUMBER($AC$604),$B$419=1),$AC$604,HLOOKUP(INDIRECT(ADDRESS(2,COLUMN())),OFFSET($BN$2,0,0,ROW()-1,60),ROW()-1,FALSE))</f>
        <v>8.2770766069999997</v>
      </c>
      <c r="AD152">
        <f ca="1">IF(AND(ISNUMBER($AD$604),$B$419=1),$AD$604,HLOOKUP(INDIRECT(ADDRESS(2,COLUMN())),OFFSET($BN$2,0,0,ROW()-1,60),ROW()-1,FALSE))</f>
        <v>6.2768345569999999</v>
      </c>
      <c r="AE152">
        <f ca="1">IF(AND(ISNUMBER($AE$604),$B$419=1),$AE$604,HLOOKUP(INDIRECT(ADDRESS(2,COLUMN())),OFFSET($BN$2,0,0,ROW()-1,60),ROW()-1,FALSE))</f>
        <v>3.0087232589999999</v>
      </c>
      <c r="AF152">
        <f ca="1">IF(AND(ISNUMBER($AF$604),$B$419=1),$AF$604,HLOOKUP(INDIRECT(ADDRESS(2,COLUMN())),OFFSET($BN$2,0,0,ROW()-1,60),ROW()-1,FALSE))</f>
        <v>3.1608290989999999</v>
      </c>
      <c r="AG152">
        <f ca="1">IF(AND(ISNUMBER($AG$604),$B$419=1),$AG$604,HLOOKUP(INDIRECT(ADDRESS(2,COLUMN())),OFFSET($BN$2,0,0,ROW()-1,60),ROW()-1,FALSE))</f>
        <v>2.300024021</v>
      </c>
      <c r="AH152">
        <f ca="1">IF(AND(ISNUMBER($AH$604),$B$419=1),$AH$604,HLOOKUP(INDIRECT(ADDRESS(2,COLUMN())),OFFSET($BN$2,0,0,ROW()-1,60),ROW()-1,FALSE))</f>
        <v>-0.487984731</v>
      </c>
      <c r="AI152">
        <f ca="1">IF(AND(ISNUMBER($AI$604),$B$419=1),$AI$604,HLOOKUP(INDIRECT(ADDRESS(2,COLUMN())),OFFSET($BN$2,0,0,ROW()-1,60),ROW()-1,FALSE))</f>
        <v>-0.78528547000000004</v>
      </c>
      <c r="AJ152">
        <f ca="1">IF(AND(ISNUMBER($AJ$604),$B$419=1),$AJ$604,HLOOKUP(INDIRECT(ADDRESS(2,COLUMN())),OFFSET($BN$2,0,0,ROW()-1,60),ROW()-1,FALSE))</f>
        <v>1.8733968489999999</v>
      </c>
      <c r="AK152">
        <f ca="1">IF(AND(ISNUMBER($AK$604),$B$419=1),$AK$604,HLOOKUP(INDIRECT(ADDRESS(2,COLUMN())),OFFSET($BN$2,0,0,ROW()-1,60),ROW()-1,FALSE))</f>
        <v>2.2081050809999998</v>
      </c>
      <c r="AL152">
        <f ca="1">IF(AND(ISNUMBER($AL$604),$B$419=1),$AL$604,HLOOKUP(INDIRECT(ADDRESS(2,COLUMN())),OFFSET($BN$2,0,0,ROW()-1,60),ROW()-1,FALSE))</f>
        <v>5.5296164059999997</v>
      </c>
      <c r="AM152">
        <f ca="1">IF(AND(ISNUMBER($AM$604),$B$419=1),$AM$604,HLOOKUP(INDIRECT(ADDRESS(2,COLUMN())),OFFSET($BN$2,0,0,ROW()-1,60),ROW()-1,FALSE))</f>
        <v>3.6651763310000001</v>
      </c>
      <c r="AN152">
        <f ca="1">IF(AND(ISNUMBER($AN$604),$B$419=1),$AN$604,HLOOKUP(INDIRECT(ADDRESS(2,COLUMN())),OFFSET($BN$2,0,0,ROW()-1,60),ROW()-1,FALSE))</f>
        <v>-0.54287167700000005</v>
      </c>
      <c r="AO152">
        <f ca="1">IF(AND(ISNUMBER($AO$604),$B$419=1),$AO$604,HLOOKUP(INDIRECT(ADDRESS(2,COLUMN())),OFFSET($BN$2,0,0,ROW()-1,60),ROW()-1,FALSE))</f>
        <v>1.263285475</v>
      </c>
      <c r="AP152">
        <f ca="1">IF(AND(ISNUMBER($AP$604),$B$419=1),$AP$604,HLOOKUP(INDIRECT(ADDRESS(2,COLUMN())),OFFSET($BN$2,0,0,ROW()-1,60),ROW()-1,FALSE))</f>
        <v>3.7248059260000002</v>
      </c>
      <c r="AQ152">
        <f ca="1">IF(AND(ISNUMBER($AQ$604),$B$419=1),$AQ$604,HLOOKUP(INDIRECT(ADDRESS(2,COLUMN())),OFFSET($BN$2,0,0,ROW()-1,60),ROW()-1,FALSE))</f>
        <v>5.4832287930000003</v>
      </c>
      <c r="AR152">
        <f ca="1">IF(AND(ISNUMBER($AR$604),$B$419=1),$AR$604,HLOOKUP(INDIRECT(ADDRESS(2,COLUMN())),OFFSET($BN$2,0,0,ROW()-1,60),ROW()-1,FALSE))</f>
        <v>6.5901071509999998</v>
      </c>
      <c r="AS152">
        <f ca="1">IF(AND(ISNUMBER($AS$604),$B$419=1),$AS$604,HLOOKUP(INDIRECT(ADDRESS(2,COLUMN())),OFFSET($BN$2,0,0,ROW()-1,60),ROW()-1,FALSE))</f>
        <v>8.0152063180000006</v>
      </c>
      <c r="AT152">
        <f ca="1">IF(AND(ISNUMBER($AT$604),$B$419=1),$AT$604,HLOOKUP(INDIRECT(ADDRESS(2,COLUMN())),OFFSET($BN$2,0,0,ROW()-1,60),ROW()-1,FALSE))</f>
        <v>9.4217581050000003</v>
      </c>
      <c r="AU152">
        <f ca="1">IF(AND(ISNUMBER($AU$604),$B$419=1),$AU$604,HLOOKUP(INDIRECT(ADDRESS(2,COLUMN())),OFFSET($BN$2,0,0,ROW()-1,60),ROW()-1,FALSE))</f>
        <v>26.84730545</v>
      </c>
      <c r="AV152">
        <f ca="1">IF(AND(ISNUMBER($AV$604),$B$419=1),$AV$604,HLOOKUP(INDIRECT(ADDRESS(2,COLUMN())),OFFSET($BN$2,0,0,ROW()-1,60),ROW()-1,FALSE))</f>
        <v>10.06457934</v>
      </c>
      <c r="AW152">
        <f ca="1">IF(AND(ISNUMBER($AW$604),$B$419=1),$AW$604,HLOOKUP(INDIRECT(ADDRESS(2,COLUMN())),OFFSET($BN$2,0,0,ROW()-1,60),ROW()-1,FALSE))</f>
        <v>9.4475315729999991</v>
      </c>
      <c r="AX152">
        <f ca="1">IF(AND(ISNUMBER($AX$604),$B$419=1),$AX$604,HLOOKUP(INDIRECT(ADDRESS(2,COLUMN())),OFFSET($BN$2,0,0,ROW()-1,60),ROW()-1,FALSE))</f>
        <v>6.3004519390000002</v>
      </c>
      <c r="AY152">
        <f ca="1">IF(AND(ISNUMBER($AY$604),$B$419=1),$AY$604,HLOOKUP(INDIRECT(ADDRESS(2,COLUMN())),OFFSET($BN$2,0,0,ROW()-1,60),ROW()-1,FALSE))</f>
        <v>-7.1234457600000001</v>
      </c>
      <c r="AZ152">
        <f ca="1">IF(AND(ISNUMBER($AZ$604),$B$419=1),$AZ$604,HLOOKUP(INDIRECT(ADDRESS(2,COLUMN())),OFFSET($BN$2,0,0,ROW()-1,60),ROW()-1,FALSE))</f>
        <v>11.403848249999999</v>
      </c>
      <c r="BA152">
        <f ca="1">IF(AND(ISNUMBER($BA$604),$B$419=1),$BA$604,HLOOKUP(INDIRECT(ADDRESS(2,COLUMN())),OFFSET($BN$2,0,0,ROW()-1,60),ROW()-1,FALSE))</f>
        <v>8.2751556379999993</v>
      </c>
      <c r="BB152">
        <f ca="1">IF(AND(ISNUMBER($BB$604),$B$419=1),$BB$604,HLOOKUP(INDIRECT(ADDRESS(2,COLUMN())),OFFSET($BN$2,0,0,ROW()-1,60),ROW()-1,FALSE))</f>
        <v>6.6078560279999996</v>
      </c>
      <c r="BC152">
        <f ca="1">IF(AND(ISNUMBER($BC$604),$B$419=1),$BC$604,HLOOKUP(INDIRECT(ADDRESS(2,COLUMN())),OFFSET($BN$2,0,0,ROW()-1,60),ROW()-1,FALSE))</f>
        <v>6.2631679470000003</v>
      </c>
      <c r="BD152">
        <f ca="1">IF(AND(ISNUMBER($BD$604),$B$419=1),$BD$604,HLOOKUP(INDIRECT(ADDRESS(2,COLUMN())),OFFSET($BN$2,0,0,ROW()-1,60),ROW()-1,FALSE))</f>
        <v>1.4905381040000001</v>
      </c>
      <c r="BE152">
        <f ca="1">IF(AND(ISNUMBER($BE$604),$B$419=1),$BE$604,HLOOKUP(INDIRECT(ADDRESS(2,COLUMN())),OFFSET($BN$2,0,0,ROW()-1,60),ROW()-1,FALSE))</f>
        <v>0.28423821500000002</v>
      </c>
      <c r="BF152">
        <f ca="1">IF(AND(ISNUMBER($BF$604),$B$419=1),$BF$604,HLOOKUP(INDIRECT(ADDRESS(2,COLUMN())),OFFSET($BN$2,0,0,ROW()-1,60),ROW()-1,FALSE))</f>
        <v>5.9642519209999998</v>
      </c>
      <c r="BG152">
        <f ca="1">IF(AND(ISNUMBER($BG$604),$B$419=1),$BG$604,HLOOKUP(INDIRECT(ADDRESS(2,COLUMN())),OFFSET($BN$2,0,0,ROW()-1,60),ROW()-1,FALSE))</f>
        <v>2.2065639670000001</v>
      </c>
      <c r="BH152">
        <f ca="1">IF(AND(ISNUMBER($BH$604),$B$419=1),$BH$604,HLOOKUP(INDIRECT(ADDRESS(2,COLUMN())),OFFSET($BN$2,0,0,ROW()-1,60),ROW()-1,FALSE))</f>
        <v>13.83026287</v>
      </c>
      <c r="BI152">
        <f ca="1">IF(AND(ISNUMBER($BI$604),$B$419=1),$BI$604,HLOOKUP(INDIRECT(ADDRESS(2,COLUMN())),OFFSET($BN$2,0,0,ROW()-1,60),ROW()-1,FALSE))</f>
        <v>16.03999258</v>
      </c>
      <c r="BJ152">
        <f ca="1">IF(AND(ISNUMBER($BJ$604),$B$419=1),$BJ$604,HLOOKUP(INDIRECT(ADDRESS(2,COLUMN())),OFFSET($BN$2,0,0,ROW()-1,60),ROW()-1,FALSE))</f>
        <v>12.73884604</v>
      </c>
      <c r="BK152">
        <f ca="1">IF(AND(ISNUMBER($BK$604),$B$419=1),$BK$604,HLOOKUP(INDIRECT(ADDRESS(2,COLUMN())),OFFSET($BN$2,0,0,ROW()-1,60),ROW()-1,FALSE))</f>
        <v>16.170543299999999</v>
      </c>
      <c r="BL152">
        <f ca="1">IF(AND(ISNUMBER($BL$604),$B$419=1),$BL$604,HLOOKUP(INDIRECT(ADDRESS(2,COLUMN())),OFFSET($BN$2,0,0,ROW()-1,60),ROW()-1,FALSE))</f>
        <v>11.35664407</v>
      </c>
      <c r="BM152">
        <f ca="1">IF(AND(ISNUMBER($BM$604),$B$419=1),$BM$604,HLOOKUP(INDIRECT(ADDRESS(2,COLUMN())),OFFSET($BN$2,0,0,ROW()-1,60),ROW()-1,FALSE))</f>
        <v>13.953948410000001</v>
      </c>
      <c r="BN152" t="str">
        <f>""</f>
        <v/>
      </c>
      <c r="BO152">
        <f>9.724215983</f>
        <v>9.7242159830000006</v>
      </c>
      <c r="BP152">
        <f>8.349697003</f>
        <v>8.3496970029999993</v>
      </c>
      <c r="BQ152">
        <f>5.085336472</f>
        <v>5.0853364719999998</v>
      </c>
      <c r="BR152">
        <f>4.560258944</f>
        <v>4.5602589440000001</v>
      </c>
      <c r="BS152">
        <f>6.026793831</f>
        <v>6.026793831</v>
      </c>
      <c r="BT152">
        <f>8.585602315</f>
        <v>8.5856023149999992</v>
      </c>
      <c r="BU152">
        <f>9.103884581</f>
        <v>9.1038845810000009</v>
      </c>
      <c r="BV152">
        <f>7.333650807</f>
        <v>7.3336508069999997</v>
      </c>
      <c r="BW152">
        <f>9.145183329</f>
        <v>9.145183329</v>
      </c>
      <c r="BX152">
        <f>8.373796347</f>
        <v>8.3737963470000008</v>
      </c>
      <c r="BY152">
        <f>8.046586125</f>
        <v>8.0465861249999993</v>
      </c>
      <c r="BZ152">
        <f>8.174303978</f>
        <v>8.1743039779999993</v>
      </c>
      <c r="CA152">
        <f>7.64803535</f>
        <v>7.6480353499999998</v>
      </c>
      <c r="CB152">
        <f>7.487895366</f>
        <v>7.4878953660000001</v>
      </c>
      <c r="CC152">
        <f>6.708897756</f>
        <v>6.7088977559999998</v>
      </c>
      <c r="CD152">
        <f>8.704477916</f>
        <v>8.7044779160000001</v>
      </c>
      <c r="CE152">
        <f>5.174439131</f>
        <v>5.1744391309999997</v>
      </c>
      <c r="CF152">
        <f>1.143533123</f>
        <v>1.1435331230000001</v>
      </c>
      <c r="CG152">
        <f>6.660341556</f>
        <v>6.6603415559999997</v>
      </c>
      <c r="CH152">
        <f>7.423661383</f>
        <v>7.4236613829999998</v>
      </c>
      <c r="CI152">
        <f>10.12186674</f>
        <v>10.12186674</v>
      </c>
      <c r="CJ152">
        <f>14.21431892</f>
        <v>14.21431892</v>
      </c>
      <c r="CK152">
        <f>8.277076607</f>
        <v>8.2770766069999997</v>
      </c>
      <c r="CL152">
        <f>6.276834557</f>
        <v>6.2768345569999999</v>
      </c>
      <c r="CM152">
        <f>3.008723259</f>
        <v>3.0087232589999999</v>
      </c>
      <c r="CN152">
        <f>3.160829099</f>
        <v>3.1608290989999999</v>
      </c>
      <c r="CO152">
        <f>2.300024021</f>
        <v>2.300024021</v>
      </c>
      <c r="CP152">
        <f>-0.487984731</f>
        <v>-0.487984731</v>
      </c>
      <c r="CQ152">
        <f>-0.78528547</f>
        <v>-0.78528547000000004</v>
      </c>
      <c r="CR152">
        <f>1.873396849</f>
        <v>1.8733968489999999</v>
      </c>
      <c r="CS152">
        <f>2.208105081</f>
        <v>2.2081050809999998</v>
      </c>
      <c r="CT152">
        <f>5.529616406</f>
        <v>5.5296164059999997</v>
      </c>
      <c r="CU152">
        <f>3.665176331</f>
        <v>3.6651763310000001</v>
      </c>
      <c r="CV152">
        <f>-0.542871677</f>
        <v>-0.54287167700000005</v>
      </c>
      <c r="CW152">
        <f>1.263285475</f>
        <v>1.263285475</v>
      </c>
      <c r="CX152">
        <f>3.724805926</f>
        <v>3.7248059260000002</v>
      </c>
      <c r="CY152">
        <f>5.483228793</f>
        <v>5.4832287930000003</v>
      </c>
      <c r="CZ152">
        <f>6.590107151</f>
        <v>6.5901071509999998</v>
      </c>
      <c r="DA152">
        <f>8.015206318</f>
        <v>8.0152063180000006</v>
      </c>
      <c r="DB152">
        <f>9.421758105</f>
        <v>9.4217581050000003</v>
      </c>
      <c r="DC152">
        <f>26.84730545</f>
        <v>26.84730545</v>
      </c>
      <c r="DD152">
        <f>10.06457934</f>
        <v>10.06457934</v>
      </c>
      <c r="DE152">
        <f>9.447531573</f>
        <v>9.4475315729999991</v>
      </c>
      <c r="DF152">
        <f>6.300451939</f>
        <v>6.3004519390000002</v>
      </c>
      <c r="DG152">
        <f>-7.12344576</f>
        <v>-7.1234457600000001</v>
      </c>
      <c r="DH152">
        <f>11.40384825</f>
        <v>11.403848249999999</v>
      </c>
      <c r="DI152">
        <f>8.275155638</f>
        <v>8.2751556379999993</v>
      </c>
      <c r="DJ152">
        <f>6.607856028</f>
        <v>6.6078560279999996</v>
      </c>
      <c r="DK152">
        <f>6.263167947</f>
        <v>6.2631679470000003</v>
      </c>
      <c r="DL152">
        <f>1.490538104</f>
        <v>1.4905381040000001</v>
      </c>
      <c r="DM152">
        <f>0.284238215</f>
        <v>0.28423821500000002</v>
      </c>
      <c r="DN152">
        <f>5.964251921</f>
        <v>5.9642519209999998</v>
      </c>
      <c r="DO152">
        <f>2.206563967</f>
        <v>2.2065639670000001</v>
      </c>
      <c r="DP152">
        <f>13.83026287</f>
        <v>13.83026287</v>
      </c>
      <c r="DQ152">
        <f>16.03999258</f>
        <v>16.03999258</v>
      </c>
      <c r="DR152">
        <f>12.73884604</f>
        <v>12.73884604</v>
      </c>
      <c r="DS152">
        <f>16.1705433</f>
        <v>16.170543299999999</v>
      </c>
      <c r="DT152">
        <f>11.35664407</f>
        <v>11.35664407</v>
      </c>
      <c r="DU152">
        <f>13.95394841</f>
        <v>13.953948410000001</v>
      </c>
    </row>
    <row r="153" spans="1:125">
      <c r="A153" t="str">
        <f>"    Kimco Realty Corp"</f>
        <v xml:space="preserve">    Kimco Realty Corp</v>
      </c>
      <c r="B153" t="str">
        <f>"KIM US Equity"</f>
        <v>KIM US Equity</v>
      </c>
      <c r="C153" t="str">
        <f t="shared" si="27"/>
        <v>RR033</v>
      </c>
      <c r="D153" t="str">
        <f t="shared" si="28"/>
        <v>SALES_GROWTH</v>
      </c>
      <c r="E153" t="str">
        <f t="shared" si="29"/>
        <v>动态</v>
      </c>
      <c r="F153" t="str">
        <f ca="1">IF(AND(ISNUMBER($F$605),$B$419=1),$F$605,HLOOKUP(INDIRECT(ADDRESS(2,COLUMN())),OFFSET($BN$2,0,0,ROW()-1,60),ROW()-1,FALSE))</f>
        <v/>
      </c>
      <c r="G153">
        <f ca="1">IF(AND(ISNUMBER($G$605),$B$419=1),$G$605,HLOOKUP(INDIRECT(ADDRESS(2,COLUMN())),OFFSET($BN$2,0,0,ROW()-1,60),ROW()-1,FALSE))</f>
        <v>6.127073051</v>
      </c>
      <c r="H153">
        <f ca="1">IF(AND(ISNUMBER($H$605),$B$419=1),$H$605,HLOOKUP(INDIRECT(ADDRESS(2,COLUMN())),OFFSET($BN$2,0,0,ROW()-1,60),ROW()-1,FALSE))</f>
        <v>3.4268054829999999</v>
      </c>
      <c r="I153">
        <f ca="1">IF(AND(ISNUMBER($I$605),$B$419=1),$I$605,HLOOKUP(INDIRECT(ADDRESS(2,COLUMN())),OFFSET($BN$2,0,0,ROW()-1,60),ROW()-1,FALSE))</f>
        <v>1.9513667800000001</v>
      </c>
      <c r="J153">
        <f ca="1">IF(AND(ISNUMBER($J$605),$B$419=1),$J$605,HLOOKUP(INDIRECT(ADDRESS(2,COLUMN())),OFFSET($BN$2,0,0,ROW()-1,60),ROW()-1,FALSE))</f>
        <v>-1.216007968</v>
      </c>
      <c r="K153">
        <f ca="1">IF(AND(ISNUMBER($K$605),$B$419=1),$K$605,HLOOKUP(INDIRECT(ADDRESS(2,COLUMN())),OFFSET($BN$2,0,0,ROW()-1,60),ROW()-1,FALSE))</f>
        <v>-1.277628212</v>
      </c>
      <c r="L153">
        <f ca="1">IF(AND(ISNUMBER($L$605),$B$419=1),$L$605,HLOOKUP(INDIRECT(ADDRESS(2,COLUMN())),OFFSET($BN$2,0,0,ROW()-1,60),ROW()-1,FALSE))</f>
        <v>-1.1463961</v>
      </c>
      <c r="M153">
        <f ca="1">IF(AND(ISNUMBER($M$605),$B$419=1),$M$605,HLOOKUP(INDIRECT(ADDRESS(2,COLUMN())),OFFSET($BN$2,0,0,ROW()-1,60),ROW()-1,FALSE))</f>
        <v>-0.87498852299999996</v>
      </c>
      <c r="N153">
        <f ca="1">IF(AND(ISNUMBER($N$605),$B$419=1),$N$605,HLOOKUP(INDIRECT(ADDRESS(2,COLUMN())),OFFSET($BN$2,0,0,ROW()-1,60),ROW()-1,FALSE))</f>
        <v>4.849429894</v>
      </c>
      <c r="O153">
        <f ca="1">IF(AND(ISNUMBER($O$605),$B$419=1),$O$605,HLOOKUP(INDIRECT(ADDRESS(2,COLUMN())),OFFSET($BN$2,0,0,ROW()-1,60),ROW()-1,FALSE))</f>
        <v>13.745312119999999</v>
      </c>
      <c r="P153">
        <f ca="1">IF(AND(ISNUMBER($P$605),$B$419=1),$P$605,HLOOKUP(INDIRECT(ADDRESS(2,COLUMN())),OFFSET($BN$2,0,0,ROW()-1,60),ROW()-1,FALSE))</f>
        <v>12.98729793</v>
      </c>
      <c r="Q153">
        <f ca="1">IF(AND(ISNUMBER($Q$605),$B$419=1),$Q$605,HLOOKUP(INDIRECT(ADDRESS(2,COLUMN())),OFFSET($BN$2,0,0,ROW()-1,60),ROW()-1,FALSE))</f>
        <v>19.55740411</v>
      </c>
      <c r="R153">
        <f ca="1">IF(AND(ISNUMBER($R$605),$B$419=1),$R$605,HLOOKUP(INDIRECT(ADDRESS(2,COLUMN())),OFFSET($BN$2,0,0,ROW()-1,60),ROW()-1,FALSE))</f>
        <v>24.217657859999999</v>
      </c>
      <c r="S153">
        <f ca="1">IF(AND(ISNUMBER($S$605),$B$419=1),$S$605,HLOOKUP(INDIRECT(ADDRESS(2,COLUMN())),OFFSET($BN$2,0,0,ROW()-1,60),ROW()-1,FALSE))</f>
        <v>16.56259502</v>
      </c>
      <c r="T153">
        <f ca="1">IF(AND(ISNUMBER($T$605),$B$419=1),$T$605,HLOOKUP(INDIRECT(ADDRESS(2,COLUMN())),OFFSET($BN$2,0,0,ROW()-1,60),ROW()-1,FALSE))</f>
        <v>15.249048370000001</v>
      </c>
      <c r="U153">
        <f ca="1">IF(AND(ISNUMBER($U$605),$B$419=1),$U$605,HLOOKUP(INDIRECT(ADDRESS(2,COLUMN())),OFFSET($BN$2,0,0,ROW()-1,60),ROW()-1,FALSE))</f>
        <v>-6.9069751999999998E-2</v>
      </c>
      <c r="V153">
        <f ca="1">IF(AND(ISNUMBER($V$605),$B$419=1),$V$605,HLOOKUP(INDIRECT(ADDRESS(2,COLUMN())),OFFSET($BN$2,0,0,ROW()-1,60),ROW()-1,FALSE))</f>
        <v>0.51890844199999997</v>
      </c>
      <c r="W153">
        <f ca="1">IF(AND(ISNUMBER($W$605),$B$419=1),$W$605,HLOOKUP(INDIRECT(ADDRESS(2,COLUMN())),OFFSET($BN$2,0,0,ROW()-1,60),ROW()-1,FALSE))</f>
        <v>-0.19264178700000001</v>
      </c>
      <c r="X153">
        <f ca="1">IF(AND(ISNUMBER($X$605),$B$419=1),$X$605,HLOOKUP(INDIRECT(ADDRESS(2,COLUMN())),OFFSET($BN$2,0,0,ROW()-1,60),ROW()-1,FALSE))</f>
        <v>-0.62818861800000003</v>
      </c>
      <c r="Y153">
        <f ca="1">IF(AND(ISNUMBER($Y$605),$B$419=1),$Y$605,HLOOKUP(INDIRECT(ADDRESS(2,COLUMN())),OFFSET($BN$2,0,0,ROW()-1,60),ROW()-1,FALSE))</f>
        <v>8.6566689770000007</v>
      </c>
      <c r="Z153">
        <f ca="1">IF(AND(ISNUMBER($Z$605),$B$419=1),$Z$605,HLOOKUP(INDIRECT(ADDRESS(2,COLUMN())),OFFSET($BN$2,0,0,ROW()-1,60),ROW()-1,FALSE))</f>
        <v>1.3509591990000001</v>
      </c>
      <c r="AA153">
        <f ca="1">IF(AND(ISNUMBER($AA$605),$B$419=1),$AA$605,HLOOKUP(INDIRECT(ADDRESS(2,COLUMN())),OFFSET($BN$2,0,0,ROW()-1,60),ROW()-1,FALSE))</f>
        <v>2.9001117860000001</v>
      </c>
      <c r="AB153">
        <f ca="1">IF(AND(ISNUMBER($AB$605),$B$419=1),$AB$605,HLOOKUP(INDIRECT(ADDRESS(2,COLUMN())),OFFSET($BN$2,0,0,ROW()-1,60),ROW()-1,FALSE))</f>
        <v>4.6182372960000002</v>
      </c>
      <c r="AC153">
        <f ca="1">IF(AND(ISNUMBER($AC$605),$B$419=1),$AC$605,HLOOKUP(INDIRECT(ADDRESS(2,COLUMN())),OFFSET($BN$2,0,0,ROW()-1,60),ROW()-1,FALSE))</f>
        <v>2.9285603930000002</v>
      </c>
      <c r="AD153">
        <f ca="1">IF(AND(ISNUMBER($AD$605),$B$419=1),$AD$605,HLOOKUP(INDIRECT(ADDRESS(2,COLUMN())),OFFSET($BN$2,0,0,ROW()-1,60),ROW()-1,FALSE))</f>
        <v>-0.50946983199999996</v>
      </c>
      <c r="AE153">
        <f ca="1">IF(AND(ISNUMBER($AE$605),$B$419=1),$AE$605,HLOOKUP(INDIRECT(ADDRESS(2,COLUMN())),OFFSET($BN$2,0,0,ROW()-1,60),ROW()-1,FALSE))</f>
        <v>-0.90725625600000004</v>
      </c>
      <c r="AF153">
        <f ca="1">IF(AND(ISNUMBER($AF$605),$B$419=1),$AF$605,HLOOKUP(INDIRECT(ADDRESS(2,COLUMN())),OFFSET($BN$2,0,0,ROW()-1,60),ROW()-1,FALSE))</f>
        <v>-3.1836567740000001</v>
      </c>
      <c r="AG153">
        <f ca="1">IF(AND(ISNUMBER($AG$605),$B$419=1),$AG$605,HLOOKUP(INDIRECT(ADDRESS(2,COLUMN())),OFFSET($BN$2,0,0,ROW()-1,60),ROW()-1,FALSE))</f>
        <v>-1.105449055</v>
      </c>
      <c r="AH153">
        <f ca="1">IF(AND(ISNUMBER($AH$605),$B$419=1),$AH$605,HLOOKUP(INDIRECT(ADDRESS(2,COLUMN())),OFFSET($BN$2,0,0,ROW()-1,60),ROW()-1,FALSE))</f>
        <v>-0.78049597400000004</v>
      </c>
      <c r="AI153">
        <f ca="1">IF(AND(ISNUMBER($AI$605),$B$419=1),$AI$605,HLOOKUP(INDIRECT(ADDRESS(2,COLUMN())),OFFSET($BN$2,0,0,ROW()-1,60),ROW()-1,FALSE))</f>
        <v>-2.2733348819999999</v>
      </c>
      <c r="AJ153">
        <f ca="1">IF(AND(ISNUMBER($AJ$605),$B$419=1),$AJ$605,HLOOKUP(INDIRECT(ADDRESS(2,COLUMN())),OFFSET($BN$2,0,0,ROW()-1,60),ROW()-1,FALSE))</f>
        <v>3.1585659160000001</v>
      </c>
      <c r="AK153">
        <f ca="1">IF(AND(ISNUMBER($AK$605),$B$419=1),$AK$605,HLOOKUP(INDIRECT(ADDRESS(2,COLUMN())),OFFSET($BN$2,0,0,ROW()-1,60),ROW()-1,FALSE))</f>
        <v>5.2274693939999999</v>
      </c>
      <c r="AL153">
        <f ca="1">IF(AND(ISNUMBER($AL$605),$B$419=1),$AL$605,HLOOKUP(INDIRECT(ADDRESS(2,COLUMN())),OFFSET($BN$2,0,0,ROW()-1,60),ROW()-1,FALSE))</f>
        <v>5.019392582</v>
      </c>
      <c r="AM153">
        <f ca="1">IF(AND(ISNUMBER($AM$605),$B$419=1),$AM$605,HLOOKUP(INDIRECT(ADDRESS(2,COLUMN())),OFFSET($BN$2,0,0,ROW()-1,60),ROW()-1,FALSE))</f>
        <v>2.4231378690000001</v>
      </c>
      <c r="AN153">
        <f ca="1">IF(AND(ISNUMBER($AN$605),$B$419=1),$AN$605,HLOOKUP(INDIRECT(ADDRESS(2,COLUMN())),OFFSET($BN$2,0,0,ROW()-1,60),ROW()-1,FALSE))</f>
        <v>-8.0946574229999992</v>
      </c>
      <c r="AO153">
        <f ca="1">IF(AND(ISNUMBER($AO$605),$B$419=1),$AO$605,HLOOKUP(INDIRECT(ADDRESS(2,COLUMN())),OFFSET($BN$2,0,0,ROW()-1,60),ROW()-1,FALSE))</f>
        <v>-8.5001622500000007</v>
      </c>
      <c r="AP153">
        <f ca="1">IF(AND(ISNUMBER($AP$605),$B$419=1),$AP$605,HLOOKUP(INDIRECT(ADDRESS(2,COLUMN())),OFFSET($BN$2,0,0,ROW()-1,60),ROW()-1,FALSE))</f>
        <v>-4.131798699</v>
      </c>
      <c r="AQ153">
        <f ca="1">IF(AND(ISNUMBER($AQ$605),$B$419=1),$AQ$605,HLOOKUP(INDIRECT(ADDRESS(2,COLUMN())),OFFSET($BN$2,0,0,ROW()-1,60),ROW()-1,FALSE))</f>
        <v>14.84299685</v>
      </c>
      <c r="AR153">
        <f ca="1">IF(AND(ISNUMBER($AR$605),$B$419=1),$AR$605,HLOOKUP(INDIRECT(ADDRESS(2,COLUMN())),OFFSET($BN$2,0,0,ROW()-1,60),ROW()-1,FALSE))</f>
        <v>11.113292189999999</v>
      </c>
      <c r="AS153">
        <f ca="1">IF(AND(ISNUMBER($AS$605),$B$419=1),$AS$605,HLOOKUP(INDIRECT(ADDRESS(2,COLUMN())),OFFSET($BN$2,0,0,ROW()-1,60),ROW()-1,FALSE))</f>
        <v>5.0415394119999997</v>
      </c>
      <c r="AT153">
        <f ca="1">IF(AND(ISNUMBER($AT$605),$B$419=1),$AT$605,HLOOKUP(INDIRECT(ADDRESS(2,COLUMN())),OFFSET($BN$2,0,0,ROW()-1,60),ROW()-1,FALSE))</f>
        <v>16.786195459999998</v>
      </c>
      <c r="AU153">
        <f ca="1">IF(AND(ISNUMBER($AU$605),$B$419=1),$AU$605,HLOOKUP(INDIRECT(ADDRESS(2,COLUMN())),OFFSET($BN$2,0,0,ROW()-1,60),ROW()-1,FALSE))</f>
        <v>-3.545376342</v>
      </c>
      <c r="AV153">
        <f ca="1">IF(AND(ISNUMBER($AV$605),$B$419=1),$AV$605,HLOOKUP(INDIRECT(ADDRESS(2,COLUMN())),OFFSET($BN$2,0,0,ROW()-1,60),ROW()-1,FALSE))</f>
        <v>40.062632440000002</v>
      </c>
      <c r="AW153">
        <f ca="1">IF(AND(ISNUMBER($AW$605),$B$419=1),$AW$605,HLOOKUP(INDIRECT(ADDRESS(2,COLUMN())),OFFSET($BN$2,0,0,ROW()-1,60),ROW()-1,FALSE))</f>
        <v>13.11187193</v>
      </c>
      <c r="AX153">
        <f ca="1">IF(AND(ISNUMBER($AX$605),$B$419=1),$AX$605,HLOOKUP(INDIRECT(ADDRESS(2,COLUMN())),OFFSET($BN$2,0,0,ROW()-1,60),ROW()-1,FALSE))</f>
        <v>15.514000790000001</v>
      </c>
      <c r="AY153">
        <f ca="1">IF(AND(ISNUMBER($AY$605),$B$419=1),$AY$605,HLOOKUP(INDIRECT(ADDRESS(2,COLUMN())),OFFSET($BN$2,0,0,ROW()-1,60),ROW()-1,FALSE))</f>
        <v>30.42804332</v>
      </c>
      <c r="AZ153">
        <f ca="1">IF(AND(ISNUMBER($AZ$605),$B$419=1),$AZ$605,HLOOKUP(INDIRECT(ADDRESS(2,COLUMN())),OFFSET($BN$2,0,0,ROW()-1,60),ROW()-1,FALSE))</f>
        <v>2.2209426670000001</v>
      </c>
      <c r="BA153">
        <f ca="1">IF(AND(ISNUMBER($BA$605),$B$419=1),$BA$605,HLOOKUP(INDIRECT(ADDRESS(2,COLUMN())),OFFSET($BN$2,0,0,ROW()-1,60),ROW()-1,FALSE))</f>
        <v>21.167537670000002</v>
      </c>
      <c r="BB153">
        <f ca="1">IF(AND(ISNUMBER($BB$605),$B$419=1),$BB$605,HLOOKUP(INDIRECT(ADDRESS(2,COLUMN())),OFFSET($BN$2,0,0,ROW()-1,60),ROW()-1,FALSE))</f>
        <v>6.6262445750000003</v>
      </c>
      <c r="BC153">
        <f ca="1">IF(AND(ISNUMBER($BC$605),$B$419=1),$BC$605,HLOOKUP(INDIRECT(ADDRESS(2,COLUMN())),OFFSET($BN$2,0,0,ROW()-1,60),ROW()-1,FALSE))</f>
        <v>3.7059456549999998</v>
      </c>
      <c r="BD153">
        <f ca="1">IF(AND(ISNUMBER($BD$605),$B$419=1),$BD$605,HLOOKUP(INDIRECT(ADDRESS(2,COLUMN())),OFFSET($BN$2,0,0,ROW()-1,60),ROW()-1,FALSE))</f>
        <v>2.0867447619999999</v>
      </c>
      <c r="BE153">
        <f ca="1">IF(AND(ISNUMBER($BE$605),$B$419=1),$BE$605,HLOOKUP(INDIRECT(ADDRESS(2,COLUMN())),OFFSET($BN$2,0,0,ROW()-1,60),ROW()-1,FALSE))</f>
        <v>13.86674421</v>
      </c>
      <c r="BF153">
        <f ca="1">IF(AND(ISNUMBER($BF$605),$B$419=1),$BF$605,HLOOKUP(INDIRECT(ADDRESS(2,COLUMN())),OFFSET($BN$2,0,0,ROW()-1,60),ROW()-1,FALSE))</f>
        <v>4.9796312179999997</v>
      </c>
      <c r="BG153">
        <f ca="1">IF(AND(ISNUMBER($BG$605),$B$419=1),$BG$605,HLOOKUP(INDIRECT(ADDRESS(2,COLUMN())),OFFSET($BN$2,0,0,ROW()-1,60),ROW()-1,FALSE))</f>
        <v>6.666284042</v>
      </c>
      <c r="BH153">
        <f ca="1">IF(AND(ISNUMBER($BH$605),$B$419=1),$BH$605,HLOOKUP(INDIRECT(ADDRESS(2,COLUMN())),OFFSET($BN$2,0,0,ROW()-1,60),ROW()-1,FALSE))</f>
        <v>4.0990758359999999</v>
      </c>
      <c r="BI153">
        <f ca="1">IF(AND(ISNUMBER($BI$605),$B$419=1),$BI$605,HLOOKUP(INDIRECT(ADDRESS(2,COLUMN())),OFFSET($BN$2,0,0,ROW()-1,60),ROW()-1,FALSE))</f>
        <v>12.80984462</v>
      </c>
      <c r="BJ153">
        <f ca="1">IF(AND(ISNUMBER($BJ$605),$B$419=1),$BJ$605,HLOOKUP(INDIRECT(ADDRESS(2,COLUMN())),OFFSET($BN$2,0,0,ROW()-1,60),ROW()-1,FALSE))</f>
        <v>16.649211390000001</v>
      </c>
      <c r="BK153">
        <f ca="1">IF(AND(ISNUMBER($BK$605),$B$419=1),$BK$605,HLOOKUP(INDIRECT(ADDRESS(2,COLUMN())),OFFSET($BN$2,0,0,ROW()-1,60),ROW()-1,FALSE))</f>
        <v>10.217763059999999</v>
      </c>
      <c r="BL153">
        <f ca="1">IF(AND(ISNUMBER($BL$605),$B$419=1),$BL$605,HLOOKUP(INDIRECT(ADDRESS(2,COLUMN())),OFFSET($BN$2,0,0,ROW()-1,60),ROW()-1,FALSE))</f>
        <v>20.123728010000001</v>
      </c>
      <c r="BM153">
        <f ca="1">IF(AND(ISNUMBER($BM$605),$B$419=1),$BM$605,HLOOKUP(INDIRECT(ADDRESS(2,COLUMN())),OFFSET($BN$2,0,0,ROW()-1,60),ROW()-1,FALSE))</f>
        <v>8.5770878039999996</v>
      </c>
      <c r="BN153" t="str">
        <f>""</f>
        <v/>
      </c>
      <c r="BO153">
        <f>6.127073051</f>
        <v>6.127073051</v>
      </c>
      <c r="BP153">
        <f>3.426805483</f>
        <v>3.4268054829999999</v>
      </c>
      <c r="BQ153">
        <f>1.95136678</f>
        <v>1.9513667800000001</v>
      </c>
      <c r="BR153">
        <f>-1.216007968</f>
        <v>-1.216007968</v>
      </c>
      <c r="BS153">
        <f>-1.277628212</f>
        <v>-1.277628212</v>
      </c>
      <c r="BT153">
        <f>-1.1463961</f>
        <v>-1.1463961</v>
      </c>
      <c r="BU153">
        <f>-0.874988523</f>
        <v>-0.87498852299999996</v>
      </c>
      <c r="BV153">
        <f>4.849429894</f>
        <v>4.849429894</v>
      </c>
      <c r="BW153">
        <f>13.74531212</f>
        <v>13.745312119999999</v>
      </c>
      <c r="BX153">
        <f>12.98729793</f>
        <v>12.98729793</v>
      </c>
      <c r="BY153">
        <f>19.55740411</f>
        <v>19.55740411</v>
      </c>
      <c r="BZ153">
        <f>24.21765786</f>
        <v>24.217657859999999</v>
      </c>
      <c r="CA153">
        <f>16.56259502</f>
        <v>16.56259502</v>
      </c>
      <c r="CB153">
        <f>15.24904837</f>
        <v>15.249048370000001</v>
      </c>
      <c r="CC153">
        <f>-0.069069752</f>
        <v>-6.9069751999999998E-2</v>
      </c>
      <c r="CD153">
        <f>0.518908442</f>
        <v>0.51890844199999997</v>
      </c>
      <c r="CE153">
        <f>-0.192641787</f>
        <v>-0.19264178700000001</v>
      </c>
      <c r="CF153">
        <f>-0.628188618</f>
        <v>-0.62818861800000003</v>
      </c>
      <c r="CG153">
        <f>8.656668977</f>
        <v>8.6566689770000007</v>
      </c>
      <c r="CH153">
        <f>1.350959199</f>
        <v>1.3509591990000001</v>
      </c>
      <c r="CI153">
        <f>2.900111786</f>
        <v>2.9001117860000001</v>
      </c>
      <c r="CJ153">
        <f>4.618237296</f>
        <v>4.6182372960000002</v>
      </c>
      <c r="CK153">
        <f>2.928560393</f>
        <v>2.9285603930000002</v>
      </c>
      <c r="CL153">
        <f>-0.509469832</f>
        <v>-0.50946983199999996</v>
      </c>
      <c r="CM153">
        <f>-0.907256256</f>
        <v>-0.90725625600000004</v>
      </c>
      <c r="CN153">
        <f>-3.183656774</f>
        <v>-3.1836567740000001</v>
      </c>
      <c r="CO153">
        <f>-1.105449055</f>
        <v>-1.105449055</v>
      </c>
      <c r="CP153">
        <f>-0.780495974</f>
        <v>-0.78049597400000004</v>
      </c>
      <c r="CQ153">
        <f>-2.273334882</f>
        <v>-2.2733348819999999</v>
      </c>
      <c r="CR153">
        <f>3.158565916</f>
        <v>3.1585659160000001</v>
      </c>
      <c r="CS153">
        <f>5.227469394</f>
        <v>5.2274693939999999</v>
      </c>
      <c r="CT153">
        <f>5.019392582</f>
        <v>5.019392582</v>
      </c>
      <c r="CU153">
        <f>2.423137869</f>
        <v>2.4231378690000001</v>
      </c>
      <c r="CV153">
        <f>-8.094657423</f>
        <v>-8.0946574229999992</v>
      </c>
      <c r="CW153">
        <f>-8.50016225</f>
        <v>-8.5001622500000007</v>
      </c>
      <c r="CX153">
        <f>-4.131798699</f>
        <v>-4.131798699</v>
      </c>
      <c r="CY153">
        <f>14.84299685</f>
        <v>14.84299685</v>
      </c>
      <c r="CZ153">
        <f>11.11329219</f>
        <v>11.113292189999999</v>
      </c>
      <c r="DA153">
        <f>5.041539412</f>
        <v>5.0415394119999997</v>
      </c>
      <c r="DB153">
        <f>16.78619546</f>
        <v>16.786195459999998</v>
      </c>
      <c r="DC153">
        <f>-3.545376342</f>
        <v>-3.545376342</v>
      </c>
      <c r="DD153">
        <f>40.06263244</f>
        <v>40.062632440000002</v>
      </c>
      <c r="DE153">
        <f>13.11187193</f>
        <v>13.11187193</v>
      </c>
      <c r="DF153">
        <f>15.51400079</f>
        <v>15.514000790000001</v>
      </c>
      <c r="DG153">
        <f>30.42804332</f>
        <v>30.42804332</v>
      </c>
      <c r="DH153">
        <f>2.220942667</f>
        <v>2.2209426670000001</v>
      </c>
      <c r="DI153">
        <f>21.16753767</f>
        <v>21.167537670000002</v>
      </c>
      <c r="DJ153">
        <f>6.626244575</f>
        <v>6.6262445750000003</v>
      </c>
      <c r="DK153">
        <f>3.705945655</f>
        <v>3.7059456549999998</v>
      </c>
      <c r="DL153">
        <f>2.086744762</f>
        <v>2.0867447619999999</v>
      </c>
      <c r="DM153">
        <f>13.86674421</f>
        <v>13.86674421</v>
      </c>
      <c r="DN153">
        <f>4.979631218</f>
        <v>4.9796312179999997</v>
      </c>
      <c r="DO153">
        <f>6.666284042</f>
        <v>6.666284042</v>
      </c>
      <c r="DP153">
        <f>4.099075836</f>
        <v>4.0990758359999999</v>
      </c>
      <c r="DQ153">
        <f>12.80984462</f>
        <v>12.80984462</v>
      </c>
      <c r="DR153">
        <f>16.64921139</f>
        <v>16.649211390000001</v>
      </c>
      <c r="DS153">
        <f>10.21776306</f>
        <v>10.217763059999999</v>
      </c>
      <c r="DT153">
        <f>20.12372801</f>
        <v>20.123728010000001</v>
      </c>
      <c r="DU153">
        <f>8.577087804</f>
        <v>8.5770878039999996</v>
      </c>
    </row>
    <row r="154" spans="1:125">
      <c r="A154" t="str">
        <f>"    National Retail Properties Inc"</f>
        <v xml:space="preserve">    National Retail Properties Inc</v>
      </c>
      <c r="B154" t="str">
        <f>"NNN US Equity"</f>
        <v>NNN US Equity</v>
      </c>
      <c r="C154" t="str">
        <f t="shared" si="27"/>
        <v>RR033</v>
      </c>
      <c r="D154" t="str">
        <f t="shared" si="28"/>
        <v>SALES_GROWTH</v>
      </c>
      <c r="E154" t="str">
        <f t="shared" si="29"/>
        <v>动态</v>
      </c>
      <c r="F154" t="str">
        <f ca="1">IF(AND(ISNUMBER($F$606),$B$419=1),$F$606,HLOOKUP(INDIRECT(ADDRESS(2,COLUMN())),OFFSET($BN$2,0,0,ROW()-1,60),ROW()-1,FALSE))</f>
        <v/>
      </c>
      <c r="G154">
        <f ca="1">IF(AND(ISNUMBER($G$606),$B$419=1),$G$606,HLOOKUP(INDIRECT(ADDRESS(2,COLUMN())),OFFSET($BN$2,0,0,ROW()-1,60),ROW()-1,FALSE))</f>
        <v>6.4079773940000004</v>
      </c>
      <c r="H154">
        <f ca="1">IF(AND(ISNUMBER($H$606),$B$419=1),$H$606,HLOOKUP(INDIRECT(ADDRESS(2,COLUMN())),OFFSET($BN$2,0,0,ROW()-1,60),ROW()-1,FALSE))</f>
        <v>9.7843779959999999</v>
      </c>
      <c r="I154">
        <f ca="1">IF(AND(ISNUMBER($I$606),$B$419=1),$I$606,HLOOKUP(INDIRECT(ADDRESS(2,COLUMN())),OFFSET($BN$2,0,0,ROW()-1,60),ROW()-1,FALSE))</f>
        <v>11.169668359999999</v>
      </c>
      <c r="J154">
        <f ca="1">IF(AND(ISNUMBER($J$606),$B$419=1),$J$606,HLOOKUP(INDIRECT(ADDRESS(2,COLUMN())),OFFSET($BN$2,0,0,ROW()-1,60),ROW()-1,FALSE))</f>
        <v>11.38131989</v>
      </c>
      <c r="K154">
        <f ca="1">IF(AND(ISNUMBER($K$606),$B$419=1),$K$606,HLOOKUP(INDIRECT(ADDRESS(2,COLUMN())),OFFSET($BN$2,0,0,ROW()-1,60),ROW()-1,FALSE))</f>
        <v>11.72839995</v>
      </c>
      <c r="L154">
        <f ca="1">IF(AND(ISNUMBER($L$606),$B$419=1),$L$606,HLOOKUP(INDIRECT(ADDRESS(2,COLUMN())),OFFSET($BN$2,0,0,ROW()-1,60),ROW()-1,FALSE))</f>
        <v>9.2559057360000008</v>
      </c>
      <c r="M154">
        <f ca="1">IF(AND(ISNUMBER($M$606),$B$419=1),$M$606,HLOOKUP(INDIRECT(ADDRESS(2,COLUMN())),OFFSET($BN$2,0,0,ROW()-1,60),ROW()-1,FALSE))</f>
        <v>11.70397925</v>
      </c>
      <c r="N154">
        <f ca="1">IF(AND(ISNUMBER($N$606),$B$419=1),$N$606,HLOOKUP(INDIRECT(ADDRESS(2,COLUMN())),OFFSET($BN$2,0,0,ROW()-1,60),ROW()-1,FALSE))</f>
        <v>9.2893352960000009</v>
      </c>
      <c r="O154">
        <f ca="1">IF(AND(ISNUMBER($O$606),$B$419=1),$O$606,HLOOKUP(INDIRECT(ADDRESS(2,COLUMN())),OFFSET($BN$2,0,0,ROW()-1,60),ROW()-1,FALSE))</f>
        <v>9.5928543550000001</v>
      </c>
      <c r="P154">
        <f ca="1">IF(AND(ISNUMBER($P$606),$B$419=1),$P$606,HLOOKUP(INDIRECT(ADDRESS(2,COLUMN())),OFFSET($BN$2,0,0,ROW()-1,60),ROW()-1,FALSE))</f>
        <v>12.094924260000001</v>
      </c>
      <c r="Q154">
        <f ca="1">IF(AND(ISNUMBER($Q$606),$B$419=1),$Q$606,HLOOKUP(INDIRECT(ADDRESS(2,COLUMN())),OFFSET($BN$2,0,0,ROW()-1,60),ROW()-1,FALSE))</f>
        <v>10.978762079999999</v>
      </c>
      <c r="R154">
        <f ca="1">IF(AND(ISNUMBER($R$606),$B$419=1),$R$606,HLOOKUP(INDIRECT(ADDRESS(2,COLUMN())),OFFSET($BN$2,0,0,ROW()-1,60),ROW()-1,FALSE))</f>
        <v>11.64956181</v>
      </c>
      <c r="S154">
        <f ca="1">IF(AND(ISNUMBER($S$606),$B$419=1),$S$606,HLOOKUP(INDIRECT(ADDRESS(2,COLUMN())),OFFSET($BN$2,0,0,ROW()-1,60),ROW()-1,FALSE))</f>
        <v>10.88833756</v>
      </c>
      <c r="T154">
        <f ca="1">IF(AND(ISNUMBER($T$606),$B$419=1),$T$606,HLOOKUP(INDIRECT(ADDRESS(2,COLUMN())),OFFSET($BN$2,0,0,ROW()-1,60),ROW()-1,FALSE))</f>
        <v>9.1780045910000005</v>
      </c>
      <c r="U154">
        <f ca="1">IF(AND(ISNUMBER($U$606),$B$419=1),$U$606,HLOOKUP(INDIRECT(ADDRESS(2,COLUMN())),OFFSET($BN$2,0,0,ROW()-1,60),ROW()-1,FALSE))</f>
        <v>9.6765148760000006</v>
      </c>
      <c r="V154">
        <f ca="1">IF(AND(ISNUMBER($V$606),$B$419=1),$V$606,HLOOKUP(INDIRECT(ADDRESS(2,COLUMN())),OFFSET($BN$2,0,0,ROW()-1,60),ROW()-1,FALSE))</f>
        <v>12.545423080000001</v>
      </c>
      <c r="W154">
        <f ca="1">IF(AND(ISNUMBER($W$606),$B$419=1),$W$606,HLOOKUP(INDIRECT(ADDRESS(2,COLUMN())),OFFSET($BN$2,0,0,ROW()-1,60),ROW()-1,FALSE))</f>
        <v>16.76753613</v>
      </c>
      <c r="X154">
        <f ca="1">IF(AND(ISNUMBER($X$606),$B$419=1),$X$606,HLOOKUP(INDIRECT(ADDRESS(2,COLUMN())),OFFSET($BN$2,0,0,ROW()-1,60),ROW()-1,FALSE))</f>
        <v>19.231908619999999</v>
      </c>
      <c r="Y154">
        <f ca="1">IF(AND(ISNUMBER($Y$606),$B$419=1),$Y$606,HLOOKUP(INDIRECT(ADDRESS(2,COLUMN())),OFFSET($BN$2,0,0,ROW()-1,60),ROW()-1,FALSE))</f>
        <v>8.208787504</v>
      </c>
      <c r="Z154">
        <f ca="1">IF(AND(ISNUMBER($Z$606),$B$419=1),$Z$606,HLOOKUP(INDIRECT(ADDRESS(2,COLUMN())),OFFSET($BN$2,0,0,ROW()-1,60),ROW()-1,FALSE))</f>
        <v>4.3505738689999998</v>
      </c>
      <c r="AA154">
        <f ca="1">IF(AND(ISNUMBER($AA$606),$B$419=1),$AA$606,HLOOKUP(INDIRECT(ADDRESS(2,COLUMN())),OFFSET($BN$2,0,0,ROW()-1,60),ROW()-1,FALSE))</f>
        <v>5.5263937439999999</v>
      </c>
      <c r="AB154">
        <f ca="1">IF(AND(ISNUMBER($AB$606),$B$419=1),$AB$606,HLOOKUP(INDIRECT(ADDRESS(2,COLUMN())),OFFSET($BN$2,0,0,ROW()-1,60),ROW()-1,FALSE))</f>
        <v>6.7862023589999998</v>
      </c>
      <c r="AC154">
        <f ca="1">IF(AND(ISNUMBER($AC$606),$B$419=1),$AC$606,HLOOKUP(INDIRECT(ADDRESS(2,COLUMN())),OFFSET($BN$2,0,0,ROW()-1,60),ROW()-1,FALSE))</f>
        <v>19.747022810000001</v>
      </c>
      <c r="AD154">
        <f ca="1">IF(AND(ISNUMBER($AD$606),$B$419=1),$AD$606,HLOOKUP(INDIRECT(ADDRESS(2,COLUMN())),OFFSET($BN$2,0,0,ROW()-1,60),ROW()-1,FALSE))</f>
        <v>25.902612999999999</v>
      </c>
      <c r="AE154">
        <f ca="1">IF(AND(ISNUMBER($AE$606),$B$419=1),$AE$606,HLOOKUP(INDIRECT(ADDRESS(2,COLUMN())),OFFSET($BN$2,0,0,ROW()-1,60),ROW()-1,FALSE))</f>
        <v>24.081098570000002</v>
      </c>
      <c r="AF154">
        <f ca="1">IF(AND(ISNUMBER($AF$606),$B$419=1),$AF$606,HLOOKUP(INDIRECT(ADDRESS(2,COLUMN())),OFFSET($BN$2,0,0,ROW()-1,60),ROW()-1,FALSE))</f>
        <v>20.60188011</v>
      </c>
      <c r="AG154">
        <f ca="1">IF(AND(ISNUMBER($AG$606),$B$419=1),$AG$606,HLOOKUP(INDIRECT(ADDRESS(2,COLUMN())),OFFSET($BN$2,0,0,ROW()-1,60),ROW()-1,FALSE))</f>
        <v>14.14111937</v>
      </c>
      <c r="AH154">
        <f ca="1">IF(AND(ISNUMBER($AH$606),$B$419=1),$AH$606,HLOOKUP(INDIRECT(ADDRESS(2,COLUMN())),OFFSET($BN$2,0,0,ROW()-1,60),ROW()-1,FALSE))</f>
        <v>11.65952721</v>
      </c>
      <c r="AI154">
        <f ca="1">IF(AND(ISNUMBER($AI$606),$B$419=1),$AI$606,HLOOKUP(INDIRECT(ADDRESS(2,COLUMN())),OFFSET($BN$2,0,0,ROW()-1,60),ROW()-1,FALSE))</f>
        <v>3.3913506120000001</v>
      </c>
      <c r="AJ154">
        <f ca="1">IF(AND(ISNUMBER($AJ$606),$B$419=1),$AJ$606,HLOOKUP(INDIRECT(ADDRESS(2,COLUMN())),OFFSET($BN$2,0,0,ROW()-1,60),ROW()-1,FALSE))</f>
        <v>1.6915484649999999</v>
      </c>
      <c r="AK154">
        <f ca="1">IF(AND(ISNUMBER($AK$606),$B$419=1),$AK$606,HLOOKUP(INDIRECT(ADDRESS(2,COLUMN())),OFFSET($BN$2,0,0,ROW()-1,60),ROW()-1,FALSE))</f>
        <v>11.898255560000001</v>
      </c>
      <c r="AL154">
        <f ca="1">IF(AND(ISNUMBER($AL$606),$B$419=1),$AL$606,HLOOKUP(INDIRECT(ADDRESS(2,COLUMN())),OFFSET($BN$2,0,0,ROW()-1,60),ROW()-1,FALSE))</f>
        <v>8.3175803399999992</v>
      </c>
      <c r="AM154">
        <f ca="1">IF(AND(ISNUMBER($AM$606),$B$419=1),$AM$606,HLOOKUP(INDIRECT(ADDRESS(2,COLUMN())),OFFSET($BN$2,0,0,ROW()-1,60),ROW()-1,FALSE))</f>
        <v>14.50029589</v>
      </c>
      <c r="AN154">
        <f ca="1">IF(AND(ISNUMBER($AN$606),$B$419=1),$AN$606,HLOOKUP(INDIRECT(ADDRESS(2,COLUMN())),OFFSET($BN$2,0,0,ROW()-1,60),ROW()-1,FALSE))</f>
        <v>10.15795952</v>
      </c>
      <c r="AO154">
        <f ca="1">IF(AND(ISNUMBER($AO$606),$B$419=1),$AO$606,HLOOKUP(INDIRECT(ADDRESS(2,COLUMN())),OFFSET($BN$2,0,0,ROW()-1,60),ROW()-1,FALSE))</f>
        <v>3.2216289100000002</v>
      </c>
      <c r="AP154">
        <f ca="1">IF(AND(ISNUMBER($AP$606),$B$419=1),$AP$606,HLOOKUP(INDIRECT(ADDRESS(2,COLUMN())),OFFSET($BN$2,0,0,ROW()-1,60),ROW()-1,FALSE))</f>
        <v>7.7413023760000002</v>
      </c>
      <c r="AQ154">
        <f ca="1">IF(AND(ISNUMBER($AQ$606),$B$419=1),$AQ$606,HLOOKUP(INDIRECT(ADDRESS(2,COLUMN())),OFFSET($BN$2,0,0,ROW()-1,60),ROW()-1,FALSE))</f>
        <v>22.62870315</v>
      </c>
      <c r="AR154">
        <f ca="1">IF(AND(ISNUMBER($AR$606),$B$419=1),$AR$606,HLOOKUP(INDIRECT(ADDRESS(2,COLUMN())),OFFSET($BN$2,0,0,ROW()-1,60),ROW()-1,FALSE))</f>
        <v>25.624946309999999</v>
      </c>
      <c r="AS154">
        <f ca="1">IF(AND(ISNUMBER($AS$606),$B$419=1),$AS$606,HLOOKUP(INDIRECT(ADDRESS(2,COLUMN())),OFFSET($BN$2,0,0,ROW()-1,60),ROW()-1,FALSE))</f>
        <v>22.482727359999998</v>
      </c>
      <c r="AT154">
        <f ca="1">IF(AND(ISNUMBER($AT$606),$B$419=1),$AT$606,HLOOKUP(INDIRECT(ADDRESS(2,COLUMN())),OFFSET($BN$2,0,0,ROW()-1,60),ROW()-1,FALSE))</f>
        <v>30.34003427</v>
      </c>
      <c r="AU154">
        <f ca="1">IF(AND(ISNUMBER($AU$606),$B$419=1),$AU$606,HLOOKUP(INDIRECT(ADDRESS(2,COLUMN())),OFFSET($BN$2,0,0,ROW()-1,60),ROW()-1,FALSE))</f>
        <v>26.047894289999999</v>
      </c>
      <c r="AV154">
        <f ca="1">IF(AND(ISNUMBER($AV$606),$B$419=1),$AV$606,HLOOKUP(INDIRECT(ADDRESS(2,COLUMN())),OFFSET($BN$2,0,0,ROW()-1,60),ROW()-1,FALSE))</f>
        <v>29.6325167</v>
      </c>
      <c r="AW154">
        <f ca="1">IF(AND(ISNUMBER($AW$606),$B$419=1),$AW$606,HLOOKUP(INDIRECT(ADDRESS(2,COLUMN())),OFFSET($BN$2,0,0,ROW()-1,60),ROW()-1,FALSE))</f>
        <v>29.41341602</v>
      </c>
      <c r="AX154">
        <f ca="1">IF(AND(ISNUMBER($AX$606),$B$419=1),$AX$606,HLOOKUP(INDIRECT(ADDRESS(2,COLUMN())),OFFSET($BN$2,0,0,ROW()-1,60),ROW()-1,FALSE))</f>
        <v>14.088656390000001</v>
      </c>
      <c r="AY154">
        <f ca="1">IF(AND(ISNUMBER($AY$606),$B$419=1),$AY$606,HLOOKUP(INDIRECT(ADDRESS(2,COLUMN())),OFFSET($BN$2,0,0,ROW()-1,60),ROW()-1,FALSE))</f>
        <v>25.47258128</v>
      </c>
      <c r="AZ154">
        <f ca="1">IF(AND(ISNUMBER($AZ$606),$B$419=1),$AZ$606,HLOOKUP(INDIRECT(ADDRESS(2,COLUMN())),OFFSET($BN$2,0,0,ROW()-1,60),ROW()-1,FALSE))</f>
        <v>11.587454279999999</v>
      </c>
      <c r="BA154">
        <f ca="1">IF(AND(ISNUMBER($BA$606),$B$419=1),$BA$606,HLOOKUP(INDIRECT(ADDRESS(2,COLUMN())),OFFSET($BN$2,0,0,ROW()-1,60),ROW()-1,FALSE))</f>
        <v>14.1087734</v>
      </c>
      <c r="BB154">
        <f ca="1">IF(AND(ISNUMBER($BB$606),$B$419=1),$BB$606,HLOOKUP(INDIRECT(ADDRESS(2,COLUMN())),OFFSET($BN$2,0,0,ROW()-1,60),ROW()-1,FALSE))</f>
        <v>32.159231499999997</v>
      </c>
      <c r="BC154">
        <f ca="1">IF(AND(ISNUMBER($BC$606),$B$419=1),$BC$606,HLOOKUP(INDIRECT(ADDRESS(2,COLUMN())),OFFSET($BN$2,0,0,ROW()-1,60),ROW()-1,FALSE))</f>
        <v>-8.9892456240000005</v>
      </c>
      <c r="BD154">
        <f ca="1">IF(AND(ISNUMBER($BD$606),$B$419=1),$BD$606,HLOOKUP(INDIRECT(ADDRESS(2,COLUMN())),OFFSET($BN$2,0,0,ROW()-1,60),ROW()-1,FALSE))</f>
        <v>2.0058897450000002</v>
      </c>
      <c r="BE154">
        <f ca="1">IF(AND(ISNUMBER($BE$606),$B$419=1),$BE$606,HLOOKUP(INDIRECT(ADDRESS(2,COLUMN())),OFFSET($BN$2,0,0,ROW()-1,60),ROW()-1,FALSE))</f>
        <v>-3.5288626669999998</v>
      </c>
      <c r="BF154">
        <f ca="1">IF(AND(ISNUMBER($BF$606),$B$419=1),$BF$606,HLOOKUP(INDIRECT(ADDRESS(2,COLUMN())),OFFSET($BN$2,0,0,ROW()-1,60),ROW()-1,FALSE))</f>
        <v>-15.46861062</v>
      </c>
      <c r="BG154">
        <f ca="1">IF(AND(ISNUMBER($BG$606),$B$419=1),$BG$606,HLOOKUP(INDIRECT(ADDRESS(2,COLUMN())),OFFSET($BN$2,0,0,ROW()-1,60),ROW()-1,FALSE))</f>
        <v>16.378848009999999</v>
      </c>
      <c r="BH154">
        <f ca="1">IF(AND(ISNUMBER($BH$606),$B$419=1),$BH$606,HLOOKUP(INDIRECT(ADDRESS(2,COLUMN())),OFFSET($BN$2,0,0,ROW()-1,60),ROW()-1,FALSE))</f>
        <v>11.300388979999999</v>
      </c>
      <c r="BI154">
        <f ca="1">IF(AND(ISNUMBER($BI$606),$B$419=1),$BI$606,HLOOKUP(INDIRECT(ADDRESS(2,COLUMN())),OFFSET($BN$2,0,0,ROW()-1,60),ROW()-1,FALSE))</f>
        <v>40.468736409999998</v>
      </c>
      <c r="BJ154">
        <f ca="1">IF(AND(ISNUMBER($BJ$606),$B$419=1),$BJ$606,HLOOKUP(INDIRECT(ADDRESS(2,COLUMN())),OFFSET($BN$2,0,0,ROW()-1,60),ROW()-1,FALSE))</f>
        <v>32.871505640000002</v>
      </c>
      <c r="BK154">
        <f ca="1">IF(AND(ISNUMBER($BK$606),$B$419=1),$BK$606,HLOOKUP(INDIRECT(ADDRESS(2,COLUMN())),OFFSET($BN$2,0,0,ROW()-1,60),ROW()-1,FALSE))</f>
        <v>29.1632031</v>
      </c>
      <c r="BL154">
        <f ca="1">IF(AND(ISNUMBER($BL$606),$B$419=1),$BL$606,HLOOKUP(INDIRECT(ADDRESS(2,COLUMN())),OFFSET($BN$2,0,0,ROW()-1,60),ROW()-1,FALSE))</f>
        <v>21.59798142</v>
      </c>
      <c r="BM154">
        <f ca="1">IF(AND(ISNUMBER($BM$606),$B$419=1),$BM$606,HLOOKUP(INDIRECT(ADDRESS(2,COLUMN())),OFFSET($BN$2,0,0,ROW()-1,60),ROW()-1,FALSE))</f>
        <v>2.5277528880000002</v>
      </c>
      <c r="BN154" t="str">
        <f>""</f>
        <v/>
      </c>
      <c r="BO154">
        <f>6.407977394</f>
        <v>6.4079773940000004</v>
      </c>
      <c r="BP154">
        <f>9.784377996</f>
        <v>9.7843779959999999</v>
      </c>
      <c r="BQ154">
        <f>11.16966836</f>
        <v>11.169668359999999</v>
      </c>
      <c r="BR154">
        <f>11.38131989</f>
        <v>11.38131989</v>
      </c>
      <c r="BS154">
        <f>11.72839995</f>
        <v>11.72839995</v>
      </c>
      <c r="BT154">
        <f>9.255905736</f>
        <v>9.2559057360000008</v>
      </c>
      <c r="BU154">
        <f>11.70397925</f>
        <v>11.70397925</v>
      </c>
      <c r="BV154">
        <f>9.289335296</f>
        <v>9.2893352960000009</v>
      </c>
      <c r="BW154">
        <f>9.592854355</f>
        <v>9.5928543550000001</v>
      </c>
      <c r="BX154">
        <f>12.09492426</f>
        <v>12.094924260000001</v>
      </c>
      <c r="BY154">
        <f>10.97876208</f>
        <v>10.978762079999999</v>
      </c>
      <c r="BZ154">
        <f>11.64956181</f>
        <v>11.64956181</v>
      </c>
      <c r="CA154">
        <f>10.88833756</f>
        <v>10.88833756</v>
      </c>
      <c r="CB154">
        <f>9.178004591</f>
        <v>9.1780045910000005</v>
      </c>
      <c r="CC154">
        <f>9.676514876</f>
        <v>9.6765148760000006</v>
      </c>
      <c r="CD154">
        <f>12.54542308</f>
        <v>12.545423080000001</v>
      </c>
      <c r="CE154">
        <f>16.76753613</f>
        <v>16.76753613</v>
      </c>
      <c r="CF154">
        <f>19.23190862</f>
        <v>19.231908619999999</v>
      </c>
      <c r="CG154">
        <f>8.208787504</f>
        <v>8.208787504</v>
      </c>
      <c r="CH154">
        <f>4.350573869</f>
        <v>4.3505738689999998</v>
      </c>
      <c r="CI154">
        <f>5.526393744</f>
        <v>5.5263937439999999</v>
      </c>
      <c r="CJ154">
        <f>6.786202359</f>
        <v>6.7862023589999998</v>
      </c>
      <c r="CK154">
        <f>19.74702281</f>
        <v>19.747022810000001</v>
      </c>
      <c r="CL154">
        <f>25.902613</f>
        <v>25.902612999999999</v>
      </c>
      <c r="CM154">
        <f>24.08109857</f>
        <v>24.081098570000002</v>
      </c>
      <c r="CN154">
        <f>20.60188011</f>
        <v>20.60188011</v>
      </c>
      <c r="CO154">
        <f>14.14111937</f>
        <v>14.14111937</v>
      </c>
      <c r="CP154">
        <f>11.65952721</f>
        <v>11.65952721</v>
      </c>
      <c r="CQ154">
        <f>3.391350612</f>
        <v>3.3913506120000001</v>
      </c>
      <c r="CR154">
        <f>1.691548465</f>
        <v>1.6915484649999999</v>
      </c>
      <c r="CS154">
        <f>11.89825556</f>
        <v>11.898255560000001</v>
      </c>
      <c r="CT154">
        <f>8.31758034</f>
        <v>8.3175803399999992</v>
      </c>
      <c r="CU154">
        <f>14.50029589</f>
        <v>14.50029589</v>
      </c>
      <c r="CV154">
        <f>10.15795952</f>
        <v>10.15795952</v>
      </c>
      <c r="CW154">
        <f>3.22162891</f>
        <v>3.2216289100000002</v>
      </c>
      <c r="CX154">
        <f>7.741302376</f>
        <v>7.7413023760000002</v>
      </c>
      <c r="CY154">
        <f>22.62870315</f>
        <v>22.62870315</v>
      </c>
      <c r="CZ154">
        <f>25.62494631</f>
        <v>25.624946309999999</v>
      </c>
      <c r="DA154">
        <f>22.48272736</f>
        <v>22.482727359999998</v>
      </c>
      <c r="DB154">
        <f>30.34003427</f>
        <v>30.34003427</v>
      </c>
      <c r="DC154">
        <f>26.04789429</f>
        <v>26.047894289999999</v>
      </c>
      <c r="DD154">
        <f>29.6325167</f>
        <v>29.6325167</v>
      </c>
      <c r="DE154">
        <f>29.41341602</f>
        <v>29.41341602</v>
      </c>
      <c r="DF154">
        <f>14.08865639</f>
        <v>14.088656390000001</v>
      </c>
      <c r="DG154">
        <f>25.47258128</f>
        <v>25.47258128</v>
      </c>
      <c r="DH154">
        <f>11.58745428</f>
        <v>11.587454279999999</v>
      </c>
      <c r="DI154">
        <f>14.1087734</f>
        <v>14.1087734</v>
      </c>
      <c r="DJ154">
        <f>32.1592315</f>
        <v>32.159231499999997</v>
      </c>
      <c r="DK154">
        <f>-8.989245624</f>
        <v>-8.9892456240000005</v>
      </c>
      <c r="DL154">
        <f>2.005889745</f>
        <v>2.0058897450000002</v>
      </c>
      <c r="DM154">
        <f>-3.528862667</f>
        <v>-3.5288626669999998</v>
      </c>
      <c r="DN154">
        <f>-15.46861062</f>
        <v>-15.46861062</v>
      </c>
      <c r="DO154">
        <f>16.37884801</f>
        <v>16.378848009999999</v>
      </c>
      <c r="DP154">
        <f>11.30038898</f>
        <v>11.300388979999999</v>
      </c>
      <c r="DQ154">
        <f>40.46873641</f>
        <v>40.468736409999998</v>
      </c>
      <c r="DR154">
        <f>32.87150564</f>
        <v>32.871505640000002</v>
      </c>
      <c r="DS154">
        <f>29.1632031</f>
        <v>29.1632031</v>
      </c>
      <c r="DT154">
        <f>21.59798142</f>
        <v>21.59798142</v>
      </c>
      <c r="DU154">
        <f>2.527752888</f>
        <v>2.5277528880000002</v>
      </c>
    </row>
    <row r="155" spans="1:125">
      <c r="A155" t="str">
        <f>"    Realty Income Corp"</f>
        <v xml:space="preserve">    Realty Income Corp</v>
      </c>
      <c r="B155" t="str">
        <f>"O US Equity"</f>
        <v>O US Equity</v>
      </c>
      <c r="C155" t="str">
        <f t="shared" si="27"/>
        <v>RR033</v>
      </c>
      <c r="D155" t="str">
        <f t="shared" si="28"/>
        <v>SALES_GROWTH</v>
      </c>
      <c r="E155" t="str">
        <f t="shared" si="29"/>
        <v>动态</v>
      </c>
      <c r="F155" t="str">
        <f ca="1">IF(AND(ISNUMBER($F$607),$B$419=1),$F$607,HLOOKUP(INDIRECT(ADDRESS(2,COLUMN())),OFFSET($BN$2,0,0,ROW()-1,60),ROW()-1,FALSE))</f>
        <v/>
      </c>
      <c r="G155">
        <f ca="1">IF(AND(ISNUMBER($G$607),$B$419=1),$G$607,HLOOKUP(INDIRECT(ADDRESS(2,COLUMN())),OFFSET($BN$2,0,0,ROW()-1,60),ROW()-1,FALSE))</f>
        <v>7.9248062309999998</v>
      </c>
      <c r="H155">
        <f ca="1">IF(AND(ISNUMBER($H$607),$B$419=1),$H$607,HLOOKUP(INDIRECT(ADDRESS(2,COLUMN())),OFFSET($BN$2,0,0,ROW()-1,60),ROW()-1,FALSE))</f>
        <v>10.731886830000001</v>
      </c>
      <c r="I155">
        <f ca="1">IF(AND(ISNUMBER($I$607),$B$419=1),$I$607,HLOOKUP(INDIRECT(ADDRESS(2,COLUMN())),OFFSET($BN$2,0,0,ROW()-1,60),ROW()-1,FALSE))</f>
        <v>10.74789975</v>
      </c>
      <c r="J155">
        <f ca="1">IF(AND(ISNUMBER($J$607),$B$419=1),$J$607,HLOOKUP(INDIRECT(ADDRESS(2,COLUMN())),OFFSET($BN$2,0,0,ROW()-1,60),ROW()-1,FALSE))</f>
        <v>11.57137723</v>
      </c>
      <c r="K155">
        <f ca="1">IF(AND(ISNUMBER($K$607),$B$419=1),$K$607,HLOOKUP(INDIRECT(ADDRESS(2,COLUMN())),OFFSET($BN$2,0,0,ROW()-1,60),ROW()-1,FALSE))</f>
        <v>9.1687273390000001</v>
      </c>
      <c r="L155">
        <f ca="1">IF(AND(ISNUMBER($L$607),$B$419=1),$L$607,HLOOKUP(INDIRECT(ADDRESS(2,COLUMN())),OFFSET($BN$2,0,0,ROW()-1,60),ROW()-1,FALSE))</f>
        <v>7.0628725049999996</v>
      </c>
      <c r="M155">
        <f ca="1">IF(AND(ISNUMBER($M$607),$B$419=1),$M$607,HLOOKUP(INDIRECT(ADDRESS(2,COLUMN())),OFFSET($BN$2,0,0,ROW()-1,60),ROW()-1,FALSE))</f>
        <v>6.7671157329999998</v>
      </c>
      <c r="N155">
        <f ca="1">IF(AND(ISNUMBER($N$607),$B$419=1),$N$607,HLOOKUP(INDIRECT(ADDRESS(2,COLUMN())),OFFSET($BN$2,0,0,ROW()-1,60),ROW()-1,FALSE))</f>
        <v>8.2023923809999992</v>
      </c>
      <c r="O155">
        <f ca="1">IF(AND(ISNUMBER($O$607),$B$419=1),$O$607,HLOOKUP(INDIRECT(ADDRESS(2,COLUMN())),OFFSET($BN$2,0,0,ROW()-1,60),ROW()-1,FALSE))</f>
        <v>6.5011128029999998</v>
      </c>
      <c r="P155">
        <f ca="1">IF(AND(ISNUMBER($P$607),$B$419=1),$P$607,HLOOKUP(INDIRECT(ADDRESS(2,COLUMN())),OFFSET($BN$2,0,0,ROW()-1,60),ROW()-1,FALSE))</f>
        <v>9.8322960550000005</v>
      </c>
      <c r="Q155">
        <f ca="1">IF(AND(ISNUMBER($Q$607),$B$419=1),$Q$607,HLOOKUP(INDIRECT(ADDRESS(2,COLUMN())),OFFSET($BN$2,0,0,ROW()-1,60),ROW()-1,FALSE))</f>
        <v>11.02752727</v>
      </c>
      <c r="R155">
        <f ca="1">IF(AND(ISNUMBER($R$607),$B$419=1),$R$607,HLOOKUP(INDIRECT(ADDRESS(2,COLUMN())),OFFSET($BN$2,0,0,ROW()-1,60),ROW()-1,FALSE))</f>
        <v>11.41615367</v>
      </c>
      <c r="S155">
        <f ca="1">IF(AND(ISNUMBER($S$607),$B$419=1),$S$607,HLOOKUP(INDIRECT(ADDRESS(2,COLUMN())),OFFSET($BN$2,0,0,ROW()-1,60),ROW()-1,FALSE))</f>
        <v>14.530701369999999</v>
      </c>
      <c r="T155">
        <f ca="1">IF(AND(ISNUMBER($T$607),$B$419=1),$T$607,HLOOKUP(INDIRECT(ADDRESS(2,COLUMN())),OFFSET($BN$2,0,0,ROW()-1,60),ROW()-1,FALSE))</f>
        <v>16.642831340000001</v>
      </c>
      <c r="U155">
        <f ca="1">IF(AND(ISNUMBER($U$607),$B$419=1),$U$607,HLOOKUP(INDIRECT(ADDRESS(2,COLUMN())),OFFSET($BN$2,0,0,ROW()-1,60),ROW()-1,FALSE))</f>
        <v>22.635872630000001</v>
      </c>
      <c r="V155">
        <f ca="1">IF(AND(ISNUMBER($V$607),$B$419=1),$V$607,HLOOKUP(INDIRECT(ADDRESS(2,COLUMN())),OFFSET($BN$2,0,0,ROW()-1,60),ROW()-1,FALSE))</f>
        <v>26.23602739</v>
      </c>
      <c r="W155">
        <f ca="1">IF(AND(ISNUMBER($W$607),$B$419=1),$W$607,HLOOKUP(INDIRECT(ADDRESS(2,COLUMN())),OFFSET($BN$2,0,0,ROW()-1,60),ROW()-1,FALSE))</f>
        <v>62.769666350000001</v>
      </c>
      <c r="X155">
        <f ca="1">IF(AND(ISNUMBER($X$607),$B$419=1),$X$607,HLOOKUP(INDIRECT(ADDRESS(2,COLUMN())),OFFSET($BN$2,0,0,ROW()-1,60),ROW()-1,FALSE))</f>
        <v>72.499125050000004</v>
      </c>
      <c r="Y155">
        <f ca="1">IF(AND(ISNUMBER($Y$607),$B$419=1),$Y$607,HLOOKUP(INDIRECT(ADDRESS(2,COLUMN())),OFFSET($BN$2,0,0,ROW()-1,60),ROW()-1,FALSE))</f>
        <v>64.799837359999998</v>
      </c>
      <c r="Z155">
        <f ca="1">IF(AND(ISNUMBER($Z$607),$B$419=1),$Z$607,HLOOKUP(INDIRECT(ADDRESS(2,COLUMN())),OFFSET($BN$2,0,0,ROW()-1,60),ROW()-1,FALSE))</f>
        <v>56.29045902</v>
      </c>
      <c r="AA155">
        <f ca="1">IF(AND(ISNUMBER($AA$607),$B$419=1),$AA$607,HLOOKUP(INDIRECT(ADDRESS(2,COLUMN())),OFFSET($BN$2,0,0,ROW()-1,60),ROW()-1,FALSE))</f>
        <v>18.83405664</v>
      </c>
      <c r="AB155">
        <f ca="1">IF(AND(ISNUMBER($AB$607),$B$419=1),$AB$607,HLOOKUP(INDIRECT(ADDRESS(2,COLUMN())),OFFSET($BN$2,0,0,ROW()-1,60),ROW()-1,FALSE))</f>
        <v>10.27864069</v>
      </c>
      <c r="AC155">
        <f ca="1">IF(AND(ISNUMBER($AC$607),$B$419=1),$AC$607,HLOOKUP(INDIRECT(ADDRESS(2,COLUMN())),OFFSET($BN$2,0,0,ROW()-1,60),ROW()-1,FALSE))</f>
        <v>11.329462700000001</v>
      </c>
      <c r="AD155">
        <f ca="1">IF(AND(ISNUMBER($AD$607),$B$419=1),$AD$607,HLOOKUP(INDIRECT(ADDRESS(2,COLUMN())),OFFSET($BN$2,0,0,ROW()-1,60),ROW()-1,FALSE))</f>
        <v>15.440360180000001</v>
      </c>
      <c r="AE155">
        <f ca="1">IF(AND(ISNUMBER($AE$607),$B$419=1),$AE$607,HLOOKUP(INDIRECT(ADDRESS(2,COLUMN())),OFFSET($BN$2,0,0,ROW()-1,60),ROW()-1,FALSE))</f>
        <v>21.150197840000001</v>
      </c>
      <c r="AF155">
        <f ca="1">IF(AND(ISNUMBER($AF$607),$B$419=1),$AF$607,HLOOKUP(INDIRECT(ADDRESS(2,COLUMN())),OFFSET($BN$2,0,0,ROW()-1,60),ROW()-1,FALSE))</f>
        <v>22.33828153</v>
      </c>
      <c r="AG155">
        <f ca="1">IF(AND(ISNUMBER($AG$607),$B$419=1),$AG$607,HLOOKUP(INDIRECT(ADDRESS(2,COLUMN())),OFFSET($BN$2,0,0,ROW()-1,60),ROW()-1,FALSE))</f>
        <v>23.329732880000002</v>
      </c>
      <c r="AH155">
        <f ca="1">IF(AND(ISNUMBER($AH$607),$B$419=1),$AH$607,HLOOKUP(INDIRECT(ADDRESS(2,COLUMN())),OFFSET($BN$2,0,0,ROW()-1,60),ROW()-1,FALSE))</f>
        <v>17.75157956</v>
      </c>
      <c r="AI155">
        <f ca="1">IF(AND(ISNUMBER($AI$607),$B$419=1),$AI$607,HLOOKUP(INDIRECT(ADDRESS(2,COLUMN())),OFFSET($BN$2,0,0,ROW()-1,60),ROW()-1,FALSE))</f>
        <v>13.482026429999999</v>
      </c>
      <c r="AJ155">
        <f ca="1">IF(AND(ISNUMBER($AJ$607),$B$419=1),$AJ$607,HLOOKUP(INDIRECT(ADDRESS(2,COLUMN())),OFFSET($BN$2,0,0,ROW()-1,60),ROW()-1,FALSE))</f>
        <v>6.5919497199999997</v>
      </c>
      <c r="AK155">
        <f ca="1">IF(AND(ISNUMBER($AK$607),$B$419=1),$AK$607,HLOOKUP(INDIRECT(ADDRESS(2,COLUMN())),OFFSET($BN$2,0,0,ROW()-1,60),ROW()-1,FALSE))</f>
        <v>1.3480768990000001</v>
      </c>
      <c r="AL155">
        <f ca="1">IF(AND(ISNUMBER($AL$607),$B$419=1),$AL$607,HLOOKUP(INDIRECT(ADDRESS(2,COLUMN())),OFFSET($BN$2,0,0,ROW()-1,60),ROW()-1,FALSE))</f>
        <v>0.104202007</v>
      </c>
      <c r="AM155">
        <f ca="1">IF(AND(ISNUMBER($AM$607),$B$419=1),$AM$607,HLOOKUP(INDIRECT(ADDRESS(2,COLUMN())),OFFSET($BN$2,0,0,ROW()-1,60),ROW()-1,FALSE))</f>
        <v>-1.1155310629999999</v>
      </c>
      <c r="AN155">
        <f ca="1">IF(AND(ISNUMBER($AN$607),$B$419=1),$AN$607,HLOOKUP(INDIRECT(ADDRESS(2,COLUMN())),OFFSET($BN$2,0,0,ROW()-1,60),ROW()-1,FALSE))</f>
        <v>-0.924315581</v>
      </c>
      <c r="AO155">
        <f ca="1">IF(AND(ISNUMBER($AO$607),$B$419=1),$AO$607,HLOOKUP(INDIRECT(ADDRESS(2,COLUMN())),OFFSET($BN$2,0,0,ROW()-1,60),ROW()-1,FALSE))</f>
        <v>-0.92734761499999996</v>
      </c>
      <c r="AP155">
        <f ca="1">IF(AND(ISNUMBER($AP$607),$B$419=1),$AP$607,HLOOKUP(INDIRECT(ADDRESS(2,COLUMN())),OFFSET($BN$2,0,0,ROW()-1,60),ROW()-1,FALSE))</f>
        <v>-0.18986806000000001</v>
      </c>
      <c r="AQ155">
        <f ca="1">IF(AND(ISNUMBER($AQ$607),$B$419=1),$AQ$607,HLOOKUP(INDIRECT(ADDRESS(2,COLUMN())),OFFSET($BN$2,0,0,ROW()-1,60),ROW()-1,FALSE))</f>
        <v>2.6062535109999998</v>
      </c>
      <c r="AR155">
        <f ca="1">IF(AND(ISNUMBER($AR$607),$B$419=1),$AR$607,HLOOKUP(INDIRECT(ADDRESS(2,COLUMN())),OFFSET($BN$2,0,0,ROW()-1,60),ROW()-1,FALSE))</f>
        <v>11.834548099999999</v>
      </c>
      <c r="AS155">
        <f ca="1">IF(AND(ISNUMBER($AS$607),$B$419=1),$AS$607,HLOOKUP(INDIRECT(ADDRESS(2,COLUMN())),OFFSET($BN$2,0,0,ROW()-1,60),ROW()-1,FALSE))</f>
        <v>16.689660239999998</v>
      </c>
      <c r="AT155">
        <f ca="1">IF(AND(ISNUMBER($AT$607),$B$419=1),$AT$607,HLOOKUP(INDIRECT(ADDRESS(2,COLUMN())),OFFSET($BN$2,0,0,ROW()-1,60),ROW()-1,FALSE))</f>
        <v>15.92457591</v>
      </c>
      <c r="AU155">
        <f ca="1">IF(AND(ISNUMBER($AU$607),$B$419=1),$AU$607,HLOOKUP(INDIRECT(ADDRESS(2,COLUMN())),OFFSET($BN$2,0,0,ROW()-1,60),ROW()-1,FALSE))</f>
        <v>16.483468550000001</v>
      </c>
      <c r="AV155">
        <f ca="1">IF(AND(ISNUMBER($AV$607),$B$419=1),$AV$607,HLOOKUP(INDIRECT(ADDRESS(2,COLUMN())),OFFSET($BN$2,0,0,ROW()-1,60),ROW()-1,FALSE))</f>
        <v>24.26814139</v>
      </c>
      <c r="AW155">
        <f ca="1">IF(AND(ISNUMBER($AW$607),$B$419=1),$AW$607,HLOOKUP(INDIRECT(ADDRESS(2,COLUMN())),OFFSET($BN$2,0,0,ROW()-1,60),ROW()-1,FALSE))</f>
        <v>24.53734747</v>
      </c>
      <c r="AX155">
        <f ca="1">IF(AND(ISNUMBER($AX$607),$B$419=1),$AX$607,HLOOKUP(INDIRECT(ADDRESS(2,COLUMN())),OFFSET($BN$2,0,0,ROW()-1,60),ROW()-1,FALSE))</f>
        <v>29.41325883</v>
      </c>
      <c r="AY155">
        <f ca="1">IF(AND(ISNUMBER($AY$607),$B$419=1),$AY$607,HLOOKUP(INDIRECT(ADDRESS(2,COLUMN())),OFFSET($BN$2,0,0,ROW()-1,60),ROW()-1,FALSE))</f>
        <v>28.88222618</v>
      </c>
      <c r="AZ155">
        <f ca="1">IF(AND(ISNUMBER($AZ$607),$B$419=1),$AZ$607,HLOOKUP(INDIRECT(ADDRESS(2,COLUMN())),OFFSET($BN$2,0,0,ROW()-1,60),ROW()-1,FALSE))</f>
        <v>21.021946010000001</v>
      </c>
      <c r="BA155">
        <f ca="1">IF(AND(ISNUMBER($BA$607),$B$419=1),$BA$607,HLOOKUP(INDIRECT(ADDRESS(2,COLUMN())),OFFSET($BN$2,0,0,ROW()-1,60),ROW()-1,FALSE))</f>
        <v>19.59970685</v>
      </c>
      <c r="BB155">
        <f ca="1">IF(AND(ISNUMBER($BB$607),$B$419=1),$BB$607,HLOOKUP(INDIRECT(ADDRESS(2,COLUMN())),OFFSET($BN$2,0,0,ROW()-1,60),ROW()-1,FALSE))</f>
        <v>18.398381069999999</v>
      </c>
      <c r="BC155">
        <f ca="1">IF(AND(ISNUMBER($BC$607),$B$419=1),$BC$607,HLOOKUP(INDIRECT(ADDRESS(2,COLUMN())),OFFSET($BN$2,0,0,ROW()-1,60),ROW()-1,FALSE))</f>
        <v>23.656038559999999</v>
      </c>
      <c r="BD155">
        <f ca="1">IF(AND(ISNUMBER($BD$607),$B$419=1),$BD$607,HLOOKUP(INDIRECT(ADDRESS(2,COLUMN())),OFFSET($BN$2,0,0,ROW()-1,60),ROW()-1,FALSE))</f>
        <v>11.984883829999999</v>
      </c>
      <c r="BE155">
        <f ca="1">IF(AND(ISNUMBER($BE$607),$B$419=1),$BE$607,HLOOKUP(INDIRECT(ADDRESS(2,COLUMN())),OFFSET($BN$2,0,0,ROW()-1,60),ROW()-1,FALSE))</f>
        <v>7.7156483759999999</v>
      </c>
      <c r="BF155">
        <f ca="1">IF(AND(ISNUMBER($BF$607),$B$419=1),$BF$607,HLOOKUP(INDIRECT(ADDRESS(2,COLUMN())),OFFSET($BN$2,0,0,ROW()-1,60),ROW()-1,FALSE))</f>
        <v>9.8051738470000007</v>
      </c>
      <c r="BG155">
        <f ca="1">IF(AND(ISNUMBER($BG$607),$B$419=1),$BG$607,HLOOKUP(INDIRECT(ADDRESS(2,COLUMN())),OFFSET($BN$2,0,0,ROW()-1,60),ROW()-1,FALSE))</f>
        <v>7.9277745560000001</v>
      </c>
      <c r="BH155">
        <f ca="1">IF(AND(ISNUMBER($BH$607),$B$419=1),$BH$607,HLOOKUP(INDIRECT(ADDRESS(2,COLUMN())),OFFSET($BN$2,0,0,ROW()-1,60),ROW()-1,FALSE))</f>
        <v>20.357861960000001</v>
      </c>
      <c r="BI155">
        <f ca="1">IF(AND(ISNUMBER($BI$607),$B$419=1),$BI$607,HLOOKUP(INDIRECT(ADDRESS(2,COLUMN())),OFFSET($BN$2,0,0,ROW()-1,60),ROW()-1,FALSE))</f>
        <v>23.787066329999998</v>
      </c>
      <c r="BJ155">
        <f ca="1">IF(AND(ISNUMBER($BJ$607),$B$419=1),$BJ$607,HLOOKUP(INDIRECT(ADDRESS(2,COLUMN())),OFFSET($BN$2,0,0,ROW()-1,60),ROW()-1,FALSE))</f>
        <v>22.178671399999999</v>
      </c>
      <c r="BK155">
        <f ca="1">IF(AND(ISNUMBER($BK$607),$B$419=1),$BK$607,HLOOKUP(INDIRECT(ADDRESS(2,COLUMN())),OFFSET($BN$2,0,0,ROW()-1,60),ROW()-1,FALSE))</f>
        <v>12.2666126</v>
      </c>
      <c r="BL155">
        <f ca="1">IF(AND(ISNUMBER($BL$607),$B$419=1),$BL$607,HLOOKUP(INDIRECT(ADDRESS(2,COLUMN())),OFFSET($BN$2,0,0,ROW()-1,60),ROW()-1,FALSE))</f>
        <v>5.4113734500000001</v>
      </c>
      <c r="BM155">
        <f ca="1">IF(AND(ISNUMBER($BM$607),$B$419=1),$BM$607,HLOOKUP(INDIRECT(ADDRESS(2,COLUMN())),OFFSET($BN$2,0,0,ROW()-1,60),ROW()-1,FALSE))</f>
        <v>8.4333714069999992</v>
      </c>
      <c r="BN155" t="str">
        <f>""</f>
        <v/>
      </c>
      <c r="BO155">
        <f>7.924806231</f>
        <v>7.9248062309999998</v>
      </c>
      <c r="BP155">
        <f>10.73188683</f>
        <v>10.731886830000001</v>
      </c>
      <c r="BQ155">
        <f>10.74789975</f>
        <v>10.74789975</v>
      </c>
      <c r="BR155">
        <f>11.57137723</f>
        <v>11.57137723</v>
      </c>
      <c r="BS155">
        <f>9.168727339</f>
        <v>9.1687273390000001</v>
      </c>
      <c r="BT155">
        <f>7.062872505</f>
        <v>7.0628725049999996</v>
      </c>
      <c r="BU155">
        <f>6.767115733</f>
        <v>6.7671157329999998</v>
      </c>
      <c r="BV155">
        <f>8.202392381</f>
        <v>8.2023923809999992</v>
      </c>
      <c r="BW155">
        <f>6.501112803</f>
        <v>6.5011128029999998</v>
      </c>
      <c r="BX155">
        <f>9.832296055</f>
        <v>9.8322960550000005</v>
      </c>
      <c r="BY155">
        <f>11.02752727</f>
        <v>11.02752727</v>
      </c>
      <c r="BZ155">
        <f>11.41615367</f>
        <v>11.41615367</v>
      </c>
      <c r="CA155">
        <f>14.53070137</f>
        <v>14.530701369999999</v>
      </c>
      <c r="CB155">
        <f>16.64283134</f>
        <v>16.642831340000001</v>
      </c>
      <c r="CC155">
        <f>22.63587263</f>
        <v>22.635872630000001</v>
      </c>
      <c r="CD155">
        <f>26.23602739</f>
        <v>26.23602739</v>
      </c>
      <c r="CE155">
        <f>62.76966635</f>
        <v>62.769666350000001</v>
      </c>
      <c r="CF155">
        <f>72.49912505</f>
        <v>72.499125050000004</v>
      </c>
      <c r="CG155">
        <f>64.79983736</f>
        <v>64.799837359999998</v>
      </c>
      <c r="CH155">
        <f>56.29045902</f>
        <v>56.29045902</v>
      </c>
      <c r="CI155">
        <f>18.83405664</f>
        <v>18.83405664</v>
      </c>
      <c r="CJ155">
        <f>10.27864069</f>
        <v>10.27864069</v>
      </c>
      <c r="CK155">
        <f>11.3294627</f>
        <v>11.329462700000001</v>
      </c>
      <c r="CL155">
        <f>15.44036018</f>
        <v>15.440360180000001</v>
      </c>
      <c r="CM155">
        <f>21.15019784</f>
        <v>21.150197840000001</v>
      </c>
      <c r="CN155">
        <f>22.33828153</f>
        <v>22.33828153</v>
      </c>
      <c r="CO155">
        <f>23.32973288</f>
        <v>23.329732880000002</v>
      </c>
      <c r="CP155">
        <f>17.75157956</f>
        <v>17.75157956</v>
      </c>
      <c r="CQ155">
        <f>13.48202643</f>
        <v>13.482026429999999</v>
      </c>
      <c r="CR155">
        <f>6.59194972</f>
        <v>6.5919497199999997</v>
      </c>
      <c r="CS155">
        <f>1.348076899</f>
        <v>1.3480768990000001</v>
      </c>
      <c r="CT155">
        <f>0.104202007</f>
        <v>0.104202007</v>
      </c>
      <c r="CU155">
        <f>-1.115531063</f>
        <v>-1.1155310629999999</v>
      </c>
      <c r="CV155">
        <f>-0.924315581</f>
        <v>-0.924315581</v>
      </c>
      <c r="CW155">
        <f>-0.927347615</f>
        <v>-0.92734761499999996</v>
      </c>
      <c r="CX155">
        <f>-0.18986806</f>
        <v>-0.18986806000000001</v>
      </c>
      <c r="CY155">
        <f>2.606253511</f>
        <v>2.6062535109999998</v>
      </c>
      <c r="CZ155">
        <f>11.8345481</f>
        <v>11.834548099999999</v>
      </c>
      <c r="DA155">
        <f>16.68966024</f>
        <v>16.689660239999998</v>
      </c>
      <c r="DB155">
        <f>15.92457591</f>
        <v>15.92457591</v>
      </c>
      <c r="DC155">
        <f>16.48346855</f>
        <v>16.483468550000001</v>
      </c>
      <c r="DD155">
        <f>24.26814139</f>
        <v>24.26814139</v>
      </c>
      <c r="DE155">
        <f>24.53734747</f>
        <v>24.53734747</v>
      </c>
      <c r="DF155">
        <f>29.41325883</f>
        <v>29.41325883</v>
      </c>
      <c r="DG155">
        <f>28.88222618</f>
        <v>28.88222618</v>
      </c>
      <c r="DH155">
        <f>21.02194601</f>
        <v>21.021946010000001</v>
      </c>
      <c r="DI155">
        <f>19.59970685</f>
        <v>19.59970685</v>
      </c>
      <c r="DJ155">
        <f>18.39838107</f>
        <v>18.398381069999999</v>
      </c>
      <c r="DK155">
        <f>23.65603856</f>
        <v>23.656038559999999</v>
      </c>
      <c r="DL155">
        <f>11.98488383</f>
        <v>11.984883829999999</v>
      </c>
      <c r="DM155">
        <f>7.715648376</f>
        <v>7.7156483759999999</v>
      </c>
      <c r="DN155">
        <f>9.805173847</f>
        <v>9.8051738470000007</v>
      </c>
      <c r="DO155">
        <f>7.927774556</f>
        <v>7.9277745560000001</v>
      </c>
      <c r="DP155">
        <f>20.35786196</f>
        <v>20.357861960000001</v>
      </c>
      <c r="DQ155">
        <f>23.78706633</f>
        <v>23.787066329999998</v>
      </c>
      <c r="DR155">
        <f>22.1786714</f>
        <v>22.178671399999999</v>
      </c>
      <c r="DS155">
        <f>12.2666126</f>
        <v>12.2666126</v>
      </c>
      <c r="DT155">
        <f>5.41137345</f>
        <v>5.4113734500000001</v>
      </c>
      <c r="DU155">
        <f>8.433371407</f>
        <v>8.4333714069999992</v>
      </c>
    </row>
    <row r="156" spans="1:125">
      <c r="A156" t="str">
        <f>"    Regency Centers Corp"</f>
        <v xml:space="preserve">    Regency Centers Corp</v>
      </c>
      <c r="B156" t="str">
        <f>"REG US Equity"</f>
        <v>REG US Equity</v>
      </c>
      <c r="C156" t="str">
        <f t="shared" si="27"/>
        <v>RR033</v>
      </c>
      <c r="D156" t="str">
        <f t="shared" si="28"/>
        <v>SALES_GROWTH</v>
      </c>
      <c r="E156" t="str">
        <f t="shared" si="29"/>
        <v>动态</v>
      </c>
      <c r="F156" t="str">
        <f ca="1">IF(AND(ISNUMBER($F$608),$B$419=1),$F$608,HLOOKUP(INDIRECT(ADDRESS(2,COLUMN())),OFFSET($BN$2,0,0,ROW()-1,60),ROW()-1,FALSE))</f>
        <v/>
      </c>
      <c r="G156">
        <f ca="1">IF(AND(ISNUMBER($G$608),$B$419=1),$G$608,HLOOKUP(INDIRECT(ADDRESS(2,COLUMN())),OFFSET($BN$2,0,0,ROW()-1,60),ROW()-1,FALSE))</f>
        <v>65.924630710000002</v>
      </c>
      <c r="H156">
        <f ca="1">IF(AND(ISNUMBER($H$608),$B$419=1),$H$608,HLOOKUP(INDIRECT(ADDRESS(2,COLUMN())),OFFSET($BN$2,0,0,ROW()-1,60),ROW()-1,FALSE))</f>
        <v>71.594182029999999</v>
      </c>
      <c r="I156">
        <f ca="1">IF(AND(ISNUMBER($I$608),$B$419=1),$I$608,HLOOKUP(INDIRECT(ADDRESS(2,COLUMN())),OFFSET($BN$2,0,0,ROW()-1,60),ROW()-1,FALSE))</f>
        <v>71.446474030000005</v>
      </c>
      <c r="J156">
        <f ca="1">IF(AND(ISNUMBER($J$608),$B$419=1),$J$608,HLOOKUP(INDIRECT(ADDRESS(2,COLUMN())),OFFSET($BN$2,0,0,ROW()-1,60),ROW()-1,FALSE))</f>
        <v>31.079076109999999</v>
      </c>
      <c r="K156">
        <f ca="1">IF(AND(ISNUMBER($K$608),$B$419=1),$K$608,HLOOKUP(INDIRECT(ADDRESS(2,COLUMN())),OFFSET($BN$2,0,0,ROW()-1,60),ROW()-1,FALSE))</f>
        <v>9.1627442400000003</v>
      </c>
      <c r="L156">
        <f ca="1">IF(AND(ISNUMBER($L$608),$B$419=1),$L$608,HLOOKUP(INDIRECT(ADDRESS(2,COLUMN())),OFFSET($BN$2,0,0,ROW()-1,60),ROW()-1,FALSE))</f>
        <v>7.5316045840000001</v>
      </c>
      <c r="M156">
        <f ca="1">IF(AND(ISNUMBER($M$608),$B$419=1),$M$608,HLOOKUP(INDIRECT(ADDRESS(2,COLUMN())),OFFSET($BN$2,0,0,ROW()-1,60),ROW()-1,FALSE))</f>
        <v>7.9948132559999996</v>
      </c>
      <c r="N156">
        <f ca="1">IF(AND(ISNUMBER($N$608),$B$419=1),$N$608,HLOOKUP(INDIRECT(ADDRESS(2,COLUMN())),OFFSET($BN$2,0,0,ROW()-1,60),ROW()-1,FALSE))</f>
        <v>6.5734086429999996</v>
      </c>
      <c r="O156">
        <f ca="1">IF(AND(ISNUMBER($O$608),$B$419=1),$O$608,HLOOKUP(INDIRECT(ADDRESS(2,COLUMN())),OFFSET($BN$2,0,0,ROW()-1,60),ROW()-1,FALSE))</f>
        <v>7.3462343480000003</v>
      </c>
      <c r="P156">
        <f ca="1">IF(AND(ISNUMBER($P$608),$B$419=1),$P$608,HLOOKUP(INDIRECT(ADDRESS(2,COLUMN())),OFFSET($BN$2,0,0,ROW()-1,60),ROW()-1,FALSE))</f>
        <v>6.3709671380000001</v>
      </c>
      <c r="Q156">
        <f ca="1">IF(AND(ISNUMBER($Q$608),$B$419=1),$Q$608,HLOOKUP(INDIRECT(ADDRESS(2,COLUMN())),OFFSET($BN$2,0,0,ROW()-1,60),ROW()-1,FALSE))</f>
        <v>4.6236989590000004</v>
      </c>
      <c r="R156">
        <f ca="1">IF(AND(ISNUMBER($R$608),$B$419=1),$R$608,HLOOKUP(INDIRECT(ADDRESS(2,COLUMN())),OFFSET($BN$2,0,0,ROW()-1,60),ROW()-1,FALSE))</f>
        <v>5.3413865549999997</v>
      </c>
      <c r="S156">
        <f ca="1">IF(AND(ISNUMBER($S$608),$B$419=1),$S$608,HLOOKUP(INDIRECT(ADDRESS(2,COLUMN())),OFFSET($BN$2,0,0,ROW()-1,60),ROW()-1,FALSE))</f>
        <v>8.0631720960000006</v>
      </c>
      <c r="T156">
        <f ca="1">IF(AND(ISNUMBER($T$608),$B$419=1),$T$608,HLOOKUP(INDIRECT(ADDRESS(2,COLUMN())),OFFSET($BN$2,0,0,ROW()-1,60),ROW()-1,FALSE))</f>
        <v>11.00500341</v>
      </c>
      <c r="U156">
        <f ca="1">IF(AND(ISNUMBER($U$608),$B$419=1),$U$608,HLOOKUP(INDIRECT(ADDRESS(2,COLUMN())),OFFSET($BN$2,0,0,ROW()-1,60),ROW()-1,FALSE))</f>
        <v>10.289680880000001</v>
      </c>
      <c r="V156">
        <f ca="1">IF(AND(ISNUMBER($V$608),$B$419=1),$V$608,HLOOKUP(INDIRECT(ADDRESS(2,COLUMN())),OFFSET($BN$2,0,0,ROW()-1,60),ROW()-1,FALSE))</f>
        <v>10.717905269999999</v>
      </c>
      <c r="W156">
        <f ca="1">IF(AND(ISNUMBER($W$608),$B$419=1),$W$608,HLOOKUP(INDIRECT(ADDRESS(2,COLUMN())),OFFSET($BN$2,0,0,ROW()-1,60),ROW()-1,FALSE))</f>
        <v>8.4100490410000006</v>
      </c>
      <c r="X156">
        <f ca="1">IF(AND(ISNUMBER($X$608),$B$419=1),$X$608,HLOOKUP(INDIRECT(ADDRESS(2,COLUMN())),OFFSET($BN$2,0,0,ROW()-1,60),ROW()-1,FALSE))</f>
        <v>4.0912197529999998</v>
      </c>
      <c r="Y156">
        <f ca="1">IF(AND(ISNUMBER($Y$608),$B$419=1),$Y$608,HLOOKUP(INDIRECT(ADDRESS(2,COLUMN())),OFFSET($BN$2,0,0,ROW()-1,60),ROW()-1,FALSE))</f>
        <v>-3.5167435810000001</v>
      </c>
      <c r="Z156">
        <f ca="1">IF(AND(ISNUMBER($Z$608),$B$419=1),$Z$608,HLOOKUP(INDIRECT(ADDRESS(2,COLUMN())),OFFSET($BN$2,0,0,ROW()-1,60),ROW()-1,FALSE))</f>
        <v>-4.6458021430000001</v>
      </c>
      <c r="AA156">
        <f ca="1">IF(AND(ISNUMBER($AA$608),$B$419=1),$AA$608,HLOOKUP(INDIRECT(ADDRESS(2,COLUMN())),OFFSET($BN$2,0,0,ROW()-1,60),ROW()-1,FALSE))</f>
        <v>-5.960500659</v>
      </c>
      <c r="AB156">
        <f ca="1">IF(AND(ISNUMBER($AB$608),$B$419=1),$AB$608,HLOOKUP(INDIRECT(ADDRESS(2,COLUMN())),OFFSET($BN$2,0,0,ROW()-1,60),ROW()-1,FALSE))</f>
        <v>-6.0404812229999996</v>
      </c>
      <c r="AC156">
        <f ca="1">IF(AND(ISNUMBER($AC$608),$B$419=1),$AC$608,HLOOKUP(INDIRECT(ADDRESS(2,COLUMN())),OFFSET($BN$2,0,0,ROW()-1,60),ROW()-1,FALSE))</f>
        <v>1.702462232</v>
      </c>
      <c r="AD156">
        <f ca="1">IF(AND(ISNUMBER($AD$608),$B$419=1),$AD$608,HLOOKUP(INDIRECT(ADDRESS(2,COLUMN())),OFFSET($BN$2,0,0,ROW()-1,60),ROW()-1,FALSE))</f>
        <v>1.5402805479999999</v>
      </c>
      <c r="AE156">
        <f ca="1">IF(AND(ISNUMBER($AE$608),$B$419=1),$AE$608,HLOOKUP(INDIRECT(ADDRESS(2,COLUMN())),OFFSET($BN$2,0,0,ROW()-1,60),ROW()-1,FALSE))</f>
        <v>5.1131124909999999</v>
      </c>
      <c r="AF156">
        <f ca="1">IF(AND(ISNUMBER($AF$608),$B$419=1),$AF$608,HLOOKUP(INDIRECT(ADDRESS(2,COLUMN())),OFFSET($BN$2,0,0,ROW()-1,60),ROW()-1,FALSE))</f>
        <v>1.8436498800000001</v>
      </c>
      <c r="AG156">
        <f ca="1">IF(AND(ISNUMBER($AG$608),$B$419=1),$AG$608,HLOOKUP(INDIRECT(ADDRESS(2,COLUMN())),OFFSET($BN$2,0,0,ROW()-1,60),ROW()-1,FALSE))</f>
        <v>2.797502701</v>
      </c>
      <c r="AH156">
        <f ca="1">IF(AND(ISNUMBER($AH$608),$B$419=1),$AH$608,HLOOKUP(INDIRECT(ADDRESS(2,COLUMN())),OFFSET($BN$2,0,0,ROW()-1,60),ROW()-1,FALSE))</f>
        <v>0.201486162</v>
      </c>
      <c r="AI156">
        <f ca="1">IF(AND(ISNUMBER($AI$608),$B$419=1),$AI$608,HLOOKUP(INDIRECT(ADDRESS(2,COLUMN())),OFFSET($BN$2,0,0,ROW()-1,60),ROW()-1,FALSE))</f>
        <v>-3.0964579350000001</v>
      </c>
      <c r="AJ156">
        <f ca="1">IF(AND(ISNUMBER($AJ$608),$B$419=1),$AJ$608,HLOOKUP(INDIRECT(ADDRESS(2,COLUMN())),OFFSET($BN$2,0,0,ROW()-1,60),ROW()-1,FALSE))</f>
        <v>-8.7121469759999997</v>
      </c>
      <c r="AK156">
        <f ca="1">IF(AND(ISNUMBER($AK$608),$B$419=1),$AK$608,HLOOKUP(INDIRECT(ADDRESS(2,COLUMN())),OFFSET($BN$2,0,0,ROW()-1,60),ROW()-1,FALSE))</f>
        <v>5.1667909869999997</v>
      </c>
      <c r="AL156">
        <f ca="1">IF(AND(ISNUMBER($AL$608),$B$419=1),$AL$608,HLOOKUP(INDIRECT(ADDRESS(2,COLUMN())),OFFSET($BN$2,0,0,ROW()-1,60),ROW()-1,FALSE))</f>
        <v>3.6453547620000002</v>
      </c>
      <c r="AM156">
        <f ca="1">IF(AND(ISNUMBER($AM$608),$B$419=1),$AM$608,HLOOKUP(INDIRECT(ADDRESS(2,COLUMN())),OFFSET($BN$2,0,0,ROW()-1,60),ROW()-1,FALSE))</f>
        <v>-13.72763376</v>
      </c>
      <c r="AN156">
        <f ca="1">IF(AND(ISNUMBER($AN$608),$B$419=1),$AN$608,HLOOKUP(INDIRECT(ADDRESS(2,COLUMN())),OFFSET($BN$2,0,0,ROW()-1,60),ROW()-1,FALSE))</f>
        <v>9.0938321890000005</v>
      </c>
      <c r="AO156">
        <f ca="1">IF(AND(ISNUMBER($AO$608),$B$419=1),$AO$608,HLOOKUP(INDIRECT(ADDRESS(2,COLUMN())),OFFSET($BN$2,0,0,ROW()-1,60),ROW()-1,FALSE))</f>
        <v>-4.6526629179999999</v>
      </c>
      <c r="AP156">
        <f ca="1">IF(AND(ISNUMBER($AP$608),$B$419=1),$AP$608,HLOOKUP(INDIRECT(ADDRESS(2,COLUMN())),OFFSET($BN$2,0,0,ROW()-1,60),ROW()-1,FALSE))</f>
        <v>3.6439980950000002</v>
      </c>
      <c r="AQ156">
        <f ca="1">IF(AND(ISNUMBER($AQ$608),$B$419=1),$AQ$608,HLOOKUP(INDIRECT(ADDRESS(2,COLUMN())),OFFSET($BN$2,0,0,ROW()-1,60),ROW()-1,FALSE))</f>
        <v>30.679159160000001</v>
      </c>
      <c r="AR156">
        <f ca="1">IF(AND(ISNUMBER($AR$608),$B$419=1),$AR$608,HLOOKUP(INDIRECT(ADDRESS(2,COLUMN())),OFFSET($BN$2,0,0,ROW()-1,60),ROW()-1,FALSE))</f>
        <v>5.7462946820000003</v>
      </c>
      <c r="AS156">
        <f ca="1">IF(AND(ISNUMBER($AS$608),$B$419=1),$AS$608,HLOOKUP(INDIRECT(ADDRESS(2,COLUMN())),OFFSET($BN$2,0,0,ROW()-1,60),ROW()-1,FALSE))</f>
        <v>12.1301199</v>
      </c>
      <c r="AT156">
        <f ca="1">IF(AND(ISNUMBER($AT$608),$B$419=1),$AT$608,HLOOKUP(INDIRECT(ADDRESS(2,COLUMN())),OFFSET($BN$2,0,0,ROW()-1,60),ROW()-1,FALSE))</f>
        <v>8.5440688639999998</v>
      </c>
      <c r="AU156">
        <f ca="1">IF(AND(ISNUMBER($AU$608),$B$419=1),$AU$608,HLOOKUP(INDIRECT(ADDRESS(2,COLUMN())),OFFSET($BN$2,0,0,ROW()-1,60),ROW()-1,FALSE))</f>
        <v>-1.384447641</v>
      </c>
      <c r="AV156">
        <f ca="1">IF(AND(ISNUMBER($AV$608),$B$419=1),$AV$608,HLOOKUP(INDIRECT(ADDRESS(2,COLUMN())),OFFSET($BN$2,0,0,ROW()-1,60),ROW()-1,FALSE))</f>
        <v>11.77485212</v>
      </c>
      <c r="AW156">
        <f ca="1">IF(AND(ISNUMBER($AW$608),$B$419=1),$AW$608,HLOOKUP(INDIRECT(ADDRESS(2,COLUMN())),OFFSET($BN$2,0,0,ROW()-1,60),ROW()-1,FALSE))</f>
        <v>2.314041746</v>
      </c>
      <c r="AX156">
        <f ca="1">IF(AND(ISNUMBER($AX$608),$B$419=1),$AX$608,HLOOKUP(INDIRECT(ADDRESS(2,COLUMN())),OFFSET($BN$2,0,0,ROW()-1,60),ROW()-1,FALSE))</f>
        <v>6.615569582</v>
      </c>
      <c r="AY156">
        <f ca="1">IF(AND(ISNUMBER($AY$608),$B$419=1),$AY$608,HLOOKUP(INDIRECT(ADDRESS(2,COLUMN())),OFFSET($BN$2,0,0,ROW()-1,60),ROW()-1,FALSE))</f>
        <v>22.845662059999999</v>
      </c>
      <c r="AZ156">
        <f ca="1">IF(AND(ISNUMBER($AZ$608),$B$419=1),$AZ$608,HLOOKUP(INDIRECT(ADDRESS(2,COLUMN())),OFFSET($BN$2,0,0,ROW()-1,60),ROW()-1,FALSE))</f>
        <v>13.62750526</v>
      </c>
      <c r="BA156">
        <f ca="1">IF(AND(ISNUMBER($BA$608),$B$419=1),$BA$608,HLOOKUP(INDIRECT(ADDRESS(2,COLUMN())),OFFSET($BN$2,0,0,ROW()-1,60),ROW()-1,FALSE))</f>
        <v>-1.392111369</v>
      </c>
      <c r="BB156">
        <f ca="1">IF(AND(ISNUMBER($BB$608),$B$419=1),$BB$608,HLOOKUP(INDIRECT(ADDRESS(2,COLUMN())),OFFSET($BN$2,0,0,ROW()-1,60),ROW()-1,FALSE))</f>
        <v>4.0337711069999997</v>
      </c>
      <c r="BC156">
        <f ca="1">IF(AND(ISNUMBER($BC$608),$B$419=1),$BC$608,HLOOKUP(INDIRECT(ADDRESS(2,COLUMN())),OFFSET($BN$2,0,0,ROW()-1,60),ROW()-1,FALSE))</f>
        <v>-14.34163461</v>
      </c>
      <c r="BD156">
        <f ca="1">IF(AND(ISNUMBER($BD$608),$B$419=1),$BD$608,HLOOKUP(INDIRECT(ADDRESS(2,COLUMN())),OFFSET($BN$2,0,0,ROW()-1,60),ROW()-1,FALSE))</f>
        <v>-2.3654565500000002</v>
      </c>
      <c r="BE156">
        <f ca="1">IF(AND(ISNUMBER($BE$608),$B$419=1),$BE$608,HLOOKUP(INDIRECT(ADDRESS(2,COLUMN())),OFFSET($BN$2,0,0,ROW()-1,60),ROW()-1,FALSE))</f>
        <v>13.72153016</v>
      </c>
      <c r="BF156">
        <f ca="1">IF(AND(ISNUMBER($BF$608),$B$419=1),$BF$608,HLOOKUP(INDIRECT(ADDRESS(2,COLUMN())),OFFSET($BN$2,0,0,ROW()-1,60),ROW()-1,FALSE))</f>
        <v>5.9583655850000001</v>
      </c>
      <c r="BG156">
        <f ca="1">IF(AND(ISNUMBER($BG$608),$B$419=1),$BG$608,HLOOKUP(INDIRECT(ADDRESS(2,COLUMN())),OFFSET($BN$2,0,0,ROW()-1,60),ROW()-1,FALSE))</f>
        <v>14.913909329999999</v>
      </c>
      <c r="BH156">
        <f ca="1">IF(AND(ISNUMBER($BH$608),$B$419=1),$BH$608,HLOOKUP(INDIRECT(ADDRESS(2,COLUMN())),OFFSET($BN$2,0,0,ROW()-1,60),ROW()-1,FALSE))</f>
        <v>4.2465872559999998</v>
      </c>
      <c r="BI156">
        <f ca="1">IF(AND(ISNUMBER($BI$608),$B$419=1),$BI$608,HLOOKUP(INDIRECT(ADDRESS(2,COLUMN())),OFFSET($BN$2,0,0,ROW()-1,60),ROW()-1,FALSE))</f>
        <v>5.3545409470000003</v>
      </c>
      <c r="BJ156">
        <f ca="1">IF(AND(ISNUMBER($BJ$608),$B$419=1),$BJ$608,HLOOKUP(INDIRECT(ADDRESS(2,COLUMN())),OFFSET($BN$2,0,0,ROW()-1,60),ROW()-1,FALSE))</f>
        <v>1.597823148</v>
      </c>
      <c r="BK156">
        <f ca="1">IF(AND(ISNUMBER($BK$608),$B$419=1),$BK$608,HLOOKUP(INDIRECT(ADDRESS(2,COLUMN())),OFFSET($BN$2,0,0,ROW()-1,60),ROW()-1,FALSE))</f>
        <v>-1.041571754</v>
      </c>
      <c r="BL156">
        <f ca="1">IF(AND(ISNUMBER($BL$608),$B$419=1),$BL$608,HLOOKUP(INDIRECT(ADDRESS(2,COLUMN())),OFFSET($BN$2,0,0,ROW()-1,60),ROW()-1,FALSE))</f>
        <v>-9.2424729380000006</v>
      </c>
      <c r="BM156">
        <f ca="1">IF(AND(ISNUMBER($BM$608),$B$419=1),$BM$608,HLOOKUP(INDIRECT(ADDRESS(2,COLUMN())),OFFSET($BN$2,0,0,ROW()-1,60),ROW()-1,FALSE))</f>
        <v>2.1549901280000001</v>
      </c>
      <c r="BN156" t="str">
        <f>""</f>
        <v/>
      </c>
      <c r="BO156">
        <f>65.92463071</f>
        <v>65.924630710000002</v>
      </c>
      <c r="BP156">
        <f>71.59418203</f>
        <v>71.594182029999999</v>
      </c>
      <c r="BQ156">
        <f>71.44647403</f>
        <v>71.446474030000005</v>
      </c>
      <c r="BR156">
        <f>31.07907611</f>
        <v>31.079076109999999</v>
      </c>
      <c r="BS156">
        <f>9.16274424</f>
        <v>9.1627442400000003</v>
      </c>
      <c r="BT156">
        <f>7.531604584</f>
        <v>7.5316045840000001</v>
      </c>
      <c r="BU156">
        <f>7.994813256</f>
        <v>7.9948132559999996</v>
      </c>
      <c r="BV156">
        <f>6.573408643</f>
        <v>6.5734086429999996</v>
      </c>
      <c r="BW156">
        <f>7.346234348</f>
        <v>7.3462343480000003</v>
      </c>
      <c r="BX156">
        <f>6.370967138</f>
        <v>6.3709671380000001</v>
      </c>
      <c r="BY156">
        <f>4.623698959</f>
        <v>4.6236989590000004</v>
      </c>
      <c r="BZ156">
        <f>5.341386555</f>
        <v>5.3413865549999997</v>
      </c>
      <c r="CA156">
        <f>8.063172096</f>
        <v>8.0631720960000006</v>
      </c>
      <c r="CB156">
        <f>11.00500341</f>
        <v>11.00500341</v>
      </c>
      <c r="CC156">
        <f>10.28968088</f>
        <v>10.289680880000001</v>
      </c>
      <c r="CD156">
        <f>10.71790527</f>
        <v>10.717905269999999</v>
      </c>
      <c r="CE156">
        <f>8.410049041</f>
        <v>8.4100490410000006</v>
      </c>
      <c r="CF156">
        <f>4.091219753</f>
        <v>4.0912197529999998</v>
      </c>
      <c r="CG156">
        <f>-3.516743581</f>
        <v>-3.5167435810000001</v>
      </c>
      <c r="CH156">
        <f>-4.645802143</f>
        <v>-4.6458021430000001</v>
      </c>
      <c r="CI156">
        <f>-5.960500659</f>
        <v>-5.960500659</v>
      </c>
      <c r="CJ156">
        <f>-6.040481223</f>
        <v>-6.0404812229999996</v>
      </c>
      <c r="CK156">
        <f>1.702462232</f>
        <v>1.702462232</v>
      </c>
      <c r="CL156">
        <f>1.540280548</f>
        <v>1.5402805479999999</v>
      </c>
      <c r="CM156">
        <f>5.113112491</f>
        <v>5.1131124909999999</v>
      </c>
      <c r="CN156">
        <f>1.84364988</f>
        <v>1.8436498800000001</v>
      </c>
      <c r="CO156">
        <f>2.797502701</f>
        <v>2.797502701</v>
      </c>
      <c r="CP156">
        <f>0.201486162</f>
        <v>0.201486162</v>
      </c>
      <c r="CQ156">
        <f>-3.096457935</f>
        <v>-3.0964579350000001</v>
      </c>
      <c r="CR156">
        <f>-8.712146976</f>
        <v>-8.7121469759999997</v>
      </c>
      <c r="CS156">
        <f>5.166790987</f>
        <v>5.1667909869999997</v>
      </c>
      <c r="CT156">
        <f>3.645354762</f>
        <v>3.6453547620000002</v>
      </c>
      <c r="CU156">
        <f>-13.72763376</f>
        <v>-13.72763376</v>
      </c>
      <c r="CV156">
        <f>9.093832189</f>
        <v>9.0938321890000005</v>
      </c>
      <c r="CW156">
        <f>-4.652662918</f>
        <v>-4.6526629179999999</v>
      </c>
      <c r="CX156">
        <f>3.643998095</f>
        <v>3.6439980950000002</v>
      </c>
      <c r="CY156">
        <f>30.67915916</f>
        <v>30.679159160000001</v>
      </c>
      <c r="CZ156">
        <f>5.746294682</f>
        <v>5.7462946820000003</v>
      </c>
      <c r="DA156">
        <f>12.1301199</f>
        <v>12.1301199</v>
      </c>
      <c r="DB156">
        <f>8.544068864</f>
        <v>8.5440688639999998</v>
      </c>
      <c r="DC156">
        <f>-1.384447641</f>
        <v>-1.384447641</v>
      </c>
      <c r="DD156">
        <f>11.77485212</f>
        <v>11.77485212</v>
      </c>
      <c r="DE156">
        <f>2.314041746</f>
        <v>2.314041746</v>
      </c>
      <c r="DF156">
        <f>6.615569582</f>
        <v>6.615569582</v>
      </c>
      <c r="DG156">
        <f>22.84566206</f>
        <v>22.845662059999999</v>
      </c>
      <c r="DH156">
        <f>13.62750526</f>
        <v>13.62750526</v>
      </c>
      <c r="DI156">
        <f>-1.392111369</f>
        <v>-1.392111369</v>
      </c>
      <c r="DJ156">
        <f>4.033771107</f>
        <v>4.0337711069999997</v>
      </c>
      <c r="DK156">
        <f>-14.34163461</f>
        <v>-14.34163461</v>
      </c>
      <c r="DL156">
        <f>-2.36545655</f>
        <v>-2.3654565500000002</v>
      </c>
      <c r="DM156">
        <f>13.72153016</f>
        <v>13.72153016</v>
      </c>
      <c r="DN156">
        <f>5.958365585</f>
        <v>5.9583655850000001</v>
      </c>
      <c r="DO156">
        <f>14.91390933</f>
        <v>14.913909329999999</v>
      </c>
      <c r="DP156">
        <f>4.246587256</f>
        <v>4.2465872559999998</v>
      </c>
      <c r="DQ156">
        <f>5.354540947</f>
        <v>5.3545409470000003</v>
      </c>
      <c r="DR156">
        <f>1.597823148</f>
        <v>1.597823148</v>
      </c>
      <c r="DS156">
        <f>-1.041571754</f>
        <v>-1.041571754</v>
      </c>
      <c r="DT156">
        <f>-9.242472938</f>
        <v>-9.2424729380000006</v>
      </c>
      <c r="DU156">
        <f>2.154990128</f>
        <v>2.1549901280000001</v>
      </c>
    </row>
    <row r="157" spans="1:125">
      <c r="A157" t="str">
        <f>"    Retail Opportunity Investments"</f>
        <v xml:space="preserve">    Retail Opportunity Investments</v>
      </c>
      <c r="B157" t="str">
        <f>"ROIC US Equity"</f>
        <v>ROIC US Equity</v>
      </c>
      <c r="C157" t="str">
        <f t="shared" si="27"/>
        <v>RR033</v>
      </c>
      <c r="D157" t="str">
        <f t="shared" si="28"/>
        <v>SALES_GROWTH</v>
      </c>
      <c r="E157" t="str">
        <f t="shared" si="29"/>
        <v>动态</v>
      </c>
      <c r="F157" t="str">
        <f ca="1">IF(AND(ISNUMBER($F$609),$B$419=1),$F$609,HLOOKUP(INDIRECT(ADDRESS(2,COLUMN())),OFFSET($BN$2,0,0,ROW()-1,60),ROW()-1,FALSE))</f>
        <v/>
      </c>
      <c r="G157">
        <f ca="1">IF(AND(ISNUMBER($G$609),$B$419=1),$G$609,HLOOKUP(INDIRECT(ADDRESS(2,COLUMN())),OFFSET($BN$2,0,0,ROW()-1,60),ROW()-1,FALSE))</f>
        <v>15.35436816</v>
      </c>
      <c r="H157">
        <f ca="1">IF(AND(ISNUMBER($H$609),$B$419=1),$H$609,HLOOKUP(INDIRECT(ADDRESS(2,COLUMN())),OFFSET($BN$2,0,0,ROW()-1,60),ROW()-1,FALSE))</f>
        <v>14.50955285</v>
      </c>
      <c r="I157">
        <f ca="1">IF(AND(ISNUMBER($I$609),$B$419=1),$I$609,HLOOKUP(INDIRECT(ADDRESS(2,COLUMN())),OFFSET($BN$2,0,0,ROW()-1,60),ROW()-1,FALSE))</f>
        <v>13.582519469999999</v>
      </c>
      <c r="J157">
        <f ca="1">IF(AND(ISNUMBER($J$609),$B$419=1),$J$609,HLOOKUP(INDIRECT(ADDRESS(2,COLUMN())),OFFSET($BN$2,0,0,ROW()-1,60),ROW()-1,FALSE))</f>
        <v>17.481370559999998</v>
      </c>
      <c r="K157">
        <f ca="1">IF(AND(ISNUMBER($K$609),$B$419=1),$K$609,HLOOKUP(INDIRECT(ADDRESS(2,COLUMN())),OFFSET($BN$2,0,0,ROW()-1,60),ROW()-1,FALSE))</f>
        <v>22.979428680000002</v>
      </c>
      <c r="L157">
        <f ca="1">IF(AND(ISNUMBER($L$609),$B$419=1),$L$609,HLOOKUP(INDIRECT(ADDRESS(2,COLUMN())),OFFSET($BN$2,0,0,ROW()-1,60),ROW()-1,FALSE))</f>
        <v>18.525470779999999</v>
      </c>
      <c r="M157">
        <f ca="1">IF(AND(ISNUMBER($M$609),$B$419=1),$M$609,HLOOKUP(INDIRECT(ADDRESS(2,COLUMN())),OFFSET($BN$2,0,0,ROW()-1,60),ROW()-1,FALSE))</f>
        <v>26.95228822</v>
      </c>
      <c r="N157">
        <f ca="1">IF(AND(ISNUMBER($N$609),$B$419=1),$N$609,HLOOKUP(INDIRECT(ADDRESS(2,COLUMN())),OFFSET($BN$2,0,0,ROW()-1,60),ROW()-1,FALSE))</f>
        <v>24.31629804</v>
      </c>
      <c r="O157">
        <f ca="1">IF(AND(ISNUMBER($O$609),$B$419=1),$O$609,HLOOKUP(INDIRECT(ADDRESS(2,COLUMN())),OFFSET($BN$2,0,0,ROW()-1,60),ROW()-1,FALSE))</f>
        <v>22.85989373</v>
      </c>
      <c r="P157">
        <f ca="1">IF(AND(ISNUMBER($P$609),$B$419=1),$P$609,HLOOKUP(INDIRECT(ADDRESS(2,COLUMN())),OFFSET($BN$2,0,0,ROW()-1,60),ROW()-1,FALSE))</f>
        <v>22.56989944</v>
      </c>
      <c r="Q157">
        <f ca="1">IF(AND(ISNUMBER($Q$609),$B$419=1),$Q$609,HLOOKUP(INDIRECT(ADDRESS(2,COLUMN())),OFFSET($BN$2,0,0,ROW()-1,60),ROW()-1,FALSE))</f>
        <v>25.19357394</v>
      </c>
      <c r="R157">
        <f ca="1">IF(AND(ISNUMBER($R$609),$B$419=1),$R$609,HLOOKUP(INDIRECT(ADDRESS(2,COLUMN())),OFFSET($BN$2,0,0,ROW()-1,60),ROW()-1,FALSE))</f>
        <v>24.132049519999999</v>
      </c>
      <c r="S157">
        <f ca="1">IF(AND(ISNUMBER($S$609),$B$419=1),$S$609,HLOOKUP(INDIRECT(ADDRESS(2,COLUMN())),OFFSET($BN$2,0,0,ROW()-1,60),ROW()-1,FALSE))</f>
        <v>24.09938197</v>
      </c>
      <c r="T157">
        <f ca="1">IF(AND(ISNUMBER($T$609),$B$419=1),$T$609,HLOOKUP(INDIRECT(ADDRESS(2,COLUMN())),OFFSET($BN$2,0,0,ROW()-1,60),ROW()-1,FALSE))</f>
        <v>50.495161070000002</v>
      </c>
      <c r="U157">
        <f ca="1">IF(AND(ISNUMBER($U$609),$B$419=1),$U$609,HLOOKUP(INDIRECT(ADDRESS(2,COLUMN())),OFFSET($BN$2,0,0,ROW()-1,60),ROW()-1,FALSE))</f>
        <v>41.634401199999999</v>
      </c>
      <c r="V157">
        <f ca="1">IF(AND(ISNUMBER($V$609),$B$419=1),$V$609,HLOOKUP(INDIRECT(ADDRESS(2,COLUMN())),OFFSET($BN$2,0,0,ROW()-1,60),ROW()-1,FALSE))</f>
        <v>49.07041779</v>
      </c>
      <c r="W157">
        <f ca="1">IF(AND(ISNUMBER($W$609),$B$419=1),$W$609,HLOOKUP(INDIRECT(ADDRESS(2,COLUMN())),OFFSET($BN$2,0,0,ROW()-1,60),ROW()-1,FALSE))</f>
        <v>56.883978190000001</v>
      </c>
      <c r="X157">
        <f ca="1">IF(AND(ISNUMBER($X$609),$B$419=1),$X$609,HLOOKUP(INDIRECT(ADDRESS(2,COLUMN())),OFFSET($BN$2,0,0,ROW()-1,60),ROW()-1,FALSE))</f>
        <v>43.71982216</v>
      </c>
      <c r="Y157">
        <f ca="1">IF(AND(ISNUMBER($Y$609),$B$419=1),$Y$609,HLOOKUP(INDIRECT(ADDRESS(2,COLUMN())),OFFSET($BN$2,0,0,ROW()-1,60),ROW()-1,FALSE))</f>
        <v>43.851036950000001</v>
      </c>
      <c r="Z157">
        <f ca="1">IF(AND(ISNUMBER($Z$609),$B$419=1),$Z$609,HLOOKUP(INDIRECT(ADDRESS(2,COLUMN())),OFFSET($BN$2,0,0,ROW()-1,60),ROW()-1,FALSE))</f>
        <v>46.473521480000002</v>
      </c>
      <c r="AA157">
        <f ca="1">IF(AND(ISNUMBER($AA$609),$B$419=1),$AA$609,HLOOKUP(INDIRECT(ADDRESS(2,COLUMN())),OFFSET($BN$2,0,0,ROW()-1,60),ROW()-1,FALSE))</f>
        <v>28.791712969999999</v>
      </c>
      <c r="AB157">
        <f ca="1">IF(AND(ISNUMBER($AB$609),$B$419=1),$AB$609,HLOOKUP(INDIRECT(ADDRESS(2,COLUMN())),OFFSET($BN$2,0,0,ROW()-1,60),ROW()-1,FALSE))</f>
        <v>39.34907244</v>
      </c>
      <c r="AC157">
        <f ca="1">IF(AND(ISNUMBER($AC$609),$B$419=1),$AC$609,HLOOKUP(INDIRECT(ADDRESS(2,COLUMN())),OFFSET($BN$2,0,0,ROW()-1,60),ROW()-1,FALSE))</f>
        <v>57.634456350000001</v>
      </c>
      <c r="AD157">
        <f ca="1">IF(AND(ISNUMBER($AD$609),$B$419=1),$AD$609,HLOOKUP(INDIRECT(ADDRESS(2,COLUMN())),OFFSET($BN$2,0,0,ROW()-1,60),ROW()-1,FALSE))</f>
        <v>65.79837646</v>
      </c>
      <c r="AE157">
        <f ca="1">IF(AND(ISNUMBER($AE$609),$B$419=1),$AE$609,HLOOKUP(INDIRECT(ADDRESS(2,COLUMN())),OFFSET($BN$2,0,0,ROW()-1,60),ROW()-1,FALSE))</f>
        <v>138.81119380000001</v>
      </c>
      <c r="AF157">
        <f ca="1">IF(AND(ISNUMBER($AF$609),$B$419=1),$AF$609,HLOOKUP(INDIRECT(ADDRESS(2,COLUMN())),OFFSET($BN$2,0,0,ROW()-1,60),ROW()-1,FALSE))</f>
        <v>179.93607180000001</v>
      </c>
      <c r="AG157">
        <f ca="1">IF(AND(ISNUMBER($AG$609),$B$419=1),$AG$609,HLOOKUP(INDIRECT(ADDRESS(2,COLUMN())),OFFSET($BN$2,0,0,ROW()-1,60),ROW()-1,FALSE))</f>
        <v>297.1333219</v>
      </c>
      <c r="AH157">
        <f ca="1">IF(AND(ISNUMBER($AH$609),$B$419=1),$AH$609,HLOOKUP(INDIRECT(ADDRESS(2,COLUMN())),OFFSET($BN$2,0,0,ROW()-1,60),ROW()-1,FALSE))</f>
        <v>633.27147839999998</v>
      </c>
      <c r="AI157">
        <f ca="1">IF(AND(ISNUMBER($AI$609),$B$419=1),$AI$609,HLOOKUP(INDIRECT(ADDRESS(2,COLUMN())),OFFSET($BN$2,0,0,ROW()-1,60),ROW()-1,FALSE))</f>
        <v>15054.15</v>
      </c>
      <c r="AJ157" t="str">
        <f ca="1">IF(AND(ISNUMBER($AJ$609),$B$419=1),$AJ$609,HLOOKUP(INDIRECT(ADDRESS(2,COLUMN())),OFFSET($BN$2,0,0,ROW()-1,60),ROW()-1,FALSE))</f>
        <v/>
      </c>
      <c r="AK157" t="str">
        <f ca="1">IF(AND(ISNUMBER($AK$609),$B$419=1),$AK$609,HLOOKUP(INDIRECT(ADDRESS(2,COLUMN())),OFFSET($BN$2,0,0,ROW()-1,60),ROW()-1,FALSE))</f>
        <v/>
      </c>
      <c r="AL157" t="str">
        <f ca="1">IF(AND(ISNUMBER($AL$609),$B$419=1),$AL$609,HLOOKUP(INDIRECT(ADDRESS(2,COLUMN())),OFFSET($BN$2,0,0,ROW()-1,60),ROW()-1,FALSE))</f>
        <v/>
      </c>
      <c r="AM157" t="str">
        <f ca="1">IF(AND(ISNUMBER($AM$609),$B$419=1),$AM$609,HLOOKUP(INDIRECT(ADDRESS(2,COLUMN())),OFFSET($BN$2,0,0,ROW()-1,60),ROW()-1,FALSE))</f>
        <v/>
      </c>
      <c r="AN157" t="str">
        <f ca="1">IF(AND(ISNUMBER($AN$609),$B$419=1),$AN$609,HLOOKUP(INDIRECT(ADDRESS(2,COLUMN())),OFFSET($BN$2,0,0,ROW()-1,60),ROW()-1,FALSE))</f>
        <v/>
      </c>
      <c r="AO157" t="str">
        <f ca="1">IF(AND(ISNUMBER($AO$609),$B$419=1),$AO$609,HLOOKUP(INDIRECT(ADDRESS(2,COLUMN())),OFFSET($BN$2,0,0,ROW()-1,60),ROW()-1,FALSE))</f>
        <v/>
      </c>
      <c r="AP157" t="str">
        <f ca="1">IF(AND(ISNUMBER($AP$609),$B$419=1),$AP$609,HLOOKUP(INDIRECT(ADDRESS(2,COLUMN())),OFFSET($BN$2,0,0,ROW()-1,60),ROW()-1,FALSE))</f>
        <v/>
      </c>
      <c r="AQ157" t="str">
        <f ca="1">IF(AND(ISNUMBER($AQ$609),$B$419=1),$AQ$609,HLOOKUP(INDIRECT(ADDRESS(2,COLUMN())),OFFSET($BN$2,0,0,ROW()-1,60),ROW()-1,FALSE))</f>
        <v/>
      </c>
      <c r="AR157" t="str">
        <f ca="1">IF(AND(ISNUMBER($AR$609),$B$419=1),$AR$609,HLOOKUP(INDIRECT(ADDRESS(2,COLUMN())),OFFSET($BN$2,0,0,ROW()-1,60),ROW()-1,FALSE))</f>
        <v/>
      </c>
      <c r="AS157" t="str">
        <f ca="1">IF(AND(ISNUMBER($AS$609),$B$419=1),$AS$609,HLOOKUP(INDIRECT(ADDRESS(2,COLUMN())),OFFSET($BN$2,0,0,ROW()-1,60),ROW()-1,FALSE))</f>
        <v/>
      </c>
      <c r="AT157" t="str">
        <f ca="1">IF(AND(ISNUMBER($AT$609),$B$419=1),$AT$609,HLOOKUP(INDIRECT(ADDRESS(2,COLUMN())),OFFSET($BN$2,0,0,ROW()-1,60),ROW()-1,FALSE))</f>
        <v/>
      </c>
      <c r="AU157" t="str">
        <f ca="1">IF(AND(ISNUMBER($AU$609),$B$419=1),$AU$609,HLOOKUP(INDIRECT(ADDRESS(2,COLUMN())),OFFSET($BN$2,0,0,ROW()-1,60),ROW()-1,FALSE))</f>
        <v/>
      </c>
      <c r="AV157" t="str">
        <f ca="1">IF(AND(ISNUMBER($AV$609),$B$419=1),$AV$609,HLOOKUP(INDIRECT(ADDRESS(2,COLUMN())),OFFSET($BN$2,0,0,ROW()-1,60),ROW()-1,FALSE))</f>
        <v/>
      </c>
      <c r="AW157" t="str">
        <f ca="1">IF(AND(ISNUMBER($AW$609),$B$419=1),$AW$609,HLOOKUP(INDIRECT(ADDRESS(2,COLUMN())),OFFSET($BN$2,0,0,ROW()-1,60),ROW()-1,FALSE))</f>
        <v/>
      </c>
      <c r="AX157" t="str">
        <f ca="1">IF(AND(ISNUMBER($AX$609),$B$419=1),$AX$609,HLOOKUP(INDIRECT(ADDRESS(2,COLUMN())),OFFSET($BN$2,0,0,ROW()-1,60),ROW()-1,FALSE))</f>
        <v/>
      </c>
      <c r="AY157" t="str">
        <f ca="1">IF(AND(ISNUMBER($AY$609),$B$419=1),$AY$609,HLOOKUP(INDIRECT(ADDRESS(2,COLUMN())),OFFSET($BN$2,0,0,ROW()-1,60),ROW()-1,FALSE))</f>
        <v/>
      </c>
      <c r="AZ157" t="str">
        <f ca="1">IF(AND(ISNUMBER($AZ$609),$B$419=1),$AZ$609,HLOOKUP(INDIRECT(ADDRESS(2,COLUMN())),OFFSET($BN$2,0,0,ROW()-1,60),ROW()-1,FALSE))</f>
        <v/>
      </c>
      <c r="BA157" t="str">
        <f ca="1">IF(AND(ISNUMBER($BA$609),$B$419=1),$BA$609,HLOOKUP(INDIRECT(ADDRESS(2,COLUMN())),OFFSET($BN$2,0,0,ROW()-1,60),ROW()-1,FALSE))</f>
        <v/>
      </c>
      <c r="BB157" t="str">
        <f ca="1">IF(AND(ISNUMBER($BB$609),$B$419=1),$BB$609,HLOOKUP(INDIRECT(ADDRESS(2,COLUMN())),OFFSET($BN$2,0,0,ROW()-1,60),ROW()-1,FALSE))</f>
        <v/>
      </c>
      <c r="BC157" t="str">
        <f ca="1">IF(AND(ISNUMBER($BC$609),$B$419=1),$BC$609,HLOOKUP(INDIRECT(ADDRESS(2,COLUMN())),OFFSET($BN$2,0,0,ROW()-1,60),ROW()-1,FALSE))</f>
        <v/>
      </c>
      <c r="BD157" t="str">
        <f ca="1">IF(AND(ISNUMBER($BD$609),$B$419=1),$BD$609,HLOOKUP(INDIRECT(ADDRESS(2,COLUMN())),OFFSET($BN$2,0,0,ROW()-1,60),ROW()-1,FALSE))</f>
        <v/>
      </c>
      <c r="BE157" t="str">
        <f ca="1">IF(AND(ISNUMBER($BE$609),$B$419=1),$BE$609,HLOOKUP(INDIRECT(ADDRESS(2,COLUMN())),OFFSET($BN$2,0,0,ROW()-1,60),ROW()-1,FALSE))</f>
        <v/>
      </c>
      <c r="BF157" t="str">
        <f ca="1">IF(AND(ISNUMBER($BF$609),$B$419=1),$BF$609,HLOOKUP(INDIRECT(ADDRESS(2,COLUMN())),OFFSET($BN$2,0,0,ROW()-1,60),ROW()-1,FALSE))</f>
        <v/>
      </c>
      <c r="BG157" t="str">
        <f ca="1">IF(AND(ISNUMBER($BG$609),$B$419=1),$BG$609,HLOOKUP(INDIRECT(ADDRESS(2,COLUMN())),OFFSET($BN$2,0,0,ROW()-1,60),ROW()-1,FALSE))</f>
        <v/>
      </c>
      <c r="BH157" t="str">
        <f ca="1">IF(AND(ISNUMBER($BH$609),$B$419=1),$BH$609,HLOOKUP(INDIRECT(ADDRESS(2,COLUMN())),OFFSET($BN$2,0,0,ROW()-1,60),ROW()-1,FALSE))</f>
        <v/>
      </c>
      <c r="BI157" t="str">
        <f ca="1">IF(AND(ISNUMBER($BI$609),$B$419=1),$BI$609,HLOOKUP(INDIRECT(ADDRESS(2,COLUMN())),OFFSET($BN$2,0,0,ROW()-1,60),ROW()-1,FALSE))</f>
        <v/>
      </c>
      <c r="BJ157" t="str">
        <f ca="1">IF(AND(ISNUMBER($BJ$609),$B$419=1),$BJ$609,HLOOKUP(INDIRECT(ADDRESS(2,COLUMN())),OFFSET($BN$2,0,0,ROW()-1,60),ROW()-1,FALSE))</f>
        <v/>
      </c>
      <c r="BK157" t="str">
        <f ca="1">IF(AND(ISNUMBER($BK$609),$B$419=1),$BK$609,HLOOKUP(INDIRECT(ADDRESS(2,COLUMN())),OFFSET($BN$2,0,0,ROW()-1,60),ROW()-1,FALSE))</f>
        <v/>
      </c>
      <c r="BL157" t="str">
        <f ca="1">IF(AND(ISNUMBER($BL$609),$B$419=1),$BL$609,HLOOKUP(INDIRECT(ADDRESS(2,COLUMN())),OFFSET($BN$2,0,0,ROW()-1,60),ROW()-1,FALSE))</f>
        <v/>
      </c>
      <c r="BM157" t="str">
        <f ca="1">IF(AND(ISNUMBER($BM$609),$B$419=1),$BM$609,HLOOKUP(INDIRECT(ADDRESS(2,COLUMN())),OFFSET($BN$2,0,0,ROW()-1,60),ROW()-1,FALSE))</f>
        <v/>
      </c>
      <c r="BN157" t="str">
        <f>""</f>
        <v/>
      </c>
      <c r="BO157">
        <f>15.35436816</f>
        <v>15.35436816</v>
      </c>
      <c r="BP157">
        <f>14.50955285</f>
        <v>14.50955285</v>
      </c>
      <c r="BQ157">
        <f>13.58251947</f>
        <v>13.582519469999999</v>
      </c>
      <c r="BR157">
        <f>17.48137056</f>
        <v>17.481370559999998</v>
      </c>
      <c r="BS157">
        <f>22.97942868</f>
        <v>22.979428680000002</v>
      </c>
      <c r="BT157">
        <f>18.52547078</f>
        <v>18.525470779999999</v>
      </c>
      <c r="BU157">
        <f>26.95228822</f>
        <v>26.95228822</v>
      </c>
      <c r="BV157">
        <f>24.31629804</f>
        <v>24.31629804</v>
      </c>
      <c r="BW157">
        <f>22.85989373</f>
        <v>22.85989373</v>
      </c>
      <c r="BX157">
        <f>22.56989944</f>
        <v>22.56989944</v>
      </c>
      <c r="BY157">
        <f>25.19357394</f>
        <v>25.19357394</v>
      </c>
      <c r="BZ157">
        <f>24.13204952</f>
        <v>24.132049519999999</v>
      </c>
      <c r="CA157">
        <f>24.09938197</f>
        <v>24.09938197</v>
      </c>
      <c r="CB157">
        <f>50.49516107</f>
        <v>50.495161070000002</v>
      </c>
      <c r="CC157">
        <f>41.6344012</f>
        <v>41.634401199999999</v>
      </c>
      <c r="CD157">
        <f>49.07041779</f>
        <v>49.07041779</v>
      </c>
      <c r="CE157">
        <f>56.88397819</f>
        <v>56.883978190000001</v>
      </c>
      <c r="CF157">
        <f>43.71982216</f>
        <v>43.71982216</v>
      </c>
      <c r="CG157">
        <f>43.85103695</f>
        <v>43.851036950000001</v>
      </c>
      <c r="CH157">
        <f>46.47352148</f>
        <v>46.473521480000002</v>
      </c>
      <c r="CI157">
        <f>28.79171297</f>
        <v>28.791712969999999</v>
      </c>
      <c r="CJ157">
        <f>39.34907244</f>
        <v>39.34907244</v>
      </c>
      <c r="CK157">
        <f>57.63445635</f>
        <v>57.634456350000001</v>
      </c>
      <c r="CL157">
        <f>65.79837646</f>
        <v>65.79837646</v>
      </c>
      <c r="CM157">
        <f>138.8111938</f>
        <v>138.81119380000001</v>
      </c>
      <c r="CN157">
        <f>179.9360718</f>
        <v>179.93607180000001</v>
      </c>
      <c r="CO157">
        <f>297.1333219</f>
        <v>297.1333219</v>
      </c>
      <c r="CP157">
        <f>633.2714784</f>
        <v>633.27147839999998</v>
      </c>
      <c r="CQ157">
        <f>15054.15</f>
        <v>15054.15</v>
      </c>
      <c r="CR157" t="str">
        <f>""</f>
        <v/>
      </c>
      <c r="CS157" t="str">
        <f>""</f>
        <v/>
      </c>
      <c r="CT157" t="str">
        <f>""</f>
        <v/>
      </c>
      <c r="CU157" t="str">
        <f>""</f>
        <v/>
      </c>
      <c r="CV157" t="str">
        <f>""</f>
        <v/>
      </c>
      <c r="CW157" t="str">
        <f>""</f>
        <v/>
      </c>
      <c r="CX157" t="str">
        <f>""</f>
        <v/>
      </c>
      <c r="CY157" t="str">
        <f>""</f>
        <v/>
      </c>
      <c r="CZ157" t="str">
        <f>""</f>
        <v/>
      </c>
      <c r="DA157" t="str">
        <f>""</f>
        <v/>
      </c>
      <c r="DB157" t="str">
        <f>""</f>
        <v/>
      </c>
      <c r="DC157" t="str">
        <f>""</f>
        <v/>
      </c>
      <c r="DD157" t="str">
        <f>""</f>
        <v/>
      </c>
      <c r="DE157" t="str">
        <f>""</f>
        <v/>
      </c>
      <c r="DF157" t="str">
        <f>""</f>
        <v/>
      </c>
      <c r="DG157" t="str">
        <f>""</f>
        <v/>
      </c>
      <c r="DH157" t="str">
        <f>""</f>
        <v/>
      </c>
      <c r="DI157" t="str">
        <f>""</f>
        <v/>
      </c>
      <c r="DJ157" t="str">
        <f>""</f>
        <v/>
      </c>
      <c r="DK157" t="str">
        <f>""</f>
        <v/>
      </c>
      <c r="DL157" t="str">
        <f>""</f>
        <v/>
      </c>
      <c r="DM157" t="str">
        <f>""</f>
        <v/>
      </c>
      <c r="DN157" t="str">
        <f>""</f>
        <v/>
      </c>
      <c r="DO157" t="str">
        <f>""</f>
        <v/>
      </c>
      <c r="DP157" t="str">
        <f>""</f>
        <v/>
      </c>
      <c r="DQ157" t="str">
        <f>""</f>
        <v/>
      </c>
      <c r="DR157" t="str">
        <f>""</f>
        <v/>
      </c>
      <c r="DS157" t="str">
        <f>""</f>
        <v/>
      </c>
      <c r="DT157" t="str">
        <f>""</f>
        <v/>
      </c>
      <c r="DU157" t="str">
        <f>""</f>
        <v/>
      </c>
    </row>
    <row r="158" spans="1:125">
      <c r="A158" t="str">
        <f>"    Retail Properties of America I"</f>
        <v xml:space="preserve">    Retail Properties of America I</v>
      </c>
      <c r="B158" t="str">
        <f>"RPAI US Equity"</f>
        <v>RPAI US Equity</v>
      </c>
      <c r="C158" t="str">
        <f t="shared" si="27"/>
        <v>RR033</v>
      </c>
      <c r="D158" t="str">
        <f t="shared" si="28"/>
        <v>SALES_GROWTH</v>
      </c>
      <c r="E158" t="str">
        <f t="shared" si="29"/>
        <v>动态</v>
      </c>
      <c r="F158" t="str">
        <f ca="1">IF(AND(ISNUMBER($F$610),$B$419=1),$F$610,HLOOKUP(INDIRECT(ADDRESS(2,COLUMN())),OFFSET($BN$2,0,0,ROW()-1,60),ROW()-1,FALSE))</f>
        <v/>
      </c>
      <c r="G158">
        <f ca="1">IF(AND(ISNUMBER($G$610),$B$419=1),$G$610,HLOOKUP(INDIRECT(ADDRESS(2,COLUMN())),OFFSET($BN$2,0,0,ROW()-1,60),ROW()-1,FALSE))</f>
        <v>-11.32313383</v>
      </c>
      <c r="H158">
        <f ca="1">IF(AND(ISNUMBER($H$610),$B$419=1),$H$610,HLOOKUP(INDIRECT(ADDRESS(2,COLUMN())),OFFSET($BN$2,0,0,ROW()-1,60),ROW()-1,FALSE))</f>
        <v>-9.6916817739999992</v>
      </c>
      <c r="I158">
        <f ca="1">IF(AND(ISNUMBER($I$610),$B$419=1),$I$610,HLOOKUP(INDIRECT(ADDRESS(2,COLUMN())),OFFSET($BN$2,0,0,ROW()-1,60),ROW()-1,FALSE))</f>
        <v>-6.7155257900000001</v>
      </c>
      <c r="J158">
        <f ca="1">IF(AND(ISNUMBER($J$610),$B$419=1),$J$610,HLOOKUP(INDIRECT(ADDRESS(2,COLUMN())),OFFSET($BN$2,0,0,ROW()-1,60),ROW()-1,FALSE))</f>
        <v>-3.3275250779999999</v>
      </c>
      <c r="K158">
        <f ca="1">IF(AND(ISNUMBER($K$610),$B$419=1),$K$610,HLOOKUP(INDIRECT(ADDRESS(2,COLUMN())),OFFSET($BN$2,0,0,ROW()-1,60),ROW()-1,FALSE))</f>
        <v>-4.1418211119999997</v>
      </c>
      <c r="L158">
        <f ca="1">IF(AND(ISNUMBER($L$610),$B$419=1),$L$610,HLOOKUP(INDIRECT(ADDRESS(2,COLUMN())),OFFSET($BN$2,0,0,ROW()-1,60),ROW()-1,FALSE))</f>
        <v>-4.2588850980000004</v>
      </c>
      <c r="M158">
        <f ca="1">IF(AND(ISNUMBER($M$610),$B$419=1),$M$610,HLOOKUP(INDIRECT(ADDRESS(2,COLUMN())),OFFSET($BN$2,0,0,ROW()-1,60),ROW()-1,FALSE))</f>
        <v>-2.4269656959999999</v>
      </c>
      <c r="N158">
        <f ca="1">IF(AND(ISNUMBER($N$610),$B$419=1),$N$610,HLOOKUP(INDIRECT(ADDRESS(2,COLUMN())),OFFSET($BN$2,0,0,ROW()-1,60),ROW()-1,FALSE))</f>
        <v>-2.975254085</v>
      </c>
      <c r="O158">
        <f ca="1">IF(AND(ISNUMBER($O$610),$B$419=1),$O$610,HLOOKUP(INDIRECT(ADDRESS(2,COLUMN())),OFFSET($BN$2,0,0,ROW()-1,60),ROW()-1,FALSE))</f>
        <v>-3.0033022649999999</v>
      </c>
      <c r="P158">
        <f ca="1">IF(AND(ISNUMBER($P$610),$B$419=1),$P$610,HLOOKUP(INDIRECT(ADDRESS(2,COLUMN())),OFFSET($BN$2,0,0,ROW()-1,60),ROW()-1,FALSE))</f>
        <v>-0.32486612500000001</v>
      </c>
      <c r="Q158">
        <f ca="1">IF(AND(ISNUMBER($Q$610),$B$419=1),$Q$610,HLOOKUP(INDIRECT(ADDRESS(2,COLUMN())),OFFSET($BN$2,0,0,ROW()-1,60),ROW()-1,FALSE))</f>
        <v>3.0331999509999998</v>
      </c>
      <c r="R158">
        <f ca="1">IF(AND(ISNUMBER($R$610),$B$419=1),$R$610,HLOOKUP(INDIRECT(ADDRESS(2,COLUMN())),OFFSET($BN$2,0,0,ROW()-1,60),ROW()-1,FALSE))</f>
        <v>2.6851485679999998</v>
      </c>
      <c r="S158">
        <f ca="1">IF(AND(ISNUMBER($S$610),$B$419=1),$S$610,HLOOKUP(INDIRECT(ADDRESS(2,COLUMN())),OFFSET($BN$2,0,0,ROW()-1,60),ROW()-1,FALSE))</f>
        <v>1.8860036229999999</v>
      </c>
      <c r="T158">
        <f ca="1">IF(AND(ISNUMBER($T$610),$B$419=1),$T$610,HLOOKUP(INDIRECT(ADDRESS(2,COLUMN())),OFFSET($BN$2,0,0,ROW()-1,60),ROW()-1,FALSE))</f>
        <v>11.25583104</v>
      </c>
      <c r="U158">
        <f ca="1">IF(AND(ISNUMBER($U$610),$B$419=1),$U$610,HLOOKUP(INDIRECT(ADDRESS(2,COLUMN())),OFFSET($BN$2,0,0,ROW()-1,60),ROW()-1,FALSE))</f>
        <v>10.675634820000001</v>
      </c>
      <c r="V158">
        <f ca="1">IF(AND(ISNUMBER($V$610),$B$419=1),$V$610,HLOOKUP(INDIRECT(ADDRESS(2,COLUMN())),OFFSET($BN$2,0,0,ROW()-1,60),ROW()-1,FALSE))</f>
        <v>12.971278420000001</v>
      </c>
      <c r="W158">
        <f ca="1">IF(AND(ISNUMBER($W$610),$B$419=1),$W$610,HLOOKUP(INDIRECT(ADDRESS(2,COLUMN())),OFFSET($BN$2,0,0,ROW()-1,60),ROW()-1,FALSE))</f>
        <v>11.655391639999999</v>
      </c>
      <c r="X158">
        <f ca="1">IF(AND(ISNUMBER($X$610),$B$419=1),$X$610,HLOOKUP(INDIRECT(ADDRESS(2,COLUMN())),OFFSET($BN$2,0,0,ROW()-1,60),ROW()-1,FALSE))</f>
        <v>-1.962549514</v>
      </c>
      <c r="Y158">
        <f ca="1">IF(AND(ISNUMBER($Y$610),$B$419=1),$Y$610,HLOOKUP(INDIRECT(ADDRESS(2,COLUMN())),OFFSET($BN$2,0,0,ROW()-1,60),ROW()-1,FALSE))</f>
        <v>-4.7968515040000002</v>
      </c>
      <c r="Z158">
        <f ca="1">IF(AND(ISNUMBER($Z$610),$B$419=1),$Z$610,HLOOKUP(INDIRECT(ADDRESS(2,COLUMN())),OFFSET($BN$2,0,0,ROW()-1,60),ROW()-1,FALSE))</f>
        <v>-7.5759696539999997</v>
      </c>
      <c r="AA158">
        <f ca="1">IF(AND(ISNUMBER($AA$610),$B$419=1),$AA$610,HLOOKUP(INDIRECT(ADDRESS(2,COLUMN())),OFFSET($BN$2,0,0,ROW()-1,60),ROW()-1,FALSE))</f>
        <v>-5.5471183120000003</v>
      </c>
      <c r="AB158">
        <f ca="1">IF(AND(ISNUMBER($AB$610),$B$419=1),$AB$610,HLOOKUP(INDIRECT(ADDRESS(2,COLUMN())),OFFSET($BN$2,0,0,ROW()-1,60),ROW()-1,FALSE))</f>
        <v>-4.9265637299999998</v>
      </c>
      <c r="AC158">
        <f ca="1">IF(AND(ISNUMBER($AC$610),$B$419=1),$AC$610,HLOOKUP(INDIRECT(ADDRESS(2,COLUMN())),OFFSET($BN$2,0,0,ROW()-1,60),ROW()-1,FALSE))</f>
        <v>-5.682643305</v>
      </c>
      <c r="AD158">
        <f ca="1">IF(AND(ISNUMBER($AD$610),$B$419=1),$AD$610,HLOOKUP(INDIRECT(ADDRESS(2,COLUMN())),OFFSET($BN$2,0,0,ROW()-1,60),ROW()-1,FALSE))</f>
        <v>-6.1953874329999996</v>
      </c>
      <c r="AE158">
        <f ca="1">IF(AND(ISNUMBER($AE$610),$B$419=1),$AE$610,HLOOKUP(INDIRECT(ADDRESS(2,COLUMN())),OFFSET($BN$2,0,0,ROW()-1,60),ROW()-1,FALSE))</f>
        <v>1.595551795</v>
      </c>
      <c r="AF158">
        <f ca="1">IF(AND(ISNUMBER($AF$610),$B$419=1),$AF$610,HLOOKUP(INDIRECT(ADDRESS(2,COLUMN())),OFFSET($BN$2,0,0,ROW()-1,60),ROW()-1,FALSE))</f>
        <v>-11.271165330000001</v>
      </c>
      <c r="AG158">
        <f ca="1">IF(AND(ISNUMBER($AG$610),$B$419=1),$AG$610,HLOOKUP(INDIRECT(ADDRESS(2,COLUMN())),OFFSET($BN$2,0,0,ROW()-1,60),ROW()-1,FALSE))</f>
        <v>-9.0364197530000006</v>
      </c>
      <c r="AH158">
        <f ca="1">IF(AND(ISNUMBER($AH$610),$B$419=1),$AH$610,HLOOKUP(INDIRECT(ADDRESS(2,COLUMN())),OFFSET($BN$2,0,0,ROW()-1,60),ROW()-1,FALSE))</f>
        <v>-8.0230662400000003</v>
      </c>
      <c r="AI158">
        <f ca="1">IF(AND(ISNUMBER($AI$610),$B$419=1),$AI$610,HLOOKUP(INDIRECT(ADDRESS(2,COLUMN())),OFFSET($BN$2,0,0,ROW()-1,60),ROW()-1,FALSE))</f>
        <v>-14.286149610000001</v>
      </c>
      <c r="AJ158">
        <f ca="1">IF(AND(ISNUMBER($AJ$610),$B$419=1),$AJ$610,HLOOKUP(INDIRECT(ADDRESS(2,COLUMN())),OFFSET($BN$2,0,0,ROW()-1,60),ROW()-1,FALSE))</f>
        <v>9.1823455999999998E-2</v>
      </c>
      <c r="AK158" t="str">
        <f ca="1">IF(AND(ISNUMBER($AK$610),$B$419=1),$AK$610,HLOOKUP(INDIRECT(ADDRESS(2,COLUMN())),OFFSET($BN$2,0,0,ROW()-1,60),ROW()-1,FALSE))</f>
        <v/>
      </c>
      <c r="AL158" t="str">
        <f ca="1">IF(AND(ISNUMBER($AL$610),$B$419=1),$AL$610,HLOOKUP(INDIRECT(ADDRESS(2,COLUMN())),OFFSET($BN$2,0,0,ROW()-1,60),ROW()-1,FALSE))</f>
        <v/>
      </c>
      <c r="AM158" t="str">
        <f ca="1">IF(AND(ISNUMBER($AM$610),$B$419=1),$AM$610,HLOOKUP(INDIRECT(ADDRESS(2,COLUMN())),OFFSET($BN$2,0,0,ROW()-1,60),ROW()-1,FALSE))</f>
        <v/>
      </c>
      <c r="AN158" t="str">
        <f ca="1">IF(AND(ISNUMBER($AN$610),$B$419=1),$AN$610,HLOOKUP(INDIRECT(ADDRESS(2,COLUMN())),OFFSET($BN$2,0,0,ROW()-1,60),ROW()-1,FALSE))</f>
        <v/>
      </c>
      <c r="AO158" t="str">
        <f ca="1">IF(AND(ISNUMBER($AO$610),$B$419=1),$AO$610,HLOOKUP(INDIRECT(ADDRESS(2,COLUMN())),OFFSET($BN$2,0,0,ROW()-1,60),ROW()-1,FALSE))</f>
        <v/>
      </c>
      <c r="AP158" t="str">
        <f ca="1">IF(AND(ISNUMBER($AP$610),$B$419=1),$AP$610,HLOOKUP(INDIRECT(ADDRESS(2,COLUMN())),OFFSET($BN$2,0,0,ROW()-1,60),ROW()-1,FALSE))</f>
        <v/>
      </c>
      <c r="AQ158" t="str">
        <f ca="1">IF(AND(ISNUMBER($AQ$610),$B$419=1),$AQ$610,HLOOKUP(INDIRECT(ADDRESS(2,COLUMN())),OFFSET($BN$2,0,0,ROW()-1,60),ROW()-1,FALSE))</f>
        <v/>
      </c>
      <c r="AR158" t="str">
        <f ca="1">IF(AND(ISNUMBER($AR$610),$B$419=1),$AR$610,HLOOKUP(INDIRECT(ADDRESS(2,COLUMN())),OFFSET($BN$2,0,0,ROW()-1,60),ROW()-1,FALSE))</f>
        <v/>
      </c>
      <c r="AS158" t="str">
        <f ca="1">IF(AND(ISNUMBER($AS$610),$B$419=1),$AS$610,HLOOKUP(INDIRECT(ADDRESS(2,COLUMN())),OFFSET($BN$2,0,0,ROW()-1,60),ROW()-1,FALSE))</f>
        <v/>
      </c>
      <c r="AT158" t="str">
        <f ca="1">IF(AND(ISNUMBER($AT$610),$B$419=1),$AT$610,HLOOKUP(INDIRECT(ADDRESS(2,COLUMN())),OFFSET($BN$2,0,0,ROW()-1,60),ROW()-1,FALSE))</f>
        <v/>
      </c>
      <c r="AU158" t="str">
        <f ca="1">IF(AND(ISNUMBER($AU$610),$B$419=1),$AU$610,HLOOKUP(INDIRECT(ADDRESS(2,COLUMN())),OFFSET($BN$2,0,0,ROW()-1,60),ROW()-1,FALSE))</f>
        <v/>
      </c>
      <c r="AV158" t="str">
        <f ca="1">IF(AND(ISNUMBER($AV$610),$B$419=1),$AV$610,HLOOKUP(INDIRECT(ADDRESS(2,COLUMN())),OFFSET($BN$2,0,0,ROW()-1,60),ROW()-1,FALSE))</f>
        <v/>
      </c>
      <c r="AW158" t="str">
        <f ca="1">IF(AND(ISNUMBER($AW$610),$B$419=1),$AW$610,HLOOKUP(INDIRECT(ADDRESS(2,COLUMN())),OFFSET($BN$2,0,0,ROW()-1,60),ROW()-1,FALSE))</f>
        <v/>
      </c>
      <c r="AX158" t="str">
        <f ca="1">IF(AND(ISNUMBER($AX$610),$B$419=1),$AX$610,HLOOKUP(INDIRECT(ADDRESS(2,COLUMN())),OFFSET($BN$2,0,0,ROW()-1,60),ROW()-1,FALSE))</f>
        <v/>
      </c>
      <c r="AY158" t="str">
        <f ca="1">IF(AND(ISNUMBER($AY$610),$B$419=1),$AY$610,HLOOKUP(INDIRECT(ADDRESS(2,COLUMN())),OFFSET($BN$2,0,0,ROW()-1,60),ROW()-1,FALSE))</f>
        <v/>
      </c>
      <c r="AZ158" t="str">
        <f ca="1">IF(AND(ISNUMBER($AZ$610),$B$419=1),$AZ$610,HLOOKUP(INDIRECT(ADDRESS(2,COLUMN())),OFFSET($BN$2,0,0,ROW()-1,60),ROW()-1,FALSE))</f>
        <v/>
      </c>
      <c r="BA158" t="str">
        <f ca="1">IF(AND(ISNUMBER($BA$610),$B$419=1),$BA$610,HLOOKUP(INDIRECT(ADDRESS(2,COLUMN())),OFFSET($BN$2,0,0,ROW()-1,60),ROW()-1,FALSE))</f>
        <v/>
      </c>
      <c r="BB158" t="str">
        <f ca="1">IF(AND(ISNUMBER($BB$610),$B$419=1),$BB$610,HLOOKUP(INDIRECT(ADDRESS(2,COLUMN())),OFFSET($BN$2,0,0,ROW()-1,60),ROW()-1,FALSE))</f>
        <v/>
      </c>
      <c r="BC158" t="str">
        <f ca="1">IF(AND(ISNUMBER($BC$610),$B$419=1),$BC$610,HLOOKUP(INDIRECT(ADDRESS(2,COLUMN())),OFFSET($BN$2,0,0,ROW()-1,60),ROW()-1,FALSE))</f>
        <v/>
      </c>
      <c r="BD158" t="str">
        <f ca="1">IF(AND(ISNUMBER($BD$610),$B$419=1),$BD$610,HLOOKUP(INDIRECT(ADDRESS(2,COLUMN())),OFFSET($BN$2,0,0,ROW()-1,60),ROW()-1,FALSE))</f>
        <v/>
      </c>
      <c r="BE158" t="str">
        <f ca="1">IF(AND(ISNUMBER($BE$610),$B$419=1),$BE$610,HLOOKUP(INDIRECT(ADDRESS(2,COLUMN())),OFFSET($BN$2,0,0,ROW()-1,60),ROW()-1,FALSE))</f>
        <v/>
      </c>
      <c r="BF158" t="str">
        <f ca="1">IF(AND(ISNUMBER($BF$610),$B$419=1),$BF$610,HLOOKUP(INDIRECT(ADDRESS(2,COLUMN())),OFFSET($BN$2,0,0,ROW()-1,60),ROW()-1,FALSE))</f>
        <v/>
      </c>
      <c r="BG158" t="str">
        <f ca="1">IF(AND(ISNUMBER($BG$610),$B$419=1),$BG$610,HLOOKUP(INDIRECT(ADDRESS(2,COLUMN())),OFFSET($BN$2,0,0,ROW()-1,60),ROW()-1,FALSE))</f>
        <v/>
      </c>
      <c r="BH158" t="str">
        <f ca="1">IF(AND(ISNUMBER($BH$610),$B$419=1),$BH$610,HLOOKUP(INDIRECT(ADDRESS(2,COLUMN())),OFFSET($BN$2,0,0,ROW()-1,60),ROW()-1,FALSE))</f>
        <v/>
      </c>
      <c r="BI158" t="str">
        <f ca="1">IF(AND(ISNUMBER($BI$610),$B$419=1),$BI$610,HLOOKUP(INDIRECT(ADDRESS(2,COLUMN())),OFFSET($BN$2,0,0,ROW()-1,60),ROW()-1,FALSE))</f>
        <v/>
      </c>
      <c r="BJ158" t="str">
        <f ca="1">IF(AND(ISNUMBER($BJ$610),$B$419=1),$BJ$610,HLOOKUP(INDIRECT(ADDRESS(2,COLUMN())),OFFSET($BN$2,0,0,ROW()-1,60),ROW()-1,FALSE))</f>
        <v/>
      </c>
      <c r="BK158" t="str">
        <f ca="1">IF(AND(ISNUMBER($BK$610),$B$419=1),$BK$610,HLOOKUP(INDIRECT(ADDRESS(2,COLUMN())),OFFSET($BN$2,0,0,ROW()-1,60),ROW()-1,FALSE))</f>
        <v/>
      </c>
      <c r="BL158" t="str">
        <f ca="1">IF(AND(ISNUMBER($BL$610),$B$419=1),$BL$610,HLOOKUP(INDIRECT(ADDRESS(2,COLUMN())),OFFSET($BN$2,0,0,ROW()-1,60),ROW()-1,FALSE))</f>
        <v/>
      </c>
      <c r="BM158" t="str">
        <f ca="1">IF(AND(ISNUMBER($BM$610),$B$419=1),$BM$610,HLOOKUP(INDIRECT(ADDRESS(2,COLUMN())),OFFSET($BN$2,0,0,ROW()-1,60),ROW()-1,FALSE))</f>
        <v/>
      </c>
      <c r="BN158" t="str">
        <f>""</f>
        <v/>
      </c>
      <c r="BO158">
        <f>-11.32313383</f>
        <v>-11.32313383</v>
      </c>
      <c r="BP158">
        <f>-9.691681774</f>
        <v>-9.6916817739999992</v>
      </c>
      <c r="BQ158">
        <f>-6.71552579</f>
        <v>-6.7155257900000001</v>
      </c>
      <c r="BR158">
        <f>-3.327525078</f>
        <v>-3.3275250779999999</v>
      </c>
      <c r="BS158">
        <f>-4.141821112</f>
        <v>-4.1418211119999997</v>
      </c>
      <c r="BT158">
        <f>-4.258885098</f>
        <v>-4.2588850980000004</v>
      </c>
      <c r="BU158">
        <f>-2.426965696</f>
        <v>-2.4269656959999999</v>
      </c>
      <c r="BV158">
        <f>-2.975254085</f>
        <v>-2.975254085</v>
      </c>
      <c r="BW158">
        <f>-3.003302265</f>
        <v>-3.0033022649999999</v>
      </c>
      <c r="BX158">
        <f>-0.324866125</f>
        <v>-0.32486612500000001</v>
      </c>
      <c r="BY158">
        <f>3.033199951</f>
        <v>3.0331999509999998</v>
      </c>
      <c r="BZ158">
        <f>2.685148568</f>
        <v>2.6851485679999998</v>
      </c>
      <c r="CA158">
        <f>1.886003623</f>
        <v>1.8860036229999999</v>
      </c>
      <c r="CB158">
        <f>11.25583104</f>
        <v>11.25583104</v>
      </c>
      <c r="CC158">
        <f>10.67563482</f>
        <v>10.675634820000001</v>
      </c>
      <c r="CD158">
        <f>12.97127842</f>
        <v>12.971278420000001</v>
      </c>
      <c r="CE158">
        <f>11.65539164</f>
        <v>11.655391639999999</v>
      </c>
      <c r="CF158">
        <f>-1.962549514</f>
        <v>-1.962549514</v>
      </c>
      <c r="CG158">
        <f>-4.796851504</f>
        <v>-4.7968515040000002</v>
      </c>
      <c r="CH158">
        <f>-7.575969654</f>
        <v>-7.5759696539999997</v>
      </c>
      <c r="CI158">
        <f>-5.547118312</f>
        <v>-5.5471183120000003</v>
      </c>
      <c r="CJ158">
        <f>-4.92656373</f>
        <v>-4.9265637299999998</v>
      </c>
      <c r="CK158">
        <f>-5.682643305</f>
        <v>-5.682643305</v>
      </c>
      <c r="CL158">
        <f>-6.195387433</f>
        <v>-6.1953874329999996</v>
      </c>
      <c r="CM158">
        <f>1.595551795</f>
        <v>1.595551795</v>
      </c>
      <c r="CN158">
        <f>-11.27116533</f>
        <v>-11.271165330000001</v>
      </c>
      <c r="CO158">
        <f>-9.036419753</f>
        <v>-9.0364197530000006</v>
      </c>
      <c r="CP158">
        <f>-8.02306624</f>
        <v>-8.0230662400000003</v>
      </c>
      <c r="CQ158">
        <f>-14.28614961</f>
        <v>-14.286149610000001</v>
      </c>
      <c r="CR158">
        <f>0.091823456</f>
        <v>9.1823455999999998E-2</v>
      </c>
      <c r="CS158" t="str">
        <f>""</f>
        <v/>
      </c>
      <c r="CT158" t="str">
        <f>""</f>
        <v/>
      </c>
      <c r="CU158" t="str">
        <f>""</f>
        <v/>
      </c>
      <c r="CV158" t="str">
        <f>""</f>
        <v/>
      </c>
      <c r="CW158" t="str">
        <f>""</f>
        <v/>
      </c>
      <c r="CX158" t="str">
        <f>""</f>
        <v/>
      </c>
      <c r="CY158" t="str">
        <f>""</f>
        <v/>
      </c>
      <c r="CZ158" t="str">
        <f>""</f>
        <v/>
      </c>
      <c r="DA158" t="str">
        <f>""</f>
        <v/>
      </c>
      <c r="DB158" t="str">
        <f>""</f>
        <v/>
      </c>
      <c r="DC158" t="str">
        <f>""</f>
        <v/>
      </c>
      <c r="DD158" t="str">
        <f>""</f>
        <v/>
      </c>
      <c r="DE158" t="str">
        <f>""</f>
        <v/>
      </c>
      <c r="DF158" t="str">
        <f>""</f>
        <v/>
      </c>
      <c r="DG158" t="str">
        <f>""</f>
        <v/>
      </c>
      <c r="DH158" t="str">
        <f>""</f>
        <v/>
      </c>
      <c r="DI158" t="str">
        <f>""</f>
        <v/>
      </c>
      <c r="DJ158" t="str">
        <f>""</f>
        <v/>
      </c>
      <c r="DK158" t="str">
        <f>""</f>
        <v/>
      </c>
      <c r="DL158" t="str">
        <f>""</f>
        <v/>
      </c>
      <c r="DM158" t="str">
        <f>""</f>
        <v/>
      </c>
      <c r="DN158" t="str">
        <f>""</f>
        <v/>
      </c>
      <c r="DO158" t="str">
        <f>""</f>
        <v/>
      </c>
      <c r="DP158" t="str">
        <f>""</f>
        <v/>
      </c>
      <c r="DQ158" t="str">
        <f>""</f>
        <v/>
      </c>
      <c r="DR158" t="str">
        <f>""</f>
        <v/>
      </c>
      <c r="DS158" t="str">
        <f>""</f>
        <v/>
      </c>
      <c r="DT158" t="str">
        <f>""</f>
        <v/>
      </c>
      <c r="DU158" t="str">
        <f>""</f>
        <v/>
      </c>
    </row>
    <row r="159" spans="1:125">
      <c r="A159" t="str">
        <f>"    Simon Property Group Inc"</f>
        <v xml:space="preserve">    Simon Property Group Inc</v>
      </c>
      <c r="B159" t="str">
        <f>"SPG US Equity"</f>
        <v>SPG US Equity</v>
      </c>
      <c r="C159" t="str">
        <f t="shared" si="27"/>
        <v>RR033</v>
      </c>
      <c r="D159" t="str">
        <f t="shared" si="28"/>
        <v>SALES_GROWTH</v>
      </c>
      <c r="E159" t="str">
        <f t="shared" si="29"/>
        <v>动态</v>
      </c>
      <c r="F159" t="str">
        <f ca="1">IF(AND(ISNUMBER($F$611),$B$419=1),$F$611,HLOOKUP(INDIRECT(ADDRESS(2,COLUMN())),OFFSET($BN$2,0,0,ROW()-1,60),ROW()-1,FALSE))</f>
        <v/>
      </c>
      <c r="G159">
        <f ca="1">IF(AND(ISNUMBER($G$611),$B$419=1),$G$611,HLOOKUP(INDIRECT(ADDRESS(2,COLUMN())),OFFSET($BN$2,0,0,ROW()-1,60),ROW()-1,FALSE))</f>
        <v>0.121040754</v>
      </c>
      <c r="H159">
        <f ca="1">IF(AND(ISNUMBER($H$611),$B$419=1),$H$611,HLOOKUP(INDIRECT(ADDRESS(2,COLUMN())),OFFSET($BN$2,0,0,ROW()-1,60),ROW()-1,FALSE))</f>
        <v>3.424041828</v>
      </c>
      <c r="I159">
        <f ca="1">IF(AND(ISNUMBER($I$611),$B$419=1),$I$611,HLOOKUP(INDIRECT(ADDRESS(2,COLUMN())),OFFSET($BN$2,0,0,ROW()-1,60),ROW()-1,FALSE))</f>
        <v>3.5098602689999998</v>
      </c>
      <c r="J159">
        <f ca="1">IF(AND(ISNUMBER($J$611),$B$419=1),$J$611,HLOOKUP(INDIRECT(ADDRESS(2,COLUMN())),OFFSET($BN$2,0,0,ROW()-1,60),ROW()-1,FALSE))</f>
        <v>0.67688325500000002</v>
      </c>
      <c r="K159">
        <f ca="1">IF(AND(ISNUMBER($K$611),$B$419=1),$K$611,HLOOKUP(INDIRECT(ADDRESS(2,COLUMN())),OFFSET($BN$2,0,0,ROW()-1,60),ROW()-1,FALSE))</f>
        <v>3.2843915890000002</v>
      </c>
      <c r="L159">
        <f ca="1">IF(AND(ISNUMBER($L$611),$B$419=1),$L$611,HLOOKUP(INDIRECT(ADDRESS(2,COLUMN())),OFFSET($BN$2,0,0,ROW()-1,60),ROW()-1,FALSE))</f>
        <v>2.8050876539999998</v>
      </c>
      <c r="M159">
        <f ca="1">IF(AND(ISNUMBER($M$611),$B$419=1),$M$611,HLOOKUP(INDIRECT(ADDRESS(2,COLUMN())),OFFSET($BN$2,0,0,ROW()-1,60),ROW()-1,FALSE))</f>
        <v>-2.500166777</v>
      </c>
      <c r="N159">
        <f ca="1">IF(AND(ISNUMBER($N$611),$B$419=1),$N$611,HLOOKUP(INDIRECT(ADDRESS(2,COLUMN())),OFFSET($BN$2,0,0,ROW()-1,60),ROW()-1,FALSE))</f>
        <v>9.9059803409999994</v>
      </c>
      <c r="O159">
        <f ca="1">IF(AND(ISNUMBER($O$611),$B$419=1),$O$611,HLOOKUP(INDIRECT(ADDRESS(2,COLUMN())),OFFSET($BN$2,0,0,ROW()-1,60),ROW()-1,FALSE))</f>
        <v>6.437415197</v>
      </c>
      <c r="P159">
        <f ca="1">IF(AND(ISNUMBER($P$611),$B$419=1),$P$611,HLOOKUP(INDIRECT(ADDRESS(2,COLUMN())),OFFSET($BN$2,0,0,ROW()-1,60),ROW()-1,FALSE))</f>
        <v>6.9201761729999998</v>
      </c>
      <c r="Q159">
        <f ca="1">IF(AND(ISNUMBER($Q$611),$B$419=1),$Q$611,HLOOKUP(INDIRECT(ADDRESS(2,COLUMN())),OFFSET($BN$2,0,0,ROW()-1,60),ROW()-1,FALSE))</f>
        <v>14.139640030000001</v>
      </c>
      <c r="R159">
        <f ca="1">IF(AND(ISNUMBER($R$611),$B$419=1),$R$611,HLOOKUP(INDIRECT(ADDRESS(2,COLUMN())),OFFSET($BN$2,0,0,ROW()-1,60),ROW()-1,FALSE))</f>
        <v>5.1177073560000004</v>
      </c>
      <c r="S159">
        <f ca="1">IF(AND(ISNUMBER($S$611),$B$419=1),$S$611,HLOOKUP(INDIRECT(ADDRESS(2,COLUMN())),OFFSET($BN$2,0,0,ROW()-1,60),ROW()-1,FALSE))</f>
        <v>3.6738054039999999</v>
      </c>
      <c r="T159">
        <f ca="1">IF(AND(ISNUMBER($T$611),$B$419=1),$T$611,HLOOKUP(INDIRECT(ADDRESS(2,COLUMN())),OFFSET($BN$2,0,0,ROW()-1,60),ROW()-1,FALSE))</f>
        <v>7.657054767</v>
      </c>
      <c r="U159">
        <f ca="1">IF(AND(ISNUMBER($U$611),$B$419=1),$U$611,HLOOKUP(INDIRECT(ADDRESS(2,COLUMN())),OFFSET($BN$2,0,0,ROW()-1,60),ROW()-1,FALSE))</f>
        <v>8.9391360130000006</v>
      </c>
      <c r="V159">
        <f ca="1">IF(AND(ISNUMBER($V$611),$B$419=1),$V$611,HLOOKUP(INDIRECT(ADDRESS(2,COLUMN())),OFFSET($BN$2,0,0,ROW()-1,60),ROW()-1,FALSE))</f>
        <v>-4.7763975050000003</v>
      </c>
      <c r="W159">
        <f ca="1">IF(AND(ISNUMBER($W$611),$B$419=1),$W$611,HLOOKUP(INDIRECT(ADDRESS(2,COLUMN())),OFFSET($BN$2,0,0,ROW()-1,60),ROW()-1,FALSE))</f>
        <v>-6.9379536770000003</v>
      </c>
      <c r="X159">
        <f ca="1">IF(AND(ISNUMBER($X$611),$B$419=1),$X$611,HLOOKUP(INDIRECT(ADDRESS(2,COLUMN())),OFFSET($BN$2,0,0,ROW()-1,60),ROW()-1,FALSE))</f>
        <v>-6.6530090340000001</v>
      </c>
      <c r="Y159">
        <f ca="1">IF(AND(ISNUMBER($Y$611),$B$419=1),$Y$611,HLOOKUP(INDIRECT(ADDRESS(2,COLUMN())),OFFSET($BN$2,0,0,ROW()-1,60),ROW()-1,FALSE))</f>
        <v>-8.6756964679999999</v>
      </c>
      <c r="Z159">
        <f ca="1">IF(AND(ISNUMBER($Z$611),$B$419=1),$Z$611,HLOOKUP(INDIRECT(ADDRESS(2,COLUMN())),OFFSET($BN$2,0,0,ROW()-1,60),ROW()-1,FALSE))</f>
        <v>8.5872798980000002</v>
      </c>
      <c r="AA159">
        <f ca="1">IF(AND(ISNUMBER($AA$611),$B$419=1),$AA$611,HLOOKUP(INDIRECT(ADDRESS(2,COLUMN())),OFFSET($BN$2,0,0,ROW()-1,60),ROW()-1,FALSE))</f>
        <v>14.77747224</v>
      </c>
      <c r="AB159">
        <f ca="1">IF(AND(ISNUMBER($AB$611),$B$419=1),$AB$611,HLOOKUP(INDIRECT(ADDRESS(2,COLUMN())),OFFSET($BN$2,0,0,ROW()-1,60),ROW()-1,FALSE))</f>
        <v>14.35803641</v>
      </c>
      <c r="AC159">
        <f ca="1">IF(AND(ISNUMBER($AC$611),$B$419=1),$AC$611,HLOOKUP(INDIRECT(ADDRESS(2,COLUMN())),OFFSET($BN$2,0,0,ROW()-1,60),ROW()-1,FALSE))</f>
        <v>14.14261847</v>
      </c>
      <c r="AD159">
        <f ca="1">IF(AND(ISNUMBER($AD$611),$B$419=1),$AD$611,HLOOKUP(INDIRECT(ADDRESS(2,COLUMN())),OFFSET($BN$2,0,0,ROW()-1,60),ROW()-1,FALSE))</f>
        <v>9.7163963389999992</v>
      </c>
      <c r="AE159">
        <f ca="1">IF(AND(ISNUMBER($AE$611),$B$419=1),$AE$611,HLOOKUP(INDIRECT(ADDRESS(2,COLUMN())),OFFSET($BN$2,0,0,ROW()-1,60),ROW()-1,FALSE))</f>
        <v>4.610000018</v>
      </c>
      <c r="AF159">
        <f ca="1">IF(AND(ISNUMBER($AF$611),$B$419=1),$AF$611,HLOOKUP(INDIRECT(ADDRESS(2,COLUMN())),OFFSET($BN$2,0,0,ROW()-1,60),ROW()-1,FALSE))</f>
        <v>9.7097342419999997</v>
      </c>
      <c r="AG159">
        <f ca="1">IF(AND(ISNUMBER($AG$611),$B$419=1),$AG$611,HLOOKUP(INDIRECT(ADDRESS(2,COLUMN())),OFFSET($BN$2,0,0,ROW()-1,60),ROW()-1,FALSE))</f>
        <v>11.493027809999999</v>
      </c>
      <c r="AH159">
        <f ca="1">IF(AND(ISNUMBER($AH$611),$B$419=1),$AH$611,HLOOKUP(INDIRECT(ADDRESS(2,COLUMN())),OFFSET($BN$2,0,0,ROW()-1,60),ROW()-1,FALSE))</f>
        <v>10.24818636</v>
      </c>
      <c r="AI159">
        <f ca="1">IF(AND(ISNUMBER($AI$611),$B$419=1),$AI$611,HLOOKUP(INDIRECT(ADDRESS(2,COLUMN())),OFFSET($BN$2,0,0,ROW()-1,60),ROW()-1,FALSE))</f>
        <v>8.9029158319999997</v>
      </c>
      <c r="AJ159">
        <f ca="1">IF(AND(ISNUMBER($AJ$611),$B$419=1),$AJ$611,HLOOKUP(INDIRECT(ADDRESS(2,COLUMN())),OFFSET($BN$2,0,0,ROW()-1,60),ROW()-1,FALSE))</f>
        <v>5.875350837</v>
      </c>
      <c r="AK159">
        <f ca="1">IF(AND(ISNUMBER($AK$611),$B$419=1),$AK$611,HLOOKUP(INDIRECT(ADDRESS(2,COLUMN())),OFFSET($BN$2,0,0,ROW()-1,60),ROW()-1,FALSE))</f>
        <v>3.3149183500000001</v>
      </c>
      <c r="AL159">
        <f ca="1">IF(AND(ISNUMBER($AL$611),$B$419=1),$AL$611,HLOOKUP(INDIRECT(ADDRESS(2,COLUMN())),OFFSET($BN$2,0,0,ROW()-1,60),ROW()-1,FALSE))</f>
        <v>0.71628277699999998</v>
      </c>
      <c r="AM159">
        <f ca="1">IF(AND(ISNUMBER($AM$611),$B$419=1),$AM$611,HLOOKUP(INDIRECT(ADDRESS(2,COLUMN())),OFFSET($BN$2,0,0,ROW()-1,60),ROW()-1,FALSE))</f>
        <v>-0.110364553</v>
      </c>
      <c r="AN159">
        <f ca="1">IF(AND(ISNUMBER($AN$611),$B$419=1),$AN$611,HLOOKUP(INDIRECT(ADDRESS(2,COLUMN())),OFFSET($BN$2,0,0,ROW()-1,60),ROW()-1,FALSE))</f>
        <v>-1.1395968759999999</v>
      </c>
      <c r="AO159">
        <f ca="1">IF(AND(ISNUMBER($AO$611),$B$419=1),$AO$611,HLOOKUP(INDIRECT(ADDRESS(2,COLUMN())),OFFSET($BN$2,0,0,ROW()-1,60),ROW()-1,FALSE))</f>
        <v>-2.0949198600000001</v>
      </c>
      <c r="AP159">
        <f ca="1">IF(AND(ISNUMBER($AP$611),$B$419=1),$AP$611,HLOOKUP(INDIRECT(ADDRESS(2,COLUMN())),OFFSET($BN$2,0,0,ROW()-1,60),ROW()-1,FALSE))</f>
        <v>2.590645796</v>
      </c>
      <c r="AQ159">
        <f ca="1">IF(AND(ISNUMBER($AQ$611),$B$419=1),$AQ$611,HLOOKUP(INDIRECT(ADDRESS(2,COLUMN())),OFFSET($BN$2,0,0,ROW()-1,60),ROW()-1,FALSE))</f>
        <v>-0.60497440599999996</v>
      </c>
      <c r="AR159">
        <f ca="1">IF(AND(ISNUMBER($AR$611),$B$419=1),$AR$611,HLOOKUP(INDIRECT(ADDRESS(2,COLUMN())),OFFSET($BN$2,0,0,ROW()-1,60),ROW()-1,FALSE))</f>
        <v>3.1361028279999998</v>
      </c>
      <c r="AS159">
        <f ca="1">IF(AND(ISNUMBER($AS$611),$B$419=1),$AS$611,HLOOKUP(INDIRECT(ADDRESS(2,COLUMN())),OFFSET($BN$2,0,0,ROW()-1,60),ROW()-1,FALSE))</f>
        <v>7.8294771079999999</v>
      </c>
      <c r="AT159">
        <f ca="1">IF(AND(ISNUMBER($AT$611),$B$419=1),$AT$611,HLOOKUP(INDIRECT(ADDRESS(2,COLUMN())),OFFSET($BN$2,0,0,ROW()-1,60),ROW()-1,FALSE))</f>
        <v>5.0645374419999998</v>
      </c>
      <c r="AU159">
        <f ca="1">IF(AND(ISNUMBER($AU$611),$B$419=1),$AU$611,HLOOKUP(INDIRECT(ADDRESS(2,COLUMN())),OFFSET($BN$2,0,0,ROW()-1,60),ROW()-1,FALSE))</f>
        <v>11.709425039999999</v>
      </c>
      <c r="AV159">
        <f ca="1">IF(AND(ISNUMBER($AV$611),$B$419=1),$AV$611,HLOOKUP(INDIRECT(ADDRESS(2,COLUMN())),OFFSET($BN$2,0,0,ROW()-1,60),ROW()-1,FALSE))</f>
        <v>10.798230439999999</v>
      </c>
      <c r="AW159">
        <f ca="1">IF(AND(ISNUMBER($AW$611),$B$419=1),$AW$611,HLOOKUP(INDIRECT(ADDRESS(2,COLUMN())),OFFSET($BN$2,0,0,ROW()-1,60),ROW()-1,FALSE))</f>
        <v>7.1605457609999998</v>
      </c>
      <c r="AX159">
        <f ca="1">IF(AND(ISNUMBER($AX$611),$B$419=1),$AX$611,HLOOKUP(INDIRECT(ADDRESS(2,COLUMN())),OFFSET($BN$2,0,0,ROW()-1,60),ROW()-1,FALSE))</f>
        <v>8.1879111130000002</v>
      </c>
      <c r="AY159">
        <f ca="1">IF(AND(ISNUMBER($AY$611),$B$419=1),$AY$611,HLOOKUP(INDIRECT(ADDRESS(2,COLUMN())),OFFSET($BN$2,0,0,ROW()-1,60),ROW()-1,FALSE))</f>
        <v>4.1853695819999999</v>
      </c>
      <c r="AZ159">
        <f ca="1">IF(AND(ISNUMBER($AZ$611),$B$419=1),$AZ$611,HLOOKUP(INDIRECT(ADDRESS(2,COLUMN())),OFFSET($BN$2,0,0,ROW()-1,60),ROW()-1,FALSE))</f>
        <v>4.5627828030000002</v>
      </c>
      <c r="BA159">
        <f ca="1">IF(AND(ISNUMBER($BA$611),$B$419=1),$BA$611,HLOOKUP(INDIRECT(ADDRESS(2,COLUMN())),OFFSET($BN$2,0,0,ROW()-1,60),ROW()-1,FALSE))</f>
        <v>6.2032964399999999</v>
      </c>
      <c r="BB159">
        <f ca="1">IF(AND(ISNUMBER($BB$611),$B$419=1),$BB$611,HLOOKUP(INDIRECT(ADDRESS(2,COLUMN())),OFFSET($BN$2,0,0,ROW()-1,60),ROW()-1,FALSE))</f>
        <v>6.156448374</v>
      </c>
      <c r="BC159">
        <f ca="1">IF(AND(ISNUMBER($BC$611),$B$419=1),$BC$611,HLOOKUP(INDIRECT(ADDRESS(2,COLUMN())),OFFSET($BN$2,0,0,ROW()-1,60),ROW()-1,FALSE))</f>
        <v>8.3290620509999993</v>
      </c>
      <c r="BD159">
        <f ca="1">IF(AND(ISNUMBER($BD$611),$B$419=1),$BD$611,HLOOKUP(INDIRECT(ADDRESS(2,COLUMN())),OFFSET($BN$2,0,0,ROW()-1,60),ROW()-1,FALSE))</f>
        <v>27.66603731</v>
      </c>
      <c r="BE159">
        <f ca="1">IF(AND(ISNUMBER($BE$611),$B$419=1),$BE$611,HLOOKUP(INDIRECT(ADDRESS(2,COLUMN())),OFFSET($BN$2,0,0,ROW()-1,60),ROW()-1,FALSE))</f>
        <v>25.01749551</v>
      </c>
      <c r="BF159">
        <f ca="1">IF(AND(ISNUMBER($BF$611),$B$419=1),$BF$611,HLOOKUP(INDIRECT(ADDRESS(2,COLUMN())),OFFSET($BN$2,0,0,ROW()-1,60),ROW()-1,FALSE))</f>
        <v>26.981600610000001</v>
      </c>
      <c r="BG159">
        <f ca="1">IF(AND(ISNUMBER($BG$611),$B$419=1),$BG$611,HLOOKUP(INDIRECT(ADDRESS(2,COLUMN())),OFFSET($BN$2,0,0,ROW()-1,60),ROW()-1,FALSE))</f>
        <v>29.76636976</v>
      </c>
      <c r="BH159">
        <f ca="1">IF(AND(ISNUMBER($BH$611),$B$419=1),$BH$611,HLOOKUP(INDIRECT(ADDRESS(2,COLUMN())),OFFSET($BN$2,0,0,ROW()-1,60),ROW()-1,FALSE))</f>
        <v>9.6097963740000001</v>
      </c>
      <c r="BI159">
        <f ca="1">IF(AND(ISNUMBER($BI$611),$B$419=1),$BI$611,HLOOKUP(INDIRECT(ADDRESS(2,COLUMN())),OFFSET($BN$2,0,0,ROW()-1,60),ROW()-1,FALSE))</f>
        <v>8.154224804</v>
      </c>
      <c r="BJ159">
        <f ca="1">IF(AND(ISNUMBER($BJ$611),$B$419=1),$BJ$611,HLOOKUP(INDIRECT(ADDRESS(2,COLUMN())),OFFSET($BN$2,0,0,ROW()-1,60),ROW()-1,FALSE))</f>
        <v>9.2453581570000001</v>
      </c>
      <c r="BK159">
        <f ca="1">IF(AND(ISNUMBER($BK$611),$B$419=1),$BK$611,HLOOKUP(INDIRECT(ADDRESS(2,COLUMN())),OFFSET($BN$2,0,0,ROW()-1,60),ROW()-1,FALSE))</f>
        <v>9.7753906080000004</v>
      </c>
      <c r="BL159">
        <f ca="1">IF(AND(ISNUMBER($BL$611),$B$419=1),$BL$611,HLOOKUP(INDIRECT(ADDRESS(2,COLUMN())),OFFSET($BN$2,0,0,ROW()-1,60),ROW()-1,FALSE))</f>
        <v>3.4158115740000001</v>
      </c>
      <c r="BM159">
        <f ca="1">IF(AND(ISNUMBER($BM$611),$B$419=1),$BM$611,HLOOKUP(INDIRECT(ADDRESS(2,COLUMN())),OFFSET($BN$2,0,0,ROW()-1,60),ROW()-1,FALSE))</f>
        <v>8.7374787890000007</v>
      </c>
      <c r="BN159" t="str">
        <f>""</f>
        <v/>
      </c>
      <c r="BO159">
        <f>0.121040754</f>
        <v>0.121040754</v>
      </c>
      <c r="BP159">
        <f>3.424041828</f>
        <v>3.424041828</v>
      </c>
      <c r="BQ159">
        <f>3.509860269</f>
        <v>3.5098602689999998</v>
      </c>
      <c r="BR159">
        <f>0.676883255</f>
        <v>0.67688325500000002</v>
      </c>
      <c r="BS159">
        <f>3.284391589</f>
        <v>3.2843915890000002</v>
      </c>
      <c r="BT159">
        <f>2.805087654</f>
        <v>2.8050876539999998</v>
      </c>
      <c r="BU159">
        <f>-2.500166777</f>
        <v>-2.500166777</v>
      </c>
      <c r="BV159">
        <f>9.905980341</f>
        <v>9.9059803409999994</v>
      </c>
      <c r="BW159">
        <f>6.437415197</f>
        <v>6.437415197</v>
      </c>
      <c r="BX159">
        <f>6.920176173</f>
        <v>6.9201761729999998</v>
      </c>
      <c r="BY159">
        <f>14.13964003</f>
        <v>14.139640030000001</v>
      </c>
      <c r="BZ159">
        <f>5.117707356</f>
        <v>5.1177073560000004</v>
      </c>
      <c r="CA159">
        <f>3.673805404</f>
        <v>3.6738054039999999</v>
      </c>
      <c r="CB159">
        <f>7.657054767</f>
        <v>7.657054767</v>
      </c>
      <c r="CC159">
        <f>8.939136013</f>
        <v>8.9391360130000006</v>
      </c>
      <c r="CD159">
        <f>-4.776397505</f>
        <v>-4.7763975050000003</v>
      </c>
      <c r="CE159">
        <f>-6.937953677</f>
        <v>-6.9379536770000003</v>
      </c>
      <c r="CF159">
        <f>-6.653009034</f>
        <v>-6.6530090340000001</v>
      </c>
      <c r="CG159">
        <f>-8.675696468</f>
        <v>-8.6756964679999999</v>
      </c>
      <c r="CH159">
        <f>8.587279898</f>
        <v>8.5872798980000002</v>
      </c>
      <c r="CI159">
        <f>14.77747224</f>
        <v>14.77747224</v>
      </c>
      <c r="CJ159">
        <f>14.35803641</f>
        <v>14.35803641</v>
      </c>
      <c r="CK159">
        <f>14.14261847</f>
        <v>14.14261847</v>
      </c>
      <c r="CL159">
        <f>9.716396339</f>
        <v>9.7163963389999992</v>
      </c>
      <c r="CM159">
        <f>4.610000018</f>
        <v>4.610000018</v>
      </c>
      <c r="CN159">
        <f>9.709734242</f>
        <v>9.7097342419999997</v>
      </c>
      <c r="CO159">
        <f>11.49302781</f>
        <v>11.493027809999999</v>
      </c>
      <c r="CP159">
        <f>10.24818636</f>
        <v>10.24818636</v>
      </c>
      <c r="CQ159">
        <f>8.902915832</f>
        <v>8.9029158319999997</v>
      </c>
      <c r="CR159">
        <f>5.875350837</f>
        <v>5.875350837</v>
      </c>
      <c r="CS159">
        <f>3.31491835</f>
        <v>3.3149183500000001</v>
      </c>
      <c r="CT159">
        <f>0.716282777</f>
        <v>0.71628277699999998</v>
      </c>
      <c r="CU159">
        <f>-0.110364553</f>
        <v>-0.110364553</v>
      </c>
      <c r="CV159">
        <f>-1.139596876</f>
        <v>-1.1395968759999999</v>
      </c>
      <c r="CW159">
        <f>-2.09491986</f>
        <v>-2.0949198600000001</v>
      </c>
      <c r="CX159">
        <f>2.590645796</f>
        <v>2.590645796</v>
      </c>
      <c r="CY159">
        <f>-0.604974406</f>
        <v>-0.60497440599999996</v>
      </c>
      <c r="CZ159">
        <f>3.136102828</f>
        <v>3.1361028279999998</v>
      </c>
      <c r="DA159">
        <f>7.829477108</f>
        <v>7.8294771079999999</v>
      </c>
      <c r="DB159">
        <f>5.064537442</f>
        <v>5.0645374419999998</v>
      </c>
      <c r="DC159">
        <f>11.70942504</f>
        <v>11.709425039999999</v>
      </c>
      <c r="DD159">
        <f>10.79823044</f>
        <v>10.798230439999999</v>
      </c>
      <c r="DE159">
        <f>7.160545761</f>
        <v>7.1605457609999998</v>
      </c>
      <c r="DF159">
        <f>8.187911113</f>
        <v>8.1879111130000002</v>
      </c>
      <c r="DG159">
        <f>4.185369582</f>
        <v>4.1853695819999999</v>
      </c>
      <c r="DH159">
        <f>4.562782803</f>
        <v>4.5627828030000002</v>
      </c>
      <c r="DI159">
        <f>6.20329644</f>
        <v>6.2032964399999999</v>
      </c>
      <c r="DJ159">
        <f>6.156448374</f>
        <v>6.156448374</v>
      </c>
      <c r="DK159">
        <f>8.329062051</f>
        <v>8.3290620509999993</v>
      </c>
      <c r="DL159">
        <f>27.66603731</f>
        <v>27.66603731</v>
      </c>
      <c r="DM159">
        <f>25.01749551</f>
        <v>25.01749551</v>
      </c>
      <c r="DN159">
        <f>26.98160061</f>
        <v>26.981600610000001</v>
      </c>
      <c r="DO159">
        <f>29.76636976</f>
        <v>29.76636976</v>
      </c>
      <c r="DP159">
        <f>9.609796374</f>
        <v>9.6097963740000001</v>
      </c>
      <c r="DQ159">
        <f>8.154224804</f>
        <v>8.154224804</v>
      </c>
      <c r="DR159">
        <f>9.245358157</f>
        <v>9.2453581570000001</v>
      </c>
      <c r="DS159">
        <f>9.775390608</f>
        <v>9.7753906080000004</v>
      </c>
      <c r="DT159">
        <f>3.415811574</f>
        <v>3.4158115740000001</v>
      </c>
      <c r="DU159">
        <f>8.737478789</f>
        <v>8.7374787890000007</v>
      </c>
    </row>
    <row r="160" spans="1:125">
      <c r="A160" t="str">
        <f>"    Tanger Factory Outlet Centers"</f>
        <v xml:space="preserve">    Tanger Factory Outlet Centers</v>
      </c>
      <c r="B160" t="str">
        <f>"SKT US Equity"</f>
        <v>SKT US Equity</v>
      </c>
      <c r="C160" t="str">
        <f t="shared" si="27"/>
        <v>RR033</v>
      </c>
      <c r="D160" t="str">
        <f t="shared" si="28"/>
        <v>SALES_GROWTH</v>
      </c>
      <c r="E160" t="str">
        <f t="shared" si="29"/>
        <v>动态</v>
      </c>
      <c r="F160" t="str">
        <f ca="1">IF(AND(ISNUMBER($F$612),$B$419=1),$F$612,HLOOKUP(INDIRECT(ADDRESS(2,COLUMN())),OFFSET($BN$2,0,0,ROW()-1,60),ROW()-1,FALSE))</f>
        <v/>
      </c>
      <c r="G160">
        <f ca="1">IF(AND(ISNUMBER($G$612),$B$419=1),$G$612,HLOOKUP(INDIRECT(ADDRESS(2,COLUMN())),OFFSET($BN$2,0,0,ROW()-1,60),ROW()-1,FALSE))</f>
        <v>1.547860853</v>
      </c>
      <c r="H160">
        <f ca="1">IF(AND(ISNUMBER($H$612),$B$419=1),$H$612,HLOOKUP(INDIRECT(ADDRESS(2,COLUMN())),OFFSET($BN$2,0,0,ROW()-1,60),ROW()-1,FALSE))</f>
        <v>1.366494036</v>
      </c>
      <c r="I160">
        <f ca="1">IF(AND(ISNUMBER($I$612),$B$419=1),$I$612,HLOOKUP(INDIRECT(ADDRESS(2,COLUMN())),OFFSET($BN$2,0,0,ROW()-1,60),ROW()-1,FALSE))</f>
        <v>7.4380462219999997</v>
      </c>
      <c r="J160">
        <f ca="1">IF(AND(ISNUMBER($J$612),$B$419=1),$J$612,HLOOKUP(INDIRECT(ADDRESS(2,COLUMN())),OFFSET($BN$2,0,0,ROW()-1,60),ROW()-1,FALSE))</f>
        <v>9.5329633139999999</v>
      </c>
      <c r="K160">
        <f ca="1">IF(AND(ISNUMBER($K$612),$B$419=1),$K$612,HLOOKUP(INDIRECT(ADDRESS(2,COLUMN())),OFFSET($BN$2,0,0,ROW()-1,60),ROW()-1,FALSE))</f>
        <v>10.42366646</v>
      </c>
      <c r="L160">
        <f ca="1">IF(AND(ISNUMBER($L$612),$B$419=1),$L$612,HLOOKUP(INDIRECT(ADDRESS(2,COLUMN())),OFFSET($BN$2,0,0,ROW()-1,60),ROW()-1,FALSE))</f>
        <v>5.5187501110000001</v>
      </c>
      <c r="M160">
        <f ca="1">IF(AND(ISNUMBER($M$612),$B$419=1),$M$612,HLOOKUP(INDIRECT(ADDRESS(2,COLUMN())),OFFSET($BN$2,0,0,ROW()-1,60),ROW()-1,FALSE))</f>
        <v>3.3387168630000001</v>
      </c>
      <c r="N160">
        <f ca="1">IF(AND(ISNUMBER($N$612),$B$419=1),$N$612,HLOOKUP(INDIRECT(ADDRESS(2,COLUMN())),OFFSET($BN$2,0,0,ROW()-1,60),ROW()-1,FALSE))</f>
        <v>4.6060457299999999</v>
      </c>
      <c r="O160">
        <f ca="1">IF(AND(ISNUMBER($O$612),$B$419=1),$O$612,HLOOKUP(INDIRECT(ADDRESS(2,COLUMN())),OFFSET($BN$2,0,0,ROW()-1,60),ROW()-1,FALSE))</f>
        <v>4.0849281189999997</v>
      </c>
      <c r="P160">
        <f ca="1">IF(AND(ISNUMBER($P$612),$B$419=1),$P$612,HLOOKUP(INDIRECT(ADDRESS(2,COLUMN())),OFFSET($BN$2,0,0,ROW()-1,60),ROW()-1,FALSE))</f>
        <v>7.336318436</v>
      </c>
      <c r="Q160">
        <f ca="1">IF(AND(ISNUMBER($Q$612),$B$419=1),$Q$612,HLOOKUP(INDIRECT(ADDRESS(2,COLUMN())),OFFSET($BN$2,0,0,ROW()-1,60),ROW()-1,FALSE))</f>
        <v>5.4044534889999998</v>
      </c>
      <c r="R160">
        <f ca="1">IF(AND(ISNUMBER($R$612),$B$419=1),$R$612,HLOOKUP(INDIRECT(ADDRESS(2,COLUMN())),OFFSET($BN$2,0,0,ROW()-1,60),ROW()-1,FALSE))</f>
        <v>3.058901364</v>
      </c>
      <c r="S160">
        <f ca="1">IF(AND(ISNUMBER($S$612),$B$419=1),$S$612,HLOOKUP(INDIRECT(ADDRESS(2,COLUMN())),OFFSET($BN$2,0,0,ROW()-1,60),ROW()-1,FALSE))</f>
        <v>0.97740507799999998</v>
      </c>
      <c r="T160">
        <f ca="1">IF(AND(ISNUMBER($T$612),$B$419=1),$T$612,HLOOKUP(INDIRECT(ADDRESS(2,COLUMN())),OFFSET($BN$2,0,0,ROW()-1,60),ROW()-1,FALSE))</f>
        <v>7.4420599980000004</v>
      </c>
      <c r="U160">
        <f ca="1">IF(AND(ISNUMBER($U$612),$B$419=1),$U$612,HLOOKUP(INDIRECT(ADDRESS(2,COLUMN())),OFFSET($BN$2,0,0,ROW()-1,60),ROW()-1,FALSE))</f>
        <v>12.302367739999999</v>
      </c>
      <c r="V160">
        <f ca="1">IF(AND(ISNUMBER($V$612),$B$419=1),$V$612,HLOOKUP(INDIRECT(ADDRESS(2,COLUMN())),OFFSET($BN$2,0,0,ROW()-1,60),ROW()-1,FALSE))</f>
        <v>15.89035844</v>
      </c>
      <c r="W160">
        <f ca="1">IF(AND(ISNUMBER($W$612),$B$419=1),$W$612,HLOOKUP(INDIRECT(ADDRESS(2,COLUMN())),OFFSET($BN$2,0,0,ROW()-1,60),ROW()-1,FALSE))</f>
        <v>13.04984411</v>
      </c>
      <c r="X160">
        <f ca="1">IF(AND(ISNUMBER($X$612),$B$419=1),$X$612,HLOOKUP(INDIRECT(ADDRESS(2,COLUMN())),OFFSET($BN$2,0,0,ROW()-1,60),ROW()-1,FALSE))</f>
        <v>8.2004354409999998</v>
      </c>
      <c r="Y160">
        <f ca="1">IF(AND(ISNUMBER($Y$612),$B$419=1),$Y$612,HLOOKUP(INDIRECT(ADDRESS(2,COLUMN())),OFFSET($BN$2,0,0,ROW()-1,60),ROW()-1,FALSE))</f>
        <v>4.2136600450000001</v>
      </c>
      <c r="Z160">
        <f ca="1">IF(AND(ISNUMBER($Z$612),$B$419=1),$Z$612,HLOOKUP(INDIRECT(ADDRESS(2,COLUMN())),OFFSET($BN$2,0,0,ROW()-1,60),ROW()-1,FALSE))</f>
        <v>5.2775898290000001</v>
      </c>
      <c r="AA160">
        <f ca="1">IF(AND(ISNUMBER($AA$612),$B$419=1),$AA$612,HLOOKUP(INDIRECT(ADDRESS(2,COLUMN())),OFFSET($BN$2,0,0,ROW()-1,60),ROW()-1,FALSE))</f>
        <v>6.502131479</v>
      </c>
      <c r="AB160">
        <f ca="1">IF(AND(ISNUMBER($AB$612),$B$419=1),$AB$612,HLOOKUP(INDIRECT(ADDRESS(2,COLUMN())),OFFSET($BN$2,0,0,ROW()-1,60),ROW()-1,FALSE))</f>
        <v>8.6974280119999996</v>
      </c>
      <c r="AC160">
        <f ca="1">IF(AND(ISNUMBER($AC$612),$B$419=1),$AC$612,HLOOKUP(INDIRECT(ADDRESS(2,COLUMN())),OFFSET($BN$2,0,0,ROW()-1,60),ROW()-1,FALSE))</f>
        <v>21.128694469999999</v>
      </c>
      <c r="AD160">
        <f ca="1">IF(AND(ISNUMBER($AD$612),$B$419=1),$AD$612,HLOOKUP(INDIRECT(ADDRESS(2,COLUMN())),OFFSET($BN$2,0,0,ROW()-1,60),ROW()-1,FALSE))</f>
        <v>19.089893839999998</v>
      </c>
      <c r="AE160">
        <f ca="1">IF(AND(ISNUMBER($AE$612),$B$419=1),$AE$612,HLOOKUP(INDIRECT(ADDRESS(2,COLUMN())),OFFSET($BN$2,0,0,ROW()-1,60),ROW()-1,FALSE))</f>
        <v>18.07717272</v>
      </c>
      <c r="AF160">
        <f ca="1">IF(AND(ISNUMBER($AF$612),$B$419=1),$AF$612,HLOOKUP(INDIRECT(ADDRESS(2,COLUMN())),OFFSET($BN$2,0,0,ROW()-1,60),ROW()-1,FALSE))</f>
        <v>19.820649750000001</v>
      </c>
      <c r="AG160">
        <f ca="1">IF(AND(ISNUMBER($AG$612),$B$419=1),$AG$612,HLOOKUP(INDIRECT(ADDRESS(2,COLUMN())),OFFSET($BN$2,0,0,ROW()-1,60),ROW()-1,FALSE))</f>
        <v>10.423462750000001</v>
      </c>
      <c r="AH160">
        <f ca="1">IF(AND(ISNUMBER($AH$612),$B$419=1),$AH$612,HLOOKUP(INDIRECT(ADDRESS(2,COLUMN())),OFFSET($BN$2,0,0,ROW()-1,60),ROW()-1,FALSE))</f>
        <v>7.1121407589999999</v>
      </c>
      <c r="AI160">
        <f ca="1">IF(AND(ISNUMBER($AI$612),$B$419=1),$AI$612,HLOOKUP(INDIRECT(ADDRESS(2,COLUMN())),OFFSET($BN$2,0,0,ROW()-1,60),ROW()-1,FALSE))</f>
        <v>5.8867257630000003</v>
      </c>
      <c r="AJ160">
        <f ca="1">IF(AND(ISNUMBER($AJ$612),$B$419=1),$AJ$612,HLOOKUP(INDIRECT(ADDRESS(2,COLUMN())),OFFSET($BN$2,0,0,ROW()-1,60),ROW()-1,FALSE))</f>
        <v>-0.82086569200000004</v>
      </c>
      <c r="AK160">
        <f ca="1">IF(AND(ISNUMBER($AK$612),$B$419=1),$AK$612,HLOOKUP(INDIRECT(ADDRESS(2,COLUMN())),OFFSET($BN$2,0,0,ROW()-1,60),ROW()-1,FALSE))</f>
        <v>1.389751553</v>
      </c>
      <c r="AL160">
        <f ca="1">IF(AND(ISNUMBER($AL$612),$B$419=1),$AL$612,HLOOKUP(INDIRECT(ADDRESS(2,COLUMN())),OFFSET($BN$2,0,0,ROW()-1,60),ROW()-1,FALSE))</f>
        <v>1.3567021699999999</v>
      </c>
      <c r="AM160">
        <f ca="1">IF(AND(ISNUMBER($AM$612),$B$419=1),$AM$612,HLOOKUP(INDIRECT(ADDRESS(2,COLUMN())),OFFSET($BN$2,0,0,ROW()-1,60),ROW()-1,FALSE))</f>
        <v>4.33001156</v>
      </c>
      <c r="AN160">
        <f ca="1">IF(AND(ISNUMBER($AN$612),$B$419=1),$AN$612,HLOOKUP(INDIRECT(ADDRESS(2,COLUMN())),OFFSET($BN$2,0,0,ROW()-1,60),ROW()-1,FALSE))</f>
        <v>11.589377600000001</v>
      </c>
      <c r="AO160">
        <f ca="1">IF(AND(ISNUMBER($AO$612),$B$419=1),$AO$612,HLOOKUP(INDIRECT(ADDRESS(2,COLUMN())),OFFSET($BN$2,0,0,ROW()-1,60),ROW()-1,FALSE))</f>
        <v>12.97254627</v>
      </c>
      <c r="AP160">
        <f ca="1">IF(AND(ISNUMBER($AP$612),$B$419=1),$AP$612,HLOOKUP(INDIRECT(ADDRESS(2,COLUMN())),OFFSET($BN$2,0,0,ROW()-1,60),ROW()-1,FALSE))</f>
        <v>13.76143585</v>
      </c>
      <c r="AQ160">
        <f ca="1">IF(AND(ISNUMBER($AQ$612),$B$419=1),$AQ$612,HLOOKUP(INDIRECT(ADDRESS(2,COLUMN())),OFFSET($BN$2,0,0,ROW()-1,60),ROW()-1,FALSE))</f>
        <v>10.260092289999999</v>
      </c>
      <c r="AR160">
        <f ca="1">IF(AND(ISNUMBER($AR$612),$B$419=1),$AR$612,HLOOKUP(INDIRECT(ADDRESS(2,COLUMN())),OFFSET($BN$2,0,0,ROW()-1,60),ROW()-1,FALSE))</f>
        <v>7.5137875520000001</v>
      </c>
      <c r="AS160">
        <f ca="1">IF(AND(ISNUMBER($AS$612),$B$419=1),$AS$612,HLOOKUP(INDIRECT(ADDRESS(2,COLUMN())),OFFSET($BN$2,0,0,ROW()-1,60),ROW()-1,FALSE))</f>
        <v>3.0198431339999998</v>
      </c>
      <c r="AT160">
        <f ca="1">IF(AND(ISNUMBER($AT$612),$B$419=1),$AT$612,HLOOKUP(INDIRECT(ADDRESS(2,COLUMN())),OFFSET($BN$2,0,0,ROW()-1,60),ROW()-1,FALSE))</f>
        <v>7.9314828420000003</v>
      </c>
      <c r="AU160">
        <f ca="1">IF(AND(ISNUMBER($AU$612),$B$419=1),$AU$612,HLOOKUP(INDIRECT(ADDRESS(2,COLUMN())),OFFSET($BN$2,0,0,ROW()-1,60),ROW()-1,FALSE))</f>
        <v>6.2449644299999996</v>
      </c>
      <c r="AV160">
        <f ca="1">IF(AND(ISNUMBER($AV$612),$B$419=1),$AV$612,HLOOKUP(INDIRECT(ADDRESS(2,COLUMN())),OFFSET($BN$2,0,0,ROW()-1,60),ROW()-1,FALSE))</f>
        <v>7.6001621760000004</v>
      </c>
      <c r="AW160">
        <f ca="1">IF(AND(ISNUMBER($AW$612),$B$419=1),$AW$612,HLOOKUP(INDIRECT(ADDRESS(2,COLUMN())),OFFSET($BN$2,0,0,ROW()-1,60),ROW()-1,FALSE))</f>
        <v>9.5115579480000001</v>
      </c>
      <c r="AX160">
        <f ca="1">IF(AND(ISNUMBER($AX$612),$B$419=1),$AX$612,HLOOKUP(INDIRECT(ADDRESS(2,COLUMN())),OFFSET($BN$2,0,0,ROW()-1,60),ROW()-1,FALSE))</f>
        <v>10.10207892</v>
      </c>
      <c r="AY160">
        <f ca="1">IF(AND(ISNUMBER($AY$612),$B$419=1),$AY$612,HLOOKUP(INDIRECT(ADDRESS(2,COLUMN())),OFFSET($BN$2,0,0,ROW()-1,60),ROW()-1,FALSE))</f>
        <v>8.7811882299999997</v>
      </c>
      <c r="AZ160">
        <f ca="1">IF(AND(ISNUMBER($AZ$612),$B$419=1),$AZ$612,HLOOKUP(INDIRECT(ADDRESS(2,COLUMN())),OFFSET($BN$2,0,0,ROW()-1,60),ROW()-1,FALSE))</f>
        <v>7.2519913819999999</v>
      </c>
      <c r="BA160">
        <f ca="1">IF(AND(ISNUMBER($BA$612),$B$419=1),$BA$612,HLOOKUP(INDIRECT(ADDRESS(2,COLUMN())),OFFSET($BN$2,0,0,ROW()-1,60),ROW()-1,FALSE))</f>
        <v>6.2025768750000001</v>
      </c>
      <c r="BB160">
        <f ca="1">IF(AND(ISNUMBER($BB$612),$B$419=1),$BB$612,HLOOKUP(INDIRECT(ADDRESS(2,COLUMN())),OFFSET($BN$2,0,0,ROW()-1,60),ROW()-1,FALSE))</f>
        <v>2.6253593099999999</v>
      </c>
      <c r="BC160">
        <f ca="1">IF(AND(ISNUMBER($BC$612),$B$419=1),$BC$612,HLOOKUP(INDIRECT(ADDRESS(2,COLUMN())),OFFSET($BN$2,0,0,ROW()-1,60),ROW()-1,FALSE))</f>
        <v>3.5111085370000001</v>
      </c>
      <c r="BD160">
        <f ca="1">IF(AND(ISNUMBER($BD$612),$B$419=1),$BD$612,HLOOKUP(INDIRECT(ADDRESS(2,COLUMN())),OFFSET($BN$2,0,0,ROW()-1,60),ROW()-1,FALSE))</f>
        <v>3.1583883859999999</v>
      </c>
      <c r="BE160">
        <f ca="1">IF(AND(ISNUMBER($BE$612),$B$419=1),$BE$612,HLOOKUP(INDIRECT(ADDRESS(2,COLUMN())),OFFSET($BN$2,0,0,ROW()-1,60),ROW()-1,FALSE))</f>
        <v>-2.834677831</v>
      </c>
      <c r="BF160">
        <f ca="1">IF(AND(ISNUMBER($BF$612),$B$419=1),$BF$612,HLOOKUP(INDIRECT(ADDRESS(2,COLUMN())),OFFSET($BN$2,0,0,ROW()-1,60),ROW()-1,FALSE))</f>
        <v>2.59070753</v>
      </c>
      <c r="BG160">
        <f ca="1">IF(AND(ISNUMBER($BG$612),$B$419=1),$BG$612,HLOOKUP(INDIRECT(ADDRESS(2,COLUMN())),OFFSET($BN$2,0,0,ROW()-1,60),ROW()-1,FALSE))</f>
        <v>51.62876541</v>
      </c>
      <c r="BH160">
        <f ca="1">IF(AND(ISNUMBER($BH$612),$B$419=1),$BH$612,HLOOKUP(INDIRECT(ADDRESS(2,COLUMN())),OFFSET($BN$2,0,0,ROW()-1,60),ROW()-1,FALSE))</f>
        <v>69.315749499999995</v>
      </c>
      <c r="BI160">
        <f ca="1">IF(AND(ISNUMBER($BI$612),$B$419=1),$BI$612,HLOOKUP(INDIRECT(ADDRESS(2,COLUMN())),OFFSET($BN$2,0,0,ROW()-1,60),ROW()-1,FALSE))</f>
        <v>69.593377669999995</v>
      </c>
      <c r="BJ160">
        <f ca="1">IF(AND(ISNUMBER($BJ$612),$B$419=1),$BJ$612,HLOOKUP(INDIRECT(ADDRESS(2,COLUMN())),OFFSET($BN$2,0,0,ROW()-1,60),ROW()-1,FALSE))</f>
        <v>59.759204330000003</v>
      </c>
      <c r="BK160">
        <f ca="1">IF(AND(ISNUMBER($BK$612),$B$419=1),$BK$612,HLOOKUP(INDIRECT(ADDRESS(2,COLUMN())),OFFSET($BN$2,0,0,ROW()-1,60),ROW()-1,FALSE))</f>
        <v>9.2330335059999999</v>
      </c>
      <c r="BL160">
        <f ca="1">IF(AND(ISNUMBER($BL$612),$B$419=1),$BL$612,HLOOKUP(INDIRECT(ADDRESS(2,COLUMN())),OFFSET($BN$2,0,0,ROW()-1,60),ROW()-1,FALSE))</f>
        <v>3.9847788629999998</v>
      </c>
      <c r="BM160">
        <f ca="1">IF(AND(ISNUMBER($BM$612),$B$419=1),$BM$612,HLOOKUP(INDIRECT(ADDRESS(2,COLUMN())),OFFSET($BN$2,0,0,ROW()-1,60),ROW()-1,FALSE))</f>
        <v>7.7192851549999997</v>
      </c>
      <c r="BN160" t="str">
        <f>""</f>
        <v/>
      </c>
      <c r="BO160">
        <f>1.547860853</f>
        <v>1.547860853</v>
      </c>
      <c r="BP160">
        <f>1.366494036</f>
        <v>1.366494036</v>
      </c>
      <c r="BQ160">
        <f>7.438046222</f>
        <v>7.4380462219999997</v>
      </c>
      <c r="BR160">
        <f>9.532963314</f>
        <v>9.5329633139999999</v>
      </c>
      <c r="BS160">
        <f>10.42366646</f>
        <v>10.42366646</v>
      </c>
      <c r="BT160">
        <f>5.518750111</f>
        <v>5.5187501110000001</v>
      </c>
      <c r="BU160">
        <f>3.338716863</f>
        <v>3.3387168630000001</v>
      </c>
      <c r="BV160">
        <f>4.60604573</f>
        <v>4.6060457299999999</v>
      </c>
      <c r="BW160">
        <f>4.084928119</f>
        <v>4.0849281189999997</v>
      </c>
      <c r="BX160">
        <f>7.336318436</f>
        <v>7.336318436</v>
      </c>
      <c r="BY160">
        <f>5.404453489</f>
        <v>5.4044534889999998</v>
      </c>
      <c r="BZ160">
        <f>3.058901364</f>
        <v>3.058901364</v>
      </c>
      <c r="CA160">
        <f>0.977405078</f>
        <v>0.97740507799999998</v>
      </c>
      <c r="CB160">
        <f>7.442059998</f>
        <v>7.4420599980000004</v>
      </c>
      <c r="CC160">
        <f>12.30236774</f>
        <v>12.302367739999999</v>
      </c>
      <c r="CD160">
        <f>15.89035844</f>
        <v>15.89035844</v>
      </c>
      <c r="CE160">
        <f>13.04984411</f>
        <v>13.04984411</v>
      </c>
      <c r="CF160">
        <f>8.200435441</f>
        <v>8.2004354409999998</v>
      </c>
      <c r="CG160">
        <f>4.213660045</f>
        <v>4.2136600450000001</v>
      </c>
      <c r="CH160">
        <f>5.277589829</f>
        <v>5.2775898290000001</v>
      </c>
      <c r="CI160">
        <f>6.502131479</f>
        <v>6.502131479</v>
      </c>
      <c r="CJ160">
        <f>8.697428012</f>
        <v>8.6974280119999996</v>
      </c>
      <c r="CK160">
        <f>21.12869447</f>
        <v>21.128694469999999</v>
      </c>
      <c r="CL160">
        <f>19.08989384</f>
        <v>19.089893839999998</v>
      </c>
      <c r="CM160">
        <f>18.07717272</f>
        <v>18.07717272</v>
      </c>
      <c r="CN160">
        <f>19.82064975</f>
        <v>19.820649750000001</v>
      </c>
      <c r="CO160">
        <f>10.42346275</f>
        <v>10.423462750000001</v>
      </c>
      <c r="CP160">
        <f>7.112140759</f>
        <v>7.1121407589999999</v>
      </c>
      <c r="CQ160">
        <f>5.886725763</f>
        <v>5.8867257630000003</v>
      </c>
      <c r="CR160">
        <f>-0.820865692</f>
        <v>-0.82086569200000004</v>
      </c>
      <c r="CS160">
        <f>1.389751553</f>
        <v>1.389751553</v>
      </c>
      <c r="CT160">
        <f>1.35670217</f>
        <v>1.3567021699999999</v>
      </c>
      <c r="CU160">
        <f>4.33001156</f>
        <v>4.33001156</v>
      </c>
      <c r="CV160">
        <f>11.5893776</f>
        <v>11.589377600000001</v>
      </c>
      <c r="CW160">
        <f>12.97254627</f>
        <v>12.97254627</v>
      </c>
      <c r="CX160">
        <f>13.76143585</f>
        <v>13.76143585</v>
      </c>
      <c r="CY160">
        <f>10.26009229</f>
        <v>10.260092289999999</v>
      </c>
      <c r="CZ160">
        <f>7.513787552</f>
        <v>7.5137875520000001</v>
      </c>
      <c r="DA160">
        <f>3.019843134</f>
        <v>3.0198431339999998</v>
      </c>
      <c r="DB160">
        <f>7.931482842</f>
        <v>7.9314828420000003</v>
      </c>
      <c r="DC160">
        <f>6.24496443</f>
        <v>6.2449644299999996</v>
      </c>
      <c r="DD160">
        <f>7.600162176</f>
        <v>7.6001621760000004</v>
      </c>
      <c r="DE160">
        <f>9.511557948</f>
        <v>9.5115579480000001</v>
      </c>
      <c r="DF160">
        <f>10.10207892</f>
        <v>10.10207892</v>
      </c>
      <c r="DG160">
        <f>8.78118823</f>
        <v>8.7811882299999997</v>
      </c>
      <c r="DH160">
        <f>7.251991382</f>
        <v>7.2519913819999999</v>
      </c>
      <c r="DI160">
        <f>6.202576875</f>
        <v>6.2025768750000001</v>
      </c>
      <c r="DJ160">
        <f>2.62535931</f>
        <v>2.6253593099999999</v>
      </c>
      <c r="DK160">
        <f>3.511108537</f>
        <v>3.5111085370000001</v>
      </c>
      <c r="DL160">
        <f>3.158388386</f>
        <v>3.1583883859999999</v>
      </c>
      <c r="DM160">
        <f>-2.834677831</f>
        <v>-2.834677831</v>
      </c>
      <c r="DN160">
        <f>2.59070753</f>
        <v>2.59070753</v>
      </c>
      <c r="DO160">
        <f>51.62876541</f>
        <v>51.62876541</v>
      </c>
      <c r="DP160">
        <f>69.3157495</f>
        <v>69.315749499999995</v>
      </c>
      <c r="DQ160">
        <f>69.59337767</f>
        <v>69.593377669999995</v>
      </c>
      <c r="DR160">
        <f>59.75920433</f>
        <v>59.759204330000003</v>
      </c>
      <c r="DS160">
        <f>9.233033506</f>
        <v>9.2330335059999999</v>
      </c>
      <c r="DT160">
        <f>3.984778863</f>
        <v>3.9847788629999998</v>
      </c>
      <c r="DU160">
        <f>7.719285155</f>
        <v>7.7192851549999997</v>
      </c>
    </row>
    <row r="161" spans="1:125">
      <c r="A161" t="str">
        <f>"    VEREIT Inc"</f>
        <v xml:space="preserve">    VEREIT Inc</v>
      </c>
      <c r="B161" t="str">
        <f>"VER US Equity"</f>
        <v>VER US Equity</v>
      </c>
      <c r="C161" t="str">
        <f t="shared" si="27"/>
        <v>RR033</v>
      </c>
      <c r="D161" t="str">
        <f t="shared" si="28"/>
        <v>SALES_GROWTH</v>
      </c>
      <c r="E161" t="str">
        <f t="shared" si="29"/>
        <v>动态</v>
      </c>
      <c r="F161" t="str">
        <f ca="1">IF(AND(ISNUMBER($F$613),$B$419=1),$F$613,HLOOKUP(INDIRECT(ADDRESS(2,COLUMN())),OFFSET($BN$2,0,0,ROW()-1,60),ROW()-1,FALSE))</f>
        <v/>
      </c>
      <c r="G161">
        <f ca="1">IF(AND(ISNUMBER($G$613),$B$419=1),$G$613,HLOOKUP(INDIRECT(ADDRESS(2,COLUMN())),OFFSET($BN$2,0,0,ROW()-1,60),ROW()-1,FALSE))</f>
        <v>-10.02361674</v>
      </c>
      <c r="H161">
        <f ca="1">IF(AND(ISNUMBER($H$613),$B$419=1),$H$613,HLOOKUP(INDIRECT(ADDRESS(2,COLUMN())),OFFSET($BN$2,0,0,ROW()-1,60),ROW()-1,FALSE))</f>
        <v>-8.0423790690000008</v>
      </c>
      <c r="I161">
        <f ca="1">IF(AND(ISNUMBER($I$613),$B$419=1),$I$613,HLOOKUP(INDIRECT(ADDRESS(2,COLUMN())),OFFSET($BN$2,0,0,ROW()-1,60),ROW()-1,FALSE))</f>
        <v>-9.1879391619999993</v>
      </c>
      <c r="J161">
        <f ca="1">IF(AND(ISNUMBER($J$613),$B$419=1),$J$613,HLOOKUP(INDIRECT(ADDRESS(2,COLUMN())),OFFSET($BN$2,0,0,ROW()-1,60),ROW()-1,FALSE))</f>
        <v>-5.6883095770000001</v>
      </c>
      <c r="K161">
        <f ca="1">IF(AND(ISNUMBER($K$613),$B$419=1),$K$613,HLOOKUP(INDIRECT(ADDRESS(2,COLUMN())),OFFSET($BN$2,0,0,ROW()-1,60),ROW()-1,FALSE))</f>
        <v>-8.2178238480000001</v>
      </c>
      <c r="L161">
        <f ca="1">IF(AND(ISNUMBER($L$613),$B$419=1),$L$613,HLOOKUP(INDIRECT(ADDRESS(2,COLUMN())),OFFSET($BN$2,0,0,ROW()-1,60),ROW()-1,FALSE))</f>
        <v>-5.7250996220000001</v>
      </c>
      <c r="M161">
        <f ca="1">IF(AND(ISNUMBER($M$613),$B$419=1),$M$613,HLOOKUP(INDIRECT(ADDRESS(2,COLUMN())),OFFSET($BN$2,0,0,ROW()-1,60),ROW()-1,FALSE))</f>
        <v>-5.7660119730000003</v>
      </c>
      <c r="N161">
        <f ca="1">IF(AND(ISNUMBER($N$613),$B$419=1),$N$613,HLOOKUP(INDIRECT(ADDRESS(2,COLUMN())),OFFSET($BN$2,0,0,ROW()-1,60),ROW()-1,FALSE))</f>
        <v>-6.3324940099999996</v>
      </c>
      <c r="O161">
        <f ca="1">IF(AND(ISNUMBER($O$613),$B$419=1),$O$613,HLOOKUP(INDIRECT(ADDRESS(2,COLUMN())),OFFSET($BN$2,0,0,ROW()-1,60),ROW()-1,FALSE))</f>
        <v>-8.460460307</v>
      </c>
      <c r="P161">
        <f ca="1">IF(AND(ISNUMBER($P$613),$B$419=1),$P$613,HLOOKUP(INDIRECT(ADDRESS(2,COLUMN())),OFFSET($BN$2,0,0,ROW()-1,60),ROW()-1,FALSE))</f>
        <v>-15.786733399999999</v>
      </c>
      <c r="Q161">
        <f ca="1">IF(AND(ISNUMBER($Q$613),$B$419=1),$Q$613,HLOOKUP(INDIRECT(ADDRESS(2,COLUMN())),OFFSET($BN$2,0,0,ROW()-1,60),ROW()-1,FALSE))</f>
        <v>3.0203203740000002</v>
      </c>
      <c r="R161">
        <f ca="1">IF(AND(ISNUMBER($R$613),$B$419=1),$R$613,HLOOKUP(INDIRECT(ADDRESS(2,COLUMN())),OFFSET($BN$2,0,0,ROW()-1,60),ROW()-1,FALSE))</f>
        <v>22.672611889999999</v>
      </c>
      <c r="S161">
        <f ca="1">IF(AND(ISNUMBER($S$613),$B$419=1),$S$613,HLOOKUP(INDIRECT(ADDRESS(2,COLUMN())),OFFSET($BN$2,0,0,ROW()-1,60),ROW()-1,FALSE))</f>
        <v>344.99495300000001</v>
      </c>
      <c r="T161">
        <f ca="1">IF(AND(ISNUMBER($T$613),$B$419=1),$T$613,HLOOKUP(INDIRECT(ADDRESS(2,COLUMN())),OFFSET($BN$2,0,0,ROW()-1,60),ROW()-1,FALSE))</f>
        <v>379.88871979999999</v>
      </c>
      <c r="U161">
        <f ca="1">IF(AND(ISNUMBER($U$613),$B$419=1),$U$613,HLOOKUP(INDIRECT(ADDRESS(2,COLUMN())),OFFSET($BN$2,0,0,ROW()-1,60),ROW()-1,FALSE))</f>
        <v>595.56465560000004</v>
      </c>
      <c r="V161">
        <f ca="1">IF(AND(ISNUMBER($V$613),$B$419=1),$V$613,HLOOKUP(INDIRECT(ADDRESS(2,COLUMN())),OFFSET($BN$2,0,0,ROW()-1,60),ROW()-1,FALSE))</f>
        <v>648.66307670000003</v>
      </c>
      <c r="W161">
        <f ca="1">IF(AND(ISNUMBER($W$613),$B$419=1),$W$613,HLOOKUP(INDIRECT(ADDRESS(2,COLUMN())),OFFSET($BN$2,0,0,ROW()-1,60),ROW()-1,FALSE))</f>
        <v>212.94473629999999</v>
      </c>
      <c r="X161">
        <f ca="1">IF(AND(ISNUMBER($X$613),$B$419=1),$X$613,HLOOKUP(INDIRECT(ADDRESS(2,COLUMN())),OFFSET($BN$2,0,0,ROW()-1,60),ROW()-1,FALSE))</f>
        <v>406.24468539999998</v>
      </c>
      <c r="Y161">
        <f ca="1">IF(AND(ISNUMBER($Y$613),$B$419=1),$Y$613,HLOOKUP(INDIRECT(ADDRESS(2,COLUMN())),OFFSET($BN$2,0,0,ROW()-1,60),ROW()-1,FALSE))</f>
        <v>380.70866139999998</v>
      </c>
      <c r="Z161">
        <f ca="1">IF(AND(ISNUMBER($Z$613),$B$419=1),$Z$613,HLOOKUP(INDIRECT(ADDRESS(2,COLUMN())),OFFSET($BN$2,0,0,ROW()-1,60),ROW()-1,FALSE))</f>
        <v>587.45192310000004</v>
      </c>
      <c r="AA161">
        <f ca="1">IF(AND(ISNUMBER($AA$613),$B$419=1),$AA$613,HLOOKUP(INDIRECT(ADDRESS(2,COLUMN())),OFFSET($BN$2,0,0,ROW()-1,60),ROW()-1,FALSE))</f>
        <v>3227.3735499999998</v>
      </c>
      <c r="AB161">
        <f ca="1">IF(AND(ISNUMBER($AB$613),$B$419=1),$AB$613,HLOOKUP(INDIRECT(ADDRESS(2,COLUMN())),OFFSET($BN$2,0,0,ROW()-1,60),ROW()-1,FALSE))</f>
        <v>3166.666667</v>
      </c>
      <c r="AC161" t="str">
        <f ca="1">IF(AND(ISNUMBER($AC$613),$B$419=1),$AC$613,HLOOKUP(INDIRECT(ADDRESS(2,COLUMN())),OFFSET($BN$2,0,0,ROW()-1,60),ROW()-1,FALSE))</f>
        <v/>
      </c>
      <c r="AD161">
        <f ca="1">IF(AND(ISNUMBER($AD$613),$B$419=1),$AD$613,HLOOKUP(INDIRECT(ADDRESS(2,COLUMN())),OFFSET($BN$2,0,0,ROW()-1,60),ROW()-1,FALSE))</f>
        <v>268.10597680000001</v>
      </c>
      <c r="AE161" t="str">
        <f ca="1">IF(AND(ISNUMBER($AE$613),$B$419=1),$AE$613,HLOOKUP(INDIRECT(ADDRESS(2,COLUMN())),OFFSET($BN$2,0,0,ROW()-1,60),ROW()-1,FALSE))</f>
        <v/>
      </c>
      <c r="AF161" t="str">
        <f ca="1">IF(AND(ISNUMBER($AF$613),$B$419=1),$AF$613,HLOOKUP(INDIRECT(ADDRESS(2,COLUMN())),OFFSET($BN$2,0,0,ROW()-1,60),ROW()-1,FALSE))</f>
        <v/>
      </c>
      <c r="AG161" t="str">
        <f ca="1">IF(AND(ISNUMBER($AG$613),$B$419=1),$AG$613,HLOOKUP(INDIRECT(ADDRESS(2,COLUMN())),OFFSET($BN$2,0,0,ROW()-1,60),ROW()-1,FALSE))</f>
        <v/>
      </c>
      <c r="AH161">
        <f ca="1">IF(AND(ISNUMBER($AH$613),$B$419=1),$AH$613,HLOOKUP(INDIRECT(ADDRESS(2,COLUMN())),OFFSET($BN$2,0,0,ROW()-1,60),ROW()-1,FALSE))</f>
        <v>-3.1261786599999999</v>
      </c>
      <c r="AI161" t="str">
        <f ca="1">IF(AND(ISNUMBER($AI$613),$B$419=1),$AI$613,HLOOKUP(INDIRECT(ADDRESS(2,COLUMN())),OFFSET($BN$2,0,0,ROW()-1,60),ROW()-1,FALSE))</f>
        <v/>
      </c>
      <c r="AJ161" t="str">
        <f ca="1">IF(AND(ISNUMBER($AJ$613),$B$419=1),$AJ$613,HLOOKUP(INDIRECT(ADDRESS(2,COLUMN())),OFFSET($BN$2,0,0,ROW()-1,60),ROW()-1,FALSE))</f>
        <v/>
      </c>
      <c r="AK161" t="str">
        <f ca="1">IF(AND(ISNUMBER($AK$613),$B$419=1),$AK$613,HLOOKUP(INDIRECT(ADDRESS(2,COLUMN())),OFFSET($BN$2,0,0,ROW()-1,60),ROW()-1,FALSE))</f>
        <v/>
      </c>
      <c r="AL161" t="str">
        <f ca="1">IF(AND(ISNUMBER($AL$613),$B$419=1),$AL$613,HLOOKUP(INDIRECT(ADDRESS(2,COLUMN())),OFFSET($BN$2,0,0,ROW()-1,60),ROW()-1,FALSE))</f>
        <v/>
      </c>
      <c r="AM161" t="str">
        <f ca="1">IF(AND(ISNUMBER($AM$613),$B$419=1),$AM$613,HLOOKUP(INDIRECT(ADDRESS(2,COLUMN())),OFFSET($BN$2,0,0,ROW()-1,60),ROW()-1,FALSE))</f>
        <v/>
      </c>
      <c r="AN161" t="str">
        <f ca="1">IF(AND(ISNUMBER($AN$613),$B$419=1),$AN$613,HLOOKUP(INDIRECT(ADDRESS(2,COLUMN())),OFFSET($BN$2,0,0,ROW()-1,60),ROW()-1,FALSE))</f>
        <v/>
      </c>
      <c r="AO161" t="str">
        <f ca="1">IF(AND(ISNUMBER($AO$613),$B$419=1),$AO$613,HLOOKUP(INDIRECT(ADDRESS(2,COLUMN())),OFFSET($BN$2,0,0,ROW()-1,60),ROW()-1,FALSE))</f>
        <v/>
      </c>
      <c r="AP161" t="str">
        <f ca="1">IF(AND(ISNUMBER($AP$613),$B$419=1),$AP$613,HLOOKUP(INDIRECT(ADDRESS(2,COLUMN())),OFFSET($BN$2,0,0,ROW()-1,60),ROW()-1,FALSE))</f>
        <v/>
      </c>
      <c r="AQ161" t="str">
        <f ca="1">IF(AND(ISNUMBER($AQ$613),$B$419=1),$AQ$613,HLOOKUP(INDIRECT(ADDRESS(2,COLUMN())),OFFSET($BN$2,0,0,ROW()-1,60),ROW()-1,FALSE))</f>
        <v/>
      </c>
      <c r="AR161" t="str">
        <f ca="1">IF(AND(ISNUMBER($AR$613),$B$419=1),$AR$613,HLOOKUP(INDIRECT(ADDRESS(2,COLUMN())),OFFSET($BN$2,0,0,ROW()-1,60),ROW()-1,FALSE))</f>
        <v/>
      </c>
      <c r="AS161" t="str">
        <f ca="1">IF(AND(ISNUMBER($AS$613),$B$419=1),$AS$613,HLOOKUP(INDIRECT(ADDRESS(2,COLUMN())),OFFSET($BN$2,0,0,ROW()-1,60),ROW()-1,FALSE))</f>
        <v/>
      </c>
      <c r="AT161" t="str">
        <f ca="1">IF(AND(ISNUMBER($AT$613),$B$419=1),$AT$613,HLOOKUP(INDIRECT(ADDRESS(2,COLUMN())),OFFSET($BN$2,0,0,ROW()-1,60),ROW()-1,FALSE))</f>
        <v/>
      </c>
      <c r="AU161" t="str">
        <f ca="1">IF(AND(ISNUMBER($AU$613),$B$419=1),$AU$613,HLOOKUP(INDIRECT(ADDRESS(2,COLUMN())),OFFSET($BN$2,0,0,ROW()-1,60),ROW()-1,FALSE))</f>
        <v/>
      </c>
      <c r="AV161" t="str">
        <f ca="1">IF(AND(ISNUMBER($AV$613),$B$419=1),$AV$613,HLOOKUP(INDIRECT(ADDRESS(2,COLUMN())),OFFSET($BN$2,0,0,ROW()-1,60),ROW()-1,FALSE))</f>
        <v/>
      </c>
      <c r="AW161" t="str">
        <f ca="1">IF(AND(ISNUMBER($AW$613),$B$419=1),$AW$613,HLOOKUP(INDIRECT(ADDRESS(2,COLUMN())),OFFSET($BN$2,0,0,ROW()-1,60),ROW()-1,FALSE))</f>
        <v/>
      </c>
      <c r="AX161" t="str">
        <f ca="1">IF(AND(ISNUMBER($AX$613),$B$419=1),$AX$613,HLOOKUP(INDIRECT(ADDRESS(2,COLUMN())),OFFSET($BN$2,0,0,ROW()-1,60),ROW()-1,FALSE))</f>
        <v/>
      </c>
      <c r="AY161" t="str">
        <f ca="1">IF(AND(ISNUMBER($AY$613),$B$419=1),$AY$613,HLOOKUP(INDIRECT(ADDRESS(2,COLUMN())),OFFSET($BN$2,0,0,ROW()-1,60),ROW()-1,FALSE))</f>
        <v/>
      </c>
      <c r="AZ161" t="str">
        <f ca="1">IF(AND(ISNUMBER($AZ$613),$B$419=1),$AZ$613,HLOOKUP(INDIRECT(ADDRESS(2,COLUMN())),OFFSET($BN$2,0,0,ROW()-1,60),ROW()-1,FALSE))</f>
        <v/>
      </c>
      <c r="BA161" t="str">
        <f ca="1">IF(AND(ISNUMBER($BA$613),$B$419=1),$BA$613,HLOOKUP(INDIRECT(ADDRESS(2,COLUMN())),OFFSET($BN$2,0,0,ROW()-1,60),ROW()-1,FALSE))</f>
        <v/>
      </c>
      <c r="BB161" t="str">
        <f ca="1">IF(AND(ISNUMBER($BB$613),$B$419=1),$BB$613,HLOOKUP(INDIRECT(ADDRESS(2,COLUMN())),OFFSET($BN$2,0,0,ROW()-1,60),ROW()-1,FALSE))</f>
        <v/>
      </c>
      <c r="BC161" t="str">
        <f ca="1">IF(AND(ISNUMBER($BC$613),$B$419=1),$BC$613,HLOOKUP(INDIRECT(ADDRESS(2,COLUMN())),OFFSET($BN$2,0,0,ROW()-1,60),ROW()-1,FALSE))</f>
        <v/>
      </c>
      <c r="BD161" t="str">
        <f ca="1">IF(AND(ISNUMBER($BD$613),$B$419=1),$BD$613,HLOOKUP(INDIRECT(ADDRESS(2,COLUMN())),OFFSET($BN$2,0,0,ROW()-1,60),ROW()-1,FALSE))</f>
        <v/>
      </c>
      <c r="BE161" t="str">
        <f ca="1">IF(AND(ISNUMBER($BE$613),$B$419=1),$BE$613,HLOOKUP(INDIRECT(ADDRESS(2,COLUMN())),OFFSET($BN$2,0,0,ROW()-1,60),ROW()-1,FALSE))</f>
        <v/>
      </c>
      <c r="BF161" t="str">
        <f ca="1">IF(AND(ISNUMBER($BF$613),$B$419=1),$BF$613,HLOOKUP(INDIRECT(ADDRESS(2,COLUMN())),OFFSET($BN$2,0,0,ROW()-1,60),ROW()-1,FALSE))</f>
        <v/>
      </c>
      <c r="BG161" t="str">
        <f ca="1">IF(AND(ISNUMBER($BG$613),$B$419=1),$BG$613,HLOOKUP(INDIRECT(ADDRESS(2,COLUMN())),OFFSET($BN$2,0,0,ROW()-1,60),ROW()-1,FALSE))</f>
        <v/>
      </c>
      <c r="BH161" t="str">
        <f ca="1">IF(AND(ISNUMBER($BH$613),$B$419=1),$BH$613,HLOOKUP(INDIRECT(ADDRESS(2,COLUMN())),OFFSET($BN$2,0,0,ROW()-1,60),ROW()-1,FALSE))</f>
        <v/>
      </c>
      <c r="BI161" t="str">
        <f ca="1">IF(AND(ISNUMBER($BI$613),$B$419=1),$BI$613,HLOOKUP(INDIRECT(ADDRESS(2,COLUMN())),OFFSET($BN$2,0,0,ROW()-1,60),ROW()-1,FALSE))</f>
        <v/>
      </c>
      <c r="BJ161" t="str">
        <f ca="1">IF(AND(ISNUMBER($BJ$613),$B$419=1),$BJ$613,HLOOKUP(INDIRECT(ADDRESS(2,COLUMN())),OFFSET($BN$2,0,0,ROW()-1,60),ROW()-1,FALSE))</f>
        <v/>
      </c>
      <c r="BK161" t="str">
        <f ca="1">IF(AND(ISNUMBER($BK$613),$B$419=1),$BK$613,HLOOKUP(INDIRECT(ADDRESS(2,COLUMN())),OFFSET($BN$2,0,0,ROW()-1,60),ROW()-1,FALSE))</f>
        <v/>
      </c>
      <c r="BL161" t="str">
        <f ca="1">IF(AND(ISNUMBER($BL$613),$B$419=1),$BL$613,HLOOKUP(INDIRECT(ADDRESS(2,COLUMN())),OFFSET($BN$2,0,0,ROW()-1,60),ROW()-1,FALSE))</f>
        <v/>
      </c>
      <c r="BM161" t="str">
        <f ca="1">IF(AND(ISNUMBER($BM$613),$B$419=1),$BM$613,HLOOKUP(INDIRECT(ADDRESS(2,COLUMN())),OFFSET($BN$2,0,0,ROW()-1,60),ROW()-1,FALSE))</f>
        <v/>
      </c>
      <c r="BN161" t="str">
        <f>""</f>
        <v/>
      </c>
      <c r="BO161">
        <f>-10.02361674</f>
        <v>-10.02361674</v>
      </c>
      <c r="BP161">
        <f>-8.042379069</f>
        <v>-8.0423790690000008</v>
      </c>
      <c r="BQ161">
        <f>-9.187939162</f>
        <v>-9.1879391619999993</v>
      </c>
      <c r="BR161">
        <f>-5.688309577</f>
        <v>-5.6883095770000001</v>
      </c>
      <c r="BS161">
        <f>-8.217823848</f>
        <v>-8.2178238480000001</v>
      </c>
      <c r="BT161">
        <f>-5.725099622</f>
        <v>-5.7250996220000001</v>
      </c>
      <c r="BU161">
        <f>-5.766011973</f>
        <v>-5.7660119730000003</v>
      </c>
      <c r="BV161">
        <f>-6.33249401</f>
        <v>-6.3324940099999996</v>
      </c>
      <c r="BW161">
        <f>-8.460460307</f>
        <v>-8.460460307</v>
      </c>
      <c r="BX161">
        <f>-15.7867334</f>
        <v>-15.786733399999999</v>
      </c>
      <c r="BY161">
        <f>3.020320374</f>
        <v>3.0203203740000002</v>
      </c>
      <c r="BZ161">
        <f>22.67261189</f>
        <v>22.672611889999999</v>
      </c>
      <c r="CA161">
        <f>344.994953</f>
        <v>344.99495300000001</v>
      </c>
      <c r="CB161">
        <f>379.8887198</f>
        <v>379.88871979999999</v>
      </c>
      <c r="CC161">
        <f>595.5646556</f>
        <v>595.56465560000004</v>
      </c>
      <c r="CD161">
        <f>648.6630767</f>
        <v>648.66307670000003</v>
      </c>
      <c r="CE161">
        <f>212.9447363</f>
        <v>212.94473629999999</v>
      </c>
      <c r="CF161">
        <f>406.2446854</f>
        <v>406.24468539999998</v>
      </c>
      <c r="CG161">
        <f>380.7086614</f>
        <v>380.70866139999998</v>
      </c>
      <c r="CH161">
        <f>587.4519231</f>
        <v>587.45192310000004</v>
      </c>
      <c r="CI161">
        <f>3227.37355</f>
        <v>3227.3735499999998</v>
      </c>
      <c r="CJ161">
        <f>3166.666667</f>
        <v>3166.666667</v>
      </c>
      <c r="CK161" t="str">
        <f>""</f>
        <v/>
      </c>
      <c r="CL161">
        <f>268.1059768</f>
        <v>268.10597680000001</v>
      </c>
      <c r="CM161" t="str">
        <f>""</f>
        <v/>
      </c>
      <c r="CN161" t="str">
        <f>""</f>
        <v/>
      </c>
      <c r="CO161" t="str">
        <f>""</f>
        <v/>
      </c>
      <c r="CP161">
        <f>-3.12617866</f>
        <v>-3.1261786599999999</v>
      </c>
      <c r="CQ161" t="str">
        <f>""</f>
        <v/>
      </c>
      <c r="CR161" t="str">
        <f>""</f>
        <v/>
      </c>
      <c r="CS161" t="str">
        <f>""</f>
        <v/>
      </c>
      <c r="CT161" t="str">
        <f>""</f>
        <v/>
      </c>
      <c r="CU161" t="str">
        <f>""</f>
        <v/>
      </c>
      <c r="CV161" t="str">
        <f>""</f>
        <v/>
      </c>
      <c r="CW161" t="str">
        <f>""</f>
        <v/>
      </c>
      <c r="CX161" t="str">
        <f>""</f>
        <v/>
      </c>
      <c r="CY161" t="str">
        <f>""</f>
        <v/>
      </c>
      <c r="CZ161" t="str">
        <f>""</f>
        <v/>
      </c>
      <c r="DA161" t="str">
        <f>""</f>
        <v/>
      </c>
      <c r="DB161" t="str">
        <f>""</f>
        <v/>
      </c>
      <c r="DC161" t="str">
        <f>""</f>
        <v/>
      </c>
      <c r="DD161" t="str">
        <f>""</f>
        <v/>
      </c>
      <c r="DE161" t="str">
        <f>""</f>
        <v/>
      </c>
      <c r="DF161" t="str">
        <f>""</f>
        <v/>
      </c>
      <c r="DG161" t="str">
        <f>""</f>
        <v/>
      </c>
      <c r="DH161" t="str">
        <f>""</f>
        <v/>
      </c>
      <c r="DI161" t="str">
        <f>""</f>
        <v/>
      </c>
      <c r="DJ161" t="str">
        <f>""</f>
        <v/>
      </c>
      <c r="DK161" t="str">
        <f>""</f>
        <v/>
      </c>
      <c r="DL161" t="str">
        <f>""</f>
        <v/>
      </c>
      <c r="DM161" t="str">
        <f>""</f>
        <v/>
      </c>
      <c r="DN161" t="str">
        <f>""</f>
        <v/>
      </c>
      <c r="DO161" t="str">
        <f>""</f>
        <v/>
      </c>
      <c r="DP161" t="str">
        <f>""</f>
        <v/>
      </c>
      <c r="DQ161" t="str">
        <f>""</f>
        <v/>
      </c>
      <c r="DR161" t="str">
        <f>""</f>
        <v/>
      </c>
      <c r="DS161" t="str">
        <f>""</f>
        <v/>
      </c>
      <c r="DT161" t="str">
        <f>""</f>
        <v/>
      </c>
      <c r="DU161" t="str">
        <f>""</f>
        <v/>
      </c>
    </row>
    <row r="162" spans="1:125">
      <c r="A162" t="str">
        <f>"    Washington Prime Group Inc"</f>
        <v xml:space="preserve">    Washington Prime Group Inc</v>
      </c>
      <c r="B162" t="str">
        <f>"WPG US Equity"</f>
        <v>WPG US Equity</v>
      </c>
      <c r="C162" t="str">
        <f t="shared" si="27"/>
        <v>RR033</v>
      </c>
      <c r="D162" t="str">
        <f t="shared" si="28"/>
        <v>SALES_GROWTH</v>
      </c>
      <c r="E162" t="str">
        <f t="shared" si="29"/>
        <v>动态</v>
      </c>
      <c r="F162" t="str">
        <f ca="1">IF(AND(ISNUMBER($F$614),$B$419=1),$F$614,HLOOKUP(INDIRECT(ADDRESS(2,COLUMN())),OFFSET($BN$2,0,0,ROW()-1,60),ROW()-1,FALSE))</f>
        <v/>
      </c>
      <c r="G162">
        <f ca="1">IF(AND(ISNUMBER($G$614),$B$419=1),$G$614,HLOOKUP(INDIRECT(ADDRESS(2,COLUMN())),OFFSET($BN$2,0,0,ROW()-1,60),ROW()-1,FALSE))</f>
        <v>-14.02667769</v>
      </c>
      <c r="H162">
        <f ca="1">IF(AND(ISNUMBER($H$614),$B$419=1),$H$614,HLOOKUP(INDIRECT(ADDRESS(2,COLUMN())),OFFSET($BN$2,0,0,ROW()-1,60),ROW()-1,FALSE))</f>
        <v>-14.57779556</v>
      </c>
      <c r="I162">
        <f ca="1">IF(AND(ISNUMBER($I$614),$B$419=1),$I$614,HLOOKUP(INDIRECT(ADDRESS(2,COLUMN())),OFFSET($BN$2,0,0,ROW()-1,60),ROW()-1,FALSE))</f>
        <v>-8.0524745059999994</v>
      </c>
      <c r="J162">
        <f ca="1">IF(AND(ISNUMBER($J$614),$B$419=1),$J$614,HLOOKUP(INDIRECT(ADDRESS(2,COLUMN())),OFFSET($BN$2,0,0,ROW()-1,60),ROW()-1,FALSE))</f>
        <v>-3.6361299050000002</v>
      </c>
      <c r="K162">
        <f ca="1">IF(AND(ISNUMBER($K$614),$B$419=1),$K$614,HLOOKUP(INDIRECT(ADDRESS(2,COLUMN())),OFFSET($BN$2,0,0,ROW()-1,60),ROW()-1,FALSE))</f>
        <v>-5.0536889049999996</v>
      </c>
      <c r="L162">
        <f ca="1">IF(AND(ISNUMBER($L$614),$B$419=1),$L$614,HLOOKUP(INDIRECT(ADDRESS(2,COLUMN())),OFFSET($BN$2,0,0,ROW()-1,60),ROW()-1,FALSE))</f>
        <v>-3.14525766</v>
      </c>
      <c r="M162">
        <f ca="1">IF(AND(ISNUMBER($M$614),$B$419=1),$M$614,HLOOKUP(INDIRECT(ADDRESS(2,COLUMN())),OFFSET($BN$2,0,0,ROW()-1,60),ROW()-1,FALSE))</f>
        <v>-13.383685290000001</v>
      </c>
      <c r="N162">
        <f ca="1">IF(AND(ISNUMBER($N$614),$B$419=1),$N$614,HLOOKUP(INDIRECT(ADDRESS(2,COLUMN())),OFFSET($BN$2,0,0,ROW()-1,60),ROW()-1,FALSE))</f>
        <v>-11.646993500000001</v>
      </c>
      <c r="O162">
        <f ca="1">IF(AND(ISNUMBER($O$614),$B$419=1),$O$614,HLOOKUP(INDIRECT(ADDRESS(2,COLUMN())),OFFSET($BN$2,0,0,ROW()-1,60),ROW()-1,FALSE))</f>
        <v>29.3737098</v>
      </c>
      <c r="P162">
        <f ca="1">IF(AND(ISNUMBER($P$614),$B$419=1),$P$614,HLOOKUP(INDIRECT(ADDRESS(2,COLUMN())),OFFSET($BN$2,0,0,ROW()-1,60),ROW()-1,FALSE))</f>
        <v>29.25443095</v>
      </c>
      <c r="Q162">
        <f ca="1">IF(AND(ISNUMBER($Q$614),$B$419=1),$Q$614,HLOOKUP(INDIRECT(ADDRESS(2,COLUMN())),OFFSET($BN$2,0,0,ROW()-1,60),ROW()-1,FALSE))</f>
        <v>50.167852060000001</v>
      </c>
      <c r="R162">
        <f ca="1">IF(AND(ISNUMBER($R$614),$B$419=1),$R$614,HLOOKUP(INDIRECT(ADDRESS(2,COLUMN())),OFFSET($BN$2,0,0,ROW()-1,60),ROW()-1,FALSE))</f>
        <v>50.483955709999996</v>
      </c>
      <c r="S162" t="str">
        <f ca="1">IF(AND(ISNUMBER($S$614),$B$419=1),$S$614,HLOOKUP(INDIRECT(ADDRESS(2,COLUMN())),OFFSET($BN$2,0,0,ROW()-1,60),ROW()-1,FALSE))</f>
        <v/>
      </c>
      <c r="T162" t="str">
        <f ca="1">IF(AND(ISNUMBER($T$614),$B$419=1),$T$614,HLOOKUP(INDIRECT(ADDRESS(2,COLUMN())),OFFSET($BN$2,0,0,ROW()-1,60),ROW()-1,FALSE))</f>
        <v/>
      </c>
      <c r="U162" t="str">
        <f ca="1">IF(AND(ISNUMBER($U$614),$B$419=1),$U$614,HLOOKUP(INDIRECT(ADDRESS(2,COLUMN())),OFFSET($BN$2,0,0,ROW()-1,60),ROW()-1,FALSE))</f>
        <v/>
      </c>
      <c r="V162" t="str">
        <f ca="1">IF(AND(ISNUMBER($V$614),$B$419=1),$V$614,HLOOKUP(INDIRECT(ADDRESS(2,COLUMN())),OFFSET($BN$2,0,0,ROW()-1,60),ROW()-1,FALSE))</f>
        <v/>
      </c>
      <c r="W162" t="str">
        <f ca="1">IF(AND(ISNUMBER($W$614),$B$419=1),$W$614,HLOOKUP(INDIRECT(ADDRESS(2,COLUMN())),OFFSET($BN$2,0,0,ROW()-1,60),ROW()-1,FALSE))</f>
        <v/>
      </c>
      <c r="X162" t="str">
        <f ca="1">IF(AND(ISNUMBER($X$614),$B$419=1),$X$614,HLOOKUP(INDIRECT(ADDRESS(2,COLUMN())),OFFSET($BN$2,0,0,ROW()-1,60),ROW()-1,FALSE))</f>
        <v/>
      </c>
      <c r="Y162" t="str">
        <f ca="1">IF(AND(ISNUMBER($Y$614),$B$419=1),$Y$614,HLOOKUP(INDIRECT(ADDRESS(2,COLUMN())),OFFSET($BN$2,0,0,ROW()-1,60),ROW()-1,FALSE))</f>
        <v/>
      </c>
      <c r="Z162" t="str">
        <f ca="1">IF(AND(ISNUMBER($Z$614),$B$419=1),$Z$614,HLOOKUP(INDIRECT(ADDRESS(2,COLUMN())),OFFSET($BN$2,0,0,ROW()-1,60),ROW()-1,FALSE))</f>
        <v/>
      </c>
      <c r="AA162" t="str">
        <f ca="1">IF(AND(ISNUMBER($AA$614),$B$419=1),$AA$614,HLOOKUP(INDIRECT(ADDRESS(2,COLUMN())),OFFSET($BN$2,0,0,ROW()-1,60),ROW()-1,FALSE))</f>
        <v/>
      </c>
      <c r="AB162" t="str">
        <f ca="1">IF(AND(ISNUMBER($AB$614),$B$419=1),$AB$614,HLOOKUP(INDIRECT(ADDRESS(2,COLUMN())),OFFSET($BN$2,0,0,ROW()-1,60),ROW()-1,FALSE))</f>
        <v/>
      </c>
      <c r="AC162" t="str">
        <f ca="1">IF(AND(ISNUMBER($AC$614),$B$419=1),$AC$614,HLOOKUP(INDIRECT(ADDRESS(2,COLUMN())),OFFSET($BN$2,0,0,ROW()-1,60),ROW()-1,FALSE))</f>
        <v/>
      </c>
      <c r="AD162" t="str">
        <f ca="1">IF(AND(ISNUMBER($AD$614),$B$419=1),$AD$614,HLOOKUP(INDIRECT(ADDRESS(2,COLUMN())),OFFSET($BN$2,0,0,ROW()-1,60),ROW()-1,FALSE))</f>
        <v/>
      </c>
      <c r="AE162" t="str">
        <f ca="1">IF(AND(ISNUMBER($AE$614),$B$419=1),$AE$614,HLOOKUP(INDIRECT(ADDRESS(2,COLUMN())),OFFSET($BN$2,0,0,ROW()-1,60),ROW()-1,FALSE))</f>
        <v/>
      </c>
      <c r="AF162" t="str">
        <f ca="1">IF(AND(ISNUMBER($AF$614),$B$419=1),$AF$614,HLOOKUP(INDIRECT(ADDRESS(2,COLUMN())),OFFSET($BN$2,0,0,ROW()-1,60),ROW()-1,FALSE))</f>
        <v/>
      </c>
      <c r="AG162" t="str">
        <f ca="1">IF(AND(ISNUMBER($AG$614),$B$419=1),$AG$614,HLOOKUP(INDIRECT(ADDRESS(2,COLUMN())),OFFSET($BN$2,0,0,ROW()-1,60),ROW()-1,FALSE))</f>
        <v/>
      </c>
      <c r="AH162" t="str">
        <f ca="1">IF(AND(ISNUMBER($AH$614),$B$419=1),$AH$614,HLOOKUP(INDIRECT(ADDRESS(2,COLUMN())),OFFSET($BN$2,0,0,ROW()-1,60),ROW()-1,FALSE))</f>
        <v/>
      </c>
      <c r="AI162" t="str">
        <f ca="1">IF(AND(ISNUMBER($AI$614),$B$419=1),$AI$614,HLOOKUP(INDIRECT(ADDRESS(2,COLUMN())),OFFSET($BN$2,0,0,ROW()-1,60),ROW()-1,FALSE))</f>
        <v/>
      </c>
      <c r="AJ162" t="str">
        <f ca="1">IF(AND(ISNUMBER($AJ$614),$B$419=1),$AJ$614,HLOOKUP(INDIRECT(ADDRESS(2,COLUMN())),OFFSET($BN$2,0,0,ROW()-1,60),ROW()-1,FALSE))</f>
        <v/>
      </c>
      <c r="AK162" t="str">
        <f ca="1">IF(AND(ISNUMBER($AK$614),$B$419=1),$AK$614,HLOOKUP(INDIRECT(ADDRESS(2,COLUMN())),OFFSET($BN$2,0,0,ROW()-1,60),ROW()-1,FALSE))</f>
        <v/>
      </c>
      <c r="AL162" t="str">
        <f ca="1">IF(AND(ISNUMBER($AL$614),$B$419=1),$AL$614,HLOOKUP(INDIRECT(ADDRESS(2,COLUMN())),OFFSET($BN$2,0,0,ROW()-1,60),ROW()-1,FALSE))</f>
        <v/>
      </c>
      <c r="AM162" t="str">
        <f ca="1">IF(AND(ISNUMBER($AM$614),$B$419=1),$AM$614,HLOOKUP(INDIRECT(ADDRESS(2,COLUMN())),OFFSET($BN$2,0,0,ROW()-1,60),ROW()-1,FALSE))</f>
        <v/>
      </c>
      <c r="AN162" t="str">
        <f ca="1">IF(AND(ISNUMBER($AN$614),$B$419=1),$AN$614,HLOOKUP(INDIRECT(ADDRESS(2,COLUMN())),OFFSET($BN$2,0,0,ROW()-1,60),ROW()-1,FALSE))</f>
        <v/>
      </c>
      <c r="AO162" t="str">
        <f ca="1">IF(AND(ISNUMBER($AO$614),$B$419=1),$AO$614,HLOOKUP(INDIRECT(ADDRESS(2,COLUMN())),OFFSET($BN$2,0,0,ROW()-1,60),ROW()-1,FALSE))</f>
        <v/>
      </c>
      <c r="AP162" t="str">
        <f ca="1">IF(AND(ISNUMBER($AP$614),$B$419=1),$AP$614,HLOOKUP(INDIRECT(ADDRESS(2,COLUMN())),OFFSET($BN$2,0,0,ROW()-1,60),ROW()-1,FALSE))</f>
        <v/>
      </c>
      <c r="AQ162" t="str">
        <f ca="1">IF(AND(ISNUMBER($AQ$614),$B$419=1),$AQ$614,HLOOKUP(INDIRECT(ADDRESS(2,COLUMN())),OFFSET($BN$2,0,0,ROW()-1,60),ROW()-1,FALSE))</f>
        <v/>
      </c>
      <c r="AR162" t="str">
        <f ca="1">IF(AND(ISNUMBER($AR$614),$B$419=1),$AR$614,HLOOKUP(INDIRECT(ADDRESS(2,COLUMN())),OFFSET($BN$2,0,0,ROW()-1,60),ROW()-1,FALSE))</f>
        <v/>
      </c>
      <c r="AS162" t="str">
        <f ca="1">IF(AND(ISNUMBER($AS$614),$B$419=1),$AS$614,HLOOKUP(INDIRECT(ADDRESS(2,COLUMN())),OFFSET($BN$2,0,0,ROW()-1,60),ROW()-1,FALSE))</f>
        <v/>
      </c>
      <c r="AT162" t="str">
        <f ca="1">IF(AND(ISNUMBER($AT$614),$B$419=1),$AT$614,HLOOKUP(INDIRECT(ADDRESS(2,COLUMN())),OFFSET($BN$2,0,0,ROW()-1,60),ROW()-1,FALSE))</f>
        <v/>
      </c>
      <c r="AU162" t="str">
        <f ca="1">IF(AND(ISNUMBER($AU$614),$B$419=1),$AU$614,HLOOKUP(INDIRECT(ADDRESS(2,COLUMN())),OFFSET($BN$2,0,0,ROW()-1,60),ROW()-1,FALSE))</f>
        <v/>
      </c>
      <c r="AV162" t="str">
        <f ca="1">IF(AND(ISNUMBER($AV$614),$B$419=1),$AV$614,HLOOKUP(INDIRECT(ADDRESS(2,COLUMN())),OFFSET($BN$2,0,0,ROW()-1,60),ROW()-1,FALSE))</f>
        <v/>
      </c>
      <c r="AW162" t="str">
        <f ca="1">IF(AND(ISNUMBER($AW$614),$B$419=1),$AW$614,HLOOKUP(INDIRECT(ADDRESS(2,COLUMN())),OFFSET($BN$2,0,0,ROW()-1,60),ROW()-1,FALSE))</f>
        <v/>
      </c>
      <c r="AX162" t="str">
        <f ca="1">IF(AND(ISNUMBER($AX$614),$B$419=1),$AX$614,HLOOKUP(INDIRECT(ADDRESS(2,COLUMN())),OFFSET($BN$2,0,0,ROW()-1,60),ROW()-1,FALSE))</f>
        <v/>
      </c>
      <c r="AY162" t="str">
        <f ca="1">IF(AND(ISNUMBER($AY$614),$B$419=1),$AY$614,HLOOKUP(INDIRECT(ADDRESS(2,COLUMN())),OFFSET($BN$2,0,0,ROW()-1,60),ROW()-1,FALSE))</f>
        <v/>
      </c>
      <c r="AZ162" t="str">
        <f ca="1">IF(AND(ISNUMBER($AZ$614),$B$419=1),$AZ$614,HLOOKUP(INDIRECT(ADDRESS(2,COLUMN())),OFFSET($BN$2,0,0,ROW()-1,60),ROW()-1,FALSE))</f>
        <v/>
      </c>
      <c r="BA162" t="str">
        <f ca="1">IF(AND(ISNUMBER($BA$614),$B$419=1),$BA$614,HLOOKUP(INDIRECT(ADDRESS(2,COLUMN())),OFFSET($BN$2,0,0,ROW()-1,60),ROW()-1,FALSE))</f>
        <v/>
      </c>
      <c r="BB162" t="str">
        <f ca="1">IF(AND(ISNUMBER($BB$614),$B$419=1),$BB$614,HLOOKUP(INDIRECT(ADDRESS(2,COLUMN())),OFFSET($BN$2,0,0,ROW()-1,60),ROW()-1,FALSE))</f>
        <v/>
      </c>
      <c r="BC162" t="str">
        <f ca="1">IF(AND(ISNUMBER($BC$614),$B$419=1),$BC$614,HLOOKUP(INDIRECT(ADDRESS(2,COLUMN())),OFFSET($BN$2,0,0,ROW()-1,60),ROW()-1,FALSE))</f>
        <v/>
      </c>
      <c r="BD162" t="str">
        <f ca="1">IF(AND(ISNUMBER($BD$614),$B$419=1),$BD$614,HLOOKUP(INDIRECT(ADDRESS(2,COLUMN())),OFFSET($BN$2,0,0,ROW()-1,60),ROW()-1,FALSE))</f>
        <v/>
      </c>
      <c r="BE162" t="str">
        <f ca="1">IF(AND(ISNUMBER($BE$614),$B$419=1),$BE$614,HLOOKUP(INDIRECT(ADDRESS(2,COLUMN())),OFFSET($BN$2,0,0,ROW()-1,60),ROW()-1,FALSE))</f>
        <v/>
      </c>
      <c r="BF162" t="str">
        <f ca="1">IF(AND(ISNUMBER($BF$614),$B$419=1),$BF$614,HLOOKUP(INDIRECT(ADDRESS(2,COLUMN())),OFFSET($BN$2,0,0,ROW()-1,60),ROW()-1,FALSE))</f>
        <v/>
      </c>
      <c r="BG162" t="str">
        <f ca="1">IF(AND(ISNUMBER($BG$614),$B$419=1),$BG$614,HLOOKUP(INDIRECT(ADDRESS(2,COLUMN())),OFFSET($BN$2,0,0,ROW()-1,60),ROW()-1,FALSE))</f>
        <v/>
      </c>
      <c r="BH162" t="str">
        <f ca="1">IF(AND(ISNUMBER($BH$614),$B$419=1),$BH$614,HLOOKUP(INDIRECT(ADDRESS(2,COLUMN())),OFFSET($BN$2,0,0,ROW()-1,60),ROW()-1,FALSE))</f>
        <v/>
      </c>
      <c r="BI162" t="str">
        <f ca="1">IF(AND(ISNUMBER($BI$614),$B$419=1),$BI$614,HLOOKUP(INDIRECT(ADDRESS(2,COLUMN())),OFFSET($BN$2,0,0,ROW()-1,60),ROW()-1,FALSE))</f>
        <v/>
      </c>
      <c r="BJ162" t="str">
        <f ca="1">IF(AND(ISNUMBER($BJ$614),$B$419=1),$BJ$614,HLOOKUP(INDIRECT(ADDRESS(2,COLUMN())),OFFSET($BN$2,0,0,ROW()-1,60),ROW()-1,FALSE))</f>
        <v/>
      </c>
      <c r="BK162" t="str">
        <f ca="1">IF(AND(ISNUMBER($BK$614),$B$419=1),$BK$614,HLOOKUP(INDIRECT(ADDRESS(2,COLUMN())),OFFSET($BN$2,0,0,ROW()-1,60),ROW()-1,FALSE))</f>
        <v/>
      </c>
      <c r="BL162" t="str">
        <f ca="1">IF(AND(ISNUMBER($BL$614),$B$419=1),$BL$614,HLOOKUP(INDIRECT(ADDRESS(2,COLUMN())),OFFSET($BN$2,0,0,ROW()-1,60),ROW()-1,FALSE))</f>
        <v/>
      </c>
      <c r="BM162" t="str">
        <f ca="1">IF(AND(ISNUMBER($BM$614),$B$419=1),$BM$614,HLOOKUP(INDIRECT(ADDRESS(2,COLUMN())),OFFSET($BN$2,0,0,ROW()-1,60),ROW()-1,FALSE))</f>
        <v/>
      </c>
      <c r="BN162" t="str">
        <f>""</f>
        <v/>
      </c>
      <c r="BO162">
        <f>-14.02667769</f>
        <v>-14.02667769</v>
      </c>
      <c r="BP162">
        <f>-14.57779556</f>
        <v>-14.57779556</v>
      </c>
      <c r="BQ162">
        <f>-8.052474506</f>
        <v>-8.0524745059999994</v>
      </c>
      <c r="BR162">
        <f>-3.636129905</f>
        <v>-3.6361299050000002</v>
      </c>
      <c r="BS162">
        <f>-5.053688905</f>
        <v>-5.0536889049999996</v>
      </c>
      <c r="BT162">
        <f>-3.14525766</f>
        <v>-3.14525766</v>
      </c>
      <c r="BU162">
        <f>-13.38368529</f>
        <v>-13.383685290000001</v>
      </c>
      <c r="BV162">
        <f>-11.6469935</f>
        <v>-11.646993500000001</v>
      </c>
      <c r="BW162">
        <f>29.3737098</f>
        <v>29.3737098</v>
      </c>
      <c r="BX162">
        <f>29.25443095</f>
        <v>29.25443095</v>
      </c>
      <c r="BY162">
        <f>50.16785206</f>
        <v>50.167852060000001</v>
      </c>
      <c r="BZ162">
        <f>50.48395571</f>
        <v>50.483955709999996</v>
      </c>
      <c r="CA162" t="str">
        <f>""</f>
        <v/>
      </c>
      <c r="CB162" t="str">
        <f>""</f>
        <v/>
      </c>
      <c r="CC162" t="str">
        <f>""</f>
        <v/>
      </c>
      <c r="CD162" t="str">
        <f>""</f>
        <v/>
      </c>
      <c r="CE162" t="str">
        <f>""</f>
        <v/>
      </c>
      <c r="CF162" t="str">
        <f>""</f>
        <v/>
      </c>
      <c r="CG162" t="str">
        <f>""</f>
        <v/>
      </c>
      <c r="CH162" t="str">
        <f>""</f>
        <v/>
      </c>
      <c r="CI162" t="str">
        <f>""</f>
        <v/>
      </c>
      <c r="CJ162" t="str">
        <f>""</f>
        <v/>
      </c>
      <c r="CK162" t="str">
        <f>""</f>
        <v/>
      </c>
      <c r="CL162" t="str">
        <f>""</f>
        <v/>
      </c>
      <c r="CM162" t="str">
        <f>""</f>
        <v/>
      </c>
      <c r="CN162" t="str">
        <f>""</f>
        <v/>
      </c>
      <c r="CO162" t="str">
        <f>""</f>
        <v/>
      </c>
      <c r="CP162" t="str">
        <f>""</f>
        <v/>
      </c>
      <c r="CQ162" t="str">
        <f>""</f>
        <v/>
      </c>
      <c r="CR162" t="str">
        <f>""</f>
        <v/>
      </c>
      <c r="CS162" t="str">
        <f>""</f>
        <v/>
      </c>
      <c r="CT162" t="str">
        <f>""</f>
        <v/>
      </c>
      <c r="CU162" t="str">
        <f>""</f>
        <v/>
      </c>
      <c r="CV162" t="str">
        <f>""</f>
        <v/>
      </c>
      <c r="CW162" t="str">
        <f>""</f>
        <v/>
      </c>
      <c r="CX162" t="str">
        <f>""</f>
        <v/>
      </c>
      <c r="CY162" t="str">
        <f>""</f>
        <v/>
      </c>
      <c r="CZ162" t="str">
        <f>""</f>
        <v/>
      </c>
      <c r="DA162" t="str">
        <f>""</f>
        <v/>
      </c>
      <c r="DB162" t="str">
        <f>""</f>
        <v/>
      </c>
      <c r="DC162" t="str">
        <f>""</f>
        <v/>
      </c>
      <c r="DD162" t="str">
        <f>""</f>
        <v/>
      </c>
      <c r="DE162" t="str">
        <f>""</f>
        <v/>
      </c>
      <c r="DF162" t="str">
        <f>""</f>
        <v/>
      </c>
      <c r="DG162" t="str">
        <f>""</f>
        <v/>
      </c>
      <c r="DH162" t="str">
        <f>""</f>
        <v/>
      </c>
      <c r="DI162" t="str">
        <f>""</f>
        <v/>
      </c>
      <c r="DJ162" t="str">
        <f>""</f>
        <v/>
      </c>
      <c r="DK162" t="str">
        <f>""</f>
        <v/>
      </c>
      <c r="DL162" t="str">
        <f>""</f>
        <v/>
      </c>
      <c r="DM162" t="str">
        <f>""</f>
        <v/>
      </c>
      <c r="DN162" t="str">
        <f>""</f>
        <v/>
      </c>
      <c r="DO162" t="str">
        <f>""</f>
        <v/>
      </c>
      <c r="DP162" t="str">
        <f>""</f>
        <v/>
      </c>
      <c r="DQ162" t="str">
        <f>""</f>
        <v/>
      </c>
      <c r="DR162" t="str">
        <f>""</f>
        <v/>
      </c>
      <c r="DS162" t="str">
        <f>""</f>
        <v/>
      </c>
      <c r="DT162" t="str">
        <f>""</f>
        <v/>
      </c>
      <c r="DU162" t="str">
        <f>""</f>
        <v/>
      </c>
    </row>
    <row r="163" spans="1:125">
      <c r="A163" t="str">
        <f>"    Weingarten Realty Investors"</f>
        <v xml:space="preserve">    Weingarten Realty Investors</v>
      </c>
      <c r="B163" t="str">
        <f>"WRI US Equity"</f>
        <v>WRI US Equity</v>
      </c>
      <c r="C163" t="str">
        <f t="shared" si="27"/>
        <v>RR033</v>
      </c>
      <c r="D163" t="str">
        <f t="shared" si="28"/>
        <v>SALES_GROWTH</v>
      </c>
      <c r="E163" t="str">
        <f t="shared" si="29"/>
        <v>动态</v>
      </c>
      <c r="F163" t="str">
        <f ca="1">IF(AND(ISNUMBER($F$615),$B$419=1),$F$615,HLOOKUP(INDIRECT(ADDRESS(2,COLUMN())),OFFSET($BN$2,0,0,ROW()-1,60),ROW()-1,FALSE))</f>
        <v/>
      </c>
      <c r="G163">
        <f ca="1">IF(AND(ISNUMBER($G$615),$B$419=1),$G$615,HLOOKUP(INDIRECT(ADDRESS(2,COLUMN())),OFFSET($BN$2,0,0,ROW()-1,60),ROW()-1,FALSE))</f>
        <v>-2.447099669</v>
      </c>
      <c r="H163">
        <f ca="1">IF(AND(ISNUMBER($H$615),$B$419=1),$H$615,HLOOKUP(INDIRECT(ADDRESS(2,COLUMN())),OFFSET($BN$2,0,0,ROW()-1,60),ROW()-1,FALSE))</f>
        <v>3.9762191649999998</v>
      </c>
      <c r="I163">
        <f ca="1">IF(AND(ISNUMBER($I$615),$B$419=1),$I$615,HLOOKUP(INDIRECT(ADDRESS(2,COLUMN())),OFFSET($BN$2,0,0,ROW()-1,60),ROW()-1,FALSE))</f>
        <v>7.6262566700000001</v>
      </c>
      <c r="J163">
        <f ca="1">IF(AND(ISNUMBER($J$615),$B$419=1),$J$615,HLOOKUP(INDIRECT(ADDRESS(2,COLUMN())),OFFSET($BN$2,0,0,ROW()-1,60),ROW()-1,FALSE))</f>
        <v>8.4928672299999999</v>
      </c>
      <c r="K163">
        <f ca="1">IF(AND(ISNUMBER($K$615),$B$419=1),$K$615,HLOOKUP(INDIRECT(ADDRESS(2,COLUMN())),OFFSET($BN$2,0,0,ROW()-1,60),ROW()-1,FALSE))</f>
        <v>10.18788468</v>
      </c>
      <c r="L163">
        <f ca="1">IF(AND(ISNUMBER($L$615),$B$419=1),$L$615,HLOOKUP(INDIRECT(ADDRESS(2,COLUMN())),OFFSET($BN$2,0,0,ROW()-1,60),ROW()-1,FALSE))</f>
        <v>5.9730707179999998</v>
      </c>
      <c r="M163">
        <f ca="1">IF(AND(ISNUMBER($M$615),$B$419=1),$M$615,HLOOKUP(INDIRECT(ADDRESS(2,COLUMN())),OFFSET($BN$2,0,0,ROW()-1,60),ROW()-1,FALSE))</f>
        <v>6.996624712</v>
      </c>
      <c r="N163">
        <f ca="1">IF(AND(ISNUMBER($N$615),$B$419=1),$N$615,HLOOKUP(INDIRECT(ADDRESS(2,COLUMN())),OFFSET($BN$2,0,0,ROW()-1,60),ROW()-1,FALSE))</f>
        <v>5.4283871689999996</v>
      </c>
      <c r="O163">
        <f ca="1">IF(AND(ISNUMBER($O$615),$B$419=1),$O$615,HLOOKUP(INDIRECT(ADDRESS(2,COLUMN())),OFFSET($BN$2,0,0,ROW()-1,60),ROW()-1,FALSE))</f>
        <v>2.8167673789999998</v>
      </c>
      <c r="P163">
        <f ca="1">IF(AND(ISNUMBER($P$615),$B$419=1),$P$615,HLOOKUP(INDIRECT(ADDRESS(2,COLUMN())),OFFSET($BN$2,0,0,ROW()-1,60),ROW()-1,FALSE))</f>
        <v>0.20379862200000001</v>
      </c>
      <c r="Q163">
        <f ca="1">IF(AND(ISNUMBER($Q$615),$B$419=1),$Q$615,HLOOKUP(INDIRECT(ADDRESS(2,COLUMN())),OFFSET($BN$2,0,0,ROW()-1,60),ROW()-1,FALSE))</f>
        <v>-2.6015623200000002</v>
      </c>
      <c r="R163">
        <f ca="1">IF(AND(ISNUMBER($R$615),$B$419=1),$R$615,HLOOKUP(INDIRECT(ADDRESS(2,COLUMN())),OFFSET($BN$2,0,0,ROW()-1,60),ROW()-1,FALSE))</f>
        <v>-1.562010157</v>
      </c>
      <c r="S163">
        <f ca="1">IF(AND(ISNUMBER($S$615),$B$419=1),$S$615,HLOOKUP(INDIRECT(ADDRESS(2,COLUMN())),OFFSET($BN$2,0,0,ROW()-1,60),ROW()-1,FALSE))</f>
        <v>2.4589318999999998E-2</v>
      </c>
      <c r="T163">
        <f ca="1">IF(AND(ISNUMBER($T$615),$B$419=1),$T$615,HLOOKUP(INDIRECT(ADDRESS(2,COLUMN())),OFFSET($BN$2,0,0,ROW()-1,60),ROW()-1,FALSE))</f>
        <v>5.8547306609999996</v>
      </c>
      <c r="U163">
        <f ca="1">IF(AND(ISNUMBER($U$615),$B$419=1),$U$615,HLOOKUP(INDIRECT(ADDRESS(2,COLUMN())),OFFSET($BN$2,0,0,ROW()-1,60),ROW()-1,FALSE))</f>
        <v>6.7183081270000002</v>
      </c>
      <c r="V163">
        <f ca="1">IF(AND(ISNUMBER($V$615),$B$419=1),$V$615,HLOOKUP(INDIRECT(ADDRESS(2,COLUMN())),OFFSET($BN$2,0,0,ROW()-1,60),ROW()-1,FALSE))</f>
        <v>8.2875741549999997</v>
      </c>
      <c r="W163">
        <f ca="1">IF(AND(ISNUMBER($W$615),$B$419=1),$W$615,HLOOKUP(INDIRECT(ADDRESS(2,COLUMN())),OFFSET($BN$2,0,0,ROW()-1,60),ROW()-1,FALSE))</f>
        <v>5.4572678530000003</v>
      </c>
      <c r="X163">
        <f ca="1">IF(AND(ISNUMBER($X$615),$B$419=1),$X$615,HLOOKUP(INDIRECT(ADDRESS(2,COLUMN())),OFFSET($BN$2,0,0,ROW()-1,60),ROW()-1,FALSE))</f>
        <v>0.803636393</v>
      </c>
      <c r="Y163">
        <f ca="1">IF(AND(ISNUMBER($Y$615),$B$419=1),$Y$615,HLOOKUP(INDIRECT(ADDRESS(2,COLUMN())),OFFSET($BN$2,0,0,ROW()-1,60),ROW()-1,FALSE))</f>
        <v>2.865165223</v>
      </c>
      <c r="Z163">
        <f ca="1">IF(AND(ISNUMBER($Z$615),$B$419=1),$Z$615,HLOOKUP(INDIRECT(ADDRESS(2,COLUMN())),OFFSET($BN$2,0,0,ROW()-1,60),ROW()-1,FALSE))</f>
        <v>-0.82069325400000004</v>
      </c>
      <c r="AA163">
        <f ca="1">IF(AND(ISNUMBER($AA$615),$B$419=1),$AA$615,HLOOKUP(INDIRECT(ADDRESS(2,COLUMN())),OFFSET($BN$2,0,0,ROW()-1,60),ROW()-1,FALSE))</f>
        <v>-0.152009956</v>
      </c>
      <c r="AB163">
        <f ca="1">IF(AND(ISNUMBER($AB$615),$B$419=1),$AB$615,HLOOKUP(INDIRECT(ADDRESS(2,COLUMN())),OFFSET($BN$2,0,0,ROW()-1,60),ROW()-1,FALSE))</f>
        <v>-0.44763121700000003</v>
      </c>
      <c r="AC163">
        <f ca="1">IF(AND(ISNUMBER($AC$615),$B$419=1),$AC$615,HLOOKUP(INDIRECT(ADDRESS(2,COLUMN())),OFFSET($BN$2,0,0,ROW()-1,60),ROW()-1,FALSE))</f>
        <v>-3.8337725520000001</v>
      </c>
      <c r="AD163">
        <f ca="1">IF(AND(ISNUMBER($AD$615),$B$419=1),$AD$615,HLOOKUP(INDIRECT(ADDRESS(2,COLUMN())),OFFSET($BN$2,0,0,ROW()-1,60),ROW()-1,FALSE))</f>
        <v>0.58844945699999995</v>
      </c>
      <c r="AE163">
        <f ca="1">IF(AND(ISNUMBER($AE$615),$B$419=1),$AE$615,HLOOKUP(INDIRECT(ADDRESS(2,COLUMN())),OFFSET($BN$2,0,0,ROW()-1,60),ROW()-1,FALSE))</f>
        <v>-11.19871243</v>
      </c>
      <c r="AF163">
        <f ca="1">IF(AND(ISNUMBER($AF$615),$B$419=1),$AF$615,HLOOKUP(INDIRECT(ADDRESS(2,COLUMN())),OFFSET($BN$2,0,0,ROW()-1,60),ROW()-1,FALSE))</f>
        <v>-8.3873902089999994</v>
      </c>
      <c r="AG163">
        <f ca="1">IF(AND(ISNUMBER($AG$615),$B$419=1),$AG$615,HLOOKUP(INDIRECT(ADDRESS(2,COLUMN())),OFFSET($BN$2,0,0,ROW()-1,60),ROW()-1,FALSE))</f>
        <v>-10.49850861</v>
      </c>
      <c r="AH163">
        <f ca="1">IF(AND(ISNUMBER($AH$615),$B$419=1),$AH$615,HLOOKUP(INDIRECT(ADDRESS(2,COLUMN())),OFFSET($BN$2,0,0,ROW()-1,60),ROW()-1,FALSE))</f>
        <v>-13.85653331</v>
      </c>
      <c r="AI163">
        <f ca="1">IF(AND(ISNUMBER($AI$615),$B$419=1),$AI$615,HLOOKUP(INDIRECT(ADDRESS(2,COLUMN())),OFFSET($BN$2,0,0,ROW()-1,60),ROW()-1,FALSE))</f>
        <v>-5.1615716840000001</v>
      </c>
      <c r="AJ163">
        <f ca="1">IF(AND(ISNUMBER($AJ$615),$B$419=1),$AJ$615,HLOOKUP(INDIRECT(ADDRESS(2,COLUMN())),OFFSET($BN$2,0,0,ROW()-1,60),ROW()-1,FALSE))</f>
        <v>-6.2590425869999997</v>
      </c>
      <c r="AK163">
        <f ca="1">IF(AND(ISNUMBER($AK$615),$B$419=1),$AK$615,HLOOKUP(INDIRECT(ADDRESS(2,COLUMN())),OFFSET($BN$2,0,0,ROW()-1,60),ROW()-1,FALSE))</f>
        <v>-3.2468489979999999</v>
      </c>
      <c r="AL163">
        <f ca="1">IF(AND(ISNUMBER($AL$615),$B$419=1),$AL$615,HLOOKUP(INDIRECT(ADDRESS(2,COLUMN())),OFFSET($BN$2,0,0,ROW()-1,60),ROW()-1,FALSE))</f>
        <v>-5.0401019519999997</v>
      </c>
      <c r="AM163">
        <f ca="1">IF(AND(ISNUMBER($AM$615),$B$419=1),$AM$615,HLOOKUP(INDIRECT(ADDRESS(2,COLUMN())),OFFSET($BN$2,0,0,ROW()-1,60),ROW()-1,FALSE))</f>
        <v>-2.4000768899999998</v>
      </c>
      <c r="AN163">
        <f ca="1">IF(AND(ISNUMBER($AN$615),$B$419=1),$AN$615,HLOOKUP(INDIRECT(ADDRESS(2,COLUMN())),OFFSET($BN$2,0,0,ROW()-1,60),ROW()-1,FALSE))</f>
        <v>-7.0755421619999996</v>
      </c>
      <c r="AO163">
        <f ca="1">IF(AND(ISNUMBER($AO$615),$B$419=1),$AO$615,HLOOKUP(INDIRECT(ADDRESS(2,COLUMN())),OFFSET($BN$2,0,0,ROW()-1,60),ROW()-1,FALSE))</f>
        <v>-6.4806545660000001</v>
      </c>
      <c r="AP163">
        <f ca="1">IF(AND(ISNUMBER($AP$615),$B$419=1),$AP$615,HLOOKUP(INDIRECT(ADDRESS(2,COLUMN())),OFFSET($BN$2,0,0,ROW()-1,60),ROW()-1,FALSE))</f>
        <v>-4.6996079259999997</v>
      </c>
      <c r="AQ163">
        <f ca="1">IF(AND(ISNUMBER($AQ$615),$B$419=1),$AQ$615,HLOOKUP(INDIRECT(ADDRESS(2,COLUMN())),OFFSET($BN$2,0,0,ROW()-1,60),ROW()-1,FALSE))</f>
        <v>-3.2036841370000002</v>
      </c>
      <c r="AR163">
        <f ca="1">IF(AND(ISNUMBER($AR$615),$B$419=1),$AR$615,HLOOKUP(INDIRECT(ADDRESS(2,COLUMN())),OFFSET($BN$2,0,0,ROW()-1,60),ROW()-1,FALSE))</f>
        <v>0.67874634599999994</v>
      </c>
      <c r="AS163">
        <f ca="1">IF(AND(ISNUMBER($AS$615),$B$419=1),$AS$615,HLOOKUP(INDIRECT(ADDRESS(2,COLUMN())),OFFSET($BN$2,0,0,ROW()-1,60),ROW()-1,FALSE))</f>
        <v>7.079372223</v>
      </c>
      <c r="AT163">
        <f ca="1">IF(AND(ISNUMBER($AT$615),$B$419=1),$AT$615,HLOOKUP(INDIRECT(ADDRESS(2,COLUMN())),OFFSET($BN$2,0,0,ROW()-1,60),ROW()-1,FALSE))</f>
        <v>4.9182825479999996</v>
      </c>
      <c r="AU163">
        <f ca="1">IF(AND(ISNUMBER($AU$615),$B$419=1),$AU$615,HLOOKUP(INDIRECT(ADDRESS(2,COLUMN())),OFFSET($BN$2,0,0,ROW()-1,60),ROW()-1,FALSE))</f>
        <v>3.8229084740000001</v>
      </c>
      <c r="AV163">
        <f ca="1">IF(AND(ISNUMBER($AV$615),$B$419=1),$AV$615,HLOOKUP(INDIRECT(ADDRESS(2,COLUMN())),OFFSET($BN$2,0,0,ROW()-1,60),ROW()-1,FALSE))</f>
        <v>9.9868386040000008</v>
      </c>
      <c r="AW163">
        <f ca="1">IF(AND(ISNUMBER($AW$615),$B$419=1),$AW$615,HLOOKUP(INDIRECT(ADDRESS(2,COLUMN())),OFFSET($BN$2,0,0,ROW()-1,60),ROW()-1,FALSE))</f>
        <v>7.3069145559999997</v>
      </c>
      <c r="AX163">
        <f ca="1">IF(AND(ISNUMBER($AX$615),$B$419=1),$AX$615,HLOOKUP(INDIRECT(ADDRESS(2,COLUMN())),OFFSET($BN$2,0,0,ROW()-1,60),ROW()-1,FALSE))</f>
        <v>8.7799917129999994</v>
      </c>
      <c r="AY163">
        <f ca="1">IF(AND(ISNUMBER($AY$615),$B$419=1),$AY$615,HLOOKUP(INDIRECT(ADDRESS(2,COLUMN())),OFFSET($BN$2,0,0,ROW()-1,60),ROW()-1,FALSE))</f>
        <v>20.452751159999998</v>
      </c>
      <c r="AZ163">
        <f ca="1">IF(AND(ISNUMBER($AZ$615),$B$419=1),$AZ$615,HLOOKUP(INDIRECT(ADDRESS(2,COLUMN())),OFFSET($BN$2,0,0,ROW()-1,60),ROW()-1,FALSE))</f>
        <v>5.2025089470000001</v>
      </c>
      <c r="BA163">
        <f ca="1">IF(AND(ISNUMBER($BA$615),$B$419=1),$BA$615,HLOOKUP(INDIRECT(ADDRESS(2,COLUMN())),OFFSET($BN$2,0,0,ROW()-1,60),ROW()-1,FALSE))</f>
        <v>1.249073699</v>
      </c>
      <c r="BB163">
        <f ca="1">IF(AND(ISNUMBER($BB$615),$B$419=1),$BB$615,HLOOKUP(INDIRECT(ADDRESS(2,COLUMN())),OFFSET($BN$2,0,0,ROW()-1,60),ROW()-1,FALSE))</f>
        <v>2.2113911279999998</v>
      </c>
      <c r="BC163">
        <f ca="1">IF(AND(ISNUMBER($BC$615),$B$419=1),$BC$615,HLOOKUP(INDIRECT(ADDRESS(2,COLUMN())),OFFSET($BN$2,0,0,ROW()-1,60),ROW()-1,FALSE))</f>
        <v>-8.3192380949999993</v>
      </c>
      <c r="BD163">
        <f ca="1">IF(AND(ISNUMBER($BD$615),$B$419=1),$BD$615,HLOOKUP(INDIRECT(ADDRESS(2,COLUMN())),OFFSET($BN$2,0,0,ROW()-1,60),ROW()-1,FALSE))</f>
        <v>4.0029902420000001</v>
      </c>
      <c r="BE163">
        <f ca="1">IF(AND(ISNUMBER($BE$615),$B$419=1),$BE$615,HLOOKUP(INDIRECT(ADDRESS(2,COLUMN())),OFFSET($BN$2,0,0,ROW()-1,60),ROW()-1,FALSE))</f>
        <v>8.0855426050000005</v>
      </c>
      <c r="BF163">
        <f ca="1">IF(AND(ISNUMBER($BF$615),$B$419=1),$BF$615,HLOOKUP(INDIRECT(ADDRESS(2,COLUMN())),OFFSET($BN$2,0,0,ROW()-1,60),ROW()-1,FALSE))</f>
        <v>11.953694949999999</v>
      </c>
      <c r="BG163">
        <f ca="1">IF(AND(ISNUMBER($BG$615),$B$419=1),$BG$615,HLOOKUP(INDIRECT(ADDRESS(2,COLUMN())),OFFSET($BN$2,0,0,ROW()-1,60),ROW()-1,FALSE))</f>
        <v>19.37787075</v>
      </c>
      <c r="BH163">
        <f ca="1">IF(AND(ISNUMBER($BH$615),$B$419=1),$BH$615,HLOOKUP(INDIRECT(ADDRESS(2,COLUMN())),OFFSET($BN$2,0,0,ROW()-1,60),ROW()-1,FALSE))</f>
        <v>19.459670039999999</v>
      </c>
      <c r="BI163">
        <f ca="1">IF(AND(ISNUMBER($BI$615),$B$419=1),$BI$615,HLOOKUP(INDIRECT(ADDRESS(2,COLUMN())),OFFSET($BN$2,0,0,ROW()-1,60),ROW()-1,FALSE))</f>
        <v>18.737376510000001</v>
      </c>
      <c r="BJ163">
        <f ca="1">IF(AND(ISNUMBER($BJ$615),$B$419=1),$BJ$615,HLOOKUP(INDIRECT(ADDRESS(2,COLUMN())),OFFSET($BN$2,0,0,ROW()-1,60),ROW()-1,FALSE))</f>
        <v>18.80139015</v>
      </c>
      <c r="BK163">
        <f ca="1">IF(AND(ISNUMBER($BK$615),$B$419=1),$BK$615,HLOOKUP(INDIRECT(ADDRESS(2,COLUMN())),OFFSET($BN$2,0,0,ROW()-1,60),ROW()-1,FALSE))</f>
        <v>14.38305927</v>
      </c>
      <c r="BL163">
        <f ca="1">IF(AND(ISNUMBER($BL$615),$B$419=1),$BL$615,HLOOKUP(INDIRECT(ADDRESS(2,COLUMN())),OFFSET($BN$2,0,0,ROW()-1,60),ROW()-1,FALSE))</f>
        <v>14.653548000000001</v>
      </c>
      <c r="BM163">
        <f ca="1">IF(AND(ISNUMBER($BM$615),$B$419=1),$BM$615,HLOOKUP(INDIRECT(ADDRESS(2,COLUMN())),OFFSET($BN$2,0,0,ROW()-1,60),ROW()-1,FALSE))</f>
        <v>12.69059047</v>
      </c>
      <c r="BN163" t="str">
        <f>""</f>
        <v/>
      </c>
      <c r="BO163">
        <f>-2.447099669</f>
        <v>-2.447099669</v>
      </c>
      <c r="BP163">
        <f>3.976219165</f>
        <v>3.9762191649999998</v>
      </c>
      <c r="BQ163">
        <f>7.62625667</f>
        <v>7.6262566700000001</v>
      </c>
      <c r="BR163">
        <f>8.49286723</f>
        <v>8.4928672299999999</v>
      </c>
      <c r="BS163">
        <f>10.18788468</f>
        <v>10.18788468</v>
      </c>
      <c r="BT163">
        <f>5.973070718</f>
        <v>5.9730707179999998</v>
      </c>
      <c r="BU163">
        <f>6.996624712</f>
        <v>6.996624712</v>
      </c>
      <c r="BV163">
        <f>5.428387169</f>
        <v>5.4283871689999996</v>
      </c>
      <c r="BW163">
        <f>2.816767379</f>
        <v>2.8167673789999998</v>
      </c>
      <c r="BX163">
        <f>0.203798622</f>
        <v>0.20379862200000001</v>
      </c>
      <c r="BY163">
        <f>-2.60156232</f>
        <v>-2.6015623200000002</v>
      </c>
      <c r="BZ163">
        <f>-1.562010157</f>
        <v>-1.562010157</v>
      </c>
      <c r="CA163">
        <f>0.024589319</f>
        <v>2.4589318999999998E-2</v>
      </c>
      <c r="CB163">
        <f>5.854730661</f>
        <v>5.8547306609999996</v>
      </c>
      <c r="CC163">
        <f>6.718308127</f>
        <v>6.7183081270000002</v>
      </c>
      <c r="CD163">
        <f>8.287574155</f>
        <v>8.2875741549999997</v>
      </c>
      <c r="CE163">
        <f>5.457267853</f>
        <v>5.4572678530000003</v>
      </c>
      <c r="CF163">
        <f>0.803636393</f>
        <v>0.803636393</v>
      </c>
      <c r="CG163">
        <f>2.865165223</f>
        <v>2.865165223</v>
      </c>
      <c r="CH163">
        <f>-0.820693254</f>
        <v>-0.82069325400000004</v>
      </c>
      <c r="CI163">
        <f>-0.152009956</f>
        <v>-0.152009956</v>
      </c>
      <c r="CJ163">
        <f>-0.447631217</f>
        <v>-0.44763121700000003</v>
      </c>
      <c r="CK163">
        <f>-3.833772552</f>
        <v>-3.8337725520000001</v>
      </c>
      <c r="CL163">
        <f>0.588449457</f>
        <v>0.58844945699999995</v>
      </c>
      <c r="CM163">
        <f>-11.19871243</f>
        <v>-11.19871243</v>
      </c>
      <c r="CN163">
        <f>-8.387390209</f>
        <v>-8.3873902089999994</v>
      </c>
      <c r="CO163">
        <f>-10.49850861</f>
        <v>-10.49850861</v>
      </c>
      <c r="CP163">
        <f>-13.85653331</f>
        <v>-13.85653331</v>
      </c>
      <c r="CQ163">
        <f>-5.161571684</f>
        <v>-5.1615716840000001</v>
      </c>
      <c r="CR163">
        <f>-6.259042587</f>
        <v>-6.2590425869999997</v>
      </c>
      <c r="CS163">
        <f>-3.246848998</f>
        <v>-3.2468489979999999</v>
      </c>
      <c r="CT163">
        <f>-5.040101952</f>
        <v>-5.0401019519999997</v>
      </c>
      <c r="CU163">
        <f>-2.40007689</f>
        <v>-2.4000768899999998</v>
      </c>
      <c r="CV163">
        <f>-7.075542162</f>
        <v>-7.0755421619999996</v>
      </c>
      <c r="CW163">
        <f>-6.480654566</f>
        <v>-6.4806545660000001</v>
      </c>
      <c r="CX163">
        <f>-4.699607926</f>
        <v>-4.6996079259999997</v>
      </c>
      <c r="CY163">
        <f>-3.203684137</f>
        <v>-3.2036841370000002</v>
      </c>
      <c r="CZ163">
        <f>0.678746346</f>
        <v>0.67874634599999994</v>
      </c>
      <c r="DA163">
        <f>7.079372223</f>
        <v>7.079372223</v>
      </c>
      <c r="DB163">
        <f>4.918282548</f>
        <v>4.9182825479999996</v>
      </c>
      <c r="DC163">
        <f>3.822908474</f>
        <v>3.8229084740000001</v>
      </c>
      <c r="DD163">
        <f>9.986838604</f>
        <v>9.9868386040000008</v>
      </c>
      <c r="DE163">
        <f>7.306914556</f>
        <v>7.3069145559999997</v>
      </c>
      <c r="DF163">
        <f>8.779991713</f>
        <v>8.7799917129999994</v>
      </c>
      <c r="DG163">
        <f>20.45275116</f>
        <v>20.452751159999998</v>
      </c>
      <c r="DH163">
        <f>5.202508947</f>
        <v>5.2025089470000001</v>
      </c>
      <c r="DI163">
        <f>1.249073699</f>
        <v>1.249073699</v>
      </c>
      <c r="DJ163">
        <f>2.211391128</f>
        <v>2.2113911279999998</v>
      </c>
      <c r="DK163">
        <f>-8.319238095</f>
        <v>-8.3192380949999993</v>
      </c>
      <c r="DL163">
        <f>4.002990242</f>
        <v>4.0029902420000001</v>
      </c>
      <c r="DM163">
        <f>8.085542605</f>
        <v>8.0855426050000005</v>
      </c>
      <c r="DN163">
        <f>11.95369495</f>
        <v>11.953694949999999</v>
      </c>
      <c r="DO163">
        <f>19.37787075</f>
        <v>19.37787075</v>
      </c>
      <c r="DP163">
        <f>19.45967004</f>
        <v>19.459670039999999</v>
      </c>
      <c r="DQ163">
        <f>18.73737651</f>
        <v>18.737376510000001</v>
      </c>
      <c r="DR163">
        <f>18.80139015</f>
        <v>18.80139015</v>
      </c>
      <c r="DS163">
        <f>14.38305927</f>
        <v>14.38305927</v>
      </c>
      <c r="DT163">
        <f>14.653548</f>
        <v>14.653548000000001</v>
      </c>
      <c r="DU163">
        <f>12.69059047</f>
        <v>12.69059047</v>
      </c>
    </row>
    <row r="164" spans="1:125">
      <c r="A164" t="str">
        <f>"NOI增长(%)"</f>
        <v>NOI增长(%)</v>
      </c>
      <c r="B164" t="str">
        <f>""</f>
        <v/>
      </c>
      <c r="E164" t="str">
        <f>"Median"</f>
        <v>Median</v>
      </c>
      <c r="F164" t="str">
        <f ca="1">IF(ISERROR(IF(MEDIAN($F$165:$F$179) = 0, "", MEDIAN($F$165:$F$179))), "", (IF(MEDIAN($F$165:$F$179) = 0, "", MEDIAN($F$165:$F$179))))</f>
        <v/>
      </c>
      <c r="G164">
        <f ca="1">IF(ISERROR(IF(MEDIAN($G$165:$G$179) = 0, "", MEDIAN($G$165:$G$179))), "", (IF(MEDIAN($G$165:$G$179) = 0, "", MEDIAN($G$165:$G$179))))</f>
        <v>-0.38415363899999999</v>
      </c>
      <c r="H164">
        <f ca="1">IF(ISERROR(IF(MEDIAN($H$165:$H$179) = 0, "", MEDIAN($H$165:$H$179))), "", (IF(MEDIAN($H$165:$H$179) = 0, "", MEDIAN($H$165:$H$179))))</f>
        <v>0.91493025900000002</v>
      </c>
      <c r="I164">
        <f ca="1">IF(ISERROR(IF(MEDIAN($I$165:$I$179) = 0, "", MEDIAN($I$165:$I$179))), "", (IF(MEDIAN($I$165:$I$179) = 0, "", MEDIAN($I$165:$I$179))))</f>
        <v>3.0139025890000002</v>
      </c>
      <c r="J164">
        <f ca="1">IF(ISERROR(IF(MEDIAN($J$165:$J$179) = 0, "", MEDIAN($J$165:$J$179))), "", (IF(MEDIAN($J$165:$J$179) = 0, "", MEDIAN($J$165:$J$179))))</f>
        <v>3.4048130570000001</v>
      </c>
      <c r="K164">
        <f ca="1">IF(ISERROR(IF(MEDIAN($K$165:$K$179) = 0, "", MEDIAN($K$165:$K$179))), "", (IF(MEDIAN($K$165:$K$179) = 0, "", MEDIAN($K$165:$K$179))))</f>
        <v>2.9964922039999999</v>
      </c>
      <c r="L164">
        <f ca="1">IF(ISERROR(IF(MEDIAN($L$165:$L$179) = 0, "", MEDIAN($L$165:$L$179))), "", (IF(MEDIAN($L$165:$L$179) = 0, "", MEDIAN($L$165:$L$179))))</f>
        <v>5.6821575429999998</v>
      </c>
      <c r="M164">
        <f ca="1">IF(ISERROR(IF(MEDIAN($M$165:$M$179) = 0, "", MEDIAN($M$165:$M$179))), "", (IF(MEDIAN($M$165:$M$179) = 0, "", MEDIAN($M$165:$M$179))))</f>
        <v>4.720685724</v>
      </c>
      <c r="N164">
        <f ca="1">IF(ISERROR(IF(MEDIAN($N$165:$N$179) = 0, "", MEDIAN($N$165:$N$179))), "", (IF(MEDIAN($N$165:$N$179) = 0, "", MEDIAN($N$165:$N$179))))</f>
        <v>6.7024669540000001</v>
      </c>
      <c r="O164">
        <f ca="1">IF(ISERROR(IF(MEDIAN($O$165:$O$179) = 0, "", MEDIAN($O$165:$O$179))), "", (IF(MEDIAN($O$165:$O$179) = 0, "", MEDIAN($O$165:$O$179))))</f>
        <v>6.3478490279999997</v>
      </c>
      <c r="P164">
        <f ca="1">IF(ISERROR(IF(MEDIAN($P$165:$P$179) = 0, "", MEDIAN($P$165:$P$179))), "", (IF(MEDIAN($P$165:$P$179) = 0, "", MEDIAN($P$165:$P$179))))</f>
        <v>5.6523295349999998</v>
      </c>
      <c r="Q164">
        <f ca="1">IF(ISERROR(IF(MEDIAN($Q$165:$Q$179) = 0, "", MEDIAN($Q$165:$Q$179))), "", (IF(MEDIAN($Q$165:$Q$179) = 0, "", MEDIAN($Q$165:$Q$179))))</f>
        <v>9.2657519159999993</v>
      </c>
      <c r="R164">
        <f ca="1">IF(ISERROR(IF(MEDIAN($R$165:$R$179) = 0, "", MEDIAN($R$165:$R$179))), "", (IF(MEDIAN($R$165:$R$179) = 0, "", MEDIAN($R$165:$R$179))))</f>
        <v>8.1277239649999995</v>
      </c>
      <c r="S164">
        <f ca="1">IF(ISERROR(IF(MEDIAN($S$165:$S$179) = 0, "", MEDIAN($S$165:$S$179))), "", (IF(MEDIAN($S$165:$S$179) = 0, "", MEDIAN($S$165:$S$179))))</f>
        <v>8.7414597900000004</v>
      </c>
      <c r="T164">
        <f ca="1">IF(ISERROR(IF(MEDIAN($T$165:$T$179) = 0, "", MEDIAN($T$165:$T$179))), "", (IF(MEDIAN($T$165:$T$179) = 0, "", MEDIAN($T$165:$T$179))))</f>
        <v>10.619571072500001</v>
      </c>
      <c r="U164">
        <f ca="1">IF(ISERROR(IF(MEDIAN($U$165:$U$179) = 0, "", MEDIAN($U$165:$U$179))), "", (IF(MEDIAN($U$165:$U$179) = 0, "", MEDIAN($U$165:$U$179))))</f>
        <v>10.807188875000001</v>
      </c>
      <c r="V164">
        <f ca="1">IF(ISERROR(IF(MEDIAN($V$165:$V$179) = 0, "", MEDIAN($V$165:$V$179))), "", (IF(MEDIAN($V$165:$V$179) = 0, "", MEDIAN($V$165:$V$179))))</f>
        <v>11.949003975</v>
      </c>
      <c r="W164">
        <f ca="1">IF(ISERROR(IF(MEDIAN($W$165:$W$179) = 0, "", MEDIAN($W$165:$W$179))), "", (IF(MEDIAN($W$165:$W$179) = 0, "", MEDIAN($W$165:$W$179))))</f>
        <v>7.9642273914999997</v>
      </c>
      <c r="X164">
        <f ca="1">IF(ISERROR(IF(MEDIAN($X$165:$X$179) = 0, "", MEDIAN($X$165:$X$179))), "", (IF(MEDIAN($X$165:$X$179) = 0, "", MEDIAN($X$165:$X$179))))</f>
        <v>4.6846678024999999</v>
      </c>
      <c r="Y164">
        <f ca="1">IF(ISERROR(IF(MEDIAN($Y$165:$Y$179) = 0, "", MEDIAN($Y$165:$Y$179))), "", (IF(MEDIAN($Y$165:$Y$179) = 0, "", MEDIAN($Y$165:$Y$179))))</f>
        <v>5.2248777820000001</v>
      </c>
      <c r="Z164">
        <f ca="1">IF(ISERROR(IF(MEDIAN($Z$165:$Z$179) = 0, "", MEDIAN($Z$165:$Z$179))), "", (IF(MEDIAN($Z$165:$Z$179) = 0, "", MEDIAN($Z$165:$Z$179))))</f>
        <v>6.1129638479999997</v>
      </c>
      <c r="AA164">
        <f ca="1">IF(ISERROR(IF(MEDIAN($AA$165:$AA$179) = 0, "", MEDIAN($AA$165:$AA$179))), "", (IF(MEDIAN($AA$165:$AA$179) = 0, "", MEDIAN($AA$165:$AA$179))))</f>
        <v>6.9339273629999996</v>
      </c>
      <c r="AB164">
        <f ca="1">IF(ISERROR(IF(MEDIAN($AB$165:$AB$179) = 0, "", MEDIAN($AB$165:$AB$179))), "", (IF(MEDIAN($AB$165:$AB$179) = 0, "", MEDIAN($AB$165:$AB$179))))</f>
        <v>8.3239509809999994</v>
      </c>
      <c r="AC164">
        <f ca="1">IF(ISERROR(IF(MEDIAN($AC$165:$AC$179) = 0, "", MEDIAN($AC$165:$AC$179))), "", (IF(MEDIAN($AC$165:$AC$179) = 0, "", MEDIAN($AC$165:$AC$179))))</f>
        <v>6.8771706815</v>
      </c>
      <c r="AD164">
        <f ca="1">IF(ISERROR(IF(MEDIAN($AD$165:$AD$179) = 0, "", MEDIAN($AD$165:$AD$179))), "", (IF(MEDIAN($AD$165:$AD$179) = 0, "", MEDIAN($AD$165:$AD$179))))</f>
        <v>9.8907719600000004</v>
      </c>
      <c r="AE164">
        <f ca="1">IF(ISERROR(IF(MEDIAN($AE$165:$AE$179) = 0, "", MEDIAN($AE$165:$AE$179))), "", (IF(MEDIAN($AE$165:$AE$179) = 0, "", MEDIAN($AE$165:$AE$179))))</f>
        <v>3.9475561524999998</v>
      </c>
      <c r="AF164">
        <f ca="1">IF(ISERROR(IF(MEDIAN($AF$165:$AF$179) = 0, "", MEDIAN($AF$165:$AF$179))), "", (IF(MEDIAN($AF$165:$AF$179) = 0, "", MEDIAN($AF$165:$AF$179))))</f>
        <v>4.2040929844999999</v>
      </c>
      <c r="AG164">
        <f ca="1">IF(ISERROR(IF(MEDIAN($AG$165:$AG$179) = 0, "", MEDIAN($AG$165:$AG$179))), "", (IF(MEDIAN($AG$165:$AG$179) = 0, "", MEDIAN($AG$165:$AG$179))))</f>
        <v>4.5141212690000003</v>
      </c>
      <c r="AH164">
        <f ca="1">IF(ISERROR(IF(MEDIAN($AH$165:$AH$179) = 0, "", MEDIAN($AH$165:$AH$179))), "", (IF(MEDIAN($AH$165:$AH$179) = 0, "", MEDIAN($AH$165:$AH$179))))</f>
        <v>2.0663652734999998</v>
      </c>
      <c r="AI164">
        <f ca="1">IF(ISERROR(IF(MEDIAN($AI$165:$AI$179) = 0, "", MEDIAN($AI$165:$AI$179))), "", (IF(MEDIAN($AI$165:$AI$179) = 0, "", MEDIAN($AI$165:$AI$179))))</f>
        <v>3.127917209</v>
      </c>
      <c r="AJ164">
        <f ca="1">IF(ISERROR(IF(MEDIAN($AJ$165:$AJ$179) = 0, "", MEDIAN($AJ$165:$AJ$179))), "", (IF(MEDIAN($AJ$165:$AJ$179) = 0, "", MEDIAN($AJ$165:$AJ$179))))</f>
        <v>1.6811607420000001</v>
      </c>
      <c r="AK164">
        <f ca="1">IF(ISERROR(IF(MEDIAN($AK$165:$AK$179) = 0, "", MEDIAN($AK$165:$AK$179))), "", (IF(MEDIAN($AK$165:$AK$179) = 0, "", MEDIAN($AK$165:$AK$179))))</f>
        <v>2.0476554155</v>
      </c>
      <c r="AL164">
        <f ca="1">IF(ISERROR(IF(MEDIAN($AL$165:$AL$179) = 0, "", MEDIAN($AL$165:$AL$179))), "", (IF(MEDIAN($AL$165:$AL$179) = 0, "", MEDIAN($AL$165:$AL$179))))</f>
        <v>0.34994108099999999</v>
      </c>
      <c r="AM164">
        <f ca="1">IF(ISERROR(IF(MEDIAN($AM$165:$AM$179) = 0, "", MEDIAN($AM$165:$AM$179))), "", (IF(MEDIAN($AM$165:$AM$179) = 0, "", MEDIAN($AM$165:$AM$179))))</f>
        <v>-0.67918240549999997</v>
      </c>
      <c r="AN164">
        <f ca="1">IF(ISERROR(IF(MEDIAN($AN$165:$AN$179) = 0, "", MEDIAN($AN$165:$AN$179))), "", (IF(MEDIAN($AN$165:$AN$179) = 0, "", MEDIAN($AN$165:$AN$179))))</f>
        <v>-2.4766702899999999</v>
      </c>
      <c r="AO164">
        <f ca="1">IF(ISERROR(IF(MEDIAN($AO$165:$AO$179) = 0, "", MEDIAN($AO$165:$AO$179))), "", (IF(MEDIAN($AO$165:$AO$179) = 0, "", MEDIAN($AO$165:$AO$179))))</f>
        <v>-0.2588988445</v>
      </c>
      <c r="AP164">
        <f ca="1">IF(ISERROR(IF(MEDIAN($AP$165:$AP$179) = 0, "", MEDIAN($AP$165:$AP$179))), "", (IF(MEDIAN($AP$165:$AP$179) = 0, "", MEDIAN($AP$165:$AP$179))))</f>
        <v>0.44991579049999997</v>
      </c>
      <c r="AQ164">
        <f ca="1">IF(ISERROR(IF(MEDIAN($AQ$165:$AQ$179) = 0, "", MEDIAN($AQ$165:$AQ$179))), "", (IF(MEDIAN($AQ$165:$AQ$179) = 0, "", MEDIAN($AQ$165:$AQ$179))))</f>
        <v>5.3919074115000001</v>
      </c>
      <c r="AR164">
        <f ca="1">IF(ISERROR(IF(MEDIAN($AR$165:$AR$179) = 0, "", MEDIAN($AR$165:$AR$179))), "", (IF(MEDIAN($AR$165:$AR$179) = 0, "", MEDIAN($AR$165:$AR$179))))</f>
        <v>6.1434184594999994</v>
      </c>
      <c r="AS164">
        <f ca="1">IF(ISERROR(IF(MEDIAN($AS$165:$AS$179) = 0, "", MEDIAN($AS$165:$AS$179))), "", (IF(MEDIAN($AS$165:$AS$179) = 0, "", MEDIAN($AS$165:$AS$179))))</f>
        <v>8.4420689145000001</v>
      </c>
      <c r="AT164">
        <f ca="1">IF(ISERROR(IF(MEDIAN($AT$165:$AT$179) = 0, "", MEDIAN($AT$165:$AT$179))), "", (IF(MEDIAN($AT$165:$AT$179) = 0, "", MEDIAN($AT$165:$AT$179))))</f>
        <v>9.1360030375000001</v>
      </c>
      <c r="AU164">
        <f ca="1">IF(ISERROR(IF(MEDIAN($AU$165:$AU$179) = 0, "", MEDIAN($AU$165:$AU$179))), "", (IF(MEDIAN($AU$165:$AU$179) = 0, "", MEDIAN($AU$165:$AU$179))))</f>
        <v>11.874399321999999</v>
      </c>
      <c r="AV164">
        <f ca="1">IF(ISERROR(IF(MEDIAN($AV$165:$AV$179) = 0, "", MEDIAN($AV$165:$AV$179))), "", (IF(MEDIAN($AV$165:$AV$179) = 0, "", MEDIAN($AV$165:$AV$179))))</f>
        <v>12.673689339999999</v>
      </c>
      <c r="AW164">
        <f ca="1">IF(ISERROR(IF(MEDIAN($AW$165:$AW$179) = 0, "", MEDIAN($AW$165:$AW$179))), "", (IF(MEDIAN($AW$165:$AW$179) = 0, "", MEDIAN($AW$165:$AW$179))))</f>
        <v>8.4347174485000007</v>
      </c>
      <c r="AX164">
        <f ca="1">IF(ISERROR(IF(MEDIAN($AX$165:$AX$179) = 0, "", MEDIAN($AX$165:$AX$179))), "", (IF(MEDIAN($AX$165:$AX$179) = 0, "", MEDIAN($AX$165:$AX$179))))</f>
        <v>7.2821448244999996</v>
      </c>
      <c r="AY164">
        <f ca="1">IF(ISERROR(IF(MEDIAN($AY$165:$AY$179) = 0, "", MEDIAN($AY$165:$AY$179))), "", (IF(MEDIAN($AY$165:$AY$179) = 0, "", MEDIAN($AY$165:$AY$179))))</f>
        <v>9.9902483844999992</v>
      </c>
      <c r="AZ164">
        <f ca="1">IF(ISERROR(IF(MEDIAN($AZ$165:$AZ$179) = 0, "", MEDIAN($AZ$165:$AZ$179))), "", (IF(MEDIAN($AZ$165:$AZ$179) = 0, "", MEDIAN($AZ$165:$AZ$179))))</f>
        <v>8.018738184</v>
      </c>
      <c r="BA164">
        <f ca="1">IF(ISERROR(IF(MEDIAN($BA$165:$BA$179) = 0, "", MEDIAN($BA$165:$BA$179))), "", (IF(MEDIAN($BA$165:$BA$179) = 0, "", MEDIAN($BA$165:$BA$179))))</f>
        <v>7.7132934185000002</v>
      </c>
      <c r="BB164">
        <f ca="1">IF(ISERROR(IF(MEDIAN($BB$165:$BB$179) = 0, "", MEDIAN($BB$165:$BB$179))), "", (IF(MEDIAN($BB$165:$BB$179) = 0, "", MEDIAN($BB$165:$BB$179))))</f>
        <v>10.176433984500001</v>
      </c>
      <c r="BC164">
        <f ca="1">IF(ISERROR(IF(MEDIAN($BC$165:$BC$179) = 0, "", MEDIAN($BC$165:$BC$179))), "", (IF(MEDIAN($BC$165:$BC$179) = 0, "", MEDIAN($BC$165:$BC$179))))</f>
        <v>6.2282682114999997</v>
      </c>
      <c r="BD164">
        <f ca="1">IF(ISERROR(IF(MEDIAN($BD$165:$BD$179) = 0, "", MEDIAN($BD$165:$BD$179))), "", (IF(MEDIAN($BD$165:$BD$179) = 0, "", MEDIAN($BD$165:$BD$179))))</f>
        <v>6.6540198134999997</v>
      </c>
      <c r="BE164">
        <f ca="1">IF(ISERROR(IF(MEDIAN($BE$165:$BE$179) = 0, "", MEDIAN($BE$165:$BE$179))), "", (IF(MEDIAN($BE$165:$BE$179) = 0, "", MEDIAN($BE$165:$BE$179))))</f>
        <v>10.571471929499999</v>
      </c>
      <c r="BF164">
        <f ca="1">IF(ISERROR(IF(MEDIAN($BF$165:$BF$179) = 0, "", MEDIAN($BF$165:$BF$179))), "", (IF(MEDIAN($BF$165:$BF$179) = 0, "", MEDIAN($BF$165:$BF$179))))</f>
        <v>11.935368714999999</v>
      </c>
      <c r="BG164">
        <f ca="1">IF(ISERROR(IF(MEDIAN($BG$165:$BG$179) = 0, "", MEDIAN($BG$165:$BG$179))), "", (IF(MEDIAN($BG$165:$BG$179) = 0, "", MEDIAN($BG$165:$BG$179))))</f>
        <v>18.067864865000001</v>
      </c>
      <c r="BH164">
        <f ca="1">IF(ISERROR(IF(MEDIAN($BH$165:$BH$179) = 0, "", MEDIAN($BH$165:$BH$179))), "", (IF(MEDIAN($BH$165:$BH$179) = 0, "", MEDIAN($BH$165:$BH$179))))</f>
        <v>19.260881875000003</v>
      </c>
      <c r="BI164">
        <f ca="1">IF(ISERROR(IF(MEDIAN($BI$165:$BI$179) = 0, "", MEDIAN($BI$165:$BI$179))), "", (IF(MEDIAN($BI$165:$BI$179) = 0, "", MEDIAN($BI$165:$BI$179))))</f>
        <v>18.438711755</v>
      </c>
      <c r="BJ164">
        <f ca="1">IF(ISERROR(IF(MEDIAN($BJ$165:$BJ$179) = 0, "", MEDIAN($BJ$165:$BJ$179))), "", (IF(MEDIAN($BJ$165:$BJ$179) = 0, "", MEDIAN($BJ$165:$BJ$179))))</f>
        <v>17.741440345000001</v>
      </c>
      <c r="BK164">
        <f ca="1">IF(ISERROR(IF(MEDIAN($BK$165:$BK$179) = 0, "", MEDIAN($BK$165:$BK$179))), "", (IF(MEDIAN($BK$165:$BK$179) = 0, "", MEDIAN($BK$165:$BK$179))))</f>
        <v>15.822116805</v>
      </c>
      <c r="BL164">
        <f ca="1">IF(ISERROR(IF(MEDIAN($BL$165:$BL$179) = 0, "", MEDIAN($BL$165:$BL$179))), "", (IF(MEDIAN($BL$165:$BL$179) = 0, "", MEDIAN($BL$165:$BL$179))))</f>
        <v>13.310207125000002</v>
      </c>
      <c r="BM164">
        <f ca="1">IF(ISERROR(IF(MEDIAN($BM$165:$BM$179) = 0, "", MEDIAN($BM$165:$BM$179))), "", (IF(MEDIAN($BM$165:$BM$179) = 0, "", MEDIAN($BM$165:$BM$179))))</f>
        <v>10.630959165</v>
      </c>
      <c r="BN164" t="str">
        <f>""</f>
        <v/>
      </c>
      <c r="BO164">
        <f>-0.384153639</f>
        <v>-0.38415363899999999</v>
      </c>
      <c r="BP164">
        <f>0.914930259</f>
        <v>0.91493025900000002</v>
      </c>
      <c r="BQ164">
        <f>3.013902589</f>
        <v>3.0139025890000002</v>
      </c>
      <c r="BR164">
        <f>3.404813057</f>
        <v>3.4048130570000001</v>
      </c>
      <c r="BS164">
        <f>2.996492204</f>
        <v>2.9964922039999999</v>
      </c>
      <c r="BT164">
        <f>5.682157543</f>
        <v>5.6821575429999998</v>
      </c>
      <c r="BU164">
        <f>4.720685724</f>
        <v>4.720685724</v>
      </c>
      <c r="BV164">
        <f>6.702466954</f>
        <v>6.7024669540000001</v>
      </c>
      <c r="BW164">
        <f>6.347849028</f>
        <v>6.3478490279999997</v>
      </c>
      <c r="BX164">
        <f>5.652329535</f>
        <v>5.6523295349999998</v>
      </c>
      <c r="BY164">
        <f>9.265751916</f>
        <v>9.2657519159999993</v>
      </c>
      <c r="BZ164">
        <f>8.127723965</f>
        <v>8.1277239649999995</v>
      </c>
      <c r="CA164">
        <f>8.74145979</f>
        <v>8.7414597900000004</v>
      </c>
      <c r="CB164">
        <f>10.61957107</f>
        <v>10.619571069999999</v>
      </c>
      <c r="CC164">
        <f>10.80718888</f>
        <v>10.80718888</v>
      </c>
      <c r="CD164">
        <f>11.94900398</f>
        <v>11.949003980000001</v>
      </c>
      <c r="CE164">
        <f>7.964227391</f>
        <v>7.9642273909999997</v>
      </c>
      <c r="CF164">
        <f>4.684667803</f>
        <v>4.684667803</v>
      </c>
      <c r="CG164">
        <f>5.224877782</f>
        <v>5.2248777820000001</v>
      </c>
      <c r="CH164">
        <f>6.112963848</f>
        <v>6.1129638479999997</v>
      </c>
      <c r="CI164">
        <f>6.933927363</f>
        <v>6.9339273629999996</v>
      </c>
      <c r="CJ164">
        <f>8.323950981</f>
        <v>8.3239509809999994</v>
      </c>
      <c r="CK164">
        <f>6.877170681</f>
        <v>6.877170681</v>
      </c>
      <c r="CL164">
        <f>9.89077196</f>
        <v>9.8907719600000004</v>
      </c>
      <c r="CM164">
        <f>3.947556152</f>
        <v>3.9475561520000002</v>
      </c>
      <c r="CN164">
        <f>4.204092985</f>
        <v>4.2040929849999999</v>
      </c>
      <c r="CO164">
        <f>4.514121269</f>
        <v>4.5141212690000003</v>
      </c>
      <c r="CP164">
        <f>2.066365273</f>
        <v>2.0663652730000002</v>
      </c>
      <c r="CQ164">
        <f>3.127917209</f>
        <v>3.127917209</v>
      </c>
      <c r="CR164">
        <f>1.681160742</f>
        <v>1.6811607420000001</v>
      </c>
      <c r="CS164">
        <f>2.047655416</f>
        <v>2.047655416</v>
      </c>
      <c r="CT164">
        <f>0.349941081</f>
        <v>0.34994108099999999</v>
      </c>
      <c r="CU164">
        <f>-0.679182406</f>
        <v>-0.67918240600000002</v>
      </c>
      <c r="CV164">
        <f>-2.47667029</f>
        <v>-2.4766702899999999</v>
      </c>
      <c r="CW164">
        <f>-0.258898844</f>
        <v>-0.25889884400000002</v>
      </c>
      <c r="CX164">
        <f>0.44991579</f>
        <v>0.44991578999999998</v>
      </c>
      <c r="CY164">
        <f>5.391907411</f>
        <v>5.391907411</v>
      </c>
      <c r="CZ164">
        <f>6.14341846</f>
        <v>6.1434184600000004</v>
      </c>
      <c r="DA164">
        <f>8.442068914</f>
        <v>8.442068914</v>
      </c>
      <c r="DB164">
        <f>9.136003038</f>
        <v>9.1360030380000001</v>
      </c>
      <c r="DC164">
        <f>11.87439932</f>
        <v>11.87439932</v>
      </c>
      <c r="DD164">
        <f>12.67368934</f>
        <v>12.673689339999999</v>
      </c>
      <c r="DE164">
        <f>8.434717448</f>
        <v>8.4347174480000007</v>
      </c>
      <c r="DF164">
        <f>7.282144824</f>
        <v>7.2821448240000004</v>
      </c>
      <c r="DG164">
        <f>9.990248382</f>
        <v>9.9902483820000008</v>
      </c>
      <c r="DH164">
        <f>8.018738184</f>
        <v>8.018738184</v>
      </c>
      <c r="DI164">
        <f>7.713293419</f>
        <v>7.7132934190000002</v>
      </c>
      <c r="DJ164">
        <f>10.17643399</f>
        <v>10.17643399</v>
      </c>
      <c r="DK164">
        <f>6.228268211</f>
        <v>6.2282682109999996</v>
      </c>
      <c r="DL164">
        <f>6.654019814</f>
        <v>6.6540198139999998</v>
      </c>
      <c r="DM164">
        <f>10.57147193</f>
        <v>10.57147193</v>
      </c>
      <c r="DN164">
        <f>11.93536871</f>
        <v>11.935368710000001</v>
      </c>
      <c r="DO164">
        <f>18.06786486</f>
        <v>18.06786486</v>
      </c>
      <c r="DP164">
        <f>19.26088187</f>
        <v>19.260881869999999</v>
      </c>
      <c r="DQ164">
        <f>18.43871175</f>
        <v>18.43871175</v>
      </c>
      <c r="DR164">
        <f>17.74144035</f>
        <v>17.741440350000001</v>
      </c>
      <c r="DS164">
        <f>15.82211681</f>
        <v>15.822116810000001</v>
      </c>
      <c r="DT164">
        <f>13.31020713</f>
        <v>13.31020713</v>
      </c>
      <c r="DU164">
        <f>10.63095917</f>
        <v>10.630959170000001</v>
      </c>
    </row>
    <row r="165" spans="1:125">
      <c r="A165" t="str">
        <f>"    Brixmor Property Group Inc"</f>
        <v xml:space="preserve">    Brixmor Property Group Inc</v>
      </c>
      <c r="B165" t="str">
        <f>"BRX US Equity"</f>
        <v>BRX US Equity</v>
      </c>
      <c r="C165" t="str">
        <f t="shared" ref="C165:C179" si="30">"RR551"</f>
        <v>RR551</v>
      </c>
      <c r="D165" t="str">
        <f t="shared" ref="D165:D179" si="31">"NOI_GROWTH"</f>
        <v>NOI_GROWTH</v>
      </c>
      <c r="E165" t="str">
        <f t="shared" ref="E165:E179" si="32">"动态"</f>
        <v>动态</v>
      </c>
      <c r="F165" t="str">
        <f ca="1">IF(AND(ISNUMBER($F$616),$B$419=1),$F$616,HLOOKUP(INDIRECT(ADDRESS(2,COLUMN())),OFFSET($BN$2,0,0,ROW()-1,60),ROW()-1,FALSE))</f>
        <v/>
      </c>
      <c r="G165">
        <f ca="1">IF(AND(ISNUMBER($G$616),$B$419=1),$G$616,HLOOKUP(INDIRECT(ADDRESS(2,COLUMN())),OFFSET($BN$2,0,0,ROW()-1,60),ROW()-1,FALSE))</f>
        <v>-1.4309171110000001</v>
      </c>
      <c r="H165">
        <f ca="1">IF(AND(ISNUMBER($H$616),$B$419=1),$H$616,HLOOKUP(INDIRECT(ADDRESS(2,COLUMN())),OFFSET($BN$2,0,0,ROW()-1,60),ROW()-1,FALSE))</f>
        <v>-0.56582911599999997</v>
      </c>
      <c r="I165">
        <f ca="1">IF(AND(ISNUMBER($I$616),$B$419=1),$I$616,HLOOKUP(INDIRECT(ADDRESS(2,COLUMN())),OFFSET($BN$2,0,0,ROW()-1,60),ROW()-1,FALSE))</f>
        <v>3.0139025890000002</v>
      </c>
      <c r="J165">
        <f ca="1">IF(AND(ISNUMBER($J$616),$B$419=1),$J$616,HLOOKUP(INDIRECT(ADDRESS(2,COLUMN())),OFFSET($BN$2,0,0,ROW()-1,60),ROW()-1,FALSE))</f>
        <v>-4.4489938999999999E-2</v>
      </c>
      <c r="K165">
        <f ca="1">IF(AND(ISNUMBER($K$616),$B$419=1),$K$616,HLOOKUP(INDIRECT(ADDRESS(2,COLUMN())),OFFSET($BN$2,0,0,ROW()-1,60),ROW()-1,FALSE))</f>
        <v>8.4495444000000003E-2</v>
      </c>
      <c r="L165">
        <f ca="1">IF(AND(ISNUMBER($L$616),$B$419=1),$L$616,HLOOKUP(INDIRECT(ADDRESS(2,COLUMN())),OFFSET($BN$2,0,0,ROW()-1,60),ROW()-1,FALSE))</f>
        <v>1.4510974510000001</v>
      </c>
      <c r="M165">
        <f ca="1">IF(AND(ISNUMBER($M$616),$B$419=1),$M$616,HLOOKUP(INDIRECT(ADDRESS(2,COLUMN())),OFFSET($BN$2,0,0,ROW()-1,60),ROW()-1,FALSE))</f>
        <v>1.1624141459999999</v>
      </c>
      <c r="N165">
        <f ca="1">IF(AND(ISNUMBER($N$616),$B$419=1),$N$616,HLOOKUP(INDIRECT(ADDRESS(2,COLUMN())),OFFSET($BN$2,0,0,ROW()-1,60),ROW()-1,FALSE))</f>
        <v>2.724283352</v>
      </c>
      <c r="O165">
        <f ca="1">IF(AND(ISNUMBER($O$616),$B$419=1),$O$616,HLOOKUP(INDIRECT(ADDRESS(2,COLUMN())),OFFSET($BN$2,0,0,ROW()-1,60),ROW()-1,FALSE))</f>
        <v>4.9486163039999997</v>
      </c>
      <c r="P165">
        <f ca="1">IF(AND(ISNUMBER($P$616),$B$419=1),$P$616,HLOOKUP(INDIRECT(ADDRESS(2,COLUMN())),OFFSET($BN$2,0,0,ROW()-1,60),ROW()-1,FALSE))</f>
        <v>2.195781545</v>
      </c>
      <c r="Q165">
        <f ca="1">IF(AND(ISNUMBER($Q$616),$B$419=1),$Q$616,HLOOKUP(INDIRECT(ADDRESS(2,COLUMN())),OFFSET($BN$2,0,0,ROW()-1,60),ROW()-1,FALSE))</f>
        <v>1.427643891</v>
      </c>
      <c r="R165">
        <f ca="1">IF(AND(ISNUMBER($R$616),$B$419=1),$R$616,HLOOKUP(INDIRECT(ADDRESS(2,COLUMN())),OFFSET($BN$2,0,0,ROW()-1,60),ROW()-1,FALSE))</f>
        <v>2.9874334170000001</v>
      </c>
      <c r="S165">
        <f ca="1">IF(AND(ISNUMBER($S$616),$B$419=1),$S$616,HLOOKUP(INDIRECT(ADDRESS(2,COLUMN())),OFFSET($BN$2,0,0,ROW()-1,60),ROW()-1,FALSE))</f>
        <v>5.1119308669999999</v>
      </c>
      <c r="T165">
        <f ca="1">IF(AND(ISNUMBER($T$616),$B$419=1),$T$616,HLOOKUP(INDIRECT(ADDRESS(2,COLUMN())),OFFSET($BN$2,0,0,ROW()-1,60),ROW()-1,FALSE))</f>
        <v>7.4945519349999996</v>
      </c>
      <c r="U165">
        <f ca="1">IF(AND(ISNUMBER($U$616),$B$419=1),$U$616,HLOOKUP(INDIRECT(ADDRESS(2,COLUMN())),OFFSET($BN$2,0,0,ROW()-1,60),ROW()-1,FALSE))</f>
        <v>11.60128212</v>
      </c>
      <c r="V165">
        <f ca="1">IF(AND(ISNUMBER($V$616),$B$419=1),$V$616,HLOOKUP(INDIRECT(ADDRESS(2,COLUMN())),OFFSET($BN$2,0,0,ROW()-1,60),ROW()-1,FALSE))</f>
        <v>12.417997</v>
      </c>
      <c r="W165">
        <f ca="1">IF(AND(ISNUMBER($W$616),$B$419=1),$W$616,HLOOKUP(INDIRECT(ADDRESS(2,COLUMN())),OFFSET($BN$2,0,0,ROW()-1,60),ROW()-1,FALSE))</f>
        <v>4.8201400129999996</v>
      </c>
      <c r="X165">
        <f ca="1">IF(AND(ISNUMBER($X$616),$B$419=1),$X$616,HLOOKUP(INDIRECT(ADDRESS(2,COLUMN())),OFFSET($BN$2,0,0,ROW()-1,60),ROW()-1,FALSE))</f>
        <v>1.562309698</v>
      </c>
      <c r="Y165">
        <f ca="1">IF(AND(ISNUMBER($Y$616),$B$419=1),$Y$616,HLOOKUP(INDIRECT(ADDRESS(2,COLUMN())),OFFSET($BN$2,0,0,ROW()-1,60),ROW()-1,FALSE))</f>
        <v>0.36104171699999998</v>
      </c>
      <c r="Z165">
        <f ca="1">IF(AND(ISNUMBER($Z$616),$B$419=1),$Z$616,HLOOKUP(INDIRECT(ADDRESS(2,COLUMN())),OFFSET($BN$2,0,0,ROW()-1,60),ROW()-1,FALSE))</f>
        <v>-1.464086641</v>
      </c>
      <c r="AA165" t="str">
        <f ca="1">IF(AND(ISNUMBER($AA$616),$B$419=1),$AA$616,HLOOKUP(INDIRECT(ADDRESS(2,COLUMN())),OFFSET($BN$2,0,0,ROW()-1,60),ROW()-1,FALSE))</f>
        <v/>
      </c>
      <c r="AB165" t="str">
        <f ca="1">IF(AND(ISNUMBER($AB$616),$B$419=1),$AB$616,HLOOKUP(INDIRECT(ADDRESS(2,COLUMN())),OFFSET($BN$2,0,0,ROW()-1,60),ROW()-1,FALSE))</f>
        <v/>
      </c>
      <c r="AC165" t="str">
        <f ca="1">IF(AND(ISNUMBER($AC$616),$B$419=1),$AC$616,HLOOKUP(INDIRECT(ADDRESS(2,COLUMN())),OFFSET($BN$2,0,0,ROW()-1,60),ROW()-1,FALSE))</f>
        <v/>
      </c>
      <c r="AD165" t="str">
        <f ca="1">IF(AND(ISNUMBER($AD$616),$B$419=1),$AD$616,HLOOKUP(INDIRECT(ADDRESS(2,COLUMN())),OFFSET($BN$2,0,0,ROW()-1,60),ROW()-1,FALSE))</f>
        <v/>
      </c>
      <c r="AE165" t="str">
        <f ca="1">IF(AND(ISNUMBER($AE$616),$B$419=1),$AE$616,HLOOKUP(INDIRECT(ADDRESS(2,COLUMN())),OFFSET($BN$2,0,0,ROW()-1,60),ROW()-1,FALSE))</f>
        <v/>
      </c>
      <c r="AF165" t="str">
        <f ca="1">IF(AND(ISNUMBER($AF$616),$B$419=1),$AF$616,HLOOKUP(INDIRECT(ADDRESS(2,COLUMN())),OFFSET($BN$2,0,0,ROW()-1,60),ROW()-1,FALSE))</f>
        <v/>
      </c>
      <c r="AG165" t="str">
        <f ca="1">IF(AND(ISNUMBER($AG$616),$B$419=1),$AG$616,HLOOKUP(INDIRECT(ADDRESS(2,COLUMN())),OFFSET($BN$2,0,0,ROW()-1,60),ROW()-1,FALSE))</f>
        <v/>
      </c>
      <c r="AH165" t="str">
        <f ca="1">IF(AND(ISNUMBER($AH$616),$B$419=1),$AH$616,HLOOKUP(INDIRECT(ADDRESS(2,COLUMN())),OFFSET($BN$2,0,0,ROW()-1,60),ROW()-1,FALSE))</f>
        <v/>
      </c>
      <c r="AI165" t="str">
        <f ca="1">IF(AND(ISNUMBER($AI$616),$B$419=1),$AI$616,HLOOKUP(INDIRECT(ADDRESS(2,COLUMN())),OFFSET($BN$2,0,0,ROW()-1,60),ROW()-1,FALSE))</f>
        <v/>
      </c>
      <c r="AJ165" t="str">
        <f ca="1">IF(AND(ISNUMBER($AJ$616),$B$419=1),$AJ$616,HLOOKUP(INDIRECT(ADDRESS(2,COLUMN())),OFFSET($BN$2,0,0,ROW()-1,60),ROW()-1,FALSE))</f>
        <v/>
      </c>
      <c r="AK165" t="str">
        <f ca="1">IF(AND(ISNUMBER($AK$616),$B$419=1),$AK$616,HLOOKUP(INDIRECT(ADDRESS(2,COLUMN())),OFFSET($BN$2,0,0,ROW()-1,60),ROW()-1,FALSE))</f>
        <v/>
      </c>
      <c r="AL165" t="str">
        <f ca="1">IF(AND(ISNUMBER($AL$616),$B$419=1),$AL$616,HLOOKUP(INDIRECT(ADDRESS(2,COLUMN())),OFFSET($BN$2,0,0,ROW()-1,60),ROW()-1,FALSE))</f>
        <v/>
      </c>
      <c r="AM165" t="str">
        <f ca="1">IF(AND(ISNUMBER($AM$616),$B$419=1),$AM$616,HLOOKUP(INDIRECT(ADDRESS(2,COLUMN())),OFFSET($BN$2,0,0,ROW()-1,60),ROW()-1,FALSE))</f>
        <v/>
      </c>
      <c r="AN165" t="str">
        <f ca="1">IF(AND(ISNUMBER($AN$616),$B$419=1),$AN$616,HLOOKUP(INDIRECT(ADDRESS(2,COLUMN())),OFFSET($BN$2,0,0,ROW()-1,60),ROW()-1,FALSE))</f>
        <v/>
      </c>
      <c r="AO165" t="str">
        <f ca="1">IF(AND(ISNUMBER($AO$616),$B$419=1),$AO$616,HLOOKUP(INDIRECT(ADDRESS(2,COLUMN())),OFFSET($BN$2,0,0,ROW()-1,60),ROW()-1,FALSE))</f>
        <v/>
      </c>
      <c r="AP165" t="str">
        <f ca="1">IF(AND(ISNUMBER($AP$616),$B$419=1),$AP$616,HLOOKUP(INDIRECT(ADDRESS(2,COLUMN())),OFFSET($BN$2,0,0,ROW()-1,60),ROW()-1,FALSE))</f>
        <v/>
      </c>
      <c r="AQ165" t="str">
        <f ca="1">IF(AND(ISNUMBER($AQ$616),$B$419=1),$AQ$616,HLOOKUP(INDIRECT(ADDRESS(2,COLUMN())),OFFSET($BN$2,0,0,ROW()-1,60),ROW()-1,FALSE))</f>
        <v/>
      </c>
      <c r="AR165" t="str">
        <f ca="1">IF(AND(ISNUMBER($AR$616),$B$419=1),$AR$616,HLOOKUP(INDIRECT(ADDRESS(2,COLUMN())),OFFSET($BN$2,0,0,ROW()-1,60),ROW()-1,FALSE))</f>
        <v/>
      </c>
      <c r="AS165" t="str">
        <f ca="1">IF(AND(ISNUMBER($AS$616),$B$419=1),$AS$616,HLOOKUP(INDIRECT(ADDRESS(2,COLUMN())),OFFSET($BN$2,0,0,ROW()-1,60),ROW()-1,FALSE))</f>
        <v/>
      </c>
      <c r="AT165" t="str">
        <f ca="1">IF(AND(ISNUMBER($AT$616),$B$419=1),$AT$616,HLOOKUP(INDIRECT(ADDRESS(2,COLUMN())),OFFSET($BN$2,0,0,ROW()-1,60),ROW()-1,FALSE))</f>
        <v/>
      </c>
      <c r="AU165" t="str">
        <f ca="1">IF(AND(ISNUMBER($AU$616),$B$419=1),$AU$616,HLOOKUP(INDIRECT(ADDRESS(2,COLUMN())),OFFSET($BN$2,0,0,ROW()-1,60),ROW()-1,FALSE))</f>
        <v/>
      </c>
      <c r="AV165" t="str">
        <f ca="1">IF(AND(ISNUMBER($AV$616),$B$419=1),$AV$616,HLOOKUP(INDIRECT(ADDRESS(2,COLUMN())),OFFSET($BN$2,0,0,ROW()-1,60),ROW()-1,FALSE))</f>
        <v/>
      </c>
      <c r="AW165" t="str">
        <f ca="1">IF(AND(ISNUMBER($AW$616),$B$419=1),$AW$616,HLOOKUP(INDIRECT(ADDRESS(2,COLUMN())),OFFSET($BN$2,0,0,ROW()-1,60),ROW()-1,FALSE))</f>
        <v/>
      </c>
      <c r="AX165" t="str">
        <f ca="1">IF(AND(ISNUMBER($AX$616),$B$419=1),$AX$616,HLOOKUP(INDIRECT(ADDRESS(2,COLUMN())),OFFSET($BN$2,0,0,ROW()-1,60),ROW()-1,FALSE))</f>
        <v/>
      </c>
      <c r="AY165" t="str">
        <f ca="1">IF(AND(ISNUMBER($AY$616),$B$419=1),$AY$616,HLOOKUP(INDIRECT(ADDRESS(2,COLUMN())),OFFSET($BN$2,0,0,ROW()-1,60),ROW()-1,FALSE))</f>
        <v/>
      </c>
      <c r="AZ165" t="str">
        <f ca="1">IF(AND(ISNUMBER($AZ$616),$B$419=1),$AZ$616,HLOOKUP(INDIRECT(ADDRESS(2,COLUMN())),OFFSET($BN$2,0,0,ROW()-1,60),ROW()-1,FALSE))</f>
        <v/>
      </c>
      <c r="BA165" t="str">
        <f ca="1">IF(AND(ISNUMBER($BA$616),$B$419=1),$BA$616,HLOOKUP(INDIRECT(ADDRESS(2,COLUMN())),OFFSET($BN$2,0,0,ROW()-1,60),ROW()-1,FALSE))</f>
        <v/>
      </c>
      <c r="BB165" t="str">
        <f ca="1">IF(AND(ISNUMBER($BB$616),$B$419=1),$BB$616,HLOOKUP(INDIRECT(ADDRESS(2,COLUMN())),OFFSET($BN$2,0,0,ROW()-1,60),ROW()-1,FALSE))</f>
        <v/>
      </c>
      <c r="BC165" t="str">
        <f ca="1">IF(AND(ISNUMBER($BC$616),$B$419=1),$BC$616,HLOOKUP(INDIRECT(ADDRESS(2,COLUMN())),OFFSET($BN$2,0,0,ROW()-1,60),ROW()-1,FALSE))</f>
        <v/>
      </c>
      <c r="BD165" t="str">
        <f ca="1">IF(AND(ISNUMBER($BD$616),$B$419=1),$BD$616,HLOOKUP(INDIRECT(ADDRESS(2,COLUMN())),OFFSET($BN$2,0,0,ROW()-1,60),ROW()-1,FALSE))</f>
        <v/>
      </c>
      <c r="BE165" t="str">
        <f ca="1">IF(AND(ISNUMBER($BE$616),$B$419=1),$BE$616,HLOOKUP(INDIRECT(ADDRESS(2,COLUMN())),OFFSET($BN$2,0,0,ROW()-1,60),ROW()-1,FALSE))</f>
        <v/>
      </c>
      <c r="BF165" t="str">
        <f ca="1">IF(AND(ISNUMBER($BF$616),$B$419=1),$BF$616,HLOOKUP(INDIRECT(ADDRESS(2,COLUMN())),OFFSET($BN$2,0,0,ROW()-1,60),ROW()-1,FALSE))</f>
        <v/>
      </c>
      <c r="BG165" t="str">
        <f ca="1">IF(AND(ISNUMBER($BG$616),$B$419=1),$BG$616,HLOOKUP(INDIRECT(ADDRESS(2,COLUMN())),OFFSET($BN$2,0,0,ROW()-1,60),ROW()-1,FALSE))</f>
        <v/>
      </c>
      <c r="BH165" t="str">
        <f ca="1">IF(AND(ISNUMBER($BH$616),$B$419=1),$BH$616,HLOOKUP(INDIRECT(ADDRESS(2,COLUMN())),OFFSET($BN$2,0,0,ROW()-1,60),ROW()-1,FALSE))</f>
        <v/>
      </c>
      <c r="BI165" t="str">
        <f ca="1">IF(AND(ISNUMBER($BI$616),$B$419=1),$BI$616,HLOOKUP(INDIRECT(ADDRESS(2,COLUMN())),OFFSET($BN$2,0,0,ROW()-1,60),ROW()-1,FALSE))</f>
        <v/>
      </c>
      <c r="BJ165" t="str">
        <f ca="1">IF(AND(ISNUMBER($BJ$616),$B$419=1),$BJ$616,HLOOKUP(INDIRECT(ADDRESS(2,COLUMN())),OFFSET($BN$2,0,0,ROW()-1,60),ROW()-1,FALSE))</f>
        <v/>
      </c>
      <c r="BK165" t="str">
        <f ca="1">IF(AND(ISNUMBER($BK$616),$B$419=1),$BK$616,HLOOKUP(INDIRECT(ADDRESS(2,COLUMN())),OFFSET($BN$2,0,0,ROW()-1,60),ROW()-1,FALSE))</f>
        <v/>
      </c>
      <c r="BL165" t="str">
        <f ca="1">IF(AND(ISNUMBER($BL$616),$B$419=1),$BL$616,HLOOKUP(INDIRECT(ADDRESS(2,COLUMN())),OFFSET($BN$2,0,0,ROW()-1,60),ROW()-1,FALSE))</f>
        <v/>
      </c>
      <c r="BM165" t="str">
        <f ca="1">IF(AND(ISNUMBER($BM$616),$B$419=1),$BM$616,HLOOKUP(INDIRECT(ADDRESS(2,COLUMN())),OFFSET($BN$2,0,0,ROW()-1,60),ROW()-1,FALSE))</f>
        <v/>
      </c>
      <c r="BN165" t="str">
        <f>""</f>
        <v/>
      </c>
      <c r="BO165">
        <f>-1.430917111</f>
        <v>-1.4309171110000001</v>
      </c>
      <c r="BP165">
        <f>-0.565829116</f>
        <v>-0.56582911599999997</v>
      </c>
      <c r="BQ165">
        <f>3.013902589</f>
        <v>3.0139025890000002</v>
      </c>
      <c r="BR165">
        <f>-0.044489939</f>
        <v>-4.4489938999999999E-2</v>
      </c>
      <c r="BS165">
        <f>0.084495444</f>
        <v>8.4495444000000003E-2</v>
      </c>
      <c r="BT165">
        <f>1.451097451</f>
        <v>1.4510974510000001</v>
      </c>
      <c r="BU165">
        <f>1.162414146</f>
        <v>1.1624141459999999</v>
      </c>
      <c r="BV165">
        <f>2.724283352</f>
        <v>2.724283352</v>
      </c>
      <c r="BW165">
        <f>4.948616304</f>
        <v>4.9486163039999997</v>
      </c>
      <c r="BX165">
        <f>2.195781545</f>
        <v>2.195781545</v>
      </c>
      <c r="BY165">
        <f>1.427643891</f>
        <v>1.427643891</v>
      </c>
      <c r="BZ165">
        <f>2.987433417</f>
        <v>2.9874334170000001</v>
      </c>
      <c r="CA165">
        <f>5.111930867</f>
        <v>5.1119308669999999</v>
      </c>
      <c r="CB165">
        <f>7.494551935</f>
        <v>7.4945519349999996</v>
      </c>
      <c r="CC165">
        <f>11.60128212</f>
        <v>11.60128212</v>
      </c>
      <c r="CD165">
        <f>12.417997</f>
        <v>12.417997</v>
      </c>
      <c r="CE165">
        <f>4.820140013</f>
        <v>4.8201400129999996</v>
      </c>
      <c r="CF165">
        <f>1.562309698</f>
        <v>1.562309698</v>
      </c>
      <c r="CG165">
        <f>0.361041717</f>
        <v>0.36104171699999998</v>
      </c>
      <c r="CH165">
        <f>-1.464086641</f>
        <v>-1.464086641</v>
      </c>
      <c r="CI165" t="str">
        <f>""</f>
        <v/>
      </c>
      <c r="CJ165" t="str">
        <f>""</f>
        <v/>
      </c>
      <c r="CK165" t="str">
        <f>""</f>
        <v/>
      </c>
      <c r="CL165" t="str">
        <f>""</f>
        <v/>
      </c>
      <c r="CM165" t="str">
        <f>""</f>
        <v/>
      </c>
      <c r="CN165" t="str">
        <f>""</f>
        <v/>
      </c>
      <c r="CO165" t="str">
        <f>""</f>
        <v/>
      </c>
      <c r="CP165" t="str">
        <f>""</f>
        <v/>
      </c>
      <c r="CQ165" t="str">
        <f>""</f>
        <v/>
      </c>
      <c r="CR165" t="str">
        <f>""</f>
        <v/>
      </c>
      <c r="CS165" t="str">
        <f>""</f>
        <v/>
      </c>
      <c r="CT165" t="str">
        <f>""</f>
        <v/>
      </c>
      <c r="CU165" t="str">
        <f>""</f>
        <v/>
      </c>
      <c r="CV165" t="str">
        <f>""</f>
        <v/>
      </c>
      <c r="CW165" t="str">
        <f>""</f>
        <v/>
      </c>
      <c r="CX165" t="str">
        <f>""</f>
        <v/>
      </c>
      <c r="CY165" t="str">
        <f>""</f>
        <v/>
      </c>
      <c r="CZ165" t="str">
        <f>""</f>
        <v/>
      </c>
      <c r="DA165" t="str">
        <f>""</f>
        <v/>
      </c>
      <c r="DB165" t="str">
        <f>""</f>
        <v/>
      </c>
      <c r="DC165" t="str">
        <f>""</f>
        <v/>
      </c>
      <c r="DD165" t="str">
        <f>""</f>
        <v/>
      </c>
      <c r="DE165" t="str">
        <f>""</f>
        <v/>
      </c>
      <c r="DF165" t="str">
        <f>""</f>
        <v/>
      </c>
      <c r="DG165" t="str">
        <f>""</f>
        <v/>
      </c>
      <c r="DH165" t="str">
        <f>""</f>
        <v/>
      </c>
      <c r="DI165" t="str">
        <f>""</f>
        <v/>
      </c>
      <c r="DJ165" t="str">
        <f>""</f>
        <v/>
      </c>
      <c r="DK165" t="str">
        <f>""</f>
        <v/>
      </c>
      <c r="DL165" t="str">
        <f>""</f>
        <v/>
      </c>
      <c r="DM165" t="str">
        <f>""</f>
        <v/>
      </c>
      <c r="DN165" t="str">
        <f>""</f>
        <v/>
      </c>
      <c r="DO165" t="str">
        <f>""</f>
        <v/>
      </c>
      <c r="DP165" t="str">
        <f>""</f>
        <v/>
      </c>
      <c r="DQ165" t="str">
        <f>""</f>
        <v/>
      </c>
      <c r="DR165" t="str">
        <f>""</f>
        <v/>
      </c>
      <c r="DS165" t="str">
        <f>""</f>
        <v/>
      </c>
      <c r="DT165" t="str">
        <f>""</f>
        <v/>
      </c>
      <c r="DU165" t="str">
        <f>""</f>
        <v/>
      </c>
    </row>
    <row r="166" spans="1:125">
      <c r="A166" t="str">
        <f>"    CBL &amp; Associates Properties In"</f>
        <v xml:space="preserve">    CBL &amp; Associates Properties In</v>
      </c>
      <c r="B166" t="str">
        <f>"CBL US Equity"</f>
        <v>CBL US Equity</v>
      </c>
      <c r="C166" t="str">
        <f t="shared" si="30"/>
        <v>RR551</v>
      </c>
      <c r="D166" t="str">
        <f t="shared" si="31"/>
        <v>NOI_GROWTH</v>
      </c>
      <c r="E166" t="str">
        <f t="shared" si="32"/>
        <v>动态</v>
      </c>
      <c r="F166" t="str">
        <f ca="1">IF(AND(ISNUMBER($F$617),$B$419=1),$F$617,HLOOKUP(INDIRECT(ADDRESS(2,COLUMN())),OFFSET($BN$2,0,0,ROW()-1,60),ROW()-1,FALSE))</f>
        <v/>
      </c>
      <c r="G166">
        <f ca="1">IF(AND(ISNUMBER($G$617),$B$419=1),$G$617,HLOOKUP(INDIRECT(ADDRESS(2,COLUMN())),OFFSET($BN$2,0,0,ROW()-1,60),ROW()-1,FALSE))</f>
        <v>-10.43763152</v>
      </c>
      <c r="H166">
        <f ca="1">IF(AND(ISNUMBER($H$617),$B$419=1),$H$617,HLOOKUP(INDIRECT(ADDRESS(2,COLUMN())),OFFSET($BN$2,0,0,ROW()-1,60),ROW()-1,FALSE))</f>
        <v>-8.6489214659999991</v>
      </c>
      <c r="I166">
        <f ca="1">IF(AND(ISNUMBER($I$617),$B$419=1),$I$617,HLOOKUP(INDIRECT(ADDRESS(2,COLUMN())),OFFSET($BN$2,0,0,ROW()-1,60),ROW()-1,FALSE))</f>
        <v>-8.6056133530000007</v>
      </c>
      <c r="J166">
        <f ca="1">IF(AND(ISNUMBER($J$617),$B$419=1),$J$617,HLOOKUP(INDIRECT(ADDRESS(2,COLUMN())),OFFSET($BN$2,0,0,ROW()-1,60),ROW()-1,FALSE))</f>
        <v>-7.7298494780000002</v>
      </c>
      <c r="K166">
        <f ca="1">IF(AND(ISNUMBER($K$617),$B$419=1),$K$617,HLOOKUP(INDIRECT(ADDRESS(2,COLUMN())),OFFSET($BN$2,0,0,ROW()-1,60),ROW()-1,FALSE))</f>
        <v>-7.4054891280000001</v>
      </c>
      <c r="L166">
        <f ca="1">IF(AND(ISNUMBER($L$617),$B$419=1),$L$617,HLOOKUP(INDIRECT(ADDRESS(2,COLUMN())),OFFSET($BN$2,0,0,ROW()-1,60),ROW()-1,FALSE))</f>
        <v>-4.0645083189999998</v>
      </c>
      <c r="M166">
        <f ca="1">IF(AND(ISNUMBER($M$617),$B$419=1),$M$617,HLOOKUP(INDIRECT(ADDRESS(2,COLUMN())),OFFSET($BN$2,0,0,ROW()-1,60),ROW()-1,FALSE))</f>
        <v>2.7365611300000001</v>
      </c>
      <c r="N166">
        <f ca="1">IF(AND(ISNUMBER($N$617),$B$419=1),$N$617,HLOOKUP(INDIRECT(ADDRESS(2,COLUMN())),OFFSET($BN$2,0,0,ROW()-1,60),ROW()-1,FALSE))</f>
        <v>1.5287916800000001</v>
      </c>
      <c r="O166">
        <f ca="1">IF(AND(ISNUMBER($O$617),$B$419=1),$O$617,HLOOKUP(INDIRECT(ADDRESS(2,COLUMN())),OFFSET($BN$2,0,0,ROW()-1,60),ROW()-1,FALSE))</f>
        <v>1.8948722849999999</v>
      </c>
      <c r="P166">
        <f ca="1">IF(AND(ISNUMBER($P$617),$B$419=1),$P$617,HLOOKUP(INDIRECT(ADDRESS(2,COLUMN())),OFFSET($BN$2,0,0,ROW()-1,60),ROW()-1,FALSE))</f>
        <v>1.501773198</v>
      </c>
      <c r="Q166">
        <f ca="1">IF(AND(ISNUMBER($Q$617),$B$419=1),$Q$617,HLOOKUP(INDIRECT(ADDRESS(2,COLUMN())),OFFSET($BN$2,0,0,ROW()-1,60),ROW()-1,FALSE))</f>
        <v>0.51291878999999996</v>
      </c>
      <c r="R166">
        <f ca="1">IF(AND(ISNUMBER($R$617),$B$419=1),$R$617,HLOOKUP(INDIRECT(ADDRESS(2,COLUMN())),OFFSET($BN$2,0,0,ROW()-1,60),ROW()-1,FALSE))</f>
        <v>0.79547714400000002</v>
      </c>
      <c r="S166">
        <f ca="1">IF(AND(ISNUMBER($S$617),$B$419=1),$S$617,HLOOKUP(INDIRECT(ADDRESS(2,COLUMN())),OFFSET($BN$2,0,0,ROW()-1,60),ROW()-1,FALSE))</f>
        <v>1.207626256</v>
      </c>
      <c r="T166">
        <f ca="1">IF(AND(ISNUMBER($T$617),$B$419=1),$T$617,HLOOKUP(INDIRECT(ADDRESS(2,COLUMN())),OFFSET($BN$2,0,0,ROW()-1,60),ROW()-1,FALSE))</f>
        <v>3.1054577280000002</v>
      </c>
      <c r="U166">
        <f ca="1">IF(AND(ISNUMBER($U$617),$B$419=1),$U$617,HLOOKUP(INDIRECT(ADDRESS(2,COLUMN())),OFFSET($BN$2,0,0,ROW()-1,60),ROW()-1,FALSE))</f>
        <v>-0.105291014</v>
      </c>
      <c r="V166">
        <f ca="1">IF(AND(ISNUMBER($V$617),$B$419=1),$V$617,HLOOKUP(INDIRECT(ADDRESS(2,COLUMN())),OFFSET($BN$2,0,0,ROW()-1,60),ROW()-1,FALSE))</f>
        <v>0.62837343300000004</v>
      </c>
      <c r="W166">
        <f ca="1">IF(AND(ISNUMBER($W$617),$B$419=1),$W$617,HLOOKUP(INDIRECT(ADDRESS(2,COLUMN())),OFFSET($BN$2,0,0,ROW()-1,60),ROW()-1,FALSE))</f>
        <v>0.83764638300000005</v>
      </c>
      <c r="X166">
        <f ca="1">IF(AND(ISNUMBER($X$617),$B$419=1),$X$617,HLOOKUP(INDIRECT(ADDRESS(2,COLUMN())),OFFSET($BN$2,0,0,ROW()-1,60),ROW()-1,FALSE))</f>
        <v>1.877848892</v>
      </c>
      <c r="Y166">
        <f ca="1">IF(AND(ISNUMBER($Y$617),$B$419=1),$Y$617,HLOOKUP(INDIRECT(ADDRESS(2,COLUMN())),OFFSET($BN$2,0,0,ROW()-1,60),ROW()-1,FALSE))</f>
        <v>3.102903784</v>
      </c>
      <c r="Z166">
        <f ca="1">IF(AND(ISNUMBER($Z$617),$B$419=1),$Z$617,HLOOKUP(INDIRECT(ADDRESS(2,COLUMN())),OFFSET($BN$2,0,0,ROW()-1,60),ROW()-1,FALSE))</f>
        <v>5.0691465720000002</v>
      </c>
      <c r="AA166">
        <f ca="1">IF(AND(ISNUMBER($AA$617),$B$419=1),$AA$617,HLOOKUP(INDIRECT(ADDRESS(2,COLUMN())),OFFSET($BN$2,0,0,ROW()-1,60),ROW()-1,FALSE))</f>
        <v>4.7785660539999997</v>
      </c>
      <c r="AB166">
        <f ca="1">IF(AND(ISNUMBER($AB$617),$B$419=1),$AB$617,HLOOKUP(INDIRECT(ADDRESS(2,COLUMN())),OFFSET($BN$2,0,0,ROW()-1,60),ROW()-1,FALSE))</f>
        <v>-6.8956665170000004</v>
      </c>
      <c r="AC166">
        <f ca="1">IF(AND(ISNUMBER($AC$617),$B$419=1),$AC$617,HLOOKUP(INDIRECT(ADDRESS(2,COLUMN())),OFFSET($BN$2,0,0,ROW()-1,60),ROW()-1,FALSE))</f>
        <v>-3.4265851879999998</v>
      </c>
      <c r="AD166">
        <f ca="1">IF(AND(ISNUMBER($AD$617),$B$419=1),$AD$617,HLOOKUP(INDIRECT(ADDRESS(2,COLUMN())),OFFSET($BN$2,0,0,ROW()-1,60),ROW()-1,FALSE))</f>
        <v>-6.1235308709999998</v>
      </c>
      <c r="AE166">
        <f ca="1">IF(AND(ISNUMBER($AE$617),$B$419=1),$AE$617,HLOOKUP(INDIRECT(ADDRESS(2,COLUMN())),OFFSET($BN$2,0,0,ROW()-1,60),ROW()-1,FALSE))</f>
        <v>-8.3376029640000002</v>
      </c>
      <c r="AF166">
        <f ca="1">IF(AND(ISNUMBER($AF$617),$B$419=1),$AF$617,HLOOKUP(INDIRECT(ADDRESS(2,COLUMN())),OFFSET($BN$2,0,0,ROW()-1,60),ROW()-1,FALSE))</f>
        <v>2.6128771909999999</v>
      </c>
      <c r="AG166">
        <f ca="1">IF(AND(ISNUMBER($AG$617),$B$419=1),$AG$617,HLOOKUP(INDIRECT(ADDRESS(2,COLUMN())),OFFSET($BN$2,0,0,ROW()-1,60),ROW()-1,FALSE))</f>
        <v>1.20054013</v>
      </c>
      <c r="AH166">
        <f ca="1">IF(AND(ISNUMBER($AH$617),$B$419=1),$AH$617,HLOOKUP(INDIRECT(ADDRESS(2,COLUMN())),OFFSET($BN$2,0,0,ROW()-1,60),ROW()-1,FALSE))</f>
        <v>0.34123126199999998</v>
      </c>
      <c r="AI166">
        <f ca="1">IF(AND(ISNUMBER($AI$617),$B$419=1),$AI$617,HLOOKUP(INDIRECT(ADDRESS(2,COLUMN())),OFFSET($BN$2,0,0,ROW()-1,60),ROW()-1,FALSE))</f>
        <v>-0.52924572700000005</v>
      </c>
      <c r="AJ166">
        <f ca="1">IF(AND(ISNUMBER($AJ$617),$B$419=1),$AJ$617,HLOOKUP(INDIRECT(ADDRESS(2,COLUMN())),OFFSET($BN$2,0,0,ROW()-1,60),ROW()-1,FALSE))</f>
        <v>1.6811607420000001</v>
      </c>
      <c r="AK166">
        <f ca="1">IF(AND(ISNUMBER($AK$617),$B$419=1),$AK$617,HLOOKUP(INDIRECT(ADDRESS(2,COLUMN())),OFFSET($BN$2,0,0,ROW()-1,60),ROW()-1,FALSE))</f>
        <v>-3.3308286759999999</v>
      </c>
      <c r="AL166">
        <f ca="1">IF(AND(ISNUMBER($AL$617),$B$419=1),$AL$617,HLOOKUP(INDIRECT(ADDRESS(2,COLUMN())),OFFSET($BN$2,0,0,ROW()-1,60),ROW()-1,FALSE))</f>
        <v>-2.2632117470000002</v>
      </c>
      <c r="AM166">
        <f ca="1">IF(AND(ISNUMBER($AM$617),$B$419=1),$AM$617,HLOOKUP(INDIRECT(ADDRESS(2,COLUMN())),OFFSET($BN$2,0,0,ROW()-1,60),ROW()-1,FALSE))</f>
        <v>0.211655282</v>
      </c>
      <c r="AN166">
        <f ca="1">IF(AND(ISNUMBER($AN$617),$B$419=1),$AN$617,HLOOKUP(INDIRECT(ADDRESS(2,COLUMN())),OFFSET($BN$2,0,0,ROW()-1,60),ROW()-1,FALSE))</f>
        <v>-8.5568074040000006</v>
      </c>
      <c r="AO166">
        <f ca="1">IF(AND(ISNUMBER($AO$617),$B$419=1),$AO$617,HLOOKUP(INDIRECT(ADDRESS(2,COLUMN())),OFFSET($BN$2,0,0,ROW()-1,60),ROW()-1,FALSE))</f>
        <v>-0.47544187199999999</v>
      </c>
      <c r="AP166">
        <f ca="1">IF(AND(ISNUMBER($AP$617),$B$419=1),$AP$617,HLOOKUP(INDIRECT(ADDRESS(2,COLUMN())),OFFSET($BN$2,0,0,ROW()-1,60),ROW()-1,FALSE))</f>
        <v>-1.476718524</v>
      </c>
      <c r="AQ166">
        <f ca="1">IF(AND(ISNUMBER($AQ$617),$B$419=1),$AQ$617,HLOOKUP(INDIRECT(ADDRESS(2,COLUMN())),OFFSET($BN$2,0,0,ROW()-1,60),ROW()-1,FALSE))</f>
        <v>0.39292827699999999</v>
      </c>
      <c r="AR166">
        <f ca="1">IF(AND(ISNUMBER($AR$617),$B$419=1),$AR$617,HLOOKUP(INDIRECT(ADDRESS(2,COLUMN())),OFFSET($BN$2,0,0,ROW()-1,60),ROW()-1,FALSE))</f>
        <v>14.16146112</v>
      </c>
      <c r="AS166">
        <f ca="1">IF(AND(ISNUMBER($AS$617),$B$419=1),$AS$617,HLOOKUP(INDIRECT(ADDRESS(2,COLUMN())),OFFSET($BN$2,0,0,ROW()-1,60),ROW()-1,FALSE))</f>
        <v>9.7191112180000001</v>
      </c>
      <c r="AT166">
        <f ca="1">IF(AND(ISNUMBER($AT$617),$B$419=1),$AT$617,HLOOKUP(INDIRECT(ADDRESS(2,COLUMN())),OFFSET($BN$2,0,0,ROW()-1,60),ROW()-1,FALSE))</f>
        <v>11.19695097</v>
      </c>
      <c r="AU166">
        <f ca="1">IF(AND(ISNUMBER($AU$617),$B$419=1),$AU$617,HLOOKUP(INDIRECT(ADDRESS(2,COLUMN())),OFFSET($BN$2,0,0,ROW()-1,60),ROW()-1,FALSE))</f>
        <v>8.3878828040000002</v>
      </c>
      <c r="AV166">
        <f ca="1">IF(AND(ISNUMBER($AV$617),$B$419=1),$AV$617,HLOOKUP(INDIRECT(ADDRESS(2,COLUMN())),OFFSET($BN$2,0,0,ROW()-1,60),ROW()-1,FALSE))</f>
        <v>2.1277371380000001</v>
      </c>
      <c r="AW166">
        <f ca="1">IF(AND(ISNUMBER($AW$617),$B$419=1),$AW$617,HLOOKUP(INDIRECT(ADDRESS(2,COLUMN())),OFFSET($BN$2,0,0,ROW()-1,60),ROW()-1,FALSE))</f>
        <v>4.7779813750000004</v>
      </c>
      <c r="AX166">
        <f ca="1">IF(AND(ISNUMBER($AX$617),$B$419=1),$AX$617,HLOOKUP(INDIRECT(ADDRESS(2,COLUMN())),OFFSET($BN$2,0,0,ROW()-1,60),ROW()-1,FALSE))</f>
        <v>-1.032634117</v>
      </c>
      <c r="AY166">
        <f ca="1">IF(AND(ISNUMBER($AY$617),$B$419=1),$AY$617,HLOOKUP(INDIRECT(ADDRESS(2,COLUMN())),OFFSET($BN$2,0,0,ROW()-1,60),ROW()-1,FALSE))</f>
        <v>4.6913897950000001</v>
      </c>
      <c r="AZ166">
        <f ca="1">IF(AND(ISNUMBER($AZ$617),$B$419=1),$AZ$617,HLOOKUP(INDIRECT(ADDRESS(2,COLUMN())),OFFSET($BN$2,0,0,ROW()-1,60),ROW()-1,FALSE))</f>
        <v>6.6060405859999998</v>
      </c>
      <c r="BA166">
        <f ca="1">IF(AND(ISNUMBER($BA$617),$B$419=1),$BA$617,HLOOKUP(INDIRECT(ADDRESS(2,COLUMN())),OFFSET($BN$2,0,0,ROW()-1,60),ROW()-1,FALSE))</f>
        <v>15.02028207</v>
      </c>
      <c r="BB166">
        <f ca="1">IF(AND(ISNUMBER($BB$617),$B$419=1),$BB$617,HLOOKUP(INDIRECT(ADDRESS(2,COLUMN())),OFFSET($BN$2,0,0,ROW()-1,60),ROW()-1,FALSE))</f>
        <v>13.669702259999999</v>
      </c>
      <c r="BC166">
        <f ca="1">IF(AND(ISNUMBER($BC$617),$B$419=1),$BC$617,HLOOKUP(INDIRECT(ADDRESS(2,COLUMN())),OFFSET($BN$2,0,0,ROW()-1,60),ROW()-1,FALSE))</f>
        <v>14.924135270000001</v>
      </c>
      <c r="BD166">
        <f ca="1">IF(AND(ISNUMBER($BD$617),$B$419=1),$BD$617,HLOOKUP(INDIRECT(ADDRESS(2,COLUMN())),OFFSET($BN$2,0,0,ROW()-1,60),ROW()-1,FALSE))</f>
        <v>18.942843280000002</v>
      </c>
      <c r="BE166">
        <f ca="1">IF(AND(ISNUMBER($BE$617),$B$419=1),$BE$617,HLOOKUP(INDIRECT(ADDRESS(2,COLUMN())),OFFSET($BN$2,0,0,ROW()-1,60),ROW()-1,FALSE))</f>
        <v>16.390972550000001</v>
      </c>
      <c r="BF166">
        <f ca="1">IF(AND(ISNUMBER($BF$617),$B$419=1),$BF$617,HLOOKUP(INDIRECT(ADDRESS(2,COLUMN())),OFFSET($BN$2,0,0,ROW()-1,60),ROW()-1,FALSE))</f>
        <v>25.06521201</v>
      </c>
      <c r="BG166">
        <f ca="1">IF(AND(ISNUMBER($BG$617),$B$419=1),$BG$617,HLOOKUP(INDIRECT(ADDRESS(2,COLUMN())),OFFSET($BN$2,0,0,ROW()-1,60),ROW()-1,FALSE))</f>
        <v>23.798152470000002</v>
      </c>
      <c r="BH166">
        <f ca="1">IF(AND(ISNUMBER($BH$617),$B$419=1),$BH$617,HLOOKUP(INDIRECT(ADDRESS(2,COLUMN())),OFFSET($BN$2,0,0,ROW()-1,60),ROW()-1,FALSE))</f>
        <v>15.67375917</v>
      </c>
      <c r="BI166">
        <f ca="1">IF(AND(ISNUMBER($BI$617),$B$419=1),$BI$617,HLOOKUP(INDIRECT(ADDRESS(2,COLUMN())),OFFSET($BN$2,0,0,ROW()-1,60),ROW()-1,FALSE))</f>
        <v>7.7854446130000001</v>
      </c>
      <c r="BJ166">
        <f ca="1">IF(AND(ISNUMBER($BJ$617),$B$419=1),$BJ$617,HLOOKUP(INDIRECT(ADDRESS(2,COLUMN())),OFFSET($BN$2,0,0,ROW()-1,60),ROW()-1,FALSE))</f>
        <v>7.054730545</v>
      </c>
      <c r="BK166">
        <f ca="1">IF(AND(ISNUMBER($BK$617),$B$419=1),$BK$617,HLOOKUP(INDIRECT(ADDRESS(2,COLUMN())),OFFSET($BN$2,0,0,ROW()-1,60),ROW()-1,FALSE))</f>
        <v>17.521603899999999</v>
      </c>
      <c r="BL166">
        <f ca="1">IF(AND(ISNUMBER($BL$617),$B$419=1),$BL$617,HLOOKUP(INDIRECT(ADDRESS(2,COLUMN())),OFFSET($BN$2,0,0,ROW()-1,60),ROW()-1,FALSE))</f>
        <v>15.170582250000001</v>
      </c>
      <c r="BM166">
        <f ca="1">IF(AND(ISNUMBER($BM$617),$B$419=1),$BM$617,HLOOKUP(INDIRECT(ADDRESS(2,COLUMN())),OFFSET($BN$2,0,0,ROW()-1,60),ROW()-1,FALSE))</f>
        <v>13.43509141</v>
      </c>
      <c r="BN166" t="str">
        <f>""</f>
        <v/>
      </c>
      <c r="BO166">
        <f>-10.43763152</f>
        <v>-10.43763152</v>
      </c>
      <c r="BP166">
        <f>-8.648921466</f>
        <v>-8.6489214659999991</v>
      </c>
      <c r="BQ166">
        <f>-8.605613353</f>
        <v>-8.6056133530000007</v>
      </c>
      <c r="BR166">
        <f>-7.729849478</f>
        <v>-7.7298494780000002</v>
      </c>
      <c r="BS166">
        <f>-7.405489128</f>
        <v>-7.4054891280000001</v>
      </c>
      <c r="BT166">
        <f>-4.064508319</f>
        <v>-4.0645083189999998</v>
      </c>
      <c r="BU166">
        <f>2.73656113</f>
        <v>2.7365611300000001</v>
      </c>
      <c r="BV166">
        <f>1.52879168</f>
        <v>1.5287916800000001</v>
      </c>
      <c r="BW166">
        <f>1.894872285</f>
        <v>1.8948722849999999</v>
      </c>
      <c r="BX166">
        <f>1.501773198</f>
        <v>1.501773198</v>
      </c>
      <c r="BY166">
        <f>0.51291879</f>
        <v>0.51291878999999996</v>
      </c>
      <c r="BZ166">
        <f>0.795477144</f>
        <v>0.79547714400000002</v>
      </c>
      <c r="CA166">
        <f>1.207626256</f>
        <v>1.207626256</v>
      </c>
      <c r="CB166">
        <f>3.105457728</f>
        <v>3.1054577280000002</v>
      </c>
      <c r="CC166">
        <f>-0.105291014</f>
        <v>-0.105291014</v>
      </c>
      <c r="CD166">
        <f>0.628373433</f>
        <v>0.62837343300000004</v>
      </c>
      <c r="CE166">
        <f>0.837646383</f>
        <v>0.83764638300000005</v>
      </c>
      <c r="CF166">
        <f>1.877848892</f>
        <v>1.877848892</v>
      </c>
      <c r="CG166">
        <f>3.102903784</f>
        <v>3.102903784</v>
      </c>
      <c r="CH166">
        <f>5.069146572</f>
        <v>5.0691465720000002</v>
      </c>
      <c r="CI166">
        <f>4.778566054</f>
        <v>4.7785660539999997</v>
      </c>
      <c r="CJ166">
        <f>-6.895666517</f>
        <v>-6.8956665170000004</v>
      </c>
      <c r="CK166">
        <f>-3.426585188</f>
        <v>-3.4265851879999998</v>
      </c>
      <c r="CL166">
        <f>-6.123530871</f>
        <v>-6.1235308709999998</v>
      </c>
      <c r="CM166">
        <f>-8.337602964</f>
        <v>-8.3376029640000002</v>
      </c>
      <c r="CN166">
        <f>2.612877191</f>
        <v>2.6128771909999999</v>
      </c>
      <c r="CO166">
        <f>1.20054013</f>
        <v>1.20054013</v>
      </c>
      <c r="CP166">
        <f>0.341231262</f>
        <v>0.34123126199999998</v>
      </c>
      <c r="CQ166">
        <f>-0.529245727</f>
        <v>-0.52924572700000005</v>
      </c>
      <c r="CR166">
        <f>1.681160742</f>
        <v>1.6811607420000001</v>
      </c>
      <c r="CS166">
        <f>-3.330828676</f>
        <v>-3.3308286759999999</v>
      </c>
      <c r="CT166">
        <f>-2.263211747</f>
        <v>-2.2632117470000002</v>
      </c>
      <c r="CU166">
        <f>0.211655282</f>
        <v>0.211655282</v>
      </c>
      <c r="CV166">
        <f>-8.556807404</f>
        <v>-8.5568074040000006</v>
      </c>
      <c r="CW166">
        <f>-0.475441872</f>
        <v>-0.47544187199999999</v>
      </c>
      <c r="CX166">
        <f>-1.476718524</f>
        <v>-1.476718524</v>
      </c>
      <c r="CY166">
        <f>0.392928277</f>
        <v>0.39292827699999999</v>
      </c>
      <c r="CZ166">
        <f>14.16146112</f>
        <v>14.16146112</v>
      </c>
      <c r="DA166">
        <f>9.719111218</f>
        <v>9.7191112180000001</v>
      </c>
      <c r="DB166">
        <f>11.19695097</f>
        <v>11.19695097</v>
      </c>
      <c r="DC166">
        <f>8.387882804</f>
        <v>8.3878828040000002</v>
      </c>
      <c r="DD166">
        <f>2.127737138</f>
        <v>2.1277371380000001</v>
      </c>
      <c r="DE166">
        <f>4.777981375</f>
        <v>4.7779813750000004</v>
      </c>
      <c r="DF166">
        <f>-1.032634117</f>
        <v>-1.032634117</v>
      </c>
      <c r="DG166">
        <f>4.691389795</f>
        <v>4.6913897950000001</v>
      </c>
      <c r="DH166">
        <f>6.606040586</f>
        <v>6.6060405859999998</v>
      </c>
      <c r="DI166">
        <f>15.02028207</f>
        <v>15.02028207</v>
      </c>
      <c r="DJ166">
        <f>13.66970226</f>
        <v>13.669702259999999</v>
      </c>
      <c r="DK166">
        <f>14.92413527</f>
        <v>14.924135270000001</v>
      </c>
      <c r="DL166">
        <f>18.94284328</f>
        <v>18.942843280000002</v>
      </c>
      <c r="DM166">
        <f>16.39097255</f>
        <v>16.390972550000001</v>
      </c>
      <c r="DN166">
        <f>25.06521201</f>
        <v>25.06521201</v>
      </c>
      <c r="DO166">
        <f>23.79815247</f>
        <v>23.798152470000002</v>
      </c>
      <c r="DP166">
        <f>15.67375917</f>
        <v>15.67375917</v>
      </c>
      <c r="DQ166">
        <f>7.785444613</f>
        <v>7.7854446130000001</v>
      </c>
      <c r="DR166">
        <f>7.054730545</f>
        <v>7.054730545</v>
      </c>
      <c r="DS166">
        <f>17.5216039</f>
        <v>17.521603899999999</v>
      </c>
      <c r="DT166">
        <f>15.17058225</f>
        <v>15.170582250000001</v>
      </c>
      <c r="DU166">
        <f>13.43509141</f>
        <v>13.43509141</v>
      </c>
    </row>
    <row r="167" spans="1:125">
      <c r="A167" t="str">
        <f>"    DDR Corp"</f>
        <v xml:space="preserve">    DDR Corp</v>
      </c>
      <c r="B167" t="str">
        <f>"DDR US Equity"</f>
        <v>DDR US Equity</v>
      </c>
      <c r="C167" t="str">
        <f t="shared" si="30"/>
        <v>RR551</v>
      </c>
      <c r="D167" t="str">
        <f t="shared" si="31"/>
        <v>NOI_GROWTH</v>
      </c>
      <c r="E167" t="str">
        <f t="shared" si="32"/>
        <v>动态</v>
      </c>
      <c r="F167" t="str">
        <f ca="1">IF(AND(ISNUMBER($F$618),$B$419=1),$F$618,HLOOKUP(INDIRECT(ADDRESS(2,COLUMN())),OFFSET($BN$2,0,0,ROW()-1,60),ROW()-1,FALSE))</f>
        <v/>
      </c>
      <c r="G167">
        <f ca="1">IF(AND(ISNUMBER($G$618),$B$419=1),$G$618,HLOOKUP(INDIRECT(ADDRESS(2,COLUMN())),OFFSET($BN$2,0,0,ROW()-1,60),ROW()-1,FALSE))</f>
        <v>-14.42025952</v>
      </c>
      <c r="H167">
        <f ca="1">IF(AND(ISNUMBER($H$618),$B$419=1),$H$618,HLOOKUP(INDIRECT(ADDRESS(2,COLUMN())),OFFSET($BN$2,0,0,ROW()-1,60),ROW()-1,FALSE))</f>
        <v>-14.031690040000001</v>
      </c>
      <c r="I167">
        <f ca="1">IF(AND(ISNUMBER($I$618),$B$419=1),$I$618,HLOOKUP(INDIRECT(ADDRESS(2,COLUMN())),OFFSET($BN$2,0,0,ROW()-1,60),ROW()-1,FALSE))</f>
        <v>-8.7014029169999993</v>
      </c>
      <c r="J167">
        <f ca="1">IF(AND(ISNUMBER($J$618),$B$419=1),$J$618,HLOOKUP(INDIRECT(ADDRESS(2,COLUMN())),OFFSET($BN$2,0,0,ROW()-1,60),ROW()-1,FALSE))</f>
        <v>-4.3030784960000004</v>
      </c>
      <c r="K167">
        <f ca="1">IF(AND(ISNUMBER($K$618),$B$419=1),$K$618,HLOOKUP(INDIRECT(ADDRESS(2,COLUMN())),OFFSET($BN$2,0,0,ROW()-1,60),ROW()-1,FALSE))</f>
        <v>-4.6464124719999997</v>
      </c>
      <c r="L167">
        <f ca="1">IF(AND(ISNUMBER($L$618),$B$419=1),$L$618,HLOOKUP(INDIRECT(ADDRESS(2,COLUMN())),OFFSET($BN$2,0,0,ROW()-1,60),ROW()-1,FALSE))</f>
        <v>0.58835087699999999</v>
      </c>
      <c r="M167">
        <f ca="1">IF(AND(ISNUMBER($M$618),$B$419=1),$M$618,HLOOKUP(INDIRECT(ADDRESS(2,COLUMN())),OFFSET($BN$2,0,0,ROW()-1,60),ROW()-1,FALSE))</f>
        <v>-1.527000441</v>
      </c>
      <c r="N167">
        <f ca="1">IF(AND(ISNUMBER($N$618),$B$419=1),$N$618,HLOOKUP(INDIRECT(ADDRESS(2,COLUMN())),OFFSET($BN$2,0,0,ROW()-1,60),ROW()-1,FALSE))</f>
        <v>-3.5129062310000001</v>
      </c>
      <c r="O167">
        <f ca="1">IF(AND(ISNUMBER($O$618),$B$419=1),$O$618,HLOOKUP(INDIRECT(ADDRESS(2,COLUMN())),OFFSET($BN$2,0,0,ROW()-1,60),ROW()-1,FALSE))</f>
        <v>-1.2336517950000001</v>
      </c>
      <c r="P167">
        <f ca="1">IF(AND(ISNUMBER($P$618),$B$419=1),$P$618,HLOOKUP(INDIRECT(ADDRESS(2,COLUMN())),OFFSET($BN$2,0,0,ROW()-1,60),ROW()-1,FALSE))</f>
        <v>6.8337621679999998</v>
      </c>
      <c r="Q167">
        <f ca="1">IF(AND(ISNUMBER($Q$618),$B$419=1),$Q$618,HLOOKUP(INDIRECT(ADDRESS(2,COLUMN())),OFFSET($BN$2,0,0,ROW()-1,60),ROW()-1,FALSE))</f>
        <v>11.294617130000001</v>
      </c>
      <c r="R167">
        <f ca="1">IF(AND(ISNUMBER($R$618),$B$419=1),$R$618,HLOOKUP(INDIRECT(ADDRESS(2,COLUMN())),OFFSET($BN$2,0,0,ROW()-1,60),ROW()-1,FALSE))</f>
        <v>11.763084559999999</v>
      </c>
      <c r="S167">
        <f ca="1">IF(AND(ISNUMBER($S$618),$B$419=1),$S$618,HLOOKUP(INDIRECT(ADDRESS(2,COLUMN())),OFFSET($BN$2,0,0,ROW()-1,60),ROW()-1,FALSE))</f>
        <v>10.863599260000001</v>
      </c>
      <c r="T167">
        <f ca="1">IF(AND(ISNUMBER($T$618),$B$419=1),$T$618,HLOOKUP(INDIRECT(ADDRESS(2,COLUMN())),OFFSET($BN$2,0,0,ROW()-1,60),ROW()-1,FALSE))</f>
        <v>21.078392220000001</v>
      </c>
      <c r="U167">
        <f ca="1">IF(AND(ISNUMBER($U$618),$B$419=1),$U$618,HLOOKUP(INDIRECT(ADDRESS(2,COLUMN())),OFFSET($BN$2,0,0,ROW()-1,60),ROW()-1,FALSE))</f>
        <v>20.99052623</v>
      </c>
      <c r="V167">
        <f ca="1">IF(AND(ISNUMBER($V$618),$B$419=1),$V$618,HLOOKUP(INDIRECT(ADDRESS(2,COLUMN())),OFFSET($BN$2,0,0,ROW()-1,60),ROW()-1,FALSE))</f>
        <v>20.060153249999999</v>
      </c>
      <c r="W167">
        <f ca="1">IF(AND(ISNUMBER($W$618),$B$419=1),$W$618,HLOOKUP(INDIRECT(ADDRESS(2,COLUMN())),OFFSET($BN$2,0,0,ROW()-1,60),ROW()-1,FALSE))</f>
        <v>14.532097670000001</v>
      </c>
      <c r="X167">
        <f ca="1">IF(AND(ISNUMBER($X$618),$B$419=1),$X$618,HLOOKUP(INDIRECT(ADDRESS(2,COLUMN())),OFFSET($BN$2,0,0,ROW()-1,60),ROW()-1,FALSE))</f>
        <v>5.5809424500000002</v>
      </c>
      <c r="Y167">
        <f ca="1">IF(AND(ISNUMBER($Y$618),$B$419=1),$Y$618,HLOOKUP(INDIRECT(ADDRESS(2,COLUMN())),OFFSET($BN$2,0,0,ROW()-1,60),ROW()-1,FALSE))</f>
        <v>5.746279081</v>
      </c>
      <c r="Z167">
        <f ca="1">IF(AND(ISNUMBER($Z$618),$B$419=1),$Z$618,HLOOKUP(INDIRECT(ADDRESS(2,COLUMN())),OFFSET($BN$2,0,0,ROW()-1,60),ROW()-1,FALSE))</f>
        <v>7.7594814330000004</v>
      </c>
      <c r="AA167">
        <f ca="1">IF(AND(ISNUMBER($AA$618),$B$419=1),$AA$618,HLOOKUP(INDIRECT(ADDRESS(2,COLUMN())),OFFSET($BN$2,0,0,ROW()-1,60),ROW()-1,FALSE))</f>
        <v>6.9339273629999996</v>
      </c>
      <c r="AB167">
        <f ca="1">IF(AND(ISNUMBER($AB$618),$B$419=1),$AB$618,HLOOKUP(INDIRECT(ADDRESS(2,COLUMN())),OFFSET($BN$2,0,0,ROW()-1,60),ROW()-1,FALSE))</f>
        <v>8.4993636079999995</v>
      </c>
      <c r="AC167">
        <f ca="1">IF(AND(ISNUMBER($AC$618),$B$419=1),$AC$618,HLOOKUP(INDIRECT(ADDRESS(2,COLUMN())),OFFSET($BN$2,0,0,ROW()-1,60),ROW()-1,FALSE))</f>
        <v>7.2194626800000004</v>
      </c>
      <c r="AD167">
        <f ca="1">IF(AND(ISNUMBER($AD$618),$B$419=1),$AD$618,HLOOKUP(INDIRECT(ADDRESS(2,COLUMN())),OFFSET($BN$2,0,0,ROW()-1,60),ROW()-1,FALSE))</f>
        <v>1.7677134240000001</v>
      </c>
      <c r="AE167">
        <f ca="1">IF(AND(ISNUMBER($AE$618),$B$419=1),$AE$618,HLOOKUP(INDIRECT(ADDRESS(2,COLUMN())),OFFSET($BN$2,0,0,ROW()-1,60),ROW()-1,FALSE))</f>
        <v>0.69352524800000004</v>
      </c>
      <c r="AF167">
        <f ca="1">IF(AND(ISNUMBER($AF$618),$B$419=1),$AF$618,HLOOKUP(INDIRECT(ADDRESS(2,COLUMN())),OFFSET($BN$2,0,0,ROW()-1,60),ROW()-1,FALSE))</f>
        <v>-4.0829516620000001</v>
      </c>
      <c r="AG167">
        <f ca="1">IF(AND(ISNUMBER($AG$618),$B$419=1),$AG$618,HLOOKUP(INDIRECT(ADDRESS(2,COLUMN())),OFFSET($BN$2,0,0,ROW()-1,60),ROW()-1,FALSE))</f>
        <v>-11.59388309</v>
      </c>
      <c r="AH167">
        <f ca="1">IF(AND(ISNUMBER($AH$618),$B$419=1),$AH$618,HLOOKUP(INDIRECT(ADDRESS(2,COLUMN())),OFFSET($BN$2,0,0,ROW()-1,60),ROW()-1,FALSE))</f>
        <v>-7.4418535219999997</v>
      </c>
      <c r="AI167">
        <f ca="1">IF(AND(ISNUMBER($AI$618),$B$419=1),$AI$618,HLOOKUP(INDIRECT(ADDRESS(2,COLUMN())),OFFSET($BN$2,0,0,ROW()-1,60),ROW()-1,FALSE))</f>
        <v>-5.6638901769999999</v>
      </c>
      <c r="AJ167">
        <f ca="1">IF(AND(ISNUMBER($AJ$618),$B$419=1),$AJ$618,HLOOKUP(INDIRECT(ADDRESS(2,COLUMN())),OFFSET($BN$2,0,0,ROW()-1,60),ROW()-1,FALSE))</f>
        <v>-2.655637112</v>
      </c>
      <c r="AK167">
        <f ca="1">IF(AND(ISNUMBER($AK$618),$B$419=1),$AK$618,HLOOKUP(INDIRECT(ADDRESS(2,COLUMN())),OFFSET($BN$2,0,0,ROW()-1,60),ROW()-1,FALSE))</f>
        <v>3.7287126900000001</v>
      </c>
      <c r="AL167">
        <f ca="1">IF(AND(ISNUMBER($AL$618),$B$419=1),$AL$618,HLOOKUP(INDIRECT(ADDRESS(2,COLUMN())),OFFSET($BN$2,0,0,ROW()-1,60),ROW()-1,FALSE))</f>
        <v>-2.8491454009999999</v>
      </c>
      <c r="AM167">
        <f ca="1">IF(AND(ISNUMBER($AM$618),$B$419=1),$AM$618,HLOOKUP(INDIRECT(ADDRESS(2,COLUMN())),OFFSET($BN$2,0,0,ROW()-1,60),ROW()-1,FALSE))</f>
        <v>-8.7620918779999997</v>
      </c>
      <c r="AN167">
        <f ca="1">IF(AND(ISNUMBER($AN$618),$B$419=1),$AN$618,HLOOKUP(INDIRECT(ADDRESS(2,COLUMN())),OFFSET($BN$2,0,0,ROW()-1,60),ROW()-1,FALSE))</f>
        <v>-16.32926282</v>
      </c>
      <c r="AO167">
        <f ca="1">IF(AND(ISNUMBER($AO$618),$B$419=1),$AO$618,HLOOKUP(INDIRECT(ADDRESS(2,COLUMN())),OFFSET($BN$2,0,0,ROW()-1,60),ROW()-1,FALSE))</f>
        <v>-15.130479830000001</v>
      </c>
      <c r="AP167">
        <f ca="1">IF(AND(ISNUMBER($AP$618),$B$419=1),$AP$618,HLOOKUP(INDIRECT(ADDRESS(2,COLUMN())),OFFSET($BN$2,0,0,ROW()-1,60),ROW()-1,FALSE))</f>
        <v>-16.574812909999999</v>
      </c>
      <c r="AQ167">
        <f ca="1">IF(AND(ISNUMBER($AQ$618),$B$419=1),$AQ$618,HLOOKUP(INDIRECT(ADDRESS(2,COLUMN())),OFFSET($BN$2,0,0,ROW()-1,60),ROW()-1,FALSE))</f>
        <v>-11.945552409999999</v>
      </c>
      <c r="AR167">
        <f ca="1">IF(AND(ISNUMBER($AR$618),$B$419=1),$AR$618,HLOOKUP(INDIRECT(ADDRESS(2,COLUMN())),OFFSET($BN$2,0,0,ROW()-1,60),ROW()-1,FALSE))</f>
        <v>-6.8662046419999996</v>
      </c>
      <c r="AS167">
        <f ca="1">IF(AND(ISNUMBER($AS$618),$B$419=1),$AS$618,HLOOKUP(INDIRECT(ADDRESS(2,COLUMN())),OFFSET($BN$2,0,0,ROW()-1,60),ROW()-1,FALSE))</f>
        <v>-13.84417975</v>
      </c>
      <c r="AT167">
        <f ca="1">IF(AND(ISNUMBER($AT$618),$B$419=1),$AT$618,HLOOKUP(INDIRECT(ADDRESS(2,COLUMN())),OFFSET($BN$2,0,0,ROW()-1,60),ROW()-1,FALSE))</f>
        <v>7.6992741819999999</v>
      </c>
      <c r="AU167">
        <f ca="1">IF(AND(ISNUMBER($AU$618),$B$419=1),$AU$618,HLOOKUP(INDIRECT(ADDRESS(2,COLUMN())),OFFSET($BN$2,0,0,ROW()-1,60),ROW()-1,FALSE))</f>
        <v>26.075991550000001</v>
      </c>
      <c r="AV167">
        <f ca="1">IF(AND(ISNUMBER($AV$618),$B$419=1),$AV$618,HLOOKUP(INDIRECT(ADDRESS(2,COLUMN())),OFFSET($BN$2,0,0,ROW()-1,60),ROW()-1,FALSE))</f>
        <v>19.419005559999999</v>
      </c>
      <c r="AW167">
        <f ca="1">IF(AND(ISNUMBER($AW$618),$B$419=1),$AW$618,HLOOKUP(INDIRECT(ADDRESS(2,COLUMN())),OFFSET($BN$2,0,0,ROW()-1,60),ROW()-1,FALSE))</f>
        <v>33.406519799999998</v>
      </c>
      <c r="AX167">
        <f ca="1">IF(AND(ISNUMBER($AX$618),$B$419=1),$AX$618,HLOOKUP(INDIRECT(ADDRESS(2,COLUMN())),OFFSET($BN$2,0,0,ROW()-1,60),ROW()-1,FALSE))</f>
        <v>10.37265026</v>
      </c>
      <c r="AY167">
        <f ca="1">IF(AND(ISNUMBER($AY$618),$B$419=1),$AY$618,HLOOKUP(INDIRECT(ADDRESS(2,COLUMN())),OFFSET($BN$2,0,0,ROW()-1,60),ROW()-1,FALSE))</f>
        <v>-2.2613548880000001</v>
      </c>
      <c r="AZ167">
        <f ca="1">IF(AND(ISNUMBER($AZ$618),$B$419=1),$AZ$618,HLOOKUP(INDIRECT(ADDRESS(2,COLUMN())),OFFSET($BN$2,0,0,ROW()-1,60),ROW()-1,FALSE))</f>
        <v>8.7016986969999994</v>
      </c>
      <c r="BA167">
        <f ca="1">IF(AND(ISNUMBER($BA$618),$B$419=1),$BA$618,HLOOKUP(INDIRECT(ADDRESS(2,COLUMN())),OFFSET($BN$2,0,0,ROW()-1,60),ROW()-1,FALSE))</f>
        <v>4.7551477069999999</v>
      </c>
      <c r="BB167">
        <f ca="1">IF(AND(ISNUMBER($BB$618),$B$419=1),$BB$618,HLOOKUP(INDIRECT(ADDRESS(2,COLUMN())),OFFSET($BN$2,0,0,ROW()-1,60),ROW()-1,FALSE))</f>
        <v>13.191482430000001</v>
      </c>
      <c r="BC167">
        <f ca="1">IF(AND(ISNUMBER($BC$618),$B$419=1),$BC$618,HLOOKUP(INDIRECT(ADDRESS(2,COLUMN())),OFFSET($BN$2,0,0,ROW()-1,60),ROW()-1,FALSE))</f>
        <v>19.2458426</v>
      </c>
      <c r="BD167">
        <f ca="1">IF(AND(ISNUMBER($BD$618),$B$419=1),$BD$618,HLOOKUP(INDIRECT(ADDRESS(2,COLUMN())),OFFSET($BN$2,0,0,ROW()-1,60),ROW()-1,FALSE))</f>
        <v>9.2490064289999996</v>
      </c>
      <c r="BE167">
        <f ca="1">IF(AND(ISNUMBER($BE$618),$B$419=1),$BE$618,HLOOKUP(INDIRECT(ADDRESS(2,COLUMN())),OFFSET($BN$2,0,0,ROW()-1,60),ROW()-1,FALSE))</f>
        <v>21.399500249999999</v>
      </c>
      <c r="BF167">
        <f ca="1">IF(AND(ISNUMBER($BF$618),$B$419=1),$BF$618,HLOOKUP(INDIRECT(ADDRESS(2,COLUMN())),OFFSET($BN$2,0,0,ROW()-1,60),ROW()-1,FALSE))</f>
        <v>38.735869719999997</v>
      </c>
      <c r="BG167">
        <f ca="1">IF(AND(ISNUMBER($BG$618),$B$419=1),$BG$618,HLOOKUP(INDIRECT(ADDRESS(2,COLUMN())),OFFSET($BN$2,0,0,ROW()-1,60),ROW()-1,FALSE))</f>
        <v>33.696806379999998</v>
      </c>
      <c r="BH167">
        <f ca="1">IF(AND(ISNUMBER($BH$618),$B$419=1),$BH$618,HLOOKUP(INDIRECT(ADDRESS(2,COLUMN())),OFFSET($BN$2,0,0,ROW()-1,60),ROW()-1,FALSE))</f>
        <v>33.524739539999999</v>
      </c>
      <c r="BI167">
        <f ca="1">IF(AND(ISNUMBER($BI$618),$B$419=1),$BI$618,HLOOKUP(INDIRECT(ADDRESS(2,COLUMN())),OFFSET($BN$2,0,0,ROW()-1,60),ROW()-1,FALSE))</f>
        <v>18.182936789999999</v>
      </c>
      <c r="BJ167">
        <f ca="1">IF(AND(ISNUMBER($BJ$618),$B$419=1),$BJ$618,HLOOKUP(INDIRECT(ADDRESS(2,COLUMN())),OFFSET($BN$2,0,0,ROW()-1,60),ROW()-1,FALSE))</f>
        <v>22.17807028</v>
      </c>
      <c r="BK167">
        <f ca="1">IF(AND(ISNUMBER($BK$618),$B$419=1),$BK$618,HLOOKUP(INDIRECT(ADDRESS(2,COLUMN())),OFFSET($BN$2,0,0,ROW()-1,60),ROW()-1,FALSE))</f>
        <v>28.710736000000001</v>
      </c>
      <c r="BL167">
        <f ca="1">IF(AND(ISNUMBER($BL$618),$B$419=1),$BL$618,HLOOKUP(INDIRECT(ADDRESS(2,COLUMN())),OFFSET($BN$2,0,0,ROW()-1,60),ROW()-1,FALSE))</f>
        <v>29.514888819999999</v>
      </c>
      <c r="BM167">
        <f ca="1">IF(AND(ISNUMBER($BM$618),$B$419=1),$BM$618,HLOOKUP(INDIRECT(ADDRESS(2,COLUMN())),OFFSET($BN$2,0,0,ROW()-1,60),ROW()-1,FALSE))</f>
        <v>46.776232620000002</v>
      </c>
      <c r="BN167" t="str">
        <f>""</f>
        <v/>
      </c>
      <c r="BO167">
        <f>-14.42025952</f>
        <v>-14.42025952</v>
      </c>
      <c r="BP167">
        <f>-14.03169004</f>
        <v>-14.031690040000001</v>
      </c>
      <c r="BQ167">
        <f>-8.701402917</f>
        <v>-8.7014029169999993</v>
      </c>
      <c r="BR167">
        <f>-4.303078496</f>
        <v>-4.3030784960000004</v>
      </c>
      <c r="BS167">
        <f>-4.646412472</f>
        <v>-4.6464124719999997</v>
      </c>
      <c r="BT167">
        <f>0.588350877</f>
        <v>0.58835087699999999</v>
      </c>
      <c r="BU167">
        <f>-1.527000441</f>
        <v>-1.527000441</v>
      </c>
      <c r="BV167">
        <f>-3.512906231</f>
        <v>-3.5129062310000001</v>
      </c>
      <c r="BW167">
        <f>-1.233651795</f>
        <v>-1.2336517950000001</v>
      </c>
      <c r="BX167">
        <f>6.833762168</f>
        <v>6.8337621679999998</v>
      </c>
      <c r="BY167">
        <f>11.29461713</f>
        <v>11.294617130000001</v>
      </c>
      <c r="BZ167">
        <f>11.76308456</f>
        <v>11.763084559999999</v>
      </c>
      <c r="CA167">
        <f>10.86359926</f>
        <v>10.863599260000001</v>
      </c>
      <c r="CB167">
        <f>21.07839222</f>
        <v>21.078392220000001</v>
      </c>
      <c r="CC167">
        <f>20.99052623</f>
        <v>20.99052623</v>
      </c>
      <c r="CD167">
        <f>20.06015325</f>
        <v>20.060153249999999</v>
      </c>
      <c r="CE167">
        <f>14.53209767</f>
        <v>14.532097670000001</v>
      </c>
      <c r="CF167">
        <f>5.58094245</f>
        <v>5.5809424500000002</v>
      </c>
      <c r="CG167">
        <f>5.746279081</f>
        <v>5.746279081</v>
      </c>
      <c r="CH167">
        <f>7.759481433</f>
        <v>7.7594814330000004</v>
      </c>
      <c r="CI167">
        <f>6.933927363</f>
        <v>6.9339273629999996</v>
      </c>
      <c r="CJ167">
        <f>8.499363608</f>
        <v>8.4993636079999995</v>
      </c>
      <c r="CK167">
        <f>7.21946268</f>
        <v>7.2194626800000004</v>
      </c>
      <c r="CL167">
        <f>1.767713424</f>
        <v>1.7677134240000001</v>
      </c>
      <c r="CM167">
        <f>0.693525248</f>
        <v>0.69352524800000004</v>
      </c>
      <c r="CN167">
        <f>-4.082951662</f>
        <v>-4.0829516620000001</v>
      </c>
      <c r="CO167">
        <f>-11.59388309</f>
        <v>-11.59388309</v>
      </c>
      <c r="CP167">
        <f>-7.441853522</f>
        <v>-7.4418535219999997</v>
      </c>
      <c r="CQ167">
        <f>-5.663890177</f>
        <v>-5.6638901769999999</v>
      </c>
      <c r="CR167">
        <f>-2.655637112</f>
        <v>-2.655637112</v>
      </c>
      <c r="CS167">
        <f>3.72871269</f>
        <v>3.7287126900000001</v>
      </c>
      <c r="CT167">
        <f>-2.849145401</f>
        <v>-2.8491454009999999</v>
      </c>
      <c r="CU167">
        <f>-8.762091878</f>
        <v>-8.7620918779999997</v>
      </c>
      <c r="CV167">
        <f>-16.32926282</f>
        <v>-16.32926282</v>
      </c>
      <c r="CW167">
        <f>-15.13047983</f>
        <v>-15.130479830000001</v>
      </c>
      <c r="CX167">
        <f>-16.57481291</f>
        <v>-16.574812909999999</v>
      </c>
      <c r="CY167">
        <f>-11.94555241</f>
        <v>-11.945552409999999</v>
      </c>
      <c r="CZ167">
        <f>-6.866204642</f>
        <v>-6.8662046419999996</v>
      </c>
      <c r="DA167">
        <f>-13.84417975</f>
        <v>-13.84417975</v>
      </c>
      <c r="DB167">
        <f>7.699274182</f>
        <v>7.6992741819999999</v>
      </c>
      <c r="DC167">
        <f>26.07599155</f>
        <v>26.075991550000001</v>
      </c>
      <c r="DD167">
        <f>19.41900556</f>
        <v>19.419005559999999</v>
      </c>
      <c r="DE167">
        <f>33.4065198</f>
        <v>33.406519799999998</v>
      </c>
      <c r="DF167">
        <f>10.37265026</f>
        <v>10.37265026</v>
      </c>
      <c r="DG167">
        <f>-2.261354888</f>
        <v>-2.2613548880000001</v>
      </c>
      <c r="DH167">
        <f>8.701698697</f>
        <v>8.7016986969999994</v>
      </c>
      <c r="DI167">
        <f>4.755147707</f>
        <v>4.7551477069999999</v>
      </c>
      <c r="DJ167">
        <f>13.19148243</f>
        <v>13.191482430000001</v>
      </c>
      <c r="DK167">
        <f>19.2458426</f>
        <v>19.2458426</v>
      </c>
      <c r="DL167">
        <f>9.249006429</f>
        <v>9.2490064289999996</v>
      </c>
      <c r="DM167">
        <f>21.39950025</f>
        <v>21.399500249999999</v>
      </c>
      <c r="DN167">
        <f>38.73586972</f>
        <v>38.735869719999997</v>
      </c>
      <c r="DO167">
        <f>33.69680638</f>
        <v>33.696806379999998</v>
      </c>
      <c r="DP167">
        <f>33.52473954</f>
        <v>33.524739539999999</v>
      </c>
      <c r="DQ167">
        <f>18.18293679</f>
        <v>18.182936789999999</v>
      </c>
      <c r="DR167">
        <f>22.17807028</f>
        <v>22.17807028</v>
      </c>
      <c r="DS167">
        <f>28.710736</f>
        <v>28.710736000000001</v>
      </c>
      <c r="DT167">
        <f>29.51488882</f>
        <v>29.514888819999999</v>
      </c>
      <c r="DU167">
        <f>46.77623262</f>
        <v>46.776232620000002</v>
      </c>
    </row>
    <row r="168" spans="1:125">
      <c r="A168" t="str">
        <f>"    Federal Realty Investment Trus"</f>
        <v xml:space="preserve">    Federal Realty Investment Trus</v>
      </c>
      <c r="B168" t="str">
        <f>"FRT US Equity"</f>
        <v>FRT US Equity</v>
      </c>
      <c r="C168" t="str">
        <f t="shared" si="30"/>
        <v>RR551</v>
      </c>
      <c r="D168" t="str">
        <f t="shared" si="31"/>
        <v>NOI_GROWTH</v>
      </c>
      <c r="E168" t="str">
        <f t="shared" si="32"/>
        <v>动态</v>
      </c>
      <c r="F168" t="str">
        <f ca="1">IF(AND(ISNUMBER($F$619),$B$419=1),$F$619,HLOOKUP(INDIRECT(ADDRESS(2,COLUMN())),OFFSET($BN$2,0,0,ROW()-1,60),ROW()-1,FALSE))</f>
        <v/>
      </c>
      <c r="G168">
        <f ca="1">IF(AND(ISNUMBER($G$619),$B$419=1),$G$619,HLOOKUP(INDIRECT(ADDRESS(2,COLUMN())),OFFSET($BN$2,0,0,ROW()-1,60),ROW()-1,FALSE))</f>
        <v>7.1443190459999997</v>
      </c>
      <c r="H168">
        <f ca="1">IF(AND(ISNUMBER($H$619),$B$419=1),$H$619,HLOOKUP(INDIRECT(ADDRESS(2,COLUMN())),OFFSET($BN$2,0,0,ROW()-1,60),ROW()-1,FALSE))</f>
        <v>7.0182513369999997</v>
      </c>
      <c r="I168">
        <f ca="1">IF(AND(ISNUMBER($I$619),$B$419=1),$I$619,HLOOKUP(INDIRECT(ADDRESS(2,COLUMN())),OFFSET($BN$2,0,0,ROW()-1,60),ROW()-1,FALSE))</f>
        <v>6.062160531</v>
      </c>
      <c r="J168">
        <f ca="1">IF(AND(ISNUMBER($J$619),$B$419=1),$J$619,HLOOKUP(INDIRECT(ADDRESS(2,COLUMN())),OFFSET($BN$2,0,0,ROW()-1,60),ROW()-1,FALSE))</f>
        <v>6.594702957</v>
      </c>
      <c r="K168">
        <f ca="1">IF(AND(ISNUMBER($K$619),$B$419=1),$K$619,HLOOKUP(INDIRECT(ADDRESS(2,COLUMN())),OFFSET($BN$2,0,0,ROW()-1,60),ROW()-1,FALSE))</f>
        <v>7.596599265</v>
      </c>
      <c r="L168">
        <f ca="1">IF(AND(ISNUMBER($L$619),$B$419=1),$L$619,HLOOKUP(INDIRECT(ADDRESS(2,COLUMN())),OFFSET($BN$2,0,0,ROW()-1,60),ROW()-1,FALSE))</f>
        <v>6.8537093340000004</v>
      </c>
      <c r="M168">
        <f ca="1">IF(AND(ISNUMBER($M$619),$B$419=1),$M$619,HLOOKUP(INDIRECT(ADDRESS(2,COLUMN())),OFFSET($BN$2,0,0,ROW()-1,60),ROW()-1,FALSE))</f>
        <v>8.1292722319999999</v>
      </c>
      <c r="N168">
        <f ca="1">IF(AND(ISNUMBER($N$619),$B$419=1),$N$619,HLOOKUP(INDIRECT(ADDRESS(2,COLUMN())),OFFSET($BN$2,0,0,ROW()-1,60),ROW()-1,FALSE))</f>
        <v>8.6832644779999999</v>
      </c>
      <c r="O168">
        <f ca="1">IF(AND(ISNUMBER($O$619),$B$419=1),$O$619,HLOOKUP(INDIRECT(ADDRESS(2,COLUMN())),OFFSET($BN$2,0,0,ROW()-1,60),ROW()-1,FALSE))</f>
        <v>7.3966146359999998</v>
      </c>
      <c r="P168">
        <f ca="1">IF(AND(ISNUMBER($P$619),$B$419=1),$P$619,HLOOKUP(INDIRECT(ADDRESS(2,COLUMN())),OFFSET($BN$2,0,0,ROW()-1,60),ROW()-1,FALSE))</f>
        <v>10.09312132</v>
      </c>
      <c r="Q168">
        <f ca="1">IF(AND(ISNUMBER($Q$619),$B$419=1),$Q$619,HLOOKUP(INDIRECT(ADDRESS(2,COLUMN())),OFFSET($BN$2,0,0,ROW()-1,60),ROW()-1,FALSE))</f>
        <v>9.6410109649999995</v>
      </c>
      <c r="R168">
        <f ca="1">IF(AND(ISNUMBER($R$619),$B$419=1),$R$619,HLOOKUP(INDIRECT(ADDRESS(2,COLUMN())),OFFSET($BN$2,0,0,ROW()-1,60),ROW()-1,FALSE))</f>
        <v>8.1277239649999995</v>
      </c>
      <c r="S168">
        <f ca="1">IF(AND(ISNUMBER($S$619),$B$419=1),$S$619,HLOOKUP(INDIRECT(ADDRESS(2,COLUMN())),OFFSET($BN$2,0,0,ROW()-1,60),ROW()-1,FALSE))</f>
        <v>7.7682098709999998</v>
      </c>
      <c r="T168">
        <f ca="1">IF(AND(ISNUMBER($T$619),$B$419=1),$T$619,HLOOKUP(INDIRECT(ADDRESS(2,COLUMN())),OFFSET($BN$2,0,0,ROW()-1,60),ROW()-1,FALSE))</f>
        <v>6.5195624299999997</v>
      </c>
      <c r="U168">
        <f ca="1">IF(AND(ISNUMBER($U$619),$B$419=1),$U$619,HLOOKUP(INDIRECT(ADDRESS(2,COLUMN())),OFFSET($BN$2,0,0,ROW()-1,60),ROW()-1,FALSE))</f>
        <v>4.1379888420000004</v>
      </c>
      <c r="V168">
        <f ca="1">IF(AND(ISNUMBER($V$619),$B$419=1),$V$619,HLOOKUP(INDIRECT(ADDRESS(2,COLUMN())),OFFSET($BN$2,0,0,ROW()-1,60),ROW()-1,FALSE))</f>
        <v>4.5668590050000004</v>
      </c>
      <c r="W168">
        <f ca="1">IF(AND(ISNUMBER($W$619),$B$419=1),$W$619,HLOOKUP(INDIRECT(ADDRESS(2,COLUMN())),OFFSET($BN$2,0,0,ROW()-1,60),ROW()-1,FALSE))</f>
        <v>4.6236774189999998</v>
      </c>
      <c r="X168">
        <f ca="1">IF(AND(ISNUMBER($X$619),$B$419=1),$X$619,HLOOKUP(INDIRECT(ADDRESS(2,COLUMN())),OFFSET($BN$2,0,0,ROW()-1,60),ROW()-1,FALSE))</f>
        <v>6.7978533089999997</v>
      </c>
      <c r="Y168">
        <f ca="1">IF(AND(ISNUMBER($Y$619),$B$419=1),$Y$619,HLOOKUP(INDIRECT(ADDRESS(2,COLUMN())),OFFSET($BN$2,0,0,ROW()-1,60),ROW()-1,FALSE))</f>
        <v>9.1690136550000005</v>
      </c>
      <c r="Z168">
        <f ca="1">IF(AND(ISNUMBER($Z$619),$B$419=1),$Z$619,HLOOKUP(INDIRECT(ADDRESS(2,COLUMN())),OFFSET($BN$2,0,0,ROW()-1,60),ROW()-1,FALSE))</f>
        <v>7.1567811240000001</v>
      </c>
      <c r="AA168">
        <f ca="1">IF(AND(ISNUMBER($AA$619),$B$419=1),$AA$619,HLOOKUP(INDIRECT(ADDRESS(2,COLUMN())),OFFSET($BN$2,0,0,ROW()-1,60),ROW()-1,FALSE))</f>
        <v>11.45513794</v>
      </c>
      <c r="AB168">
        <f ca="1">IF(AND(ISNUMBER($AB$619),$B$419=1),$AB$619,HLOOKUP(INDIRECT(ADDRESS(2,COLUMN())),OFFSET($BN$2,0,0,ROW()-1,60),ROW()-1,FALSE))</f>
        <v>8.3239509809999994</v>
      </c>
      <c r="AC168">
        <f ca="1">IF(AND(ISNUMBER($AC$619),$B$419=1),$AC$619,HLOOKUP(INDIRECT(ADDRESS(2,COLUMN())),OFFSET($BN$2,0,0,ROW()-1,60),ROW()-1,FALSE))</f>
        <v>6.5348786829999996</v>
      </c>
      <c r="AD168">
        <f ca="1">IF(AND(ISNUMBER($AD$619),$B$419=1),$AD$619,HLOOKUP(INDIRECT(ADDRESS(2,COLUMN())),OFFSET($BN$2,0,0,ROW()-1,60),ROW()-1,FALSE))</f>
        <v>9.8907719600000004</v>
      </c>
      <c r="AE168">
        <f ca="1">IF(AND(ISNUMBER($AE$619),$B$419=1),$AE$619,HLOOKUP(INDIRECT(ADDRESS(2,COLUMN())),OFFSET($BN$2,0,0,ROW()-1,60),ROW()-1,FALSE))</f>
        <v>3.69379781</v>
      </c>
      <c r="AF168">
        <f ca="1">IF(AND(ISNUMBER($AF$619),$B$419=1),$AF$619,HLOOKUP(INDIRECT(ADDRESS(2,COLUMN())),OFFSET($BN$2,0,0,ROW()-1,60),ROW()-1,FALSE))</f>
        <v>5.7953087779999999</v>
      </c>
      <c r="AG168">
        <f ca="1">IF(AND(ISNUMBER($AG$619),$B$419=1),$AG$619,HLOOKUP(INDIRECT(ADDRESS(2,COLUMN())),OFFSET($BN$2,0,0,ROW()-1,60),ROW()-1,FALSE))</f>
        <v>3.3853320939999998</v>
      </c>
      <c r="AH168">
        <f ca="1">IF(AND(ISNUMBER($AH$619),$B$419=1),$AH$619,HLOOKUP(INDIRECT(ADDRESS(2,COLUMN())),OFFSET($BN$2,0,0,ROW()-1,60),ROW()-1,FALSE))</f>
        <v>3.7901246</v>
      </c>
      <c r="AI168">
        <f ca="1">IF(AND(ISNUMBER($AI$619),$B$419=1),$AI$619,HLOOKUP(INDIRECT(ADDRESS(2,COLUMN())),OFFSET($BN$2,0,0,ROW()-1,60),ROW()-1,FALSE))</f>
        <v>3.2748311999999999</v>
      </c>
      <c r="AJ168">
        <f ca="1">IF(AND(ISNUMBER($AJ$619),$B$419=1),$AJ$619,HLOOKUP(INDIRECT(ADDRESS(2,COLUMN())),OFFSET($BN$2,0,0,ROW()-1,60),ROW()-1,FALSE))</f>
        <v>-5.7262620000000002E-3</v>
      </c>
      <c r="AK168">
        <f ca="1">IF(AND(ISNUMBER($AK$619),$B$419=1),$AK$619,HLOOKUP(INDIRECT(ADDRESS(2,COLUMN())),OFFSET($BN$2,0,0,ROW()-1,60),ROW()-1,FALSE))</f>
        <v>3.6060286119999998</v>
      </c>
      <c r="AL168">
        <f ca="1">IF(AND(ISNUMBER($AL$619),$B$419=1),$AL$619,HLOOKUP(INDIRECT(ADDRESS(2,COLUMN())),OFFSET($BN$2,0,0,ROW()-1,60),ROW()-1,FALSE))</f>
        <v>1.9828288670000001</v>
      </c>
      <c r="AM168">
        <f ca="1">IF(AND(ISNUMBER($AM$619),$B$419=1),$AM$619,HLOOKUP(INDIRECT(ADDRESS(2,COLUMN())),OFFSET($BN$2,0,0,ROW()-1,60),ROW()-1,FALSE))</f>
        <v>0.82979942699999998</v>
      </c>
      <c r="AN168">
        <f ca="1">IF(AND(ISNUMBER($AN$619),$B$419=1),$AN$619,HLOOKUP(INDIRECT(ADDRESS(2,COLUMN())),OFFSET($BN$2,0,0,ROW()-1,60),ROW()-1,FALSE))</f>
        <v>3.5113508389999999</v>
      </c>
      <c r="AO168">
        <f ca="1">IF(AND(ISNUMBER($AO$619),$B$419=1),$AO$619,HLOOKUP(INDIRECT(ADDRESS(2,COLUMN())),OFFSET($BN$2,0,0,ROW()-1,60),ROW()-1,FALSE))</f>
        <v>4.2503779860000002</v>
      </c>
      <c r="AP168">
        <f ca="1">IF(AND(ISNUMBER($AP$619),$B$419=1),$AP$619,HLOOKUP(INDIRECT(ADDRESS(2,COLUMN())),OFFSET($BN$2,0,0,ROW()-1,60),ROW()-1,FALSE))</f>
        <v>2.9933346310000002</v>
      </c>
      <c r="AQ168">
        <f ca="1">IF(AND(ISNUMBER($AQ$619),$B$419=1),$AQ$619,HLOOKUP(INDIRECT(ADDRESS(2,COLUMN())),OFFSET($BN$2,0,0,ROW()-1,60),ROW()-1,FALSE))</f>
        <v>5.6039699829999998</v>
      </c>
      <c r="AR168">
        <f ca="1">IF(AND(ISNUMBER($AR$619),$B$419=1),$AR$619,HLOOKUP(INDIRECT(ADDRESS(2,COLUMN())),OFFSET($BN$2,0,0,ROW()-1,60),ROW()-1,FALSE))</f>
        <v>4.7289747469999996</v>
      </c>
      <c r="AS168">
        <f ca="1">IF(AND(ISNUMBER($AS$619),$B$419=1),$AS$619,HLOOKUP(INDIRECT(ADDRESS(2,COLUMN())),OFFSET($BN$2,0,0,ROW()-1,60),ROW()-1,FALSE))</f>
        <v>2.6190032890000001</v>
      </c>
      <c r="AT168">
        <f ca="1">IF(AND(ISNUMBER($AT$619),$B$419=1),$AT$619,HLOOKUP(INDIRECT(ADDRESS(2,COLUMN())),OFFSET($BN$2,0,0,ROW()-1,60),ROW()-1,FALSE))</f>
        <v>6.9170448779999996</v>
      </c>
      <c r="AU168">
        <f ca="1">IF(AND(ISNUMBER($AU$619),$B$419=1),$AU$619,HLOOKUP(INDIRECT(ADDRESS(2,COLUMN())),OFFSET($BN$2,0,0,ROW()-1,60),ROW()-1,FALSE))</f>
        <v>26.81893535</v>
      </c>
      <c r="AV168">
        <f ca="1">IF(AND(ISNUMBER($AV$619),$B$419=1),$AV$619,HLOOKUP(INDIRECT(ADDRESS(2,COLUMN())),OFFSET($BN$2,0,0,ROW()-1,60),ROW()-1,FALSE))</f>
        <v>4.6038363139999996</v>
      </c>
      <c r="AW168">
        <f ca="1">IF(AND(ISNUMBER($AW$619),$B$419=1),$AW$619,HLOOKUP(INDIRECT(ADDRESS(2,COLUMN())),OFFSET($BN$2,0,0,ROW()-1,60),ROW()-1,FALSE))</f>
        <v>8.1104655060000006</v>
      </c>
      <c r="AX168">
        <f ca="1">IF(AND(ISNUMBER($AX$619),$B$419=1),$AX$619,HLOOKUP(INDIRECT(ADDRESS(2,COLUMN())),OFFSET($BN$2,0,0,ROW()-1,60),ROW()-1,FALSE))</f>
        <v>6.2876651739999998</v>
      </c>
      <c r="AY168">
        <f ca="1">IF(AND(ISNUMBER($AY$619),$B$419=1),$AY$619,HLOOKUP(INDIRECT(ADDRESS(2,COLUMN())),OFFSET($BN$2,0,0,ROW()-1,60),ROW()-1,FALSE))</f>
        <v>-2.4380016769999999</v>
      </c>
      <c r="AZ168">
        <f ca="1">IF(AND(ISNUMBER($AZ$619),$B$419=1),$AZ$619,HLOOKUP(INDIRECT(ADDRESS(2,COLUMN())),OFFSET($BN$2,0,0,ROW()-1,60),ROW()-1,FALSE))</f>
        <v>10.800777030000001</v>
      </c>
      <c r="BA168">
        <f ca="1">IF(AND(ISNUMBER($BA$619),$B$419=1),$BA$619,HLOOKUP(INDIRECT(ADDRESS(2,COLUMN())),OFFSET($BN$2,0,0,ROW()-1,60),ROW()-1,FALSE))</f>
        <v>10.146919710000001</v>
      </c>
      <c r="BB168">
        <f ca="1">IF(AND(ISNUMBER($BB$619),$B$419=1),$BB$619,HLOOKUP(INDIRECT(ADDRESS(2,COLUMN())),OFFSET($BN$2,0,0,ROW()-1,60),ROW()-1,FALSE))</f>
        <v>10.43304382</v>
      </c>
      <c r="BC168">
        <f ca="1">IF(AND(ISNUMBER($BC$619),$B$419=1),$BC$619,HLOOKUP(INDIRECT(ADDRESS(2,COLUMN())),OFFSET($BN$2,0,0,ROW()-1,60),ROW()-1,FALSE))</f>
        <v>11.622623709999999</v>
      </c>
      <c r="BD168">
        <f ca="1">IF(AND(ISNUMBER($BD$619),$B$419=1),$BD$619,HLOOKUP(INDIRECT(ADDRESS(2,COLUMN())),OFFSET($BN$2,0,0,ROW()-1,60),ROW()-1,FALSE))</f>
        <v>6.1332640999999999</v>
      </c>
      <c r="BE168">
        <f ca="1">IF(AND(ISNUMBER($BE$619),$B$419=1),$BE$619,HLOOKUP(INDIRECT(ADDRESS(2,COLUMN())),OFFSET($BN$2,0,0,ROW()-1,60),ROW()-1,FALSE))</f>
        <v>12.553657640000001</v>
      </c>
      <c r="BF168">
        <f ca="1">IF(AND(ISNUMBER($BF$619),$B$419=1),$BF$619,HLOOKUP(INDIRECT(ADDRESS(2,COLUMN())),OFFSET($BN$2,0,0,ROW()-1,60),ROW()-1,FALSE))</f>
        <v>12.9164584</v>
      </c>
      <c r="BG168">
        <f ca="1">IF(AND(ISNUMBER($BG$619),$B$419=1),$BG$619,HLOOKUP(INDIRECT(ADDRESS(2,COLUMN())),OFFSET($BN$2,0,0,ROW()-1,60),ROW()-1,FALSE))</f>
        <v>-1.2153469400000001</v>
      </c>
      <c r="BH168">
        <f ca="1">IF(AND(ISNUMBER($BH$619),$B$419=1),$BH$619,HLOOKUP(INDIRECT(ADDRESS(2,COLUMN())),OFFSET($BN$2,0,0,ROW()-1,60),ROW()-1,FALSE))</f>
        <v>22.935245859999998</v>
      </c>
      <c r="BI168">
        <f ca="1">IF(AND(ISNUMBER($BI$619),$B$419=1),$BI$619,HLOOKUP(INDIRECT(ADDRESS(2,COLUMN())),OFFSET($BN$2,0,0,ROW()-1,60),ROW()-1,FALSE))</f>
        <v>14.72687101</v>
      </c>
      <c r="BJ168">
        <f ca="1">IF(AND(ISNUMBER($BJ$619),$B$419=1),$BJ$619,HLOOKUP(INDIRECT(ADDRESS(2,COLUMN())),OFFSET($BN$2,0,0,ROW()-1,60),ROW()-1,FALSE))</f>
        <v>15.030334270000001</v>
      </c>
      <c r="BK168">
        <f ca="1">IF(AND(ISNUMBER($BK$619),$B$419=1),$BK$619,HLOOKUP(INDIRECT(ADDRESS(2,COLUMN())),OFFSET($BN$2,0,0,ROW()-1,60),ROW()-1,FALSE))</f>
        <v>24.274580220000001</v>
      </c>
      <c r="BL168">
        <f ca="1">IF(AND(ISNUMBER($BL$619),$B$419=1),$BL$619,HLOOKUP(INDIRECT(ADDRESS(2,COLUMN())),OFFSET($BN$2,0,0,ROW()-1,60),ROW()-1,FALSE))</f>
        <v>13.530853670000001</v>
      </c>
      <c r="BM168">
        <f ca="1">IF(AND(ISNUMBER($BM$619),$B$419=1),$BM$619,HLOOKUP(INDIRECT(ADDRESS(2,COLUMN())),OFFSET($BN$2,0,0,ROW()-1,60),ROW()-1,FALSE))</f>
        <v>10.13389948</v>
      </c>
      <c r="BN168" t="str">
        <f>""</f>
        <v/>
      </c>
      <c r="BO168">
        <f>7.144319046</f>
        <v>7.1443190459999997</v>
      </c>
      <c r="BP168">
        <f>7.018251337</f>
        <v>7.0182513369999997</v>
      </c>
      <c r="BQ168">
        <f>6.062160531</f>
        <v>6.062160531</v>
      </c>
      <c r="BR168">
        <f>6.594702957</f>
        <v>6.594702957</v>
      </c>
      <c r="BS168">
        <f>7.596599265</f>
        <v>7.596599265</v>
      </c>
      <c r="BT168">
        <f>6.853709334</f>
        <v>6.8537093340000004</v>
      </c>
      <c r="BU168">
        <f>8.129272232</f>
        <v>8.1292722319999999</v>
      </c>
      <c r="BV168">
        <f>8.683264478</f>
        <v>8.6832644779999999</v>
      </c>
      <c r="BW168">
        <f>7.396614636</f>
        <v>7.3966146359999998</v>
      </c>
      <c r="BX168">
        <f>10.09312132</f>
        <v>10.09312132</v>
      </c>
      <c r="BY168">
        <f>9.641010965</f>
        <v>9.6410109649999995</v>
      </c>
      <c r="BZ168">
        <f>8.127723965</f>
        <v>8.1277239649999995</v>
      </c>
      <c r="CA168">
        <f>7.768209871</f>
        <v>7.7682098709999998</v>
      </c>
      <c r="CB168">
        <f>6.51956243</f>
        <v>6.5195624299999997</v>
      </c>
      <c r="CC168">
        <f>4.137988842</f>
        <v>4.1379888420000004</v>
      </c>
      <c r="CD168">
        <f>4.566859005</f>
        <v>4.5668590050000004</v>
      </c>
      <c r="CE168">
        <f>4.623677419</f>
        <v>4.6236774189999998</v>
      </c>
      <c r="CF168">
        <f>6.797853309</f>
        <v>6.7978533089999997</v>
      </c>
      <c r="CG168">
        <f>9.169013655</f>
        <v>9.1690136550000005</v>
      </c>
      <c r="CH168">
        <f>7.156781124</f>
        <v>7.1567811240000001</v>
      </c>
      <c r="CI168">
        <f>11.45513794</f>
        <v>11.45513794</v>
      </c>
      <c r="CJ168">
        <f>8.323950981</f>
        <v>8.3239509809999994</v>
      </c>
      <c r="CK168">
        <f>6.534878683</f>
        <v>6.5348786829999996</v>
      </c>
      <c r="CL168">
        <f>9.89077196</f>
        <v>9.8907719600000004</v>
      </c>
      <c r="CM168">
        <f>3.69379781</f>
        <v>3.69379781</v>
      </c>
      <c r="CN168">
        <f>5.795308778</f>
        <v>5.7953087779999999</v>
      </c>
      <c r="CO168">
        <f>3.385332094</f>
        <v>3.3853320939999998</v>
      </c>
      <c r="CP168">
        <f>3.7901246</f>
        <v>3.7901246</v>
      </c>
      <c r="CQ168">
        <f>3.2748312</f>
        <v>3.2748311999999999</v>
      </c>
      <c r="CR168">
        <f>-0.005726262</f>
        <v>-5.7262620000000002E-3</v>
      </c>
      <c r="CS168">
        <f>3.606028612</f>
        <v>3.6060286119999998</v>
      </c>
      <c r="CT168">
        <f>1.982828867</f>
        <v>1.9828288670000001</v>
      </c>
      <c r="CU168">
        <f>0.829799427</f>
        <v>0.82979942699999998</v>
      </c>
      <c r="CV168">
        <f>3.511350839</f>
        <v>3.5113508389999999</v>
      </c>
      <c r="CW168">
        <f>4.250377986</f>
        <v>4.2503779860000002</v>
      </c>
      <c r="CX168">
        <f>2.993334631</f>
        <v>2.9933346310000002</v>
      </c>
      <c r="CY168">
        <f>5.603969983</f>
        <v>5.6039699829999998</v>
      </c>
      <c r="CZ168">
        <f>4.728974747</f>
        <v>4.7289747469999996</v>
      </c>
      <c r="DA168">
        <f>2.619003289</f>
        <v>2.6190032890000001</v>
      </c>
      <c r="DB168">
        <f>6.917044878</f>
        <v>6.9170448779999996</v>
      </c>
      <c r="DC168">
        <f>26.81893535</f>
        <v>26.81893535</v>
      </c>
      <c r="DD168">
        <f>4.603836314</f>
        <v>4.6038363139999996</v>
      </c>
      <c r="DE168">
        <f>8.110465506</f>
        <v>8.1104655060000006</v>
      </c>
      <c r="DF168">
        <f>6.287665174</f>
        <v>6.2876651739999998</v>
      </c>
      <c r="DG168">
        <f>-2.438001677</f>
        <v>-2.4380016769999999</v>
      </c>
      <c r="DH168">
        <f>10.80077703</f>
        <v>10.800777030000001</v>
      </c>
      <c r="DI168">
        <f>10.14691971</f>
        <v>10.146919710000001</v>
      </c>
      <c r="DJ168">
        <f>10.43304382</f>
        <v>10.43304382</v>
      </c>
      <c r="DK168">
        <f>11.62262371</f>
        <v>11.622623709999999</v>
      </c>
      <c r="DL168">
        <f>6.1332641</f>
        <v>6.1332640999999999</v>
      </c>
      <c r="DM168">
        <f>12.55365764</f>
        <v>12.553657640000001</v>
      </c>
      <c r="DN168">
        <f>12.9164584</f>
        <v>12.9164584</v>
      </c>
      <c r="DO168">
        <f>-1.21534694</f>
        <v>-1.2153469400000001</v>
      </c>
      <c r="DP168">
        <f>22.93524586</f>
        <v>22.935245859999998</v>
      </c>
      <c r="DQ168">
        <f>14.72687101</f>
        <v>14.72687101</v>
      </c>
      <c r="DR168">
        <f>15.03033427</f>
        <v>15.030334270000001</v>
      </c>
      <c r="DS168">
        <f>24.27458022</f>
        <v>24.274580220000001</v>
      </c>
      <c r="DT168">
        <f>13.53085367</f>
        <v>13.530853670000001</v>
      </c>
      <c r="DU168">
        <f>10.13389948</f>
        <v>10.13389948</v>
      </c>
    </row>
    <row r="169" spans="1:125">
      <c r="A169" t="str">
        <f>"    Kimco Realty Corp"</f>
        <v xml:space="preserve">    Kimco Realty Corp</v>
      </c>
      <c r="B169" t="str">
        <f>"KIM US Equity"</f>
        <v>KIM US Equity</v>
      </c>
      <c r="C169" t="str">
        <f t="shared" si="30"/>
        <v>RR551</v>
      </c>
      <c r="D169" t="str">
        <f t="shared" si="31"/>
        <v>NOI_GROWTH</v>
      </c>
      <c r="E169" t="str">
        <f t="shared" si="32"/>
        <v>动态</v>
      </c>
      <c r="F169" t="str">
        <f ca="1">IF(AND(ISNUMBER($F$620),$B$419=1),$F$620,HLOOKUP(INDIRECT(ADDRESS(2,COLUMN())),OFFSET($BN$2,0,0,ROW()-1,60),ROW()-1,FALSE))</f>
        <v/>
      </c>
      <c r="G169">
        <f ca="1">IF(AND(ISNUMBER($G$620),$B$419=1),$G$620,HLOOKUP(INDIRECT(ADDRESS(2,COLUMN())),OFFSET($BN$2,0,0,ROW()-1,60),ROW()-1,FALSE))</f>
        <v>7.2222170569999999</v>
      </c>
      <c r="H169">
        <f ca="1">IF(AND(ISNUMBER($H$620),$B$419=1),$H$620,HLOOKUP(INDIRECT(ADDRESS(2,COLUMN())),OFFSET($BN$2,0,0,ROW()-1,60),ROW()-1,FALSE))</f>
        <v>3.9923604730000002</v>
      </c>
      <c r="I169">
        <f ca="1">IF(AND(ISNUMBER($I$620),$B$419=1),$I$620,HLOOKUP(INDIRECT(ADDRESS(2,COLUMN())),OFFSET($BN$2,0,0,ROW()-1,60),ROW()-1,FALSE))</f>
        <v>0.21979922299999999</v>
      </c>
      <c r="J169">
        <f ca="1">IF(AND(ISNUMBER($J$620),$B$419=1),$J$620,HLOOKUP(INDIRECT(ADDRESS(2,COLUMN())),OFFSET($BN$2,0,0,ROW()-1,60),ROW()-1,FALSE))</f>
        <v>-3.1296730990000001</v>
      </c>
      <c r="K169">
        <f ca="1">IF(AND(ISNUMBER($K$620),$B$419=1),$K$620,HLOOKUP(INDIRECT(ADDRESS(2,COLUMN())),OFFSET($BN$2,0,0,ROW()-1,60),ROW()-1,FALSE))</f>
        <v>-2.2835364610000002</v>
      </c>
      <c r="L169">
        <f ca="1">IF(AND(ISNUMBER($L$620),$B$419=1),$L$620,HLOOKUP(INDIRECT(ADDRESS(2,COLUMN())),OFFSET($BN$2,0,0,ROW()-1,60),ROW()-1,FALSE))</f>
        <v>-0.90100615500000003</v>
      </c>
      <c r="M169">
        <f ca="1">IF(AND(ISNUMBER($M$620),$B$419=1),$M$620,HLOOKUP(INDIRECT(ADDRESS(2,COLUMN())),OFFSET($BN$2,0,0,ROW()-1,60),ROW()-1,FALSE))</f>
        <v>0.69006598200000002</v>
      </c>
      <c r="N169">
        <f ca="1">IF(AND(ISNUMBER($N$620),$B$419=1),$N$620,HLOOKUP(INDIRECT(ADDRESS(2,COLUMN())),OFFSET($BN$2,0,0,ROW()-1,60),ROW()-1,FALSE))</f>
        <v>7.3506154490000002</v>
      </c>
      <c r="O169">
        <f ca="1">IF(AND(ISNUMBER($O$620),$B$419=1),$O$620,HLOOKUP(INDIRECT(ADDRESS(2,COLUMN())),OFFSET($BN$2,0,0,ROW()-1,60),ROW()-1,FALSE))</f>
        <v>13.816779289999999</v>
      </c>
      <c r="P169">
        <f ca="1">IF(AND(ISNUMBER($P$620),$B$419=1),$P$620,HLOOKUP(INDIRECT(ADDRESS(2,COLUMN())),OFFSET($BN$2,0,0,ROW()-1,60),ROW()-1,FALSE))</f>
        <v>12.834046949999999</v>
      </c>
      <c r="Q169">
        <f ca="1">IF(AND(ISNUMBER($Q$620),$B$419=1),$Q$620,HLOOKUP(INDIRECT(ADDRESS(2,COLUMN())),OFFSET($BN$2,0,0,ROW()-1,60),ROW()-1,FALSE))</f>
        <v>19.415398589999999</v>
      </c>
      <c r="R169">
        <f ca="1">IF(AND(ISNUMBER($R$620),$B$419=1),$R$620,HLOOKUP(INDIRECT(ADDRESS(2,COLUMN())),OFFSET($BN$2,0,0,ROW()-1,60),ROW()-1,FALSE))</f>
        <v>23.879099740000001</v>
      </c>
      <c r="S169">
        <f ca="1">IF(AND(ISNUMBER($S$620),$B$419=1),$S$620,HLOOKUP(INDIRECT(ADDRESS(2,COLUMN())),OFFSET($BN$2,0,0,ROW()-1,60),ROW()-1,FALSE))</f>
        <v>17.27359818</v>
      </c>
      <c r="T169">
        <f ca="1">IF(AND(ISNUMBER($T$620),$B$419=1),$T$620,HLOOKUP(INDIRECT(ADDRESS(2,COLUMN())),OFFSET($BN$2,0,0,ROW()-1,60),ROW()-1,FALSE))</f>
        <v>14.08873515</v>
      </c>
      <c r="U169">
        <f ca="1">IF(AND(ISNUMBER($U$620),$B$419=1),$U$620,HLOOKUP(INDIRECT(ADDRESS(2,COLUMN())),OFFSET($BN$2,0,0,ROW()-1,60),ROW()-1,FALSE))</f>
        <v>0.17101044200000001</v>
      </c>
      <c r="V169">
        <f ca="1">IF(AND(ISNUMBER($V$620),$B$419=1),$V$620,HLOOKUP(INDIRECT(ADDRESS(2,COLUMN())),OFFSET($BN$2,0,0,ROW()-1,60),ROW()-1,FALSE))</f>
        <v>-6.4279858999999995E-2</v>
      </c>
      <c r="W169">
        <f ca="1">IF(AND(ISNUMBER($W$620),$B$419=1),$W$620,HLOOKUP(INDIRECT(ADDRESS(2,COLUMN())),OFFSET($BN$2,0,0,ROW()-1,60),ROW()-1,FALSE))</f>
        <v>2.4206669559999998</v>
      </c>
      <c r="X169">
        <f ca="1">IF(AND(ISNUMBER($X$620),$B$419=1),$X$620,HLOOKUP(INDIRECT(ADDRESS(2,COLUMN())),OFFSET($BN$2,0,0,ROW()-1,60),ROW()-1,FALSE))</f>
        <v>0.47631424700000002</v>
      </c>
      <c r="Y169">
        <f ca="1">IF(AND(ISNUMBER($Y$620),$B$419=1),$Y$620,HLOOKUP(INDIRECT(ADDRESS(2,COLUMN())),OFFSET($BN$2,0,0,ROW()-1,60),ROW()-1,FALSE))</f>
        <v>8.0489653780000001</v>
      </c>
      <c r="Z169">
        <f ca="1">IF(AND(ISNUMBER($Z$620),$B$419=1),$Z$620,HLOOKUP(INDIRECT(ADDRESS(2,COLUMN())),OFFSET($BN$2,0,0,ROW()-1,60),ROW()-1,FALSE))</f>
        <v>2.053454823</v>
      </c>
      <c r="AA169">
        <f ca="1">IF(AND(ISNUMBER($AA$620),$B$419=1),$AA$620,HLOOKUP(INDIRECT(ADDRESS(2,COLUMN())),OFFSET($BN$2,0,0,ROW()-1,60),ROW()-1,FALSE))</f>
        <v>0.99407319100000002</v>
      </c>
      <c r="AB169">
        <f ca="1">IF(AND(ISNUMBER($AB$620),$B$419=1),$AB$620,HLOOKUP(INDIRECT(ADDRESS(2,COLUMN())),OFFSET($BN$2,0,0,ROW()-1,60),ROW()-1,FALSE))</f>
        <v>7.1288885439999996</v>
      </c>
      <c r="AC169">
        <f ca="1">IF(AND(ISNUMBER($AC$620),$B$419=1),$AC$620,HLOOKUP(INDIRECT(ADDRESS(2,COLUMN())),OFFSET($BN$2,0,0,ROW()-1,60),ROW()-1,FALSE))</f>
        <v>4.7104639769999999</v>
      </c>
      <c r="AD169">
        <f ca="1">IF(AND(ISNUMBER($AD$620),$B$419=1),$AD$620,HLOOKUP(INDIRECT(ADDRESS(2,COLUMN())),OFFSET($BN$2,0,0,ROW()-1,60),ROW()-1,FALSE))</f>
        <v>4.2880365539999996</v>
      </c>
      <c r="AE169">
        <f ca="1">IF(AND(ISNUMBER($AE$620),$B$419=1),$AE$620,HLOOKUP(INDIRECT(ADDRESS(2,COLUMN())),OFFSET($BN$2,0,0,ROW()-1,60),ROW()-1,FALSE))</f>
        <v>1.2831507069999999</v>
      </c>
      <c r="AF169">
        <f ca="1">IF(AND(ISNUMBER($AF$620),$B$419=1),$AF$620,HLOOKUP(INDIRECT(ADDRESS(2,COLUMN())),OFFSET($BN$2,0,0,ROW()-1,60),ROW()-1,FALSE))</f>
        <v>-0.50511558400000001</v>
      </c>
      <c r="AG169">
        <f ca="1">IF(AND(ISNUMBER($AG$620),$B$419=1),$AG$620,HLOOKUP(INDIRECT(ADDRESS(2,COLUMN())),OFFSET($BN$2,0,0,ROW()-1,60),ROW()-1,FALSE))</f>
        <v>1.793368136</v>
      </c>
      <c r="AH169">
        <f ca="1">IF(AND(ISNUMBER($AH$620),$B$419=1),$AH$620,HLOOKUP(INDIRECT(ADDRESS(2,COLUMN())),OFFSET($BN$2,0,0,ROW()-1,60),ROW()-1,FALSE))</f>
        <v>0.34260594700000002</v>
      </c>
      <c r="AI169">
        <f ca="1">IF(AND(ISNUMBER($AI$620),$B$419=1),$AI$620,HLOOKUP(INDIRECT(ADDRESS(2,COLUMN())),OFFSET($BN$2,0,0,ROW()-1,60),ROW()-1,FALSE))</f>
        <v>2.9810032180000001</v>
      </c>
      <c r="AJ169">
        <f ca="1">IF(AND(ISNUMBER($AJ$620),$B$419=1),$AJ$620,HLOOKUP(INDIRECT(ADDRESS(2,COLUMN())),OFFSET($BN$2,0,0,ROW()-1,60),ROW()-1,FALSE))</f>
        <v>8.8061689449999996</v>
      </c>
      <c r="AK169">
        <f ca="1">IF(AND(ISNUMBER($AK$620),$B$419=1),$AK$620,HLOOKUP(INDIRECT(ADDRESS(2,COLUMN())),OFFSET($BN$2,0,0,ROW()-1,60),ROW()-1,FALSE))</f>
        <v>10.04466612</v>
      </c>
      <c r="AL169">
        <f ca="1">IF(AND(ISNUMBER($AL$620),$B$419=1),$AL$620,HLOOKUP(INDIRECT(ADDRESS(2,COLUMN())),OFFSET($BN$2,0,0,ROW()-1,60),ROW()-1,FALSE))</f>
        <v>9.5576515719999993</v>
      </c>
      <c r="AM169">
        <f ca="1">IF(AND(ISNUMBER($AM$620),$B$419=1),$AM$620,HLOOKUP(INDIRECT(ADDRESS(2,COLUMN())),OFFSET($BN$2,0,0,ROW()-1,60),ROW()-1,FALSE))</f>
        <v>1.2578741330000001</v>
      </c>
      <c r="AN169">
        <f ca="1">IF(AND(ISNUMBER($AN$620),$B$419=1),$AN$620,HLOOKUP(INDIRECT(ADDRESS(2,COLUMN())),OFFSET($BN$2,0,0,ROW()-1,60),ROW()-1,FALSE))</f>
        <v>-4.134353033</v>
      </c>
      <c r="AO169">
        <f ca="1">IF(AND(ISNUMBER($AO$620),$B$419=1),$AO$620,HLOOKUP(INDIRECT(ADDRESS(2,COLUMN())),OFFSET($BN$2,0,0,ROW()-1,60),ROW()-1,FALSE))</f>
        <v>-4.2355816999999997E-2</v>
      </c>
      <c r="AP169">
        <f ca="1">IF(AND(ISNUMBER($AP$620),$B$419=1),$AP$620,HLOOKUP(INDIRECT(ADDRESS(2,COLUMN())),OFFSET($BN$2,0,0,ROW()-1,60),ROW()-1,FALSE))</f>
        <v>-1.0811179740000001</v>
      </c>
      <c r="AQ169">
        <f ca="1">IF(AND(ISNUMBER($AQ$620),$B$419=1),$AQ$620,HLOOKUP(INDIRECT(ADDRESS(2,COLUMN())),OFFSET($BN$2,0,0,ROW()-1,60),ROW()-1,FALSE))</f>
        <v>9.5852327170000002</v>
      </c>
      <c r="AR169">
        <f ca="1">IF(AND(ISNUMBER($AR$620),$B$419=1),$AR$620,HLOOKUP(INDIRECT(ADDRESS(2,COLUMN())),OFFSET($BN$2,0,0,ROW()-1,60),ROW()-1,FALSE))</f>
        <v>7.5578621720000001</v>
      </c>
      <c r="AS169">
        <f ca="1">IF(AND(ISNUMBER($AS$620),$B$419=1),$AS$620,HLOOKUP(INDIRECT(ADDRESS(2,COLUMN())),OFFSET($BN$2,0,0,ROW()-1,60),ROW()-1,FALSE))</f>
        <v>5.2832423190000002</v>
      </c>
      <c r="AT169">
        <f ca="1">IF(AND(ISNUMBER($AT$620),$B$419=1),$AT$620,HLOOKUP(INDIRECT(ADDRESS(2,COLUMN())),OFFSET($BN$2,0,0,ROW()-1,60),ROW()-1,FALSE))</f>
        <v>10.377429559999999</v>
      </c>
      <c r="AU169">
        <f ca="1">IF(AND(ISNUMBER($AU$620),$B$419=1),$AU$620,HLOOKUP(INDIRECT(ADDRESS(2,COLUMN())),OFFSET($BN$2,0,0,ROW()-1,60),ROW()-1,FALSE))</f>
        <v>2.937242683</v>
      </c>
      <c r="AV169">
        <f ca="1">IF(AND(ISNUMBER($AV$620),$B$419=1),$AV$620,HLOOKUP(INDIRECT(ADDRESS(2,COLUMN())),OFFSET($BN$2,0,0,ROW()-1,60),ROW()-1,FALSE))</f>
        <v>27.104847299999999</v>
      </c>
      <c r="AW169">
        <f ca="1">IF(AND(ISNUMBER($AW$620),$B$419=1),$AW$620,HLOOKUP(INDIRECT(ADDRESS(2,COLUMN())),OFFSET($BN$2,0,0,ROW()-1,60),ROW()-1,FALSE))</f>
        <v>14.79607251</v>
      </c>
      <c r="AX169">
        <f ca="1">IF(AND(ISNUMBER($AX$620),$B$419=1),$AX$620,HLOOKUP(INDIRECT(ADDRESS(2,COLUMN())),OFFSET($BN$2,0,0,ROW()-1,60),ROW()-1,FALSE))</f>
        <v>23.41592674</v>
      </c>
      <c r="AY169">
        <f ca="1">IF(AND(ISNUMBER($AY$620),$B$419=1),$AY$620,HLOOKUP(INDIRECT(ADDRESS(2,COLUMN())),OFFSET($BN$2,0,0,ROW()-1,60),ROW()-1,FALSE))</f>
        <v>36.961193659999999</v>
      </c>
      <c r="AZ169">
        <f ca="1">IF(AND(ISNUMBER($AZ$620),$B$419=1),$AZ$620,HLOOKUP(INDIRECT(ADDRESS(2,COLUMN())),OFFSET($BN$2,0,0,ROW()-1,60),ROW()-1,FALSE))</f>
        <v>6.03203055</v>
      </c>
      <c r="BA169">
        <f ca="1">IF(AND(ISNUMBER($BA$620),$B$419=1),$BA$620,HLOOKUP(INDIRECT(ADDRESS(2,COLUMN())),OFFSET($BN$2,0,0,ROW()-1,60),ROW()-1,FALSE))</f>
        <v>18.008239580000001</v>
      </c>
      <c r="BB169">
        <f ca="1">IF(AND(ISNUMBER($BB$620),$B$419=1),$BB$620,HLOOKUP(INDIRECT(ADDRESS(2,COLUMN())),OFFSET($BN$2,0,0,ROW()-1,60),ROW()-1,FALSE))</f>
        <v>6.5175193609999997</v>
      </c>
      <c r="BC169">
        <f ca="1">IF(AND(ISNUMBER($BC$620),$B$419=1),$BC$620,HLOOKUP(INDIRECT(ADDRESS(2,COLUMN())),OFFSET($BN$2,0,0,ROW()-1,60),ROW()-1,FALSE))</f>
        <v>1.404065876</v>
      </c>
      <c r="BD169">
        <f ca="1">IF(AND(ISNUMBER($BD$620),$B$419=1),$BD$620,HLOOKUP(INDIRECT(ADDRESS(2,COLUMN())),OFFSET($BN$2,0,0,ROW()-1,60),ROW()-1,FALSE))</f>
        <v>7.1747755270000004</v>
      </c>
      <c r="BE169">
        <f ca="1">IF(AND(ISNUMBER($BE$620),$B$419=1),$BE$620,HLOOKUP(INDIRECT(ADDRESS(2,COLUMN())),OFFSET($BN$2,0,0,ROW()-1,60),ROW()-1,FALSE))</f>
        <v>-3.373173462</v>
      </c>
      <c r="BF169">
        <f ca="1">IF(AND(ISNUMBER($BF$620),$B$419=1),$BF$620,HLOOKUP(INDIRECT(ADDRESS(2,COLUMN())),OFFSET($BN$2,0,0,ROW()-1,60),ROW()-1,FALSE))</f>
        <v>-7.4821330399999999</v>
      </c>
      <c r="BG169">
        <f ca="1">IF(AND(ISNUMBER($BG$620),$B$419=1),$BG$620,HLOOKUP(INDIRECT(ADDRESS(2,COLUMN())),OFFSET($BN$2,0,0,ROW()-1,60),ROW()-1,FALSE))</f>
        <v>-1.223899874</v>
      </c>
      <c r="BH169">
        <f ca="1">IF(AND(ISNUMBER($BH$620),$B$419=1),$BH$620,HLOOKUP(INDIRECT(ADDRESS(2,COLUMN())),OFFSET($BN$2,0,0,ROW()-1,60),ROW()-1,FALSE))</f>
        <v>4.2707737090000002</v>
      </c>
      <c r="BI169">
        <f ca="1">IF(AND(ISNUMBER($BI$620),$B$419=1),$BI$620,HLOOKUP(INDIRECT(ADDRESS(2,COLUMN())),OFFSET($BN$2,0,0,ROW()-1,60),ROW()-1,FALSE))</f>
        <v>18.69448672</v>
      </c>
      <c r="BJ169">
        <f ca="1">IF(AND(ISNUMBER($BJ$620),$B$419=1),$BJ$620,HLOOKUP(INDIRECT(ADDRESS(2,COLUMN())),OFFSET($BN$2,0,0,ROW()-1,60),ROW()-1,FALSE))</f>
        <v>21.786288160000002</v>
      </c>
      <c r="BK169">
        <f ca="1">IF(AND(ISNUMBER($BK$620),$B$419=1),$BK$620,HLOOKUP(INDIRECT(ADDRESS(2,COLUMN())),OFFSET($BN$2,0,0,ROW()-1,60),ROW()-1,FALSE))</f>
        <v>16.47762045</v>
      </c>
      <c r="BL169">
        <f ca="1">IF(AND(ISNUMBER($BL$620),$B$419=1),$BL$620,HLOOKUP(INDIRECT(ADDRESS(2,COLUMN())),OFFSET($BN$2,0,0,ROW()-1,60),ROW()-1,FALSE))</f>
        <v>13.089560580000001</v>
      </c>
      <c r="BM169">
        <f ca="1">IF(AND(ISNUMBER($BM$620),$B$419=1),$BM$620,HLOOKUP(INDIRECT(ADDRESS(2,COLUMN())),OFFSET($BN$2,0,0,ROW()-1,60),ROW()-1,FALSE))</f>
        <v>3.4522466629999999</v>
      </c>
      <c r="BN169" t="str">
        <f>""</f>
        <v/>
      </c>
      <c r="BO169">
        <f>7.222217057</f>
        <v>7.2222170569999999</v>
      </c>
      <c r="BP169">
        <f>3.992360473</f>
        <v>3.9923604730000002</v>
      </c>
      <c r="BQ169">
        <f>0.219799223</f>
        <v>0.21979922299999999</v>
      </c>
      <c r="BR169">
        <f>-3.129673099</f>
        <v>-3.1296730990000001</v>
      </c>
      <c r="BS169">
        <f>-2.283536461</f>
        <v>-2.2835364610000002</v>
      </c>
      <c r="BT169">
        <f>-0.901006155</f>
        <v>-0.90100615500000003</v>
      </c>
      <c r="BU169">
        <f>0.690065982</f>
        <v>0.69006598200000002</v>
      </c>
      <c r="BV169">
        <f>7.350615449</f>
        <v>7.3506154490000002</v>
      </c>
      <c r="BW169">
        <f>13.81677929</f>
        <v>13.816779289999999</v>
      </c>
      <c r="BX169">
        <f>12.83404695</f>
        <v>12.834046949999999</v>
      </c>
      <c r="BY169">
        <f>19.41539859</f>
        <v>19.415398589999999</v>
      </c>
      <c r="BZ169">
        <f>23.87909974</f>
        <v>23.879099740000001</v>
      </c>
      <c r="CA169">
        <f>17.27359818</f>
        <v>17.27359818</v>
      </c>
      <c r="CB169">
        <f>14.08873515</f>
        <v>14.08873515</v>
      </c>
      <c r="CC169">
        <f>0.171010442</f>
        <v>0.17101044200000001</v>
      </c>
      <c r="CD169">
        <f>-0.064279859</f>
        <v>-6.4279858999999995E-2</v>
      </c>
      <c r="CE169">
        <f>2.420666956</f>
        <v>2.4206669559999998</v>
      </c>
      <c r="CF169">
        <f>0.476314247</f>
        <v>0.47631424700000002</v>
      </c>
      <c r="CG169">
        <f>8.048965378</f>
        <v>8.0489653780000001</v>
      </c>
      <c r="CH169">
        <f>2.053454823</f>
        <v>2.053454823</v>
      </c>
      <c r="CI169">
        <f>0.994073191</f>
        <v>0.99407319100000002</v>
      </c>
      <c r="CJ169">
        <f>7.128888544</f>
        <v>7.1288885439999996</v>
      </c>
      <c r="CK169">
        <f>4.710463977</f>
        <v>4.7104639769999999</v>
      </c>
      <c r="CL169">
        <f>4.288036554</f>
        <v>4.2880365539999996</v>
      </c>
      <c r="CM169">
        <f>1.283150707</f>
        <v>1.2831507069999999</v>
      </c>
      <c r="CN169">
        <f>-0.505115584</f>
        <v>-0.50511558400000001</v>
      </c>
      <c r="CO169">
        <f>1.793368136</f>
        <v>1.793368136</v>
      </c>
      <c r="CP169">
        <f>0.342605947</f>
        <v>0.34260594700000002</v>
      </c>
      <c r="CQ169">
        <f>2.981003218</f>
        <v>2.9810032180000001</v>
      </c>
      <c r="CR169">
        <f>8.806168945</f>
        <v>8.8061689449999996</v>
      </c>
      <c r="CS169">
        <f>10.04466612</f>
        <v>10.04466612</v>
      </c>
      <c r="CT169">
        <f>9.557651572</f>
        <v>9.5576515719999993</v>
      </c>
      <c r="CU169">
        <f>1.257874133</f>
        <v>1.2578741330000001</v>
      </c>
      <c r="CV169">
        <f>-4.134353033</f>
        <v>-4.134353033</v>
      </c>
      <c r="CW169">
        <f>-0.042355817</f>
        <v>-4.2355816999999997E-2</v>
      </c>
      <c r="CX169">
        <f>-1.081117974</f>
        <v>-1.0811179740000001</v>
      </c>
      <c r="CY169">
        <f>9.585232717</f>
        <v>9.5852327170000002</v>
      </c>
      <c r="CZ169">
        <f>7.557862172</f>
        <v>7.5578621720000001</v>
      </c>
      <c r="DA169">
        <f>5.283242319</f>
        <v>5.2832423190000002</v>
      </c>
      <c r="DB169">
        <f>10.37742956</f>
        <v>10.377429559999999</v>
      </c>
      <c r="DC169">
        <f>2.937242683</f>
        <v>2.937242683</v>
      </c>
      <c r="DD169">
        <f>27.1048473</f>
        <v>27.104847299999999</v>
      </c>
      <c r="DE169">
        <f>14.79607251</f>
        <v>14.79607251</v>
      </c>
      <c r="DF169">
        <f>23.41592674</f>
        <v>23.41592674</v>
      </c>
      <c r="DG169">
        <f>36.96119366</f>
        <v>36.961193659999999</v>
      </c>
      <c r="DH169">
        <f>6.03203055</f>
        <v>6.03203055</v>
      </c>
      <c r="DI169">
        <f>18.00823958</f>
        <v>18.008239580000001</v>
      </c>
      <c r="DJ169">
        <f>6.517519361</f>
        <v>6.5175193609999997</v>
      </c>
      <c r="DK169">
        <f>1.404065876</f>
        <v>1.404065876</v>
      </c>
      <c r="DL169">
        <f>7.174775527</f>
        <v>7.1747755270000004</v>
      </c>
      <c r="DM169">
        <f>-3.373173462</f>
        <v>-3.373173462</v>
      </c>
      <c r="DN169">
        <f>-7.48213304</f>
        <v>-7.4821330399999999</v>
      </c>
      <c r="DO169">
        <f>-1.223899874</f>
        <v>-1.223899874</v>
      </c>
      <c r="DP169">
        <f>4.270773709</f>
        <v>4.2707737090000002</v>
      </c>
      <c r="DQ169">
        <f>18.69448672</f>
        <v>18.69448672</v>
      </c>
      <c r="DR169">
        <f>21.78628816</f>
        <v>21.786288160000002</v>
      </c>
      <c r="DS169">
        <f>16.47762045</f>
        <v>16.47762045</v>
      </c>
      <c r="DT169">
        <f>13.08956058</f>
        <v>13.089560580000001</v>
      </c>
      <c r="DU169">
        <f>3.452246663</f>
        <v>3.4522466629999999</v>
      </c>
    </row>
    <row r="170" spans="1:125">
      <c r="A170" t="str">
        <f>"    National Retail Properties Inc"</f>
        <v xml:space="preserve">    National Retail Properties Inc</v>
      </c>
      <c r="B170" t="str">
        <f>"NNN US Equity"</f>
        <v>NNN US Equity</v>
      </c>
      <c r="C170" t="str">
        <f t="shared" si="30"/>
        <v>RR551</v>
      </c>
      <c r="D170" t="str">
        <f t="shared" si="31"/>
        <v>NOI_GROWTH</v>
      </c>
      <c r="E170" t="str">
        <f t="shared" si="32"/>
        <v>动态</v>
      </c>
      <c r="F170" t="str">
        <f ca="1">IF(AND(ISNUMBER($F$621),$B$419=1),$F$621,HLOOKUP(INDIRECT(ADDRESS(2,COLUMN())),OFFSET($BN$2,0,0,ROW()-1,60),ROW()-1,FALSE))</f>
        <v/>
      </c>
      <c r="G170">
        <f ca="1">IF(AND(ISNUMBER($G$621),$B$419=1),$G$621,HLOOKUP(INDIRECT(ADDRESS(2,COLUMN())),OFFSET($BN$2,0,0,ROW()-1,60),ROW()-1,FALSE))</f>
        <v>6.6624914259999999</v>
      </c>
      <c r="H170">
        <f ca="1">IF(AND(ISNUMBER($H$621),$B$419=1),$H$621,HLOOKUP(INDIRECT(ADDRESS(2,COLUMN())),OFFSET($BN$2,0,0,ROW()-1,60),ROW()-1,FALSE))</f>
        <v>10.05157842</v>
      </c>
      <c r="I170">
        <f ca="1">IF(AND(ISNUMBER($I$621),$B$419=1),$I$621,HLOOKUP(INDIRECT(ADDRESS(2,COLUMN())),OFFSET($BN$2,0,0,ROW()-1,60),ROW()-1,FALSE))</f>
        <v>11.58282973</v>
      </c>
      <c r="J170">
        <f ca="1">IF(AND(ISNUMBER($J$621),$B$419=1),$J$621,HLOOKUP(INDIRECT(ADDRESS(2,COLUMN())),OFFSET($BN$2,0,0,ROW()-1,60),ROW()-1,FALSE))</f>
        <v>11.83903673</v>
      </c>
      <c r="K170">
        <f ca="1">IF(AND(ISNUMBER($K$621),$B$419=1),$K$621,HLOOKUP(INDIRECT(ADDRESS(2,COLUMN())),OFFSET($BN$2,0,0,ROW()-1,60),ROW()-1,FALSE))</f>
        <v>11.68437531</v>
      </c>
      <c r="L170">
        <f ca="1">IF(AND(ISNUMBER($L$621),$B$419=1),$L$621,HLOOKUP(INDIRECT(ADDRESS(2,COLUMN())),OFFSET($BN$2,0,0,ROW()-1,60),ROW()-1,FALSE))</f>
        <v>9.8092736019999993</v>
      </c>
      <c r="M170">
        <f ca="1">IF(AND(ISNUMBER($M$621),$B$419=1),$M$621,HLOOKUP(INDIRECT(ADDRESS(2,COLUMN())),OFFSET($BN$2,0,0,ROW()-1,60),ROW()-1,FALSE))</f>
        <v>12.35055116</v>
      </c>
      <c r="N170">
        <f ca="1">IF(AND(ISNUMBER($N$621),$B$419=1),$N$621,HLOOKUP(INDIRECT(ADDRESS(2,COLUMN())),OFFSET($BN$2,0,0,ROW()-1,60),ROW()-1,FALSE))</f>
        <v>9.5159172210000005</v>
      </c>
      <c r="O170">
        <f ca="1">IF(AND(ISNUMBER($O$621),$B$419=1),$O$621,HLOOKUP(INDIRECT(ADDRESS(2,COLUMN())),OFFSET($BN$2,0,0,ROW()-1,60),ROW()-1,FALSE))</f>
        <v>10.070115940000001</v>
      </c>
      <c r="P170">
        <f ca="1">IF(AND(ISNUMBER($P$621),$B$419=1),$P$621,HLOOKUP(INDIRECT(ADDRESS(2,COLUMN())),OFFSET($BN$2,0,0,ROW()-1,60),ROW()-1,FALSE))</f>
        <v>12.80284807</v>
      </c>
      <c r="Q170">
        <f ca="1">IF(AND(ISNUMBER($Q$621),$B$419=1),$Q$621,HLOOKUP(INDIRECT(ADDRESS(2,COLUMN())),OFFSET($BN$2,0,0,ROW()-1,60),ROW()-1,FALSE))</f>
        <v>12.12651481</v>
      </c>
      <c r="R170">
        <f ca="1">IF(AND(ISNUMBER($R$621),$B$419=1),$R$621,HLOOKUP(INDIRECT(ADDRESS(2,COLUMN())),OFFSET($BN$2,0,0,ROW()-1,60),ROW()-1,FALSE))</f>
        <v>12.62584534</v>
      </c>
      <c r="S170">
        <f ca="1">IF(AND(ISNUMBER($S$621),$B$419=1),$S$621,HLOOKUP(INDIRECT(ADDRESS(2,COLUMN())),OFFSET($BN$2,0,0,ROW()-1,60),ROW()-1,FALSE))</f>
        <v>11.91289452</v>
      </c>
      <c r="T170">
        <f ca="1">IF(AND(ISNUMBER($T$621),$B$419=1),$T$621,HLOOKUP(INDIRECT(ADDRESS(2,COLUMN())),OFFSET($BN$2,0,0,ROW()-1,60),ROW()-1,FALSE))</f>
        <v>9.7094962630000001</v>
      </c>
      <c r="U170">
        <f ca="1">IF(AND(ISNUMBER($U$621),$B$419=1),$U$621,HLOOKUP(INDIRECT(ADDRESS(2,COLUMN())),OFFSET($BN$2,0,0,ROW()-1,60),ROW()-1,FALSE))</f>
        <v>9.9045029509999996</v>
      </c>
      <c r="V170">
        <f ca="1">IF(AND(ISNUMBER($V$621),$B$419=1),$V$621,HLOOKUP(INDIRECT(ADDRESS(2,COLUMN())),OFFSET($BN$2,0,0,ROW()-1,60),ROW()-1,FALSE))</f>
        <v>12.68361647</v>
      </c>
      <c r="W170">
        <f ca="1">IF(AND(ISNUMBER($W$621),$B$419=1),$W$621,HLOOKUP(INDIRECT(ADDRESS(2,COLUMN())),OFFSET($BN$2,0,0,ROW()-1,60),ROW()-1,FALSE))</f>
        <v>16.950372479999999</v>
      </c>
      <c r="X170">
        <f ca="1">IF(AND(ISNUMBER($X$621),$B$419=1),$X$621,HLOOKUP(INDIRECT(ADDRESS(2,COLUMN())),OFFSET($BN$2,0,0,ROW()-1,60),ROW()-1,FALSE))</f>
        <v>20.107007469999999</v>
      </c>
      <c r="Y170">
        <f ca="1">IF(AND(ISNUMBER($Y$621),$B$419=1),$Y$621,HLOOKUP(INDIRECT(ADDRESS(2,COLUMN())),OFFSET($BN$2,0,0,ROW()-1,60),ROW()-1,FALSE))</f>
        <v>20.21205921</v>
      </c>
      <c r="Z170">
        <f ca="1">IF(AND(ISNUMBER($Z$621),$B$419=1),$Z$621,HLOOKUP(INDIRECT(ADDRESS(2,COLUMN())),OFFSET($BN$2,0,0,ROW()-1,60),ROW()-1,FALSE))</f>
        <v>23.024929650000001</v>
      </c>
      <c r="AA170">
        <f ca="1">IF(AND(ISNUMBER($AA$621),$B$419=1),$AA$621,HLOOKUP(INDIRECT(ADDRESS(2,COLUMN())),OFFSET($BN$2,0,0,ROW()-1,60),ROW()-1,FALSE))</f>
        <v>24.889135249999999</v>
      </c>
      <c r="AB170">
        <f ca="1">IF(AND(ISNUMBER($AB$621),$B$419=1),$AB$621,HLOOKUP(INDIRECT(ADDRESS(2,COLUMN())),OFFSET($BN$2,0,0,ROW()-1,60),ROW()-1,FALSE))</f>
        <v>30.60606061</v>
      </c>
      <c r="AC170">
        <f ca="1">IF(AND(ISNUMBER($AC$621),$B$419=1),$AC$621,HLOOKUP(INDIRECT(ADDRESS(2,COLUMN())),OFFSET($BN$2,0,0,ROW()-1,60),ROW()-1,FALSE))</f>
        <v>34.557416910000001</v>
      </c>
      <c r="AD170">
        <f ca="1">IF(AND(ISNUMBER($AD$621),$B$419=1),$AD$621,HLOOKUP(INDIRECT(ADDRESS(2,COLUMN())),OFFSET($BN$2,0,0,ROW()-1,60),ROW()-1,FALSE))</f>
        <v>26.850224220000001</v>
      </c>
      <c r="AE170">
        <f ca="1">IF(AND(ISNUMBER($AE$621),$B$419=1),$AE$621,HLOOKUP(INDIRECT(ADDRESS(2,COLUMN())),OFFSET($BN$2,0,0,ROW()-1,60),ROW()-1,FALSE))</f>
        <v>22.678233380000002</v>
      </c>
      <c r="AF170">
        <f ca="1">IF(AND(ISNUMBER($AF$621),$B$419=1),$AF$621,HLOOKUP(INDIRECT(ADDRESS(2,COLUMN())),OFFSET($BN$2,0,0,ROW()-1,60),ROW()-1,FALSE))</f>
        <v>17.83414634</v>
      </c>
      <c r="AG170">
        <f ca="1">IF(AND(ISNUMBER($AG$621),$B$419=1),$AG$621,HLOOKUP(INDIRECT(ADDRESS(2,COLUMN())),OFFSET($BN$2,0,0,ROW()-1,60),ROW()-1,FALSE))</f>
        <v>10.358502850000001</v>
      </c>
      <c r="AH170">
        <f ca="1">IF(AND(ISNUMBER($AH$621),$B$419=1),$AH$621,HLOOKUP(INDIRECT(ADDRESS(2,COLUMN())),OFFSET($BN$2,0,0,ROW()-1,60),ROW()-1,FALSE))</f>
        <v>10.925406389999999</v>
      </c>
      <c r="AI170">
        <f ca="1">IF(AND(ISNUMBER($AI$621),$B$419=1),$AI$621,HLOOKUP(INDIRECT(ADDRESS(2,COLUMN())),OFFSET($BN$2,0,0,ROW()-1,60),ROW()-1,FALSE))</f>
        <v>5.3560017809999998</v>
      </c>
      <c r="AJ170">
        <f ca="1">IF(AND(ISNUMBER($AJ$621),$B$419=1),$AJ$621,HLOOKUP(INDIRECT(ADDRESS(2,COLUMN())),OFFSET($BN$2,0,0,ROW()-1,60),ROW()-1,FALSE))</f>
        <v>0.92953641300000001</v>
      </c>
      <c r="AK170">
        <f ca="1">IF(AND(ISNUMBER($AK$621),$B$419=1),$AK$621,HLOOKUP(INDIRECT(ADDRESS(2,COLUMN())),OFFSET($BN$2,0,0,ROW()-1,60),ROW()-1,FALSE))</f>
        <v>-2.5926353010000001</v>
      </c>
      <c r="AL170">
        <f ca="1">IF(AND(ISNUMBER($AL$621),$B$419=1),$AL$621,HLOOKUP(INDIRECT(ADDRESS(2,COLUMN())),OFFSET($BN$2,0,0,ROW()-1,60),ROW()-1,FALSE))</f>
        <v>-3.031063091</v>
      </c>
      <c r="AM170">
        <f ca="1">IF(AND(ISNUMBER($AM$621),$B$419=1),$AM$621,HLOOKUP(INDIRECT(ADDRESS(2,COLUMN())),OFFSET($BN$2,0,0,ROW()-1,60),ROW()-1,FALSE))</f>
        <v>-1.0518853459999999</v>
      </c>
      <c r="AN170">
        <f ca="1">IF(AND(ISNUMBER($AN$621),$B$419=1),$AN$621,HLOOKUP(INDIRECT(ADDRESS(2,COLUMN())),OFFSET($BN$2,0,0,ROW()-1,60),ROW()-1,FALSE))</f>
        <v>-5.4994137680000001</v>
      </c>
      <c r="AO170">
        <f ca="1">IF(AND(ISNUMBER($AO$621),$B$419=1),$AO$621,HLOOKUP(INDIRECT(ADDRESS(2,COLUMN())),OFFSET($BN$2,0,0,ROW()-1,60),ROW()-1,FALSE))</f>
        <v>2.4978331100000002</v>
      </c>
      <c r="AP170">
        <f ca="1">IF(AND(ISNUMBER($AP$621),$B$419=1),$AP$621,HLOOKUP(INDIRECT(ADDRESS(2,COLUMN())),OFFSET($BN$2,0,0,ROW()-1,60),ROW()-1,FALSE))</f>
        <v>5.7151015750000003</v>
      </c>
      <c r="AQ170">
        <f ca="1">IF(AND(ISNUMBER($AQ$621),$B$419=1),$AQ$621,HLOOKUP(INDIRECT(ADDRESS(2,COLUMN())),OFFSET($BN$2,0,0,ROW()-1,60),ROW()-1,FALSE))</f>
        <v>20.83159698</v>
      </c>
      <c r="AR170">
        <f ca="1">IF(AND(ISNUMBER($AR$621),$B$419=1),$AR$621,HLOOKUP(INDIRECT(ADDRESS(2,COLUMN())),OFFSET($BN$2,0,0,ROW()-1,60),ROW()-1,FALSE))</f>
        <v>29.602026049999999</v>
      </c>
      <c r="AS170">
        <f ca="1">IF(AND(ISNUMBER($AS$621),$B$419=1),$AS$621,HLOOKUP(INDIRECT(ADDRESS(2,COLUMN())),OFFSET($BN$2,0,0,ROW()-1,60),ROW()-1,FALSE))</f>
        <v>26.426414829999999</v>
      </c>
      <c r="AT170">
        <f ca="1">IF(AND(ISNUMBER($AT$621),$B$419=1),$AT$621,HLOOKUP(INDIRECT(ADDRESS(2,COLUMN())),OFFSET($BN$2,0,0,ROW()-1,60),ROW()-1,FALSE))</f>
        <v>39.964029799999999</v>
      </c>
      <c r="AU170">
        <f ca="1">IF(AND(ISNUMBER($AU$621),$B$419=1),$AU$621,HLOOKUP(INDIRECT(ADDRESS(2,COLUMN())),OFFSET($BN$2,0,0,ROW()-1,60),ROW()-1,FALSE))</f>
        <v>35.196713209999999</v>
      </c>
      <c r="AV170">
        <f ca="1">IF(AND(ISNUMBER($AV$621),$B$419=1),$AV$621,HLOOKUP(INDIRECT(ADDRESS(2,COLUMN())),OFFSET($BN$2,0,0,ROW()-1,60),ROW()-1,FALSE))</f>
        <v>36.976344650000001</v>
      </c>
      <c r="AW170">
        <f ca="1">IF(AND(ISNUMBER($AW$621),$B$419=1),$AW$621,HLOOKUP(INDIRECT(ADDRESS(2,COLUMN())),OFFSET($BN$2,0,0,ROW()-1,60),ROW()-1,FALSE))</f>
        <v>40.95201608</v>
      </c>
      <c r="AX170">
        <f ca="1">IF(AND(ISNUMBER($AX$621),$B$419=1),$AX$621,HLOOKUP(INDIRECT(ADDRESS(2,COLUMN())),OFFSET($BN$2,0,0,ROW()-1,60),ROW()-1,FALSE))</f>
        <v>22.573308140000002</v>
      </c>
      <c r="AY170">
        <f ca="1">IF(AND(ISNUMBER($AY$621),$B$419=1),$AY$621,HLOOKUP(INDIRECT(ADDRESS(2,COLUMN())),OFFSET($BN$2,0,0,ROW()-1,60),ROW()-1,FALSE))</f>
        <v>41.042742169999997</v>
      </c>
      <c r="AZ170">
        <f ca="1">IF(AND(ISNUMBER($AZ$621),$B$419=1),$AZ$621,HLOOKUP(INDIRECT(ADDRESS(2,COLUMN())),OFFSET($BN$2,0,0,ROW()-1,60),ROW()-1,FALSE))</f>
        <v>26.979061009999999</v>
      </c>
      <c r="BA170">
        <f ca="1">IF(AND(ISNUMBER($BA$621),$B$419=1),$BA$621,HLOOKUP(INDIRECT(ADDRESS(2,COLUMN())),OFFSET($BN$2,0,0,ROW()-1,60),ROW()-1,FALSE))</f>
        <v>24.294250179999999</v>
      </c>
      <c r="BB170">
        <f ca="1">IF(AND(ISNUMBER($BB$621),$B$419=1),$BB$621,HLOOKUP(INDIRECT(ADDRESS(2,COLUMN())),OFFSET($BN$2,0,0,ROW()-1,60),ROW()-1,FALSE))</f>
        <v>30.45740893</v>
      </c>
      <c r="BC170">
        <f ca="1">IF(AND(ISNUMBER($BC$621),$B$419=1),$BC$621,HLOOKUP(INDIRECT(ADDRESS(2,COLUMN())),OFFSET($BN$2,0,0,ROW()-1,60),ROW()-1,FALSE))</f>
        <v>-14.643154300000001</v>
      </c>
      <c r="BD170">
        <f ca="1">IF(AND(ISNUMBER($BD$621),$B$419=1),$BD$621,HLOOKUP(INDIRECT(ADDRESS(2,COLUMN())),OFFSET($BN$2,0,0,ROW()-1,60),ROW()-1,FALSE))</f>
        <v>-7.0392287419999997</v>
      </c>
      <c r="BE170">
        <f ca="1">IF(AND(ISNUMBER($BE$621),$B$419=1),$BE$621,HLOOKUP(INDIRECT(ADDRESS(2,COLUMN())),OFFSET($BN$2,0,0,ROW()-1,60),ROW()-1,FALSE))</f>
        <v>-13.343160449999999</v>
      </c>
      <c r="BF170">
        <f ca="1">IF(AND(ISNUMBER($BF$621),$B$419=1),$BF$621,HLOOKUP(INDIRECT(ADDRESS(2,COLUMN())),OFFSET($BN$2,0,0,ROW()-1,60),ROW()-1,FALSE))</f>
        <v>-17.575347099999998</v>
      </c>
      <c r="BG170">
        <f ca="1">IF(AND(ISNUMBER($BG$621),$B$419=1),$BG$621,HLOOKUP(INDIRECT(ADDRESS(2,COLUMN())),OFFSET($BN$2,0,0,ROW()-1,60),ROW()-1,FALSE))</f>
        <v>20.545082900000001</v>
      </c>
      <c r="BH170">
        <f ca="1">IF(AND(ISNUMBER($BH$621),$B$419=1),$BH$621,HLOOKUP(INDIRECT(ADDRESS(2,COLUMN())),OFFSET($BN$2,0,0,ROW()-1,60),ROW()-1,FALSE))</f>
        <v>17.38154785</v>
      </c>
      <c r="BI170">
        <f ca="1">IF(AND(ISNUMBER($BI$621),$B$419=1),$BI$621,HLOOKUP(INDIRECT(ADDRESS(2,COLUMN())),OFFSET($BN$2,0,0,ROW()-1,60),ROW()-1,FALSE))</f>
        <v>26.303724930000001</v>
      </c>
      <c r="BJ170">
        <f ca="1">IF(AND(ISNUMBER($BJ$621),$B$419=1),$BJ$621,HLOOKUP(INDIRECT(ADDRESS(2,COLUMN())),OFFSET($BN$2,0,0,ROW()-1,60),ROW()-1,FALSE))</f>
        <v>18.430551220000002</v>
      </c>
      <c r="BK170">
        <f ca="1">IF(AND(ISNUMBER($BK$621),$B$419=1),$BK$621,HLOOKUP(INDIRECT(ADDRESS(2,COLUMN())),OFFSET($BN$2,0,0,ROW()-1,60),ROW()-1,FALSE))</f>
        <v>31.221314899999999</v>
      </c>
      <c r="BL170">
        <f ca="1">IF(AND(ISNUMBER($BL$621),$B$419=1),$BL$621,HLOOKUP(INDIRECT(ADDRESS(2,COLUMN())),OFFSET($BN$2,0,0,ROW()-1,60),ROW()-1,FALSE))</f>
        <v>18.994450820000001</v>
      </c>
      <c r="BM170">
        <f ca="1">IF(AND(ISNUMBER($BM$621),$B$419=1),$BM$621,HLOOKUP(INDIRECT(ADDRESS(2,COLUMN())),OFFSET($BN$2,0,0,ROW()-1,60),ROW()-1,FALSE))</f>
        <v>21.567482640000001</v>
      </c>
      <c r="BN170" t="str">
        <f>""</f>
        <v/>
      </c>
      <c r="BO170">
        <f>6.662491426</f>
        <v>6.6624914259999999</v>
      </c>
      <c r="BP170">
        <f>10.05157842</f>
        <v>10.05157842</v>
      </c>
      <c r="BQ170">
        <f>11.58282973</f>
        <v>11.58282973</v>
      </c>
      <c r="BR170">
        <f>11.83903673</f>
        <v>11.83903673</v>
      </c>
      <c r="BS170">
        <f>11.68437531</f>
        <v>11.68437531</v>
      </c>
      <c r="BT170">
        <f>9.809273602</f>
        <v>9.8092736019999993</v>
      </c>
      <c r="BU170">
        <f>12.35055116</f>
        <v>12.35055116</v>
      </c>
      <c r="BV170">
        <f>9.515917221</f>
        <v>9.5159172210000005</v>
      </c>
      <c r="BW170">
        <f>10.07011594</f>
        <v>10.070115940000001</v>
      </c>
      <c r="BX170">
        <f>12.80284807</f>
        <v>12.80284807</v>
      </c>
      <c r="BY170">
        <f>12.12651481</f>
        <v>12.12651481</v>
      </c>
      <c r="BZ170">
        <f>12.62584534</f>
        <v>12.62584534</v>
      </c>
      <c r="CA170">
        <f>11.91289452</f>
        <v>11.91289452</v>
      </c>
      <c r="CB170">
        <f>9.709496263</f>
        <v>9.7094962630000001</v>
      </c>
      <c r="CC170">
        <f>9.904502951</f>
        <v>9.9045029509999996</v>
      </c>
      <c r="CD170">
        <f>12.68361647</f>
        <v>12.68361647</v>
      </c>
      <c r="CE170">
        <f>16.95037248</f>
        <v>16.950372479999999</v>
      </c>
      <c r="CF170">
        <f>20.10700747</f>
        <v>20.107007469999999</v>
      </c>
      <c r="CG170">
        <f>20.21205921</f>
        <v>20.21205921</v>
      </c>
      <c r="CH170">
        <f>23.02492965</f>
        <v>23.024929650000001</v>
      </c>
      <c r="CI170">
        <f>24.88913525</f>
        <v>24.889135249999999</v>
      </c>
      <c r="CJ170">
        <f>30.60606061</f>
        <v>30.60606061</v>
      </c>
      <c r="CK170">
        <f>34.55741691</f>
        <v>34.557416910000001</v>
      </c>
      <c r="CL170">
        <f>26.85022422</f>
        <v>26.850224220000001</v>
      </c>
      <c r="CM170">
        <f>22.67823338</f>
        <v>22.678233380000002</v>
      </c>
      <c r="CN170">
        <f>17.83414634</f>
        <v>17.83414634</v>
      </c>
      <c r="CO170">
        <f>10.35850285</f>
        <v>10.358502850000001</v>
      </c>
      <c r="CP170">
        <f>10.92540639</f>
        <v>10.925406389999999</v>
      </c>
      <c r="CQ170">
        <f>5.356001781</f>
        <v>5.3560017809999998</v>
      </c>
      <c r="CR170">
        <f>0.929536413</f>
        <v>0.92953641300000001</v>
      </c>
      <c r="CS170">
        <f>-2.592635301</f>
        <v>-2.5926353010000001</v>
      </c>
      <c r="CT170">
        <f>-3.031063091</f>
        <v>-3.031063091</v>
      </c>
      <c r="CU170">
        <f>-1.051885346</f>
        <v>-1.0518853459999999</v>
      </c>
      <c r="CV170">
        <f>-5.499413768</f>
        <v>-5.4994137680000001</v>
      </c>
      <c r="CW170">
        <f>2.49783311</f>
        <v>2.4978331100000002</v>
      </c>
      <c r="CX170">
        <f>5.715101575</f>
        <v>5.7151015750000003</v>
      </c>
      <c r="CY170">
        <f>20.83159698</f>
        <v>20.83159698</v>
      </c>
      <c r="CZ170">
        <f>29.60202605</f>
        <v>29.602026049999999</v>
      </c>
      <c r="DA170">
        <f>26.42641483</f>
        <v>26.426414829999999</v>
      </c>
      <c r="DB170">
        <f>39.9640298</f>
        <v>39.964029799999999</v>
      </c>
      <c r="DC170">
        <f>35.19671321</f>
        <v>35.196713209999999</v>
      </c>
      <c r="DD170">
        <f>36.97634465</f>
        <v>36.976344650000001</v>
      </c>
      <c r="DE170">
        <f>40.95201608</f>
        <v>40.95201608</v>
      </c>
      <c r="DF170">
        <f>22.57330814</f>
        <v>22.573308140000002</v>
      </c>
      <c r="DG170">
        <f>41.04274217</f>
        <v>41.042742169999997</v>
      </c>
      <c r="DH170">
        <f>26.97906101</f>
        <v>26.979061009999999</v>
      </c>
      <c r="DI170">
        <f>24.29425018</f>
        <v>24.294250179999999</v>
      </c>
      <c r="DJ170">
        <f>30.45740893</f>
        <v>30.45740893</v>
      </c>
      <c r="DK170">
        <f>-14.6431543</f>
        <v>-14.643154300000001</v>
      </c>
      <c r="DL170">
        <f>-7.039228742</f>
        <v>-7.0392287419999997</v>
      </c>
      <c r="DM170">
        <f>-13.34316045</f>
        <v>-13.343160449999999</v>
      </c>
      <c r="DN170">
        <f>-17.5753471</f>
        <v>-17.575347099999998</v>
      </c>
      <c r="DO170">
        <f>20.5450829</f>
        <v>20.545082900000001</v>
      </c>
      <c r="DP170">
        <f>17.38154785</f>
        <v>17.38154785</v>
      </c>
      <c r="DQ170">
        <f>26.30372493</f>
        <v>26.303724930000001</v>
      </c>
      <c r="DR170">
        <f>18.43055122</f>
        <v>18.430551220000002</v>
      </c>
      <c r="DS170">
        <f>31.2213149</f>
        <v>31.221314899999999</v>
      </c>
      <c r="DT170">
        <f>18.99445082</f>
        <v>18.994450820000001</v>
      </c>
      <c r="DU170">
        <f>21.56748264</f>
        <v>21.567482640000001</v>
      </c>
    </row>
    <row r="171" spans="1:125">
      <c r="A171" t="str">
        <f>"    Realty Income Corp"</f>
        <v xml:space="preserve">    Realty Income Corp</v>
      </c>
      <c r="B171" t="str">
        <f>"O US Equity"</f>
        <v>O US Equity</v>
      </c>
      <c r="C171" t="str">
        <f t="shared" si="30"/>
        <v>RR551</v>
      </c>
      <c r="D171" t="str">
        <f t="shared" si="31"/>
        <v>NOI_GROWTH</v>
      </c>
      <c r="E171" t="str">
        <f t="shared" si="32"/>
        <v>动态</v>
      </c>
      <c r="F171" t="str">
        <f ca="1">IF(AND(ISNUMBER($F$622),$B$419=1),$F$622,HLOOKUP(INDIRECT(ADDRESS(2,COLUMN())),OFFSET($BN$2,0,0,ROW()-1,60),ROW()-1,FALSE))</f>
        <v/>
      </c>
      <c r="G171">
        <f ca="1">IF(AND(ISNUMBER($G$622),$B$419=1),$G$622,HLOOKUP(INDIRECT(ADDRESS(2,COLUMN())),OFFSET($BN$2,0,0,ROW()-1,60),ROW()-1,FALSE))</f>
        <v>9.0037744820000007</v>
      </c>
      <c r="H171">
        <f ca="1">IF(AND(ISNUMBER($H$622),$B$419=1),$H$622,HLOOKUP(INDIRECT(ADDRESS(2,COLUMN())),OFFSET($BN$2,0,0,ROW()-1,60),ROW()-1,FALSE))</f>
        <v>10.3159531</v>
      </c>
      <c r="I171">
        <f ca="1">IF(AND(ISNUMBER($I$622),$B$419=1),$I$622,HLOOKUP(INDIRECT(ADDRESS(2,COLUMN())),OFFSET($BN$2,0,0,ROW()-1,60),ROW()-1,FALSE))</f>
        <v>10.457042380000001</v>
      </c>
      <c r="J171">
        <f ca="1">IF(AND(ISNUMBER($J$622),$B$419=1),$J$622,HLOOKUP(INDIRECT(ADDRESS(2,COLUMN())),OFFSET($BN$2,0,0,ROW()-1,60),ROW()-1,FALSE))</f>
        <v>10.834885030000001</v>
      </c>
      <c r="K171">
        <f ca="1">IF(AND(ISNUMBER($K$622),$B$419=1),$K$622,HLOOKUP(INDIRECT(ADDRESS(2,COLUMN())),OFFSET($BN$2,0,0,ROW()-1,60),ROW()-1,FALSE))</f>
        <v>7.6295007899999998</v>
      </c>
      <c r="L171">
        <f ca="1">IF(AND(ISNUMBER($L$622),$B$419=1),$L$622,HLOOKUP(INDIRECT(ADDRESS(2,COLUMN())),OFFSET($BN$2,0,0,ROW()-1,60),ROW()-1,FALSE))</f>
        <v>6.9424255700000002</v>
      </c>
      <c r="M171">
        <f ca="1">IF(AND(ISNUMBER($M$622),$B$419=1),$M$622,HLOOKUP(INDIRECT(ADDRESS(2,COLUMN())),OFFSET($BN$2,0,0,ROW()-1,60),ROW()-1,FALSE))</f>
        <v>7.7261330279999996</v>
      </c>
      <c r="N171">
        <f ca="1">IF(AND(ISNUMBER($N$622),$B$419=1),$N$622,HLOOKUP(INDIRECT(ADDRESS(2,COLUMN())),OFFSET($BN$2,0,0,ROW()-1,60),ROW()-1,FALSE))</f>
        <v>8.5206547560000008</v>
      </c>
      <c r="O171">
        <f ca="1">IF(AND(ISNUMBER($O$622),$B$419=1),$O$622,HLOOKUP(INDIRECT(ADDRESS(2,COLUMN())),OFFSET($BN$2,0,0,ROW()-1,60),ROW()-1,FALSE))</f>
        <v>10.42501899</v>
      </c>
      <c r="P171">
        <f ca="1">IF(AND(ISNUMBER($P$622),$B$419=1),$P$622,HLOOKUP(INDIRECT(ADDRESS(2,COLUMN())),OFFSET($BN$2,0,0,ROW()-1,60),ROW()-1,FALSE))</f>
        <v>9.8436157719999997</v>
      </c>
      <c r="Q171">
        <f ca="1">IF(AND(ISNUMBER($Q$622),$B$419=1),$Q$622,HLOOKUP(INDIRECT(ADDRESS(2,COLUMN())),OFFSET($BN$2,0,0,ROW()-1,60),ROW()-1,FALSE))</f>
        <v>9.2657519159999993</v>
      </c>
      <c r="R171">
        <f ca="1">IF(AND(ISNUMBER($R$622),$B$419=1),$R$622,HLOOKUP(INDIRECT(ADDRESS(2,COLUMN())),OFFSET($BN$2,0,0,ROW()-1,60),ROW()-1,FALSE))</f>
        <v>10.066580310000001</v>
      </c>
      <c r="S171">
        <f ca="1">IF(AND(ISNUMBER($S$622),$B$419=1),$S$622,HLOOKUP(INDIRECT(ADDRESS(2,COLUMN())),OFFSET($BN$2,0,0,ROW()-1,60),ROW()-1,FALSE))</f>
        <v>12.53080531</v>
      </c>
      <c r="T171">
        <f ca="1">IF(AND(ISNUMBER($T$622),$B$419=1),$T$622,HLOOKUP(INDIRECT(ADDRESS(2,COLUMN())),OFFSET($BN$2,0,0,ROW()-1,60),ROW()-1,FALSE))</f>
        <v>15.81680757</v>
      </c>
      <c r="U171">
        <f ca="1">IF(AND(ISNUMBER($U$622),$B$419=1),$U$622,HLOOKUP(INDIRECT(ADDRESS(2,COLUMN())),OFFSET($BN$2,0,0,ROW()-1,60),ROW()-1,FALSE))</f>
        <v>23.238321460000002</v>
      </c>
      <c r="V171">
        <f ca="1">IF(AND(ISNUMBER($V$622),$B$419=1),$V$622,HLOOKUP(INDIRECT(ADDRESS(2,COLUMN())),OFFSET($BN$2,0,0,ROW()-1,60),ROW()-1,FALSE))</f>
        <v>27.834499220000001</v>
      </c>
      <c r="W171">
        <f ca="1">IF(AND(ISNUMBER($W$622),$B$419=1),$W$622,HLOOKUP(INDIRECT(ADDRESS(2,COLUMN())),OFFSET($BN$2,0,0,ROW()-1,60),ROW()-1,FALSE))</f>
        <v>59.44102479</v>
      </c>
      <c r="X171">
        <f ca="1">IF(AND(ISNUMBER($X$622),$B$419=1),$X$622,HLOOKUP(INDIRECT(ADDRESS(2,COLUMN())),OFFSET($BN$2,0,0,ROW()-1,60),ROW()-1,FALSE))</f>
        <v>66.552145960000004</v>
      </c>
      <c r="Y171">
        <f ca="1">IF(AND(ISNUMBER($Y$622),$B$419=1),$Y$622,HLOOKUP(INDIRECT(ADDRESS(2,COLUMN())),OFFSET($BN$2,0,0,ROW()-1,60),ROW()-1,FALSE))</f>
        <v>59.610767090000003</v>
      </c>
      <c r="Z171">
        <f ca="1">IF(AND(ISNUMBER($Z$622),$B$419=1),$Z$622,HLOOKUP(INDIRECT(ADDRESS(2,COLUMN())),OFFSET($BN$2,0,0,ROW()-1,60),ROW()-1,FALSE))</f>
        <v>49.459498809999999</v>
      </c>
      <c r="AA171">
        <f ca="1">IF(AND(ISNUMBER($AA$622),$B$419=1),$AA$622,HLOOKUP(INDIRECT(ADDRESS(2,COLUMN())),OFFSET($BN$2,0,0,ROW()-1,60),ROW()-1,FALSE))</f>
        <v>15.778515609999999</v>
      </c>
      <c r="AB171">
        <f ca="1">IF(AND(ISNUMBER($AB$622),$B$419=1),$AB$622,HLOOKUP(INDIRECT(ADDRESS(2,COLUMN())),OFFSET($BN$2,0,0,ROW()-1,60),ROW()-1,FALSE))</f>
        <v>10.73929961</v>
      </c>
      <c r="AC171">
        <f ca="1">IF(AND(ISNUMBER($AC$622),$B$419=1),$AC$622,HLOOKUP(INDIRECT(ADDRESS(2,COLUMN())),OFFSET($BN$2,0,0,ROW()-1,60),ROW()-1,FALSE))</f>
        <v>11.04406399</v>
      </c>
      <c r="AD171">
        <f ca="1">IF(AND(ISNUMBER($AD$622),$B$419=1),$AD$622,HLOOKUP(INDIRECT(ADDRESS(2,COLUMN())),OFFSET($BN$2,0,0,ROW()-1,60),ROW()-1,FALSE))</f>
        <v>15.148784579999999</v>
      </c>
      <c r="AE171">
        <f ca="1">IF(AND(ISNUMBER($AE$622),$B$419=1),$AE$622,HLOOKUP(INDIRECT(ADDRESS(2,COLUMN())),OFFSET($BN$2,0,0,ROW()-1,60),ROW()-1,FALSE))</f>
        <v>20.866914250000001</v>
      </c>
      <c r="AF171">
        <f ca="1">IF(AND(ISNUMBER($AF$622),$B$419=1),$AF$622,HLOOKUP(INDIRECT(ADDRESS(2,COLUMN())),OFFSET($BN$2,0,0,ROW()-1,60),ROW()-1,FALSE))</f>
        <v>22.442857650000001</v>
      </c>
      <c r="AG171">
        <f ca="1">IF(AND(ISNUMBER($AG$622),$B$419=1),$AG$622,HLOOKUP(INDIRECT(ADDRESS(2,COLUMN())),OFFSET($BN$2,0,0,ROW()-1,60),ROW()-1,FALSE))</f>
        <v>23.844282239999998</v>
      </c>
      <c r="AH171">
        <f ca="1">IF(AND(ISNUMBER($AH$622),$B$419=1),$AH$622,HLOOKUP(INDIRECT(ADDRESS(2,COLUMN())),OFFSET($BN$2,0,0,ROW()-1,60),ROW()-1,FALSE))</f>
        <v>18.49865286</v>
      </c>
      <c r="AI171">
        <f ca="1">IF(AND(ISNUMBER($AI$622),$B$419=1),$AI$622,HLOOKUP(INDIRECT(ADDRESS(2,COLUMN())),OFFSET($BN$2,0,0,ROW()-1,60),ROW()-1,FALSE))</f>
        <v>13.004860689999999</v>
      </c>
      <c r="AJ171">
        <f ca="1">IF(AND(ISNUMBER($AJ$622),$B$419=1),$AJ$622,HLOOKUP(INDIRECT(ADDRESS(2,COLUMN())),OFFSET($BN$2,0,0,ROW()-1,60),ROW()-1,FALSE))</f>
        <v>6.8410336330000003</v>
      </c>
      <c r="AK171">
        <f ca="1">IF(AND(ISNUMBER($AK$622),$B$419=1),$AK$622,HLOOKUP(INDIRECT(ADDRESS(2,COLUMN())),OFFSET($BN$2,0,0,ROW()-1,60),ROW()-1,FALSE))</f>
        <v>1.417600403</v>
      </c>
      <c r="AL171">
        <f ca="1">IF(AND(ISNUMBER($AL$622),$B$419=1),$AL$622,HLOOKUP(INDIRECT(ADDRESS(2,COLUMN())),OFFSET($BN$2,0,0,ROW()-1,60),ROW()-1,FALSE))</f>
        <v>1.133880811</v>
      </c>
      <c r="AM171">
        <f ca="1">IF(AND(ISNUMBER($AM$622),$B$419=1),$AM$622,HLOOKUP(INDIRECT(ADDRESS(2,COLUMN())),OFFSET($BN$2,0,0,ROW()-1,60),ROW()-1,FALSE))</f>
        <v>-0.87915362799999996</v>
      </c>
      <c r="AN171">
        <f ca="1">IF(AND(ISNUMBER($AN$622),$B$419=1),$AN$622,HLOOKUP(INDIRECT(ADDRESS(2,COLUMN())),OFFSET($BN$2,0,0,ROW()-1,60),ROW()-1,FALSE))</f>
        <v>-0.81898754699999998</v>
      </c>
      <c r="AO171">
        <f ca="1">IF(AND(ISNUMBER($AO$622),$B$419=1),$AO$622,HLOOKUP(INDIRECT(ADDRESS(2,COLUMN())),OFFSET($BN$2,0,0,ROW()-1,60),ROW()-1,FALSE))</f>
        <v>-1.8122033230000001</v>
      </c>
      <c r="AP171">
        <f ca="1">IF(AND(ISNUMBER($AP$622),$B$419=1),$AP$622,HLOOKUP(INDIRECT(ADDRESS(2,COLUMN())),OFFSET($BN$2,0,0,ROW()-1,60),ROW()-1,FALSE))</f>
        <v>-0.48359887499999998</v>
      </c>
      <c r="AQ171">
        <f ca="1">IF(AND(ISNUMBER($AQ$622),$B$419=1),$AQ$622,HLOOKUP(INDIRECT(ADDRESS(2,COLUMN())),OFFSET($BN$2,0,0,ROW()-1,60),ROW()-1,FALSE))</f>
        <v>5.1798448400000003</v>
      </c>
      <c r="AR171">
        <f ca="1">IF(AND(ISNUMBER($AR$622),$B$419=1),$AR$622,HLOOKUP(INDIRECT(ADDRESS(2,COLUMN())),OFFSET($BN$2,0,0,ROW()-1,60),ROW()-1,FALSE))</f>
        <v>12.332321650000001</v>
      </c>
      <c r="AS171">
        <f ca="1">IF(AND(ISNUMBER($AS$622),$B$419=1),$AS$622,HLOOKUP(INDIRECT(ADDRESS(2,COLUMN())),OFFSET($BN$2,0,0,ROW()-1,60),ROW()-1,FALSE))</f>
        <v>16.979495870000001</v>
      </c>
      <c r="AT171">
        <f ca="1">IF(AND(ISNUMBER($AT$622),$B$419=1),$AT$622,HLOOKUP(INDIRECT(ADDRESS(2,COLUMN())),OFFSET($BN$2,0,0,ROW()-1,60),ROW()-1,FALSE))</f>
        <v>17.137754879999999</v>
      </c>
      <c r="AU171">
        <f ca="1">IF(AND(ISNUMBER($AU$622),$B$419=1),$AU$622,HLOOKUP(INDIRECT(ADDRESS(2,COLUMN())),OFFSET($BN$2,0,0,ROW()-1,60),ROW()-1,FALSE))</f>
        <v>14.542598549999999</v>
      </c>
      <c r="AV171">
        <f ca="1">IF(AND(ISNUMBER($AV$622),$B$419=1),$AV$622,HLOOKUP(INDIRECT(ADDRESS(2,COLUMN())),OFFSET($BN$2,0,0,ROW()-1,60),ROW()-1,FALSE))</f>
        <v>22.847994700000001</v>
      </c>
      <c r="AW171">
        <f ca="1">IF(AND(ISNUMBER($AW$622),$B$419=1),$AW$622,HLOOKUP(INDIRECT(ADDRESS(2,COLUMN())),OFFSET($BN$2,0,0,ROW()-1,60),ROW()-1,FALSE))</f>
        <v>25.691127269999999</v>
      </c>
      <c r="AX171">
        <f ca="1">IF(AND(ISNUMBER($AX$622),$B$419=1),$AX$622,HLOOKUP(INDIRECT(ADDRESS(2,COLUMN())),OFFSET($BN$2,0,0,ROW()-1,60),ROW()-1,FALSE))</f>
        <v>26.111275200000001</v>
      </c>
      <c r="AY171">
        <f ca="1">IF(AND(ISNUMBER($AY$622),$B$419=1),$AY$622,HLOOKUP(INDIRECT(ADDRESS(2,COLUMN())),OFFSET($BN$2,0,0,ROW()-1,60),ROW()-1,FALSE))</f>
        <v>27.46219705</v>
      </c>
      <c r="AZ171">
        <f ca="1">IF(AND(ISNUMBER($AZ$622),$B$419=1),$AZ$622,HLOOKUP(INDIRECT(ADDRESS(2,COLUMN())),OFFSET($BN$2,0,0,ROW()-1,60),ROW()-1,FALSE))</f>
        <v>21.744959340000001</v>
      </c>
      <c r="BA171">
        <f ca="1">IF(AND(ISNUMBER($BA$622),$B$419=1),$BA$622,HLOOKUP(INDIRECT(ADDRESS(2,COLUMN())),OFFSET($BN$2,0,0,ROW()-1,60),ROW()-1,FALSE))</f>
        <v>19.41959628</v>
      </c>
      <c r="BB171">
        <f ca="1">IF(AND(ISNUMBER($BB$622),$B$419=1),$BB$622,HLOOKUP(INDIRECT(ADDRESS(2,COLUMN())),OFFSET($BN$2,0,0,ROW()-1,60),ROW()-1,FALSE))</f>
        <v>18.613565300000001</v>
      </c>
      <c r="BC171">
        <f ca="1">IF(AND(ISNUMBER($BC$622),$B$419=1),$BC$622,HLOOKUP(INDIRECT(ADDRESS(2,COLUMN())),OFFSET($BN$2,0,0,ROW()-1,60),ROW()-1,FALSE))</f>
        <v>24.384516860000002</v>
      </c>
      <c r="BD171">
        <f ca="1">IF(AND(ISNUMBER($BD$622),$B$419=1),$BD$622,HLOOKUP(INDIRECT(ADDRESS(2,COLUMN())),OFFSET($BN$2,0,0,ROW()-1,60),ROW()-1,FALSE))</f>
        <v>11.354942810000001</v>
      </c>
      <c r="BE171">
        <f ca="1">IF(AND(ISNUMBER($BE$622),$B$419=1),$BE$622,HLOOKUP(INDIRECT(ADDRESS(2,COLUMN())),OFFSET($BN$2,0,0,ROW()-1,60),ROW()-1,FALSE))</f>
        <v>7.6800865119999999</v>
      </c>
      <c r="BF171">
        <f ca="1">IF(AND(ISNUMBER($BF$622),$B$419=1),$BF$622,HLOOKUP(INDIRECT(ADDRESS(2,COLUMN())),OFFSET($BN$2,0,0,ROW()-1,60),ROW()-1,FALSE))</f>
        <v>10.95427903</v>
      </c>
      <c r="BG171">
        <f ca="1">IF(AND(ISNUMBER($BG$622),$B$419=1),$BG$622,HLOOKUP(INDIRECT(ADDRESS(2,COLUMN())),OFFSET($BN$2,0,0,ROW()-1,60),ROW()-1,FALSE))</f>
        <v>8.0467469479999991</v>
      </c>
      <c r="BH171">
        <f ca="1">IF(AND(ISNUMBER($BH$622),$B$419=1),$BH$622,HLOOKUP(INDIRECT(ADDRESS(2,COLUMN())),OFFSET($BN$2,0,0,ROW()-1,60),ROW()-1,FALSE))</f>
        <v>21.140215900000001</v>
      </c>
      <c r="BI171">
        <f ca="1">IF(AND(ISNUMBER($BI$622),$B$419=1),$BI$622,HLOOKUP(INDIRECT(ADDRESS(2,COLUMN())),OFFSET($BN$2,0,0,ROW()-1,60),ROW()-1,FALSE))</f>
        <v>22.84590261</v>
      </c>
      <c r="BJ171">
        <f ca="1">IF(AND(ISNUMBER($BJ$622),$B$419=1),$BJ$622,HLOOKUP(INDIRECT(ADDRESS(2,COLUMN())),OFFSET($BN$2,0,0,ROW()-1,60),ROW()-1,FALSE))</f>
        <v>21.029104879999998</v>
      </c>
      <c r="BK171">
        <f ca="1">IF(AND(ISNUMBER($BK$622),$B$419=1),$BK$622,HLOOKUP(INDIRECT(ADDRESS(2,COLUMN())),OFFSET($BN$2,0,0,ROW()-1,60),ROW()-1,FALSE))</f>
        <v>11.615795589999999</v>
      </c>
      <c r="BL171">
        <f ca="1">IF(AND(ISNUMBER($BL$622),$B$419=1),$BL$622,HLOOKUP(INDIRECT(ADDRESS(2,COLUMN())),OFFSET($BN$2,0,0,ROW()-1,60),ROW()-1,FALSE))</f>
        <v>7.4851163229999997</v>
      </c>
      <c r="BM171">
        <f ca="1">IF(AND(ISNUMBER($BM$622),$B$419=1),$BM$622,HLOOKUP(INDIRECT(ADDRESS(2,COLUMN())),OFFSET($BN$2,0,0,ROW()-1,60),ROW()-1,FALSE))</f>
        <v>10.634987450000001</v>
      </c>
      <c r="BN171" t="str">
        <f>""</f>
        <v/>
      </c>
      <c r="BO171">
        <f>9.003774482</f>
        <v>9.0037744820000007</v>
      </c>
      <c r="BP171">
        <f>10.3159531</f>
        <v>10.3159531</v>
      </c>
      <c r="BQ171">
        <f>10.45704238</f>
        <v>10.457042380000001</v>
      </c>
      <c r="BR171">
        <f>10.83488503</f>
        <v>10.834885030000001</v>
      </c>
      <c r="BS171">
        <f>7.62950079</f>
        <v>7.6295007899999998</v>
      </c>
      <c r="BT171">
        <f>6.94242557</f>
        <v>6.9424255700000002</v>
      </c>
      <c r="BU171">
        <f>7.726133028</f>
        <v>7.7261330279999996</v>
      </c>
      <c r="BV171">
        <f>8.520654756</f>
        <v>8.5206547560000008</v>
      </c>
      <c r="BW171">
        <f>10.42501899</f>
        <v>10.42501899</v>
      </c>
      <c r="BX171">
        <f>9.843615772</f>
        <v>9.8436157719999997</v>
      </c>
      <c r="BY171">
        <f>9.265751916</f>
        <v>9.2657519159999993</v>
      </c>
      <c r="BZ171">
        <f>10.06658031</f>
        <v>10.066580310000001</v>
      </c>
      <c r="CA171">
        <f>12.53080531</f>
        <v>12.53080531</v>
      </c>
      <c r="CB171">
        <f>15.81680757</f>
        <v>15.81680757</v>
      </c>
      <c r="CC171">
        <f>23.23832146</f>
        <v>23.238321460000002</v>
      </c>
      <c r="CD171">
        <f>27.83449922</f>
        <v>27.834499220000001</v>
      </c>
      <c r="CE171">
        <f>59.44102479</f>
        <v>59.44102479</v>
      </c>
      <c r="CF171">
        <f>66.55214596</f>
        <v>66.552145960000004</v>
      </c>
      <c r="CG171">
        <f>59.61076709</f>
        <v>59.610767090000003</v>
      </c>
      <c r="CH171">
        <f>49.45949881</f>
        <v>49.459498809999999</v>
      </c>
      <c r="CI171">
        <f>15.77851561</f>
        <v>15.778515609999999</v>
      </c>
      <c r="CJ171">
        <f>10.73929961</f>
        <v>10.73929961</v>
      </c>
      <c r="CK171">
        <f>11.04406399</f>
        <v>11.04406399</v>
      </c>
      <c r="CL171">
        <f>15.14878458</f>
        <v>15.148784579999999</v>
      </c>
      <c r="CM171">
        <f>20.86691425</f>
        <v>20.866914250000001</v>
      </c>
      <c r="CN171">
        <f>22.44285765</f>
        <v>22.442857650000001</v>
      </c>
      <c r="CO171">
        <f>23.84428224</f>
        <v>23.844282239999998</v>
      </c>
      <c r="CP171">
        <f>18.49865286</f>
        <v>18.49865286</v>
      </c>
      <c r="CQ171">
        <f>13.00486069</f>
        <v>13.004860689999999</v>
      </c>
      <c r="CR171">
        <f>6.841033633</f>
        <v>6.8410336330000003</v>
      </c>
      <c r="CS171">
        <f>1.417600403</f>
        <v>1.417600403</v>
      </c>
      <c r="CT171">
        <f>1.133880811</f>
        <v>1.133880811</v>
      </c>
      <c r="CU171">
        <f>-0.879153628</f>
        <v>-0.87915362799999996</v>
      </c>
      <c r="CV171">
        <f>-0.818987547</f>
        <v>-0.81898754699999998</v>
      </c>
      <c r="CW171">
        <f>-1.812203323</f>
        <v>-1.8122033230000001</v>
      </c>
      <c r="CX171">
        <f>-0.483598875</f>
        <v>-0.48359887499999998</v>
      </c>
      <c r="CY171">
        <f>5.17984484</f>
        <v>5.1798448400000003</v>
      </c>
      <c r="CZ171">
        <f>12.33232165</f>
        <v>12.332321650000001</v>
      </c>
      <c r="DA171">
        <f>16.97949587</f>
        <v>16.979495870000001</v>
      </c>
      <c r="DB171">
        <f>17.13775488</f>
        <v>17.137754879999999</v>
      </c>
      <c r="DC171">
        <f>14.54259855</f>
        <v>14.542598549999999</v>
      </c>
      <c r="DD171">
        <f>22.8479947</f>
        <v>22.847994700000001</v>
      </c>
      <c r="DE171">
        <f>25.69112727</f>
        <v>25.691127269999999</v>
      </c>
      <c r="DF171">
        <f>26.1112752</f>
        <v>26.111275200000001</v>
      </c>
      <c r="DG171">
        <f>27.46219705</f>
        <v>27.46219705</v>
      </c>
      <c r="DH171">
        <f>21.74495934</f>
        <v>21.744959340000001</v>
      </c>
      <c r="DI171">
        <f>19.41959628</f>
        <v>19.41959628</v>
      </c>
      <c r="DJ171">
        <f>18.6135653</f>
        <v>18.613565300000001</v>
      </c>
      <c r="DK171">
        <f>24.38451686</f>
        <v>24.384516860000002</v>
      </c>
      <c r="DL171">
        <f>11.35494281</f>
        <v>11.354942810000001</v>
      </c>
      <c r="DM171">
        <f>7.680086512</f>
        <v>7.6800865119999999</v>
      </c>
      <c r="DN171">
        <f>10.95427903</f>
        <v>10.95427903</v>
      </c>
      <c r="DO171">
        <f>8.046746948</f>
        <v>8.0467469479999991</v>
      </c>
      <c r="DP171">
        <f>21.1402159</f>
        <v>21.140215900000001</v>
      </c>
      <c r="DQ171">
        <f>22.84590261</f>
        <v>22.84590261</v>
      </c>
      <c r="DR171">
        <f>21.02910488</f>
        <v>21.029104879999998</v>
      </c>
      <c r="DS171">
        <f>11.61579559</f>
        <v>11.615795589999999</v>
      </c>
      <c r="DT171">
        <f>7.485116323</f>
        <v>7.4851163229999997</v>
      </c>
      <c r="DU171">
        <f>10.63498745</f>
        <v>10.634987450000001</v>
      </c>
    </row>
    <row r="172" spans="1:125">
      <c r="A172" t="str">
        <f>"    Regency Centers Corp"</f>
        <v xml:space="preserve">    Regency Centers Corp</v>
      </c>
      <c r="B172" t="str">
        <f>"REG US Equity"</f>
        <v>REG US Equity</v>
      </c>
      <c r="C172" t="str">
        <f t="shared" si="30"/>
        <v>RR551</v>
      </c>
      <c r="D172" t="str">
        <f t="shared" si="31"/>
        <v>NOI_GROWTH</v>
      </c>
      <c r="E172" t="str">
        <f t="shared" si="32"/>
        <v>动态</v>
      </c>
      <c r="F172" t="str">
        <f ca="1">IF(AND(ISNUMBER($F$623),$B$419=1),$F$623,HLOOKUP(INDIRECT(ADDRESS(2,COLUMN())),OFFSET($BN$2,0,0,ROW()-1,60),ROW()-1,FALSE))</f>
        <v/>
      </c>
      <c r="G172">
        <f ca="1">IF(AND(ISNUMBER($G$623),$B$419=1),$G$623,HLOOKUP(INDIRECT(ADDRESS(2,COLUMN())),OFFSET($BN$2,0,0,ROW()-1,60),ROW()-1,FALSE))</f>
        <v>65.434880579999998</v>
      </c>
      <c r="H172">
        <f ca="1">IF(AND(ISNUMBER($H$623),$B$419=1),$H$623,HLOOKUP(INDIRECT(ADDRESS(2,COLUMN())),OFFSET($BN$2,0,0,ROW()-1,60),ROW()-1,FALSE))</f>
        <v>73.412143819999997</v>
      </c>
      <c r="I172">
        <f ca="1">IF(AND(ISNUMBER($I$623),$B$419=1),$I$623,HLOOKUP(INDIRECT(ADDRESS(2,COLUMN())),OFFSET($BN$2,0,0,ROW()-1,60),ROW()-1,FALSE))</f>
        <v>75.397109009999994</v>
      </c>
      <c r="J172">
        <f ca="1">IF(AND(ISNUMBER($J$623),$B$419=1),$J$623,HLOOKUP(INDIRECT(ADDRESS(2,COLUMN())),OFFSET($BN$2,0,0,ROW()-1,60),ROW()-1,FALSE))</f>
        <v>30.470951540000002</v>
      </c>
      <c r="K172">
        <f ca="1">IF(AND(ISNUMBER($K$623),$B$419=1),$K$623,HLOOKUP(INDIRECT(ADDRESS(2,COLUMN())),OFFSET($BN$2,0,0,ROW()-1,60),ROW()-1,FALSE))</f>
        <v>7.6051054489999999</v>
      </c>
      <c r="L172">
        <f ca="1">IF(AND(ISNUMBER($L$623),$B$419=1),$L$623,HLOOKUP(INDIRECT(ADDRESS(2,COLUMN())),OFFSET($BN$2,0,0,ROW()-1,60),ROW()-1,FALSE))</f>
        <v>5.7160065119999999</v>
      </c>
      <c r="M172">
        <f ca="1">IF(AND(ISNUMBER($M$623),$B$419=1),$M$623,HLOOKUP(INDIRECT(ADDRESS(2,COLUMN())),OFFSET($BN$2,0,0,ROW()-1,60),ROW()-1,FALSE))</f>
        <v>6.3233184839999996</v>
      </c>
      <c r="N172">
        <f ca="1">IF(AND(ISNUMBER($N$623),$B$419=1),$N$623,HLOOKUP(INDIRECT(ADDRESS(2,COLUMN())),OFFSET($BN$2,0,0,ROW()-1,60),ROW()-1,FALSE))</f>
        <v>6.7024669540000001</v>
      </c>
      <c r="O172">
        <f ca="1">IF(AND(ISNUMBER($O$623),$B$419=1),$O$623,HLOOKUP(INDIRECT(ADDRESS(2,COLUMN())),OFFSET($BN$2,0,0,ROW()-1,60),ROW()-1,FALSE))</f>
        <v>7.1236045360000002</v>
      </c>
      <c r="P172">
        <f ca="1">IF(AND(ISNUMBER($P$623),$B$419=1),$P$623,HLOOKUP(INDIRECT(ADDRESS(2,COLUMN())),OFFSET($BN$2,0,0,ROW()-1,60),ROW()-1,FALSE))</f>
        <v>5.6523295349999998</v>
      </c>
      <c r="Q172">
        <f ca="1">IF(AND(ISNUMBER($Q$623),$B$419=1),$Q$623,HLOOKUP(INDIRECT(ADDRESS(2,COLUMN())),OFFSET($BN$2,0,0,ROW()-1,60),ROW()-1,FALSE))</f>
        <v>4.7574032800000001</v>
      </c>
      <c r="R172">
        <f ca="1">IF(AND(ISNUMBER($R$623),$B$419=1),$R$623,HLOOKUP(INDIRECT(ADDRESS(2,COLUMN())),OFFSET($BN$2,0,0,ROW()-1,60),ROW()-1,FALSE))</f>
        <v>6.2464276969999997</v>
      </c>
      <c r="S172">
        <f ca="1">IF(AND(ISNUMBER($S$623),$B$419=1),$S$623,HLOOKUP(INDIRECT(ADDRESS(2,COLUMN())),OFFSET($BN$2,0,0,ROW()-1,60),ROW()-1,FALSE))</f>
        <v>9.7147097089999992</v>
      </c>
      <c r="T172">
        <f ca="1">IF(AND(ISNUMBER($T$623),$B$419=1),$T$623,HLOOKUP(INDIRECT(ADDRESS(2,COLUMN())),OFFSET($BN$2,0,0,ROW()-1,60),ROW()-1,FALSE))</f>
        <v>11.51914313</v>
      </c>
      <c r="U172">
        <f ca="1">IF(AND(ISNUMBER($U$623),$B$419=1),$U$623,HLOOKUP(INDIRECT(ADDRESS(2,COLUMN())),OFFSET($BN$2,0,0,ROW()-1,60),ROW()-1,FALSE))</f>
        <v>10.343010230000001</v>
      </c>
      <c r="V172">
        <f ca="1">IF(AND(ISNUMBER($V$623),$B$419=1),$V$623,HLOOKUP(INDIRECT(ADDRESS(2,COLUMN())),OFFSET($BN$2,0,0,ROW()-1,60),ROW()-1,FALSE))</f>
        <v>8.8549652250000008</v>
      </c>
      <c r="W172">
        <f ca="1">IF(AND(ISNUMBER($W$623),$B$419=1),$W$623,HLOOKUP(INDIRECT(ADDRESS(2,COLUMN())),OFFSET($BN$2,0,0,ROW()-1,60),ROW()-1,FALSE))</f>
        <v>6.4638739740000002</v>
      </c>
      <c r="X172">
        <f ca="1">IF(AND(ISNUMBER($X$623),$B$419=1),$X$623,HLOOKUP(INDIRECT(ADDRESS(2,COLUMN())),OFFSET($BN$2,0,0,ROW()-1,60),ROW()-1,FALSE))</f>
        <v>3.7883931550000001</v>
      </c>
      <c r="Y172">
        <f ca="1">IF(AND(ISNUMBER($Y$623),$B$419=1),$Y$623,HLOOKUP(INDIRECT(ADDRESS(2,COLUMN())),OFFSET($BN$2,0,0,ROW()-1,60),ROW()-1,FALSE))</f>
        <v>-4.677377152</v>
      </c>
      <c r="Z172">
        <f ca="1">IF(AND(ISNUMBER($Z$623),$B$419=1),$Z$623,HLOOKUP(INDIRECT(ADDRESS(2,COLUMN())),OFFSET($BN$2,0,0,ROW()-1,60),ROW()-1,FALSE))</f>
        <v>-2.8159889429999998</v>
      </c>
      <c r="AA172">
        <f ca="1">IF(AND(ISNUMBER($AA$623),$B$419=1),$AA$623,HLOOKUP(INDIRECT(ADDRESS(2,COLUMN())),OFFSET($BN$2,0,0,ROW()-1,60),ROW()-1,FALSE))</f>
        <v>-4.9470579910000003</v>
      </c>
      <c r="AB172">
        <f ca="1">IF(AND(ISNUMBER($AB$623),$B$419=1),$AB$623,HLOOKUP(INDIRECT(ADDRESS(2,COLUMN())),OFFSET($BN$2,0,0,ROW()-1,60),ROW()-1,FALSE))</f>
        <v>-5.6963948520000001</v>
      </c>
      <c r="AC172">
        <f ca="1">IF(AND(ISNUMBER($AC$623),$B$419=1),$AC$623,HLOOKUP(INDIRECT(ADDRESS(2,COLUMN())),OFFSET($BN$2,0,0,ROW()-1,60),ROW()-1,FALSE))</f>
        <v>1.970138422</v>
      </c>
      <c r="AD172">
        <f ca="1">IF(AND(ISNUMBER($AD$623),$B$419=1),$AD$623,HLOOKUP(INDIRECT(ADDRESS(2,COLUMN())),OFFSET($BN$2,0,0,ROW()-1,60),ROW()-1,FALSE))</f>
        <v>1.7881675400000001</v>
      </c>
      <c r="AE172">
        <f ca="1">IF(AND(ISNUMBER($AE$623),$B$419=1),$AE$623,HLOOKUP(INDIRECT(ADDRESS(2,COLUMN())),OFFSET($BN$2,0,0,ROW()-1,60),ROW()-1,FALSE))</f>
        <v>4.2013144950000001</v>
      </c>
      <c r="AF172">
        <f ca="1">IF(AND(ISNUMBER($AF$623),$B$419=1),$AF$623,HLOOKUP(INDIRECT(ADDRESS(2,COLUMN())),OFFSET($BN$2,0,0,ROW()-1,60),ROW()-1,FALSE))</f>
        <v>2.546239623</v>
      </c>
      <c r="AG172">
        <f ca="1">IF(AND(ISNUMBER($AG$623),$B$419=1),$AG$623,HLOOKUP(INDIRECT(ADDRESS(2,COLUMN())),OFFSET($BN$2,0,0,ROW()-1,60),ROW()-1,FALSE))</f>
        <v>4.5141212690000003</v>
      </c>
      <c r="AH172">
        <f ca="1">IF(AND(ISNUMBER($AH$623),$B$419=1),$AH$623,HLOOKUP(INDIRECT(ADDRESS(2,COLUMN())),OFFSET($BN$2,0,0,ROW()-1,60),ROW()-1,FALSE))</f>
        <v>-1.0871101350000001</v>
      </c>
      <c r="AI172">
        <f ca="1">IF(AND(ISNUMBER($AI$623),$B$419=1),$AI$623,HLOOKUP(INDIRECT(ADDRESS(2,COLUMN())),OFFSET($BN$2,0,0,ROW()-1,60),ROW()-1,FALSE))</f>
        <v>-3.6988622260000001</v>
      </c>
      <c r="AJ172">
        <f ca="1">IF(AND(ISNUMBER($AJ$623),$B$419=1),$AJ$623,HLOOKUP(INDIRECT(ADDRESS(2,COLUMN())),OFFSET($BN$2,0,0,ROW()-1,60),ROW()-1,FALSE))</f>
        <v>-11.64926356</v>
      </c>
      <c r="AK172">
        <f ca="1">IF(AND(ISNUMBER($AK$623),$B$419=1),$AK$623,HLOOKUP(INDIRECT(ADDRESS(2,COLUMN())),OFFSET($BN$2,0,0,ROW()-1,60),ROW()-1,FALSE))</f>
        <v>4.3763752580000004</v>
      </c>
      <c r="AL172">
        <f ca="1">IF(AND(ISNUMBER($AL$623),$B$419=1),$AL$623,HLOOKUP(INDIRECT(ADDRESS(2,COLUMN())),OFFSET($BN$2,0,0,ROW()-1,60),ROW()-1,FALSE))</f>
        <v>2.466220356</v>
      </c>
      <c r="AM172">
        <f ca="1">IF(AND(ISNUMBER($AM$623),$B$419=1),$AM$623,HLOOKUP(INDIRECT(ADDRESS(2,COLUMN())),OFFSET($BN$2,0,0,ROW()-1,60),ROW()-1,FALSE))</f>
        <v>-19.115704470000001</v>
      </c>
      <c r="AN172">
        <f ca="1">IF(AND(ISNUMBER($AN$623),$B$419=1),$AN$623,HLOOKUP(INDIRECT(ADDRESS(2,COLUMN())),OFFSET($BN$2,0,0,ROW()-1,60),ROW()-1,FALSE))</f>
        <v>8.4447572130000008</v>
      </c>
      <c r="AO172">
        <f ca="1">IF(AND(ISNUMBER($AO$623),$B$419=1),$AO$623,HLOOKUP(INDIRECT(ADDRESS(2,COLUMN())),OFFSET($BN$2,0,0,ROW()-1,60),ROW()-1,FALSE))</f>
        <v>-8.9354438569999992</v>
      </c>
      <c r="AP172">
        <f ca="1">IF(AND(ISNUMBER($AP$623),$B$419=1),$AP$623,HLOOKUP(INDIRECT(ADDRESS(2,COLUMN())),OFFSET($BN$2,0,0,ROW()-1,60),ROW()-1,FALSE))</f>
        <v>1.3834304559999999</v>
      </c>
      <c r="AQ172">
        <f ca="1">IF(AND(ISNUMBER($AQ$623),$B$419=1),$AQ$623,HLOOKUP(INDIRECT(ADDRESS(2,COLUMN())),OFFSET($BN$2,0,0,ROW()-1,60),ROW()-1,FALSE))</f>
        <v>34.998106499999999</v>
      </c>
      <c r="AR172">
        <f ca="1">IF(AND(ISNUMBER($AR$623),$B$419=1),$AR$623,HLOOKUP(INDIRECT(ADDRESS(2,COLUMN())),OFFSET($BN$2,0,0,ROW()-1,60),ROW()-1,FALSE))</f>
        <v>4.3283831140000002</v>
      </c>
      <c r="AS172">
        <f ca="1">IF(AND(ISNUMBER($AS$623),$B$419=1),$AS$623,HLOOKUP(INDIRECT(ADDRESS(2,COLUMN())),OFFSET($BN$2,0,0,ROW()-1,60),ROW()-1,FALSE))</f>
        <v>13.479793539999999</v>
      </c>
      <c r="AT172">
        <f ca="1">IF(AND(ISNUMBER($AT$623),$B$419=1),$AT$623,HLOOKUP(INDIRECT(ADDRESS(2,COLUMN())),OFFSET($BN$2,0,0,ROW()-1,60),ROW()-1,FALSE))</f>
        <v>7.8945765149999998</v>
      </c>
      <c r="AU172">
        <f ca="1">IF(AND(ISNUMBER($AU$623),$B$419=1),$AU$623,HLOOKUP(INDIRECT(ADDRESS(2,COLUMN())),OFFSET($BN$2,0,0,ROW()-1,60),ROW()-1,FALSE))</f>
        <v>1.135979933</v>
      </c>
      <c r="AV172">
        <f ca="1">IF(AND(ISNUMBER($AV$623),$B$419=1),$AV$623,HLOOKUP(INDIRECT(ADDRESS(2,COLUMN())),OFFSET($BN$2,0,0,ROW()-1,60),ROW()-1,FALSE))</f>
        <v>12.63484983</v>
      </c>
      <c r="AW172">
        <f ca="1">IF(AND(ISNUMBER($AW$623),$B$419=1),$AW$623,HLOOKUP(INDIRECT(ADDRESS(2,COLUMN())),OFFSET($BN$2,0,0,ROW()-1,60),ROW()-1,FALSE))</f>
        <v>0.81264327400000003</v>
      </c>
      <c r="AX172">
        <f ca="1">IF(AND(ISNUMBER($AX$623),$B$419=1),$AX$623,HLOOKUP(INDIRECT(ADDRESS(2,COLUMN())),OFFSET($BN$2,0,0,ROW()-1,60),ROW()-1,FALSE))</f>
        <v>5.2045276830000002</v>
      </c>
      <c r="AY172">
        <f ca="1">IF(AND(ISNUMBER($AY$623),$B$419=1),$AY$623,HLOOKUP(INDIRECT(ADDRESS(2,COLUMN())),OFFSET($BN$2,0,0,ROW()-1,60),ROW()-1,FALSE))</f>
        <v>21.548451400000001</v>
      </c>
      <c r="AZ172">
        <f ca="1">IF(AND(ISNUMBER($AZ$623),$B$419=1),$AZ$623,HLOOKUP(INDIRECT(ADDRESS(2,COLUMN())),OFFSET($BN$2,0,0,ROW()-1,60),ROW()-1,FALSE))</f>
        <v>11.25034848</v>
      </c>
      <c r="BA172">
        <f ca="1">IF(AND(ISNUMBER($BA$623),$B$419=1),$BA$623,HLOOKUP(INDIRECT(ADDRESS(2,COLUMN())),OFFSET($BN$2,0,0,ROW()-1,60),ROW()-1,FALSE))</f>
        <v>-2.4872856300000001</v>
      </c>
      <c r="BB172">
        <f ca="1">IF(AND(ISNUMBER($BB$623),$B$419=1),$BB$623,HLOOKUP(INDIRECT(ADDRESS(2,COLUMN())),OFFSET($BN$2,0,0,ROW()-1,60),ROW()-1,FALSE))</f>
        <v>9.9198241490000001</v>
      </c>
      <c r="BC172">
        <f ca="1">IF(AND(ISNUMBER($BC$623),$B$419=1),$BC$623,HLOOKUP(INDIRECT(ADDRESS(2,COLUMN())),OFFSET($BN$2,0,0,ROW()-1,60),ROW()-1,FALSE))</f>
        <v>-7.5518998320000001</v>
      </c>
      <c r="BD172">
        <f ca="1">IF(AND(ISNUMBER($BD$623),$B$419=1),$BD$623,HLOOKUP(INDIRECT(ADDRESS(2,COLUMN())),OFFSET($BN$2,0,0,ROW()-1,60),ROW()-1,FALSE))</f>
        <v>3.795014251</v>
      </c>
      <c r="BE172">
        <f ca="1">IF(AND(ISNUMBER($BE$623),$B$419=1),$BE$623,HLOOKUP(INDIRECT(ADDRESS(2,COLUMN())),OFFSET($BN$2,0,0,ROW()-1,60),ROW()-1,FALSE))</f>
        <v>20.542909869999999</v>
      </c>
      <c r="BF172">
        <f ca="1">IF(AND(ISNUMBER($BF$623),$B$419=1),$BF$623,HLOOKUP(INDIRECT(ADDRESS(2,COLUMN())),OFFSET($BN$2,0,0,ROW()-1,60),ROW()-1,FALSE))</f>
        <v>6.1933263500000004</v>
      </c>
      <c r="BG172">
        <f ca="1">IF(AND(ISNUMBER($BG$623),$B$419=1),$BG$623,HLOOKUP(INDIRECT(ADDRESS(2,COLUMN())),OFFSET($BN$2,0,0,ROW()-1,60),ROW()-1,FALSE))</f>
        <v>9.2642747589999992</v>
      </c>
      <c r="BH172">
        <f ca="1">IF(AND(ISNUMBER($BH$623),$B$419=1),$BH$623,HLOOKUP(INDIRECT(ADDRESS(2,COLUMN())),OFFSET($BN$2,0,0,ROW()-1,60),ROW()-1,FALSE))</f>
        <v>4.4284321279999999</v>
      </c>
      <c r="BI172">
        <f ca="1">IF(AND(ISNUMBER($BI$623),$B$419=1),$BI$623,HLOOKUP(INDIRECT(ADDRESS(2,COLUMN())),OFFSET($BN$2,0,0,ROW()-1,60),ROW()-1,FALSE))</f>
        <v>6.2822878619999996</v>
      </c>
      <c r="BJ172">
        <f ca="1">IF(AND(ISNUMBER($BJ$623),$B$419=1),$BJ$623,HLOOKUP(INDIRECT(ADDRESS(2,COLUMN())),OFFSET($BN$2,0,0,ROW()-1,60),ROW()-1,FALSE))</f>
        <v>1.17173767</v>
      </c>
      <c r="BK172">
        <f ca="1">IF(AND(ISNUMBER($BK$623),$B$419=1),$BK$623,HLOOKUP(INDIRECT(ADDRESS(2,COLUMN())),OFFSET($BN$2,0,0,ROW()-1,60),ROW()-1,FALSE))</f>
        <v>1.7291505300000001</v>
      </c>
      <c r="BL172">
        <f ca="1">IF(AND(ISNUMBER($BL$623),$B$419=1),$BL$623,HLOOKUP(INDIRECT(ADDRESS(2,COLUMN())),OFFSET($BN$2,0,0,ROW()-1,60),ROW()-1,FALSE))</f>
        <v>-1.1145625910000001</v>
      </c>
      <c r="BM172">
        <f ca="1">IF(AND(ISNUMBER($BM$623),$B$419=1),$BM$623,HLOOKUP(INDIRECT(ADDRESS(2,COLUMN())),OFFSET($BN$2,0,0,ROW()-1,60),ROW()-1,FALSE))</f>
        <v>4.3712717950000002</v>
      </c>
      <c r="BN172" t="str">
        <f>""</f>
        <v/>
      </c>
      <c r="BO172">
        <f>65.43488058</f>
        <v>65.434880579999998</v>
      </c>
      <c r="BP172">
        <f>73.41214382</f>
        <v>73.412143819999997</v>
      </c>
      <c r="BQ172">
        <f>75.39710901</f>
        <v>75.397109009999994</v>
      </c>
      <c r="BR172">
        <f>30.47095154</f>
        <v>30.470951540000002</v>
      </c>
      <c r="BS172">
        <f>7.605105449</f>
        <v>7.6051054489999999</v>
      </c>
      <c r="BT172">
        <f>5.716006512</f>
        <v>5.7160065119999999</v>
      </c>
      <c r="BU172">
        <f>6.323318484</f>
        <v>6.3233184839999996</v>
      </c>
      <c r="BV172">
        <f>6.702466954</f>
        <v>6.7024669540000001</v>
      </c>
      <c r="BW172">
        <f>7.123604536</f>
        <v>7.1236045360000002</v>
      </c>
      <c r="BX172">
        <f>5.652329535</f>
        <v>5.6523295349999998</v>
      </c>
      <c r="BY172">
        <f>4.75740328</f>
        <v>4.7574032800000001</v>
      </c>
      <c r="BZ172">
        <f>6.246427697</f>
        <v>6.2464276969999997</v>
      </c>
      <c r="CA172">
        <f>9.714709709</f>
        <v>9.7147097089999992</v>
      </c>
      <c r="CB172">
        <f>11.51914313</f>
        <v>11.51914313</v>
      </c>
      <c r="CC172">
        <f>10.34301023</f>
        <v>10.343010230000001</v>
      </c>
      <c r="CD172">
        <f>8.854965225</f>
        <v>8.8549652250000008</v>
      </c>
      <c r="CE172">
        <f>6.463873974</f>
        <v>6.4638739740000002</v>
      </c>
      <c r="CF172">
        <f>3.788393155</f>
        <v>3.7883931550000001</v>
      </c>
      <c r="CG172">
        <f>-4.677377152</f>
        <v>-4.677377152</v>
      </c>
      <c r="CH172">
        <f>-2.815988943</f>
        <v>-2.8159889429999998</v>
      </c>
      <c r="CI172">
        <f>-4.947057991</f>
        <v>-4.9470579910000003</v>
      </c>
      <c r="CJ172">
        <f>-5.696394852</f>
        <v>-5.6963948520000001</v>
      </c>
      <c r="CK172">
        <f>1.970138422</f>
        <v>1.970138422</v>
      </c>
      <c r="CL172">
        <f>1.78816754</f>
        <v>1.7881675400000001</v>
      </c>
      <c r="CM172">
        <f>4.201314495</f>
        <v>4.2013144950000001</v>
      </c>
      <c r="CN172">
        <f>2.546239623</f>
        <v>2.546239623</v>
      </c>
      <c r="CO172">
        <f>4.514121269</f>
        <v>4.5141212690000003</v>
      </c>
      <c r="CP172">
        <f>-1.087110135</f>
        <v>-1.0871101350000001</v>
      </c>
      <c r="CQ172">
        <f>-3.698862226</f>
        <v>-3.6988622260000001</v>
      </c>
      <c r="CR172">
        <f>-11.64926356</f>
        <v>-11.64926356</v>
      </c>
      <c r="CS172">
        <f>4.376375258</f>
        <v>4.3763752580000004</v>
      </c>
      <c r="CT172">
        <f>2.466220356</f>
        <v>2.466220356</v>
      </c>
      <c r="CU172">
        <f>-19.11570447</f>
        <v>-19.115704470000001</v>
      </c>
      <c r="CV172">
        <f>8.444757213</f>
        <v>8.4447572130000008</v>
      </c>
      <c r="CW172">
        <f>-8.935443857</f>
        <v>-8.9354438569999992</v>
      </c>
      <c r="CX172">
        <f>1.383430456</f>
        <v>1.3834304559999999</v>
      </c>
      <c r="CY172">
        <f>34.9981065</f>
        <v>34.998106499999999</v>
      </c>
      <c r="CZ172">
        <f>4.328383114</f>
        <v>4.3283831140000002</v>
      </c>
      <c r="DA172">
        <f>13.47979354</f>
        <v>13.479793539999999</v>
      </c>
      <c r="DB172">
        <f>7.894576515</f>
        <v>7.8945765149999998</v>
      </c>
      <c r="DC172">
        <f>1.135979933</f>
        <v>1.135979933</v>
      </c>
      <c r="DD172">
        <f>12.63484983</f>
        <v>12.63484983</v>
      </c>
      <c r="DE172">
        <f>0.812643274</f>
        <v>0.81264327400000003</v>
      </c>
      <c r="DF172">
        <f>5.204527683</f>
        <v>5.2045276830000002</v>
      </c>
      <c r="DG172">
        <f>21.5484514</f>
        <v>21.548451400000001</v>
      </c>
      <c r="DH172">
        <f>11.25034848</f>
        <v>11.25034848</v>
      </c>
      <c r="DI172">
        <f>-2.48728563</f>
        <v>-2.4872856300000001</v>
      </c>
      <c r="DJ172">
        <f>9.919824149</f>
        <v>9.9198241490000001</v>
      </c>
      <c r="DK172">
        <f>-7.551899832</f>
        <v>-7.5518998320000001</v>
      </c>
      <c r="DL172">
        <f>3.795014251</f>
        <v>3.795014251</v>
      </c>
      <c r="DM172">
        <f>20.54290987</f>
        <v>20.542909869999999</v>
      </c>
      <c r="DN172">
        <f>6.19332635</f>
        <v>6.1933263500000004</v>
      </c>
      <c r="DO172">
        <f>9.264274759</f>
        <v>9.2642747589999992</v>
      </c>
      <c r="DP172">
        <f>4.428432128</f>
        <v>4.4284321279999999</v>
      </c>
      <c r="DQ172">
        <f>6.282287862</f>
        <v>6.2822878619999996</v>
      </c>
      <c r="DR172">
        <f>1.17173767</f>
        <v>1.17173767</v>
      </c>
      <c r="DS172">
        <f>1.72915053</f>
        <v>1.7291505300000001</v>
      </c>
      <c r="DT172">
        <f>-1.114562591</f>
        <v>-1.1145625910000001</v>
      </c>
      <c r="DU172">
        <f>4.371271795</f>
        <v>4.3712717950000002</v>
      </c>
    </row>
    <row r="173" spans="1:125">
      <c r="A173" t="str">
        <f>"    Retail Opportunity Investments"</f>
        <v xml:space="preserve">    Retail Opportunity Investments</v>
      </c>
      <c r="B173" t="str">
        <f>"ROIC US Equity"</f>
        <v>ROIC US Equity</v>
      </c>
      <c r="C173" t="str">
        <f t="shared" si="30"/>
        <v>RR551</v>
      </c>
      <c r="D173" t="str">
        <f t="shared" si="31"/>
        <v>NOI_GROWTH</v>
      </c>
      <c r="E173" t="str">
        <f t="shared" si="32"/>
        <v>动态</v>
      </c>
      <c r="F173" t="str">
        <f ca="1">IF(AND(ISNUMBER($F$624),$B$419=1),$F$624,HLOOKUP(INDIRECT(ADDRESS(2,COLUMN())),OFFSET($BN$2,0,0,ROW()-1,60),ROW()-1,FALSE))</f>
        <v/>
      </c>
      <c r="G173">
        <f ca="1">IF(AND(ISNUMBER($G$624),$B$419=1),$G$624,HLOOKUP(INDIRECT(ADDRESS(2,COLUMN())),OFFSET($BN$2,0,0,ROW()-1,60),ROW()-1,FALSE))</f>
        <v>12.769849199999999</v>
      </c>
      <c r="H173">
        <f ca="1">IF(AND(ISNUMBER($H$624),$B$419=1),$H$624,HLOOKUP(INDIRECT(ADDRESS(2,COLUMN())),OFFSET($BN$2,0,0,ROW()-1,60),ROW()-1,FALSE))</f>
        <v>14.164756089999999</v>
      </c>
      <c r="I173">
        <f ca="1">IF(AND(ISNUMBER($I$624),$B$419=1),$I$624,HLOOKUP(INDIRECT(ADDRESS(2,COLUMN())),OFFSET($BN$2,0,0,ROW()-1,60),ROW()-1,FALSE))</f>
        <v>10.4214123</v>
      </c>
      <c r="J173">
        <f ca="1">IF(AND(ISNUMBER($J$624),$B$419=1),$J$624,HLOOKUP(INDIRECT(ADDRESS(2,COLUMN())),OFFSET($BN$2,0,0,ROW()-1,60),ROW()-1,FALSE))</f>
        <v>14.6257784</v>
      </c>
      <c r="K173">
        <f ca="1">IF(AND(ISNUMBER($K$624),$B$419=1),$K$624,HLOOKUP(INDIRECT(ADDRESS(2,COLUMN())),OFFSET($BN$2,0,0,ROW()-1,60),ROW()-1,FALSE))</f>
        <v>24.578045100000001</v>
      </c>
      <c r="L173">
        <f ca="1">IF(AND(ISNUMBER($L$624),$B$419=1),$L$624,HLOOKUP(INDIRECT(ADDRESS(2,COLUMN())),OFFSET($BN$2,0,0,ROW()-1,60),ROW()-1,FALSE))</f>
        <v>23.345933079999998</v>
      </c>
      <c r="M173">
        <f ca="1">IF(AND(ISNUMBER($M$624),$B$419=1),$M$624,HLOOKUP(INDIRECT(ADDRESS(2,COLUMN())),OFFSET($BN$2,0,0,ROW()-1,60),ROW()-1,FALSE))</f>
        <v>27.880217890000001</v>
      </c>
      <c r="N173">
        <f ca="1">IF(AND(ISNUMBER($N$624),$B$419=1),$N$624,HLOOKUP(INDIRECT(ADDRESS(2,COLUMN())),OFFSET($BN$2,0,0,ROW()-1,60),ROW()-1,FALSE))</f>
        <v>28.046578799999999</v>
      </c>
      <c r="O173">
        <f ca="1">IF(AND(ISNUMBER($O$624),$B$419=1),$O$624,HLOOKUP(INDIRECT(ADDRESS(2,COLUMN())),OFFSET($BN$2,0,0,ROW()-1,60),ROW()-1,FALSE))</f>
        <v>25.560257050000001</v>
      </c>
      <c r="P173">
        <f ca="1">IF(AND(ISNUMBER($P$624),$B$419=1),$P$624,HLOOKUP(INDIRECT(ADDRESS(2,COLUMN())),OFFSET($BN$2,0,0,ROW()-1,60),ROW()-1,FALSE))</f>
        <v>20.345422190000001</v>
      </c>
      <c r="Q173">
        <f ca="1">IF(AND(ISNUMBER($Q$624),$B$419=1),$Q$624,HLOOKUP(INDIRECT(ADDRESS(2,COLUMN())),OFFSET($BN$2,0,0,ROW()-1,60),ROW()-1,FALSE))</f>
        <v>28.273795440000001</v>
      </c>
      <c r="R173">
        <f ca="1">IF(AND(ISNUMBER($R$624),$B$419=1),$R$624,HLOOKUP(INDIRECT(ADDRESS(2,COLUMN())),OFFSET($BN$2,0,0,ROW()-1,60),ROW()-1,FALSE))</f>
        <v>31.354491920000001</v>
      </c>
      <c r="S173">
        <f ca="1">IF(AND(ISNUMBER($S$624),$B$419=1),$S$624,HLOOKUP(INDIRECT(ADDRESS(2,COLUMN())),OFFSET($BN$2,0,0,ROW()-1,60),ROW()-1,FALSE))</f>
        <v>30.427693510000001</v>
      </c>
      <c r="T173">
        <f ca="1">IF(AND(ISNUMBER($T$624),$B$419=1),$T$624,HLOOKUP(INDIRECT(ADDRESS(2,COLUMN())),OFFSET($BN$2,0,0,ROW()-1,60),ROW()-1,FALSE))</f>
        <v>62.545078119999999</v>
      </c>
      <c r="U173">
        <f ca="1">IF(AND(ISNUMBER($U$624),$B$419=1),$U$624,HLOOKUP(INDIRECT(ADDRESS(2,COLUMN())),OFFSET($BN$2,0,0,ROW()-1,60),ROW()-1,FALSE))</f>
        <v>42.572525980000002</v>
      </c>
      <c r="V173">
        <f ca="1">IF(AND(ISNUMBER($V$624),$B$419=1),$V$624,HLOOKUP(INDIRECT(ADDRESS(2,COLUMN())),OFFSET($BN$2,0,0,ROW()-1,60),ROW()-1,FALSE))</f>
        <v>42.892392559999998</v>
      </c>
      <c r="W173">
        <f ca="1">IF(AND(ISNUMBER($W$624),$B$419=1),$W$624,HLOOKUP(INDIRECT(ADDRESS(2,COLUMN())),OFFSET($BN$2,0,0,ROW()-1,60),ROW()-1,FALSE))</f>
        <v>47.592706319999998</v>
      </c>
      <c r="X173">
        <f ca="1">IF(AND(ISNUMBER($X$624),$B$419=1),$X$624,HLOOKUP(INDIRECT(ADDRESS(2,COLUMN())),OFFSET($BN$2,0,0,ROW()-1,60),ROW()-1,FALSE))</f>
        <v>31.8728029</v>
      </c>
      <c r="Y173">
        <f ca="1">IF(AND(ISNUMBER($Y$624),$B$419=1),$Y$624,HLOOKUP(INDIRECT(ADDRESS(2,COLUMN())),OFFSET($BN$2,0,0,ROW()-1,60),ROW()-1,FALSE))</f>
        <v>49.067721110000001</v>
      </c>
      <c r="Z173">
        <f ca="1">IF(AND(ISNUMBER($Z$624),$B$419=1),$Z$624,HLOOKUP(INDIRECT(ADDRESS(2,COLUMN())),OFFSET($BN$2,0,0,ROW()-1,60),ROW()-1,FALSE))</f>
        <v>49.081401759999999</v>
      </c>
      <c r="AA173">
        <f ca="1">IF(AND(ISNUMBER($AA$624),$B$419=1),$AA$624,HLOOKUP(INDIRECT(ADDRESS(2,COLUMN())),OFFSET($BN$2,0,0,ROW()-1,60),ROW()-1,FALSE))</f>
        <v>31.63856788</v>
      </c>
      <c r="AB173">
        <f ca="1">IF(AND(ISNUMBER($AB$624),$B$419=1),$AB$624,HLOOKUP(INDIRECT(ADDRESS(2,COLUMN())),OFFSET($BN$2,0,0,ROW()-1,60),ROW()-1,FALSE))</f>
        <v>43.162257940000003</v>
      </c>
      <c r="AC173">
        <f ca="1">IF(AND(ISNUMBER($AC$624),$B$419=1),$AC$624,HLOOKUP(INDIRECT(ADDRESS(2,COLUMN())),OFFSET($BN$2,0,0,ROW()-1,60),ROW()-1,FALSE))</f>
        <v>58.760278479999997</v>
      </c>
      <c r="AD173">
        <f ca="1">IF(AND(ISNUMBER($AD$624),$B$419=1),$AD$624,HLOOKUP(INDIRECT(ADDRESS(2,COLUMN())),OFFSET($BN$2,0,0,ROW()-1,60),ROW()-1,FALSE))</f>
        <v>71.174776210000005</v>
      </c>
      <c r="AE173">
        <f ca="1">IF(AND(ISNUMBER($AE$624),$B$419=1),$AE$624,HLOOKUP(INDIRECT(ADDRESS(2,COLUMN())),OFFSET($BN$2,0,0,ROW()-1,60),ROW()-1,FALSE))</f>
        <v>175.93597940000001</v>
      </c>
      <c r="AF173">
        <f ca="1">IF(AND(ISNUMBER($AF$624),$B$419=1),$AF$624,HLOOKUP(INDIRECT(ADDRESS(2,COLUMN())),OFFSET($BN$2,0,0,ROW()-1,60),ROW()-1,FALSE))</f>
        <v>187.0938132</v>
      </c>
      <c r="AG173">
        <f ca="1">IF(AND(ISNUMBER($AG$624),$B$419=1),$AG$624,HLOOKUP(INDIRECT(ADDRESS(2,COLUMN())),OFFSET($BN$2,0,0,ROW()-1,60),ROW()-1,FALSE))</f>
        <v>292.7526436</v>
      </c>
      <c r="AH173">
        <f ca="1">IF(AND(ISNUMBER($AH$624),$B$419=1),$AH$624,HLOOKUP(INDIRECT(ADDRESS(2,COLUMN())),OFFSET($BN$2,0,0,ROW()-1,60),ROW()-1,FALSE))</f>
        <v>574.68188759999998</v>
      </c>
      <c r="AI173" t="str">
        <f ca="1">IF(AND(ISNUMBER($AI$624),$B$419=1),$AI$624,HLOOKUP(INDIRECT(ADDRESS(2,COLUMN())),OFFSET($BN$2,0,0,ROW()-1,60),ROW()-1,FALSE))</f>
        <v/>
      </c>
      <c r="AJ173" t="str">
        <f ca="1">IF(AND(ISNUMBER($AJ$624),$B$419=1),$AJ$624,HLOOKUP(INDIRECT(ADDRESS(2,COLUMN())),OFFSET($BN$2,0,0,ROW()-1,60),ROW()-1,FALSE))</f>
        <v/>
      </c>
      <c r="AK173" t="str">
        <f ca="1">IF(AND(ISNUMBER($AK$624),$B$419=1),$AK$624,HLOOKUP(INDIRECT(ADDRESS(2,COLUMN())),OFFSET($BN$2,0,0,ROW()-1,60),ROW()-1,FALSE))</f>
        <v/>
      </c>
      <c r="AL173" t="str">
        <f ca="1">IF(AND(ISNUMBER($AL$624),$B$419=1),$AL$624,HLOOKUP(INDIRECT(ADDRESS(2,COLUMN())),OFFSET($BN$2,0,0,ROW()-1,60),ROW()-1,FALSE))</f>
        <v/>
      </c>
      <c r="AM173" t="str">
        <f ca="1">IF(AND(ISNUMBER($AM$624),$B$419=1),$AM$624,HLOOKUP(INDIRECT(ADDRESS(2,COLUMN())),OFFSET($BN$2,0,0,ROW()-1,60),ROW()-1,FALSE))</f>
        <v/>
      </c>
      <c r="AN173" t="str">
        <f ca="1">IF(AND(ISNUMBER($AN$624),$B$419=1),$AN$624,HLOOKUP(INDIRECT(ADDRESS(2,COLUMN())),OFFSET($BN$2,0,0,ROW()-1,60),ROW()-1,FALSE))</f>
        <v/>
      </c>
      <c r="AO173" t="str">
        <f ca="1">IF(AND(ISNUMBER($AO$624),$B$419=1),$AO$624,HLOOKUP(INDIRECT(ADDRESS(2,COLUMN())),OFFSET($BN$2,0,0,ROW()-1,60),ROW()-1,FALSE))</f>
        <v/>
      </c>
      <c r="AP173" t="str">
        <f ca="1">IF(AND(ISNUMBER($AP$624),$B$419=1),$AP$624,HLOOKUP(INDIRECT(ADDRESS(2,COLUMN())),OFFSET($BN$2,0,0,ROW()-1,60),ROW()-1,FALSE))</f>
        <v/>
      </c>
      <c r="AQ173" t="str">
        <f ca="1">IF(AND(ISNUMBER($AQ$624),$B$419=1),$AQ$624,HLOOKUP(INDIRECT(ADDRESS(2,COLUMN())),OFFSET($BN$2,0,0,ROW()-1,60),ROW()-1,FALSE))</f>
        <v/>
      </c>
      <c r="AR173" t="str">
        <f ca="1">IF(AND(ISNUMBER($AR$624),$B$419=1),$AR$624,HLOOKUP(INDIRECT(ADDRESS(2,COLUMN())),OFFSET($BN$2,0,0,ROW()-1,60),ROW()-1,FALSE))</f>
        <v/>
      </c>
      <c r="AS173" t="str">
        <f ca="1">IF(AND(ISNUMBER($AS$624),$B$419=1),$AS$624,HLOOKUP(INDIRECT(ADDRESS(2,COLUMN())),OFFSET($BN$2,0,0,ROW()-1,60),ROW()-1,FALSE))</f>
        <v/>
      </c>
      <c r="AT173" t="str">
        <f ca="1">IF(AND(ISNUMBER($AT$624),$B$419=1),$AT$624,HLOOKUP(INDIRECT(ADDRESS(2,COLUMN())),OFFSET($BN$2,0,0,ROW()-1,60),ROW()-1,FALSE))</f>
        <v/>
      </c>
      <c r="AU173" t="str">
        <f ca="1">IF(AND(ISNUMBER($AU$624),$B$419=1),$AU$624,HLOOKUP(INDIRECT(ADDRESS(2,COLUMN())),OFFSET($BN$2,0,0,ROW()-1,60),ROW()-1,FALSE))</f>
        <v/>
      </c>
      <c r="AV173" t="str">
        <f ca="1">IF(AND(ISNUMBER($AV$624),$B$419=1),$AV$624,HLOOKUP(INDIRECT(ADDRESS(2,COLUMN())),OFFSET($BN$2,0,0,ROW()-1,60),ROW()-1,FALSE))</f>
        <v/>
      </c>
      <c r="AW173" t="str">
        <f ca="1">IF(AND(ISNUMBER($AW$624),$B$419=1),$AW$624,HLOOKUP(INDIRECT(ADDRESS(2,COLUMN())),OFFSET($BN$2,0,0,ROW()-1,60),ROW()-1,FALSE))</f>
        <v/>
      </c>
      <c r="AX173" t="str">
        <f ca="1">IF(AND(ISNUMBER($AX$624),$B$419=1),$AX$624,HLOOKUP(INDIRECT(ADDRESS(2,COLUMN())),OFFSET($BN$2,0,0,ROW()-1,60),ROW()-1,FALSE))</f>
        <v/>
      </c>
      <c r="AY173" t="str">
        <f ca="1">IF(AND(ISNUMBER($AY$624),$B$419=1),$AY$624,HLOOKUP(INDIRECT(ADDRESS(2,COLUMN())),OFFSET($BN$2,0,0,ROW()-1,60),ROW()-1,FALSE))</f>
        <v/>
      </c>
      <c r="AZ173" t="str">
        <f ca="1">IF(AND(ISNUMBER($AZ$624),$B$419=1),$AZ$624,HLOOKUP(INDIRECT(ADDRESS(2,COLUMN())),OFFSET($BN$2,0,0,ROW()-1,60),ROW()-1,FALSE))</f>
        <v/>
      </c>
      <c r="BA173" t="str">
        <f ca="1">IF(AND(ISNUMBER($BA$624),$B$419=1),$BA$624,HLOOKUP(INDIRECT(ADDRESS(2,COLUMN())),OFFSET($BN$2,0,0,ROW()-1,60),ROW()-1,FALSE))</f>
        <v/>
      </c>
      <c r="BB173" t="str">
        <f ca="1">IF(AND(ISNUMBER($BB$624),$B$419=1),$BB$624,HLOOKUP(INDIRECT(ADDRESS(2,COLUMN())),OFFSET($BN$2,0,0,ROW()-1,60),ROW()-1,FALSE))</f>
        <v/>
      </c>
      <c r="BC173" t="str">
        <f ca="1">IF(AND(ISNUMBER($BC$624),$B$419=1),$BC$624,HLOOKUP(INDIRECT(ADDRESS(2,COLUMN())),OFFSET($BN$2,0,0,ROW()-1,60),ROW()-1,FALSE))</f>
        <v/>
      </c>
      <c r="BD173" t="str">
        <f ca="1">IF(AND(ISNUMBER($BD$624),$B$419=1),$BD$624,HLOOKUP(INDIRECT(ADDRESS(2,COLUMN())),OFFSET($BN$2,0,0,ROW()-1,60),ROW()-1,FALSE))</f>
        <v/>
      </c>
      <c r="BE173" t="str">
        <f ca="1">IF(AND(ISNUMBER($BE$624),$B$419=1),$BE$624,HLOOKUP(INDIRECT(ADDRESS(2,COLUMN())),OFFSET($BN$2,0,0,ROW()-1,60),ROW()-1,FALSE))</f>
        <v/>
      </c>
      <c r="BF173" t="str">
        <f ca="1">IF(AND(ISNUMBER($BF$624),$B$419=1),$BF$624,HLOOKUP(INDIRECT(ADDRESS(2,COLUMN())),OFFSET($BN$2,0,0,ROW()-1,60),ROW()-1,FALSE))</f>
        <v/>
      </c>
      <c r="BG173" t="str">
        <f ca="1">IF(AND(ISNUMBER($BG$624),$B$419=1),$BG$624,HLOOKUP(INDIRECT(ADDRESS(2,COLUMN())),OFFSET($BN$2,0,0,ROW()-1,60),ROW()-1,FALSE))</f>
        <v/>
      </c>
      <c r="BH173" t="str">
        <f ca="1">IF(AND(ISNUMBER($BH$624),$B$419=1),$BH$624,HLOOKUP(INDIRECT(ADDRESS(2,COLUMN())),OFFSET($BN$2,0,0,ROW()-1,60),ROW()-1,FALSE))</f>
        <v/>
      </c>
      <c r="BI173" t="str">
        <f ca="1">IF(AND(ISNUMBER($BI$624),$B$419=1),$BI$624,HLOOKUP(INDIRECT(ADDRESS(2,COLUMN())),OFFSET($BN$2,0,0,ROW()-1,60),ROW()-1,FALSE))</f>
        <v/>
      </c>
      <c r="BJ173" t="str">
        <f ca="1">IF(AND(ISNUMBER($BJ$624),$B$419=1),$BJ$624,HLOOKUP(INDIRECT(ADDRESS(2,COLUMN())),OFFSET($BN$2,0,0,ROW()-1,60),ROW()-1,FALSE))</f>
        <v/>
      </c>
      <c r="BK173" t="str">
        <f ca="1">IF(AND(ISNUMBER($BK$624),$B$419=1),$BK$624,HLOOKUP(INDIRECT(ADDRESS(2,COLUMN())),OFFSET($BN$2,0,0,ROW()-1,60),ROW()-1,FALSE))</f>
        <v/>
      </c>
      <c r="BL173" t="str">
        <f ca="1">IF(AND(ISNUMBER($BL$624),$B$419=1),$BL$624,HLOOKUP(INDIRECT(ADDRESS(2,COLUMN())),OFFSET($BN$2,0,0,ROW()-1,60),ROW()-1,FALSE))</f>
        <v/>
      </c>
      <c r="BM173" t="str">
        <f ca="1">IF(AND(ISNUMBER($BM$624),$B$419=1),$BM$624,HLOOKUP(INDIRECT(ADDRESS(2,COLUMN())),OFFSET($BN$2,0,0,ROW()-1,60),ROW()-1,FALSE))</f>
        <v/>
      </c>
      <c r="BN173" t="str">
        <f>""</f>
        <v/>
      </c>
      <c r="BO173">
        <f>12.7698492</f>
        <v>12.769849199999999</v>
      </c>
      <c r="BP173">
        <f>14.16475609</f>
        <v>14.164756089999999</v>
      </c>
      <c r="BQ173">
        <f>10.4214123</f>
        <v>10.4214123</v>
      </c>
      <c r="BR173">
        <f>14.6257784</f>
        <v>14.6257784</v>
      </c>
      <c r="BS173">
        <f>24.5780451</f>
        <v>24.578045100000001</v>
      </c>
      <c r="BT173">
        <f>23.34593308</f>
        <v>23.345933079999998</v>
      </c>
      <c r="BU173">
        <f>27.88021789</f>
        <v>27.880217890000001</v>
      </c>
      <c r="BV173">
        <f>28.0465788</f>
        <v>28.046578799999999</v>
      </c>
      <c r="BW173">
        <f>25.56025705</f>
        <v>25.560257050000001</v>
      </c>
      <c r="BX173">
        <f>20.34542219</f>
        <v>20.345422190000001</v>
      </c>
      <c r="BY173">
        <f>28.27379544</f>
        <v>28.273795440000001</v>
      </c>
      <c r="BZ173">
        <f>31.35449192</f>
        <v>31.354491920000001</v>
      </c>
      <c r="CA173">
        <f>30.42769351</f>
        <v>30.427693510000001</v>
      </c>
      <c r="CB173">
        <f>62.54507812</f>
        <v>62.545078119999999</v>
      </c>
      <c r="CC173">
        <f>42.57252598</f>
        <v>42.572525980000002</v>
      </c>
      <c r="CD173">
        <f>42.89239256</f>
        <v>42.892392559999998</v>
      </c>
      <c r="CE173">
        <f>47.59270632</f>
        <v>47.592706319999998</v>
      </c>
      <c r="CF173">
        <f>31.8728029</f>
        <v>31.8728029</v>
      </c>
      <c r="CG173">
        <f>49.06772111</f>
        <v>49.067721110000001</v>
      </c>
      <c r="CH173">
        <f>49.08140176</f>
        <v>49.081401759999999</v>
      </c>
      <c r="CI173">
        <f>31.63856788</f>
        <v>31.63856788</v>
      </c>
      <c r="CJ173">
        <f>43.16225794</f>
        <v>43.162257940000003</v>
      </c>
      <c r="CK173">
        <f>58.76027848</f>
        <v>58.760278479999997</v>
      </c>
      <c r="CL173">
        <f>71.17477621</f>
        <v>71.174776210000005</v>
      </c>
      <c r="CM173">
        <f>175.9359794</f>
        <v>175.93597940000001</v>
      </c>
      <c r="CN173">
        <f>187.0938132</f>
        <v>187.0938132</v>
      </c>
      <c r="CO173">
        <f>292.7526436</f>
        <v>292.7526436</v>
      </c>
      <c r="CP173">
        <f>574.6818876</f>
        <v>574.68188759999998</v>
      </c>
      <c r="CQ173" t="str">
        <f>""</f>
        <v/>
      </c>
      <c r="CR173" t="str">
        <f>""</f>
        <v/>
      </c>
      <c r="CS173" t="str">
        <f>""</f>
        <v/>
      </c>
      <c r="CT173" t="str">
        <f>""</f>
        <v/>
      </c>
      <c r="CU173" t="str">
        <f>""</f>
        <v/>
      </c>
      <c r="CV173" t="str">
        <f>""</f>
        <v/>
      </c>
      <c r="CW173" t="str">
        <f>""</f>
        <v/>
      </c>
      <c r="CX173" t="str">
        <f>""</f>
        <v/>
      </c>
      <c r="CY173" t="str">
        <f>""</f>
        <v/>
      </c>
      <c r="CZ173" t="str">
        <f>""</f>
        <v/>
      </c>
      <c r="DA173" t="str">
        <f>""</f>
        <v/>
      </c>
      <c r="DB173" t="str">
        <f>""</f>
        <v/>
      </c>
      <c r="DC173" t="str">
        <f>""</f>
        <v/>
      </c>
      <c r="DD173" t="str">
        <f>""</f>
        <v/>
      </c>
      <c r="DE173" t="str">
        <f>""</f>
        <v/>
      </c>
      <c r="DF173" t="str">
        <f>""</f>
        <v/>
      </c>
      <c r="DG173" t="str">
        <f>""</f>
        <v/>
      </c>
      <c r="DH173" t="str">
        <f>""</f>
        <v/>
      </c>
      <c r="DI173" t="str">
        <f>""</f>
        <v/>
      </c>
      <c r="DJ173" t="str">
        <f>""</f>
        <v/>
      </c>
      <c r="DK173" t="str">
        <f>""</f>
        <v/>
      </c>
      <c r="DL173" t="str">
        <f>""</f>
        <v/>
      </c>
      <c r="DM173" t="str">
        <f>""</f>
        <v/>
      </c>
      <c r="DN173" t="str">
        <f>""</f>
        <v/>
      </c>
      <c r="DO173" t="str">
        <f>""</f>
        <v/>
      </c>
      <c r="DP173" t="str">
        <f>""</f>
        <v/>
      </c>
      <c r="DQ173" t="str">
        <f>""</f>
        <v/>
      </c>
      <c r="DR173" t="str">
        <f>""</f>
        <v/>
      </c>
      <c r="DS173" t="str">
        <f>""</f>
        <v/>
      </c>
      <c r="DT173" t="str">
        <f>""</f>
        <v/>
      </c>
      <c r="DU173" t="str">
        <f>""</f>
        <v/>
      </c>
    </row>
    <row r="174" spans="1:125">
      <c r="A174" t="str">
        <f>"    Retail Properties of America I"</f>
        <v xml:space="preserve">    Retail Properties of America I</v>
      </c>
      <c r="B174" t="str">
        <f>"RPAI US Equity"</f>
        <v>RPAI US Equity</v>
      </c>
      <c r="C174" t="str">
        <f t="shared" si="30"/>
        <v>RR551</v>
      </c>
      <c r="D174" t="str">
        <f t="shared" si="31"/>
        <v>NOI_GROWTH</v>
      </c>
      <c r="E174" t="str">
        <f t="shared" si="32"/>
        <v>动态</v>
      </c>
      <c r="F174" t="str">
        <f ca="1">IF(AND(ISNUMBER($F$625),$B$419=1),$F$625,HLOOKUP(INDIRECT(ADDRESS(2,COLUMN())),OFFSET($BN$2,0,0,ROW()-1,60),ROW()-1,FALSE))</f>
        <v/>
      </c>
      <c r="G174">
        <f ca="1">IF(AND(ISNUMBER($G$625),$B$419=1),$G$625,HLOOKUP(INDIRECT(ADDRESS(2,COLUMN())),OFFSET($BN$2,0,0,ROW()-1,60),ROW()-1,FALSE))</f>
        <v>-12.21288917</v>
      </c>
      <c r="H174">
        <f ca="1">IF(AND(ISNUMBER($H$625),$B$419=1),$H$625,HLOOKUP(INDIRECT(ADDRESS(2,COLUMN())),OFFSET($BN$2,0,0,ROW()-1,60),ROW()-1,FALSE))</f>
        <v>-14.598917439999999</v>
      </c>
      <c r="I174">
        <f ca="1">IF(AND(ISNUMBER($I$625),$B$419=1),$I$625,HLOOKUP(INDIRECT(ADDRESS(2,COLUMN())),OFFSET($BN$2,0,0,ROW()-1,60),ROW()-1,FALSE))</f>
        <v>-10.24058033</v>
      </c>
      <c r="J174">
        <f ca="1">IF(AND(ISNUMBER($J$625),$B$419=1),$J$625,HLOOKUP(INDIRECT(ADDRESS(2,COLUMN())),OFFSET($BN$2,0,0,ROW()-1,60),ROW()-1,FALSE))</f>
        <v>-5.4562641300000001</v>
      </c>
      <c r="K174">
        <f ca="1">IF(AND(ISNUMBER($K$625),$B$419=1),$K$625,HLOOKUP(INDIRECT(ADDRESS(2,COLUMN())),OFFSET($BN$2,0,0,ROW()-1,60),ROW()-1,FALSE))</f>
        <v>-4.8230665860000004</v>
      </c>
      <c r="L174">
        <f ca="1">IF(AND(ISNUMBER($L$625),$B$419=1),$L$625,HLOOKUP(INDIRECT(ADDRESS(2,COLUMN())),OFFSET($BN$2,0,0,ROW()-1,60),ROW()-1,FALSE))</f>
        <v>0.60933728399999998</v>
      </c>
      <c r="M174">
        <f ca="1">IF(AND(ISNUMBER($M$625),$B$419=1),$M$625,HLOOKUP(INDIRECT(ADDRESS(2,COLUMN())),OFFSET($BN$2,0,0,ROW()-1,60),ROW()-1,FALSE))</f>
        <v>-1.081117186</v>
      </c>
      <c r="N174">
        <f ca="1">IF(AND(ISNUMBER($N$625),$B$419=1),$N$625,HLOOKUP(INDIRECT(ADDRESS(2,COLUMN())),OFFSET($BN$2,0,0,ROW()-1,60),ROW()-1,FALSE))</f>
        <v>-2.161456099</v>
      </c>
      <c r="O174">
        <f ca="1">IF(AND(ISNUMBER($O$625),$B$419=1),$O$625,HLOOKUP(INDIRECT(ADDRESS(2,COLUMN())),OFFSET($BN$2,0,0,ROW()-1,60),ROW()-1,FALSE))</f>
        <v>-1.2700091330000001</v>
      </c>
      <c r="P174">
        <f ca="1">IF(AND(ISNUMBER($P$625),$B$419=1),$P$625,HLOOKUP(INDIRECT(ADDRESS(2,COLUMN())),OFFSET($BN$2,0,0,ROW()-1,60),ROW()-1,FALSE))</f>
        <v>-3.0876465610000001</v>
      </c>
      <c r="Q174">
        <f ca="1">IF(AND(ISNUMBER($Q$625),$B$419=1),$Q$625,HLOOKUP(INDIRECT(ADDRESS(2,COLUMN())),OFFSET($BN$2,0,0,ROW()-1,60),ROW()-1,FALSE))</f>
        <v>1.43343851</v>
      </c>
      <c r="R174">
        <f ca="1">IF(AND(ISNUMBER($R$625),$B$419=1),$R$625,HLOOKUP(INDIRECT(ADDRESS(2,COLUMN())),OFFSET($BN$2,0,0,ROW()-1,60),ROW()-1,FALSE))</f>
        <v>2.4858558319999999</v>
      </c>
      <c r="S174">
        <f ca="1">IF(AND(ISNUMBER($S$625),$B$419=1),$S$625,HLOOKUP(INDIRECT(ADDRESS(2,COLUMN())),OFFSET($BN$2,0,0,ROW()-1,60),ROW()-1,FALSE))</f>
        <v>4.6839303149999996</v>
      </c>
      <c r="T174">
        <f ca="1">IF(AND(ISNUMBER($T$625),$B$419=1),$T$625,HLOOKUP(INDIRECT(ADDRESS(2,COLUMN())),OFFSET($BN$2,0,0,ROW()-1,60),ROW()-1,FALSE))</f>
        <v>11.9675046</v>
      </c>
      <c r="U174">
        <f ca="1">IF(AND(ISNUMBER($U$625),$B$419=1),$U$625,HLOOKUP(INDIRECT(ADDRESS(2,COLUMN())),OFFSET($BN$2,0,0,ROW()-1,60),ROW()-1,FALSE))</f>
        <v>12.94423735</v>
      </c>
      <c r="V174">
        <f ca="1">IF(AND(ISNUMBER($V$625),$B$419=1),$V$625,HLOOKUP(INDIRECT(ADDRESS(2,COLUMN())),OFFSET($BN$2,0,0,ROW()-1,60),ROW()-1,FALSE))</f>
        <v>13.428948269999999</v>
      </c>
      <c r="W174">
        <f ca="1">IF(AND(ISNUMBER($W$625),$B$419=1),$W$625,HLOOKUP(INDIRECT(ADDRESS(2,COLUMN())),OFFSET($BN$2,0,0,ROW()-1,60),ROW()-1,FALSE))</f>
        <v>9.4645808089999992</v>
      </c>
      <c r="X174">
        <f ca="1">IF(AND(ISNUMBER($X$625),$B$419=1),$X$625,HLOOKUP(INDIRECT(ADDRESS(2,COLUMN())),OFFSET($BN$2,0,0,ROW()-1,60),ROW()-1,FALSE))</f>
        <v>-1.1805182919999999</v>
      </c>
      <c r="Y174">
        <f ca="1">IF(AND(ISNUMBER($Y$625),$B$419=1),$Y$625,HLOOKUP(INDIRECT(ADDRESS(2,COLUMN())),OFFSET($BN$2,0,0,ROW()-1,60),ROW()-1,FALSE))</f>
        <v>-3.169226535</v>
      </c>
      <c r="Z174">
        <f ca="1">IF(AND(ISNUMBER($Z$625),$B$419=1),$Z$625,HLOOKUP(INDIRECT(ADDRESS(2,COLUMN())),OFFSET($BN$2,0,0,ROW()-1,60),ROW()-1,FALSE))</f>
        <v>-6.5811408279999997</v>
      </c>
      <c r="AA174">
        <f ca="1">IF(AND(ISNUMBER($AA$625),$B$419=1),$AA$625,HLOOKUP(INDIRECT(ADDRESS(2,COLUMN())),OFFSET($BN$2,0,0,ROW()-1,60),ROW()-1,FALSE))</f>
        <v>-4.668382083</v>
      </c>
      <c r="AB174">
        <f ca="1">IF(AND(ISNUMBER($AB$625),$B$419=1),$AB$625,HLOOKUP(INDIRECT(ADDRESS(2,COLUMN())),OFFSET($BN$2,0,0,ROW()-1,60),ROW()-1,FALSE))</f>
        <v>-6.2830942170000004</v>
      </c>
      <c r="AC174">
        <f ca="1">IF(AND(ISNUMBER($AC$625),$B$419=1),$AC$625,HLOOKUP(INDIRECT(ADDRESS(2,COLUMN())),OFFSET($BN$2,0,0,ROW()-1,60),ROW()-1,FALSE))</f>
        <v>-5.8978803089999996</v>
      </c>
      <c r="AD174">
        <f ca="1">IF(AND(ISNUMBER($AD$625),$B$419=1),$AD$625,HLOOKUP(INDIRECT(ADDRESS(2,COLUMN())),OFFSET($BN$2,0,0,ROW()-1,60),ROW()-1,FALSE))</f>
        <v>-5.4953764859999996</v>
      </c>
      <c r="AE174">
        <f ca="1">IF(AND(ISNUMBER($AE$625),$B$419=1),$AE$625,HLOOKUP(INDIRECT(ADDRESS(2,COLUMN())),OFFSET($BN$2,0,0,ROW()-1,60),ROW()-1,FALSE))</f>
        <v>-1.5977511600000001</v>
      </c>
      <c r="AF174">
        <f ca="1">IF(AND(ISNUMBER($AF$625),$B$419=1),$AF$625,HLOOKUP(INDIRECT(ADDRESS(2,COLUMN())),OFFSET($BN$2,0,0,ROW()-1,60),ROW()-1,FALSE))</f>
        <v>-7.9259158379999999</v>
      </c>
      <c r="AG174" t="str">
        <f ca="1">IF(AND(ISNUMBER($AG$625),$B$419=1),$AG$625,HLOOKUP(INDIRECT(ADDRESS(2,COLUMN())),OFFSET($BN$2,0,0,ROW()-1,60),ROW()-1,FALSE))</f>
        <v/>
      </c>
      <c r="AH174" t="str">
        <f ca="1">IF(AND(ISNUMBER($AH$625),$B$419=1),$AH$625,HLOOKUP(INDIRECT(ADDRESS(2,COLUMN())),OFFSET($BN$2,0,0,ROW()-1,60),ROW()-1,FALSE))</f>
        <v/>
      </c>
      <c r="AI174" t="str">
        <f ca="1">IF(AND(ISNUMBER($AI$625),$B$419=1),$AI$625,HLOOKUP(INDIRECT(ADDRESS(2,COLUMN())),OFFSET($BN$2,0,0,ROW()-1,60),ROW()-1,FALSE))</f>
        <v/>
      </c>
      <c r="AJ174">
        <f ca="1">IF(AND(ISNUMBER($AJ$625),$B$419=1),$AJ$625,HLOOKUP(INDIRECT(ADDRESS(2,COLUMN())),OFFSET($BN$2,0,0,ROW()-1,60),ROW()-1,FALSE))</f>
        <v>4.2753410519999999</v>
      </c>
      <c r="AK174" t="str">
        <f ca="1">IF(AND(ISNUMBER($AK$625),$B$419=1),$AK$625,HLOOKUP(INDIRECT(ADDRESS(2,COLUMN())),OFFSET($BN$2,0,0,ROW()-1,60),ROW()-1,FALSE))</f>
        <v/>
      </c>
      <c r="AL174" t="str">
        <f ca="1">IF(AND(ISNUMBER($AL$625),$B$419=1),$AL$625,HLOOKUP(INDIRECT(ADDRESS(2,COLUMN())),OFFSET($BN$2,0,0,ROW()-1,60),ROW()-1,FALSE))</f>
        <v/>
      </c>
      <c r="AM174" t="str">
        <f ca="1">IF(AND(ISNUMBER($AM$625),$B$419=1),$AM$625,HLOOKUP(INDIRECT(ADDRESS(2,COLUMN())),OFFSET($BN$2,0,0,ROW()-1,60),ROW()-1,FALSE))</f>
        <v/>
      </c>
      <c r="AN174" t="str">
        <f ca="1">IF(AND(ISNUMBER($AN$625),$B$419=1),$AN$625,HLOOKUP(INDIRECT(ADDRESS(2,COLUMN())),OFFSET($BN$2,0,0,ROW()-1,60),ROW()-1,FALSE))</f>
        <v/>
      </c>
      <c r="AO174" t="str">
        <f ca="1">IF(AND(ISNUMBER($AO$625),$B$419=1),$AO$625,HLOOKUP(INDIRECT(ADDRESS(2,COLUMN())),OFFSET($BN$2,0,0,ROW()-1,60),ROW()-1,FALSE))</f>
        <v/>
      </c>
      <c r="AP174" t="str">
        <f ca="1">IF(AND(ISNUMBER($AP$625),$B$419=1),$AP$625,HLOOKUP(INDIRECT(ADDRESS(2,COLUMN())),OFFSET($BN$2,0,0,ROW()-1,60),ROW()-1,FALSE))</f>
        <v/>
      </c>
      <c r="AQ174" t="str">
        <f ca="1">IF(AND(ISNUMBER($AQ$625),$B$419=1),$AQ$625,HLOOKUP(INDIRECT(ADDRESS(2,COLUMN())),OFFSET($BN$2,0,0,ROW()-1,60),ROW()-1,FALSE))</f>
        <v/>
      </c>
      <c r="AR174" t="str">
        <f ca="1">IF(AND(ISNUMBER($AR$625),$B$419=1),$AR$625,HLOOKUP(INDIRECT(ADDRESS(2,COLUMN())),OFFSET($BN$2,0,0,ROW()-1,60),ROW()-1,FALSE))</f>
        <v/>
      </c>
      <c r="AS174" t="str">
        <f ca="1">IF(AND(ISNUMBER($AS$625),$B$419=1),$AS$625,HLOOKUP(INDIRECT(ADDRESS(2,COLUMN())),OFFSET($BN$2,0,0,ROW()-1,60),ROW()-1,FALSE))</f>
        <v/>
      </c>
      <c r="AT174" t="str">
        <f ca="1">IF(AND(ISNUMBER($AT$625),$B$419=1),$AT$625,HLOOKUP(INDIRECT(ADDRESS(2,COLUMN())),OFFSET($BN$2,0,0,ROW()-1,60),ROW()-1,FALSE))</f>
        <v/>
      </c>
      <c r="AU174" t="str">
        <f ca="1">IF(AND(ISNUMBER($AU$625),$B$419=1),$AU$625,HLOOKUP(INDIRECT(ADDRESS(2,COLUMN())),OFFSET($BN$2,0,0,ROW()-1,60),ROW()-1,FALSE))</f>
        <v/>
      </c>
      <c r="AV174" t="str">
        <f ca="1">IF(AND(ISNUMBER($AV$625),$B$419=1),$AV$625,HLOOKUP(INDIRECT(ADDRESS(2,COLUMN())),OFFSET($BN$2,0,0,ROW()-1,60),ROW()-1,FALSE))</f>
        <v/>
      </c>
      <c r="AW174" t="str">
        <f ca="1">IF(AND(ISNUMBER($AW$625),$B$419=1),$AW$625,HLOOKUP(INDIRECT(ADDRESS(2,COLUMN())),OFFSET($BN$2,0,0,ROW()-1,60),ROW()-1,FALSE))</f>
        <v/>
      </c>
      <c r="AX174" t="str">
        <f ca="1">IF(AND(ISNUMBER($AX$625),$B$419=1),$AX$625,HLOOKUP(INDIRECT(ADDRESS(2,COLUMN())),OFFSET($BN$2,0,0,ROW()-1,60),ROW()-1,FALSE))</f>
        <v/>
      </c>
      <c r="AY174" t="str">
        <f ca="1">IF(AND(ISNUMBER($AY$625),$B$419=1),$AY$625,HLOOKUP(INDIRECT(ADDRESS(2,COLUMN())),OFFSET($BN$2,0,0,ROW()-1,60),ROW()-1,FALSE))</f>
        <v/>
      </c>
      <c r="AZ174" t="str">
        <f ca="1">IF(AND(ISNUMBER($AZ$625),$B$419=1),$AZ$625,HLOOKUP(INDIRECT(ADDRESS(2,COLUMN())),OFFSET($BN$2,0,0,ROW()-1,60),ROW()-1,FALSE))</f>
        <v/>
      </c>
      <c r="BA174" t="str">
        <f ca="1">IF(AND(ISNUMBER($BA$625),$B$419=1),$BA$625,HLOOKUP(INDIRECT(ADDRESS(2,COLUMN())),OFFSET($BN$2,0,0,ROW()-1,60),ROW()-1,FALSE))</f>
        <v/>
      </c>
      <c r="BB174" t="str">
        <f ca="1">IF(AND(ISNUMBER($BB$625),$B$419=1),$BB$625,HLOOKUP(INDIRECT(ADDRESS(2,COLUMN())),OFFSET($BN$2,0,0,ROW()-1,60),ROW()-1,FALSE))</f>
        <v/>
      </c>
      <c r="BC174" t="str">
        <f ca="1">IF(AND(ISNUMBER($BC$625),$B$419=1),$BC$625,HLOOKUP(INDIRECT(ADDRESS(2,COLUMN())),OFFSET($BN$2,0,0,ROW()-1,60),ROW()-1,FALSE))</f>
        <v/>
      </c>
      <c r="BD174" t="str">
        <f ca="1">IF(AND(ISNUMBER($BD$625),$B$419=1),$BD$625,HLOOKUP(INDIRECT(ADDRESS(2,COLUMN())),OFFSET($BN$2,0,0,ROW()-1,60),ROW()-1,FALSE))</f>
        <v/>
      </c>
      <c r="BE174" t="str">
        <f ca="1">IF(AND(ISNUMBER($BE$625),$B$419=1),$BE$625,HLOOKUP(INDIRECT(ADDRESS(2,COLUMN())),OFFSET($BN$2,0,0,ROW()-1,60),ROW()-1,FALSE))</f>
        <v/>
      </c>
      <c r="BF174" t="str">
        <f ca="1">IF(AND(ISNUMBER($BF$625),$B$419=1),$BF$625,HLOOKUP(INDIRECT(ADDRESS(2,COLUMN())),OFFSET($BN$2,0,0,ROW()-1,60),ROW()-1,FALSE))</f>
        <v/>
      </c>
      <c r="BG174" t="str">
        <f ca="1">IF(AND(ISNUMBER($BG$625),$B$419=1),$BG$625,HLOOKUP(INDIRECT(ADDRESS(2,COLUMN())),OFFSET($BN$2,0,0,ROW()-1,60),ROW()-1,FALSE))</f>
        <v/>
      </c>
      <c r="BH174" t="str">
        <f ca="1">IF(AND(ISNUMBER($BH$625),$B$419=1),$BH$625,HLOOKUP(INDIRECT(ADDRESS(2,COLUMN())),OFFSET($BN$2,0,0,ROW()-1,60),ROW()-1,FALSE))</f>
        <v/>
      </c>
      <c r="BI174" t="str">
        <f ca="1">IF(AND(ISNUMBER($BI$625),$B$419=1),$BI$625,HLOOKUP(INDIRECT(ADDRESS(2,COLUMN())),OFFSET($BN$2,0,0,ROW()-1,60),ROW()-1,FALSE))</f>
        <v/>
      </c>
      <c r="BJ174" t="str">
        <f ca="1">IF(AND(ISNUMBER($BJ$625),$B$419=1),$BJ$625,HLOOKUP(INDIRECT(ADDRESS(2,COLUMN())),OFFSET($BN$2,0,0,ROW()-1,60),ROW()-1,FALSE))</f>
        <v/>
      </c>
      <c r="BK174" t="str">
        <f ca="1">IF(AND(ISNUMBER($BK$625),$B$419=1),$BK$625,HLOOKUP(INDIRECT(ADDRESS(2,COLUMN())),OFFSET($BN$2,0,0,ROW()-1,60),ROW()-1,FALSE))</f>
        <v/>
      </c>
      <c r="BL174" t="str">
        <f ca="1">IF(AND(ISNUMBER($BL$625),$B$419=1),$BL$625,HLOOKUP(INDIRECT(ADDRESS(2,COLUMN())),OFFSET($BN$2,0,0,ROW()-1,60),ROW()-1,FALSE))</f>
        <v/>
      </c>
      <c r="BM174" t="str">
        <f ca="1">IF(AND(ISNUMBER($BM$625),$B$419=1),$BM$625,HLOOKUP(INDIRECT(ADDRESS(2,COLUMN())),OFFSET($BN$2,0,0,ROW()-1,60),ROW()-1,FALSE))</f>
        <v/>
      </c>
      <c r="BN174" t="str">
        <f>""</f>
        <v/>
      </c>
      <c r="BO174">
        <f>-12.21288917</f>
        <v>-12.21288917</v>
      </c>
      <c r="BP174">
        <f>-14.59891744</f>
        <v>-14.598917439999999</v>
      </c>
      <c r="BQ174">
        <f>-10.24058033</f>
        <v>-10.24058033</v>
      </c>
      <c r="BR174">
        <f>-5.45626413</f>
        <v>-5.4562641300000001</v>
      </c>
      <c r="BS174">
        <f>-4.823066586</f>
        <v>-4.8230665860000004</v>
      </c>
      <c r="BT174">
        <f>0.609337284</f>
        <v>0.60933728399999998</v>
      </c>
      <c r="BU174">
        <f>-1.081117186</f>
        <v>-1.081117186</v>
      </c>
      <c r="BV174">
        <f>-2.161456099</f>
        <v>-2.161456099</v>
      </c>
      <c r="BW174">
        <f>-1.270009133</f>
        <v>-1.2700091330000001</v>
      </c>
      <c r="BX174">
        <f>-3.087646561</f>
        <v>-3.0876465610000001</v>
      </c>
      <c r="BY174">
        <f>1.43343851</f>
        <v>1.43343851</v>
      </c>
      <c r="BZ174">
        <f>2.485855832</f>
        <v>2.4858558319999999</v>
      </c>
      <c r="CA174">
        <f>4.683930315</f>
        <v>4.6839303149999996</v>
      </c>
      <c r="CB174">
        <f>11.9675046</f>
        <v>11.9675046</v>
      </c>
      <c r="CC174">
        <f>12.94423735</f>
        <v>12.94423735</v>
      </c>
      <c r="CD174">
        <f>13.42894827</f>
        <v>13.428948269999999</v>
      </c>
      <c r="CE174">
        <f>9.464580809</f>
        <v>9.4645808089999992</v>
      </c>
      <c r="CF174">
        <f>-1.180518292</f>
        <v>-1.1805182919999999</v>
      </c>
      <c r="CG174">
        <f>-3.169226535</f>
        <v>-3.169226535</v>
      </c>
      <c r="CH174">
        <f>-6.581140828</f>
        <v>-6.5811408279999997</v>
      </c>
      <c r="CI174">
        <f>-4.668382083</f>
        <v>-4.668382083</v>
      </c>
      <c r="CJ174">
        <f>-6.283094217</f>
        <v>-6.2830942170000004</v>
      </c>
      <c r="CK174">
        <f>-5.897880309</f>
        <v>-5.8978803089999996</v>
      </c>
      <c r="CL174">
        <f>-5.495376486</f>
        <v>-5.4953764859999996</v>
      </c>
      <c r="CM174">
        <f>-1.59775116</f>
        <v>-1.5977511600000001</v>
      </c>
      <c r="CN174">
        <f>-7.925915838</f>
        <v>-7.9259158379999999</v>
      </c>
      <c r="CO174" t="str">
        <f>""</f>
        <v/>
      </c>
      <c r="CP174" t="str">
        <f>""</f>
        <v/>
      </c>
      <c r="CQ174" t="str">
        <f>""</f>
        <v/>
      </c>
      <c r="CR174">
        <f>4.275341052</f>
        <v>4.2753410519999999</v>
      </c>
      <c r="CS174" t="str">
        <f>""</f>
        <v/>
      </c>
      <c r="CT174" t="str">
        <f>""</f>
        <v/>
      </c>
      <c r="CU174" t="str">
        <f>""</f>
        <v/>
      </c>
      <c r="CV174" t="str">
        <f>""</f>
        <v/>
      </c>
      <c r="CW174" t="str">
        <f>""</f>
        <v/>
      </c>
      <c r="CX174" t="str">
        <f>""</f>
        <v/>
      </c>
      <c r="CY174" t="str">
        <f>""</f>
        <v/>
      </c>
      <c r="CZ174" t="str">
        <f>""</f>
        <v/>
      </c>
      <c r="DA174" t="str">
        <f>""</f>
        <v/>
      </c>
      <c r="DB174" t="str">
        <f>""</f>
        <v/>
      </c>
      <c r="DC174" t="str">
        <f>""</f>
        <v/>
      </c>
      <c r="DD174" t="str">
        <f>""</f>
        <v/>
      </c>
      <c r="DE174" t="str">
        <f>""</f>
        <v/>
      </c>
      <c r="DF174" t="str">
        <f>""</f>
        <v/>
      </c>
      <c r="DG174" t="str">
        <f>""</f>
        <v/>
      </c>
      <c r="DH174" t="str">
        <f>""</f>
        <v/>
      </c>
      <c r="DI174" t="str">
        <f>""</f>
        <v/>
      </c>
      <c r="DJ174" t="str">
        <f>""</f>
        <v/>
      </c>
      <c r="DK174" t="str">
        <f>""</f>
        <v/>
      </c>
      <c r="DL174" t="str">
        <f>""</f>
        <v/>
      </c>
      <c r="DM174" t="str">
        <f>""</f>
        <v/>
      </c>
      <c r="DN174" t="str">
        <f>""</f>
        <v/>
      </c>
      <c r="DO174" t="str">
        <f>""</f>
        <v/>
      </c>
      <c r="DP174" t="str">
        <f>""</f>
        <v/>
      </c>
      <c r="DQ174" t="str">
        <f>""</f>
        <v/>
      </c>
      <c r="DR174" t="str">
        <f>""</f>
        <v/>
      </c>
      <c r="DS174" t="str">
        <f>""</f>
        <v/>
      </c>
      <c r="DT174" t="str">
        <f>""</f>
        <v/>
      </c>
      <c r="DU174" t="str">
        <f>""</f>
        <v/>
      </c>
    </row>
    <row r="175" spans="1:125">
      <c r="A175" t="str">
        <f>"    Simon Property Group Inc"</f>
        <v xml:space="preserve">    Simon Property Group Inc</v>
      </c>
      <c r="B175" t="str">
        <f>"SPG US Equity"</f>
        <v>SPG US Equity</v>
      </c>
      <c r="C175" t="str">
        <f t="shared" si="30"/>
        <v>RR551</v>
      </c>
      <c r="D175" t="str">
        <f t="shared" si="31"/>
        <v>NOI_GROWTH</v>
      </c>
      <c r="E175" t="str">
        <f t="shared" si="32"/>
        <v>动态</v>
      </c>
      <c r="F175" t="str">
        <f ca="1">IF(AND(ISNUMBER($F$626),$B$419=1),$F$626,HLOOKUP(INDIRECT(ADDRESS(2,COLUMN())),OFFSET($BN$2,0,0,ROW()-1,60),ROW()-1,FALSE))</f>
        <v/>
      </c>
      <c r="G175">
        <f ca="1">IF(AND(ISNUMBER($G$626),$B$419=1),$G$626,HLOOKUP(INDIRECT(ADDRESS(2,COLUMN())),OFFSET($BN$2,0,0,ROW()-1,60),ROW()-1,FALSE))</f>
        <v>-0.38415363899999999</v>
      </c>
      <c r="H175">
        <f ca="1">IF(AND(ISNUMBER($H$626),$B$419=1),$H$626,HLOOKUP(INDIRECT(ADDRESS(2,COLUMN())),OFFSET($BN$2,0,0,ROW()-1,60),ROW()-1,FALSE))</f>
        <v>0.91493025900000002</v>
      </c>
      <c r="I175">
        <f ca="1">IF(AND(ISNUMBER($I$626),$B$419=1),$I$626,HLOOKUP(INDIRECT(ADDRESS(2,COLUMN())),OFFSET($BN$2,0,0,ROW()-1,60),ROW()-1,FALSE))</f>
        <v>2.7858430649999999</v>
      </c>
      <c r="J175">
        <f ca="1">IF(AND(ISNUMBER($J$626),$B$419=1),$J$626,HLOOKUP(INDIRECT(ADDRESS(2,COLUMN())),OFFSET($BN$2,0,0,ROW()-1,60),ROW()-1,FALSE))</f>
        <v>3.4048130570000001</v>
      </c>
      <c r="K175">
        <f ca="1">IF(AND(ISNUMBER($K$626),$B$419=1),$K$626,HLOOKUP(INDIRECT(ADDRESS(2,COLUMN())),OFFSET($BN$2,0,0,ROW()-1,60),ROW()-1,FALSE))</f>
        <v>2.9964922039999999</v>
      </c>
      <c r="L175">
        <f ca="1">IF(AND(ISNUMBER($L$626),$B$419=1),$L$626,HLOOKUP(INDIRECT(ADDRESS(2,COLUMN())),OFFSET($BN$2,0,0,ROW()-1,60),ROW()-1,FALSE))</f>
        <v>5.6821575429999998</v>
      </c>
      <c r="M175">
        <f ca="1">IF(AND(ISNUMBER($M$626),$B$419=1),$M$626,HLOOKUP(INDIRECT(ADDRESS(2,COLUMN())),OFFSET($BN$2,0,0,ROW()-1,60),ROW()-1,FALSE))</f>
        <v>5.052252567</v>
      </c>
      <c r="N175">
        <f ca="1">IF(AND(ISNUMBER($N$626),$B$419=1),$N$626,HLOOKUP(INDIRECT(ADDRESS(2,COLUMN())),OFFSET($BN$2,0,0,ROW()-1,60),ROW()-1,FALSE))</f>
        <v>7.2726475730000004</v>
      </c>
      <c r="O175">
        <f ca="1">IF(AND(ISNUMBER($O$626),$B$419=1),$O$626,HLOOKUP(INDIRECT(ADDRESS(2,COLUMN())),OFFSET($BN$2,0,0,ROW()-1,60),ROW()-1,FALSE))</f>
        <v>6.3478490279999997</v>
      </c>
      <c r="P175">
        <f ca="1">IF(AND(ISNUMBER($P$626),$B$419=1),$P$626,HLOOKUP(INDIRECT(ADDRESS(2,COLUMN())),OFFSET($BN$2,0,0,ROW()-1,60),ROW()-1,FALSE))</f>
        <v>4.5697295679999996</v>
      </c>
      <c r="Q175">
        <f ca="1">IF(AND(ISNUMBER($Q$626),$B$419=1),$Q$626,HLOOKUP(INDIRECT(ADDRESS(2,COLUMN())),OFFSET($BN$2,0,0,ROW()-1,60),ROW()-1,FALSE))</f>
        <v>5.2764661119999996</v>
      </c>
      <c r="R175">
        <f ca="1">IF(AND(ISNUMBER($R$626),$B$419=1),$R$626,HLOOKUP(INDIRECT(ADDRESS(2,COLUMN())),OFFSET($BN$2,0,0,ROW()-1,60),ROW()-1,FALSE))</f>
        <v>5.0802742519999997</v>
      </c>
      <c r="S175">
        <f ca="1">IF(AND(ISNUMBER($S$626),$B$419=1),$S$626,HLOOKUP(INDIRECT(ADDRESS(2,COLUMN())),OFFSET($BN$2,0,0,ROW()-1,60),ROW()-1,FALSE))</f>
        <v>4.7605374490000001</v>
      </c>
      <c r="T175">
        <f ca="1">IF(AND(ISNUMBER($T$626),$B$419=1),$T$626,HLOOKUP(INDIRECT(ADDRESS(2,COLUMN())),OFFSET($BN$2,0,0,ROW()-1,60),ROW()-1,FALSE))</f>
        <v>6.9126656520000003</v>
      </c>
      <c r="U175">
        <f ca="1">IF(AND(ISNUMBER($U$626),$B$419=1),$U$626,HLOOKUP(INDIRECT(ADDRESS(2,COLUMN())),OFFSET($BN$2,0,0,ROW()-1,60),ROW()-1,FALSE))</f>
        <v>8.7116033680000005</v>
      </c>
      <c r="V175">
        <f ca="1">IF(AND(ISNUMBER($V$626),$B$419=1),$V$626,HLOOKUP(INDIRECT(ADDRESS(2,COLUMN())),OFFSET($BN$2,0,0,ROW()-1,60),ROW()-1,FALSE))</f>
        <v>-4.958602612</v>
      </c>
      <c r="W175">
        <f ca="1">IF(AND(ISNUMBER($W$626),$B$419=1),$W$626,HLOOKUP(INDIRECT(ADDRESS(2,COLUMN())),OFFSET($BN$2,0,0,ROW()-1,60),ROW()-1,FALSE))</f>
        <v>-5.8240047639999997</v>
      </c>
      <c r="X175">
        <f ca="1">IF(AND(ISNUMBER($X$626),$B$419=1),$X$626,HLOOKUP(INDIRECT(ADDRESS(2,COLUMN())),OFFSET($BN$2,0,0,ROW()-1,60),ROW()-1,FALSE))</f>
        <v>-3.988773868</v>
      </c>
      <c r="Y175">
        <f ca="1">IF(AND(ISNUMBER($Y$626),$B$419=1),$Y$626,HLOOKUP(INDIRECT(ADDRESS(2,COLUMN())),OFFSET($BN$2,0,0,ROW()-1,60),ROW()-1,FALSE))</f>
        <v>-4.3944023589999999</v>
      </c>
      <c r="Z175">
        <f ca="1">IF(AND(ISNUMBER($Z$626),$B$419=1),$Z$626,HLOOKUP(INDIRECT(ADDRESS(2,COLUMN())),OFFSET($BN$2,0,0,ROW()-1,60),ROW()-1,FALSE))</f>
        <v>11.66274784</v>
      </c>
      <c r="AA175">
        <f ca="1">IF(AND(ISNUMBER($AA$626),$B$419=1),$AA$626,HLOOKUP(INDIRECT(ADDRESS(2,COLUMN())),OFFSET($BN$2,0,0,ROW()-1,60),ROW()-1,FALSE))</f>
        <v>15.779753469999999</v>
      </c>
      <c r="AB175">
        <f ca="1">IF(AND(ISNUMBER($AB$626),$B$419=1),$AB$626,HLOOKUP(INDIRECT(ADDRESS(2,COLUMN())),OFFSET($BN$2,0,0,ROW()-1,60),ROW()-1,FALSE))</f>
        <v>16.326437479999999</v>
      </c>
      <c r="AC175">
        <f ca="1">IF(AND(ISNUMBER($AC$626),$B$419=1),$AC$626,HLOOKUP(INDIRECT(ADDRESS(2,COLUMN())),OFFSET($BN$2,0,0,ROW()-1,60),ROW()-1,FALSE))</f>
        <v>16.576630160000001</v>
      </c>
      <c r="AD175">
        <f ca="1">IF(AND(ISNUMBER($AD$626),$B$419=1),$AD$626,HLOOKUP(INDIRECT(ADDRESS(2,COLUMN())),OFFSET($BN$2,0,0,ROW()-1,60),ROW()-1,FALSE))</f>
        <v>12.421156180000001</v>
      </c>
      <c r="AE175">
        <f ca="1">IF(AND(ISNUMBER($AE$626),$B$419=1),$AE$626,HLOOKUP(INDIRECT(ADDRESS(2,COLUMN())),OFFSET($BN$2,0,0,ROW()-1,60),ROW()-1,FALSE))</f>
        <v>6.6401902699999997</v>
      </c>
      <c r="AF175">
        <f ca="1">IF(AND(ISNUMBER($AF$626),$B$419=1),$AF$626,HLOOKUP(INDIRECT(ADDRESS(2,COLUMN())),OFFSET($BN$2,0,0,ROW()-1,60),ROW()-1,FALSE))</f>
        <v>10.925139059999999</v>
      </c>
      <c r="AG175">
        <f ca="1">IF(AND(ISNUMBER($AG$626),$B$419=1),$AG$626,HLOOKUP(INDIRECT(ADDRESS(2,COLUMN())),OFFSET($BN$2,0,0,ROW()-1,60),ROW()-1,FALSE))</f>
        <v>12.26884709</v>
      </c>
      <c r="AH175">
        <f ca="1">IF(AND(ISNUMBER($AH$626),$B$419=1),$AH$626,HLOOKUP(INDIRECT(ADDRESS(2,COLUMN())),OFFSET($BN$2,0,0,ROW()-1,60),ROW()-1,FALSE))</f>
        <v>14.04238851</v>
      </c>
      <c r="AI175">
        <f ca="1">IF(AND(ISNUMBER($AI$626),$B$419=1),$AI$626,HLOOKUP(INDIRECT(ADDRESS(2,COLUMN())),OFFSET($BN$2,0,0,ROW()-1,60),ROW()-1,FALSE))</f>
        <v>12.00505328</v>
      </c>
      <c r="AJ175">
        <f ca="1">IF(AND(ISNUMBER($AJ$626),$B$419=1),$AJ$626,HLOOKUP(INDIRECT(ADDRESS(2,COLUMN())),OFFSET($BN$2,0,0,ROW()-1,60),ROW()-1,FALSE))</f>
        <v>5.974781557</v>
      </c>
      <c r="AK175">
        <f ca="1">IF(AND(ISNUMBER($AK$626),$B$419=1),$AK$626,HLOOKUP(INDIRECT(ADDRESS(2,COLUMN())),OFFSET($BN$2,0,0,ROW()-1,60),ROW()-1,FALSE))</f>
        <v>2.6777104280000001</v>
      </c>
      <c r="AL175">
        <f ca="1">IF(AND(ISNUMBER($AL$626),$B$419=1),$AL$626,HLOOKUP(INDIRECT(ADDRESS(2,COLUMN())),OFFSET($BN$2,0,0,ROW()-1,60),ROW()-1,FALSE))</f>
        <v>6.2084242999999997E-2</v>
      </c>
      <c r="AM175">
        <f ca="1">IF(AND(ISNUMBER($AM$626),$B$419=1),$AM$626,HLOOKUP(INDIRECT(ADDRESS(2,COLUMN())),OFFSET($BN$2,0,0,ROW()-1,60),ROW()-1,FALSE))</f>
        <v>-0.47921118299999999</v>
      </c>
      <c r="AN175">
        <f ca="1">IF(AND(ISNUMBER($AN$626),$B$419=1),$AN$626,HLOOKUP(INDIRECT(ADDRESS(2,COLUMN())),OFFSET($BN$2,0,0,ROW()-1,60),ROW()-1,FALSE))</f>
        <v>2.0664873940000001</v>
      </c>
      <c r="AO175">
        <f ca="1">IF(AND(ISNUMBER($AO$626),$B$419=1),$AO$626,HLOOKUP(INDIRECT(ADDRESS(2,COLUMN())),OFFSET($BN$2,0,0,ROW()-1,60),ROW()-1,FALSE))</f>
        <v>0.79208295699999998</v>
      </c>
      <c r="AP175">
        <f ca="1">IF(AND(ISNUMBER($AP$626),$B$419=1),$AP$626,HLOOKUP(INDIRECT(ADDRESS(2,COLUMN())),OFFSET($BN$2,0,0,ROW()-1,60),ROW()-1,FALSE))</f>
        <v>5.4414920169999998</v>
      </c>
      <c r="AQ175">
        <f ca="1">IF(AND(ISNUMBER($AQ$626),$B$419=1),$AQ$626,HLOOKUP(INDIRECT(ADDRESS(2,COLUMN())),OFFSET($BN$2,0,0,ROW()-1,60),ROW()-1,FALSE))</f>
        <v>1.478981517</v>
      </c>
      <c r="AR175">
        <f ca="1">IF(AND(ISNUMBER($AR$626),$B$419=1),$AR$626,HLOOKUP(INDIRECT(ADDRESS(2,COLUMN())),OFFSET($BN$2,0,0,ROW()-1,60),ROW()-1,FALSE))</f>
        <v>4.3825215130000004</v>
      </c>
      <c r="AS175">
        <f ca="1">IF(AND(ISNUMBER($AS$626),$B$419=1),$AS$626,HLOOKUP(INDIRECT(ADDRESS(2,COLUMN())),OFFSET($BN$2,0,0,ROW()-1,60),ROW()-1,FALSE))</f>
        <v>14.00683927</v>
      </c>
      <c r="AT175">
        <f ca="1">IF(AND(ISNUMBER($AT$626),$B$419=1),$AT$626,HLOOKUP(INDIRECT(ADDRESS(2,COLUMN())),OFFSET($BN$2,0,0,ROW()-1,60),ROW()-1,FALSE))</f>
        <v>11.2108761</v>
      </c>
      <c r="AU175">
        <f ca="1">IF(AND(ISNUMBER($AU$626),$B$419=1),$AU$626,HLOOKUP(INDIRECT(ADDRESS(2,COLUMN())),OFFSET($BN$2,0,0,ROW()-1,60),ROW()-1,FALSE))</f>
        <v>18.990177469999999</v>
      </c>
      <c r="AV175">
        <f ca="1">IF(AND(ISNUMBER($AV$626),$B$419=1),$AV$626,HLOOKUP(INDIRECT(ADDRESS(2,COLUMN())),OFFSET($BN$2,0,0,ROW()-1,60),ROW()-1,FALSE))</f>
        <v>12.71252885</v>
      </c>
      <c r="AW175">
        <f ca="1">IF(AND(ISNUMBER($AW$626),$B$419=1),$AW$626,HLOOKUP(INDIRECT(ADDRESS(2,COLUMN())),OFFSET($BN$2,0,0,ROW()-1,60),ROW()-1,FALSE))</f>
        <v>6.0369131229999997</v>
      </c>
      <c r="AX175">
        <f ca="1">IF(AND(ISNUMBER($AX$626),$B$419=1),$AX$626,HLOOKUP(INDIRECT(ADDRESS(2,COLUMN())),OFFSET($BN$2,0,0,ROW()-1,60),ROW()-1,FALSE))</f>
        <v>5.7760743000000003</v>
      </c>
      <c r="AY175">
        <f ca="1">IF(AND(ISNUMBER($AY$626),$B$419=1),$AY$626,HLOOKUP(INDIRECT(ADDRESS(2,COLUMN())),OFFSET($BN$2,0,0,ROW()-1,60),ROW()-1,FALSE))</f>
        <v>5.647198983</v>
      </c>
      <c r="AZ175">
        <f ca="1">IF(AND(ISNUMBER($AZ$626),$B$419=1),$AZ$626,HLOOKUP(INDIRECT(ADDRESS(2,COLUMN())),OFFSET($BN$2,0,0,ROW()-1,60),ROW()-1,FALSE))</f>
        <v>7.3357776709999998</v>
      </c>
      <c r="BA175">
        <f ca="1">IF(AND(ISNUMBER($BA$626),$B$419=1),$BA$626,HLOOKUP(INDIRECT(ADDRESS(2,COLUMN())),OFFSET($BN$2,0,0,ROW()-1,60),ROW()-1,FALSE))</f>
        <v>5.2796671269999997</v>
      </c>
      <c r="BB175">
        <f ca="1">IF(AND(ISNUMBER($BB$626),$B$419=1),$BB$626,HLOOKUP(INDIRECT(ADDRESS(2,COLUMN())),OFFSET($BN$2,0,0,ROW()-1,60),ROW()-1,FALSE))</f>
        <v>5.2836098969999998</v>
      </c>
      <c r="BC175">
        <f ca="1">IF(AND(ISNUMBER($BC$626),$B$419=1),$BC$626,HLOOKUP(INDIRECT(ADDRESS(2,COLUMN())),OFFSET($BN$2,0,0,ROW()-1,60),ROW()-1,FALSE))</f>
        <v>10.905688209999999</v>
      </c>
      <c r="BD175">
        <f ca="1">IF(AND(ISNUMBER($BD$626),$B$419=1),$BD$626,HLOOKUP(INDIRECT(ADDRESS(2,COLUMN())),OFFSET($BN$2,0,0,ROW()-1,60),ROW()-1,FALSE))</f>
        <v>30.037300009999999</v>
      </c>
      <c r="BE175">
        <f ca="1">IF(AND(ISNUMBER($BE$626),$B$419=1),$BE$626,HLOOKUP(INDIRECT(ADDRESS(2,COLUMN())),OFFSET($BN$2,0,0,ROW()-1,60),ROW()-1,FALSE))</f>
        <v>28.675970880000001</v>
      </c>
      <c r="BF175">
        <f ca="1">IF(AND(ISNUMBER($BF$626),$B$419=1),$BF$626,HLOOKUP(INDIRECT(ADDRESS(2,COLUMN())),OFFSET($BN$2,0,0,ROW()-1,60),ROW()-1,FALSE))</f>
        <v>29.73971573</v>
      </c>
      <c r="BG175">
        <f ca="1">IF(AND(ISNUMBER($BG$626),$B$419=1),$BG$626,HLOOKUP(INDIRECT(ADDRESS(2,COLUMN())),OFFSET($BN$2,0,0,ROW()-1,60),ROW()-1,FALSE))</f>
        <v>57.502492599999997</v>
      </c>
      <c r="BH175">
        <f ca="1">IF(AND(ISNUMBER($BH$626),$B$419=1),$BH$626,HLOOKUP(INDIRECT(ADDRESS(2,COLUMN())),OFFSET($BN$2,0,0,ROW()-1,60),ROW()-1,FALSE))</f>
        <v>7.8739241040000003</v>
      </c>
      <c r="BI175">
        <f ca="1">IF(AND(ISNUMBER($BI$626),$B$419=1),$BI$626,HLOOKUP(INDIRECT(ADDRESS(2,COLUMN())),OFFSET($BN$2,0,0,ROW()-1,60),ROW()-1,FALSE))</f>
        <v>9.1646356600000001</v>
      </c>
      <c r="BJ175">
        <f ca="1">IF(AND(ISNUMBER($BJ$626),$B$419=1),$BJ$626,HLOOKUP(INDIRECT(ADDRESS(2,COLUMN())),OFFSET($BN$2,0,0,ROW()-1,60),ROW()-1,FALSE))</f>
        <v>7.3612616209999997</v>
      </c>
      <c r="BK175">
        <f ca="1">IF(AND(ISNUMBER($BK$626),$B$419=1),$BK$626,HLOOKUP(INDIRECT(ADDRESS(2,COLUMN())),OFFSET($BN$2,0,0,ROW()-1,60),ROW()-1,FALSE))</f>
        <v>-11.345812820000001</v>
      </c>
      <c r="BL175">
        <f ca="1">IF(AND(ISNUMBER($BL$626),$B$419=1),$BL$626,HLOOKUP(INDIRECT(ADDRESS(2,COLUMN())),OFFSET($BN$2,0,0,ROW()-1,60),ROW()-1,FALSE))</f>
        <v>9.9210458979999991</v>
      </c>
      <c r="BM175">
        <f ca="1">IF(AND(ISNUMBER($BM$626),$B$419=1),$BM$626,HLOOKUP(INDIRECT(ADDRESS(2,COLUMN())),OFFSET($BN$2,0,0,ROW()-1,60),ROW()-1,FALSE))</f>
        <v>10.62693088</v>
      </c>
      <c r="BN175" t="str">
        <f>""</f>
        <v/>
      </c>
      <c r="BO175">
        <f>-0.384153639</f>
        <v>-0.38415363899999999</v>
      </c>
      <c r="BP175">
        <f>0.914930259</f>
        <v>0.91493025900000002</v>
      </c>
      <c r="BQ175">
        <f>2.785843065</f>
        <v>2.7858430649999999</v>
      </c>
      <c r="BR175">
        <f>3.404813057</f>
        <v>3.4048130570000001</v>
      </c>
      <c r="BS175">
        <f>2.996492204</f>
        <v>2.9964922039999999</v>
      </c>
      <c r="BT175">
        <f>5.682157543</f>
        <v>5.6821575429999998</v>
      </c>
      <c r="BU175">
        <f>5.052252567</f>
        <v>5.052252567</v>
      </c>
      <c r="BV175">
        <f>7.272647573</f>
        <v>7.2726475730000004</v>
      </c>
      <c r="BW175">
        <f>6.347849028</f>
        <v>6.3478490279999997</v>
      </c>
      <c r="BX175">
        <f>4.569729568</f>
        <v>4.5697295679999996</v>
      </c>
      <c r="BY175">
        <f>5.276466112</f>
        <v>5.2764661119999996</v>
      </c>
      <c r="BZ175">
        <f>5.080274252</f>
        <v>5.0802742519999997</v>
      </c>
      <c r="CA175">
        <f>4.760537449</f>
        <v>4.7605374490000001</v>
      </c>
      <c r="CB175">
        <f>6.912665652</f>
        <v>6.9126656520000003</v>
      </c>
      <c r="CC175">
        <f>8.711603368</f>
        <v>8.7116033680000005</v>
      </c>
      <c r="CD175">
        <f>-4.958602612</f>
        <v>-4.958602612</v>
      </c>
      <c r="CE175">
        <f>-5.824004764</f>
        <v>-5.8240047639999997</v>
      </c>
      <c r="CF175">
        <f>-3.988773868</f>
        <v>-3.988773868</v>
      </c>
      <c r="CG175">
        <f>-4.394402359</f>
        <v>-4.3944023589999999</v>
      </c>
      <c r="CH175">
        <f>11.66274784</f>
        <v>11.66274784</v>
      </c>
      <c r="CI175">
        <f>15.77975347</f>
        <v>15.779753469999999</v>
      </c>
      <c r="CJ175">
        <f>16.32643748</f>
        <v>16.326437479999999</v>
      </c>
      <c r="CK175">
        <f>16.57663016</f>
        <v>16.576630160000001</v>
      </c>
      <c r="CL175">
        <f>12.42115618</f>
        <v>12.421156180000001</v>
      </c>
      <c r="CM175">
        <f>6.64019027</f>
        <v>6.6401902699999997</v>
      </c>
      <c r="CN175">
        <f>10.92513906</f>
        <v>10.925139059999999</v>
      </c>
      <c r="CO175">
        <f>12.26884709</f>
        <v>12.26884709</v>
      </c>
      <c r="CP175">
        <f>14.04238851</f>
        <v>14.04238851</v>
      </c>
      <c r="CQ175">
        <f>12.00505328</f>
        <v>12.00505328</v>
      </c>
      <c r="CR175">
        <f>5.974781557</f>
        <v>5.974781557</v>
      </c>
      <c r="CS175">
        <f>2.677710428</f>
        <v>2.6777104280000001</v>
      </c>
      <c r="CT175">
        <f>0.062084243</f>
        <v>6.2084242999999997E-2</v>
      </c>
      <c r="CU175">
        <f>-0.479211183</f>
        <v>-0.47921118299999999</v>
      </c>
      <c r="CV175">
        <f>2.066487394</f>
        <v>2.0664873940000001</v>
      </c>
      <c r="CW175">
        <f>0.792082957</f>
        <v>0.79208295699999998</v>
      </c>
      <c r="CX175">
        <f>5.441492017</f>
        <v>5.4414920169999998</v>
      </c>
      <c r="CY175">
        <f>1.478981517</f>
        <v>1.478981517</v>
      </c>
      <c r="CZ175">
        <f>4.382521513</f>
        <v>4.3825215130000004</v>
      </c>
      <c r="DA175">
        <f>14.00683927</f>
        <v>14.00683927</v>
      </c>
      <c r="DB175">
        <f>11.2108761</f>
        <v>11.2108761</v>
      </c>
      <c r="DC175">
        <f>18.99017747</f>
        <v>18.990177469999999</v>
      </c>
      <c r="DD175">
        <f>12.71252885</f>
        <v>12.71252885</v>
      </c>
      <c r="DE175">
        <f>6.036913123</f>
        <v>6.0369131229999997</v>
      </c>
      <c r="DF175">
        <f>5.7760743</f>
        <v>5.7760743000000003</v>
      </c>
      <c r="DG175">
        <f>5.647198983</f>
        <v>5.647198983</v>
      </c>
      <c r="DH175">
        <f>7.335777671</f>
        <v>7.3357776709999998</v>
      </c>
      <c r="DI175">
        <f>5.279667127</f>
        <v>5.2796671269999997</v>
      </c>
      <c r="DJ175">
        <f>5.283609897</f>
        <v>5.2836098969999998</v>
      </c>
      <c r="DK175">
        <f>10.90568821</f>
        <v>10.905688209999999</v>
      </c>
      <c r="DL175">
        <f>30.03730001</f>
        <v>30.037300009999999</v>
      </c>
      <c r="DM175">
        <f>28.67597088</f>
        <v>28.675970880000001</v>
      </c>
      <c r="DN175">
        <f>29.73971573</f>
        <v>29.73971573</v>
      </c>
      <c r="DO175">
        <f>57.5024926</f>
        <v>57.502492599999997</v>
      </c>
      <c r="DP175">
        <f>7.873924104</f>
        <v>7.8739241040000003</v>
      </c>
      <c r="DQ175">
        <f>9.16463566</f>
        <v>9.1646356600000001</v>
      </c>
      <c r="DR175">
        <f>7.361261621</f>
        <v>7.3612616209999997</v>
      </c>
      <c r="DS175">
        <f>-11.34581282</f>
        <v>-11.345812820000001</v>
      </c>
      <c r="DT175">
        <f>9.921045898</f>
        <v>9.9210458979999991</v>
      </c>
      <c r="DU175">
        <f>10.62693088</f>
        <v>10.62693088</v>
      </c>
    </row>
    <row r="176" spans="1:125">
      <c r="A176" t="str">
        <f>"    Tanger Factory Outlet Centers"</f>
        <v xml:space="preserve">    Tanger Factory Outlet Centers</v>
      </c>
      <c r="B176" t="str">
        <f>"SKT US Equity"</f>
        <v>SKT US Equity</v>
      </c>
      <c r="C176" t="str">
        <f t="shared" si="30"/>
        <v>RR551</v>
      </c>
      <c r="D176" t="str">
        <f t="shared" si="31"/>
        <v>NOI_GROWTH</v>
      </c>
      <c r="E176" t="str">
        <f t="shared" si="32"/>
        <v>动态</v>
      </c>
      <c r="F176" t="str">
        <f ca="1">IF(AND(ISNUMBER($F$627),$B$419=1),$F$627,HLOOKUP(INDIRECT(ADDRESS(2,COLUMN())),OFFSET($BN$2,0,0,ROW()-1,60),ROW()-1,FALSE))</f>
        <v/>
      </c>
      <c r="G176">
        <f ca="1">IF(AND(ISNUMBER($G$627),$B$419=1),$G$627,HLOOKUP(INDIRECT(ADDRESS(2,COLUMN())),OFFSET($BN$2,0,0,ROW()-1,60),ROW()-1,FALSE))</f>
        <v>4.4718274869999997</v>
      </c>
      <c r="H176">
        <f ca="1">IF(AND(ISNUMBER($H$627),$B$419=1),$H$627,HLOOKUP(INDIRECT(ADDRESS(2,COLUMN())),OFFSET($BN$2,0,0,ROW()-1,60),ROW()-1,FALSE))</f>
        <v>2.063172808</v>
      </c>
      <c r="I176">
        <f ca="1">IF(AND(ISNUMBER($I$627),$B$419=1),$I$627,HLOOKUP(INDIRECT(ADDRESS(2,COLUMN())),OFFSET($BN$2,0,0,ROW()-1,60),ROW()-1,FALSE))</f>
        <v>7.6690456029999998</v>
      </c>
      <c r="J176">
        <f ca="1">IF(AND(ISNUMBER($J$627),$B$419=1),$J$627,HLOOKUP(INDIRECT(ADDRESS(2,COLUMN())),OFFSET($BN$2,0,0,ROW()-1,60),ROW()-1,FALSE))</f>
        <v>10.82344026</v>
      </c>
      <c r="K176">
        <f ca="1">IF(AND(ISNUMBER($K$627),$B$419=1),$K$627,HLOOKUP(INDIRECT(ADDRESS(2,COLUMN())),OFFSET($BN$2,0,0,ROW()-1,60),ROW()-1,FALSE))</f>
        <v>9.7023874410000008</v>
      </c>
      <c r="L176">
        <f ca="1">IF(AND(ISNUMBER($L$627),$B$419=1),$L$627,HLOOKUP(INDIRECT(ADDRESS(2,COLUMN())),OFFSET($BN$2,0,0,ROW()-1,60),ROW()-1,FALSE))</f>
        <v>6.7850871269999997</v>
      </c>
      <c r="M176">
        <f ca="1">IF(AND(ISNUMBER($M$627),$B$419=1),$M$627,HLOOKUP(INDIRECT(ADDRESS(2,COLUMN())),OFFSET($BN$2,0,0,ROW()-1,60),ROW()-1,FALSE))</f>
        <v>4.720685724</v>
      </c>
      <c r="N176">
        <f ca="1">IF(AND(ISNUMBER($N$627),$B$419=1),$N$627,HLOOKUP(INDIRECT(ADDRESS(2,COLUMN())),OFFSET($BN$2,0,0,ROW()-1,60),ROW()-1,FALSE))</f>
        <v>6.7227771699999996</v>
      </c>
      <c r="O176">
        <f ca="1">IF(AND(ISNUMBER($O$627),$B$419=1),$O$627,HLOOKUP(INDIRECT(ADDRESS(2,COLUMN())),OFFSET($BN$2,0,0,ROW()-1,60),ROW()-1,FALSE))</f>
        <v>2.5532093300000001</v>
      </c>
      <c r="P176">
        <f ca="1">IF(AND(ISNUMBER($P$627),$B$419=1),$P$627,HLOOKUP(INDIRECT(ADDRESS(2,COLUMN())),OFFSET($BN$2,0,0,ROW()-1,60),ROW()-1,FALSE))</f>
        <v>5.5520702630000001</v>
      </c>
      <c r="Q176">
        <f ca="1">IF(AND(ISNUMBER($Q$627),$B$419=1),$Q$627,HLOOKUP(INDIRECT(ADDRESS(2,COLUMN())),OFFSET($BN$2,0,0,ROW()-1,60),ROW()-1,FALSE))</f>
        <v>6.5905544889999996</v>
      </c>
      <c r="R176">
        <f ca="1">IF(AND(ISNUMBER($R$627),$B$419=1),$R$627,HLOOKUP(INDIRECT(ADDRESS(2,COLUMN())),OFFSET($BN$2,0,0,ROW()-1,60),ROW()-1,FALSE))</f>
        <v>2.5069081980000001</v>
      </c>
      <c r="S176">
        <f ca="1">IF(AND(ISNUMBER($S$627),$B$419=1),$S$627,HLOOKUP(INDIRECT(ADDRESS(2,COLUMN())),OFFSET($BN$2,0,0,ROW()-1,60),ROW()-1,FALSE))</f>
        <v>0.454845367</v>
      </c>
      <c r="T176">
        <f ca="1">IF(AND(ISNUMBER($T$627),$B$419=1),$T$627,HLOOKUP(INDIRECT(ADDRESS(2,COLUMN())),OFFSET($BN$2,0,0,ROW()-1,60),ROW()-1,FALSE))</f>
        <v>8.0078846860000006</v>
      </c>
      <c r="U176">
        <f ca="1">IF(AND(ISNUMBER($U$627),$B$419=1),$U$627,HLOOKUP(INDIRECT(ADDRESS(2,COLUMN())),OFFSET($BN$2,0,0,ROW()-1,60),ROW()-1,FALSE))</f>
        <v>11.27136752</v>
      </c>
      <c r="V176">
        <f ca="1">IF(AND(ISNUMBER($V$627),$B$419=1),$V$627,HLOOKUP(INDIRECT(ADDRESS(2,COLUMN())),OFFSET($BN$2,0,0,ROW()-1,60),ROW()-1,FALSE))</f>
        <v>11.48001095</v>
      </c>
      <c r="W176">
        <f ca="1">IF(AND(ISNUMBER($W$627),$B$419=1),$W$627,HLOOKUP(INDIRECT(ADDRESS(2,COLUMN())),OFFSET($BN$2,0,0,ROW()-1,60),ROW()-1,FALSE))</f>
        <v>14.428683879999999</v>
      </c>
      <c r="X176">
        <f ca="1">IF(AND(ISNUMBER($X$627),$B$419=1),$X$627,HLOOKUP(INDIRECT(ADDRESS(2,COLUMN())),OFFSET($BN$2,0,0,ROW()-1,60),ROW()-1,FALSE))</f>
        <v>8.4544209509999995</v>
      </c>
      <c r="Y176">
        <f ca="1">IF(AND(ISNUMBER($Y$627),$B$419=1),$Y$627,HLOOKUP(INDIRECT(ADDRESS(2,COLUMN())),OFFSET($BN$2,0,0,ROW()-1,60),ROW()-1,FALSE))</f>
        <v>4.7034764830000002</v>
      </c>
      <c r="Z176">
        <f ca="1">IF(AND(ISNUMBER($Z$627),$B$419=1),$Z$627,HLOOKUP(INDIRECT(ADDRESS(2,COLUMN())),OFFSET($BN$2,0,0,ROW()-1,60),ROW()-1,FALSE))</f>
        <v>3.6929247040000002</v>
      </c>
      <c r="AA176">
        <f ca="1">IF(AND(ISNUMBER($AA$627),$B$419=1),$AA$627,HLOOKUP(INDIRECT(ADDRESS(2,COLUMN())),OFFSET($BN$2,0,0,ROW()-1,60),ROW()-1,FALSE))</f>
        <v>4.6006754829999998</v>
      </c>
      <c r="AB176">
        <f ca="1">IF(AND(ISNUMBER($AB$627),$B$419=1),$AB$627,HLOOKUP(INDIRECT(ADDRESS(2,COLUMN())),OFFSET($BN$2,0,0,ROW()-1,60),ROW()-1,FALSE))</f>
        <v>7.8927451619999998</v>
      </c>
      <c r="AC176">
        <f ca="1">IF(AND(ISNUMBER($AC$627),$B$419=1),$AC$627,HLOOKUP(INDIRECT(ADDRESS(2,COLUMN())),OFFSET($BN$2,0,0,ROW()-1,60),ROW()-1,FALSE))</f>
        <v>23.354390810000002</v>
      </c>
      <c r="AD176">
        <f ca="1">IF(AND(ISNUMBER($AD$627),$B$419=1),$AD$627,HLOOKUP(INDIRECT(ADDRESS(2,COLUMN())),OFFSET($BN$2,0,0,ROW()-1,60),ROW()-1,FALSE))</f>
        <v>26.045138349999998</v>
      </c>
      <c r="AE176">
        <f ca="1">IF(AND(ISNUMBER($AE$627),$B$419=1),$AE$627,HLOOKUP(INDIRECT(ADDRESS(2,COLUMN())),OFFSET($BN$2,0,0,ROW()-1,60),ROW()-1,FALSE))</f>
        <v>27.6527745</v>
      </c>
      <c r="AF176">
        <f ca="1">IF(AND(ISNUMBER($AF$627),$B$419=1),$AF$627,HLOOKUP(INDIRECT(ADDRESS(2,COLUMN())),OFFSET($BN$2,0,0,ROW()-1,60),ROW()-1,FALSE))</f>
        <v>25.158438400000001</v>
      </c>
      <c r="AG176">
        <f ca="1">IF(AND(ISNUMBER($AG$627),$B$419=1),$AG$627,HLOOKUP(INDIRECT(ADDRESS(2,COLUMN())),OFFSET($BN$2,0,0,ROW()-1,60),ROW()-1,FALSE))</f>
        <v>12.24287305</v>
      </c>
      <c r="AH176">
        <f ca="1">IF(AND(ISNUMBER($AH$627),$B$419=1),$AH$627,HLOOKUP(INDIRECT(ADDRESS(2,COLUMN())),OFFSET($BN$2,0,0,ROW()-1,60),ROW()-1,FALSE))</f>
        <v>6.5162489280000004</v>
      </c>
      <c r="AI176">
        <f ca="1">IF(AND(ISNUMBER($AI$627),$B$419=1),$AI$627,HLOOKUP(INDIRECT(ADDRESS(2,COLUMN())),OFFSET($BN$2,0,0,ROW()-1,60),ROW()-1,FALSE))</f>
        <v>4.3979667239999998</v>
      </c>
      <c r="AJ176">
        <f ca="1">IF(AND(ISNUMBER($AJ$627),$B$419=1),$AJ$627,HLOOKUP(INDIRECT(ADDRESS(2,COLUMN())),OFFSET($BN$2,0,0,ROW()-1,60),ROW()-1,FALSE))</f>
        <v>2.6555843669999999</v>
      </c>
      <c r="AK176">
        <f ca="1">IF(AND(ISNUMBER($AK$627),$B$419=1),$AK$627,HLOOKUP(INDIRECT(ADDRESS(2,COLUMN())),OFFSET($BN$2,0,0,ROW()-1,60),ROW()-1,FALSE))</f>
        <v>-1.188455008</v>
      </c>
      <c r="AL176">
        <f ca="1">IF(AND(ISNUMBER($AL$627),$B$419=1),$AL$627,HLOOKUP(INDIRECT(ADDRESS(2,COLUMN())),OFFSET($BN$2,0,0,ROW()-1,60),ROW()-1,FALSE))</f>
        <v>0.63779791900000005</v>
      </c>
      <c r="AM176">
        <f ca="1">IF(AND(ISNUMBER($AM$627),$B$419=1),$AM$627,HLOOKUP(INDIRECT(ADDRESS(2,COLUMN())),OFFSET($BN$2,0,0,ROW()-1,60),ROW()-1,FALSE))</f>
        <v>-0.89656243800000002</v>
      </c>
      <c r="AN176">
        <f ca="1">IF(AND(ISNUMBER($AN$627),$B$419=1),$AN$627,HLOOKUP(INDIRECT(ADDRESS(2,COLUMN())),OFFSET($BN$2,0,0,ROW()-1,60),ROW()-1,FALSE))</f>
        <v>8.1720053089999993</v>
      </c>
      <c r="AO176">
        <f ca="1">IF(AND(ISNUMBER($AO$627),$B$419=1),$AO$627,HLOOKUP(INDIRECT(ADDRESS(2,COLUMN())),OFFSET($BN$2,0,0,ROW()-1,60),ROW()-1,FALSE))</f>
        <v>10.311263520000001</v>
      </c>
      <c r="AP176">
        <f ca="1">IF(AND(ISNUMBER($AP$627),$B$419=1),$AP$627,HLOOKUP(INDIRECT(ADDRESS(2,COLUMN())),OFFSET($BN$2,0,0,ROW()-1,60),ROW()-1,FALSE))</f>
        <v>13.73639859</v>
      </c>
      <c r="AQ176">
        <f ca="1">IF(AND(ISNUMBER($AQ$627),$B$419=1),$AQ$627,HLOOKUP(INDIRECT(ADDRESS(2,COLUMN())),OFFSET($BN$2,0,0,ROW()-1,60),ROW()-1,FALSE))</f>
        <v>14.006325110000001</v>
      </c>
      <c r="AR176">
        <f ca="1">IF(AND(ISNUMBER($AR$627),$B$419=1),$AR$627,HLOOKUP(INDIRECT(ADDRESS(2,COLUMN())),OFFSET($BN$2,0,0,ROW()-1,60),ROW()-1,FALSE))</f>
        <v>7.7037196879999996</v>
      </c>
      <c r="AS176">
        <f ca="1">IF(AND(ISNUMBER($AS$627),$B$419=1),$AS$627,HLOOKUP(INDIRECT(ADDRESS(2,COLUMN())),OFFSET($BN$2,0,0,ROW()-1,60),ROW()-1,FALSE))</f>
        <v>5.5342130169999999</v>
      </c>
      <c r="AT176">
        <f ca="1">IF(AND(ISNUMBER($AT$627),$B$419=1),$AT$627,HLOOKUP(INDIRECT(ADDRESS(2,COLUMN())),OFFSET($BN$2,0,0,ROW()-1,60),ROW()-1,FALSE))</f>
        <v>5.8085180059999999</v>
      </c>
      <c r="AU176">
        <f ca="1">IF(AND(ISNUMBER($AU$627),$B$419=1),$AU$627,HLOOKUP(INDIRECT(ADDRESS(2,COLUMN())),OFFSET($BN$2,0,0,ROW()-1,60),ROW()-1,FALSE))</f>
        <v>9.2062000939999997</v>
      </c>
      <c r="AV176">
        <f ca="1">IF(AND(ISNUMBER($AV$627),$B$419=1),$AV$627,HLOOKUP(INDIRECT(ADDRESS(2,COLUMN())),OFFSET($BN$2,0,0,ROW()-1,60),ROW()-1,FALSE))</f>
        <v>8.2549786839999992</v>
      </c>
      <c r="AW176">
        <f ca="1">IF(AND(ISNUMBER($AW$627),$B$419=1),$AW$627,HLOOKUP(INDIRECT(ADDRESS(2,COLUMN())),OFFSET($BN$2,0,0,ROW()-1,60),ROW()-1,FALSE))</f>
        <v>8.7589693910000008</v>
      </c>
      <c r="AX176">
        <f ca="1">IF(AND(ISNUMBER($AX$627),$B$419=1),$AX$627,HLOOKUP(INDIRECT(ADDRESS(2,COLUMN())),OFFSET($BN$2,0,0,ROW()-1,60),ROW()-1,FALSE))</f>
        <v>8.0366606399999991</v>
      </c>
      <c r="AY176">
        <f ca="1">IF(AND(ISNUMBER($AY$627),$B$419=1),$AY$627,HLOOKUP(INDIRECT(ADDRESS(2,COLUMN())),OFFSET($BN$2,0,0,ROW()-1,60),ROW()-1,FALSE))</f>
        <v>5.8863111090000002</v>
      </c>
      <c r="AZ176">
        <f ca="1">IF(AND(ISNUMBER($AZ$627),$B$419=1),$AZ$627,HLOOKUP(INDIRECT(ADDRESS(2,COLUMN())),OFFSET($BN$2,0,0,ROW()-1,60),ROW()-1,FALSE))</f>
        <v>2.3001553349999999</v>
      </c>
      <c r="BA176">
        <f ca="1">IF(AND(ISNUMBER($BA$627),$B$419=1),$BA$627,HLOOKUP(INDIRECT(ADDRESS(2,COLUMN())),OFFSET($BN$2,0,0,ROW()-1,60),ROW()-1,FALSE))</f>
        <v>2.409152921</v>
      </c>
      <c r="BB176">
        <f ca="1">IF(AND(ISNUMBER($BB$627),$B$419=1),$BB$627,HLOOKUP(INDIRECT(ADDRESS(2,COLUMN())),OFFSET($BN$2,0,0,ROW()-1,60),ROW()-1,FALSE))</f>
        <v>5.7458381410000001</v>
      </c>
      <c r="BC176">
        <f ca="1">IF(AND(ISNUMBER($BC$627),$B$419=1),$BC$627,HLOOKUP(INDIRECT(ADDRESS(2,COLUMN())),OFFSET($BN$2,0,0,ROW()-1,60),ROW()-1,FALSE))</f>
        <v>1.5508482130000001</v>
      </c>
      <c r="BD176">
        <f ca="1">IF(AND(ISNUMBER($BD$627),$B$419=1),$BD$627,HLOOKUP(INDIRECT(ADDRESS(2,COLUMN())),OFFSET($BN$2,0,0,ROW()-1,60),ROW()-1,FALSE))</f>
        <v>3.7211463980000001</v>
      </c>
      <c r="BE176">
        <f ca="1">IF(AND(ISNUMBER($BE$627),$B$419=1),$BE$627,HLOOKUP(INDIRECT(ADDRESS(2,COLUMN())),OFFSET($BN$2,0,0,ROW()-1,60),ROW()-1,FALSE))</f>
        <v>1.9213753</v>
      </c>
      <c r="BF176">
        <f ca="1">IF(AND(ISNUMBER($BF$627),$B$419=1),$BF$627,HLOOKUP(INDIRECT(ADDRESS(2,COLUMN())),OFFSET($BN$2,0,0,ROW()-1,60),ROW()-1,FALSE))</f>
        <v>-2.8035885930000002</v>
      </c>
      <c r="BG176">
        <f ca="1">IF(AND(ISNUMBER($BG$627),$B$419=1),$BG$627,HLOOKUP(INDIRECT(ADDRESS(2,COLUMN())),OFFSET($BN$2,0,0,ROW()-1,60),ROW()-1,FALSE))</f>
        <v>50.856033289999999</v>
      </c>
      <c r="BH176">
        <f ca="1">IF(AND(ISNUMBER($BH$627),$B$419=1),$BH$627,HLOOKUP(INDIRECT(ADDRESS(2,COLUMN())),OFFSET($BN$2,0,0,ROW()-1,60),ROW()-1,FALSE))</f>
        <v>75.417142240000004</v>
      </c>
      <c r="BI176">
        <f ca="1">IF(AND(ISNUMBER($BI$627),$B$419=1),$BI$627,HLOOKUP(INDIRECT(ADDRESS(2,COLUMN())),OFFSET($BN$2,0,0,ROW()-1,60),ROW()-1,FALSE))</f>
        <v>72.616190270000004</v>
      </c>
      <c r="BJ176">
        <f ca="1">IF(AND(ISNUMBER($BJ$627),$B$419=1),$BJ$627,HLOOKUP(INDIRECT(ADDRESS(2,COLUMN())),OFFSET($BN$2,0,0,ROW()-1,60),ROW()-1,FALSE))</f>
        <v>70.630364659999998</v>
      </c>
      <c r="BK176">
        <f ca="1">IF(AND(ISNUMBER($BK$627),$B$419=1),$BK$627,HLOOKUP(INDIRECT(ADDRESS(2,COLUMN())),OFFSET($BN$2,0,0,ROW()-1,60),ROW()-1,FALSE))</f>
        <v>9.9817642170000003</v>
      </c>
      <c r="BL176">
        <f ca="1">IF(AND(ISNUMBER($BL$627),$B$419=1),$BL$627,HLOOKUP(INDIRECT(ADDRESS(2,COLUMN())),OFFSET($BN$2,0,0,ROW()-1,60),ROW()-1,FALSE))</f>
        <v>0.92704333500000002</v>
      </c>
      <c r="BM176">
        <f ca="1">IF(AND(ISNUMBER($BM$627),$B$419=1),$BM$627,HLOOKUP(INDIRECT(ADDRESS(2,COLUMN())),OFFSET($BN$2,0,0,ROW()-1,60),ROW()-1,FALSE))</f>
        <v>3.9523674510000002</v>
      </c>
      <c r="BN176" t="str">
        <f>""</f>
        <v/>
      </c>
      <c r="BO176">
        <f>4.471827487</f>
        <v>4.4718274869999997</v>
      </c>
      <c r="BP176">
        <f>2.063172808</f>
        <v>2.063172808</v>
      </c>
      <c r="BQ176">
        <f>7.669045603</f>
        <v>7.6690456029999998</v>
      </c>
      <c r="BR176">
        <f>10.82344026</f>
        <v>10.82344026</v>
      </c>
      <c r="BS176">
        <f>9.702387441</f>
        <v>9.7023874410000008</v>
      </c>
      <c r="BT176">
        <f>6.785087127</f>
        <v>6.7850871269999997</v>
      </c>
      <c r="BU176">
        <f>4.720685724</f>
        <v>4.720685724</v>
      </c>
      <c r="BV176">
        <f>6.72277717</f>
        <v>6.7227771699999996</v>
      </c>
      <c r="BW176">
        <f>2.55320933</f>
        <v>2.5532093300000001</v>
      </c>
      <c r="BX176">
        <f>5.552070263</f>
        <v>5.5520702630000001</v>
      </c>
      <c r="BY176">
        <f>6.590554489</f>
        <v>6.5905544889999996</v>
      </c>
      <c r="BZ176">
        <f>2.506908198</f>
        <v>2.5069081980000001</v>
      </c>
      <c r="CA176">
        <f>0.454845367</f>
        <v>0.454845367</v>
      </c>
      <c r="CB176">
        <f>8.007884686</f>
        <v>8.0078846860000006</v>
      </c>
      <c r="CC176">
        <f>11.27136752</f>
        <v>11.27136752</v>
      </c>
      <c r="CD176">
        <f>11.48001095</f>
        <v>11.48001095</v>
      </c>
      <c r="CE176">
        <f>14.42868388</f>
        <v>14.428683879999999</v>
      </c>
      <c r="CF176">
        <f>8.454420951</f>
        <v>8.4544209509999995</v>
      </c>
      <c r="CG176">
        <f>4.703476483</f>
        <v>4.7034764830000002</v>
      </c>
      <c r="CH176">
        <f>3.692924704</f>
        <v>3.6929247040000002</v>
      </c>
      <c r="CI176">
        <f>4.600675483</f>
        <v>4.6006754829999998</v>
      </c>
      <c r="CJ176">
        <f>7.892745162</f>
        <v>7.8927451619999998</v>
      </c>
      <c r="CK176">
        <f>23.35439081</f>
        <v>23.354390810000002</v>
      </c>
      <c r="CL176">
        <f>26.04513835</f>
        <v>26.045138349999998</v>
      </c>
      <c r="CM176">
        <f>27.6527745</f>
        <v>27.6527745</v>
      </c>
      <c r="CN176">
        <f>25.1584384</f>
        <v>25.158438400000001</v>
      </c>
      <c r="CO176">
        <f>12.24287305</f>
        <v>12.24287305</v>
      </c>
      <c r="CP176">
        <f>6.516248928</f>
        <v>6.5162489280000004</v>
      </c>
      <c r="CQ176">
        <f>4.397966724</f>
        <v>4.3979667239999998</v>
      </c>
      <c r="CR176">
        <f>2.655584367</f>
        <v>2.6555843669999999</v>
      </c>
      <c r="CS176">
        <f>-1.188455008</f>
        <v>-1.188455008</v>
      </c>
      <c r="CT176">
        <f>0.637797919</f>
        <v>0.63779791900000005</v>
      </c>
      <c r="CU176">
        <f>-0.896562438</f>
        <v>-0.89656243800000002</v>
      </c>
      <c r="CV176">
        <f>8.172005309</f>
        <v>8.1720053089999993</v>
      </c>
      <c r="CW176">
        <f>10.31126352</f>
        <v>10.311263520000001</v>
      </c>
      <c r="CX176">
        <f>13.73639859</f>
        <v>13.73639859</v>
      </c>
      <c r="CY176">
        <f>14.00632511</f>
        <v>14.006325110000001</v>
      </c>
      <c r="CZ176">
        <f>7.703719688</f>
        <v>7.7037196879999996</v>
      </c>
      <c r="DA176">
        <f>5.534213017</f>
        <v>5.5342130169999999</v>
      </c>
      <c r="DB176">
        <f>5.808518006</f>
        <v>5.8085180059999999</v>
      </c>
      <c r="DC176">
        <f>9.206200094</f>
        <v>9.2062000939999997</v>
      </c>
      <c r="DD176">
        <f>8.254978684</f>
        <v>8.2549786839999992</v>
      </c>
      <c r="DE176">
        <f>8.758969391</f>
        <v>8.7589693910000008</v>
      </c>
      <c r="DF176">
        <f>8.03666064</f>
        <v>8.0366606399999991</v>
      </c>
      <c r="DG176">
        <f>5.886311109</f>
        <v>5.8863111090000002</v>
      </c>
      <c r="DH176">
        <f>2.300155335</f>
        <v>2.3001553349999999</v>
      </c>
      <c r="DI176">
        <f>2.409152921</f>
        <v>2.409152921</v>
      </c>
      <c r="DJ176">
        <f>5.745838141</f>
        <v>5.7458381410000001</v>
      </c>
      <c r="DK176">
        <f>1.550848213</f>
        <v>1.5508482130000001</v>
      </c>
      <c r="DL176">
        <f>3.721146398</f>
        <v>3.7211463980000001</v>
      </c>
      <c r="DM176">
        <f>1.9213753</f>
        <v>1.9213753</v>
      </c>
      <c r="DN176">
        <f>-2.803588593</f>
        <v>-2.8035885930000002</v>
      </c>
      <c r="DO176">
        <f>50.85603329</f>
        <v>50.856033289999999</v>
      </c>
      <c r="DP176">
        <f>75.41714224</f>
        <v>75.417142240000004</v>
      </c>
      <c r="DQ176">
        <f>72.61619027</f>
        <v>72.616190270000004</v>
      </c>
      <c r="DR176">
        <f>70.63036466</f>
        <v>70.630364659999998</v>
      </c>
      <c r="DS176">
        <f>9.981764217</f>
        <v>9.9817642170000003</v>
      </c>
      <c r="DT176">
        <f>0.927043335</f>
        <v>0.92704333500000002</v>
      </c>
      <c r="DU176">
        <f>3.952367451</f>
        <v>3.9523674510000002</v>
      </c>
    </row>
    <row r="177" spans="1:125">
      <c r="A177" t="str">
        <f>"    VEREIT Inc"</f>
        <v xml:space="preserve">    VEREIT Inc</v>
      </c>
      <c r="B177" t="str">
        <f>"VER US Equity"</f>
        <v>VER US Equity</v>
      </c>
      <c r="C177" t="str">
        <f t="shared" si="30"/>
        <v>RR551</v>
      </c>
      <c r="D177" t="str">
        <f t="shared" si="31"/>
        <v>NOI_GROWTH</v>
      </c>
      <c r="E177" t="str">
        <f t="shared" si="32"/>
        <v>动态</v>
      </c>
      <c r="F177" t="str">
        <f ca="1">IF(AND(ISNUMBER($F$628),$B$419=1),$F$628,HLOOKUP(INDIRECT(ADDRESS(2,COLUMN())),OFFSET($BN$2,0,0,ROW()-1,60),ROW()-1,FALSE))</f>
        <v/>
      </c>
      <c r="G177">
        <f ca="1">IF(AND(ISNUMBER($G$628),$B$419=1),$G$628,HLOOKUP(INDIRECT(ADDRESS(2,COLUMN())),OFFSET($BN$2,0,0,ROW()-1,60),ROW()-1,FALSE))</f>
        <v>-0.87019635100000003</v>
      </c>
      <c r="H177">
        <f ca="1">IF(AND(ISNUMBER($H$628),$B$419=1),$H$628,HLOOKUP(INDIRECT(ADDRESS(2,COLUMN())),OFFSET($BN$2,0,0,ROW()-1,60),ROW()-1,FALSE))</f>
        <v>-5.0798352280000003</v>
      </c>
      <c r="I177">
        <f ca="1">IF(AND(ISNUMBER($I$628),$B$419=1),$I$628,HLOOKUP(INDIRECT(ADDRESS(2,COLUMN())),OFFSET($BN$2,0,0,ROW()-1,60),ROW()-1,FALSE))</f>
        <v>-5.4054054049999998</v>
      </c>
      <c r="J177">
        <f ca="1">IF(AND(ISNUMBER($J$628),$B$419=1),$J$628,HLOOKUP(INDIRECT(ADDRESS(2,COLUMN())),OFFSET($BN$2,0,0,ROW()-1,60),ROW()-1,FALSE))</f>
        <v>-5.1742963590000004</v>
      </c>
      <c r="K177">
        <f ca="1">IF(AND(ISNUMBER($K$628),$B$419=1),$K$628,HLOOKUP(INDIRECT(ADDRESS(2,COLUMN())),OFFSET($BN$2,0,0,ROW()-1,60),ROW()-1,FALSE))</f>
        <v>-7.0703357799999997</v>
      </c>
      <c r="L177">
        <f ca="1">IF(AND(ISNUMBER($L$628),$B$419=1),$L$628,HLOOKUP(INDIRECT(ADDRESS(2,COLUMN())),OFFSET($BN$2,0,0,ROW()-1,60),ROW()-1,FALSE))</f>
        <v>-11.83337809</v>
      </c>
      <c r="M177">
        <f ca="1">IF(AND(ISNUMBER($M$628),$B$419=1),$M$628,HLOOKUP(INDIRECT(ADDRESS(2,COLUMN())),OFFSET($BN$2,0,0,ROW()-1,60),ROW()-1,FALSE))</f>
        <v>-12.69274293</v>
      </c>
      <c r="N177">
        <f ca="1">IF(AND(ISNUMBER($N$628),$B$419=1),$N$628,HLOOKUP(INDIRECT(ADDRESS(2,COLUMN())),OFFSET($BN$2,0,0,ROW()-1,60),ROW()-1,FALSE))</f>
        <v>-12.475099200000001</v>
      </c>
      <c r="O177">
        <f ca="1">IF(AND(ISNUMBER($O$628),$B$419=1),$O$628,HLOOKUP(INDIRECT(ADDRESS(2,COLUMN())),OFFSET($BN$2,0,0,ROW()-1,60),ROW()-1,FALSE))</f>
        <v>-9.5734141390000005</v>
      </c>
      <c r="P177">
        <f ca="1">IF(AND(ISNUMBER($P$628),$B$419=1),$P$628,HLOOKUP(INDIRECT(ADDRESS(2,COLUMN())),OFFSET($BN$2,0,0,ROW()-1,60),ROW()-1,FALSE))</f>
        <v>-3.6907967689999999</v>
      </c>
      <c r="Q177">
        <f ca="1">IF(AND(ISNUMBER($Q$628),$B$419=1),$Q$628,HLOOKUP(INDIRECT(ADDRESS(2,COLUMN())),OFFSET($BN$2,0,0,ROW()-1,60),ROW()-1,FALSE))</f>
        <v>13.689333059999999</v>
      </c>
      <c r="R177">
        <f ca="1">IF(AND(ISNUMBER($R$628),$B$419=1),$R$628,HLOOKUP(INDIRECT(ADDRESS(2,COLUMN())),OFFSET($BN$2,0,0,ROW()-1,60),ROW()-1,FALSE))</f>
        <v>65.316644870000005</v>
      </c>
      <c r="S177">
        <f ca="1">IF(AND(ISNUMBER($S$628),$B$419=1),$S$628,HLOOKUP(INDIRECT(ADDRESS(2,COLUMN())),OFFSET($BN$2,0,0,ROW()-1,60),ROW()-1,FALSE))</f>
        <v>316.35853059999999</v>
      </c>
      <c r="T177">
        <f ca="1">IF(AND(ISNUMBER($T$628),$B$419=1),$T$628,HLOOKUP(INDIRECT(ADDRESS(2,COLUMN())),OFFSET($BN$2,0,0,ROW()-1,60),ROW()-1,FALSE))</f>
        <v>266.95215839999997</v>
      </c>
      <c r="U177">
        <f ca="1">IF(AND(ISNUMBER($U$628),$B$419=1),$U$628,HLOOKUP(INDIRECT(ADDRESS(2,COLUMN())),OFFSET($BN$2,0,0,ROW()-1,60),ROW()-1,FALSE))</f>
        <v>440.89515510000001</v>
      </c>
      <c r="V177">
        <f ca="1">IF(AND(ISNUMBER($V$628),$B$419=1),$V$628,HLOOKUP(INDIRECT(ADDRESS(2,COLUMN())),OFFSET($BN$2,0,0,ROW()-1,60),ROW()-1,FALSE))</f>
        <v>387.42130179999998</v>
      </c>
      <c r="W177">
        <f ca="1">IF(AND(ISNUMBER($W$628),$B$419=1),$W$628,HLOOKUP(INDIRECT(ADDRESS(2,COLUMN())),OFFSET($BN$2,0,0,ROW()-1,60),ROW()-1,FALSE))</f>
        <v>175.46820640000001</v>
      </c>
      <c r="X177">
        <f ca="1">IF(AND(ISNUMBER($X$628),$B$419=1),$X$628,HLOOKUP(INDIRECT(ADDRESS(2,COLUMN())),OFFSET($BN$2,0,0,ROW()-1,60),ROW()-1,FALSE))</f>
        <v>389.3991292</v>
      </c>
      <c r="Y177">
        <f ca="1">IF(AND(ISNUMBER($Y$628),$B$419=1),$Y$628,HLOOKUP(INDIRECT(ADDRESS(2,COLUMN())),OFFSET($BN$2,0,0,ROW()-1,60),ROW()-1,FALSE))</f>
        <v>349.0354135</v>
      </c>
      <c r="Z177">
        <f ca="1">IF(AND(ISNUMBER($Z$628),$B$419=1),$Z$628,HLOOKUP(INDIRECT(ADDRESS(2,COLUMN())),OFFSET($BN$2,0,0,ROW()-1,60),ROW()-1,FALSE))</f>
        <v>563.75410120000004</v>
      </c>
      <c r="AA177">
        <f ca="1">IF(AND(ISNUMBER($AA$628),$B$419=1),$AA$628,HLOOKUP(INDIRECT(ADDRESS(2,COLUMN())),OFFSET($BN$2,0,0,ROW()-1,60),ROW()-1,FALSE))</f>
        <v>4419.2996069999999</v>
      </c>
      <c r="AB177">
        <f ca="1">IF(AND(ISNUMBER($AB$628),$B$419=1),$AB$628,HLOOKUP(INDIRECT(ADDRESS(2,COLUMN())),OFFSET($BN$2,0,0,ROW()-1,60),ROW()-1,FALSE))</f>
        <v>2890.4513889999998</v>
      </c>
      <c r="AC177" t="str">
        <f ca="1">IF(AND(ISNUMBER($AC$628),$B$419=1),$AC$628,HLOOKUP(INDIRECT(ADDRESS(2,COLUMN())),OFFSET($BN$2,0,0,ROW()-1,60),ROW()-1,FALSE))</f>
        <v/>
      </c>
      <c r="AD177">
        <f ca="1">IF(AND(ISNUMBER($AD$628),$B$419=1),$AD$628,HLOOKUP(INDIRECT(ADDRESS(2,COLUMN())),OFFSET($BN$2,0,0,ROW()-1,60),ROW()-1,FALSE))</f>
        <v>241.618864</v>
      </c>
      <c r="AE177" t="str">
        <f ca="1">IF(AND(ISNUMBER($AE$628),$B$419=1),$AE$628,HLOOKUP(INDIRECT(ADDRESS(2,COLUMN())),OFFSET($BN$2,0,0,ROW()-1,60),ROW()-1,FALSE))</f>
        <v/>
      </c>
      <c r="AF177" t="str">
        <f ca="1">IF(AND(ISNUMBER($AF$628),$B$419=1),$AF$628,HLOOKUP(INDIRECT(ADDRESS(2,COLUMN())),OFFSET($BN$2,0,0,ROW()-1,60),ROW()-1,FALSE))</f>
        <v/>
      </c>
      <c r="AG177" t="str">
        <f ca="1">IF(AND(ISNUMBER($AG$628),$B$419=1),$AG$628,HLOOKUP(INDIRECT(ADDRESS(2,COLUMN())),OFFSET($BN$2,0,0,ROW()-1,60),ROW()-1,FALSE))</f>
        <v/>
      </c>
      <c r="AH177">
        <f ca="1">IF(AND(ISNUMBER($AH$628),$B$419=1),$AH$628,HLOOKUP(INDIRECT(ADDRESS(2,COLUMN())),OFFSET($BN$2,0,0,ROW()-1,60),ROW()-1,FALSE))</f>
        <v>-3.1261786599999999</v>
      </c>
      <c r="AI177" t="str">
        <f ca="1">IF(AND(ISNUMBER($AI$628),$B$419=1),$AI$628,HLOOKUP(INDIRECT(ADDRESS(2,COLUMN())),OFFSET($BN$2,0,0,ROW()-1,60),ROW()-1,FALSE))</f>
        <v/>
      </c>
      <c r="AJ177" t="str">
        <f ca="1">IF(AND(ISNUMBER($AJ$628),$B$419=1),$AJ$628,HLOOKUP(INDIRECT(ADDRESS(2,COLUMN())),OFFSET($BN$2,0,0,ROW()-1,60),ROW()-1,FALSE))</f>
        <v/>
      </c>
      <c r="AK177" t="str">
        <f ca="1">IF(AND(ISNUMBER($AK$628),$B$419=1),$AK$628,HLOOKUP(INDIRECT(ADDRESS(2,COLUMN())),OFFSET($BN$2,0,0,ROW()-1,60),ROW()-1,FALSE))</f>
        <v/>
      </c>
      <c r="AL177" t="str">
        <f ca="1">IF(AND(ISNUMBER($AL$628),$B$419=1),$AL$628,HLOOKUP(INDIRECT(ADDRESS(2,COLUMN())),OFFSET($BN$2,0,0,ROW()-1,60),ROW()-1,FALSE))</f>
        <v/>
      </c>
      <c r="AM177" t="str">
        <f ca="1">IF(AND(ISNUMBER($AM$628),$B$419=1),$AM$628,HLOOKUP(INDIRECT(ADDRESS(2,COLUMN())),OFFSET($BN$2,0,0,ROW()-1,60),ROW()-1,FALSE))</f>
        <v/>
      </c>
      <c r="AN177" t="str">
        <f ca="1">IF(AND(ISNUMBER($AN$628),$B$419=1),$AN$628,HLOOKUP(INDIRECT(ADDRESS(2,COLUMN())),OFFSET($BN$2,0,0,ROW()-1,60),ROW()-1,FALSE))</f>
        <v/>
      </c>
      <c r="AO177" t="str">
        <f ca="1">IF(AND(ISNUMBER($AO$628),$B$419=1),$AO$628,HLOOKUP(INDIRECT(ADDRESS(2,COLUMN())),OFFSET($BN$2,0,0,ROW()-1,60),ROW()-1,FALSE))</f>
        <v/>
      </c>
      <c r="AP177" t="str">
        <f ca="1">IF(AND(ISNUMBER($AP$628),$B$419=1),$AP$628,HLOOKUP(INDIRECT(ADDRESS(2,COLUMN())),OFFSET($BN$2,0,0,ROW()-1,60),ROW()-1,FALSE))</f>
        <v/>
      </c>
      <c r="AQ177" t="str">
        <f ca="1">IF(AND(ISNUMBER($AQ$628),$B$419=1),$AQ$628,HLOOKUP(INDIRECT(ADDRESS(2,COLUMN())),OFFSET($BN$2,0,0,ROW()-1,60),ROW()-1,FALSE))</f>
        <v/>
      </c>
      <c r="AR177" t="str">
        <f ca="1">IF(AND(ISNUMBER($AR$628),$B$419=1),$AR$628,HLOOKUP(INDIRECT(ADDRESS(2,COLUMN())),OFFSET($BN$2,0,0,ROW()-1,60),ROW()-1,FALSE))</f>
        <v/>
      </c>
      <c r="AS177" t="str">
        <f ca="1">IF(AND(ISNUMBER($AS$628),$B$419=1),$AS$628,HLOOKUP(INDIRECT(ADDRESS(2,COLUMN())),OFFSET($BN$2,0,0,ROW()-1,60),ROW()-1,FALSE))</f>
        <v/>
      </c>
      <c r="AT177" t="str">
        <f ca="1">IF(AND(ISNUMBER($AT$628),$B$419=1),$AT$628,HLOOKUP(INDIRECT(ADDRESS(2,COLUMN())),OFFSET($BN$2,0,0,ROW()-1,60),ROW()-1,FALSE))</f>
        <v/>
      </c>
      <c r="AU177" t="str">
        <f ca="1">IF(AND(ISNUMBER($AU$628),$B$419=1),$AU$628,HLOOKUP(INDIRECT(ADDRESS(2,COLUMN())),OFFSET($BN$2,0,0,ROW()-1,60),ROW()-1,FALSE))</f>
        <v/>
      </c>
      <c r="AV177" t="str">
        <f ca="1">IF(AND(ISNUMBER($AV$628),$B$419=1),$AV$628,HLOOKUP(INDIRECT(ADDRESS(2,COLUMN())),OFFSET($BN$2,0,0,ROW()-1,60),ROW()-1,FALSE))</f>
        <v/>
      </c>
      <c r="AW177" t="str">
        <f ca="1">IF(AND(ISNUMBER($AW$628),$B$419=1),$AW$628,HLOOKUP(INDIRECT(ADDRESS(2,COLUMN())),OFFSET($BN$2,0,0,ROW()-1,60),ROW()-1,FALSE))</f>
        <v/>
      </c>
      <c r="AX177" t="str">
        <f ca="1">IF(AND(ISNUMBER($AX$628),$B$419=1),$AX$628,HLOOKUP(INDIRECT(ADDRESS(2,COLUMN())),OFFSET($BN$2,0,0,ROW()-1,60),ROW()-1,FALSE))</f>
        <v/>
      </c>
      <c r="AY177" t="str">
        <f ca="1">IF(AND(ISNUMBER($AY$628),$B$419=1),$AY$628,HLOOKUP(INDIRECT(ADDRESS(2,COLUMN())),OFFSET($BN$2,0,0,ROW()-1,60),ROW()-1,FALSE))</f>
        <v/>
      </c>
      <c r="AZ177" t="str">
        <f ca="1">IF(AND(ISNUMBER($AZ$628),$B$419=1),$AZ$628,HLOOKUP(INDIRECT(ADDRESS(2,COLUMN())),OFFSET($BN$2,0,0,ROW()-1,60),ROW()-1,FALSE))</f>
        <v/>
      </c>
      <c r="BA177" t="str">
        <f ca="1">IF(AND(ISNUMBER($BA$628),$B$419=1),$BA$628,HLOOKUP(INDIRECT(ADDRESS(2,COLUMN())),OFFSET($BN$2,0,0,ROW()-1,60),ROW()-1,FALSE))</f>
        <v/>
      </c>
      <c r="BB177" t="str">
        <f ca="1">IF(AND(ISNUMBER($BB$628),$B$419=1),$BB$628,HLOOKUP(INDIRECT(ADDRESS(2,COLUMN())),OFFSET($BN$2,0,0,ROW()-1,60),ROW()-1,FALSE))</f>
        <v/>
      </c>
      <c r="BC177" t="str">
        <f ca="1">IF(AND(ISNUMBER($BC$628),$B$419=1),$BC$628,HLOOKUP(INDIRECT(ADDRESS(2,COLUMN())),OFFSET($BN$2,0,0,ROW()-1,60),ROW()-1,FALSE))</f>
        <v/>
      </c>
      <c r="BD177" t="str">
        <f ca="1">IF(AND(ISNUMBER($BD$628),$B$419=1),$BD$628,HLOOKUP(INDIRECT(ADDRESS(2,COLUMN())),OFFSET($BN$2,0,0,ROW()-1,60),ROW()-1,FALSE))</f>
        <v/>
      </c>
      <c r="BE177" t="str">
        <f ca="1">IF(AND(ISNUMBER($BE$628),$B$419=1),$BE$628,HLOOKUP(INDIRECT(ADDRESS(2,COLUMN())),OFFSET($BN$2,0,0,ROW()-1,60),ROW()-1,FALSE))</f>
        <v/>
      </c>
      <c r="BF177" t="str">
        <f ca="1">IF(AND(ISNUMBER($BF$628),$B$419=1),$BF$628,HLOOKUP(INDIRECT(ADDRESS(2,COLUMN())),OFFSET($BN$2,0,0,ROW()-1,60),ROW()-1,FALSE))</f>
        <v/>
      </c>
      <c r="BG177" t="str">
        <f ca="1">IF(AND(ISNUMBER($BG$628),$B$419=1),$BG$628,HLOOKUP(INDIRECT(ADDRESS(2,COLUMN())),OFFSET($BN$2,0,0,ROW()-1,60),ROW()-1,FALSE))</f>
        <v/>
      </c>
      <c r="BH177" t="str">
        <f ca="1">IF(AND(ISNUMBER($BH$628),$B$419=1),$BH$628,HLOOKUP(INDIRECT(ADDRESS(2,COLUMN())),OFFSET($BN$2,0,0,ROW()-1,60),ROW()-1,FALSE))</f>
        <v/>
      </c>
      <c r="BI177" t="str">
        <f ca="1">IF(AND(ISNUMBER($BI$628),$B$419=1),$BI$628,HLOOKUP(INDIRECT(ADDRESS(2,COLUMN())),OFFSET($BN$2,0,0,ROW()-1,60),ROW()-1,FALSE))</f>
        <v/>
      </c>
      <c r="BJ177" t="str">
        <f ca="1">IF(AND(ISNUMBER($BJ$628),$B$419=1),$BJ$628,HLOOKUP(INDIRECT(ADDRESS(2,COLUMN())),OFFSET($BN$2,0,0,ROW()-1,60),ROW()-1,FALSE))</f>
        <v/>
      </c>
      <c r="BK177" t="str">
        <f ca="1">IF(AND(ISNUMBER($BK$628),$B$419=1),$BK$628,HLOOKUP(INDIRECT(ADDRESS(2,COLUMN())),OFFSET($BN$2,0,0,ROW()-1,60),ROW()-1,FALSE))</f>
        <v/>
      </c>
      <c r="BL177" t="str">
        <f ca="1">IF(AND(ISNUMBER($BL$628),$B$419=1),$BL$628,HLOOKUP(INDIRECT(ADDRESS(2,COLUMN())),OFFSET($BN$2,0,0,ROW()-1,60),ROW()-1,FALSE))</f>
        <v/>
      </c>
      <c r="BM177" t="str">
        <f ca="1">IF(AND(ISNUMBER($BM$628),$B$419=1),$BM$628,HLOOKUP(INDIRECT(ADDRESS(2,COLUMN())),OFFSET($BN$2,0,0,ROW()-1,60),ROW()-1,FALSE))</f>
        <v/>
      </c>
      <c r="BN177" t="str">
        <f>""</f>
        <v/>
      </c>
      <c r="BO177">
        <f>-0.870196351</f>
        <v>-0.87019635100000003</v>
      </c>
      <c r="BP177">
        <f>-5.079835228</f>
        <v>-5.0798352280000003</v>
      </c>
      <c r="BQ177">
        <f>-5.405405405</f>
        <v>-5.4054054049999998</v>
      </c>
      <c r="BR177">
        <f>-5.174296359</f>
        <v>-5.1742963590000004</v>
      </c>
      <c r="BS177">
        <f>-7.07033578</f>
        <v>-7.0703357799999997</v>
      </c>
      <c r="BT177">
        <f>-11.83337809</f>
        <v>-11.83337809</v>
      </c>
      <c r="BU177">
        <f>-12.69274293</f>
        <v>-12.69274293</v>
      </c>
      <c r="BV177">
        <f>-12.4750992</f>
        <v>-12.475099200000001</v>
      </c>
      <c r="BW177">
        <f>-9.573414139</f>
        <v>-9.5734141390000005</v>
      </c>
      <c r="BX177">
        <f>-3.690796769</f>
        <v>-3.6907967689999999</v>
      </c>
      <c r="BY177">
        <f>13.68933306</f>
        <v>13.689333059999999</v>
      </c>
      <c r="BZ177">
        <f>65.31664487</f>
        <v>65.316644870000005</v>
      </c>
      <c r="CA177">
        <f>316.3585306</f>
        <v>316.35853059999999</v>
      </c>
      <c r="CB177">
        <f>266.9521584</f>
        <v>266.95215839999997</v>
      </c>
      <c r="CC177">
        <f>440.8951551</f>
        <v>440.89515510000001</v>
      </c>
      <c r="CD177">
        <f>387.4213018</f>
        <v>387.42130179999998</v>
      </c>
      <c r="CE177">
        <f>175.4682064</f>
        <v>175.46820640000001</v>
      </c>
      <c r="CF177">
        <f>389.3991292</f>
        <v>389.3991292</v>
      </c>
      <c r="CG177">
        <f>349.0354135</f>
        <v>349.0354135</v>
      </c>
      <c r="CH177">
        <f>563.7541012</f>
        <v>563.75410120000004</v>
      </c>
      <c r="CI177">
        <f>4419.299607</f>
        <v>4419.2996069999999</v>
      </c>
      <c r="CJ177">
        <f>2890.451389</f>
        <v>2890.4513889999998</v>
      </c>
      <c r="CK177" t="str">
        <f>""</f>
        <v/>
      </c>
      <c r="CL177">
        <f>241.618864</f>
        <v>241.618864</v>
      </c>
      <c r="CM177" t="str">
        <f>""</f>
        <v/>
      </c>
      <c r="CN177" t="str">
        <f>""</f>
        <v/>
      </c>
      <c r="CO177" t="str">
        <f>""</f>
        <v/>
      </c>
      <c r="CP177">
        <f>-3.12617866</f>
        <v>-3.1261786599999999</v>
      </c>
      <c r="CQ177" t="str">
        <f>""</f>
        <v/>
      </c>
      <c r="CR177" t="str">
        <f>""</f>
        <v/>
      </c>
      <c r="CS177" t="str">
        <f>""</f>
        <v/>
      </c>
      <c r="CT177" t="str">
        <f>""</f>
        <v/>
      </c>
      <c r="CU177" t="str">
        <f>""</f>
        <v/>
      </c>
      <c r="CV177" t="str">
        <f>""</f>
        <v/>
      </c>
      <c r="CW177" t="str">
        <f>""</f>
        <v/>
      </c>
      <c r="CX177" t="str">
        <f>""</f>
        <v/>
      </c>
      <c r="CY177" t="str">
        <f>""</f>
        <v/>
      </c>
      <c r="CZ177" t="str">
        <f>""</f>
        <v/>
      </c>
      <c r="DA177" t="str">
        <f>""</f>
        <v/>
      </c>
      <c r="DB177" t="str">
        <f>""</f>
        <v/>
      </c>
      <c r="DC177" t="str">
        <f>""</f>
        <v/>
      </c>
      <c r="DD177" t="str">
        <f>""</f>
        <v/>
      </c>
      <c r="DE177" t="str">
        <f>""</f>
        <v/>
      </c>
      <c r="DF177" t="str">
        <f>""</f>
        <v/>
      </c>
      <c r="DG177" t="str">
        <f>""</f>
        <v/>
      </c>
      <c r="DH177" t="str">
        <f>""</f>
        <v/>
      </c>
      <c r="DI177" t="str">
        <f>""</f>
        <v/>
      </c>
      <c r="DJ177" t="str">
        <f>""</f>
        <v/>
      </c>
      <c r="DK177" t="str">
        <f>""</f>
        <v/>
      </c>
      <c r="DL177" t="str">
        <f>""</f>
        <v/>
      </c>
      <c r="DM177" t="str">
        <f>""</f>
        <v/>
      </c>
      <c r="DN177" t="str">
        <f>""</f>
        <v/>
      </c>
      <c r="DO177" t="str">
        <f>""</f>
        <v/>
      </c>
      <c r="DP177" t="str">
        <f>""</f>
        <v/>
      </c>
      <c r="DQ177" t="str">
        <f>""</f>
        <v/>
      </c>
      <c r="DR177" t="str">
        <f>""</f>
        <v/>
      </c>
      <c r="DS177" t="str">
        <f>""</f>
        <v/>
      </c>
      <c r="DT177" t="str">
        <f>""</f>
        <v/>
      </c>
      <c r="DU177" t="str">
        <f>""</f>
        <v/>
      </c>
    </row>
    <row r="178" spans="1:125">
      <c r="A178" t="str">
        <f>"    Washington Prime Group Inc"</f>
        <v xml:space="preserve">    Washington Prime Group Inc</v>
      </c>
      <c r="B178" t="str">
        <f>"WPG US Equity"</f>
        <v>WPG US Equity</v>
      </c>
      <c r="C178" t="str">
        <f t="shared" si="30"/>
        <v>RR551</v>
      </c>
      <c r="D178" t="str">
        <f t="shared" si="31"/>
        <v>NOI_GROWTH</v>
      </c>
      <c r="E178" t="str">
        <f t="shared" si="32"/>
        <v>动态</v>
      </c>
      <c r="F178" t="str">
        <f ca="1">IF(AND(ISNUMBER($F$629),$B$419=1),$F$629,HLOOKUP(INDIRECT(ADDRESS(2,COLUMN())),OFFSET($BN$2,0,0,ROW()-1,60),ROW()-1,FALSE))</f>
        <v/>
      </c>
      <c r="G178">
        <f ca="1">IF(AND(ISNUMBER($G$629),$B$419=1),$G$629,HLOOKUP(INDIRECT(ADDRESS(2,COLUMN())),OFFSET($BN$2,0,0,ROW()-1,60),ROW()-1,FALSE))</f>
        <v>-12.90485623</v>
      </c>
      <c r="H178">
        <f ca="1">IF(AND(ISNUMBER($H$629),$B$419=1),$H$629,HLOOKUP(INDIRECT(ADDRESS(2,COLUMN())),OFFSET($BN$2,0,0,ROW()-1,60),ROW()-1,FALSE))</f>
        <v>-13.770380579999999</v>
      </c>
      <c r="I178">
        <f ca="1">IF(AND(ISNUMBER($I$629),$B$419=1),$I$629,HLOOKUP(INDIRECT(ADDRESS(2,COLUMN())),OFFSET($BN$2,0,0,ROW()-1,60),ROW()-1,FALSE))</f>
        <v>-6.3836505700000004</v>
      </c>
      <c r="J178">
        <f ca="1">IF(AND(ISNUMBER($J$629),$B$419=1),$J$629,HLOOKUP(INDIRECT(ADDRESS(2,COLUMN())),OFFSET($BN$2,0,0,ROW()-1,60),ROW()-1,FALSE))</f>
        <v>-1.7040566239999999</v>
      </c>
      <c r="K178">
        <f ca="1">IF(AND(ISNUMBER($K$629),$B$419=1),$K$629,HLOOKUP(INDIRECT(ADDRESS(2,COLUMN())),OFFSET($BN$2,0,0,ROW()-1,60),ROW()-1,FALSE))</f>
        <v>-2.4817498800000002</v>
      </c>
      <c r="L178">
        <f ca="1">IF(AND(ISNUMBER($L$629),$B$419=1),$L$629,HLOOKUP(INDIRECT(ADDRESS(2,COLUMN())),OFFSET($BN$2,0,0,ROW()-1,60),ROW()-1,FALSE))</f>
        <v>-1.511263391</v>
      </c>
      <c r="M178">
        <f ca="1">IF(AND(ISNUMBER($M$629),$B$419=1),$M$629,HLOOKUP(INDIRECT(ADDRESS(2,COLUMN())),OFFSET($BN$2,0,0,ROW()-1,60),ROW()-1,FALSE))</f>
        <v>-11.536112879999999</v>
      </c>
      <c r="N178">
        <f ca="1">IF(AND(ISNUMBER($N$629),$B$419=1),$N$629,HLOOKUP(INDIRECT(ADDRESS(2,COLUMN())),OFFSET($BN$2,0,0,ROW()-1,60),ROW()-1,FALSE))</f>
        <v>-8.4211711119999997</v>
      </c>
      <c r="O178">
        <f ca="1">IF(AND(ISNUMBER($O$629),$B$419=1),$O$629,HLOOKUP(INDIRECT(ADDRESS(2,COLUMN())),OFFSET($BN$2,0,0,ROW()-1,60),ROW()-1,FALSE))</f>
        <v>24.207652530000001</v>
      </c>
      <c r="P178">
        <f ca="1">IF(AND(ISNUMBER($P$629),$B$419=1),$P$629,HLOOKUP(INDIRECT(ADDRESS(2,COLUMN())),OFFSET($BN$2,0,0,ROW()-1,60),ROW()-1,FALSE))</f>
        <v>28.17365951</v>
      </c>
      <c r="Q178">
        <f ca="1">IF(AND(ISNUMBER($Q$629),$B$419=1),$Q$629,HLOOKUP(INDIRECT(ADDRESS(2,COLUMN())),OFFSET($BN$2,0,0,ROW()-1,60),ROW()-1,FALSE))</f>
        <v>46.524267780000002</v>
      </c>
      <c r="R178">
        <f ca="1">IF(AND(ISNUMBER($R$629),$B$419=1),$R$629,HLOOKUP(INDIRECT(ADDRESS(2,COLUMN())),OFFSET($BN$2,0,0,ROW()-1,60),ROW()-1,FALSE))</f>
        <v>46.950768629999999</v>
      </c>
      <c r="S178" t="str">
        <f ca="1">IF(AND(ISNUMBER($S$629),$B$419=1),$S$629,HLOOKUP(INDIRECT(ADDRESS(2,COLUMN())),OFFSET($BN$2,0,0,ROW()-1,60),ROW()-1,FALSE))</f>
        <v/>
      </c>
      <c r="T178" t="str">
        <f ca="1">IF(AND(ISNUMBER($T$629),$B$419=1),$T$629,HLOOKUP(INDIRECT(ADDRESS(2,COLUMN())),OFFSET($BN$2,0,0,ROW()-1,60),ROW()-1,FALSE))</f>
        <v/>
      </c>
      <c r="U178" t="str">
        <f ca="1">IF(AND(ISNUMBER($U$629),$B$419=1),$U$629,HLOOKUP(INDIRECT(ADDRESS(2,COLUMN())),OFFSET($BN$2,0,0,ROW()-1,60),ROW()-1,FALSE))</f>
        <v/>
      </c>
      <c r="V178" t="str">
        <f ca="1">IF(AND(ISNUMBER($V$629),$B$419=1),$V$629,HLOOKUP(INDIRECT(ADDRESS(2,COLUMN())),OFFSET($BN$2,0,0,ROW()-1,60),ROW()-1,FALSE))</f>
        <v/>
      </c>
      <c r="W178" t="str">
        <f ca="1">IF(AND(ISNUMBER($W$629),$B$419=1),$W$629,HLOOKUP(INDIRECT(ADDRESS(2,COLUMN())),OFFSET($BN$2,0,0,ROW()-1,60),ROW()-1,FALSE))</f>
        <v/>
      </c>
      <c r="X178" t="str">
        <f ca="1">IF(AND(ISNUMBER($X$629),$B$419=1),$X$629,HLOOKUP(INDIRECT(ADDRESS(2,COLUMN())),OFFSET($BN$2,0,0,ROW()-1,60),ROW()-1,FALSE))</f>
        <v/>
      </c>
      <c r="Y178" t="str">
        <f ca="1">IF(AND(ISNUMBER($Y$629),$B$419=1),$Y$629,HLOOKUP(INDIRECT(ADDRESS(2,COLUMN())),OFFSET($BN$2,0,0,ROW()-1,60),ROW()-1,FALSE))</f>
        <v/>
      </c>
      <c r="Z178" t="str">
        <f ca="1">IF(AND(ISNUMBER($Z$629),$B$419=1),$Z$629,HLOOKUP(INDIRECT(ADDRESS(2,COLUMN())),OFFSET($BN$2,0,0,ROW()-1,60),ROW()-1,FALSE))</f>
        <v/>
      </c>
      <c r="AA178" t="str">
        <f ca="1">IF(AND(ISNUMBER($AA$629),$B$419=1),$AA$629,HLOOKUP(INDIRECT(ADDRESS(2,COLUMN())),OFFSET($BN$2,0,0,ROW()-1,60),ROW()-1,FALSE))</f>
        <v/>
      </c>
      <c r="AB178" t="str">
        <f ca="1">IF(AND(ISNUMBER($AB$629),$B$419=1),$AB$629,HLOOKUP(INDIRECT(ADDRESS(2,COLUMN())),OFFSET($BN$2,0,0,ROW()-1,60),ROW()-1,FALSE))</f>
        <v/>
      </c>
      <c r="AC178" t="str">
        <f ca="1">IF(AND(ISNUMBER($AC$629),$B$419=1),$AC$629,HLOOKUP(INDIRECT(ADDRESS(2,COLUMN())),OFFSET($BN$2,0,0,ROW()-1,60),ROW()-1,FALSE))</f>
        <v/>
      </c>
      <c r="AD178" t="str">
        <f ca="1">IF(AND(ISNUMBER($AD$629),$B$419=1),$AD$629,HLOOKUP(INDIRECT(ADDRESS(2,COLUMN())),OFFSET($BN$2,0,0,ROW()-1,60),ROW()-1,FALSE))</f>
        <v/>
      </c>
      <c r="AE178" t="str">
        <f ca="1">IF(AND(ISNUMBER($AE$629),$B$419=1),$AE$629,HLOOKUP(INDIRECT(ADDRESS(2,COLUMN())),OFFSET($BN$2,0,0,ROW()-1,60),ROW()-1,FALSE))</f>
        <v/>
      </c>
      <c r="AF178" t="str">
        <f ca="1">IF(AND(ISNUMBER($AF$629),$B$419=1),$AF$629,HLOOKUP(INDIRECT(ADDRESS(2,COLUMN())),OFFSET($BN$2,0,0,ROW()-1,60),ROW()-1,FALSE))</f>
        <v/>
      </c>
      <c r="AG178" t="str">
        <f ca="1">IF(AND(ISNUMBER($AG$629),$B$419=1),$AG$629,HLOOKUP(INDIRECT(ADDRESS(2,COLUMN())),OFFSET($BN$2,0,0,ROW()-1,60),ROW()-1,FALSE))</f>
        <v/>
      </c>
      <c r="AH178" t="str">
        <f ca="1">IF(AND(ISNUMBER($AH$629),$B$419=1),$AH$629,HLOOKUP(INDIRECT(ADDRESS(2,COLUMN())),OFFSET($BN$2,0,0,ROW()-1,60),ROW()-1,FALSE))</f>
        <v/>
      </c>
      <c r="AI178" t="str">
        <f ca="1">IF(AND(ISNUMBER($AI$629),$B$419=1),$AI$629,HLOOKUP(INDIRECT(ADDRESS(2,COLUMN())),OFFSET($BN$2,0,0,ROW()-1,60),ROW()-1,FALSE))</f>
        <v/>
      </c>
      <c r="AJ178" t="str">
        <f ca="1">IF(AND(ISNUMBER($AJ$629),$B$419=1),$AJ$629,HLOOKUP(INDIRECT(ADDRESS(2,COLUMN())),OFFSET($BN$2,0,0,ROW()-1,60),ROW()-1,FALSE))</f>
        <v/>
      </c>
      <c r="AK178" t="str">
        <f ca="1">IF(AND(ISNUMBER($AK$629),$B$419=1),$AK$629,HLOOKUP(INDIRECT(ADDRESS(2,COLUMN())),OFFSET($BN$2,0,0,ROW()-1,60),ROW()-1,FALSE))</f>
        <v/>
      </c>
      <c r="AL178" t="str">
        <f ca="1">IF(AND(ISNUMBER($AL$629),$B$419=1),$AL$629,HLOOKUP(INDIRECT(ADDRESS(2,COLUMN())),OFFSET($BN$2,0,0,ROW()-1,60),ROW()-1,FALSE))</f>
        <v/>
      </c>
      <c r="AM178" t="str">
        <f ca="1">IF(AND(ISNUMBER($AM$629),$B$419=1),$AM$629,HLOOKUP(INDIRECT(ADDRESS(2,COLUMN())),OFFSET($BN$2,0,0,ROW()-1,60),ROW()-1,FALSE))</f>
        <v/>
      </c>
      <c r="AN178" t="str">
        <f ca="1">IF(AND(ISNUMBER($AN$629),$B$419=1),$AN$629,HLOOKUP(INDIRECT(ADDRESS(2,COLUMN())),OFFSET($BN$2,0,0,ROW()-1,60),ROW()-1,FALSE))</f>
        <v/>
      </c>
      <c r="AO178" t="str">
        <f ca="1">IF(AND(ISNUMBER($AO$629),$B$419=1),$AO$629,HLOOKUP(INDIRECT(ADDRESS(2,COLUMN())),OFFSET($BN$2,0,0,ROW()-1,60),ROW()-1,FALSE))</f>
        <v/>
      </c>
      <c r="AP178" t="str">
        <f ca="1">IF(AND(ISNUMBER($AP$629),$B$419=1),$AP$629,HLOOKUP(INDIRECT(ADDRESS(2,COLUMN())),OFFSET($BN$2,0,0,ROW()-1,60),ROW()-1,FALSE))</f>
        <v/>
      </c>
      <c r="AQ178" t="str">
        <f ca="1">IF(AND(ISNUMBER($AQ$629),$B$419=1),$AQ$629,HLOOKUP(INDIRECT(ADDRESS(2,COLUMN())),OFFSET($BN$2,0,0,ROW()-1,60),ROW()-1,FALSE))</f>
        <v/>
      </c>
      <c r="AR178" t="str">
        <f ca="1">IF(AND(ISNUMBER($AR$629),$B$419=1),$AR$629,HLOOKUP(INDIRECT(ADDRESS(2,COLUMN())),OFFSET($BN$2,0,0,ROW()-1,60),ROW()-1,FALSE))</f>
        <v/>
      </c>
      <c r="AS178" t="str">
        <f ca="1">IF(AND(ISNUMBER($AS$629),$B$419=1),$AS$629,HLOOKUP(INDIRECT(ADDRESS(2,COLUMN())),OFFSET($BN$2,0,0,ROW()-1,60),ROW()-1,FALSE))</f>
        <v/>
      </c>
      <c r="AT178" t="str">
        <f ca="1">IF(AND(ISNUMBER($AT$629),$B$419=1),$AT$629,HLOOKUP(INDIRECT(ADDRESS(2,COLUMN())),OFFSET($BN$2,0,0,ROW()-1,60),ROW()-1,FALSE))</f>
        <v/>
      </c>
      <c r="AU178" t="str">
        <f ca="1">IF(AND(ISNUMBER($AU$629),$B$419=1),$AU$629,HLOOKUP(INDIRECT(ADDRESS(2,COLUMN())),OFFSET($BN$2,0,0,ROW()-1,60),ROW()-1,FALSE))</f>
        <v/>
      </c>
      <c r="AV178" t="str">
        <f ca="1">IF(AND(ISNUMBER($AV$629),$B$419=1),$AV$629,HLOOKUP(INDIRECT(ADDRESS(2,COLUMN())),OFFSET($BN$2,0,0,ROW()-1,60),ROW()-1,FALSE))</f>
        <v/>
      </c>
      <c r="AW178" t="str">
        <f ca="1">IF(AND(ISNUMBER($AW$629),$B$419=1),$AW$629,HLOOKUP(INDIRECT(ADDRESS(2,COLUMN())),OFFSET($BN$2,0,0,ROW()-1,60),ROW()-1,FALSE))</f>
        <v/>
      </c>
      <c r="AX178" t="str">
        <f ca="1">IF(AND(ISNUMBER($AX$629),$B$419=1),$AX$629,HLOOKUP(INDIRECT(ADDRESS(2,COLUMN())),OFFSET($BN$2,0,0,ROW()-1,60),ROW()-1,FALSE))</f>
        <v/>
      </c>
      <c r="AY178" t="str">
        <f ca="1">IF(AND(ISNUMBER($AY$629),$B$419=1),$AY$629,HLOOKUP(INDIRECT(ADDRESS(2,COLUMN())),OFFSET($BN$2,0,0,ROW()-1,60),ROW()-1,FALSE))</f>
        <v/>
      </c>
      <c r="AZ178" t="str">
        <f ca="1">IF(AND(ISNUMBER($AZ$629),$B$419=1),$AZ$629,HLOOKUP(INDIRECT(ADDRESS(2,COLUMN())),OFFSET($BN$2,0,0,ROW()-1,60),ROW()-1,FALSE))</f>
        <v/>
      </c>
      <c r="BA178" t="str">
        <f ca="1">IF(AND(ISNUMBER($BA$629),$B$419=1),$BA$629,HLOOKUP(INDIRECT(ADDRESS(2,COLUMN())),OFFSET($BN$2,0,0,ROW()-1,60),ROW()-1,FALSE))</f>
        <v/>
      </c>
      <c r="BB178" t="str">
        <f ca="1">IF(AND(ISNUMBER($BB$629),$B$419=1),$BB$629,HLOOKUP(INDIRECT(ADDRESS(2,COLUMN())),OFFSET($BN$2,0,0,ROW()-1,60),ROW()-1,FALSE))</f>
        <v/>
      </c>
      <c r="BC178" t="str">
        <f ca="1">IF(AND(ISNUMBER($BC$629),$B$419=1),$BC$629,HLOOKUP(INDIRECT(ADDRESS(2,COLUMN())),OFFSET($BN$2,0,0,ROW()-1,60),ROW()-1,FALSE))</f>
        <v/>
      </c>
      <c r="BD178" t="str">
        <f ca="1">IF(AND(ISNUMBER($BD$629),$B$419=1),$BD$629,HLOOKUP(INDIRECT(ADDRESS(2,COLUMN())),OFFSET($BN$2,0,0,ROW()-1,60),ROW()-1,FALSE))</f>
        <v/>
      </c>
      <c r="BE178" t="str">
        <f ca="1">IF(AND(ISNUMBER($BE$629),$B$419=1),$BE$629,HLOOKUP(INDIRECT(ADDRESS(2,COLUMN())),OFFSET($BN$2,0,0,ROW()-1,60),ROW()-1,FALSE))</f>
        <v/>
      </c>
      <c r="BF178" t="str">
        <f ca="1">IF(AND(ISNUMBER($BF$629),$B$419=1),$BF$629,HLOOKUP(INDIRECT(ADDRESS(2,COLUMN())),OFFSET($BN$2,0,0,ROW()-1,60),ROW()-1,FALSE))</f>
        <v/>
      </c>
      <c r="BG178" t="str">
        <f ca="1">IF(AND(ISNUMBER($BG$629),$B$419=1),$BG$629,HLOOKUP(INDIRECT(ADDRESS(2,COLUMN())),OFFSET($BN$2,0,0,ROW()-1,60),ROW()-1,FALSE))</f>
        <v/>
      </c>
      <c r="BH178" t="str">
        <f ca="1">IF(AND(ISNUMBER($BH$629),$B$419=1),$BH$629,HLOOKUP(INDIRECT(ADDRESS(2,COLUMN())),OFFSET($BN$2,0,0,ROW()-1,60),ROW()-1,FALSE))</f>
        <v/>
      </c>
      <c r="BI178" t="str">
        <f ca="1">IF(AND(ISNUMBER($BI$629),$B$419=1),$BI$629,HLOOKUP(INDIRECT(ADDRESS(2,COLUMN())),OFFSET($BN$2,0,0,ROW()-1,60),ROW()-1,FALSE))</f>
        <v/>
      </c>
      <c r="BJ178" t="str">
        <f ca="1">IF(AND(ISNUMBER($BJ$629),$B$419=1),$BJ$629,HLOOKUP(INDIRECT(ADDRESS(2,COLUMN())),OFFSET($BN$2,0,0,ROW()-1,60),ROW()-1,FALSE))</f>
        <v/>
      </c>
      <c r="BK178" t="str">
        <f ca="1">IF(AND(ISNUMBER($BK$629),$B$419=1),$BK$629,HLOOKUP(INDIRECT(ADDRESS(2,COLUMN())),OFFSET($BN$2,0,0,ROW()-1,60),ROW()-1,FALSE))</f>
        <v/>
      </c>
      <c r="BL178" t="str">
        <f ca="1">IF(AND(ISNUMBER($BL$629),$B$419=1),$BL$629,HLOOKUP(INDIRECT(ADDRESS(2,COLUMN())),OFFSET($BN$2,0,0,ROW()-1,60),ROW()-1,FALSE))</f>
        <v/>
      </c>
      <c r="BM178" t="str">
        <f ca="1">IF(AND(ISNUMBER($BM$629),$B$419=1),$BM$629,HLOOKUP(INDIRECT(ADDRESS(2,COLUMN())),OFFSET($BN$2,0,0,ROW()-1,60),ROW()-1,FALSE))</f>
        <v/>
      </c>
      <c r="BN178" t="str">
        <f>""</f>
        <v/>
      </c>
      <c r="BO178">
        <f>-12.90485623</f>
        <v>-12.90485623</v>
      </c>
      <c r="BP178">
        <f>-13.77038058</f>
        <v>-13.770380579999999</v>
      </c>
      <c r="BQ178">
        <f>-6.38365057</f>
        <v>-6.3836505700000004</v>
      </c>
      <c r="BR178">
        <f>-1.704056624</f>
        <v>-1.7040566239999999</v>
      </c>
      <c r="BS178">
        <f>-2.48174988</f>
        <v>-2.4817498800000002</v>
      </c>
      <c r="BT178">
        <f>-1.511263391</f>
        <v>-1.511263391</v>
      </c>
      <c r="BU178">
        <f>-11.53611288</f>
        <v>-11.536112879999999</v>
      </c>
      <c r="BV178">
        <f>-8.421171112</f>
        <v>-8.4211711119999997</v>
      </c>
      <c r="BW178">
        <f>24.20765253</f>
        <v>24.207652530000001</v>
      </c>
      <c r="BX178">
        <f>28.17365951</f>
        <v>28.17365951</v>
      </c>
      <c r="BY178">
        <f>46.52426778</f>
        <v>46.524267780000002</v>
      </c>
      <c r="BZ178">
        <f>46.95076863</f>
        <v>46.950768629999999</v>
      </c>
      <c r="CA178" t="str">
        <f>""</f>
        <v/>
      </c>
      <c r="CB178" t="str">
        <f>""</f>
        <v/>
      </c>
      <c r="CC178" t="str">
        <f>""</f>
        <v/>
      </c>
      <c r="CD178" t="str">
        <f>""</f>
        <v/>
      </c>
      <c r="CE178" t="str">
        <f>""</f>
        <v/>
      </c>
      <c r="CF178" t="str">
        <f>""</f>
        <v/>
      </c>
      <c r="CG178" t="str">
        <f>""</f>
        <v/>
      </c>
      <c r="CH178" t="str">
        <f>""</f>
        <v/>
      </c>
      <c r="CI178" t="str">
        <f>""</f>
        <v/>
      </c>
      <c r="CJ178" t="str">
        <f>""</f>
        <v/>
      </c>
      <c r="CK178" t="str">
        <f>""</f>
        <v/>
      </c>
      <c r="CL178" t="str">
        <f>""</f>
        <v/>
      </c>
      <c r="CM178" t="str">
        <f>""</f>
        <v/>
      </c>
      <c r="CN178" t="str">
        <f>""</f>
        <v/>
      </c>
      <c r="CO178" t="str">
        <f>""</f>
        <v/>
      </c>
      <c r="CP178" t="str">
        <f>""</f>
        <v/>
      </c>
      <c r="CQ178" t="str">
        <f>""</f>
        <v/>
      </c>
      <c r="CR178" t="str">
        <f>""</f>
        <v/>
      </c>
      <c r="CS178" t="str">
        <f>""</f>
        <v/>
      </c>
      <c r="CT178" t="str">
        <f>""</f>
        <v/>
      </c>
      <c r="CU178" t="str">
        <f>""</f>
        <v/>
      </c>
      <c r="CV178" t="str">
        <f>""</f>
        <v/>
      </c>
      <c r="CW178" t="str">
        <f>""</f>
        <v/>
      </c>
      <c r="CX178" t="str">
        <f>""</f>
        <v/>
      </c>
      <c r="CY178" t="str">
        <f>""</f>
        <v/>
      </c>
      <c r="CZ178" t="str">
        <f>""</f>
        <v/>
      </c>
      <c r="DA178" t="str">
        <f>""</f>
        <v/>
      </c>
      <c r="DB178" t="str">
        <f>""</f>
        <v/>
      </c>
      <c r="DC178" t="str">
        <f>""</f>
        <v/>
      </c>
      <c r="DD178" t="str">
        <f>""</f>
        <v/>
      </c>
      <c r="DE178" t="str">
        <f>""</f>
        <v/>
      </c>
      <c r="DF178" t="str">
        <f>""</f>
        <v/>
      </c>
      <c r="DG178" t="str">
        <f>""</f>
        <v/>
      </c>
      <c r="DH178" t="str">
        <f>""</f>
        <v/>
      </c>
      <c r="DI178" t="str">
        <f>""</f>
        <v/>
      </c>
      <c r="DJ178" t="str">
        <f>""</f>
        <v/>
      </c>
      <c r="DK178" t="str">
        <f>""</f>
        <v/>
      </c>
      <c r="DL178" t="str">
        <f>""</f>
        <v/>
      </c>
      <c r="DM178" t="str">
        <f>""</f>
        <v/>
      </c>
      <c r="DN178" t="str">
        <f>""</f>
        <v/>
      </c>
      <c r="DO178" t="str">
        <f>""</f>
        <v/>
      </c>
      <c r="DP178" t="str">
        <f>""</f>
        <v/>
      </c>
      <c r="DQ178" t="str">
        <f>""</f>
        <v/>
      </c>
      <c r="DR178" t="str">
        <f>""</f>
        <v/>
      </c>
      <c r="DS178" t="str">
        <f>""</f>
        <v/>
      </c>
      <c r="DT178" t="str">
        <f>""</f>
        <v/>
      </c>
      <c r="DU178" t="str">
        <f>""</f>
        <v/>
      </c>
    </row>
    <row r="179" spans="1:125">
      <c r="A179" t="str">
        <f>"    Weingarten Realty Investors"</f>
        <v xml:space="preserve">    Weingarten Realty Investors</v>
      </c>
      <c r="B179" t="str">
        <f>"WRI US Equity"</f>
        <v>WRI US Equity</v>
      </c>
      <c r="C179" t="str">
        <f t="shared" si="30"/>
        <v>RR551</v>
      </c>
      <c r="D179" t="str">
        <f t="shared" si="31"/>
        <v>NOI_GROWTH</v>
      </c>
      <c r="E179" t="str">
        <f t="shared" si="32"/>
        <v>动态</v>
      </c>
      <c r="F179" t="str">
        <f ca="1">IF(AND(ISNUMBER($F$630),$B$419=1),$F$630,HLOOKUP(INDIRECT(ADDRESS(2,COLUMN())),OFFSET($BN$2,0,0,ROW()-1,60),ROW()-1,FALSE))</f>
        <v/>
      </c>
      <c r="G179">
        <f ca="1">IF(AND(ISNUMBER($G$630),$B$419=1),$G$630,HLOOKUP(INDIRECT(ADDRESS(2,COLUMN())),OFFSET($BN$2,0,0,ROW()-1,60),ROW()-1,FALSE))</f>
        <v>-4.9477402000000001</v>
      </c>
      <c r="H179">
        <f ca="1">IF(AND(ISNUMBER($H$630),$B$419=1),$H$630,HLOOKUP(INDIRECT(ADDRESS(2,COLUMN())),OFFSET($BN$2,0,0,ROW()-1,60),ROW()-1,FALSE))</f>
        <v>9.5129380000000003E-3</v>
      </c>
      <c r="I179">
        <f ca="1">IF(AND(ISNUMBER($I$630),$B$419=1),$I$630,HLOOKUP(INDIRECT(ADDRESS(2,COLUMN())),OFFSET($BN$2,0,0,ROW()-1,60),ROW()-1,FALSE))</f>
        <v>4.5969427029999999</v>
      </c>
      <c r="J179">
        <f ca="1">IF(AND(ISNUMBER($J$630),$B$419=1),$J$630,HLOOKUP(INDIRECT(ADDRESS(2,COLUMN())),OFFSET($BN$2,0,0,ROW()-1,60),ROW()-1,FALSE))</f>
        <v>4.7971183630000001</v>
      </c>
      <c r="K179">
        <f ca="1">IF(AND(ISNUMBER($K$630),$B$419=1),$K$630,HLOOKUP(INDIRECT(ADDRESS(2,COLUMN())),OFFSET($BN$2,0,0,ROW()-1,60),ROW()-1,FALSE))</f>
        <v>11.083485400000001</v>
      </c>
      <c r="L179">
        <f ca="1">IF(AND(ISNUMBER($L$630),$B$419=1),$L$630,HLOOKUP(INDIRECT(ADDRESS(2,COLUMN())),OFFSET($BN$2,0,0,ROW()-1,60),ROW()-1,FALSE))</f>
        <v>7.2738199180000001</v>
      </c>
      <c r="M179">
        <f ca="1">IF(AND(ISNUMBER($M$630),$B$419=1),$M$630,HLOOKUP(INDIRECT(ADDRESS(2,COLUMN())),OFFSET($BN$2,0,0,ROW()-1,60),ROW()-1,FALSE))</f>
        <v>4.9854523620000002</v>
      </c>
      <c r="N179">
        <f ca="1">IF(AND(ISNUMBER($N$630),$B$419=1),$N$630,HLOOKUP(INDIRECT(ADDRESS(2,COLUMN())),OFFSET($BN$2,0,0,ROW()-1,60),ROW()-1,FALSE))</f>
        <v>4.295110362</v>
      </c>
      <c r="O179">
        <f ca="1">IF(AND(ISNUMBER($O$630),$B$419=1),$O$630,HLOOKUP(INDIRECT(ADDRESS(2,COLUMN())),OFFSET($BN$2,0,0,ROW()-1,60),ROW()-1,FALSE))</f>
        <v>3.0898744300000001</v>
      </c>
      <c r="P179">
        <f ca="1">IF(AND(ISNUMBER($P$630),$B$419=1),$P$630,HLOOKUP(INDIRECT(ADDRESS(2,COLUMN())),OFFSET($BN$2,0,0,ROW()-1,60),ROW()-1,FALSE))</f>
        <v>-1.02684383</v>
      </c>
      <c r="Q179">
        <f ca="1">IF(AND(ISNUMBER($Q$630),$B$419=1),$Q$630,HLOOKUP(INDIRECT(ADDRESS(2,COLUMN())),OFFSET($BN$2,0,0,ROW()-1,60),ROW()-1,FALSE))</f>
        <v>-1.0295613219999999</v>
      </c>
      <c r="R179">
        <f ca="1">IF(AND(ISNUMBER($R$630),$B$419=1),$R$630,HLOOKUP(INDIRECT(ADDRESS(2,COLUMN())),OFFSET($BN$2,0,0,ROW()-1,60),ROW()-1,FALSE))</f>
        <v>9.0196676000000003E-2</v>
      </c>
      <c r="S179">
        <f ca="1">IF(AND(ISNUMBER($S$630),$B$419=1),$S$630,HLOOKUP(INDIRECT(ADDRESS(2,COLUMN())),OFFSET($BN$2,0,0,ROW()-1,60),ROW()-1,FALSE))</f>
        <v>3.0883351110000001</v>
      </c>
      <c r="T179">
        <f ca="1">IF(AND(ISNUMBER($T$630),$B$419=1),$T$630,HLOOKUP(INDIRECT(ADDRESS(2,COLUMN())),OFFSET($BN$2,0,0,ROW()-1,60),ROW()-1,FALSE))</f>
        <v>9.7199990150000009</v>
      </c>
      <c r="U179">
        <f ca="1">IF(AND(ISNUMBER($U$630),$B$419=1),$U$630,HLOOKUP(INDIRECT(ADDRESS(2,COLUMN())),OFFSET($BN$2,0,0,ROW()-1,60),ROW()-1,FALSE))</f>
        <v>8.8226516450000005</v>
      </c>
      <c r="V179">
        <f ca="1">IF(AND(ISNUMBER($V$630),$B$419=1),$V$630,HLOOKUP(INDIRECT(ADDRESS(2,COLUMN())),OFFSET($BN$2,0,0,ROW()-1,60),ROW()-1,FALSE))</f>
        <v>8.6257793609999993</v>
      </c>
      <c r="W179">
        <f ca="1">IF(AND(ISNUMBER($W$630),$B$419=1),$W$630,HLOOKUP(INDIRECT(ADDRESS(2,COLUMN())),OFFSET($BN$2,0,0,ROW()-1,60),ROW()-1,FALSE))</f>
        <v>2.6743824279999999</v>
      </c>
      <c r="X179">
        <f ca="1">IF(AND(ISNUMBER($X$630),$B$419=1),$X$630,HLOOKUP(INDIRECT(ADDRESS(2,COLUMN())),OFFSET($BN$2,0,0,ROW()-1,60),ROW()-1,FALSE))</f>
        <v>2.1289973720000002</v>
      </c>
      <c r="Y179">
        <f ca="1">IF(AND(ISNUMBER($Y$630),$B$419=1),$Y$630,HLOOKUP(INDIRECT(ADDRESS(2,COLUMN())),OFFSET($BN$2,0,0,ROW()-1,60),ROW()-1,FALSE))</f>
        <v>1.626416954</v>
      </c>
      <c r="Z179">
        <f ca="1">IF(AND(ISNUMBER($Z$630),$B$419=1),$Z$630,HLOOKUP(INDIRECT(ADDRESS(2,COLUMN())),OFFSET($BN$2,0,0,ROW()-1,60),ROW()-1,FALSE))</f>
        <v>-1.6075318629999999</v>
      </c>
      <c r="AA179">
        <f ca="1">IF(AND(ISNUMBER($AA$630),$B$419=1),$AA$630,HLOOKUP(INDIRECT(ADDRESS(2,COLUMN())),OFFSET($BN$2,0,0,ROW()-1,60),ROW()-1,FALSE))</f>
        <v>0.49022673</v>
      </c>
      <c r="AB179">
        <f ca="1">IF(AND(ISNUMBER($AB$630),$B$419=1),$AB$630,HLOOKUP(INDIRECT(ADDRESS(2,COLUMN())),OFFSET($BN$2,0,0,ROW()-1,60),ROW()-1,FALSE))</f>
        <v>-3.7206092449999999</v>
      </c>
      <c r="AC179">
        <f ca="1">IF(AND(ISNUMBER($AC$630),$B$419=1),$AC$630,HLOOKUP(INDIRECT(ADDRESS(2,COLUMN())),OFFSET($BN$2,0,0,ROW()-1,60),ROW()-1,FALSE))</f>
        <v>-1.652974733</v>
      </c>
      <c r="AD179">
        <f ca="1">IF(AND(ISNUMBER($AD$630),$B$419=1),$AD$630,HLOOKUP(INDIRECT(ADDRESS(2,COLUMN())),OFFSET($BN$2,0,0,ROW()-1,60),ROW()-1,FALSE))</f>
        <v>0.15548589299999999</v>
      </c>
      <c r="AE179">
        <f ca="1">IF(AND(ISNUMBER($AE$630),$B$419=1),$AE$630,HLOOKUP(INDIRECT(ADDRESS(2,COLUMN())),OFFSET($BN$2,0,0,ROW()-1,60),ROW()-1,FALSE))</f>
        <v>-10.216478410000001</v>
      </c>
      <c r="AF179">
        <f ca="1">IF(AND(ISNUMBER($AF$630),$B$419=1),$AF$630,HLOOKUP(INDIRECT(ADDRESS(2,COLUMN())),OFFSET($BN$2,0,0,ROW()-1,60),ROW()-1,FALSE))</f>
        <v>-8.5803466670000006</v>
      </c>
      <c r="AG179">
        <f ca="1">IF(AND(ISNUMBER($AG$630),$B$419=1),$AG$630,HLOOKUP(INDIRECT(ADDRESS(2,COLUMN())),OFFSET($BN$2,0,0,ROW()-1,60),ROW()-1,FALSE))</f>
        <v>-13.03487857</v>
      </c>
      <c r="AH179">
        <f ca="1">IF(AND(ISNUMBER($AH$630),$B$419=1),$AH$630,HLOOKUP(INDIRECT(ADDRESS(2,COLUMN())),OFFSET($BN$2,0,0,ROW()-1,60),ROW()-1,FALSE))</f>
        <v>-12.54715326</v>
      </c>
      <c r="AI179">
        <f ca="1">IF(AND(ISNUMBER($AI$630),$B$419=1),$AI$630,HLOOKUP(INDIRECT(ADDRESS(2,COLUMN())),OFFSET($BN$2,0,0,ROW()-1,60),ROW()-1,FALSE))</f>
        <v>-3.853959755</v>
      </c>
      <c r="AJ179">
        <f ca="1">IF(AND(ISNUMBER($AJ$630),$B$419=1),$AJ$630,HLOOKUP(INDIRECT(ADDRESS(2,COLUMN())),OFFSET($BN$2,0,0,ROW()-1,60),ROW()-1,FALSE))</f>
        <v>-4.4655225290000002</v>
      </c>
      <c r="AK179">
        <f ca="1">IF(AND(ISNUMBER($AK$630),$B$419=1),$AK$630,HLOOKUP(INDIRECT(ADDRESS(2,COLUMN())),OFFSET($BN$2,0,0,ROW()-1,60),ROW()-1,FALSE))</f>
        <v>-1.4601883010000001</v>
      </c>
      <c r="AL179">
        <f ca="1">IF(AND(ISNUMBER($AL$630),$B$419=1),$AL$630,HLOOKUP(INDIRECT(ADDRESS(2,COLUMN())),OFFSET($BN$2,0,0,ROW()-1,60),ROW()-1,FALSE))</f>
        <v>-8.189195175</v>
      </c>
      <c r="AM179">
        <f ca="1">IF(AND(ISNUMBER($AM$630),$B$419=1),$AM$630,HLOOKUP(INDIRECT(ADDRESS(2,COLUMN())),OFFSET($BN$2,0,0,ROW()-1,60),ROW()-1,FALSE))</f>
        <v>4.8300212760000001</v>
      </c>
      <c r="AN179">
        <f ca="1">IF(AND(ISNUMBER($AN$630),$B$419=1),$AN$630,HLOOKUP(INDIRECT(ADDRESS(2,COLUMN())),OFFSET($BN$2,0,0,ROW()-1,60),ROW()-1,FALSE))</f>
        <v>-8.816638223</v>
      </c>
      <c r="AO179">
        <f ca="1">IF(AND(ISNUMBER($AO$630),$B$419=1),$AO$630,HLOOKUP(INDIRECT(ADDRESS(2,COLUMN())),OFFSET($BN$2,0,0,ROW()-1,60),ROW()-1,FALSE))</f>
        <v>-10.842275190000001</v>
      </c>
      <c r="AP179">
        <f ca="1">IF(AND(ISNUMBER($AP$630),$B$419=1),$AP$630,HLOOKUP(INDIRECT(ADDRESS(2,COLUMN())),OFFSET($BN$2,0,0,ROW()-1,60),ROW()-1,FALSE))</f>
        <v>-5.2449820650000003</v>
      </c>
      <c r="AQ179">
        <f ca="1">IF(AND(ISNUMBER($AQ$630),$B$419=1),$AQ$630,HLOOKUP(INDIRECT(ADDRESS(2,COLUMN())),OFFSET($BN$2,0,0,ROW()-1,60),ROW()-1,FALSE))</f>
        <v>-13.740726280000001</v>
      </c>
      <c r="AR179">
        <f ca="1">IF(AND(ISNUMBER($AR$630),$B$419=1),$AR$630,HLOOKUP(INDIRECT(ADDRESS(2,COLUMN())),OFFSET($BN$2,0,0,ROW()-1,60),ROW()-1,FALSE))</f>
        <v>2.3507120229999998</v>
      </c>
      <c r="AS179">
        <f ca="1">IF(AND(ISNUMBER($AS$630),$B$419=1),$AS$630,HLOOKUP(INDIRECT(ADDRESS(2,COLUMN())),OFFSET($BN$2,0,0,ROW()-1,60),ROW()-1,FALSE))</f>
        <v>7.165026611</v>
      </c>
      <c r="AT179">
        <f ca="1">IF(AND(ISNUMBER($AT$630),$B$419=1),$AT$630,HLOOKUP(INDIRECT(ADDRESS(2,COLUMN())),OFFSET($BN$2,0,0,ROW()-1,60),ROW()-1,FALSE))</f>
        <v>3.333924804</v>
      </c>
      <c r="AU179">
        <f ca="1">IF(AND(ISNUMBER($AU$630),$B$419=1),$AU$630,HLOOKUP(INDIRECT(ADDRESS(2,COLUMN())),OFFSET($BN$2,0,0,ROW()-1,60),ROW()-1,FALSE))</f>
        <v>4.2211392700000001</v>
      </c>
      <c r="AV179">
        <f ca="1">IF(AND(ISNUMBER($AV$630),$B$419=1),$AV$630,HLOOKUP(INDIRECT(ADDRESS(2,COLUMN())),OFFSET($BN$2,0,0,ROW()-1,60),ROW()-1,FALSE))</f>
        <v>5.6720060070000002</v>
      </c>
      <c r="AW179">
        <f ca="1">IF(AND(ISNUMBER($AW$630),$B$419=1),$AW$630,HLOOKUP(INDIRECT(ADDRESS(2,COLUMN())),OFFSET($BN$2,0,0,ROW()-1,60),ROW()-1,FALSE))</f>
        <v>3.9531587190000002</v>
      </c>
      <c r="AX179">
        <f ca="1">IF(AND(ISNUMBER($AX$630),$B$419=1),$AX$630,HLOOKUP(INDIRECT(ADDRESS(2,COLUMN())),OFFSET($BN$2,0,0,ROW()-1,60),ROW()-1,FALSE))</f>
        <v>6.527629009</v>
      </c>
      <c r="AY179">
        <f ca="1">IF(AND(ISNUMBER($AY$630),$B$419=1),$AY$630,HLOOKUP(INDIRECT(ADDRESS(2,COLUMN())),OFFSET($BN$2,0,0,ROW()-1,60),ROW()-1,FALSE))</f>
        <v>14.094185660000001</v>
      </c>
      <c r="AZ179">
        <f ca="1">IF(AND(ISNUMBER($AZ$630),$B$419=1),$AZ$630,HLOOKUP(INDIRECT(ADDRESS(2,COLUMN())),OFFSET($BN$2,0,0,ROW()-1,60),ROW()-1,FALSE))</f>
        <v>2.29789413</v>
      </c>
      <c r="BA179">
        <f ca="1">IF(AND(ISNUMBER($BA$630),$B$419=1),$BA$630,HLOOKUP(INDIRECT(ADDRESS(2,COLUMN())),OFFSET($BN$2,0,0,ROW()-1,60),ROW()-1,FALSE))</f>
        <v>0.219454015</v>
      </c>
      <c r="BB179">
        <f ca="1">IF(AND(ISNUMBER($BB$630),$B$419=1),$BB$630,HLOOKUP(INDIRECT(ADDRESS(2,COLUMN())),OFFSET($BN$2,0,0,ROW()-1,60),ROW()-1,FALSE))</f>
        <v>1.0151799640000001</v>
      </c>
      <c r="BC179">
        <f ca="1">IF(AND(ISNUMBER($BC$630),$B$419=1),$BC$630,HLOOKUP(INDIRECT(ADDRESS(2,COLUMN())),OFFSET($BN$2,0,0,ROW()-1,60),ROW()-1,FALSE))</f>
        <v>-5.1692443170000004</v>
      </c>
      <c r="BD179">
        <f ca="1">IF(AND(ISNUMBER($BD$630),$B$419=1),$BD$630,HLOOKUP(INDIRECT(ADDRESS(2,COLUMN())),OFFSET($BN$2,0,0,ROW()-1,60),ROW()-1,FALSE))</f>
        <v>2.849431101</v>
      </c>
      <c r="BE179">
        <f ca="1">IF(AND(ISNUMBER($BE$630),$B$419=1),$BE$630,HLOOKUP(INDIRECT(ADDRESS(2,COLUMN())),OFFSET($BN$2,0,0,ROW()-1,60),ROW()-1,FALSE))</f>
        <v>8.5892862189999999</v>
      </c>
      <c r="BF179">
        <f ca="1">IF(AND(ISNUMBER($BF$630),$B$419=1),$BF$630,HLOOKUP(INDIRECT(ADDRESS(2,COLUMN())),OFFSET($BN$2,0,0,ROW()-1,60),ROW()-1,FALSE))</f>
        <v>13.56342062</v>
      </c>
      <c r="BG179">
        <f ca="1">IF(AND(ISNUMBER($BG$630),$B$419=1),$BG$630,HLOOKUP(INDIRECT(ADDRESS(2,COLUMN())),OFFSET($BN$2,0,0,ROW()-1,60),ROW()-1,FALSE))</f>
        <v>15.590646830000001</v>
      </c>
      <c r="BH179">
        <f ca="1">IF(AND(ISNUMBER($BH$630),$B$419=1),$BH$630,HLOOKUP(INDIRECT(ADDRESS(2,COLUMN())),OFFSET($BN$2,0,0,ROW()-1,60),ROW()-1,FALSE))</f>
        <v>23.575993480000001</v>
      </c>
      <c r="BI179">
        <f ca="1">IF(AND(ISNUMBER($BI$630),$B$419=1),$BI$630,HLOOKUP(INDIRECT(ADDRESS(2,COLUMN())),OFFSET($BN$2,0,0,ROW()-1,60),ROW()-1,FALSE))</f>
        <v>19.910005420000001</v>
      </c>
      <c r="BJ179">
        <f ca="1">IF(AND(ISNUMBER($BJ$630),$B$419=1),$BJ$630,HLOOKUP(INDIRECT(ADDRESS(2,COLUMN())),OFFSET($BN$2,0,0,ROW()-1,60),ROW()-1,FALSE))</f>
        <v>17.05232947</v>
      </c>
      <c r="BK179">
        <f ca="1">IF(AND(ISNUMBER($BK$630),$B$419=1),$BK$630,HLOOKUP(INDIRECT(ADDRESS(2,COLUMN())),OFFSET($BN$2,0,0,ROW()-1,60),ROW()-1,FALSE))</f>
        <v>15.166613160000001</v>
      </c>
      <c r="BL179">
        <f ca="1">IF(AND(ISNUMBER($BL$630),$B$419=1),$BL$630,HLOOKUP(INDIRECT(ADDRESS(2,COLUMN())),OFFSET($BN$2,0,0,ROW()-1,60),ROW()-1,FALSE))</f>
        <v>15.31293172</v>
      </c>
      <c r="BM179">
        <f ca="1">IF(AND(ISNUMBER($BM$630),$B$419=1),$BM$630,HLOOKUP(INDIRECT(ADDRESS(2,COLUMN())),OFFSET($BN$2,0,0,ROW()-1,60),ROW()-1,FALSE))</f>
        <v>11.679632720000001</v>
      </c>
      <c r="BN179" t="str">
        <f>""</f>
        <v/>
      </c>
      <c r="BO179">
        <f>-4.9477402</f>
        <v>-4.9477402000000001</v>
      </c>
      <c r="BP179">
        <f>0.009512938</f>
        <v>9.5129380000000003E-3</v>
      </c>
      <c r="BQ179">
        <f>4.596942703</f>
        <v>4.5969427029999999</v>
      </c>
      <c r="BR179">
        <f>4.797118363</f>
        <v>4.7971183630000001</v>
      </c>
      <c r="BS179">
        <f>11.0834854</f>
        <v>11.083485400000001</v>
      </c>
      <c r="BT179">
        <f>7.273819918</f>
        <v>7.2738199180000001</v>
      </c>
      <c r="BU179">
        <f>4.985452362</f>
        <v>4.9854523620000002</v>
      </c>
      <c r="BV179">
        <f>4.295110362</f>
        <v>4.295110362</v>
      </c>
      <c r="BW179">
        <f>3.08987443</f>
        <v>3.0898744300000001</v>
      </c>
      <c r="BX179">
        <f>-1.02684383</f>
        <v>-1.02684383</v>
      </c>
      <c r="BY179">
        <f>-1.029561322</f>
        <v>-1.0295613219999999</v>
      </c>
      <c r="BZ179">
        <f>0.090196676</f>
        <v>9.0196676000000003E-2</v>
      </c>
      <c r="CA179">
        <f>3.088335111</f>
        <v>3.0883351110000001</v>
      </c>
      <c r="CB179">
        <f>9.719999015</f>
        <v>9.7199990150000009</v>
      </c>
      <c r="CC179">
        <f>8.822651645</f>
        <v>8.8226516450000005</v>
      </c>
      <c r="CD179">
        <f>8.625779361</f>
        <v>8.6257793609999993</v>
      </c>
      <c r="CE179">
        <f>2.674382428</f>
        <v>2.6743824279999999</v>
      </c>
      <c r="CF179">
        <f>2.128997372</f>
        <v>2.1289973720000002</v>
      </c>
      <c r="CG179">
        <f>1.626416954</f>
        <v>1.626416954</v>
      </c>
      <c r="CH179">
        <f>-1.607531863</f>
        <v>-1.6075318629999999</v>
      </c>
      <c r="CI179">
        <f>0.49022673</f>
        <v>0.49022673</v>
      </c>
      <c r="CJ179">
        <f>-3.720609245</f>
        <v>-3.7206092449999999</v>
      </c>
      <c r="CK179">
        <f>-1.652974733</f>
        <v>-1.652974733</v>
      </c>
      <c r="CL179">
        <f>0.155485893</f>
        <v>0.15548589299999999</v>
      </c>
      <c r="CM179">
        <f>-10.21647841</f>
        <v>-10.216478410000001</v>
      </c>
      <c r="CN179">
        <f>-8.580346667</f>
        <v>-8.5803466670000006</v>
      </c>
      <c r="CO179">
        <f>-13.03487857</f>
        <v>-13.03487857</v>
      </c>
      <c r="CP179">
        <f>-12.54715326</f>
        <v>-12.54715326</v>
      </c>
      <c r="CQ179">
        <f>-3.853959755</f>
        <v>-3.853959755</v>
      </c>
      <c r="CR179">
        <f>-4.465522529</f>
        <v>-4.4655225290000002</v>
      </c>
      <c r="CS179">
        <f>-1.460188301</f>
        <v>-1.4601883010000001</v>
      </c>
      <c r="CT179">
        <f>-8.189195175</f>
        <v>-8.189195175</v>
      </c>
      <c r="CU179">
        <f>4.830021276</f>
        <v>4.8300212760000001</v>
      </c>
      <c r="CV179">
        <f>-8.816638223</f>
        <v>-8.816638223</v>
      </c>
      <c r="CW179">
        <f>-10.84227519</f>
        <v>-10.842275190000001</v>
      </c>
      <c r="CX179">
        <f>-5.244982065</f>
        <v>-5.2449820650000003</v>
      </c>
      <c r="CY179">
        <f>-13.74072628</f>
        <v>-13.740726280000001</v>
      </c>
      <c r="CZ179">
        <f>2.350712023</f>
        <v>2.3507120229999998</v>
      </c>
      <c r="DA179">
        <f>7.165026611</f>
        <v>7.165026611</v>
      </c>
      <c r="DB179">
        <f>3.333924804</f>
        <v>3.333924804</v>
      </c>
      <c r="DC179">
        <f>4.22113927</f>
        <v>4.2211392700000001</v>
      </c>
      <c r="DD179">
        <f>5.672006007</f>
        <v>5.6720060070000002</v>
      </c>
      <c r="DE179">
        <f>3.953158719</f>
        <v>3.9531587190000002</v>
      </c>
      <c r="DF179">
        <f>6.527629009</f>
        <v>6.527629009</v>
      </c>
      <c r="DG179">
        <f>14.09418566</f>
        <v>14.094185660000001</v>
      </c>
      <c r="DH179">
        <f>2.29789413</f>
        <v>2.29789413</v>
      </c>
      <c r="DI179">
        <f>0.219454015</f>
        <v>0.219454015</v>
      </c>
      <c r="DJ179">
        <f>1.015179964</f>
        <v>1.0151799640000001</v>
      </c>
      <c r="DK179">
        <f>-5.169244317</f>
        <v>-5.1692443170000004</v>
      </c>
      <c r="DL179">
        <f>2.849431101</f>
        <v>2.849431101</v>
      </c>
      <c r="DM179">
        <f>8.589286219</f>
        <v>8.5892862189999999</v>
      </c>
      <c r="DN179">
        <f>13.56342062</f>
        <v>13.56342062</v>
      </c>
      <c r="DO179">
        <f>15.59064683</f>
        <v>15.590646830000001</v>
      </c>
      <c r="DP179">
        <f>23.57599348</f>
        <v>23.575993480000001</v>
      </c>
      <c r="DQ179">
        <f>19.91000542</f>
        <v>19.910005420000001</v>
      </c>
      <c r="DR179">
        <f>17.05232947</f>
        <v>17.05232947</v>
      </c>
      <c r="DS179">
        <f>15.16661316</f>
        <v>15.166613160000001</v>
      </c>
      <c r="DT179">
        <f>15.31293172</f>
        <v>15.31293172</v>
      </c>
      <c r="DU179">
        <f>11.67963272</f>
        <v>11.679632720000001</v>
      </c>
    </row>
    <row r="180" spans="1:125">
      <c r="A180" t="str">
        <f>"FFO增长同比(%)"</f>
        <v>FFO增长同比(%)</v>
      </c>
      <c r="B180" t="str">
        <f>""</f>
        <v/>
      </c>
      <c r="E180" t="str">
        <f>"Median"</f>
        <v>Median</v>
      </c>
      <c r="F180" t="str">
        <f ca="1">IF(ISERROR(IF(MEDIAN($F$181:$F$195) = 0, "", MEDIAN($F$181:$F$195))), "", (IF(MEDIAN($F$181:$F$195) = 0, "", MEDIAN($F$181:$F$195))))</f>
        <v/>
      </c>
      <c r="G180" t="str">
        <f ca="1">IF(ISERROR(IF(MEDIAN($G$181:$G$195) = 0, "", MEDIAN($G$181:$G$195))), "", (IF(MEDIAN($G$181:$G$195) = 0, "", MEDIAN($G$181:$G$195))))</f>
        <v/>
      </c>
      <c r="H180" t="str">
        <f ca="1">IF(ISERROR(IF(MEDIAN($H$181:$H$195) = 0, "", MEDIAN($H$181:$H$195))), "", (IF(MEDIAN($H$181:$H$195) = 0, "", MEDIAN($H$181:$H$195))))</f>
        <v/>
      </c>
      <c r="I180" t="str">
        <f ca="1">IF(ISERROR(IF(MEDIAN($I$181:$I$195) = 0, "", MEDIAN($I$181:$I$195))), "", (IF(MEDIAN($I$181:$I$195) = 0, "", MEDIAN($I$181:$I$195))))</f>
        <v/>
      </c>
      <c r="J180" t="str">
        <f ca="1">IF(ISERROR(IF(MEDIAN($J$181:$J$195) = 0, "", MEDIAN($J$181:$J$195))), "", (IF(MEDIAN($J$181:$J$195) = 0, "", MEDIAN($J$181:$J$195))))</f>
        <v/>
      </c>
      <c r="K180" t="str">
        <f ca="1">IF(ISERROR(IF(MEDIAN($K$181:$K$195) = 0, "", MEDIAN($K$181:$K$195))), "", (IF(MEDIAN($K$181:$K$195) = 0, "", MEDIAN($K$181:$K$195))))</f>
        <v/>
      </c>
      <c r="L180" t="str">
        <f ca="1">IF(ISERROR(IF(MEDIAN($L$181:$L$195) = 0, "", MEDIAN($L$181:$L$195))), "", (IF(MEDIAN($L$181:$L$195) = 0, "", MEDIAN($L$181:$L$195))))</f>
        <v/>
      </c>
      <c r="M180" t="str">
        <f ca="1">IF(ISERROR(IF(MEDIAN($M$181:$M$195) = 0, "", MEDIAN($M$181:$M$195))), "", (IF(MEDIAN($M$181:$M$195) = 0, "", MEDIAN($M$181:$M$195))))</f>
        <v/>
      </c>
      <c r="N180" t="str">
        <f ca="1">IF(ISERROR(IF(MEDIAN($N$181:$N$195) = 0, "", MEDIAN($N$181:$N$195))), "", (IF(MEDIAN($N$181:$N$195) = 0, "", MEDIAN($N$181:$N$195))))</f>
        <v/>
      </c>
      <c r="O180" t="str">
        <f ca="1">IF(ISERROR(IF(MEDIAN($O$181:$O$195) = 0, "", MEDIAN($O$181:$O$195))), "", (IF(MEDIAN($O$181:$O$195) = 0, "", MEDIAN($O$181:$O$195))))</f>
        <v/>
      </c>
      <c r="P180" t="str">
        <f ca="1">IF(ISERROR(IF(MEDIAN($P$181:$P$195) = 0, "", MEDIAN($P$181:$P$195))), "", (IF(MEDIAN($P$181:$P$195) = 0, "", MEDIAN($P$181:$P$195))))</f>
        <v/>
      </c>
      <c r="Q180" t="str">
        <f ca="1">IF(ISERROR(IF(MEDIAN($Q$181:$Q$195) = 0, "", MEDIAN($Q$181:$Q$195))), "", (IF(MEDIAN($Q$181:$Q$195) = 0, "", MEDIAN($Q$181:$Q$195))))</f>
        <v/>
      </c>
      <c r="R180" t="str">
        <f ca="1">IF(ISERROR(IF(MEDIAN($R$181:$R$195) = 0, "", MEDIAN($R$181:$R$195))), "", (IF(MEDIAN($R$181:$R$195) = 0, "", MEDIAN($R$181:$R$195))))</f>
        <v/>
      </c>
      <c r="S180" t="str">
        <f ca="1">IF(ISERROR(IF(MEDIAN($S$181:$S$195) = 0, "", MEDIAN($S$181:$S$195))), "", (IF(MEDIAN($S$181:$S$195) = 0, "", MEDIAN($S$181:$S$195))))</f>
        <v/>
      </c>
      <c r="T180" t="str">
        <f ca="1">IF(ISERROR(IF(MEDIAN($T$181:$T$195) = 0, "", MEDIAN($T$181:$T$195))), "", (IF(MEDIAN($T$181:$T$195) = 0, "", MEDIAN($T$181:$T$195))))</f>
        <v/>
      </c>
      <c r="U180" t="str">
        <f ca="1">IF(ISERROR(IF(MEDIAN($U$181:$U$195) = 0, "", MEDIAN($U$181:$U$195))), "", (IF(MEDIAN($U$181:$U$195) = 0, "", MEDIAN($U$181:$U$195))))</f>
        <v/>
      </c>
      <c r="V180" t="str">
        <f ca="1">IF(ISERROR(IF(MEDIAN($V$181:$V$195) = 0, "", MEDIAN($V$181:$V$195))), "", (IF(MEDIAN($V$181:$V$195) = 0, "", MEDIAN($V$181:$V$195))))</f>
        <v/>
      </c>
      <c r="W180" t="str">
        <f ca="1">IF(ISERROR(IF(MEDIAN($W$181:$W$195) = 0, "", MEDIAN($W$181:$W$195))), "", (IF(MEDIAN($W$181:$W$195) = 0, "", MEDIAN($W$181:$W$195))))</f>
        <v/>
      </c>
      <c r="X180" t="str">
        <f ca="1">IF(ISERROR(IF(MEDIAN($X$181:$X$195) = 0, "", MEDIAN($X$181:$X$195))), "", (IF(MEDIAN($X$181:$X$195) = 0, "", MEDIAN($X$181:$X$195))))</f>
        <v/>
      </c>
      <c r="Y180" t="str">
        <f ca="1">IF(ISERROR(IF(MEDIAN($Y$181:$Y$195) = 0, "", MEDIAN($Y$181:$Y$195))), "", (IF(MEDIAN($Y$181:$Y$195) = 0, "", MEDIAN($Y$181:$Y$195))))</f>
        <v/>
      </c>
      <c r="Z180" t="str">
        <f ca="1">IF(ISERROR(IF(MEDIAN($Z$181:$Z$195) = 0, "", MEDIAN($Z$181:$Z$195))), "", (IF(MEDIAN($Z$181:$Z$195) = 0, "", MEDIAN($Z$181:$Z$195))))</f>
        <v/>
      </c>
      <c r="AA180" t="str">
        <f ca="1">IF(ISERROR(IF(MEDIAN($AA$181:$AA$195) = 0, "", MEDIAN($AA$181:$AA$195))), "", (IF(MEDIAN($AA$181:$AA$195) = 0, "", MEDIAN($AA$181:$AA$195))))</f>
        <v/>
      </c>
      <c r="AB180" t="str">
        <f ca="1">IF(ISERROR(IF(MEDIAN($AB$181:$AB$195) = 0, "", MEDIAN($AB$181:$AB$195))), "", (IF(MEDIAN($AB$181:$AB$195) = 0, "", MEDIAN($AB$181:$AB$195))))</f>
        <v/>
      </c>
      <c r="AC180" t="str">
        <f ca="1">IF(ISERROR(IF(MEDIAN($AC$181:$AC$195) = 0, "", MEDIAN($AC$181:$AC$195))), "", (IF(MEDIAN($AC$181:$AC$195) = 0, "", MEDIAN($AC$181:$AC$195))))</f>
        <v/>
      </c>
      <c r="AD180" t="str">
        <f ca="1">IF(ISERROR(IF(MEDIAN($AD$181:$AD$195) = 0, "", MEDIAN($AD$181:$AD$195))), "", (IF(MEDIAN($AD$181:$AD$195) = 0, "", MEDIAN($AD$181:$AD$195))))</f>
        <v/>
      </c>
      <c r="AE180" t="str">
        <f ca="1">IF(ISERROR(IF(MEDIAN($AE$181:$AE$195) = 0, "", MEDIAN($AE$181:$AE$195))), "", (IF(MEDIAN($AE$181:$AE$195) = 0, "", MEDIAN($AE$181:$AE$195))))</f>
        <v/>
      </c>
      <c r="AF180" t="str">
        <f ca="1">IF(ISERROR(IF(MEDIAN($AF$181:$AF$195) = 0, "", MEDIAN($AF$181:$AF$195))), "", (IF(MEDIAN($AF$181:$AF$195) = 0, "", MEDIAN($AF$181:$AF$195))))</f>
        <v/>
      </c>
      <c r="AG180" t="str">
        <f ca="1">IF(ISERROR(IF(MEDIAN($AG$181:$AG$195) = 0, "", MEDIAN($AG$181:$AG$195))), "", (IF(MEDIAN($AG$181:$AG$195) = 0, "", MEDIAN($AG$181:$AG$195))))</f>
        <v/>
      </c>
      <c r="AH180" t="str">
        <f ca="1">IF(ISERROR(IF(MEDIAN($AH$181:$AH$195) = 0, "", MEDIAN($AH$181:$AH$195))), "", (IF(MEDIAN($AH$181:$AH$195) = 0, "", MEDIAN($AH$181:$AH$195))))</f>
        <v/>
      </c>
      <c r="AI180" t="str">
        <f ca="1">IF(ISERROR(IF(MEDIAN($AI$181:$AI$195) = 0, "", MEDIAN($AI$181:$AI$195))), "", (IF(MEDIAN($AI$181:$AI$195) = 0, "", MEDIAN($AI$181:$AI$195))))</f>
        <v/>
      </c>
      <c r="AJ180" t="str">
        <f ca="1">IF(ISERROR(IF(MEDIAN($AJ$181:$AJ$195) = 0, "", MEDIAN($AJ$181:$AJ$195))), "", (IF(MEDIAN($AJ$181:$AJ$195) = 0, "", MEDIAN($AJ$181:$AJ$195))))</f>
        <v/>
      </c>
      <c r="AK180" t="str">
        <f ca="1">IF(ISERROR(IF(MEDIAN($AK$181:$AK$195) = 0, "", MEDIAN($AK$181:$AK$195))), "", (IF(MEDIAN($AK$181:$AK$195) = 0, "", MEDIAN($AK$181:$AK$195))))</f>
        <v/>
      </c>
      <c r="AL180" t="str">
        <f ca="1">IF(ISERROR(IF(MEDIAN($AL$181:$AL$195) = 0, "", MEDIAN($AL$181:$AL$195))), "", (IF(MEDIAN($AL$181:$AL$195) = 0, "", MEDIAN($AL$181:$AL$195))))</f>
        <v/>
      </c>
      <c r="AM180" t="str">
        <f ca="1">IF(ISERROR(IF(MEDIAN($AM$181:$AM$195) = 0, "", MEDIAN($AM$181:$AM$195))), "", (IF(MEDIAN($AM$181:$AM$195) = 0, "", MEDIAN($AM$181:$AM$195))))</f>
        <v/>
      </c>
      <c r="AN180" t="str">
        <f ca="1">IF(ISERROR(IF(MEDIAN($AN$181:$AN$195) = 0, "", MEDIAN($AN$181:$AN$195))), "", (IF(MEDIAN($AN$181:$AN$195) = 0, "", MEDIAN($AN$181:$AN$195))))</f>
        <v/>
      </c>
      <c r="AO180" t="str">
        <f ca="1">IF(ISERROR(IF(MEDIAN($AO$181:$AO$195) = 0, "", MEDIAN($AO$181:$AO$195))), "", (IF(MEDIAN($AO$181:$AO$195) = 0, "", MEDIAN($AO$181:$AO$195))))</f>
        <v/>
      </c>
      <c r="AP180" t="str">
        <f ca="1">IF(ISERROR(IF(MEDIAN($AP$181:$AP$195) = 0, "", MEDIAN($AP$181:$AP$195))), "", (IF(MEDIAN($AP$181:$AP$195) = 0, "", MEDIAN($AP$181:$AP$195))))</f>
        <v/>
      </c>
      <c r="AQ180" t="str">
        <f ca="1">IF(ISERROR(IF(MEDIAN($AQ$181:$AQ$195) = 0, "", MEDIAN($AQ$181:$AQ$195))), "", (IF(MEDIAN($AQ$181:$AQ$195) = 0, "", MEDIAN($AQ$181:$AQ$195))))</f>
        <v/>
      </c>
      <c r="AR180" t="str">
        <f ca="1">IF(ISERROR(IF(MEDIAN($AR$181:$AR$195) = 0, "", MEDIAN($AR$181:$AR$195))), "", (IF(MEDIAN($AR$181:$AR$195) = 0, "", MEDIAN($AR$181:$AR$195))))</f>
        <v/>
      </c>
      <c r="AS180" t="str">
        <f ca="1">IF(ISERROR(IF(MEDIAN($AS$181:$AS$195) = 0, "", MEDIAN($AS$181:$AS$195))), "", (IF(MEDIAN($AS$181:$AS$195) = 0, "", MEDIAN($AS$181:$AS$195))))</f>
        <v/>
      </c>
      <c r="AT180" t="str">
        <f ca="1">IF(ISERROR(IF(MEDIAN($AT$181:$AT$195) = 0, "", MEDIAN($AT$181:$AT$195))), "", (IF(MEDIAN($AT$181:$AT$195) = 0, "", MEDIAN($AT$181:$AT$195))))</f>
        <v/>
      </c>
      <c r="AU180" t="str">
        <f ca="1">IF(ISERROR(IF(MEDIAN($AU$181:$AU$195) = 0, "", MEDIAN($AU$181:$AU$195))), "", (IF(MEDIAN($AU$181:$AU$195) = 0, "", MEDIAN($AU$181:$AU$195))))</f>
        <v/>
      </c>
      <c r="AV180" t="str">
        <f ca="1">IF(ISERROR(IF(MEDIAN($AV$181:$AV$195) = 0, "", MEDIAN($AV$181:$AV$195))), "", (IF(MEDIAN($AV$181:$AV$195) = 0, "", MEDIAN($AV$181:$AV$195))))</f>
        <v/>
      </c>
      <c r="AW180" t="str">
        <f ca="1">IF(ISERROR(IF(MEDIAN($AW$181:$AW$195) = 0, "", MEDIAN($AW$181:$AW$195))), "", (IF(MEDIAN($AW$181:$AW$195) = 0, "", MEDIAN($AW$181:$AW$195))))</f>
        <v/>
      </c>
      <c r="AX180" t="str">
        <f ca="1">IF(ISERROR(IF(MEDIAN($AX$181:$AX$195) = 0, "", MEDIAN($AX$181:$AX$195))), "", (IF(MEDIAN($AX$181:$AX$195) = 0, "", MEDIAN($AX$181:$AX$195))))</f>
        <v/>
      </c>
      <c r="AY180" t="str">
        <f ca="1">IF(ISERROR(IF(MEDIAN($AY$181:$AY$195) = 0, "", MEDIAN($AY$181:$AY$195))), "", (IF(MEDIAN($AY$181:$AY$195) = 0, "", MEDIAN($AY$181:$AY$195))))</f>
        <v/>
      </c>
      <c r="AZ180" t="str">
        <f ca="1">IF(ISERROR(IF(MEDIAN($AZ$181:$AZ$195) = 0, "", MEDIAN($AZ$181:$AZ$195))), "", (IF(MEDIAN($AZ$181:$AZ$195) = 0, "", MEDIAN($AZ$181:$AZ$195))))</f>
        <v/>
      </c>
      <c r="BA180" t="str">
        <f ca="1">IF(ISERROR(IF(MEDIAN($BA$181:$BA$195) = 0, "", MEDIAN($BA$181:$BA$195))), "", (IF(MEDIAN($BA$181:$BA$195) = 0, "", MEDIAN($BA$181:$BA$195))))</f>
        <v/>
      </c>
      <c r="BB180" t="str">
        <f ca="1">IF(ISERROR(IF(MEDIAN($BB$181:$BB$195) = 0, "", MEDIAN($BB$181:$BB$195))), "", (IF(MEDIAN($BB$181:$BB$195) = 0, "", MEDIAN($BB$181:$BB$195))))</f>
        <v/>
      </c>
      <c r="BC180" t="str">
        <f ca="1">IF(ISERROR(IF(MEDIAN($BC$181:$BC$195) = 0, "", MEDIAN($BC$181:$BC$195))), "", (IF(MEDIAN($BC$181:$BC$195) = 0, "", MEDIAN($BC$181:$BC$195))))</f>
        <v/>
      </c>
      <c r="BD180" t="str">
        <f ca="1">IF(ISERROR(IF(MEDIAN($BD$181:$BD$195) = 0, "", MEDIAN($BD$181:$BD$195))), "", (IF(MEDIAN($BD$181:$BD$195) = 0, "", MEDIAN($BD$181:$BD$195))))</f>
        <v/>
      </c>
      <c r="BE180" t="str">
        <f ca="1">IF(ISERROR(IF(MEDIAN($BE$181:$BE$195) = 0, "", MEDIAN($BE$181:$BE$195))), "", (IF(MEDIAN($BE$181:$BE$195) = 0, "", MEDIAN($BE$181:$BE$195))))</f>
        <v/>
      </c>
      <c r="BF180" t="str">
        <f ca="1">IF(ISERROR(IF(MEDIAN($BF$181:$BF$195) = 0, "", MEDIAN($BF$181:$BF$195))), "", (IF(MEDIAN($BF$181:$BF$195) = 0, "", MEDIAN($BF$181:$BF$195))))</f>
        <v/>
      </c>
      <c r="BG180" t="str">
        <f ca="1">IF(ISERROR(IF(MEDIAN($BG$181:$BG$195) = 0, "", MEDIAN($BG$181:$BG$195))), "", (IF(MEDIAN($BG$181:$BG$195) = 0, "", MEDIAN($BG$181:$BG$195))))</f>
        <v/>
      </c>
      <c r="BH180" t="str">
        <f ca="1">IF(ISERROR(IF(MEDIAN($BH$181:$BH$195) = 0, "", MEDIAN($BH$181:$BH$195))), "", (IF(MEDIAN($BH$181:$BH$195) = 0, "", MEDIAN($BH$181:$BH$195))))</f>
        <v/>
      </c>
      <c r="BI180" t="str">
        <f ca="1">IF(ISERROR(IF(MEDIAN($BI$181:$BI$195) = 0, "", MEDIAN($BI$181:$BI$195))), "", (IF(MEDIAN($BI$181:$BI$195) = 0, "", MEDIAN($BI$181:$BI$195))))</f>
        <v/>
      </c>
      <c r="BJ180" t="str">
        <f ca="1">IF(ISERROR(IF(MEDIAN($BJ$181:$BJ$195) = 0, "", MEDIAN($BJ$181:$BJ$195))), "", (IF(MEDIAN($BJ$181:$BJ$195) = 0, "", MEDIAN($BJ$181:$BJ$195))))</f>
        <v/>
      </c>
      <c r="BK180" t="str">
        <f ca="1">IF(ISERROR(IF(MEDIAN($BK$181:$BK$195) = 0, "", MEDIAN($BK$181:$BK$195))), "", (IF(MEDIAN($BK$181:$BK$195) = 0, "", MEDIAN($BK$181:$BK$195))))</f>
        <v/>
      </c>
      <c r="BL180" t="str">
        <f ca="1">IF(ISERROR(IF(MEDIAN($BL$181:$BL$195) = 0, "", MEDIAN($BL$181:$BL$195))), "", (IF(MEDIAN($BL$181:$BL$195) = 0, "", MEDIAN($BL$181:$BL$195))))</f>
        <v/>
      </c>
      <c r="BM180" t="str">
        <f ca="1">IF(ISERROR(IF(MEDIAN($BM$181:$BM$195) = 0, "", MEDIAN($BM$181:$BM$195))), "", (IF(MEDIAN($BM$181:$BM$195) = 0, "", MEDIAN($BM$181:$BM$195))))</f>
        <v/>
      </c>
      <c r="BN180" t="str">
        <f>""</f>
        <v/>
      </c>
      <c r="BO180" t="str">
        <f>""</f>
        <v/>
      </c>
      <c r="BP180" t="str">
        <f>""</f>
        <v/>
      </c>
      <c r="BQ180" t="str">
        <f>""</f>
        <v/>
      </c>
      <c r="BR180" t="str">
        <f>""</f>
        <v/>
      </c>
      <c r="BS180" t="str">
        <f>""</f>
        <v/>
      </c>
      <c r="BT180" t="str">
        <f>""</f>
        <v/>
      </c>
      <c r="BU180" t="str">
        <f>""</f>
        <v/>
      </c>
      <c r="BV180" t="str">
        <f>""</f>
        <v/>
      </c>
      <c r="BW180" t="str">
        <f>""</f>
        <v/>
      </c>
      <c r="BX180" t="str">
        <f>""</f>
        <v/>
      </c>
      <c r="BY180" t="str">
        <f>""</f>
        <v/>
      </c>
      <c r="BZ180" t="str">
        <f>""</f>
        <v/>
      </c>
      <c r="CA180" t="str">
        <f>""</f>
        <v/>
      </c>
      <c r="CB180" t="str">
        <f>""</f>
        <v/>
      </c>
      <c r="CC180" t="str">
        <f>""</f>
        <v/>
      </c>
      <c r="CD180" t="str">
        <f>""</f>
        <v/>
      </c>
      <c r="CE180" t="str">
        <f>""</f>
        <v/>
      </c>
      <c r="CF180" t="str">
        <f>""</f>
        <v/>
      </c>
      <c r="CG180" t="str">
        <f>""</f>
        <v/>
      </c>
      <c r="CH180" t="str">
        <f>""</f>
        <v/>
      </c>
      <c r="CI180" t="str">
        <f>""</f>
        <v/>
      </c>
      <c r="CJ180" t="str">
        <f>""</f>
        <v/>
      </c>
      <c r="CK180" t="str">
        <f>""</f>
        <v/>
      </c>
      <c r="CL180" t="str">
        <f>""</f>
        <v/>
      </c>
      <c r="CM180" t="str">
        <f>""</f>
        <v/>
      </c>
      <c r="CN180" t="str">
        <f>""</f>
        <v/>
      </c>
      <c r="CO180" t="str">
        <f>""</f>
        <v/>
      </c>
      <c r="CP180" t="str">
        <f>""</f>
        <v/>
      </c>
      <c r="CQ180" t="str">
        <f>""</f>
        <v/>
      </c>
      <c r="CR180" t="str">
        <f>""</f>
        <v/>
      </c>
      <c r="CS180" t="str">
        <f>""</f>
        <v/>
      </c>
      <c r="CT180" t="str">
        <f>""</f>
        <v/>
      </c>
      <c r="CU180" t="str">
        <f>""</f>
        <v/>
      </c>
      <c r="CV180" t="str">
        <f>""</f>
        <v/>
      </c>
      <c r="CW180" t="str">
        <f>""</f>
        <v/>
      </c>
      <c r="CX180" t="str">
        <f>""</f>
        <v/>
      </c>
      <c r="CY180" t="str">
        <f>""</f>
        <v/>
      </c>
      <c r="CZ180" t="str">
        <f>""</f>
        <v/>
      </c>
      <c r="DA180" t="str">
        <f>""</f>
        <v/>
      </c>
      <c r="DB180" t="str">
        <f>""</f>
        <v/>
      </c>
      <c r="DC180" t="str">
        <f>""</f>
        <v/>
      </c>
      <c r="DD180" t="str">
        <f>""</f>
        <v/>
      </c>
      <c r="DE180" t="str">
        <f>""</f>
        <v/>
      </c>
      <c r="DF180" t="str">
        <f>""</f>
        <v/>
      </c>
      <c r="DG180" t="str">
        <f>""</f>
        <v/>
      </c>
      <c r="DH180" t="str">
        <f>""</f>
        <v/>
      </c>
      <c r="DI180" t="str">
        <f>""</f>
        <v/>
      </c>
      <c r="DJ180" t="str">
        <f>""</f>
        <v/>
      </c>
      <c r="DK180" t="str">
        <f>""</f>
        <v/>
      </c>
      <c r="DL180" t="str">
        <f>""</f>
        <v/>
      </c>
      <c r="DM180" t="str">
        <f>""</f>
        <v/>
      </c>
      <c r="DN180" t="str">
        <f>""</f>
        <v/>
      </c>
      <c r="DO180" t="str">
        <f>""</f>
        <v/>
      </c>
      <c r="DP180" t="str">
        <f>""</f>
        <v/>
      </c>
      <c r="DQ180" t="str">
        <f>""</f>
        <v/>
      </c>
      <c r="DR180" t="str">
        <f>""</f>
        <v/>
      </c>
      <c r="DS180" t="str">
        <f>""</f>
        <v/>
      </c>
      <c r="DT180" t="str">
        <f>""</f>
        <v/>
      </c>
      <c r="DU180" t="str">
        <f>""</f>
        <v/>
      </c>
    </row>
    <row r="181" spans="1:125">
      <c r="A181" t="str">
        <f>"    Brixmor Property Group Inc"</f>
        <v xml:space="preserve">    Brixmor Property Group Inc</v>
      </c>
      <c r="B181" t="str">
        <f>"BRX US Equity"</f>
        <v>BRX US Equity</v>
      </c>
      <c r="C181" t="str">
        <f t="shared" ref="C181:C195" si="33">"BE592"</f>
        <v>BE592</v>
      </c>
      <c r="D181" t="str">
        <f t="shared" ref="D181:D195" si="34">"BEST_FFOPS_YOY_GTH"</f>
        <v>BEST_FFOPS_YOY_GTH</v>
      </c>
      <c r="E181" t="str">
        <f t="shared" ref="E181:E195" si="35">"动态"</f>
        <v>动态</v>
      </c>
      <c r="F181" t="str">
        <f ca="1">IF(AND(ISNUMBER($F$631),$B$419=1),$F$631,HLOOKUP(INDIRECT(ADDRESS(2,COLUMN())),OFFSET($BN$2,0,0,ROW()-1,60),ROW()-1,FALSE))</f>
        <v/>
      </c>
      <c r="G181" t="str">
        <f ca="1">IF(AND(ISNUMBER($G$631),$B$419=1),$G$631,HLOOKUP(INDIRECT(ADDRESS(2,COLUMN())),OFFSET($BN$2,0,0,ROW()-1,60),ROW()-1,FALSE))</f>
        <v/>
      </c>
      <c r="H181" t="str">
        <f ca="1">IF(AND(ISNUMBER($H$631),$B$419=1),$H$631,HLOOKUP(INDIRECT(ADDRESS(2,COLUMN())),OFFSET($BN$2,0,0,ROW()-1,60),ROW()-1,FALSE))</f>
        <v/>
      </c>
      <c r="I181" t="str">
        <f ca="1">IF(AND(ISNUMBER($I$631),$B$419=1),$I$631,HLOOKUP(INDIRECT(ADDRESS(2,COLUMN())),OFFSET($BN$2,0,0,ROW()-1,60),ROW()-1,FALSE))</f>
        <v/>
      </c>
      <c r="J181" t="str">
        <f ca="1">IF(AND(ISNUMBER($J$631),$B$419=1),$J$631,HLOOKUP(INDIRECT(ADDRESS(2,COLUMN())),OFFSET($BN$2,0,0,ROW()-1,60),ROW()-1,FALSE))</f>
        <v/>
      </c>
      <c r="K181" t="str">
        <f ca="1">IF(AND(ISNUMBER($K$631),$B$419=1),$K$631,HLOOKUP(INDIRECT(ADDRESS(2,COLUMN())),OFFSET($BN$2,0,0,ROW()-1,60),ROW()-1,FALSE))</f>
        <v/>
      </c>
      <c r="L181" t="str">
        <f ca="1">IF(AND(ISNUMBER($L$631),$B$419=1),$L$631,HLOOKUP(INDIRECT(ADDRESS(2,COLUMN())),OFFSET($BN$2,0,0,ROW()-1,60),ROW()-1,FALSE))</f>
        <v/>
      </c>
      <c r="M181" t="str">
        <f ca="1">IF(AND(ISNUMBER($M$631),$B$419=1),$M$631,HLOOKUP(INDIRECT(ADDRESS(2,COLUMN())),OFFSET($BN$2,0,0,ROW()-1,60),ROW()-1,FALSE))</f>
        <v/>
      </c>
      <c r="N181" t="str">
        <f ca="1">IF(AND(ISNUMBER($N$631),$B$419=1),$N$631,HLOOKUP(INDIRECT(ADDRESS(2,COLUMN())),OFFSET($BN$2,0,0,ROW()-1,60),ROW()-1,FALSE))</f>
        <v/>
      </c>
      <c r="O181" t="str">
        <f ca="1">IF(AND(ISNUMBER($O$631),$B$419=1),$O$631,HLOOKUP(INDIRECT(ADDRESS(2,COLUMN())),OFFSET($BN$2,0,0,ROW()-1,60),ROW()-1,FALSE))</f>
        <v/>
      </c>
      <c r="P181" t="str">
        <f ca="1">IF(AND(ISNUMBER($P$631),$B$419=1),$P$631,HLOOKUP(INDIRECT(ADDRESS(2,COLUMN())),OFFSET($BN$2,0,0,ROW()-1,60),ROW()-1,FALSE))</f>
        <v/>
      </c>
      <c r="Q181" t="str">
        <f ca="1">IF(AND(ISNUMBER($Q$631),$B$419=1),$Q$631,HLOOKUP(INDIRECT(ADDRESS(2,COLUMN())),OFFSET($BN$2,0,0,ROW()-1,60),ROW()-1,FALSE))</f>
        <v/>
      </c>
      <c r="R181" t="str">
        <f ca="1">IF(AND(ISNUMBER($R$631),$B$419=1),$R$631,HLOOKUP(INDIRECT(ADDRESS(2,COLUMN())),OFFSET($BN$2,0,0,ROW()-1,60),ROW()-1,FALSE))</f>
        <v/>
      </c>
      <c r="S181" t="str">
        <f ca="1">IF(AND(ISNUMBER($S$631),$B$419=1),$S$631,HLOOKUP(INDIRECT(ADDRESS(2,COLUMN())),OFFSET($BN$2,0,0,ROW()-1,60),ROW()-1,FALSE))</f>
        <v/>
      </c>
      <c r="T181" t="str">
        <f ca="1">IF(AND(ISNUMBER($T$631),$B$419=1),$T$631,HLOOKUP(INDIRECT(ADDRESS(2,COLUMN())),OFFSET($BN$2,0,0,ROW()-1,60),ROW()-1,FALSE))</f>
        <v/>
      </c>
      <c r="U181" t="str">
        <f ca="1">IF(AND(ISNUMBER($U$631),$B$419=1),$U$631,HLOOKUP(INDIRECT(ADDRESS(2,COLUMN())),OFFSET($BN$2,0,0,ROW()-1,60),ROW()-1,FALSE))</f>
        <v/>
      </c>
      <c r="V181" t="str">
        <f ca="1">IF(AND(ISNUMBER($V$631),$B$419=1),$V$631,HLOOKUP(INDIRECT(ADDRESS(2,COLUMN())),OFFSET($BN$2,0,0,ROW()-1,60),ROW()-1,FALSE))</f>
        <v/>
      </c>
      <c r="W181" t="str">
        <f ca="1">IF(AND(ISNUMBER($W$631),$B$419=1),$W$631,HLOOKUP(INDIRECT(ADDRESS(2,COLUMN())),OFFSET($BN$2,0,0,ROW()-1,60),ROW()-1,FALSE))</f>
        <v/>
      </c>
      <c r="X181" t="str">
        <f ca="1">IF(AND(ISNUMBER($X$631),$B$419=1),$X$631,HLOOKUP(INDIRECT(ADDRESS(2,COLUMN())),OFFSET($BN$2,0,0,ROW()-1,60),ROW()-1,FALSE))</f>
        <v/>
      </c>
      <c r="Y181" t="str">
        <f ca="1">IF(AND(ISNUMBER($Y$631),$B$419=1),$Y$631,HLOOKUP(INDIRECT(ADDRESS(2,COLUMN())),OFFSET($BN$2,0,0,ROW()-1,60),ROW()-1,FALSE))</f>
        <v/>
      </c>
      <c r="Z181" t="str">
        <f ca="1">IF(AND(ISNUMBER($Z$631),$B$419=1),$Z$631,HLOOKUP(INDIRECT(ADDRESS(2,COLUMN())),OFFSET($BN$2,0,0,ROW()-1,60),ROW()-1,FALSE))</f>
        <v/>
      </c>
      <c r="AA181" t="str">
        <f ca="1">IF(AND(ISNUMBER($AA$631),$B$419=1),$AA$631,HLOOKUP(INDIRECT(ADDRESS(2,COLUMN())),OFFSET($BN$2,0,0,ROW()-1,60),ROW()-1,FALSE))</f>
        <v/>
      </c>
      <c r="AB181" t="str">
        <f ca="1">IF(AND(ISNUMBER($AB$631),$B$419=1),$AB$631,HLOOKUP(INDIRECT(ADDRESS(2,COLUMN())),OFFSET($BN$2,0,0,ROW()-1,60),ROW()-1,FALSE))</f>
        <v/>
      </c>
      <c r="AC181" t="str">
        <f ca="1">IF(AND(ISNUMBER($AC$631),$B$419=1),$AC$631,HLOOKUP(INDIRECT(ADDRESS(2,COLUMN())),OFFSET($BN$2,0,0,ROW()-1,60),ROW()-1,FALSE))</f>
        <v/>
      </c>
      <c r="AD181" t="str">
        <f ca="1">IF(AND(ISNUMBER($AD$631),$B$419=1),$AD$631,HLOOKUP(INDIRECT(ADDRESS(2,COLUMN())),OFFSET($BN$2,0,0,ROW()-1,60),ROW()-1,FALSE))</f>
        <v/>
      </c>
      <c r="AE181" t="str">
        <f ca="1">IF(AND(ISNUMBER($AE$631),$B$419=1),$AE$631,HLOOKUP(INDIRECT(ADDRESS(2,COLUMN())),OFFSET($BN$2,0,0,ROW()-1,60),ROW()-1,FALSE))</f>
        <v/>
      </c>
      <c r="AF181" t="str">
        <f ca="1">IF(AND(ISNUMBER($AF$631),$B$419=1),$AF$631,HLOOKUP(INDIRECT(ADDRESS(2,COLUMN())),OFFSET($BN$2,0,0,ROW()-1,60),ROW()-1,FALSE))</f>
        <v/>
      </c>
      <c r="AG181" t="str">
        <f ca="1">IF(AND(ISNUMBER($AG$631),$B$419=1),$AG$631,HLOOKUP(INDIRECT(ADDRESS(2,COLUMN())),OFFSET($BN$2,0,0,ROW()-1,60),ROW()-1,FALSE))</f>
        <v/>
      </c>
      <c r="AH181" t="str">
        <f ca="1">IF(AND(ISNUMBER($AH$631),$B$419=1),$AH$631,HLOOKUP(INDIRECT(ADDRESS(2,COLUMN())),OFFSET($BN$2,0,0,ROW()-1,60),ROW()-1,FALSE))</f>
        <v/>
      </c>
      <c r="AI181" t="str">
        <f ca="1">IF(AND(ISNUMBER($AI$631),$B$419=1),$AI$631,HLOOKUP(INDIRECT(ADDRESS(2,COLUMN())),OFFSET($BN$2,0,0,ROW()-1,60),ROW()-1,FALSE))</f>
        <v/>
      </c>
      <c r="AJ181" t="str">
        <f ca="1">IF(AND(ISNUMBER($AJ$631),$B$419=1),$AJ$631,HLOOKUP(INDIRECT(ADDRESS(2,COLUMN())),OFFSET($BN$2,0,0,ROW()-1,60),ROW()-1,FALSE))</f>
        <v/>
      </c>
      <c r="AK181" t="str">
        <f ca="1">IF(AND(ISNUMBER($AK$631),$B$419=1),$AK$631,HLOOKUP(INDIRECT(ADDRESS(2,COLUMN())),OFFSET($BN$2,0,0,ROW()-1,60),ROW()-1,FALSE))</f>
        <v/>
      </c>
      <c r="AL181" t="str">
        <f ca="1">IF(AND(ISNUMBER($AL$631),$B$419=1),$AL$631,HLOOKUP(INDIRECT(ADDRESS(2,COLUMN())),OFFSET($BN$2,0,0,ROW()-1,60),ROW()-1,FALSE))</f>
        <v/>
      </c>
      <c r="AM181" t="str">
        <f ca="1">IF(AND(ISNUMBER($AM$631),$B$419=1),$AM$631,HLOOKUP(INDIRECT(ADDRESS(2,COLUMN())),OFFSET($BN$2,0,0,ROW()-1,60),ROW()-1,FALSE))</f>
        <v/>
      </c>
      <c r="AN181" t="str">
        <f ca="1">IF(AND(ISNUMBER($AN$631),$B$419=1),$AN$631,HLOOKUP(INDIRECT(ADDRESS(2,COLUMN())),OFFSET($BN$2,0,0,ROW()-1,60),ROW()-1,FALSE))</f>
        <v/>
      </c>
      <c r="AO181" t="str">
        <f ca="1">IF(AND(ISNUMBER($AO$631),$B$419=1),$AO$631,HLOOKUP(INDIRECT(ADDRESS(2,COLUMN())),OFFSET($BN$2,0,0,ROW()-1,60),ROW()-1,FALSE))</f>
        <v/>
      </c>
      <c r="AP181" t="str">
        <f ca="1">IF(AND(ISNUMBER($AP$631),$B$419=1),$AP$631,HLOOKUP(INDIRECT(ADDRESS(2,COLUMN())),OFFSET($BN$2,0,0,ROW()-1,60),ROW()-1,FALSE))</f>
        <v/>
      </c>
      <c r="AQ181" t="str">
        <f ca="1">IF(AND(ISNUMBER($AQ$631),$B$419=1),$AQ$631,HLOOKUP(INDIRECT(ADDRESS(2,COLUMN())),OFFSET($BN$2,0,0,ROW()-1,60),ROW()-1,FALSE))</f>
        <v/>
      </c>
      <c r="AR181" t="str">
        <f ca="1">IF(AND(ISNUMBER($AR$631),$B$419=1),$AR$631,HLOOKUP(INDIRECT(ADDRESS(2,COLUMN())),OFFSET($BN$2,0,0,ROW()-1,60),ROW()-1,FALSE))</f>
        <v/>
      </c>
      <c r="AS181" t="str">
        <f ca="1">IF(AND(ISNUMBER($AS$631),$B$419=1),$AS$631,HLOOKUP(INDIRECT(ADDRESS(2,COLUMN())),OFFSET($BN$2,0,0,ROW()-1,60),ROW()-1,FALSE))</f>
        <v/>
      </c>
      <c r="AT181" t="str">
        <f ca="1">IF(AND(ISNUMBER($AT$631),$B$419=1),$AT$631,HLOOKUP(INDIRECT(ADDRESS(2,COLUMN())),OFFSET($BN$2,0,0,ROW()-1,60),ROW()-1,FALSE))</f>
        <v/>
      </c>
      <c r="AU181" t="str">
        <f ca="1">IF(AND(ISNUMBER($AU$631),$B$419=1),$AU$631,HLOOKUP(INDIRECT(ADDRESS(2,COLUMN())),OFFSET($BN$2,0,0,ROW()-1,60),ROW()-1,FALSE))</f>
        <v/>
      </c>
      <c r="AV181" t="str">
        <f ca="1">IF(AND(ISNUMBER($AV$631),$B$419=1),$AV$631,HLOOKUP(INDIRECT(ADDRESS(2,COLUMN())),OFFSET($BN$2,0,0,ROW()-1,60),ROW()-1,FALSE))</f>
        <v/>
      </c>
      <c r="AW181" t="str">
        <f ca="1">IF(AND(ISNUMBER($AW$631),$B$419=1),$AW$631,HLOOKUP(INDIRECT(ADDRESS(2,COLUMN())),OFFSET($BN$2,0,0,ROW()-1,60),ROW()-1,FALSE))</f>
        <v/>
      </c>
      <c r="AX181" t="str">
        <f ca="1">IF(AND(ISNUMBER($AX$631),$B$419=1),$AX$631,HLOOKUP(INDIRECT(ADDRESS(2,COLUMN())),OFFSET($BN$2,0,0,ROW()-1,60),ROW()-1,FALSE))</f>
        <v/>
      </c>
      <c r="AY181" t="str">
        <f ca="1">IF(AND(ISNUMBER($AY$631),$B$419=1),$AY$631,HLOOKUP(INDIRECT(ADDRESS(2,COLUMN())),OFFSET($BN$2,0,0,ROW()-1,60),ROW()-1,FALSE))</f>
        <v/>
      </c>
      <c r="AZ181" t="str">
        <f ca="1">IF(AND(ISNUMBER($AZ$631),$B$419=1),$AZ$631,HLOOKUP(INDIRECT(ADDRESS(2,COLUMN())),OFFSET($BN$2,0,0,ROW()-1,60),ROW()-1,FALSE))</f>
        <v/>
      </c>
      <c r="BA181" t="str">
        <f ca="1">IF(AND(ISNUMBER($BA$631),$B$419=1),$BA$631,HLOOKUP(INDIRECT(ADDRESS(2,COLUMN())),OFFSET($BN$2,0,0,ROW()-1,60),ROW()-1,FALSE))</f>
        <v/>
      </c>
      <c r="BB181" t="str">
        <f ca="1">IF(AND(ISNUMBER($BB$631),$B$419=1),$BB$631,HLOOKUP(INDIRECT(ADDRESS(2,COLUMN())),OFFSET($BN$2,0,0,ROW()-1,60),ROW()-1,FALSE))</f>
        <v/>
      </c>
      <c r="BC181" t="str">
        <f ca="1">IF(AND(ISNUMBER($BC$631),$B$419=1),$BC$631,HLOOKUP(INDIRECT(ADDRESS(2,COLUMN())),OFFSET($BN$2,0,0,ROW()-1,60),ROW()-1,FALSE))</f>
        <v/>
      </c>
      <c r="BD181" t="str">
        <f ca="1">IF(AND(ISNUMBER($BD$631),$B$419=1),$BD$631,HLOOKUP(INDIRECT(ADDRESS(2,COLUMN())),OFFSET($BN$2,0,0,ROW()-1,60),ROW()-1,FALSE))</f>
        <v/>
      </c>
      <c r="BE181" t="str">
        <f ca="1">IF(AND(ISNUMBER($BE$631),$B$419=1),$BE$631,HLOOKUP(INDIRECT(ADDRESS(2,COLUMN())),OFFSET($BN$2,0,0,ROW()-1,60),ROW()-1,FALSE))</f>
        <v/>
      </c>
      <c r="BF181" t="str">
        <f ca="1">IF(AND(ISNUMBER($BF$631),$B$419=1),$BF$631,HLOOKUP(INDIRECT(ADDRESS(2,COLUMN())),OFFSET($BN$2,0,0,ROW()-1,60),ROW()-1,FALSE))</f>
        <v/>
      </c>
      <c r="BG181" t="str">
        <f ca="1">IF(AND(ISNUMBER($BG$631),$B$419=1),$BG$631,HLOOKUP(INDIRECT(ADDRESS(2,COLUMN())),OFFSET($BN$2,0,0,ROW()-1,60),ROW()-1,FALSE))</f>
        <v/>
      </c>
      <c r="BH181" t="str">
        <f ca="1">IF(AND(ISNUMBER($BH$631),$B$419=1),$BH$631,HLOOKUP(INDIRECT(ADDRESS(2,COLUMN())),OFFSET($BN$2,0,0,ROW()-1,60),ROW()-1,FALSE))</f>
        <v/>
      </c>
      <c r="BI181" t="str">
        <f ca="1">IF(AND(ISNUMBER($BI$631),$B$419=1),$BI$631,HLOOKUP(INDIRECT(ADDRESS(2,COLUMN())),OFFSET($BN$2,0,0,ROW()-1,60),ROW()-1,FALSE))</f>
        <v/>
      </c>
      <c r="BJ181" t="str">
        <f ca="1">IF(AND(ISNUMBER($BJ$631),$B$419=1),$BJ$631,HLOOKUP(INDIRECT(ADDRESS(2,COLUMN())),OFFSET($BN$2,0,0,ROW()-1,60),ROW()-1,FALSE))</f>
        <v/>
      </c>
      <c r="BK181" t="str">
        <f ca="1">IF(AND(ISNUMBER($BK$631),$B$419=1),$BK$631,HLOOKUP(INDIRECT(ADDRESS(2,COLUMN())),OFFSET($BN$2,0,0,ROW()-1,60),ROW()-1,FALSE))</f>
        <v/>
      </c>
      <c r="BL181" t="str">
        <f ca="1">IF(AND(ISNUMBER($BL$631),$B$419=1),$BL$631,HLOOKUP(INDIRECT(ADDRESS(2,COLUMN())),OFFSET($BN$2,0,0,ROW()-1,60),ROW()-1,FALSE))</f>
        <v/>
      </c>
      <c r="BM181" t="str">
        <f ca="1">IF(AND(ISNUMBER($BM$631),$B$419=1),$BM$631,HLOOKUP(INDIRECT(ADDRESS(2,COLUMN())),OFFSET($BN$2,0,0,ROW()-1,60),ROW()-1,FALSE))</f>
        <v/>
      </c>
      <c r="BN181" t="str">
        <f>""</f>
        <v/>
      </c>
      <c r="BO181" t="str">
        <f>""</f>
        <v/>
      </c>
      <c r="BP181" t="str">
        <f>""</f>
        <v/>
      </c>
      <c r="BQ181" t="str">
        <f>""</f>
        <v/>
      </c>
      <c r="BR181" t="str">
        <f>""</f>
        <v/>
      </c>
      <c r="BS181" t="str">
        <f>""</f>
        <v/>
      </c>
      <c r="BT181" t="str">
        <f>""</f>
        <v/>
      </c>
      <c r="BU181" t="str">
        <f>""</f>
        <v/>
      </c>
      <c r="BV181" t="str">
        <f>""</f>
        <v/>
      </c>
      <c r="BW181" t="str">
        <f>""</f>
        <v/>
      </c>
      <c r="BX181" t="str">
        <f>""</f>
        <v/>
      </c>
      <c r="BY181" t="str">
        <f>""</f>
        <v/>
      </c>
      <c r="BZ181" t="str">
        <f>""</f>
        <v/>
      </c>
      <c r="CA181" t="str">
        <f>""</f>
        <v/>
      </c>
      <c r="CB181" t="str">
        <f>""</f>
        <v/>
      </c>
      <c r="CC181" t="str">
        <f>""</f>
        <v/>
      </c>
      <c r="CD181" t="str">
        <f>""</f>
        <v/>
      </c>
      <c r="CE181" t="str">
        <f>""</f>
        <v/>
      </c>
      <c r="CF181" t="str">
        <f>""</f>
        <v/>
      </c>
      <c r="CG181" t="str">
        <f>""</f>
        <v/>
      </c>
      <c r="CH181" t="str">
        <f>""</f>
        <v/>
      </c>
      <c r="CI181" t="str">
        <f>""</f>
        <v/>
      </c>
      <c r="CJ181" t="str">
        <f>""</f>
        <v/>
      </c>
      <c r="CK181" t="str">
        <f>""</f>
        <v/>
      </c>
      <c r="CL181" t="str">
        <f>""</f>
        <v/>
      </c>
      <c r="CM181" t="str">
        <f>""</f>
        <v/>
      </c>
      <c r="CN181" t="str">
        <f>""</f>
        <v/>
      </c>
      <c r="CO181" t="str">
        <f>""</f>
        <v/>
      </c>
      <c r="CP181" t="str">
        <f>""</f>
        <v/>
      </c>
      <c r="CQ181" t="str">
        <f>""</f>
        <v/>
      </c>
      <c r="CR181" t="str">
        <f>""</f>
        <v/>
      </c>
      <c r="CS181" t="str">
        <f>""</f>
        <v/>
      </c>
      <c r="CT181" t="str">
        <f>""</f>
        <v/>
      </c>
      <c r="CU181" t="str">
        <f>""</f>
        <v/>
      </c>
      <c r="CV181" t="str">
        <f>""</f>
        <v/>
      </c>
      <c r="CW181" t="str">
        <f>""</f>
        <v/>
      </c>
      <c r="CX181" t="str">
        <f>""</f>
        <v/>
      </c>
      <c r="CY181" t="str">
        <f>""</f>
        <v/>
      </c>
      <c r="CZ181" t="str">
        <f>""</f>
        <v/>
      </c>
      <c r="DA181" t="str">
        <f>""</f>
        <v/>
      </c>
      <c r="DB181" t="str">
        <f>""</f>
        <v/>
      </c>
      <c r="DC181" t="str">
        <f>""</f>
        <v/>
      </c>
      <c r="DD181" t="str">
        <f>""</f>
        <v/>
      </c>
      <c r="DE181" t="str">
        <f>""</f>
        <v/>
      </c>
      <c r="DF181" t="str">
        <f>""</f>
        <v/>
      </c>
      <c r="DG181" t="str">
        <f>""</f>
        <v/>
      </c>
      <c r="DH181" t="str">
        <f>""</f>
        <v/>
      </c>
      <c r="DI181" t="str">
        <f>""</f>
        <v/>
      </c>
      <c r="DJ181" t="str">
        <f>""</f>
        <v/>
      </c>
      <c r="DK181" t="str">
        <f>""</f>
        <v/>
      </c>
      <c r="DL181" t="str">
        <f>""</f>
        <v/>
      </c>
      <c r="DM181" t="str">
        <f>""</f>
        <v/>
      </c>
      <c r="DN181" t="str">
        <f>""</f>
        <v/>
      </c>
      <c r="DO181" t="str">
        <f>""</f>
        <v/>
      </c>
      <c r="DP181" t="str">
        <f>""</f>
        <v/>
      </c>
      <c r="DQ181" t="str">
        <f>""</f>
        <v/>
      </c>
      <c r="DR181" t="str">
        <f>""</f>
        <v/>
      </c>
      <c r="DS181" t="str">
        <f>""</f>
        <v/>
      </c>
      <c r="DT181" t="str">
        <f>""</f>
        <v/>
      </c>
      <c r="DU181" t="str">
        <f>""</f>
        <v/>
      </c>
    </row>
    <row r="182" spans="1:125">
      <c r="A182" t="str">
        <f>"    CBL &amp; Associates Properties In"</f>
        <v xml:space="preserve">    CBL &amp; Associates Properties In</v>
      </c>
      <c r="B182" t="str">
        <f>"CBL US Equity"</f>
        <v>CBL US Equity</v>
      </c>
      <c r="C182" t="str">
        <f t="shared" si="33"/>
        <v>BE592</v>
      </c>
      <c r="D182" t="str">
        <f t="shared" si="34"/>
        <v>BEST_FFOPS_YOY_GTH</v>
      </c>
      <c r="E182" t="str">
        <f t="shared" si="35"/>
        <v>动态</v>
      </c>
      <c r="F182" t="str">
        <f ca="1">IF(AND(ISNUMBER($F$632),$B$419=1),$F$632,HLOOKUP(INDIRECT(ADDRESS(2,COLUMN())),OFFSET($BN$2,0,0,ROW()-1,60),ROW()-1,FALSE))</f>
        <v/>
      </c>
      <c r="G182" t="str">
        <f ca="1">IF(AND(ISNUMBER($G$632),$B$419=1),$G$632,HLOOKUP(INDIRECT(ADDRESS(2,COLUMN())),OFFSET($BN$2,0,0,ROW()-1,60),ROW()-1,FALSE))</f>
        <v/>
      </c>
      <c r="H182" t="str">
        <f ca="1">IF(AND(ISNUMBER($H$632),$B$419=1),$H$632,HLOOKUP(INDIRECT(ADDRESS(2,COLUMN())),OFFSET($BN$2,0,0,ROW()-1,60),ROW()-1,FALSE))</f>
        <v/>
      </c>
      <c r="I182" t="str">
        <f ca="1">IF(AND(ISNUMBER($I$632),$B$419=1),$I$632,HLOOKUP(INDIRECT(ADDRESS(2,COLUMN())),OFFSET($BN$2,0,0,ROW()-1,60),ROW()-1,FALSE))</f>
        <v/>
      </c>
      <c r="J182" t="str">
        <f ca="1">IF(AND(ISNUMBER($J$632),$B$419=1),$J$632,HLOOKUP(INDIRECT(ADDRESS(2,COLUMN())),OFFSET($BN$2,0,0,ROW()-1,60),ROW()-1,FALSE))</f>
        <v/>
      </c>
      <c r="K182" t="str">
        <f ca="1">IF(AND(ISNUMBER($K$632),$B$419=1),$K$632,HLOOKUP(INDIRECT(ADDRESS(2,COLUMN())),OFFSET($BN$2,0,0,ROW()-1,60),ROW()-1,FALSE))</f>
        <v/>
      </c>
      <c r="L182" t="str">
        <f ca="1">IF(AND(ISNUMBER($L$632),$B$419=1),$L$632,HLOOKUP(INDIRECT(ADDRESS(2,COLUMN())),OFFSET($BN$2,0,0,ROW()-1,60),ROW()-1,FALSE))</f>
        <v/>
      </c>
      <c r="M182" t="str">
        <f ca="1">IF(AND(ISNUMBER($M$632),$B$419=1),$M$632,HLOOKUP(INDIRECT(ADDRESS(2,COLUMN())),OFFSET($BN$2,0,0,ROW()-1,60),ROW()-1,FALSE))</f>
        <v/>
      </c>
      <c r="N182" t="str">
        <f ca="1">IF(AND(ISNUMBER($N$632),$B$419=1),$N$632,HLOOKUP(INDIRECT(ADDRESS(2,COLUMN())),OFFSET($BN$2,0,0,ROW()-1,60),ROW()-1,FALSE))</f>
        <v/>
      </c>
      <c r="O182" t="str">
        <f ca="1">IF(AND(ISNUMBER($O$632),$B$419=1),$O$632,HLOOKUP(INDIRECT(ADDRESS(2,COLUMN())),OFFSET($BN$2,0,0,ROW()-1,60),ROW()-1,FALSE))</f>
        <v/>
      </c>
      <c r="P182" t="str">
        <f ca="1">IF(AND(ISNUMBER($P$632),$B$419=1),$P$632,HLOOKUP(INDIRECT(ADDRESS(2,COLUMN())),OFFSET($BN$2,0,0,ROW()-1,60),ROW()-1,FALSE))</f>
        <v/>
      </c>
      <c r="Q182" t="str">
        <f ca="1">IF(AND(ISNUMBER($Q$632),$B$419=1),$Q$632,HLOOKUP(INDIRECT(ADDRESS(2,COLUMN())),OFFSET($BN$2,0,0,ROW()-1,60),ROW()-1,FALSE))</f>
        <v/>
      </c>
      <c r="R182" t="str">
        <f ca="1">IF(AND(ISNUMBER($R$632),$B$419=1),$R$632,HLOOKUP(INDIRECT(ADDRESS(2,COLUMN())),OFFSET($BN$2,0,0,ROW()-1,60),ROW()-1,FALSE))</f>
        <v/>
      </c>
      <c r="S182" t="str">
        <f ca="1">IF(AND(ISNUMBER($S$632),$B$419=1),$S$632,HLOOKUP(INDIRECT(ADDRESS(2,COLUMN())),OFFSET($BN$2,0,0,ROW()-1,60),ROW()-1,FALSE))</f>
        <v/>
      </c>
      <c r="T182" t="str">
        <f ca="1">IF(AND(ISNUMBER($T$632),$B$419=1),$T$632,HLOOKUP(INDIRECT(ADDRESS(2,COLUMN())),OFFSET($BN$2,0,0,ROW()-1,60),ROW()-1,FALSE))</f>
        <v/>
      </c>
      <c r="U182" t="str">
        <f ca="1">IF(AND(ISNUMBER($U$632),$B$419=1),$U$632,HLOOKUP(INDIRECT(ADDRESS(2,COLUMN())),OFFSET($BN$2,0,0,ROW()-1,60),ROW()-1,FALSE))</f>
        <v/>
      </c>
      <c r="V182" t="str">
        <f ca="1">IF(AND(ISNUMBER($V$632),$B$419=1),$V$632,HLOOKUP(INDIRECT(ADDRESS(2,COLUMN())),OFFSET($BN$2,0,0,ROW()-1,60),ROW()-1,FALSE))</f>
        <v/>
      </c>
      <c r="W182" t="str">
        <f ca="1">IF(AND(ISNUMBER($W$632),$B$419=1),$W$632,HLOOKUP(INDIRECT(ADDRESS(2,COLUMN())),OFFSET($BN$2,0,0,ROW()-1,60),ROW()-1,FALSE))</f>
        <v/>
      </c>
      <c r="X182" t="str">
        <f ca="1">IF(AND(ISNUMBER($X$632),$B$419=1),$X$632,HLOOKUP(INDIRECT(ADDRESS(2,COLUMN())),OFFSET($BN$2,0,0,ROW()-1,60),ROW()-1,FALSE))</f>
        <v/>
      </c>
      <c r="Y182" t="str">
        <f ca="1">IF(AND(ISNUMBER($Y$632),$B$419=1),$Y$632,HLOOKUP(INDIRECT(ADDRESS(2,COLUMN())),OFFSET($BN$2,0,0,ROW()-1,60),ROW()-1,FALSE))</f>
        <v/>
      </c>
      <c r="Z182" t="str">
        <f ca="1">IF(AND(ISNUMBER($Z$632),$B$419=1),$Z$632,HLOOKUP(INDIRECT(ADDRESS(2,COLUMN())),OFFSET($BN$2,0,0,ROW()-1,60),ROW()-1,FALSE))</f>
        <v/>
      </c>
      <c r="AA182" t="str">
        <f ca="1">IF(AND(ISNUMBER($AA$632),$B$419=1),$AA$632,HLOOKUP(INDIRECT(ADDRESS(2,COLUMN())),OFFSET($BN$2,0,0,ROW()-1,60),ROW()-1,FALSE))</f>
        <v/>
      </c>
      <c r="AB182" t="str">
        <f ca="1">IF(AND(ISNUMBER($AB$632),$B$419=1),$AB$632,HLOOKUP(INDIRECT(ADDRESS(2,COLUMN())),OFFSET($BN$2,0,0,ROW()-1,60),ROW()-1,FALSE))</f>
        <v/>
      </c>
      <c r="AC182" t="str">
        <f ca="1">IF(AND(ISNUMBER($AC$632),$B$419=1),$AC$632,HLOOKUP(INDIRECT(ADDRESS(2,COLUMN())),OFFSET($BN$2,0,0,ROW()-1,60),ROW()-1,FALSE))</f>
        <v/>
      </c>
      <c r="AD182" t="str">
        <f ca="1">IF(AND(ISNUMBER($AD$632),$B$419=1),$AD$632,HLOOKUP(INDIRECT(ADDRESS(2,COLUMN())),OFFSET($BN$2,0,0,ROW()-1,60),ROW()-1,FALSE))</f>
        <v/>
      </c>
      <c r="AE182" t="str">
        <f ca="1">IF(AND(ISNUMBER($AE$632),$B$419=1),$AE$632,HLOOKUP(INDIRECT(ADDRESS(2,COLUMN())),OFFSET($BN$2,0,0,ROW()-1,60),ROW()-1,FALSE))</f>
        <v/>
      </c>
      <c r="AF182" t="str">
        <f ca="1">IF(AND(ISNUMBER($AF$632),$B$419=1),$AF$632,HLOOKUP(INDIRECT(ADDRESS(2,COLUMN())),OFFSET($BN$2,0,0,ROW()-1,60),ROW()-1,FALSE))</f>
        <v/>
      </c>
      <c r="AG182" t="str">
        <f ca="1">IF(AND(ISNUMBER($AG$632),$B$419=1),$AG$632,HLOOKUP(INDIRECT(ADDRESS(2,COLUMN())),OFFSET($BN$2,0,0,ROW()-1,60),ROW()-1,FALSE))</f>
        <v/>
      </c>
      <c r="AH182" t="str">
        <f ca="1">IF(AND(ISNUMBER($AH$632),$B$419=1),$AH$632,HLOOKUP(INDIRECT(ADDRESS(2,COLUMN())),OFFSET($BN$2,0,0,ROW()-1,60),ROW()-1,FALSE))</f>
        <v/>
      </c>
      <c r="AI182" t="str">
        <f ca="1">IF(AND(ISNUMBER($AI$632),$B$419=1),$AI$632,HLOOKUP(INDIRECT(ADDRESS(2,COLUMN())),OFFSET($BN$2,0,0,ROW()-1,60),ROW()-1,FALSE))</f>
        <v/>
      </c>
      <c r="AJ182" t="str">
        <f ca="1">IF(AND(ISNUMBER($AJ$632),$B$419=1),$AJ$632,HLOOKUP(INDIRECT(ADDRESS(2,COLUMN())),OFFSET($BN$2,0,0,ROW()-1,60),ROW()-1,FALSE))</f>
        <v/>
      </c>
      <c r="AK182" t="str">
        <f ca="1">IF(AND(ISNUMBER($AK$632),$B$419=1),$AK$632,HLOOKUP(INDIRECT(ADDRESS(2,COLUMN())),OFFSET($BN$2,0,0,ROW()-1,60),ROW()-1,FALSE))</f>
        <v/>
      </c>
      <c r="AL182" t="str">
        <f ca="1">IF(AND(ISNUMBER($AL$632),$B$419=1),$AL$632,HLOOKUP(INDIRECT(ADDRESS(2,COLUMN())),OFFSET($BN$2,0,0,ROW()-1,60),ROW()-1,FALSE))</f>
        <v/>
      </c>
      <c r="AM182" t="str">
        <f ca="1">IF(AND(ISNUMBER($AM$632),$B$419=1),$AM$632,HLOOKUP(INDIRECT(ADDRESS(2,COLUMN())),OFFSET($BN$2,0,0,ROW()-1,60),ROW()-1,FALSE))</f>
        <v/>
      </c>
      <c r="AN182" t="str">
        <f ca="1">IF(AND(ISNUMBER($AN$632),$B$419=1),$AN$632,HLOOKUP(INDIRECT(ADDRESS(2,COLUMN())),OFFSET($BN$2,0,0,ROW()-1,60),ROW()-1,FALSE))</f>
        <v/>
      </c>
      <c r="AO182" t="str">
        <f ca="1">IF(AND(ISNUMBER($AO$632),$B$419=1),$AO$632,HLOOKUP(INDIRECT(ADDRESS(2,COLUMN())),OFFSET($BN$2,0,0,ROW()-1,60),ROW()-1,FALSE))</f>
        <v/>
      </c>
      <c r="AP182" t="str">
        <f ca="1">IF(AND(ISNUMBER($AP$632),$B$419=1),$AP$632,HLOOKUP(INDIRECT(ADDRESS(2,COLUMN())),OFFSET($BN$2,0,0,ROW()-1,60),ROW()-1,FALSE))</f>
        <v/>
      </c>
      <c r="AQ182" t="str">
        <f ca="1">IF(AND(ISNUMBER($AQ$632),$B$419=1),$AQ$632,HLOOKUP(INDIRECT(ADDRESS(2,COLUMN())),OFFSET($BN$2,0,0,ROW()-1,60),ROW()-1,FALSE))</f>
        <v/>
      </c>
      <c r="AR182" t="str">
        <f ca="1">IF(AND(ISNUMBER($AR$632),$B$419=1),$AR$632,HLOOKUP(INDIRECT(ADDRESS(2,COLUMN())),OFFSET($BN$2,0,0,ROW()-1,60),ROW()-1,FALSE))</f>
        <v/>
      </c>
      <c r="AS182" t="str">
        <f ca="1">IF(AND(ISNUMBER($AS$632),$B$419=1),$AS$632,HLOOKUP(INDIRECT(ADDRESS(2,COLUMN())),OFFSET($BN$2,0,0,ROW()-1,60),ROW()-1,FALSE))</f>
        <v/>
      </c>
      <c r="AT182" t="str">
        <f ca="1">IF(AND(ISNUMBER($AT$632),$B$419=1),$AT$632,HLOOKUP(INDIRECT(ADDRESS(2,COLUMN())),OFFSET($BN$2,0,0,ROW()-1,60),ROW()-1,FALSE))</f>
        <v/>
      </c>
      <c r="AU182" t="str">
        <f ca="1">IF(AND(ISNUMBER($AU$632),$B$419=1),$AU$632,HLOOKUP(INDIRECT(ADDRESS(2,COLUMN())),OFFSET($BN$2,0,0,ROW()-1,60),ROW()-1,FALSE))</f>
        <v/>
      </c>
      <c r="AV182" t="str">
        <f ca="1">IF(AND(ISNUMBER($AV$632),$B$419=1),$AV$632,HLOOKUP(INDIRECT(ADDRESS(2,COLUMN())),OFFSET($BN$2,0,0,ROW()-1,60),ROW()-1,FALSE))</f>
        <v/>
      </c>
      <c r="AW182" t="str">
        <f ca="1">IF(AND(ISNUMBER($AW$632),$B$419=1),$AW$632,HLOOKUP(INDIRECT(ADDRESS(2,COLUMN())),OFFSET($BN$2,0,0,ROW()-1,60),ROW()-1,FALSE))</f>
        <v/>
      </c>
      <c r="AX182" t="str">
        <f ca="1">IF(AND(ISNUMBER($AX$632),$B$419=1),$AX$632,HLOOKUP(INDIRECT(ADDRESS(2,COLUMN())),OFFSET($BN$2,0,0,ROW()-1,60),ROW()-1,FALSE))</f>
        <v/>
      </c>
      <c r="AY182" t="str">
        <f ca="1">IF(AND(ISNUMBER($AY$632),$B$419=1),$AY$632,HLOOKUP(INDIRECT(ADDRESS(2,COLUMN())),OFFSET($BN$2,0,0,ROW()-1,60),ROW()-1,FALSE))</f>
        <v/>
      </c>
      <c r="AZ182" t="str">
        <f ca="1">IF(AND(ISNUMBER($AZ$632),$B$419=1),$AZ$632,HLOOKUP(INDIRECT(ADDRESS(2,COLUMN())),OFFSET($BN$2,0,0,ROW()-1,60),ROW()-1,FALSE))</f>
        <v/>
      </c>
      <c r="BA182" t="str">
        <f ca="1">IF(AND(ISNUMBER($BA$632),$B$419=1),$BA$632,HLOOKUP(INDIRECT(ADDRESS(2,COLUMN())),OFFSET($BN$2,0,0,ROW()-1,60),ROW()-1,FALSE))</f>
        <v/>
      </c>
      <c r="BB182" t="str">
        <f ca="1">IF(AND(ISNUMBER($BB$632),$B$419=1),$BB$632,HLOOKUP(INDIRECT(ADDRESS(2,COLUMN())),OFFSET($BN$2,0,0,ROW()-1,60),ROW()-1,FALSE))</f>
        <v/>
      </c>
      <c r="BC182" t="str">
        <f ca="1">IF(AND(ISNUMBER($BC$632),$B$419=1),$BC$632,HLOOKUP(INDIRECT(ADDRESS(2,COLUMN())),OFFSET($BN$2,0,0,ROW()-1,60),ROW()-1,FALSE))</f>
        <v/>
      </c>
      <c r="BD182" t="str">
        <f ca="1">IF(AND(ISNUMBER($BD$632),$B$419=1),$BD$632,HLOOKUP(INDIRECT(ADDRESS(2,COLUMN())),OFFSET($BN$2,0,0,ROW()-1,60),ROW()-1,FALSE))</f>
        <v/>
      </c>
      <c r="BE182" t="str">
        <f ca="1">IF(AND(ISNUMBER($BE$632),$B$419=1),$BE$632,HLOOKUP(INDIRECT(ADDRESS(2,COLUMN())),OFFSET($BN$2,0,0,ROW()-1,60),ROW()-1,FALSE))</f>
        <v/>
      </c>
      <c r="BF182" t="str">
        <f ca="1">IF(AND(ISNUMBER($BF$632),$B$419=1),$BF$632,HLOOKUP(INDIRECT(ADDRESS(2,COLUMN())),OFFSET($BN$2,0,0,ROW()-1,60),ROW()-1,FALSE))</f>
        <v/>
      </c>
      <c r="BG182" t="str">
        <f ca="1">IF(AND(ISNUMBER($BG$632),$B$419=1),$BG$632,HLOOKUP(INDIRECT(ADDRESS(2,COLUMN())),OFFSET($BN$2,0,0,ROW()-1,60),ROW()-1,FALSE))</f>
        <v/>
      </c>
      <c r="BH182" t="str">
        <f ca="1">IF(AND(ISNUMBER($BH$632),$B$419=1),$BH$632,HLOOKUP(INDIRECT(ADDRESS(2,COLUMN())),OFFSET($BN$2,0,0,ROW()-1,60),ROW()-1,FALSE))</f>
        <v/>
      </c>
      <c r="BI182" t="str">
        <f ca="1">IF(AND(ISNUMBER($BI$632),$B$419=1),$BI$632,HLOOKUP(INDIRECT(ADDRESS(2,COLUMN())),OFFSET($BN$2,0,0,ROW()-1,60),ROW()-1,FALSE))</f>
        <v/>
      </c>
      <c r="BJ182" t="str">
        <f ca="1">IF(AND(ISNUMBER($BJ$632),$B$419=1),$BJ$632,HLOOKUP(INDIRECT(ADDRESS(2,COLUMN())),OFFSET($BN$2,0,0,ROW()-1,60),ROW()-1,FALSE))</f>
        <v/>
      </c>
      <c r="BK182" t="str">
        <f ca="1">IF(AND(ISNUMBER($BK$632),$B$419=1),$BK$632,HLOOKUP(INDIRECT(ADDRESS(2,COLUMN())),OFFSET($BN$2,0,0,ROW()-1,60),ROW()-1,FALSE))</f>
        <v/>
      </c>
      <c r="BL182" t="str">
        <f ca="1">IF(AND(ISNUMBER($BL$632),$B$419=1),$BL$632,HLOOKUP(INDIRECT(ADDRESS(2,COLUMN())),OFFSET($BN$2,0,0,ROW()-1,60),ROW()-1,FALSE))</f>
        <v/>
      </c>
      <c r="BM182" t="str">
        <f ca="1">IF(AND(ISNUMBER($BM$632),$B$419=1),$BM$632,HLOOKUP(INDIRECT(ADDRESS(2,COLUMN())),OFFSET($BN$2,0,0,ROW()-1,60),ROW()-1,FALSE))</f>
        <v/>
      </c>
      <c r="BN182" t="str">
        <f>""</f>
        <v/>
      </c>
      <c r="BO182" t="str">
        <f>""</f>
        <v/>
      </c>
      <c r="BP182" t="str">
        <f>""</f>
        <v/>
      </c>
      <c r="BQ182" t="str">
        <f>""</f>
        <v/>
      </c>
      <c r="BR182" t="str">
        <f>""</f>
        <v/>
      </c>
      <c r="BS182" t="str">
        <f>""</f>
        <v/>
      </c>
      <c r="BT182" t="str">
        <f>""</f>
        <v/>
      </c>
      <c r="BU182" t="str">
        <f>""</f>
        <v/>
      </c>
      <c r="BV182" t="str">
        <f>""</f>
        <v/>
      </c>
      <c r="BW182" t="str">
        <f>""</f>
        <v/>
      </c>
      <c r="BX182" t="str">
        <f>""</f>
        <v/>
      </c>
      <c r="BY182" t="str">
        <f>""</f>
        <v/>
      </c>
      <c r="BZ182" t="str">
        <f>""</f>
        <v/>
      </c>
      <c r="CA182" t="str">
        <f>""</f>
        <v/>
      </c>
      <c r="CB182" t="str">
        <f>""</f>
        <v/>
      </c>
      <c r="CC182" t="str">
        <f>""</f>
        <v/>
      </c>
      <c r="CD182" t="str">
        <f>""</f>
        <v/>
      </c>
      <c r="CE182" t="str">
        <f>""</f>
        <v/>
      </c>
      <c r="CF182" t="str">
        <f>""</f>
        <v/>
      </c>
      <c r="CG182" t="str">
        <f>""</f>
        <v/>
      </c>
      <c r="CH182" t="str">
        <f>""</f>
        <v/>
      </c>
      <c r="CI182" t="str">
        <f>""</f>
        <v/>
      </c>
      <c r="CJ182" t="str">
        <f>""</f>
        <v/>
      </c>
      <c r="CK182" t="str">
        <f>""</f>
        <v/>
      </c>
      <c r="CL182" t="str">
        <f>""</f>
        <v/>
      </c>
      <c r="CM182" t="str">
        <f>""</f>
        <v/>
      </c>
      <c r="CN182" t="str">
        <f>""</f>
        <v/>
      </c>
      <c r="CO182" t="str">
        <f>""</f>
        <v/>
      </c>
      <c r="CP182" t="str">
        <f>""</f>
        <v/>
      </c>
      <c r="CQ182" t="str">
        <f>""</f>
        <v/>
      </c>
      <c r="CR182" t="str">
        <f>""</f>
        <v/>
      </c>
      <c r="CS182" t="str">
        <f>""</f>
        <v/>
      </c>
      <c r="CT182" t="str">
        <f>""</f>
        <v/>
      </c>
      <c r="CU182" t="str">
        <f>""</f>
        <v/>
      </c>
      <c r="CV182" t="str">
        <f>""</f>
        <v/>
      </c>
      <c r="CW182" t="str">
        <f>""</f>
        <v/>
      </c>
      <c r="CX182" t="str">
        <f>""</f>
        <v/>
      </c>
      <c r="CY182" t="str">
        <f>""</f>
        <v/>
      </c>
      <c r="CZ182" t="str">
        <f>""</f>
        <v/>
      </c>
      <c r="DA182" t="str">
        <f>""</f>
        <v/>
      </c>
      <c r="DB182" t="str">
        <f>""</f>
        <v/>
      </c>
      <c r="DC182" t="str">
        <f>""</f>
        <v/>
      </c>
      <c r="DD182" t="str">
        <f>""</f>
        <v/>
      </c>
      <c r="DE182" t="str">
        <f>""</f>
        <v/>
      </c>
      <c r="DF182" t="str">
        <f>""</f>
        <v/>
      </c>
      <c r="DG182" t="str">
        <f>""</f>
        <v/>
      </c>
      <c r="DH182" t="str">
        <f>""</f>
        <v/>
      </c>
      <c r="DI182" t="str">
        <f>""</f>
        <v/>
      </c>
      <c r="DJ182" t="str">
        <f>""</f>
        <v/>
      </c>
      <c r="DK182" t="str">
        <f>""</f>
        <v/>
      </c>
      <c r="DL182" t="str">
        <f>""</f>
        <v/>
      </c>
      <c r="DM182" t="str">
        <f>""</f>
        <v/>
      </c>
      <c r="DN182" t="str">
        <f>""</f>
        <v/>
      </c>
      <c r="DO182" t="str">
        <f>""</f>
        <v/>
      </c>
      <c r="DP182" t="str">
        <f>""</f>
        <v/>
      </c>
      <c r="DQ182" t="str">
        <f>""</f>
        <v/>
      </c>
      <c r="DR182" t="str">
        <f>""</f>
        <v/>
      </c>
      <c r="DS182" t="str">
        <f>""</f>
        <v/>
      </c>
      <c r="DT182" t="str">
        <f>""</f>
        <v/>
      </c>
      <c r="DU182" t="str">
        <f>""</f>
        <v/>
      </c>
    </row>
    <row r="183" spans="1:125">
      <c r="A183" t="str">
        <f>"    DDR Corp"</f>
        <v xml:space="preserve">    DDR Corp</v>
      </c>
      <c r="B183" t="str">
        <f>"DDR US Equity"</f>
        <v>DDR US Equity</v>
      </c>
      <c r="C183" t="str">
        <f t="shared" si="33"/>
        <v>BE592</v>
      </c>
      <c r="D183" t="str">
        <f t="shared" si="34"/>
        <v>BEST_FFOPS_YOY_GTH</v>
      </c>
      <c r="E183" t="str">
        <f t="shared" si="35"/>
        <v>动态</v>
      </c>
      <c r="F183" t="str">
        <f ca="1">IF(AND(ISNUMBER($F$633),$B$419=1),$F$633,HLOOKUP(INDIRECT(ADDRESS(2,COLUMN())),OFFSET($BN$2,0,0,ROW()-1,60),ROW()-1,FALSE))</f>
        <v/>
      </c>
      <c r="G183" t="str">
        <f ca="1">IF(AND(ISNUMBER($G$633),$B$419=1),$G$633,HLOOKUP(INDIRECT(ADDRESS(2,COLUMN())),OFFSET($BN$2,0,0,ROW()-1,60),ROW()-1,FALSE))</f>
        <v/>
      </c>
      <c r="H183" t="str">
        <f ca="1">IF(AND(ISNUMBER($H$633),$B$419=1),$H$633,HLOOKUP(INDIRECT(ADDRESS(2,COLUMN())),OFFSET($BN$2,0,0,ROW()-1,60),ROW()-1,FALSE))</f>
        <v/>
      </c>
      <c r="I183" t="str">
        <f ca="1">IF(AND(ISNUMBER($I$633),$B$419=1),$I$633,HLOOKUP(INDIRECT(ADDRESS(2,COLUMN())),OFFSET($BN$2,0,0,ROW()-1,60),ROW()-1,FALSE))</f>
        <v/>
      </c>
      <c r="J183" t="str">
        <f ca="1">IF(AND(ISNUMBER($J$633),$B$419=1),$J$633,HLOOKUP(INDIRECT(ADDRESS(2,COLUMN())),OFFSET($BN$2,0,0,ROW()-1,60),ROW()-1,FALSE))</f>
        <v/>
      </c>
      <c r="K183" t="str">
        <f ca="1">IF(AND(ISNUMBER($K$633),$B$419=1),$K$633,HLOOKUP(INDIRECT(ADDRESS(2,COLUMN())),OFFSET($BN$2,0,0,ROW()-1,60),ROW()-1,FALSE))</f>
        <v/>
      </c>
      <c r="L183" t="str">
        <f ca="1">IF(AND(ISNUMBER($L$633),$B$419=1),$L$633,HLOOKUP(INDIRECT(ADDRESS(2,COLUMN())),OFFSET($BN$2,0,0,ROW()-1,60),ROW()-1,FALSE))</f>
        <v/>
      </c>
      <c r="M183" t="str">
        <f ca="1">IF(AND(ISNUMBER($M$633),$B$419=1),$M$633,HLOOKUP(INDIRECT(ADDRESS(2,COLUMN())),OFFSET($BN$2,0,0,ROW()-1,60),ROW()-1,FALSE))</f>
        <v/>
      </c>
      <c r="N183" t="str">
        <f ca="1">IF(AND(ISNUMBER($N$633),$B$419=1),$N$633,HLOOKUP(INDIRECT(ADDRESS(2,COLUMN())),OFFSET($BN$2,0,0,ROW()-1,60),ROW()-1,FALSE))</f>
        <v/>
      </c>
      <c r="O183" t="str">
        <f ca="1">IF(AND(ISNUMBER($O$633),$B$419=1),$O$633,HLOOKUP(INDIRECT(ADDRESS(2,COLUMN())),OFFSET($BN$2,0,0,ROW()-1,60),ROW()-1,FALSE))</f>
        <v/>
      </c>
      <c r="P183" t="str">
        <f ca="1">IF(AND(ISNUMBER($P$633),$B$419=1),$P$633,HLOOKUP(INDIRECT(ADDRESS(2,COLUMN())),OFFSET($BN$2,0,0,ROW()-1,60),ROW()-1,FALSE))</f>
        <v/>
      </c>
      <c r="Q183" t="str">
        <f ca="1">IF(AND(ISNUMBER($Q$633),$B$419=1),$Q$633,HLOOKUP(INDIRECT(ADDRESS(2,COLUMN())),OFFSET($BN$2,0,0,ROW()-1,60),ROW()-1,FALSE))</f>
        <v/>
      </c>
      <c r="R183" t="str">
        <f ca="1">IF(AND(ISNUMBER($R$633),$B$419=1),$R$633,HLOOKUP(INDIRECT(ADDRESS(2,COLUMN())),OFFSET($BN$2,0,0,ROW()-1,60),ROW()-1,FALSE))</f>
        <v/>
      </c>
      <c r="S183" t="str">
        <f ca="1">IF(AND(ISNUMBER($S$633),$B$419=1),$S$633,HLOOKUP(INDIRECT(ADDRESS(2,COLUMN())),OFFSET($BN$2,0,0,ROW()-1,60),ROW()-1,FALSE))</f>
        <v/>
      </c>
      <c r="T183" t="str">
        <f ca="1">IF(AND(ISNUMBER($T$633),$B$419=1),$T$633,HLOOKUP(INDIRECT(ADDRESS(2,COLUMN())),OFFSET($BN$2,0,0,ROW()-1,60),ROW()-1,FALSE))</f>
        <v/>
      </c>
      <c r="U183" t="str">
        <f ca="1">IF(AND(ISNUMBER($U$633),$B$419=1),$U$633,HLOOKUP(INDIRECT(ADDRESS(2,COLUMN())),OFFSET($BN$2,0,0,ROW()-1,60),ROW()-1,FALSE))</f>
        <v/>
      </c>
      <c r="V183" t="str">
        <f ca="1">IF(AND(ISNUMBER($V$633),$B$419=1),$V$633,HLOOKUP(INDIRECT(ADDRESS(2,COLUMN())),OFFSET($BN$2,0,0,ROW()-1,60),ROW()-1,FALSE))</f>
        <v/>
      </c>
      <c r="W183" t="str">
        <f ca="1">IF(AND(ISNUMBER($W$633),$B$419=1),$W$633,HLOOKUP(INDIRECT(ADDRESS(2,COLUMN())),OFFSET($BN$2,0,0,ROW()-1,60),ROW()-1,FALSE))</f>
        <v/>
      </c>
      <c r="X183" t="str">
        <f ca="1">IF(AND(ISNUMBER($X$633),$B$419=1),$X$633,HLOOKUP(INDIRECT(ADDRESS(2,COLUMN())),OFFSET($BN$2,0,0,ROW()-1,60),ROW()-1,FALSE))</f>
        <v/>
      </c>
      <c r="Y183" t="str">
        <f ca="1">IF(AND(ISNUMBER($Y$633),$B$419=1),$Y$633,HLOOKUP(INDIRECT(ADDRESS(2,COLUMN())),OFFSET($BN$2,0,0,ROW()-1,60),ROW()-1,FALSE))</f>
        <v/>
      </c>
      <c r="Z183" t="str">
        <f ca="1">IF(AND(ISNUMBER($Z$633),$B$419=1),$Z$633,HLOOKUP(INDIRECT(ADDRESS(2,COLUMN())),OFFSET($BN$2,0,0,ROW()-1,60),ROW()-1,FALSE))</f>
        <v/>
      </c>
      <c r="AA183" t="str">
        <f ca="1">IF(AND(ISNUMBER($AA$633),$B$419=1),$AA$633,HLOOKUP(INDIRECT(ADDRESS(2,COLUMN())),OFFSET($BN$2,0,0,ROW()-1,60),ROW()-1,FALSE))</f>
        <v/>
      </c>
      <c r="AB183" t="str">
        <f ca="1">IF(AND(ISNUMBER($AB$633),$B$419=1),$AB$633,HLOOKUP(INDIRECT(ADDRESS(2,COLUMN())),OFFSET($BN$2,0,0,ROW()-1,60),ROW()-1,FALSE))</f>
        <v/>
      </c>
      <c r="AC183" t="str">
        <f ca="1">IF(AND(ISNUMBER($AC$633),$B$419=1),$AC$633,HLOOKUP(INDIRECT(ADDRESS(2,COLUMN())),OFFSET($BN$2,0,0,ROW()-1,60),ROW()-1,FALSE))</f>
        <v/>
      </c>
      <c r="AD183" t="str">
        <f ca="1">IF(AND(ISNUMBER($AD$633),$B$419=1),$AD$633,HLOOKUP(INDIRECT(ADDRESS(2,COLUMN())),OFFSET($BN$2,0,0,ROW()-1,60),ROW()-1,FALSE))</f>
        <v/>
      </c>
      <c r="AE183" t="str">
        <f ca="1">IF(AND(ISNUMBER($AE$633),$B$419=1),$AE$633,HLOOKUP(INDIRECT(ADDRESS(2,COLUMN())),OFFSET($BN$2,0,0,ROW()-1,60),ROW()-1,FALSE))</f>
        <v/>
      </c>
      <c r="AF183" t="str">
        <f ca="1">IF(AND(ISNUMBER($AF$633),$B$419=1),$AF$633,HLOOKUP(INDIRECT(ADDRESS(2,COLUMN())),OFFSET($BN$2,0,0,ROW()-1,60),ROW()-1,FALSE))</f>
        <v/>
      </c>
      <c r="AG183" t="str">
        <f ca="1">IF(AND(ISNUMBER($AG$633),$B$419=1),$AG$633,HLOOKUP(INDIRECT(ADDRESS(2,COLUMN())),OFFSET($BN$2,0,0,ROW()-1,60),ROW()-1,FALSE))</f>
        <v/>
      </c>
      <c r="AH183" t="str">
        <f ca="1">IF(AND(ISNUMBER($AH$633),$B$419=1),$AH$633,HLOOKUP(INDIRECT(ADDRESS(2,COLUMN())),OFFSET($BN$2,0,0,ROW()-1,60),ROW()-1,FALSE))</f>
        <v/>
      </c>
      <c r="AI183" t="str">
        <f ca="1">IF(AND(ISNUMBER($AI$633),$B$419=1),$AI$633,HLOOKUP(INDIRECT(ADDRESS(2,COLUMN())),OFFSET($BN$2,0,0,ROW()-1,60),ROW()-1,FALSE))</f>
        <v/>
      </c>
      <c r="AJ183" t="str">
        <f ca="1">IF(AND(ISNUMBER($AJ$633),$B$419=1),$AJ$633,HLOOKUP(INDIRECT(ADDRESS(2,COLUMN())),OFFSET($BN$2,0,0,ROW()-1,60),ROW()-1,FALSE))</f>
        <v/>
      </c>
      <c r="AK183" t="str">
        <f ca="1">IF(AND(ISNUMBER($AK$633),$B$419=1),$AK$633,HLOOKUP(INDIRECT(ADDRESS(2,COLUMN())),OFFSET($BN$2,0,0,ROW()-1,60),ROW()-1,FALSE))</f>
        <v/>
      </c>
      <c r="AL183" t="str">
        <f ca="1">IF(AND(ISNUMBER($AL$633),$B$419=1),$AL$633,HLOOKUP(INDIRECT(ADDRESS(2,COLUMN())),OFFSET($BN$2,0,0,ROW()-1,60),ROW()-1,FALSE))</f>
        <v/>
      </c>
      <c r="AM183" t="str">
        <f ca="1">IF(AND(ISNUMBER($AM$633),$B$419=1),$AM$633,HLOOKUP(INDIRECT(ADDRESS(2,COLUMN())),OFFSET($BN$2,0,0,ROW()-1,60),ROW()-1,FALSE))</f>
        <v/>
      </c>
      <c r="AN183" t="str">
        <f ca="1">IF(AND(ISNUMBER($AN$633),$B$419=1),$AN$633,HLOOKUP(INDIRECT(ADDRESS(2,COLUMN())),OFFSET($BN$2,0,0,ROW()-1,60),ROW()-1,FALSE))</f>
        <v/>
      </c>
      <c r="AO183" t="str">
        <f ca="1">IF(AND(ISNUMBER($AO$633),$B$419=1),$AO$633,HLOOKUP(INDIRECT(ADDRESS(2,COLUMN())),OFFSET($BN$2,0,0,ROW()-1,60),ROW()-1,FALSE))</f>
        <v/>
      </c>
      <c r="AP183" t="str">
        <f ca="1">IF(AND(ISNUMBER($AP$633),$B$419=1),$AP$633,HLOOKUP(INDIRECT(ADDRESS(2,COLUMN())),OFFSET($BN$2,0,0,ROW()-1,60),ROW()-1,FALSE))</f>
        <v/>
      </c>
      <c r="AQ183" t="str">
        <f ca="1">IF(AND(ISNUMBER($AQ$633),$B$419=1),$AQ$633,HLOOKUP(INDIRECT(ADDRESS(2,COLUMN())),OFFSET($BN$2,0,0,ROW()-1,60),ROW()-1,FALSE))</f>
        <v/>
      </c>
      <c r="AR183" t="str">
        <f ca="1">IF(AND(ISNUMBER($AR$633),$B$419=1),$AR$633,HLOOKUP(INDIRECT(ADDRESS(2,COLUMN())),OFFSET($BN$2,0,0,ROW()-1,60),ROW()-1,FALSE))</f>
        <v/>
      </c>
      <c r="AS183" t="str">
        <f ca="1">IF(AND(ISNUMBER($AS$633),$B$419=1),$AS$633,HLOOKUP(INDIRECT(ADDRESS(2,COLUMN())),OFFSET($BN$2,0,0,ROW()-1,60),ROW()-1,FALSE))</f>
        <v/>
      </c>
      <c r="AT183" t="str">
        <f ca="1">IF(AND(ISNUMBER($AT$633),$B$419=1),$AT$633,HLOOKUP(INDIRECT(ADDRESS(2,COLUMN())),OFFSET($BN$2,0,0,ROW()-1,60),ROW()-1,FALSE))</f>
        <v/>
      </c>
      <c r="AU183" t="str">
        <f ca="1">IF(AND(ISNUMBER($AU$633),$B$419=1),$AU$633,HLOOKUP(INDIRECT(ADDRESS(2,COLUMN())),OFFSET($BN$2,0,0,ROW()-1,60),ROW()-1,FALSE))</f>
        <v/>
      </c>
      <c r="AV183" t="str">
        <f ca="1">IF(AND(ISNUMBER($AV$633),$B$419=1),$AV$633,HLOOKUP(INDIRECT(ADDRESS(2,COLUMN())),OFFSET($BN$2,0,0,ROW()-1,60),ROW()-1,FALSE))</f>
        <v/>
      </c>
      <c r="AW183" t="str">
        <f ca="1">IF(AND(ISNUMBER($AW$633),$B$419=1),$AW$633,HLOOKUP(INDIRECT(ADDRESS(2,COLUMN())),OFFSET($BN$2,0,0,ROW()-1,60),ROW()-1,FALSE))</f>
        <v/>
      </c>
      <c r="AX183" t="str">
        <f ca="1">IF(AND(ISNUMBER($AX$633),$B$419=1),$AX$633,HLOOKUP(INDIRECT(ADDRESS(2,COLUMN())),OFFSET($BN$2,0,0,ROW()-1,60),ROW()-1,FALSE))</f>
        <v/>
      </c>
      <c r="AY183" t="str">
        <f ca="1">IF(AND(ISNUMBER($AY$633),$B$419=1),$AY$633,HLOOKUP(INDIRECT(ADDRESS(2,COLUMN())),OFFSET($BN$2,0,0,ROW()-1,60),ROW()-1,FALSE))</f>
        <v/>
      </c>
      <c r="AZ183" t="str">
        <f ca="1">IF(AND(ISNUMBER($AZ$633),$B$419=1),$AZ$633,HLOOKUP(INDIRECT(ADDRESS(2,COLUMN())),OFFSET($BN$2,0,0,ROW()-1,60),ROW()-1,FALSE))</f>
        <v/>
      </c>
      <c r="BA183" t="str">
        <f ca="1">IF(AND(ISNUMBER($BA$633),$B$419=1),$BA$633,HLOOKUP(INDIRECT(ADDRESS(2,COLUMN())),OFFSET($BN$2,0,0,ROW()-1,60),ROW()-1,FALSE))</f>
        <v/>
      </c>
      <c r="BB183" t="str">
        <f ca="1">IF(AND(ISNUMBER($BB$633),$B$419=1),$BB$633,HLOOKUP(INDIRECT(ADDRESS(2,COLUMN())),OFFSET($BN$2,0,0,ROW()-1,60),ROW()-1,FALSE))</f>
        <v/>
      </c>
      <c r="BC183" t="str">
        <f ca="1">IF(AND(ISNUMBER($BC$633),$B$419=1),$BC$633,HLOOKUP(INDIRECT(ADDRESS(2,COLUMN())),OFFSET($BN$2,0,0,ROW()-1,60),ROW()-1,FALSE))</f>
        <v/>
      </c>
      <c r="BD183" t="str">
        <f ca="1">IF(AND(ISNUMBER($BD$633),$B$419=1),$BD$633,HLOOKUP(INDIRECT(ADDRESS(2,COLUMN())),OFFSET($BN$2,0,0,ROW()-1,60),ROW()-1,FALSE))</f>
        <v/>
      </c>
      <c r="BE183" t="str">
        <f ca="1">IF(AND(ISNUMBER($BE$633),$B$419=1),$BE$633,HLOOKUP(INDIRECT(ADDRESS(2,COLUMN())),OFFSET($BN$2,0,0,ROW()-1,60),ROW()-1,FALSE))</f>
        <v/>
      </c>
      <c r="BF183" t="str">
        <f ca="1">IF(AND(ISNUMBER($BF$633),$B$419=1),$BF$633,HLOOKUP(INDIRECT(ADDRESS(2,COLUMN())),OFFSET($BN$2,0,0,ROW()-1,60),ROW()-1,FALSE))</f>
        <v/>
      </c>
      <c r="BG183" t="str">
        <f ca="1">IF(AND(ISNUMBER($BG$633),$B$419=1),$BG$633,HLOOKUP(INDIRECT(ADDRESS(2,COLUMN())),OFFSET($BN$2,0,0,ROW()-1,60),ROW()-1,FALSE))</f>
        <v/>
      </c>
      <c r="BH183" t="str">
        <f ca="1">IF(AND(ISNUMBER($BH$633),$B$419=1),$BH$633,HLOOKUP(INDIRECT(ADDRESS(2,COLUMN())),OFFSET($BN$2,0,0,ROW()-1,60),ROW()-1,FALSE))</f>
        <v/>
      </c>
      <c r="BI183" t="str">
        <f ca="1">IF(AND(ISNUMBER($BI$633),$B$419=1),$BI$633,HLOOKUP(INDIRECT(ADDRESS(2,COLUMN())),OFFSET($BN$2,0,0,ROW()-1,60),ROW()-1,FALSE))</f>
        <v/>
      </c>
      <c r="BJ183" t="str">
        <f ca="1">IF(AND(ISNUMBER($BJ$633),$B$419=1),$BJ$633,HLOOKUP(INDIRECT(ADDRESS(2,COLUMN())),OFFSET($BN$2,0,0,ROW()-1,60),ROW()-1,FALSE))</f>
        <v/>
      </c>
      <c r="BK183" t="str">
        <f ca="1">IF(AND(ISNUMBER($BK$633),$B$419=1),$BK$633,HLOOKUP(INDIRECT(ADDRESS(2,COLUMN())),OFFSET($BN$2,0,0,ROW()-1,60),ROW()-1,FALSE))</f>
        <v/>
      </c>
      <c r="BL183" t="str">
        <f ca="1">IF(AND(ISNUMBER($BL$633),$B$419=1),$BL$633,HLOOKUP(INDIRECT(ADDRESS(2,COLUMN())),OFFSET($BN$2,0,0,ROW()-1,60),ROW()-1,FALSE))</f>
        <v/>
      </c>
      <c r="BM183" t="str">
        <f ca="1">IF(AND(ISNUMBER($BM$633),$B$419=1),$BM$633,HLOOKUP(INDIRECT(ADDRESS(2,COLUMN())),OFFSET($BN$2,0,0,ROW()-1,60),ROW()-1,FALSE))</f>
        <v/>
      </c>
      <c r="BN183" t="str">
        <f>""</f>
        <v/>
      </c>
      <c r="BO183" t="str">
        <f>""</f>
        <v/>
      </c>
      <c r="BP183" t="str">
        <f>""</f>
        <v/>
      </c>
      <c r="BQ183" t="str">
        <f>""</f>
        <v/>
      </c>
      <c r="BR183" t="str">
        <f>""</f>
        <v/>
      </c>
      <c r="BS183" t="str">
        <f>""</f>
        <v/>
      </c>
      <c r="BT183" t="str">
        <f>""</f>
        <v/>
      </c>
      <c r="BU183" t="str">
        <f>""</f>
        <v/>
      </c>
      <c r="BV183" t="str">
        <f>""</f>
        <v/>
      </c>
      <c r="BW183" t="str">
        <f>""</f>
        <v/>
      </c>
      <c r="BX183" t="str">
        <f>""</f>
        <v/>
      </c>
      <c r="BY183" t="str">
        <f>""</f>
        <v/>
      </c>
      <c r="BZ183" t="str">
        <f>""</f>
        <v/>
      </c>
      <c r="CA183" t="str">
        <f>""</f>
        <v/>
      </c>
      <c r="CB183" t="str">
        <f>""</f>
        <v/>
      </c>
      <c r="CC183" t="str">
        <f>""</f>
        <v/>
      </c>
      <c r="CD183" t="str">
        <f>""</f>
        <v/>
      </c>
      <c r="CE183" t="str">
        <f>""</f>
        <v/>
      </c>
      <c r="CF183" t="str">
        <f>""</f>
        <v/>
      </c>
      <c r="CG183" t="str">
        <f>""</f>
        <v/>
      </c>
      <c r="CH183" t="str">
        <f>""</f>
        <v/>
      </c>
      <c r="CI183" t="str">
        <f>""</f>
        <v/>
      </c>
      <c r="CJ183" t="str">
        <f>""</f>
        <v/>
      </c>
      <c r="CK183" t="str">
        <f>""</f>
        <v/>
      </c>
      <c r="CL183" t="str">
        <f>""</f>
        <v/>
      </c>
      <c r="CM183" t="str">
        <f>""</f>
        <v/>
      </c>
      <c r="CN183" t="str">
        <f>""</f>
        <v/>
      </c>
      <c r="CO183" t="str">
        <f>""</f>
        <v/>
      </c>
      <c r="CP183" t="str">
        <f>""</f>
        <v/>
      </c>
      <c r="CQ183" t="str">
        <f>""</f>
        <v/>
      </c>
      <c r="CR183" t="str">
        <f>""</f>
        <v/>
      </c>
      <c r="CS183" t="str">
        <f>""</f>
        <v/>
      </c>
      <c r="CT183" t="str">
        <f>""</f>
        <v/>
      </c>
      <c r="CU183" t="str">
        <f>""</f>
        <v/>
      </c>
      <c r="CV183" t="str">
        <f>""</f>
        <v/>
      </c>
      <c r="CW183" t="str">
        <f>""</f>
        <v/>
      </c>
      <c r="CX183" t="str">
        <f>""</f>
        <v/>
      </c>
      <c r="CY183" t="str">
        <f>""</f>
        <v/>
      </c>
      <c r="CZ183" t="str">
        <f>""</f>
        <v/>
      </c>
      <c r="DA183" t="str">
        <f>""</f>
        <v/>
      </c>
      <c r="DB183" t="str">
        <f>""</f>
        <v/>
      </c>
      <c r="DC183" t="str">
        <f>""</f>
        <v/>
      </c>
      <c r="DD183" t="str">
        <f>""</f>
        <v/>
      </c>
      <c r="DE183" t="str">
        <f>""</f>
        <v/>
      </c>
      <c r="DF183" t="str">
        <f>""</f>
        <v/>
      </c>
      <c r="DG183" t="str">
        <f>""</f>
        <v/>
      </c>
      <c r="DH183" t="str">
        <f>""</f>
        <v/>
      </c>
      <c r="DI183" t="str">
        <f>""</f>
        <v/>
      </c>
      <c r="DJ183" t="str">
        <f>""</f>
        <v/>
      </c>
      <c r="DK183" t="str">
        <f>""</f>
        <v/>
      </c>
      <c r="DL183" t="str">
        <f>""</f>
        <v/>
      </c>
      <c r="DM183" t="str">
        <f>""</f>
        <v/>
      </c>
      <c r="DN183" t="str">
        <f>""</f>
        <v/>
      </c>
      <c r="DO183" t="str">
        <f>""</f>
        <v/>
      </c>
      <c r="DP183" t="str">
        <f>""</f>
        <v/>
      </c>
      <c r="DQ183" t="str">
        <f>""</f>
        <v/>
      </c>
      <c r="DR183" t="str">
        <f>""</f>
        <v/>
      </c>
      <c r="DS183" t="str">
        <f>""</f>
        <v/>
      </c>
      <c r="DT183" t="str">
        <f>""</f>
        <v/>
      </c>
      <c r="DU183" t="str">
        <f>""</f>
        <v/>
      </c>
    </row>
    <row r="184" spans="1:125">
      <c r="A184" t="str">
        <f>"    Federal Realty Investment Trus"</f>
        <v xml:space="preserve">    Federal Realty Investment Trus</v>
      </c>
      <c r="B184" t="str">
        <f>"FRT US Equity"</f>
        <v>FRT US Equity</v>
      </c>
      <c r="C184" t="str">
        <f t="shared" si="33"/>
        <v>BE592</v>
      </c>
      <c r="D184" t="str">
        <f t="shared" si="34"/>
        <v>BEST_FFOPS_YOY_GTH</v>
      </c>
      <c r="E184" t="str">
        <f t="shared" si="35"/>
        <v>动态</v>
      </c>
      <c r="F184" t="str">
        <f ca="1">IF(AND(ISNUMBER($F$634),$B$419=1),$F$634,HLOOKUP(INDIRECT(ADDRESS(2,COLUMN())),OFFSET($BN$2,0,0,ROW()-1,60),ROW()-1,FALSE))</f>
        <v/>
      </c>
      <c r="G184" t="str">
        <f ca="1">IF(AND(ISNUMBER($G$634),$B$419=1),$G$634,HLOOKUP(INDIRECT(ADDRESS(2,COLUMN())),OFFSET($BN$2,0,0,ROW()-1,60),ROW()-1,FALSE))</f>
        <v/>
      </c>
      <c r="H184" t="str">
        <f ca="1">IF(AND(ISNUMBER($H$634),$B$419=1),$H$634,HLOOKUP(INDIRECT(ADDRESS(2,COLUMN())),OFFSET($BN$2,0,0,ROW()-1,60),ROW()-1,FALSE))</f>
        <v/>
      </c>
      <c r="I184" t="str">
        <f ca="1">IF(AND(ISNUMBER($I$634),$B$419=1),$I$634,HLOOKUP(INDIRECT(ADDRESS(2,COLUMN())),OFFSET($BN$2,0,0,ROW()-1,60),ROW()-1,FALSE))</f>
        <v/>
      </c>
      <c r="J184" t="str">
        <f ca="1">IF(AND(ISNUMBER($J$634),$B$419=1),$J$634,HLOOKUP(INDIRECT(ADDRESS(2,COLUMN())),OFFSET($BN$2,0,0,ROW()-1,60),ROW()-1,FALSE))</f>
        <v/>
      </c>
      <c r="K184" t="str">
        <f ca="1">IF(AND(ISNUMBER($K$634),$B$419=1),$K$634,HLOOKUP(INDIRECT(ADDRESS(2,COLUMN())),OFFSET($BN$2,0,0,ROW()-1,60),ROW()-1,FALSE))</f>
        <v/>
      </c>
      <c r="L184" t="str">
        <f ca="1">IF(AND(ISNUMBER($L$634),$B$419=1),$L$634,HLOOKUP(INDIRECT(ADDRESS(2,COLUMN())),OFFSET($BN$2,0,0,ROW()-1,60),ROW()-1,FALSE))</f>
        <v/>
      </c>
      <c r="M184" t="str">
        <f ca="1">IF(AND(ISNUMBER($M$634),$B$419=1),$M$634,HLOOKUP(INDIRECT(ADDRESS(2,COLUMN())),OFFSET($BN$2,0,0,ROW()-1,60),ROW()-1,FALSE))</f>
        <v/>
      </c>
      <c r="N184" t="str">
        <f ca="1">IF(AND(ISNUMBER($N$634),$B$419=1),$N$634,HLOOKUP(INDIRECT(ADDRESS(2,COLUMN())),OFFSET($BN$2,0,0,ROW()-1,60),ROW()-1,FALSE))</f>
        <v/>
      </c>
      <c r="O184" t="str">
        <f ca="1">IF(AND(ISNUMBER($O$634),$B$419=1),$O$634,HLOOKUP(INDIRECT(ADDRESS(2,COLUMN())),OFFSET($BN$2,0,0,ROW()-1,60),ROW()-1,FALSE))</f>
        <v/>
      </c>
      <c r="P184" t="str">
        <f ca="1">IF(AND(ISNUMBER($P$634),$B$419=1),$P$634,HLOOKUP(INDIRECT(ADDRESS(2,COLUMN())),OFFSET($BN$2,0,0,ROW()-1,60),ROW()-1,FALSE))</f>
        <v/>
      </c>
      <c r="Q184" t="str">
        <f ca="1">IF(AND(ISNUMBER($Q$634),$B$419=1),$Q$634,HLOOKUP(INDIRECT(ADDRESS(2,COLUMN())),OFFSET($BN$2,0,0,ROW()-1,60),ROW()-1,FALSE))</f>
        <v/>
      </c>
      <c r="R184" t="str">
        <f ca="1">IF(AND(ISNUMBER($R$634),$B$419=1),$R$634,HLOOKUP(INDIRECT(ADDRESS(2,COLUMN())),OFFSET($BN$2,0,0,ROW()-1,60),ROW()-1,FALSE))</f>
        <v/>
      </c>
      <c r="S184" t="str">
        <f ca="1">IF(AND(ISNUMBER($S$634),$B$419=1),$S$634,HLOOKUP(INDIRECT(ADDRESS(2,COLUMN())),OFFSET($BN$2,0,0,ROW()-1,60),ROW()-1,FALSE))</f>
        <v/>
      </c>
      <c r="T184" t="str">
        <f ca="1">IF(AND(ISNUMBER($T$634),$B$419=1),$T$634,HLOOKUP(INDIRECT(ADDRESS(2,COLUMN())),OFFSET($BN$2,0,0,ROW()-1,60),ROW()-1,FALSE))</f>
        <v/>
      </c>
      <c r="U184" t="str">
        <f ca="1">IF(AND(ISNUMBER($U$634),$B$419=1),$U$634,HLOOKUP(INDIRECT(ADDRESS(2,COLUMN())),OFFSET($BN$2,0,0,ROW()-1,60),ROW()-1,FALSE))</f>
        <v/>
      </c>
      <c r="V184" t="str">
        <f ca="1">IF(AND(ISNUMBER($V$634),$B$419=1),$V$634,HLOOKUP(INDIRECT(ADDRESS(2,COLUMN())),OFFSET($BN$2,0,0,ROW()-1,60),ROW()-1,FALSE))</f>
        <v/>
      </c>
      <c r="W184" t="str">
        <f ca="1">IF(AND(ISNUMBER($W$634),$B$419=1),$W$634,HLOOKUP(INDIRECT(ADDRESS(2,COLUMN())),OFFSET($BN$2,0,0,ROW()-1,60),ROW()-1,FALSE))</f>
        <v/>
      </c>
      <c r="X184" t="str">
        <f ca="1">IF(AND(ISNUMBER($X$634),$B$419=1),$X$634,HLOOKUP(INDIRECT(ADDRESS(2,COLUMN())),OFFSET($BN$2,0,0,ROW()-1,60),ROW()-1,FALSE))</f>
        <v/>
      </c>
      <c r="Y184" t="str">
        <f ca="1">IF(AND(ISNUMBER($Y$634),$B$419=1),$Y$634,HLOOKUP(INDIRECT(ADDRESS(2,COLUMN())),OFFSET($BN$2,0,0,ROW()-1,60),ROW()-1,FALSE))</f>
        <v/>
      </c>
      <c r="Z184" t="str">
        <f ca="1">IF(AND(ISNUMBER($Z$634),$B$419=1),$Z$634,HLOOKUP(INDIRECT(ADDRESS(2,COLUMN())),OFFSET($BN$2,0,0,ROW()-1,60),ROW()-1,FALSE))</f>
        <v/>
      </c>
      <c r="AA184" t="str">
        <f ca="1">IF(AND(ISNUMBER($AA$634),$B$419=1),$AA$634,HLOOKUP(INDIRECT(ADDRESS(2,COLUMN())),OFFSET($BN$2,0,0,ROW()-1,60),ROW()-1,FALSE))</f>
        <v/>
      </c>
      <c r="AB184" t="str">
        <f ca="1">IF(AND(ISNUMBER($AB$634),$B$419=1),$AB$634,HLOOKUP(INDIRECT(ADDRESS(2,COLUMN())),OFFSET($BN$2,0,0,ROW()-1,60),ROW()-1,FALSE))</f>
        <v/>
      </c>
      <c r="AC184" t="str">
        <f ca="1">IF(AND(ISNUMBER($AC$634),$B$419=1),$AC$634,HLOOKUP(INDIRECT(ADDRESS(2,COLUMN())),OFFSET($BN$2,0,0,ROW()-1,60),ROW()-1,FALSE))</f>
        <v/>
      </c>
      <c r="AD184" t="str">
        <f ca="1">IF(AND(ISNUMBER($AD$634),$B$419=1),$AD$634,HLOOKUP(INDIRECT(ADDRESS(2,COLUMN())),OFFSET($BN$2,0,0,ROW()-1,60),ROW()-1,FALSE))</f>
        <v/>
      </c>
      <c r="AE184" t="str">
        <f ca="1">IF(AND(ISNUMBER($AE$634),$B$419=1),$AE$634,HLOOKUP(INDIRECT(ADDRESS(2,COLUMN())),OFFSET($BN$2,0,0,ROW()-1,60),ROW()-1,FALSE))</f>
        <v/>
      </c>
      <c r="AF184" t="str">
        <f ca="1">IF(AND(ISNUMBER($AF$634),$B$419=1),$AF$634,HLOOKUP(INDIRECT(ADDRESS(2,COLUMN())),OFFSET($BN$2,0,0,ROW()-1,60),ROW()-1,FALSE))</f>
        <v/>
      </c>
      <c r="AG184" t="str">
        <f ca="1">IF(AND(ISNUMBER($AG$634),$B$419=1),$AG$634,HLOOKUP(INDIRECT(ADDRESS(2,COLUMN())),OFFSET($BN$2,0,0,ROW()-1,60),ROW()-1,FALSE))</f>
        <v/>
      </c>
      <c r="AH184" t="str">
        <f ca="1">IF(AND(ISNUMBER($AH$634),$B$419=1),$AH$634,HLOOKUP(INDIRECT(ADDRESS(2,COLUMN())),OFFSET($BN$2,0,0,ROW()-1,60),ROW()-1,FALSE))</f>
        <v/>
      </c>
      <c r="AI184" t="str">
        <f ca="1">IF(AND(ISNUMBER($AI$634),$B$419=1),$AI$634,HLOOKUP(INDIRECT(ADDRESS(2,COLUMN())),OFFSET($BN$2,0,0,ROW()-1,60),ROW()-1,FALSE))</f>
        <v/>
      </c>
      <c r="AJ184" t="str">
        <f ca="1">IF(AND(ISNUMBER($AJ$634),$B$419=1),$AJ$634,HLOOKUP(INDIRECT(ADDRESS(2,COLUMN())),OFFSET($BN$2,0,0,ROW()-1,60),ROW()-1,FALSE))</f>
        <v/>
      </c>
      <c r="AK184" t="str">
        <f ca="1">IF(AND(ISNUMBER($AK$634),$B$419=1),$AK$634,HLOOKUP(INDIRECT(ADDRESS(2,COLUMN())),OFFSET($BN$2,0,0,ROW()-1,60),ROW()-1,FALSE))</f>
        <v/>
      </c>
      <c r="AL184" t="str">
        <f ca="1">IF(AND(ISNUMBER($AL$634),$B$419=1),$AL$634,HLOOKUP(INDIRECT(ADDRESS(2,COLUMN())),OFFSET($BN$2,0,0,ROW()-1,60),ROW()-1,FALSE))</f>
        <v/>
      </c>
      <c r="AM184" t="str">
        <f ca="1">IF(AND(ISNUMBER($AM$634),$B$419=1),$AM$634,HLOOKUP(INDIRECT(ADDRESS(2,COLUMN())),OFFSET($BN$2,0,0,ROW()-1,60),ROW()-1,FALSE))</f>
        <v/>
      </c>
      <c r="AN184" t="str">
        <f ca="1">IF(AND(ISNUMBER($AN$634),$B$419=1),$AN$634,HLOOKUP(INDIRECT(ADDRESS(2,COLUMN())),OFFSET($BN$2,0,0,ROW()-1,60),ROW()-1,FALSE))</f>
        <v/>
      </c>
      <c r="AO184" t="str">
        <f ca="1">IF(AND(ISNUMBER($AO$634),$B$419=1),$AO$634,HLOOKUP(INDIRECT(ADDRESS(2,COLUMN())),OFFSET($BN$2,0,0,ROW()-1,60),ROW()-1,FALSE))</f>
        <v/>
      </c>
      <c r="AP184" t="str">
        <f ca="1">IF(AND(ISNUMBER($AP$634),$B$419=1),$AP$634,HLOOKUP(INDIRECT(ADDRESS(2,COLUMN())),OFFSET($BN$2,0,0,ROW()-1,60),ROW()-1,FALSE))</f>
        <v/>
      </c>
      <c r="AQ184" t="str">
        <f ca="1">IF(AND(ISNUMBER($AQ$634),$B$419=1),$AQ$634,HLOOKUP(INDIRECT(ADDRESS(2,COLUMN())),OFFSET($BN$2,0,0,ROW()-1,60),ROW()-1,FALSE))</f>
        <v/>
      </c>
      <c r="AR184" t="str">
        <f ca="1">IF(AND(ISNUMBER($AR$634),$B$419=1),$AR$634,HLOOKUP(INDIRECT(ADDRESS(2,COLUMN())),OFFSET($BN$2,0,0,ROW()-1,60),ROW()-1,FALSE))</f>
        <v/>
      </c>
      <c r="AS184" t="str">
        <f ca="1">IF(AND(ISNUMBER($AS$634),$B$419=1),$AS$634,HLOOKUP(INDIRECT(ADDRESS(2,COLUMN())),OFFSET($BN$2,0,0,ROW()-1,60),ROW()-1,FALSE))</f>
        <v/>
      </c>
      <c r="AT184" t="str">
        <f ca="1">IF(AND(ISNUMBER($AT$634),$B$419=1),$AT$634,HLOOKUP(INDIRECT(ADDRESS(2,COLUMN())),OFFSET($BN$2,0,0,ROW()-1,60),ROW()-1,FALSE))</f>
        <v/>
      </c>
      <c r="AU184" t="str">
        <f ca="1">IF(AND(ISNUMBER($AU$634),$B$419=1),$AU$634,HLOOKUP(INDIRECT(ADDRESS(2,COLUMN())),OFFSET($BN$2,0,0,ROW()-1,60),ROW()-1,FALSE))</f>
        <v/>
      </c>
      <c r="AV184" t="str">
        <f ca="1">IF(AND(ISNUMBER($AV$634),$B$419=1),$AV$634,HLOOKUP(INDIRECT(ADDRESS(2,COLUMN())),OFFSET($BN$2,0,0,ROW()-1,60),ROW()-1,FALSE))</f>
        <v/>
      </c>
      <c r="AW184" t="str">
        <f ca="1">IF(AND(ISNUMBER($AW$634),$B$419=1),$AW$634,HLOOKUP(INDIRECT(ADDRESS(2,COLUMN())),OFFSET($BN$2,0,0,ROW()-1,60),ROW()-1,FALSE))</f>
        <v/>
      </c>
      <c r="AX184" t="str">
        <f ca="1">IF(AND(ISNUMBER($AX$634),$B$419=1),$AX$634,HLOOKUP(INDIRECT(ADDRESS(2,COLUMN())),OFFSET($BN$2,0,0,ROW()-1,60),ROW()-1,FALSE))</f>
        <v/>
      </c>
      <c r="AY184" t="str">
        <f ca="1">IF(AND(ISNUMBER($AY$634),$B$419=1),$AY$634,HLOOKUP(INDIRECT(ADDRESS(2,COLUMN())),OFFSET($BN$2,0,0,ROW()-1,60),ROW()-1,FALSE))</f>
        <v/>
      </c>
      <c r="AZ184" t="str">
        <f ca="1">IF(AND(ISNUMBER($AZ$634),$B$419=1),$AZ$634,HLOOKUP(INDIRECT(ADDRESS(2,COLUMN())),OFFSET($BN$2,0,0,ROW()-1,60),ROW()-1,FALSE))</f>
        <v/>
      </c>
      <c r="BA184" t="str">
        <f ca="1">IF(AND(ISNUMBER($BA$634),$B$419=1),$BA$634,HLOOKUP(INDIRECT(ADDRESS(2,COLUMN())),OFFSET($BN$2,0,0,ROW()-1,60),ROW()-1,FALSE))</f>
        <v/>
      </c>
      <c r="BB184" t="str">
        <f ca="1">IF(AND(ISNUMBER($BB$634),$B$419=1),$BB$634,HLOOKUP(INDIRECT(ADDRESS(2,COLUMN())),OFFSET($BN$2,0,0,ROW()-1,60),ROW()-1,FALSE))</f>
        <v/>
      </c>
      <c r="BC184" t="str">
        <f ca="1">IF(AND(ISNUMBER($BC$634),$B$419=1),$BC$634,HLOOKUP(INDIRECT(ADDRESS(2,COLUMN())),OFFSET($BN$2,0,0,ROW()-1,60),ROW()-1,FALSE))</f>
        <v/>
      </c>
      <c r="BD184" t="str">
        <f ca="1">IF(AND(ISNUMBER($BD$634),$B$419=1),$BD$634,HLOOKUP(INDIRECT(ADDRESS(2,COLUMN())),OFFSET($BN$2,0,0,ROW()-1,60),ROW()-1,FALSE))</f>
        <v/>
      </c>
      <c r="BE184" t="str">
        <f ca="1">IF(AND(ISNUMBER($BE$634),$B$419=1),$BE$634,HLOOKUP(INDIRECT(ADDRESS(2,COLUMN())),OFFSET($BN$2,0,0,ROW()-1,60),ROW()-1,FALSE))</f>
        <v/>
      </c>
      <c r="BF184" t="str">
        <f ca="1">IF(AND(ISNUMBER($BF$634),$B$419=1),$BF$634,HLOOKUP(INDIRECT(ADDRESS(2,COLUMN())),OFFSET($BN$2,0,0,ROW()-1,60),ROW()-1,FALSE))</f>
        <v/>
      </c>
      <c r="BG184" t="str">
        <f ca="1">IF(AND(ISNUMBER($BG$634),$B$419=1),$BG$634,HLOOKUP(INDIRECT(ADDRESS(2,COLUMN())),OFFSET($BN$2,0,0,ROW()-1,60),ROW()-1,FALSE))</f>
        <v/>
      </c>
      <c r="BH184" t="str">
        <f ca="1">IF(AND(ISNUMBER($BH$634),$B$419=1),$BH$634,HLOOKUP(INDIRECT(ADDRESS(2,COLUMN())),OFFSET($BN$2,0,0,ROW()-1,60),ROW()-1,FALSE))</f>
        <v/>
      </c>
      <c r="BI184" t="str">
        <f ca="1">IF(AND(ISNUMBER($BI$634),$B$419=1),$BI$634,HLOOKUP(INDIRECT(ADDRESS(2,COLUMN())),OFFSET($BN$2,0,0,ROW()-1,60),ROW()-1,FALSE))</f>
        <v/>
      </c>
      <c r="BJ184" t="str">
        <f ca="1">IF(AND(ISNUMBER($BJ$634),$B$419=1),$BJ$634,HLOOKUP(INDIRECT(ADDRESS(2,COLUMN())),OFFSET($BN$2,0,0,ROW()-1,60),ROW()-1,FALSE))</f>
        <v/>
      </c>
      <c r="BK184" t="str">
        <f ca="1">IF(AND(ISNUMBER($BK$634),$B$419=1),$BK$634,HLOOKUP(INDIRECT(ADDRESS(2,COLUMN())),OFFSET($BN$2,0,0,ROW()-1,60),ROW()-1,FALSE))</f>
        <v/>
      </c>
      <c r="BL184" t="str">
        <f ca="1">IF(AND(ISNUMBER($BL$634),$B$419=1),$BL$634,HLOOKUP(INDIRECT(ADDRESS(2,COLUMN())),OFFSET($BN$2,0,0,ROW()-1,60),ROW()-1,FALSE))</f>
        <v/>
      </c>
      <c r="BM184" t="str">
        <f ca="1">IF(AND(ISNUMBER($BM$634),$B$419=1),$BM$634,HLOOKUP(INDIRECT(ADDRESS(2,COLUMN())),OFFSET($BN$2,0,0,ROW()-1,60),ROW()-1,FALSE))</f>
        <v/>
      </c>
      <c r="BN184" t="str">
        <f>""</f>
        <v/>
      </c>
      <c r="BO184" t="str">
        <f>""</f>
        <v/>
      </c>
      <c r="BP184" t="str">
        <f>""</f>
        <v/>
      </c>
      <c r="BQ184" t="str">
        <f>""</f>
        <v/>
      </c>
      <c r="BR184" t="str">
        <f>""</f>
        <v/>
      </c>
      <c r="BS184" t="str">
        <f>""</f>
        <v/>
      </c>
      <c r="BT184" t="str">
        <f>""</f>
        <v/>
      </c>
      <c r="BU184" t="str">
        <f>""</f>
        <v/>
      </c>
      <c r="BV184" t="str">
        <f>""</f>
        <v/>
      </c>
      <c r="BW184" t="str">
        <f>""</f>
        <v/>
      </c>
      <c r="BX184" t="str">
        <f>""</f>
        <v/>
      </c>
      <c r="BY184" t="str">
        <f>""</f>
        <v/>
      </c>
      <c r="BZ184" t="str">
        <f>""</f>
        <v/>
      </c>
      <c r="CA184" t="str">
        <f>""</f>
        <v/>
      </c>
      <c r="CB184" t="str">
        <f>""</f>
        <v/>
      </c>
      <c r="CC184" t="str">
        <f>""</f>
        <v/>
      </c>
      <c r="CD184" t="str">
        <f>""</f>
        <v/>
      </c>
      <c r="CE184" t="str">
        <f>""</f>
        <v/>
      </c>
      <c r="CF184" t="str">
        <f>""</f>
        <v/>
      </c>
      <c r="CG184" t="str">
        <f>""</f>
        <v/>
      </c>
      <c r="CH184" t="str">
        <f>""</f>
        <v/>
      </c>
      <c r="CI184" t="str">
        <f>""</f>
        <v/>
      </c>
      <c r="CJ184" t="str">
        <f>""</f>
        <v/>
      </c>
      <c r="CK184" t="str">
        <f>""</f>
        <v/>
      </c>
      <c r="CL184" t="str">
        <f>""</f>
        <v/>
      </c>
      <c r="CM184" t="str">
        <f>""</f>
        <v/>
      </c>
      <c r="CN184" t="str">
        <f>""</f>
        <v/>
      </c>
      <c r="CO184" t="str">
        <f>""</f>
        <v/>
      </c>
      <c r="CP184" t="str">
        <f>""</f>
        <v/>
      </c>
      <c r="CQ184" t="str">
        <f>""</f>
        <v/>
      </c>
      <c r="CR184" t="str">
        <f>""</f>
        <v/>
      </c>
      <c r="CS184" t="str">
        <f>""</f>
        <v/>
      </c>
      <c r="CT184" t="str">
        <f>""</f>
        <v/>
      </c>
      <c r="CU184" t="str">
        <f>""</f>
        <v/>
      </c>
      <c r="CV184" t="str">
        <f>""</f>
        <v/>
      </c>
      <c r="CW184" t="str">
        <f>""</f>
        <v/>
      </c>
      <c r="CX184" t="str">
        <f>""</f>
        <v/>
      </c>
      <c r="CY184" t="str">
        <f>""</f>
        <v/>
      </c>
      <c r="CZ184" t="str">
        <f>""</f>
        <v/>
      </c>
      <c r="DA184" t="str">
        <f>""</f>
        <v/>
      </c>
      <c r="DB184" t="str">
        <f>""</f>
        <v/>
      </c>
      <c r="DC184" t="str">
        <f>""</f>
        <v/>
      </c>
      <c r="DD184" t="str">
        <f>""</f>
        <v/>
      </c>
      <c r="DE184" t="str">
        <f>""</f>
        <v/>
      </c>
      <c r="DF184" t="str">
        <f>""</f>
        <v/>
      </c>
      <c r="DG184" t="str">
        <f>""</f>
        <v/>
      </c>
      <c r="DH184" t="str">
        <f>""</f>
        <v/>
      </c>
      <c r="DI184" t="str">
        <f>""</f>
        <v/>
      </c>
      <c r="DJ184" t="str">
        <f>""</f>
        <v/>
      </c>
      <c r="DK184" t="str">
        <f>""</f>
        <v/>
      </c>
      <c r="DL184" t="str">
        <f>""</f>
        <v/>
      </c>
      <c r="DM184" t="str">
        <f>""</f>
        <v/>
      </c>
      <c r="DN184" t="str">
        <f>""</f>
        <v/>
      </c>
      <c r="DO184" t="str">
        <f>""</f>
        <v/>
      </c>
      <c r="DP184" t="str">
        <f>""</f>
        <v/>
      </c>
      <c r="DQ184" t="str">
        <f>""</f>
        <v/>
      </c>
      <c r="DR184" t="str">
        <f>""</f>
        <v/>
      </c>
      <c r="DS184" t="str">
        <f>""</f>
        <v/>
      </c>
      <c r="DT184" t="str">
        <f>""</f>
        <v/>
      </c>
      <c r="DU184" t="str">
        <f>""</f>
        <v/>
      </c>
    </row>
    <row r="185" spans="1:125">
      <c r="A185" t="str">
        <f>"    Kimco Realty Corp"</f>
        <v xml:space="preserve">    Kimco Realty Corp</v>
      </c>
      <c r="B185" t="str">
        <f>"KIM US Equity"</f>
        <v>KIM US Equity</v>
      </c>
      <c r="C185" t="str">
        <f t="shared" si="33"/>
        <v>BE592</v>
      </c>
      <c r="D185" t="str">
        <f t="shared" si="34"/>
        <v>BEST_FFOPS_YOY_GTH</v>
      </c>
      <c r="E185" t="str">
        <f t="shared" si="35"/>
        <v>动态</v>
      </c>
      <c r="F185" t="str">
        <f ca="1">IF(AND(ISNUMBER($F$635),$B$419=1),$F$635,HLOOKUP(INDIRECT(ADDRESS(2,COLUMN())),OFFSET($BN$2,0,0,ROW()-1,60),ROW()-1,FALSE))</f>
        <v/>
      </c>
      <c r="G185" t="str">
        <f ca="1">IF(AND(ISNUMBER($G$635),$B$419=1),$G$635,HLOOKUP(INDIRECT(ADDRESS(2,COLUMN())),OFFSET($BN$2,0,0,ROW()-1,60),ROW()-1,FALSE))</f>
        <v/>
      </c>
      <c r="H185" t="str">
        <f ca="1">IF(AND(ISNUMBER($H$635),$B$419=1),$H$635,HLOOKUP(INDIRECT(ADDRESS(2,COLUMN())),OFFSET($BN$2,0,0,ROW()-1,60),ROW()-1,FALSE))</f>
        <v/>
      </c>
      <c r="I185" t="str">
        <f ca="1">IF(AND(ISNUMBER($I$635),$B$419=1),$I$635,HLOOKUP(INDIRECT(ADDRESS(2,COLUMN())),OFFSET($BN$2,0,0,ROW()-1,60),ROW()-1,FALSE))</f>
        <v/>
      </c>
      <c r="J185" t="str">
        <f ca="1">IF(AND(ISNUMBER($J$635),$B$419=1),$J$635,HLOOKUP(INDIRECT(ADDRESS(2,COLUMN())),OFFSET($BN$2,0,0,ROW()-1,60),ROW()-1,FALSE))</f>
        <v/>
      </c>
      <c r="K185" t="str">
        <f ca="1">IF(AND(ISNUMBER($K$635),$B$419=1),$K$635,HLOOKUP(INDIRECT(ADDRESS(2,COLUMN())),OFFSET($BN$2,0,0,ROW()-1,60),ROW()-1,FALSE))</f>
        <v/>
      </c>
      <c r="L185" t="str">
        <f ca="1">IF(AND(ISNUMBER($L$635),$B$419=1),$L$635,HLOOKUP(INDIRECT(ADDRESS(2,COLUMN())),OFFSET($BN$2,0,0,ROW()-1,60),ROW()-1,FALSE))</f>
        <v/>
      </c>
      <c r="M185" t="str">
        <f ca="1">IF(AND(ISNUMBER($M$635),$B$419=1),$M$635,HLOOKUP(INDIRECT(ADDRESS(2,COLUMN())),OFFSET($BN$2,0,0,ROW()-1,60),ROW()-1,FALSE))</f>
        <v/>
      </c>
      <c r="N185" t="str">
        <f ca="1">IF(AND(ISNUMBER($N$635),$B$419=1),$N$635,HLOOKUP(INDIRECT(ADDRESS(2,COLUMN())),OFFSET($BN$2,0,0,ROW()-1,60),ROW()-1,FALSE))</f>
        <v/>
      </c>
      <c r="O185" t="str">
        <f ca="1">IF(AND(ISNUMBER($O$635),$B$419=1),$O$635,HLOOKUP(INDIRECT(ADDRESS(2,COLUMN())),OFFSET($BN$2,0,0,ROW()-1,60),ROW()-1,FALSE))</f>
        <v/>
      </c>
      <c r="P185" t="str">
        <f ca="1">IF(AND(ISNUMBER($P$635),$B$419=1),$P$635,HLOOKUP(INDIRECT(ADDRESS(2,COLUMN())),OFFSET($BN$2,0,0,ROW()-1,60),ROW()-1,FALSE))</f>
        <v/>
      </c>
      <c r="Q185" t="str">
        <f ca="1">IF(AND(ISNUMBER($Q$635),$B$419=1),$Q$635,HLOOKUP(INDIRECT(ADDRESS(2,COLUMN())),OFFSET($BN$2,0,0,ROW()-1,60),ROW()-1,FALSE))</f>
        <v/>
      </c>
      <c r="R185" t="str">
        <f ca="1">IF(AND(ISNUMBER($R$635),$B$419=1),$R$635,HLOOKUP(INDIRECT(ADDRESS(2,COLUMN())),OFFSET($BN$2,0,0,ROW()-1,60),ROW()-1,FALSE))</f>
        <v/>
      </c>
      <c r="S185" t="str">
        <f ca="1">IF(AND(ISNUMBER($S$635),$B$419=1),$S$635,HLOOKUP(INDIRECT(ADDRESS(2,COLUMN())),OFFSET($BN$2,0,0,ROW()-1,60),ROW()-1,FALSE))</f>
        <v/>
      </c>
      <c r="T185" t="str">
        <f ca="1">IF(AND(ISNUMBER($T$635),$B$419=1),$T$635,HLOOKUP(INDIRECT(ADDRESS(2,COLUMN())),OFFSET($BN$2,0,0,ROW()-1,60),ROW()-1,FALSE))</f>
        <v/>
      </c>
      <c r="U185" t="str">
        <f ca="1">IF(AND(ISNUMBER($U$635),$B$419=1),$U$635,HLOOKUP(INDIRECT(ADDRESS(2,COLUMN())),OFFSET($BN$2,0,0,ROW()-1,60),ROW()-1,FALSE))</f>
        <v/>
      </c>
      <c r="V185" t="str">
        <f ca="1">IF(AND(ISNUMBER($V$635),$B$419=1),$V$635,HLOOKUP(INDIRECT(ADDRESS(2,COLUMN())),OFFSET($BN$2,0,0,ROW()-1,60),ROW()-1,FALSE))</f>
        <v/>
      </c>
      <c r="W185" t="str">
        <f ca="1">IF(AND(ISNUMBER($W$635),$B$419=1),$W$635,HLOOKUP(INDIRECT(ADDRESS(2,COLUMN())),OFFSET($BN$2,0,0,ROW()-1,60),ROW()-1,FALSE))</f>
        <v/>
      </c>
      <c r="X185" t="str">
        <f ca="1">IF(AND(ISNUMBER($X$635),$B$419=1),$X$635,HLOOKUP(INDIRECT(ADDRESS(2,COLUMN())),OFFSET($BN$2,0,0,ROW()-1,60),ROW()-1,FALSE))</f>
        <v/>
      </c>
      <c r="Y185" t="str">
        <f ca="1">IF(AND(ISNUMBER($Y$635),$B$419=1),$Y$635,HLOOKUP(INDIRECT(ADDRESS(2,COLUMN())),OFFSET($BN$2,0,0,ROW()-1,60),ROW()-1,FALSE))</f>
        <v/>
      </c>
      <c r="Z185" t="str">
        <f ca="1">IF(AND(ISNUMBER($Z$635),$B$419=1),$Z$635,HLOOKUP(INDIRECT(ADDRESS(2,COLUMN())),OFFSET($BN$2,0,0,ROW()-1,60),ROW()-1,FALSE))</f>
        <v/>
      </c>
      <c r="AA185" t="str">
        <f ca="1">IF(AND(ISNUMBER($AA$635),$B$419=1),$AA$635,HLOOKUP(INDIRECT(ADDRESS(2,COLUMN())),OFFSET($BN$2,0,0,ROW()-1,60),ROW()-1,FALSE))</f>
        <v/>
      </c>
      <c r="AB185" t="str">
        <f ca="1">IF(AND(ISNUMBER($AB$635),$B$419=1),$AB$635,HLOOKUP(INDIRECT(ADDRESS(2,COLUMN())),OFFSET($BN$2,0,0,ROW()-1,60),ROW()-1,FALSE))</f>
        <v/>
      </c>
      <c r="AC185" t="str">
        <f ca="1">IF(AND(ISNUMBER($AC$635),$B$419=1),$AC$635,HLOOKUP(INDIRECT(ADDRESS(2,COLUMN())),OFFSET($BN$2,0,0,ROW()-1,60),ROW()-1,FALSE))</f>
        <v/>
      </c>
      <c r="AD185" t="str">
        <f ca="1">IF(AND(ISNUMBER($AD$635),$B$419=1),$AD$635,HLOOKUP(INDIRECT(ADDRESS(2,COLUMN())),OFFSET($BN$2,0,0,ROW()-1,60),ROW()-1,FALSE))</f>
        <v/>
      </c>
      <c r="AE185" t="str">
        <f ca="1">IF(AND(ISNUMBER($AE$635),$B$419=1),$AE$635,HLOOKUP(INDIRECT(ADDRESS(2,COLUMN())),OFFSET($BN$2,0,0,ROW()-1,60),ROW()-1,FALSE))</f>
        <v/>
      </c>
      <c r="AF185" t="str">
        <f ca="1">IF(AND(ISNUMBER($AF$635),$B$419=1),$AF$635,HLOOKUP(INDIRECT(ADDRESS(2,COLUMN())),OFFSET($BN$2,0,0,ROW()-1,60),ROW()-1,FALSE))</f>
        <v/>
      </c>
      <c r="AG185" t="str">
        <f ca="1">IF(AND(ISNUMBER($AG$635),$B$419=1),$AG$635,HLOOKUP(INDIRECT(ADDRESS(2,COLUMN())),OFFSET($BN$2,0,0,ROW()-1,60),ROW()-1,FALSE))</f>
        <v/>
      </c>
      <c r="AH185" t="str">
        <f ca="1">IF(AND(ISNUMBER($AH$635),$B$419=1),$AH$635,HLOOKUP(INDIRECT(ADDRESS(2,COLUMN())),OFFSET($BN$2,0,0,ROW()-1,60),ROW()-1,FALSE))</f>
        <v/>
      </c>
      <c r="AI185" t="str">
        <f ca="1">IF(AND(ISNUMBER($AI$635),$B$419=1),$AI$635,HLOOKUP(INDIRECT(ADDRESS(2,COLUMN())),OFFSET($BN$2,0,0,ROW()-1,60),ROW()-1,FALSE))</f>
        <v/>
      </c>
      <c r="AJ185" t="str">
        <f ca="1">IF(AND(ISNUMBER($AJ$635),$B$419=1),$AJ$635,HLOOKUP(INDIRECT(ADDRESS(2,COLUMN())),OFFSET($BN$2,0,0,ROW()-1,60),ROW()-1,FALSE))</f>
        <v/>
      </c>
      <c r="AK185" t="str">
        <f ca="1">IF(AND(ISNUMBER($AK$635),$B$419=1),$AK$635,HLOOKUP(INDIRECT(ADDRESS(2,COLUMN())),OFFSET($BN$2,0,0,ROW()-1,60),ROW()-1,FALSE))</f>
        <v/>
      </c>
      <c r="AL185" t="str">
        <f ca="1">IF(AND(ISNUMBER($AL$635),$B$419=1),$AL$635,HLOOKUP(INDIRECT(ADDRESS(2,COLUMN())),OFFSET($BN$2,0,0,ROW()-1,60),ROW()-1,FALSE))</f>
        <v/>
      </c>
      <c r="AM185" t="str">
        <f ca="1">IF(AND(ISNUMBER($AM$635),$B$419=1),$AM$635,HLOOKUP(INDIRECT(ADDRESS(2,COLUMN())),OFFSET($BN$2,0,0,ROW()-1,60),ROW()-1,FALSE))</f>
        <v/>
      </c>
      <c r="AN185" t="str">
        <f ca="1">IF(AND(ISNUMBER($AN$635),$B$419=1),$AN$635,HLOOKUP(INDIRECT(ADDRESS(2,COLUMN())),OFFSET($BN$2,0,0,ROW()-1,60),ROW()-1,FALSE))</f>
        <v/>
      </c>
      <c r="AO185" t="str">
        <f ca="1">IF(AND(ISNUMBER($AO$635),$B$419=1),$AO$635,HLOOKUP(INDIRECT(ADDRESS(2,COLUMN())),OFFSET($BN$2,0,0,ROW()-1,60),ROW()-1,FALSE))</f>
        <v/>
      </c>
      <c r="AP185" t="str">
        <f ca="1">IF(AND(ISNUMBER($AP$635),$B$419=1),$AP$635,HLOOKUP(INDIRECT(ADDRESS(2,COLUMN())),OFFSET($BN$2,0,0,ROW()-1,60),ROW()-1,FALSE))</f>
        <v/>
      </c>
      <c r="AQ185" t="str">
        <f ca="1">IF(AND(ISNUMBER($AQ$635),$B$419=1),$AQ$635,HLOOKUP(INDIRECT(ADDRESS(2,COLUMN())),OFFSET($BN$2,0,0,ROW()-1,60),ROW()-1,FALSE))</f>
        <v/>
      </c>
      <c r="AR185" t="str">
        <f ca="1">IF(AND(ISNUMBER($AR$635),$B$419=1),$AR$635,HLOOKUP(INDIRECT(ADDRESS(2,COLUMN())),OFFSET($BN$2,0,0,ROW()-1,60),ROW()-1,FALSE))</f>
        <v/>
      </c>
      <c r="AS185" t="str">
        <f ca="1">IF(AND(ISNUMBER($AS$635),$B$419=1),$AS$635,HLOOKUP(INDIRECT(ADDRESS(2,COLUMN())),OFFSET($BN$2,0,0,ROW()-1,60),ROW()-1,FALSE))</f>
        <v/>
      </c>
      <c r="AT185" t="str">
        <f ca="1">IF(AND(ISNUMBER($AT$635),$B$419=1),$AT$635,HLOOKUP(INDIRECT(ADDRESS(2,COLUMN())),OFFSET($BN$2,0,0,ROW()-1,60),ROW()-1,FALSE))</f>
        <v/>
      </c>
      <c r="AU185" t="str">
        <f ca="1">IF(AND(ISNUMBER($AU$635),$B$419=1),$AU$635,HLOOKUP(INDIRECT(ADDRESS(2,COLUMN())),OFFSET($BN$2,0,0,ROW()-1,60),ROW()-1,FALSE))</f>
        <v/>
      </c>
      <c r="AV185" t="str">
        <f ca="1">IF(AND(ISNUMBER($AV$635),$B$419=1),$AV$635,HLOOKUP(INDIRECT(ADDRESS(2,COLUMN())),OFFSET($BN$2,0,0,ROW()-1,60),ROW()-1,FALSE))</f>
        <v/>
      </c>
      <c r="AW185" t="str">
        <f ca="1">IF(AND(ISNUMBER($AW$635),$B$419=1),$AW$635,HLOOKUP(INDIRECT(ADDRESS(2,COLUMN())),OFFSET($BN$2,0,0,ROW()-1,60),ROW()-1,FALSE))</f>
        <v/>
      </c>
      <c r="AX185" t="str">
        <f ca="1">IF(AND(ISNUMBER($AX$635),$B$419=1),$AX$635,HLOOKUP(INDIRECT(ADDRESS(2,COLUMN())),OFFSET($BN$2,0,0,ROW()-1,60),ROW()-1,FALSE))</f>
        <v/>
      </c>
      <c r="AY185" t="str">
        <f ca="1">IF(AND(ISNUMBER($AY$635),$B$419=1),$AY$635,HLOOKUP(INDIRECT(ADDRESS(2,COLUMN())),OFFSET($BN$2,0,0,ROW()-1,60),ROW()-1,FALSE))</f>
        <v/>
      </c>
      <c r="AZ185" t="str">
        <f ca="1">IF(AND(ISNUMBER($AZ$635),$B$419=1),$AZ$635,HLOOKUP(INDIRECT(ADDRESS(2,COLUMN())),OFFSET($BN$2,0,0,ROW()-1,60),ROW()-1,FALSE))</f>
        <v/>
      </c>
      <c r="BA185" t="str">
        <f ca="1">IF(AND(ISNUMBER($BA$635),$B$419=1),$BA$635,HLOOKUP(INDIRECT(ADDRESS(2,COLUMN())),OFFSET($BN$2,0,0,ROW()-1,60),ROW()-1,FALSE))</f>
        <v/>
      </c>
      <c r="BB185" t="str">
        <f ca="1">IF(AND(ISNUMBER($BB$635),$B$419=1),$BB$635,HLOOKUP(INDIRECT(ADDRESS(2,COLUMN())),OFFSET($BN$2,0,0,ROW()-1,60),ROW()-1,FALSE))</f>
        <v/>
      </c>
      <c r="BC185" t="str">
        <f ca="1">IF(AND(ISNUMBER($BC$635),$B$419=1),$BC$635,HLOOKUP(INDIRECT(ADDRESS(2,COLUMN())),OFFSET($BN$2,0,0,ROW()-1,60),ROW()-1,FALSE))</f>
        <v/>
      </c>
      <c r="BD185" t="str">
        <f ca="1">IF(AND(ISNUMBER($BD$635),$B$419=1),$BD$635,HLOOKUP(INDIRECT(ADDRESS(2,COLUMN())),OFFSET($BN$2,0,0,ROW()-1,60),ROW()-1,FALSE))</f>
        <v/>
      </c>
      <c r="BE185" t="str">
        <f ca="1">IF(AND(ISNUMBER($BE$635),$B$419=1),$BE$635,HLOOKUP(INDIRECT(ADDRESS(2,COLUMN())),OFFSET($BN$2,0,0,ROW()-1,60),ROW()-1,FALSE))</f>
        <v/>
      </c>
      <c r="BF185" t="str">
        <f ca="1">IF(AND(ISNUMBER($BF$635),$B$419=1),$BF$635,HLOOKUP(INDIRECT(ADDRESS(2,COLUMN())),OFFSET($BN$2,0,0,ROW()-1,60),ROW()-1,FALSE))</f>
        <v/>
      </c>
      <c r="BG185" t="str">
        <f ca="1">IF(AND(ISNUMBER($BG$635),$B$419=1),$BG$635,HLOOKUP(INDIRECT(ADDRESS(2,COLUMN())),OFFSET($BN$2,0,0,ROW()-1,60),ROW()-1,FALSE))</f>
        <v/>
      </c>
      <c r="BH185" t="str">
        <f ca="1">IF(AND(ISNUMBER($BH$635),$B$419=1),$BH$635,HLOOKUP(INDIRECT(ADDRESS(2,COLUMN())),OFFSET($BN$2,0,0,ROW()-1,60),ROW()-1,FALSE))</f>
        <v/>
      </c>
      <c r="BI185" t="str">
        <f ca="1">IF(AND(ISNUMBER($BI$635),$B$419=1),$BI$635,HLOOKUP(INDIRECT(ADDRESS(2,COLUMN())),OFFSET($BN$2,0,0,ROW()-1,60),ROW()-1,FALSE))</f>
        <v/>
      </c>
      <c r="BJ185" t="str">
        <f ca="1">IF(AND(ISNUMBER($BJ$635),$B$419=1),$BJ$635,HLOOKUP(INDIRECT(ADDRESS(2,COLUMN())),OFFSET($BN$2,0,0,ROW()-1,60),ROW()-1,FALSE))</f>
        <v/>
      </c>
      <c r="BK185" t="str">
        <f ca="1">IF(AND(ISNUMBER($BK$635),$B$419=1),$BK$635,HLOOKUP(INDIRECT(ADDRESS(2,COLUMN())),OFFSET($BN$2,0,0,ROW()-1,60),ROW()-1,FALSE))</f>
        <v/>
      </c>
      <c r="BL185" t="str">
        <f ca="1">IF(AND(ISNUMBER($BL$635),$B$419=1),$BL$635,HLOOKUP(INDIRECT(ADDRESS(2,COLUMN())),OFFSET($BN$2,0,0,ROW()-1,60),ROW()-1,FALSE))</f>
        <v/>
      </c>
      <c r="BM185" t="str">
        <f ca="1">IF(AND(ISNUMBER($BM$635),$B$419=1),$BM$635,HLOOKUP(INDIRECT(ADDRESS(2,COLUMN())),OFFSET($BN$2,0,0,ROW()-1,60),ROW()-1,FALSE))</f>
        <v/>
      </c>
      <c r="BN185" t="str">
        <f>""</f>
        <v/>
      </c>
      <c r="BO185" t="str">
        <f>""</f>
        <v/>
      </c>
      <c r="BP185" t="str">
        <f>""</f>
        <v/>
      </c>
      <c r="BQ185" t="str">
        <f>""</f>
        <v/>
      </c>
      <c r="BR185" t="str">
        <f>""</f>
        <v/>
      </c>
      <c r="BS185" t="str">
        <f>""</f>
        <v/>
      </c>
      <c r="BT185" t="str">
        <f>""</f>
        <v/>
      </c>
      <c r="BU185" t="str">
        <f>""</f>
        <v/>
      </c>
      <c r="BV185" t="str">
        <f>""</f>
        <v/>
      </c>
      <c r="BW185" t="str">
        <f>""</f>
        <v/>
      </c>
      <c r="BX185" t="str">
        <f>""</f>
        <v/>
      </c>
      <c r="BY185" t="str">
        <f>""</f>
        <v/>
      </c>
      <c r="BZ185" t="str">
        <f>""</f>
        <v/>
      </c>
      <c r="CA185" t="str">
        <f>""</f>
        <v/>
      </c>
      <c r="CB185" t="str">
        <f>""</f>
        <v/>
      </c>
      <c r="CC185" t="str">
        <f>""</f>
        <v/>
      </c>
      <c r="CD185" t="str">
        <f>""</f>
        <v/>
      </c>
      <c r="CE185" t="str">
        <f>""</f>
        <v/>
      </c>
      <c r="CF185" t="str">
        <f>""</f>
        <v/>
      </c>
      <c r="CG185" t="str">
        <f>""</f>
        <v/>
      </c>
      <c r="CH185" t="str">
        <f>""</f>
        <v/>
      </c>
      <c r="CI185" t="str">
        <f>""</f>
        <v/>
      </c>
      <c r="CJ185" t="str">
        <f>""</f>
        <v/>
      </c>
      <c r="CK185" t="str">
        <f>""</f>
        <v/>
      </c>
      <c r="CL185" t="str">
        <f>""</f>
        <v/>
      </c>
      <c r="CM185" t="str">
        <f>""</f>
        <v/>
      </c>
      <c r="CN185" t="str">
        <f>""</f>
        <v/>
      </c>
      <c r="CO185" t="str">
        <f>""</f>
        <v/>
      </c>
      <c r="CP185" t="str">
        <f>""</f>
        <v/>
      </c>
      <c r="CQ185" t="str">
        <f>""</f>
        <v/>
      </c>
      <c r="CR185" t="str">
        <f>""</f>
        <v/>
      </c>
      <c r="CS185" t="str">
        <f>""</f>
        <v/>
      </c>
      <c r="CT185" t="str">
        <f>""</f>
        <v/>
      </c>
      <c r="CU185" t="str">
        <f>""</f>
        <v/>
      </c>
      <c r="CV185" t="str">
        <f>""</f>
        <v/>
      </c>
      <c r="CW185" t="str">
        <f>""</f>
        <v/>
      </c>
      <c r="CX185" t="str">
        <f>""</f>
        <v/>
      </c>
      <c r="CY185" t="str">
        <f>""</f>
        <v/>
      </c>
      <c r="CZ185" t="str">
        <f>""</f>
        <v/>
      </c>
      <c r="DA185" t="str">
        <f>""</f>
        <v/>
      </c>
      <c r="DB185" t="str">
        <f>""</f>
        <v/>
      </c>
      <c r="DC185" t="str">
        <f>""</f>
        <v/>
      </c>
      <c r="DD185" t="str">
        <f>""</f>
        <v/>
      </c>
      <c r="DE185" t="str">
        <f>""</f>
        <v/>
      </c>
      <c r="DF185" t="str">
        <f>""</f>
        <v/>
      </c>
      <c r="DG185" t="str">
        <f>""</f>
        <v/>
      </c>
      <c r="DH185" t="str">
        <f>""</f>
        <v/>
      </c>
      <c r="DI185" t="str">
        <f>""</f>
        <v/>
      </c>
      <c r="DJ185" t="str">
        <f>""</f>
        <v/>
      </c>
      <c r="DK185" t="str">
        <f>""</f>
        <v/>
      </c>
      <c r="DL185" t="str">
        <f>""</f>
        <v/>
      </c>
      <c r="DM185" t="str">
        <f>""</f>
        <v/>
      </c>
      <c r="DN185" t="str">
        <f>""</f>
        <v/>
      </c>
      <c r="DO185" t="str">
        <f>""</f>
        <v/>
      </c>
      <c r="DP185" t="str">
        <f>""</f>
        <v/>
      </c>
      <c r="DQ185" t="str">
        <f>""</f>
        <v/>
      </c>
      <c r="DR185" t="str">
        <f>""</f>
        <v/>
      </c>
      <c r="DS185" t="str">
        <f>""</f>
        <v/>
      </c>
      <c r="DT185" t="str">
        <f>""</f>
        <v/>
      </c>
      <c r="DU185" t="str">
        <f>""</f>
        <v/>
      </c>
    </row>
    <row r="186" spans="1:125">
      <c r="A186" t="str">
        <f>"    National Retail Properties Inc"</f>
        <v xml:space="preserve">    National Retail Properties Inc</v>
      </c>
      <c r="B186" t="str">
        <f>"NNN US Equity"</f>
        <v>NNN US Equity</v>
      </c>
      <c r="C186" t="str">
        <f t="shared" si="33"/>
        <v>BE592</v>
      </c>
      <c r="D186" t="str">
        <f t="shared" si="34"/>
        <v>BEST_FFOPS_YOY_GTH</v>
      </c>
      <c r="E186" t="str">
        <f t="shared" si="35"/>
        <v>动态</v>
      </c>
      <c r="F186" t="str">
        <f ca="1">IF(AND(ISNUMBER($F$636),$B$419=1),$F$636,HLOOKUP(INDIRECT(ADDRESS(2,COLUMN())),OFFSET($BN$2,0,0,ROW()-1,60),ROW()-1,FALSE))</f>
        <v/>
      </c>
      <c r="G186" t="str">
        <f ca="1">IF(AND(ISNUMBER($G$636),$B$419=1),$G$636,HLOOKUP(INDIRECT(ADDRESS(2,COLUMN())),OFFSET($BN$2,0,0,ROW()-1,60),ROW()-1,FALSE))</f>
        <v/>
      </c>
      <c r="H186" t="str">
        <f ca="1">IF(AND(ISNUMBER($H$636),$B$419=1),$H$636,HLOOKUP(INDIRECT(ADDRESS(2,COLUMN())),OFFSET($BN$2,0,0,ROW()-1,60),ROW()-1,FALSE))</f>
        <v/>
      </c>
      <c r="I186" t="str">
        <f ca="1">IF(AND(ISNUMBER($I$636),$B$419=1),$I$636,HLOOKUP(INDIRECT(ADDRESS(2,COLUMN())),OFFSET($BN$2,0,0,ROW()-1,60),ROW()-1,FALSE))</f>
        <v/>
      </c>
      <c r="J186" t="str">
        <f ca="1">IF(AND(ISNUMBER($J$636),$B$419=1),$J$636,HLOOKUP(INDIRECT(ADDRESS(2,COLUMN())),OFFSET($BN$2,0,0,ROW()-1,60),ROW()-1,FALSE))</f>
        <v/>
      </c>
      <c r="K186" t="str">
        <f ca="1">IF(AND(ISNUMBER($K$636),$B$419=1),$K$636,HLOOKUP(INDIRECT(ADDRESS(2,COLUMN())),OFFSET($BN$2,0,0,ROW()-1,60),ROW()-1,FALSE))</f>
        <v/>
      </c>
      <c r="L186" t="str">
        <f ca="1">IF(AND(ISNUMBER($L$636),$B$419=1),$L$636,HLOOKUP(INDIRECT(ADDRESS(2,COLUMN())),OFFSET($BN$2,0,0,ROW()-1,60),ROW()-1,FALSE))</f>
        <v/>
      </c>
      <c r="M186" t="str">
        <f ca="1">IF(AND(ISNUMBER($M$636),$B$419=1),$M$636,HLOOKUP(INDIRECT(ADDRESS(2,COLUMN())),OFFSET($BN$2,0,0,ROW()-1,60),ROW()-1,FALSE))</f>
        <v/>
      </c>
      <c r="N186" t="str">
        <f ca="1">IF(AND(ISNUMBER($N$636),$B$419=1),$N$636,HLOOKUP(INDIRECT(ADDRESS(2,COLUMN())),OFFSET($BN$2,0,0,ROW()-1,60),ROW()-1,FALSE))</f>
        <v/>
      </c>
      <c r="O186" t="str">
        <f ca="1">IF(AND(ISNUMBER($O$636),$B$419=1),$O$636,HLOOKUP(INDIRECT(ADDRESS(2,COLUMN())),OFFSET($BN$2,0,0,ROW()-1,60),ROW()-1,FALSE))</f>
        <v/>
      </c>
      <c r="P186" t="str">
        <f ca="1">IF(AND(ISNUMBER($P$636),$B$419=1),$P$636,HLOOKUP(INDIRECT(ADDRESS(2,COLUMN())),OFFSET($BN$2,0,0,ROW()-1,60),ROW()-1,FALSE))</f>
        <v/>
      </c>
      <c r="Q186" t="str">
        <f ca="1">IF(AND(ISNUMBER($Q$636),$B$419=1),$Q$636,HLOOKUP(INDIRECT(ADDRESS(2,COLUMN())),OFFSET($BN$2,0,0,ROW()-1,60),ROW()-1,FALSE))</f>
        <v/>
      </c>
      <c r="R186" t="str">
        <f ca="1">IF(AND(ISNUMBER($R$636),$B$419=1),$R$636,HLOOKUP(INDIRECT(ADDRESS(2,COLUMN())),OFFSET($BN$2,0,0,ROW()-1,60),ROW()-1,FALSE))</f>
        <v/>
      </c>
      <c r="S186" t="str">
        <f ca="1">IF(AND(ISNUMBER($S$636),$B$419=1),$S$636,HLOOKUP(INDIRECT(ADDRESS(2,COLUMN())),OFFSET($BN$2,0,0,ROW()-1,60),ROW()-1,FALSE))</f>
        <v/>
      </c>
      <c r="T186" t="str">
        <f ca="1">IF(AND(ISNUMBER($T$636),$B$419=1),$T$636,HLOOKUP(INDIRECT(ADDRESS(2,COLUMN())),OFFSET($BN$2,0,0,ROW()-1,60),ROW()-1,FALSE))</f>
        <v/>
      </c>
      <c r="U186" t="str">
        <f ca="1">IF(AND(ISNUMBER($U$636),$B$419=1),$U$636,HLOOKUP(INDIRECT(ADDRESS(2,COLUMN())),OFFSET($BN$2,0,0,ROW()-1,60),ROW()-1,FALSE))</f>
        <v/>
      </c>
      <c r="V186" t="str">
        <f ca="1">IF(AND(ISNUMBER($V$636),$B$419=1),$V$636,HLOOKUP(INDIRECT(ADDRESS(2,COLUMN())),OFFSET($BN$2,0,0,ROW()-1,60),ROW()-1,FALSE))</f>
        <v/>
      </c>
      <c r="W186" t="str">
        <f ca="1">IF(AND(ISNUMBER($W$636),$B$419=1),$W$636,HLOOKUP(INDIRECT(ADDRESS(2,COLUMN())),OFFSET($BN$2,0,0,ROW()-1,60),ROW()-1,FALSE))</f>
        <v/>
      </c>
      <c r="X186" t="str">
        <f ca="1">IF(AND(ISNUMBER($X$636),$B$419=1),$X$636,HLOOKUP(INDIRECT(ADDRESS(2,COLUMN())),OFFSET($BN$2,0,0,ROW()-1,60),ROW()-1,FALSE))</f>
        <v/>
      </c>
      <c r="Y186" t="str">
        <f ca="1">IF(AND(ISNUMBER($Y$636),$B$419=1),$Y$636,HLOOKUP(INDIRECT(ADDRESS(2,COLUMN())),OFFSET($BN$2,0,0,ROW()-1,60),ROW()-1,FALSE))</f>
        <v/>
      </c>
      <c r="Z186" t="str">
        <f ca="1">IF(AND(ISNUMBER($Z$636),$B$419=1),$Z$636,HLOOKUP(INDIRECT(ADDRESS(2,COLUMN())),OFFSET($BN$2,0,0,ROW()-1,60),ROW()-1,FALSE))</f>
        <v/>
      </c>
      <c r="AA186" t="str">
        <f ca="1">IF(AND(ISNUMBER($AA$636),$B$419=1),$AA$636,HLOOKUP(INDIRECT(ADDRESS(2,COLUMN())),OFFSET($BN$2,0,0,ROW()-1,60),ROW()-1,FALSE))</f>
        <v/>
      </c>
      <c r="AB186" t="str">
        <f ca="1">IF(AND(ISNUMBER($AB$636),$B$419=1),$AB$636,HLOOKUP(INDIRECT(ADDRESS(2,COLUMN())),OFFSET($BN$2,0,0,ROW()-1,60),ROW()-1,FALSE))</f>
        <v/>
      </c>
      <c r="AC186" t="str">
        <f ca="1">IF(AND(ISNUMBER($AC$636),$B$419=1),$AC$636,HLOOKUP(INDIRECT(ADDRESS(2,COLUMN())),OFFSET($BN$2,0,0,ROW()-1,60),ROW()-1,FALSE))</f>
        <v/>
      </c>
      <c r="AD186" t="str">
        <f ca="1">IF(AND(ISNUMBER($AD$636),$B$419=1),$AD$636,HLOOKUP(INDIRECT(ADDRESS(2,COLUMN())),OFFSET($BN$2,0,0,ROW()-1,60),ROW()-1,FALSE))</f>
        <v/>
      </c>
      <c r="AE186" t="str">
        <f ca="1">IF(AND(ISNUMBER($AE$636),$B$419=1),$AE$636,HLOOKUP(INDIRECT(ADDRESS(2,COLUMN())),OFFSET($BN$2,0,0,ROW()-1,60),ROW()-1,FALSE))</f>
        <v/>
      </c>
      <c r="AF186" t="str">
        <f ca="1">IF(AND(ISNUMBER($AF$636),$B$419=1),$AF$636,HLOOKUP(INDIRECT(ADDRESS(2,COLUMN())),OFFSET($BN$2,0,0,ROW()-1,60),ROW()-1,FALSE))</f>
        <v/>
      </c>
      <c r="AG186" t="str">
        <f ca="1">IF(AND(ISNUMBER($AG$636),$B$419=1),$AG$636,HLOOKUP(INDIRECT(ADDRESS(2,COLUMN())),OFFSET($BN$2,0,0,ROW()-1,60),ROW()-1,FALSE))</f>
        <v/>
      </c>
      <c r="AH186" t="str">
        <f ca="1">IF(AND(ISNUMBER($AH$636),$B$419=1),$AH$636,HLOOKUP(INDIRECT(ADDRESS(2,COLUMN())),OFFSET($BN$2,0,0,ROW()-1,60),ROW()-1,FALSE))</f>
        <v/>
      </c>
      <c r="AI186" t="str">
        <f ca="1">IF(AND(ISNUMBER($AI$636),$B$419=1),$AI$636,HLOOKUP(INDIRECT(ADDRESS(2,COLUMN())),OFFSET($BN$2,0,0,ROW()-1,60),ROW()-1,FALSE))</f>
        <v/>
      </c>
      <c r="AJ186" t="str">
        <f ca="1">IF(AND(ISNUMBER($AJ$636),$B$419=1),$AJ$636,HLOOKUP(INDIRECT(ADDRESS(2,COLUMN())),OFFSET($BN$2,0,0,ROW()-1,60),ROW()-1,FALSE))</f>
        <v/>
      </c>
      <c r="AK186" t="str">
        <f ca="1">IF(AND(ISNUMBER($AK$636),$B$419=1),$AK$636,HLOOKUP(INDIRECT(ADDRESS(2,COLUMN())),OFFSET($BN$2,0,0,ROW()-1,60),ROW()-1,FALSE))</f>
        <v/>
      </c>
      <c r="AL186" t="str">
        <f ca="1">IF(AND(ISNUMBER($AL$636),$B$419=1),$AL$636,HLOOKUP(INDIRECT(ADDRESS(2,COLUMN())),OFFSET($BN$2,0,0,ROW()-1,60),ROW()-1,FALSE))</f>
        <v/>
      </c>
      <c r="AM186" t="str">
        <f ca="1">IF(AND(ISNUMBER($AM$636),$B$419=1),$AM$636,HLOOKUP(INDIRECT(ADDRESS(2,COLUMN())),OFFSET($BN$2,0,0,ROW()-1,60),ROW()-1,FALSE))</f>
        <v/>
      </c>
      <c r="AN186" t="str">
        <f ca="1">IF(AND(ISNUMBER($AN$636),$B$419=1),$AN$636,HLOOKUP(INDIRECT(ADDRESS(2,COLUMN())),OFFSET($BN$2,0,0,ROW()-1,60),ROW()-1,FALSE))</f>
        <v/>
      </c>
      <c r="AO186" t="str">
        <f ca="1">IF(AND(ISNUMBER($AO$636),$B$419=1),$AO$636,HLOOKUP(INDIRECT(ADDRESS(2,COLUMN())),OFFSET($BN$2,0,0,ROW()-1,60),ROW()-1,FALSE))</f>
        <v/>
      </c>
      <c r="AP186" t="str">
        <f ca="1">IF(AND(ISNUMBER($AP$636),$B$419=1),$AP$636,HLOOKUP(INDIRECT(ADDRESS(2,COLUMN())),OFFSET($BN$2,0,0,ROW()-1,60),ROW()-1,FALSE))</f>
        <v/>
      </c>
      <c r="AQ186" t="str">
        <f ca="1">IF(AND(ISNUMBER($AQ$636),$B$419=1),$AQ$636,HLOOKUP(INDIRECT(ADDRESS(2,COLUMN())),OFFSET($BN$2,0,0,ROW()-1,60),ROW()-1,FALSE))</f>
        <v/>
      </c>
      <c r="AR186" t="str">
        <f ca="1">IF(AND(ISNUMBER($AR$636),$B$419=1),$AR$636,HLOOKUP(INDIRECT(ADDRESS(2,COLUMN())),OFFSET($BN$2,0,0,ROW()-1,60),ROW()-1,FALSE))</f>
        <v/>
      </c>
      <c r="AS186" t="str">
        <f ca="1">IF(AND(ISNUMBER($AS$636),$B$419=1),$AS$636,HLOOKUP(INDIRECT(ADDRESS(2,COLUMN())),OFFSET($BN$2,0,0,ROW()-1,60),ROW()-1,FALSE))</f>
        <v/>
      </c>
      <c r="AT186" t="str">
        <f ca="1">IF(AND(ISNUMBER($AT$636),$B$419=1),$AT$636,HLOOKUP(INDIRECT(ADDRESS(2,COLUMN())),OFFSET($BN$2,0,0,ROW()-1,60),ROW()-1,FALSE))</f>
        <v/>
      </c>
      <c r="AU186" t="str">
        <f ca="1">IF(AND(ISNUMBER($AU$636),$B$419=1),$AU$636,HLOOKUP(INDIRECT(ADDRESS(2,COLUMN())),OFFSET($BN$2,0,0,ROW()-1,60),ROW()-1,FALSE))</f>
        <v/>
      </c>
      <c r="AV186" t="str">
        <f ca="1">IF(AND(ISNUMBER($AV$636),$B$419=1),$AV$636,HLOOKUP(INDIRECT(ADDRESS(2,COLUMN())),OFFSET($BN$2,0,0,ROW()-1,60),ROW()-1,FALSE))</f>
        <v/>
      </c>
      <c r="AW186" t="str">
        <f ca="1">IF(AND(ISNUMBER($AW$636),$B$419=1),$AW$636,HLOOKUP(INDIRECT(ADDRESS(2,COLUMN())),OFFSET($BN$2,0,0,ROW()-1,60),ROW()-1,FALSE))</f>
        <v/>
      </c>
      <c r="AX186" t="str">
        <f ca="1">IF(AND(ISNUMBER($AX$636),$B$419=1),$AX$636,HLOOKUP(INDIRECT(ADDRESS(2,COLUMN())),OFFSET($BN$2,0,0,ROW()-1,60),ROW()-1,FALSE))</f>
        <v/>
      </c>
      <c r="AY186" t="str">
        <f ca="1">IF(AND(ISNUMBER($AY$636),$B$419=1),$AY$636,HLOOKUP(INDIRECT(ADDRESS(2,COLUMN())),OFFSET($BN$2,0,0,ROW()-1,60),ROW()-1,FALSE))</f>
        <v/>
      </c>
      <c r="AZ186" t="str">
        <f ca="1">IF(AND(ISNUMBER($AZ$636),$B$419=1),$AZ$636,HLOOKUP(INDIRECT(ADDRESS(2,COLUMN())),OFFSET($BN$2,0,0,ROW()-1,60),ROW()-1,FALSE))</f>
        <v/>
      </c>
      <c r="BA186" t="str">
        <f ca="1">IF(AND(ISNUMBER($BA$636),$B$419=1),$BA$636,HLOOKUP(INDIRECT(ADDRESS(2,COLUMN())),OFFSET($BN$2,0,0,ROW()-1,60),ROW()-1,FALSE))</f>
        <v/>
      </c>
      <c r="BB186" t="str">
        <f ca="1">IF(AND(ISNUMBER($BB$636),$B$419=1),$BB$636,HLOOKUP(INDIRECT(ADDRESS(2,COLUMN())),OFFSET($BN$2,0,0,ROW()-1,60),ROW()-1,FALSE))</f>
        <v/>
      </c>
      <c r="BC186" t="str">
        <f ca="1">IF(AND(ISNUMBER($BC$636),$B$419=1),$BC$636,HLOOKUP(INDIRECT(ADDRESS(2,COLUMN())),OFFSET($BN$2,0,0,ROW()-1,60),ROW()-1,FALSE))</f>
        <v/>
      </c>
      <c r="BD186" t="str">
        <f ca="1">IF(AND(ISNUMBER($BD$636),$B$419=1),$BD$636,HLOOKUP(INDIRECT(ADDRESS(2,COLUMN())),OFFSET($BN$2,0,0,ROW()-1,60),ROW()-1,FALSE))</f>
        <v/>
      </c>
      <c r="BE186" t="str">
        <f ca="1">IF(AND(ISNUMBER($BE$636),$B$419=1),$BE$636,HLOOKUP(INDIRECT(ADDRESS(2,COLUMN())),OFFSET($BN$2,0,0,ROW()-1,60),ROW()-1,FALSE))</f>
        <v/>
      </c>
      <c r="BF186" t="str">
        <f ca="1">IF(AND(ISNUMBER($BF$636),$B$419=1),$BF$636,HLOOKUP(INDIRECT(ADDRESS(2,COLUMN())),OFFSET($BN$2,0,0,ROW()-1,60),ROW()-1,FALSE))</f>
        <v/>
      </c>
      <c r="BG186" t="str">
        <f ca="1">IF(AND(ISNUMBER($BG$636),$B$419=1),$BG$636,HLOOKUP(INDIRECT(ADDRESS(2,COLUMN())),OFFSET($BN$2,0,0,ROW()-1,60),ROW()-1,FALSE))</f>
        <v/>
      </c>
      <c r="BH186" t="str">
        <f ca="1">IF(AND(ISNUMBER($BH$636),$B$419=1),$BH$636,HLOOKUP(INDIRECT(ADDRESS(2,COLUMN())),OFFSET($BN$2,0,0,ROW()-1,60),ROW()-1,FALSE))</f>
        <v/>
      </c>
      <c r="BI186" t="str">
        <f ca="1">IF(AND(ISNUMBER($BI$636),$B$419=1),$BI$636,HLOOKUP(INDIRECT(ADDRESS(2,COLUMN())),OFFSET($BN$2,0,0,ROW()-1,60),ROW()-1,FALSE))</f>
        <v/>
      </c>
      <c r="BJ186" t="str">
        <f ca="1">IF(AND(ISNUMBER($BJ$636),$B$419=1),$BJ$636,HLOOKUP(INDIRECT(ADDRESS(2,COLUMN())),OFFSET($BN$2,0,0,ROW()-1,60),ROW()-1,FALSE))</f>
        <v/>
      </c>
      <c r="BK186" t="str">
        <f ca="1">IF(AND(ISNUMBER($BK$636),$B$419=1),$BK$636,HLOOKUP(INDIRECT(ADDRESS(2,COLUMN())),OFFSET($BN$2,0,0,ROW()-1,60),ROW()-1,FALSE))</f>
        <v/>
      </c>
      <c r="BL186" t="str">
        <f ca="1">IF(AND(ISNUMBER($BL$636),$B$419=1),$BL$636,HLOOKUP(INDIRECT(ADDRESS(2,COLUMN())),OFFSET($BN$2,0,0,ROW()-1,60),ROW()-1,FALSE))</f>
        <v/>
      </c>
      <c r="BM186" t="str">
        <f ca="1">IF(AND(ISNUMBER($BM$636),$B$419=1),$BM$636,HLOOKUP(INDIRECT(ADDRESS(2,COLUMN())),OFFSET($BN$2,0,0,ROW()-1,60),ROW()-1,FALSE))</f>
        <v/>
      </c>
      <c r="BN186" t="str">
        <f>""</f>
        <v/>
      </c>
      <c r="BO186" t="str">
        <f>""</f>
        <v/>
      </c>
      <c r="BP186" t="str">
        <f>""</f>
        <v/>
      </c>
      <c r="BQ186" t="str">
        <f>""</f>
        <v/>
      </c>
      <c r="BR186" t="str">
        <f>""</f>
        <v/>
      </c>
      <c r="BS186" t="str">
        <f>""</f>
        <v/>
      </c>
      <c r="BT186" t="str">
        <f>""</f>
        <v/>
      </c>
      <c r="BU186" t="str">
        <f>""</f>
        <v/>
      </c>
      <c r="BV186" t="str">
        <f>""</f>
        <v/>
      </c>
      <c r="BW186" t="str">
        <f>""</f>
        <v/>
      </c>
      <c r="BX186" t="str">
        <f>""</f>
        <v/>
      </c>
      <c r="BY186" t="str">
        <f>""</f>
        <v/>
      </c>
      <c r="BZ186" t="str">
        <f>""</f>
        <v/>
      </c>
      <c r="CA186" t="str">
        <f>""</f>
        <v/>
      </c>
      <c r="CB186" t="str">
        <f>""</f>
        <v/>
      </c>
      <c r="CC186" t="str">
        <f>""</f>
        <v/>
      </c>
      <c r="CD186" t="str">
        <f>""</f>
        <v/>
      </c>
      <c r="CE186" t="str">
        <f>""</f>
        <v/>
      </c>
      <c r="CF186" t="str">
        <f>""</f>
        <v/>
      </c>
      <c r="CG186" t="str">
        <f>""</f>
        <v/>
      </c>
      <c r="CH186" t="str">
        <f>""</f>
        <v/>
      </c>
      <c r="CI186" t="str">
        <f>""</f>
        <v/>
      </c>
      <c r="CJ186" t="str">
        <f>""</f>
        <v/>
      </c>
      <c r="CK186" t="str">
        <f>""</f>
        <v/>
      </c>
      <c r="CL186" t="str">
        <f>""</f>
        <v/>
      </c>
      <c r="CM186" t="str">
        <f>""</f>
        <v/>
      </c>
      <c r="CN186" t="str">
        <f>""</f>
        <v/>
      </c>
      <c r="CO186" t="str">
        <f>""</f>
        <v/>
      </c>
      <c r="CP186" t="str">
        <f>""</f>
        <v/>
      </c>
      <c r="CQ186" t="str">
        <f>""</f>
        <v/>
      </c>
      <c r="CR186" t="str">
        <f>""</f>
        <v/>
      </c>
      <c r="CS186" t="str">
        <f>""</f>
        <v/>
      </c>
      <c r="CT186" t="str">
        <f>""</f>
        <v/>
      </c>
      <c r="CU186" t="str">
        <f>""</f>
        <v/>
      </c>
      <c r="CV186" t="str">
        <f>""</f>
        <v/>
      </c>
      <c r="CW186" t="str">
        <f>""</f>
        <v/>
      </c>
      <c r="CX186" t="str">
        <f>""</f>
        <v/>
      </c>
      <c r="CY186" t="str">
        <f>""</f>
        <v/>
      </c>
      <c r="CZ186" t="str">
        <f>""</f>
        <v/>
      </c>
      <c r="DA186" t="str">
        <f>""</f>
        <v/>
      </c>
      <c r="DB186" t="str">
        <f>""</f>
        <v/>
      </c>
      <c r="DC186" t="str">
        <f>""</f>
        <v/>
      </c>
      <c r="DD186" t="str">
        <f>""</f>
        <v/>
      </c>
      <c r="DE186" t="str">
        <f>""</f>
        <v/>
      </c>
      <c r="DF186" t="str">
        <f>""</f>
        <v/>
      </c>
      <c r="DG186" t="str">
        <f>""</f>
        <v/>
      </c>
      <c r="DH186" t="str">
        <f>""</f>
        <v/>
      </c>
      <c r="DI186" t="str">
        <f>""</f>
        <v/>
      </c>
      <c r="DJ186" t="str">
        <f>""</f>
        <v/>
      </c>
      <c r="DK186" t="str">
        <f>""</f>
        <v/>
      </c>
      <c r="DL186" t="str">
        <f>""</f>
        <v/>
      </c>
      <c r="DM186" t="str">
        <f>""</f>
        <v/>
      </c>
      <c r="DN186" t="str">
        <f>""</f>
        <v/>
      </c>
      <c r="DO186" t="str">
        <f>""</f>
        <v/>
      </c>
      <c r="DP186" t="str">
        <f>""</f>
        <v/>
      </c>
      <c r="DQ186" t="str">
        <f>""</f>
        <v/>
      </c>
      <c r="DR186" t="str">
        <f>""</f>
        <v/>
      </c>
      <c r="DS186" t="str">
        <f>""</f>
        <v/>
      </c>
      <c r="DT186" t="str">
        <f>""</f>
        <v/>
      </c>
      <c r="DU186" t="str">
        <f>""</f>
        <v/>
      </c>
    </row>
    <row r="187" spans="1:125">
      <c r="A187" t="str">
        <f>"    Realty Income Corp"</f>
        <v xml:space="preserve">    Realty Income Corp</v>
      </c>
      <c r="B187" t="str">
        <f>"O US Equity"</f>
        <v>O US Equity</v>
      </c>
      <c r="C187" t="str">
        <f t="shared" si="33"/>
        <v>BE592</v>
      </c>
      <c r="D187" t="str">
        <f t="shared" si="34"/>
        <v>BEST_FFOPS_YOY_GTH</v>
      </c>
      <c r="E187" t="str">
        <f t="shared" si="35"/>
        <v>动态</v>
      </c>
      <c r="F187" t="str">
        <f ca="1">IF(AND(ISNUMBER($F$637),$B$419=1),$F$637,HLOOKUP(INDIRECT(ADDRESS(2,COLUMN())),OFFSET($BN$2,0,0,ROW()-1,60),ROW()-1,FALSE))</f>
        <v/>
      </c>
      <c r="G187" t="str">
        <f ca="1">IF(AND(ISNUMBER($G$637),$B$419=1),$G$637,HLOOKUP(INDIRECT(ADDRESS(2,COLUMN())),OFFSET($BN$2,0,0,ROW()-1,60),ROW()-1,FALSE))</f>
        <v/>
      </c>
      <c r="H187" t="str">
        <f ca="1">IF(AND(ISNUMBER($H$637),$B$419=1),$H$637,HLOOKUP(INDIRECT(ADDRESS(2,COLUMN())),OFFSET($BN$2,0,0,ROW()-1,60),ROW()-1,FALSE))</f>
        <v/>
      </c>
      <c r="I187" t="str">
        <f ca="1">IF(AND(ISNUMBER($I$637),$B$419=1),$I$637,HLOOKUP(INDIRECT(ADDRESS(2,COLUMN())),OFFSET($BN$2,0,0,ROW()-1,60),ROW()-1,FALSE))</f>
        <v/>
      </c>
      <c r="J187" t="str">
        <f ca="1">IF(AND(ISNUMBER($J$637),$B$419=1),$J$637,HLOOKUP(INDIRECT(ADDRESS(2,COLUMN())),OFFSET($BN$2,0,0,ROW()-1,60),ROW()-1,FALSE))</f>
        <v/>
      </c>
      <c r="K187" t="str">
        <f ca="1">IF(AND(ISNUMBER($K$637),$B$419=1),$K$637,HLOOKUP(INDIRECT(ADDRESS(2,COLUMN())),OFFSET($BN$2,0,0,ROW()-1,60),ROW()-1,FALSE))</f>
        <v/>
      </c>
      <c r="L187" t="str">
        <f ca="1">IF(AND(ISNUMBER($L$637),$B$419=1),$L$637,HLOOKUP(INDIRECT(ADDRESS(2,COLUMN())),OFFSET($BN$2,0,0,ROW()-1,60),ROW()-1,FALSE))</f>
        <v/>
      </c>
      <c r="M187" t="str">
        <f ca="1">IF(AND(ISNUMBER($M$637),$B$419=1),$M$637,HLOOKUP(INDIRECT(ADDRESS(2,COLUMN())),OFFSET($BN$2,0,0,ROW()-1,60),ROW()-1,FALSE))</f>
        <v/>
      </c>
      <c r="N187" t="str">
        <f ca="1">IF(AND(ISNUMBER($N$637),$B$419=1),$N$637,HLOOKUP(INDIRECT(ADDRESS(2,COLUMN())),OFFSET($BN$2,0,0,ROW()-1,60),ROW()-1,FALSE))</f>
        <v/>
      </c>
      <c r="O187" t="str">
        <f ca="1">IF(AND(ISNUMBER($O$637),$B$419=1),$O$637,HLOOKUP(INDIRECT(ADDRESS(2,COLUMN())),OFFSET($BN$2,0,0,ROW()-1,60),ROW()-1,FALSE))</f>
        <v/>
      </c>
      <c r="P187" t="str">
        <f ca="1">IF(AND(ISNUMBER($P$637),$B$419=1),$P$637,HLOOKUP(INDIRECT(ADDRESS(2,COLUMN())),OFFSET($BN$2,0,0,ROW()-1,60),ROW()-1,FALSE))</f>
        <v/>
      </c>
      <c r="Q187" t="str">
        <f ca="1">IF(AND(ISNUMBER($Q$637),$B$419=1),$Q$637,HLOOKUP(INDIRECT(ADDRESS(2,COLUMN())),OFFSET($BN$2,0,0,ROW()-1,60),ROW()-1,FALSE))</f>
        <v/>
      </c>
      <c r="R187" t="str">
        <f ca="1">IF(AND(ISNUMBER($R$637),$B$419=1),$R$637,HLOOKUP(INDIRECT(ADDRESS(2,COLUMN())),OFFSET($BN$2,0,0,ROW()-1,60),ROW()-1,FALSE))</f>
        <v/>
      </c>
      <c r="S187" t="str">
        <f ca="1">IF(AND(ISNUMBER($S$637),$B$419=1),$S$637,HLOOKUP(INDIRECT(ADDRESS(2,COLUMN())),OFFSET($BN$2,0,0,ROW()-1,60),ROW()-1,FALSE))</f>
        <v/>
      </c>
      <c r="T187" t="str">
        <f ca="1">IF(AND(ISNUMBER($T$637),$B$419=1),$T$637,HLOOKUP(INDIRECT(ADDRESS(2,COLUMN())),OFFSET($BN$2,0,0,ROW()-1,60),ROW()-1,FALSE))</f>
        <v/>
      </c>
      <c r="U187" t="str">
        <f ca="1">IF(AND(ISNUMBER($U$637),$B$419=1),$U$637,HLOOKUP(INDIRECT(ADDRESS(2,COLUMN())),OFFSET($BN$2,0,0,ROW()-1,60),ROW()-1,FALSE))</f>
        <v/>
      </c>
      <c r="V187" t="str">
        <f ca="1">IF(AND(ISNUMBER($V$637),$B$419=1),$V$637,HLOOKUP(INDIRECT(ADDRESS(2,COLUMN())),OFFSET($BN$2,0,0,ROW()-1,60),ROW()-1,FALSE))</f>
        <v/>
      </c>
      <c r="W187" t="str">
        <f ca="1">IF(AND(ISNUMBER($W$637),$B$419=1),$W$637,HLOOKUP(INDIRECT(ADDRESS(2,COLUMN())),OFFSET($BN$2,0,0,ROW()-1,60),ROW()-1,FALSE))</f>
        <v/>
      </c>
      <c r="X187" t="str">
        <f ca="1">IF(AND(ISNUMBER($X$637),$B$419=1),$X$637,HLOOKUP(INDIRECT(ADDRESS(2,COLUMN())),OFFSET($BN$2,0,0,ROW()-1,60),ROW()-1,FALSE))</f>
        <v/>
      </c>
      <c r="Y187" t="str">
        <f ca="1">IF(AND(ISNUMBER($Y$637),$B$419=1),$Y$637,HLOOKUP(INDIRECT(ADDRESS(2,COLUMN())),OFFSET($BN$2,0,0,ROW()-1,60),ROW()-1,FALSE))</f>
        <v/>
      </c>
      <c r="Z187" t="str">
        <f ca="1">IF(AND(ISNUMBER($Z$637),$B$419=1),$Z$637,HLOOKUP(INDIRECT(ADDRESS(2,COLUMN())),OFFSET($BN$2,0,0,ROW()-1,60),ROW()-1,FALSE))</f>
        <v/>
      </c>
      <c r="AA187" t="str">
        <f ca="1">IF(AND(ISNUMBER($AA$637),$B$419=1),$AA$637,HLOOKUP(INDIRECT(ADDRESS(2,COLUMN())),OFFSET($BN$2,0,0,ROW()-1,60),ROW()-1,FALSE))</f>
        <v/>
      </c>
      <c r="AB187" t="str">
        <f ca="1">IF(AND(ISNUMBER($AB$637),$B$419=1),$AB$637,HLOOKUP(INDIRECT(ADDRESS(2,COLUMN())),OFFSET($BN$2,0,0,ROW()-1,60),ROW()-1,FALSE))</f>
        <v/>
      </c>
      <c r="AC187" t="str">
        <f ca="1">IF(AND(ISNUMBER($AC$637),$B$419=1),$AC$637,HLOOKUP(INDIRECT(ADDRESS(2,COLUMN())),OFFSET($BN$2,0,0,ROW()-1,60),ROW()-1,FALSE))</f>
        <v/>
      </c>
      <c r="AD187" t="str">
        <f ca="1">IF(AND(ISNUMBER($AD$637),$B$419=1),$AD$637,HLOOKUP(INDIRECT(ADDRESS(2,COLUMN())),OFFSET($BN$2,0,0,ROW()-1,60),ROW()-1,FALSE))</f>
        <v/>
      </c>
      <c r="AE187" t="str">
        <f ca="1">IF(AND(ISNUMBER($AE$637),$B$419=1),$AE$637,HLOOKUP(INDIRECT(ADDRESS(2,COLUMN())),OFFSET($BN$2,0,0,ROW()-1,60),ROW()-1,FALSE))</f>
        <v/>
      </c>
      <c r="AF187" t="str">
        <f ca="1">IF(AND(ISNUMBER($AF$637),$B$419=1),$AF$637,HLOOKUP(INDIRECT(ADDRESS(2,COLUMN())),OFFSET($BN$2,0,0,ROW()-1,60),ROW()-1,FALSE))</f>
        <v/>
      </c>
      <c r="AG187" t="str">
        <f ca="1">IF(AND(ISNUMBER($AG$637),$B$419=1),$AG$637,HLOOKUP(INDIRECT(ADDRESS(2,COLUMN())),OFFSET($BN$2,0,0,ROW()-1,60),ROW()-1,FALSE))</f>
        <v/>
      </c>
      <c r="AH187" t="str">
        <f ca="1">IF(AND(ISNUMBER($AH$637),$B$419=1),$AH$637,HLOOKUP(INDIRECT(ADDRESS(2,COLUMN())),OFFSET($BN$2,0,0,ROW()-1,60),ROW()-1,FALSE))</f>
        <v/>
      </c>
      <c r="AI187" t="str">
        <f ca="1">IF(AND(ISNUMBER($AI$637),$B$419=1),$AI$637,HLOOKUP(INDIRECT(ADDRESS(2,COLUMN())),OFFSET($BN$2,0,0,ROW()-1,60),ROW()-1,FALSE))</f>
        <v/>
      </c>
      <c r="AJ187" t="str">
        <f ca="1">IF(AND(ISNUMBER($AJ$637),$B$419=1),$AJ$637,HLOOKUP(INDIRECT(ADDRESS(2,COLUMN())),OFFSET($BN$2,0,0,ROW()-1,60),ROW()-1,FALSE))</f>
        <v/>
      </c>
      <c r="AK187" t="str">
        <f ca="1">IF(AND(ISNUMBER($AK$637),$B$419=1),$AK$637,HLOOKUP(INDIRECT(ADDRESS(2,COLUMN())),OFFSET($BN$2,0,0,ROW()-1,60),ROW()-1,FALSE))</f>
        <v/>
      </c>
      <c r="AL187" t="str">
        <f ca="1">IF(AND(ISNUMBER($AL$637),$B$419=1),$AL$637,HLOOKUP(INDIRECT(ADDRESS(2,COLUMN())),OFFSET($BN$2,0,0,ROW()-1,60),ROW()-1,FALSE))</f>
        <v/>
      </c>
      <c r="AM187" t="str">
        <f ca="1">IF(AND(ISNUMBER($AM$637),$B$419=1),$AM$637,HLOOKUP(INDIRECT(ADDRESS(2,COLUMN())),OFFSET($BN$2,0,0,ROW()-1,60),ROW()-1,FALSE))</f>
        <v/>
      </c>
      <c r="AN187" t="str">
        <f ca="1">IF(AND(ISNUMBER($AN$637),$B$419=1),$AN$637,HLOOKUP(INDIRECT(ADDRESS(2,COLUMN())),OFFSET($BN$2,0,0,ROW()-1,60),ROW()-1,FALSE))</f>
        <v/>
      </c>
      <c r="AO187" t="str">
        <f ca="1">IF(AND(ISNUMBER($AO$637),$B$419=1),$AO$637,HLOOKUP(INDIRECT(ADDRESS(2,COLUMN())),OFFSET($BN$2,0,0,ROW()-1,60),ROW()-1,FALSE))</f>
        <v/>
      </c>
      <c r="AP187" t="str">
        <f ca="1">IF(AND(ISNUMBER($AP$637),$B$419=1),$AP$637,HLOOKUP(INDIRECT(ADDRESS(2,COLUMN())),OFFSET($BN$2,0,0,ROW()-1,60),ROW()-1,FALSE))</f>
        <v/>
      </c>
      <c r="AQ187" t="str">
        <f ca="1">IF(AND(ISNUMBER($AQ$637),$B$419=1),$AQ$637,HLOOKUP(INDIRECT(ADDRESS(2,COLUMN())),OFFSET($BN$2,0,0,ROW()-1,60),ROW()-1,FALSE))</f>
        <v/>
      </c>
      <c r="AR187" t="str">
        <f ca="1">IF(AND(ISNUMBER($AR$637),$B$419=1),$AR$637,HLOOKUP(INDIRECT(ADDRESS(2,COLUMN())),OFFSET($BN$2,0,0,ROW()-1,60),ROW()-1,FALSE))</f>
        <v/>
      </c>
      <c r="AS187" t="str">
        <f ca="1">IF(AND(ISNUMBER($AS$637),$B$419=1),$AS$637,HLOOKUP(INDIRECT(ADDRESS(2,COLUMN())),OFFSET($BN$2,0,0,ROW()-1,60),ROW()-1,FALSE))</f>
        <v/>
      </c>
      <c r="AT187" t="str">
        <f ca="1">IF(AND(ISNUMBER($AT$637),$B$419=1),$AT$637,HLOOKUP(INDIRECT(ADDRESS(2,COLUMN())),OFFSET($BN$2,0,0,ROW()-1,60),ROW()-1,FALSE))</f>
        <v/>
      </c>
      <c r="AU187" t="str">
        <f ca="1">IF(AND(ISNUMBER($AU$637),$B$419=1),$AU$637,HLOOKUP(INDIRECT(ADDRESS(2,COLUMN())),OFFSET($BN$2,0,0,ROW()-1,60),ROW()-1,FALSE))</f>
        <v/>
      </c>
      <c r="AV187" t="str">
        <f ca="1">IF(AND(ISNUMBER($AV$637),$B$419=1),$AV$637,HLOOKUP(INDIRECT(ADDRESS(2,COLUMN())),OFFSET($BN$2,0,0,ROW()-1,60),ROW()-1,FALSE))</f>
        <v/>
      </c>
      <c r="AW187" t="str">
        <f ca="1">IF(AND(ISNUMBER($AW$637),$B$419=1),$AW$637,HLOOKUP(INDIRECT(ADDRESS(2,COLUMN())),OFFSET($BN$2,0,0,ROW()-1,60),ROW()-1,FALSE))</f>
        <v/>
      </c>
      <c r="AX187" t="str">
        <f ca="1">IF(AND(ISNUMBER($AX$637),$B$419=1),$AX$637,HLOOKUP(INDIRECT(ADDRESS(2,COLUMN())),OFFSET($BN$2,0,0,ROW()-1,60),ROW()-1,FALSE))</f>
        <v/>
      </c>
      <c r="AY187" t="str">
        <f ca="1">IF(AND(ISNUMBER($AY$637),$B$419=1),$AY$637,HLOOKUP(INDIRECT(ADDRESS(2,COLUMN())),OFFSET($BN$2,0,0,ROW()-1,60),ROW()-1,FALSE))</f>
        <v/>
      </c>
      <c r="AZ187" t="str">
        <f ca="1">IF(AND(ISNUMBER($AZ$637),$B$419=1),$AZ$637,HLOOKUP(INDIRECT(ADDRESS(2,COLUMN())),OFFSET($BN$2,0,0,ROW()-1,60),ROW()-1,FALSE))</f>
        <v/>
      </c>
      <c r="BA187" t="str">
        <f ca="1">IF(AND(ISNUMBER($BA$637),$B$419=1),$BA$637,HLOOKUP(INDIRECT(ADDRESS(2,COLUMN())),OFFSET($BN$2,0,0,ROW()-1,60),ROW()-1,FALSE))</f>
        <v/>
      </c>
      <c r="BB187" t="str">
        <f ca="1">IF(AND(ISNUMBER($BB$637),$B$419=1),$BB$637,HLOOKUP(INDIRECT(ADDRESS(2,COLUMN())),OFFSET($BN$2,0,0,ROW()-1,60),ROW()-1,FALSE))</f>
        <v/>
      </c>
      <c r="BC187" t="str">
        <f ca="1">IF(AND(ISNUMBER($BC$637),$B$419=1),$BC$637,HLOOKUP(INDIRECT(ADDRESS(2,COLUMN())),OFFSET($BN$2,0,0,ROW()-1,60),ROW()-1,FALSE))</f>
        <v/>
      </c>
      <c r="BD187" t="str">
        <f ca="1">IF(AND(ISNUMBER($BD$637),$B$419=1),$BD$637,HLOOKUP(INDIRECT(ADDRESS(2,COLUMN())),OFFSET($BN$2,0,0,ROW()-1,60),ROW()-1,FALSE))</f>
        <v/>
      </c>
      <c r="BE187" t="str">
        <f ca="1">IF(AND(ISNUMBER($BE$637),$B$419=1),$BE$637,HLOOKUP(INDIRECT(ADDRESS(2,COLUMN())),OFFSET($BN$2,0,0,ROW()-1,60),ROW()-1,FALSE))</f>
        <v/>
      </c>
      <c r="BF187" t="str">
        <f ca="1">IF(AND(ISNUMBER($BF$637),$B$419=1),$BF$637,HLOOKUP(INDIRECT(ADDRESS(2,COLUMN())),OFFSET($BN$2,0,0,ROW()-1,60),ROW()-1,FALSE))</f>
        <v/>
      </c>
      <c r="BG187" t="str">
        <f ca="1">IF(AND(ISNUMBER($BG$637),$B$419=1),$BG$637,HLOOKUP(INDIRECT(ADDRESS(2,COLUMN())),OFFSET($BN$2,0,0,ROW()-1,60),ROW()-1,FALSE))</f>
        <v/>
      </c>
      <c r="BH187" t="str">
        <f ca="1">IF(AND(ISNUMBER($BH$637),$B$419=1),$BH$637,HLOOKUP(INDIRECT(ADDRESS(2,COLUMN())),OFFSET($BN$2,0,0,ROW()-1,60),ROW()-1,FALSE))</f>
        <v/>
      </c>
      <c r="BI187" t="str">
        <f ca="1">IF(AND(ISNUMBER($BI$637),$B$419=1),$BI$637,HLOOKUP(INDIRECT(ADDRESS(2,COLUMN())),OFFSET($BN$2,0,0,ROW()-1,60),ROW()-1,FALSE))</f>
        <v/>
      </c>
      <c r="BJ187" t="str">
        <f ca="1">IF(AND(ISNUMBER($BJ$637),$B$419=1),$BJ$637,HLOOKUP(INDIRECT(ADDRESS(2,COLUMN())),OFFSET($BN$2,0,0,ROW()-1,60),ROW()-1,FALSE))</f>
        <v/>
      </c>
      <c r="BK187" t="str">
        <f ca="1">IF(AND(ISNUMBER($BK$637),$B$419=1),$BK$637,HLOOKUP(INDIRECT(ADDRESS(2,COLUMN())),OFFSET($BN$2,0,0,ROW()-1,60),ROW()-1,FALSE))</f>
        <v/>
      </c>
      <c r="BL187" t="str">
        <f ca="1">IF(AND(ISNUMBER($BL$637),$B$419=1),$BL$637,HLOOKUP(INDIRECT(ADDRESS(2,COLUMN())),OFFSET($BN$2,0,0,ROW()-1,60),ROW()-1,FALSE))</f>
        <v/>
      </c>
      <c r="BM187" t="str">
        <f ca="1">IF(AND(ISNUMBER($BM$637),$B$419=1),$BM$637,HLOOKUP(INDIRECT(ADDRESS(2,COLUMN())),OFFSET($BN$2,0,0,ROW()-1,60),ROW()-1,FALSE))</f>
        <v/>
      </c>
      <c r="BN187" t="str">
        <f>""</f>
        <v/>
      </c>
      <c r="BO187" t="str">
        <f>""</f>
        <v/>
      </c>
      <c r="BP187" t="str">
        <f>""</f>
        <v/>
      </c>
      <c r="BQ187" t="str">
        <f>""</f>
        <v/>
      </c>
      <c r="BR187" t="str">
        <f>""</f>
        <v/>
      </c>
      <c r="BS187" t="str">
        <f>""</f>
        <v/>
      </c>
      <c r="BT187" t="str">
        <f>""</f>
        <v/>
      </c>
      <c r="BU187" t="str">
        <f>""</f>
        <v/>
      </c>
      <c r="BV187" t="str">
        <f>""</f>
        <v/>
      </c>
      <c r="BW187" t="str">
        <f>""</f>
        <v/>
      </c>
      <c r="BX187" t="str">
        <f>""</f>
        <v/>
      </c>
      <c r="BY187" t="str">
        <f>""</f>
        <v/>
      </c>
      <c r="BZ187" t="str">
        <f>""</f>
        <v/>
      </c>
      <c r="CA187" t="str">
        <f>""</f>
        <v/>
      </c>
      <c r="CB187" t="str">
        <f>""</f>
        <v/>
      </c>
      <c r="CC187" t="str">
        <f>""</f>
        <v/>
      </c>
      <c r="CD187" t="str">
        <f>""</f>
        <v/>
      </c>
      <c r="CE187" t="str">
        <f>""</f>
        <v/>
      </c>
      <c r="CF187" t="str">
        <f>""</f>
        <v/>
      </c>
      <c r="CG187" t="str">
        <f>""</f>
        <v/>
      </c>
      <c r="CH187" t="str">
        <f>""</f>
        <v/>
      </c>
      <c r="CI187" t="str">
        <f>""</f>
        <v/>
      </c>
      <c r="CJ187" t="str">
        <f>""</f>
        <v/>
      </c>
      <c r="CK187" t="str">
        <f>""</f>
        <v/>
      </c>
      <c r="CL187" t="str">
        <f>""</f>
        <v/>
      </c>
      <c r="CM187" t="str">
        <f>""</f>
        <v/>
      </c>
      <c r="CN187" t="str">
        <f>""</f>
        <v/>
      </c>
      <c r="CO187" t="str">
        <f>""</f>
        <v/>
      </c>
      <c r="CP187" t="str">
        <f>""</f>
        <v/>
      </c>
      <c r="CQ187" t="str">
        <f>""</f>
        <v/>
      </c>
      <c r="CR187" t="str">
        <f>""</f>
        <v/>
      </c>
      <c r="CS187" t="str">
        <f>""</f>
        <v/>
      </c>
      <c r="CT187" t="str">
        <f>""</f>
        <v/>
      </c>
      <c r="CU187" t="str">
        <f>""</f>
        <v/>
      </c>
      <c r="CV187" t="str">
        <f>""</f>
        <v/>
      </c>
      <c r="CW187" t="str">
        <f>""</f>
        <v/>
      </c>
      <c r="CX187" t="str">
        <f>""</f>
        <v/>
      </c>
      <c r="CY187" t="str">
        <f>""</f>
        <v/>
      </c>
      <c r="CZ187" t="str">
        <f>""</f>
        <v/>
      </c>
      <c r="DA187" t="str">
        <f>""</f>
        <v/>
      </c>
      <c r="DB187" t="str">
        <f>""</f>
        <v/>
      </c>
      <c r="DC187" t="str">
        <f>""</f>
        <v/>
      </c>
      <c r="DD187" t="str">
        <f>""</f>
        <v/>
      </c>
      <c r="DE187" t="str">
        <f>""</f>
        <v/>
      </c>
      <c r="DF187" t="str">
        <f>""</f>
        <v/>
      </c>
      <c r="DG187" t="str">
        <f>""</f>
        <v/>
      </c>
      <c r="DH187" t="str">
        <f>""</f>
        <v/>
      </c>
      <c r="DI187" t="str">
        <f>""</f>
        <v/>
      </c>
      <c r="DJ187" t="str">
        <f>""</f>
        <v/>
      </c>
      <c r="DK187" t="str">
        <f>""</f>
        <v/>
      </c>
      <c r="DL187" t="str">
        <f>""</f>
        <v/>
      </c>
      <c r="DM187" t="str">
        <f>""</f>
        <v/>
      </c>
      <c r="DN187" t="str">
        <f>""</f>
        <v/>
      </c>
      <c r="DO187" t="str">
        <f>""</f>
        <v/>
      </c>
      <c r="DP187" t="str">
        <f>""</f>
        <v/>
      </c>
      <c r="DQ187" t="str">
        <f>""</f>
        <v/>
      </c>
      <c r="DR187" t="str">
        <f>""</f>
        <v/>
      </c>
      <c r="DS187" t="str">
        <f>""</f>
        <v/>
      </c>
      <c r="DT187" t="str">
        <f>""</f>
        <v/>
      </c>
      <c r="DU187" t="str">
        <f>""</f>
        <v/>
      </c>
    </row>
    <row r="188" spans="1:125">
      <c r="A188" t="str">
        <f>"    Regency Centers Corp"</f>
        <v xml:space="preserve">    Regency Centers Corp</v>
      </c>
      <c r="B188" t="str">
        <f>"REG US Equity"</f>
        <v>REG US Equity</v>
      </c>
      <c r="C188" t="str">
        <f t="shared" si="33"/>
        <v>BE592</v>
      </c>
      <c r="D188" t="str">
        <f t="shared" si="34"/>
        <v>BEST_FFOPS_YOY_GTH</v>
      </c>
      <c r="E188" t="str">
        <f t="shared" si="35"/>
        <v>动态</v>
      </c>
      <c r="F188" t="str">
        <f ca="1">IF(AND(ISNUMBER($F$638),$B$419=1),$F$638,HLOOKUP(INDIRECT(ADDRESS(2,COLUMN())),OFFSET($BN$2,0,0,ROW()-1,60),ROW()-1,FALSE))</f>
        <v/>
      </c>
      <c r="G188" t="str">
        <f ca="1">IF(AND(ISNUMBER($G$638),$B$419=1),$G$638,HLOOKUP(INDIRECT(ADDRESS(2,COLUMN())),OFFSET($BN$2,0,0,ROW()-1,60),ROW()-1,FALSE))</f>
        <v/>
      </c>
      <c r="H188" t="str">
        <f ca="1">IF(AND(ISNUMBER($H$638),$B$419=1),$H$638,HLOOKUP(INDIRECT(ADDRESS(2,COLUMN())),OFFSET($BN$2,0,0,ROW()-1,60),ROW()-1,FALSE))</f>
        <v/>
      </c>
      <c r="I188" t="str">
        <f ca="1">IF(AND(ISNUMBER($I$638),$B$419=1),$I$638,HLOOKUP(INDIRECT(ADDRESS(2,COLUMN())),OFFSET($BN$2,0,0,ROW()-1,60),ROW()-1,FALSE))</f>
        <v/>
      </c>
      <c r="J188" t="str">
        <f ca="1">IF(AND(ISNUMBER($J$638),$B$419=1),$J$638,HLOOKUP(INDIRECT(ADDRESS(2,COLUMN())),OFFSET($BN$2,0,0,ROW()-1,60),ROW()-1,FALSE))</f>
        <v/>
      </c>
      <c r="K188" t="str">
        <f ca="1">IF(AND(ISNUMBER($K$638),$B$419=1),$K$638,HLOOKUP(INDIRECT(ADDRESS(2,COLUMN())),OFFSET($BN$2,0,0,ROW()-1,60),ROW()-1,FALSE))</f>
        <v/>
      </c>
      <c r="L188" t="str">
        <f ca="1">IF(AND(ISNUMBER($L$638),$B$419=1),$L$638,HLOOKUP(INDIRECT(ADDRESS(2,COLUMN())),OFFSET($BN$2,0,0,ROW()-1,60),ROW()-1,FALSE))</f>
        <v/>
      </c>
      <c r="M188" t="str">
        <f ca="1">IF(AND(ISNUMBER($M$638),$B$419=1),$M$638,HLOOKUP(INDIRECT(ADDRESS(2,COLUMN())),OFFSET($BN$2,0,0,ROW()-1,60),ROW()-1,FALSE))</f>
        <v/>
      </c>
      <c r="N188" t="str">
        <f ca="1">IF(AND(ISNUMBER($N$638),$B$419=1),$N$638,HLOOKUP(INDIRECT(ADDRESS(2,COLUMN())),OFFSET($BN$2,0,0,ROW()-1,60),ROW()-1,FALSE))</f>
        <v/>
      </c>
      <c r="O188" t="str">
        <f ca="1">IF(AND(ISNUMBER($O$638),$B$419=1),$O$638,HLOOKUP(INDIRECT(ADDRESS(2,COLUMN())),OFFSET($BN$2,0,0,ROW()-1,60),ROW()-1,FALSE))</f>
        <v/>
      </c>
      <c r="P188" t="str">
        <f ca="1">IF(AND(ISNUMBER($P$638),$B$419=1),$P$638,HLOOKUP(INDIRECT(ADDRESS(2,COLUMN())),OFFSET($BN$2,0,0,ROW()-1,60),ROW()-1,FALSE))</f>
        <v/>
      </c>
      <c r="Q188" t="str">
        <f ca="1">IF(AND(ISNUMBER($Q$638),$B$419=1),$Q$638,HLOOKUP(INDIRECT(ADDRESS(2,COLUMN())),OFFSET($BN$2,0,0,ROW()-1,60),ROW()-1,FALSE))</f>
        <v/>
      </c>
      <c r="R188" t="str">
        <f ca="1">IF(AND(ISNUMBER($R$638),$B$419=1),$R$638,HLOOKUP(INDIRECT(ADDRESS(2,COLUMN())),OFFSET($BN$2,0,0,ROW()-1,60),ROW()-1,FALSE))</f>
        <v/>
      </c>
      <c r="S188" t="str">
        <f ca="1">IF(AND(ISNUMBER($S$638),$B$419=1),$S$638,HLOOKUP(INDIRECT(ADDRESS(2,COLUMN())),OFFSET($BN$2,0,0,ROW()-1,60),ROW()-1,FALSE))</f>
        <v/>
      </c>
      <c r="T188" t="str">
        <f ca="1">IF(AND(ISNUMBER($T$638),$B$419=1),$T$638,HLOOKUP(INDIRECT(ADDRESS(2,COLUMN())),OFFSET($BN$2,0,0,ROW()-1,60),ROW()-1,FALSE))</f>
        <v/>
      </c>
      <c r="U188" t="str">
        <f ca="1">IF(AND(ISNUMBER($U$638),$B$419=1),$U$638,HLOOKUP(INDIRECT(ADDRESS(2,COLUMN())),OFFSET($BN$2,0,0,ROW()-1,60),ROW()-1,FALSE))</f>
        <v/>
      </c>
      <c r="V188" t="str">
        <f ca="1">IF(AND(ISNUMBER($V$638),$B$419=1),$V$638,HLOOKUP(INDIRECT(ADDRESS(2,COLUMN())),OFFSET($BN$2,0,0,ROW()-1,60),ROW()-1,FALSE))</f>
        <v/>
      </c>
      <c r="W188" t="str">
        <f ca="1">IF(AND(ISNUMBER($W$638),$B$419=1),$W$638,HLOOKUP(INDIRECT(ADDRESS(2,COLUMN())),OFFSET($BN$2,0,0,ROW()-1,60),ROW()-1,FALSE))</f>
        <v/>
      </c>
      <c r="X188" t="str">
        <f ca="1">IF(AND(ISNUMBER($X$638),$B$419=1),$X$638,HLOOKUP(INDIRECT(ADDRESS(2,COLUMN())),OFFSET($BN$2,0,0,ROW()-1,60),ROW()-1,FALSE))</f>
        <v/>
      </c>
      <c r="Y188" t="str">
        <f ca="1">IF(AND(ISNUMBER($Y$638),$B$419=1),$Y$638,HLOOKUP(INDIRECT(ADDRESS(2,COLUMN())),OFFSET($BN$2,0,0,ROW()-1,60),ROW()-1,FALSE))</f>
        <v/>
      </c>
      <c r="Z188" t="str">
        <f ca="1">IF(AND(ISNUMBER($Z$638),$B$419=1),$Z$638,HLOOKUP(INDIRECT(ADDRESS(2,COLUMN())),OFFSET($BN$2,0,0,ROW()-1,60),ROW()-1,FALSE))</f>
        <v/>
      </c>
      <c r="AA188" t="str">
        <f ca="1">IF(AND(ISNUMBER($AA$638),$B$419=1),$AA$638,HLOOKUP(INDIRECT(ADDRESS(2,COLUMN())),OFFSET($BN$2,0,0,ROW()-1,60),ROW()-1,FALSE))</f>
        <v/>
      </c>
      <c r="AB188" t="str">
        <f ca="1">IF(AND(ISNUMBER($AB$638),$B$419=1),$AB$638,HLOOKUP(INDIRECT(ADDRESS(2,COLUMN())),OFFSET($BN$2,0,0,ROW()-1,60),ROW()-1,FALSE))</f>
        <v/>
      </c>
      <c r="AC188" t="str">
        <f ca="1">IF(AND(ISNUMBER($AC$638),$B$419=1),$AC$638,HLOOKUP(INDIRECT(ADDRESS(2,COLUMN())),OFFSET($BN$2,0,0,ROW()-1,60),ROW()-1,FALSE))</f>
        <v/>
      </c>
      <c r="AD188" t="str">
        <f ca="1">IF(AND(ISNUMBER($AD$638),$B$419=1),$AD$638,HLOOKUP(INDIRECT(ADDRESS(2,COLUMN())),OFFSET($BN$2,0,0,ROW()-1,60),ROW()-1,FALSE))</f>
        <v/>
      </c>
      <c r="AE188" t="str">
        <f ca="1">IF(AND(ISNUMBER($AE$638),$B$419=1),$AE$638,HLOOKUP(INDIRECT(ADDRESS(2,COLUMN())),OFFSET($BN$2,0,0,ROW()-1,60),ROW()-1,FALSE))</f>
        <v/>
      </c>
      <c r="AF188" t="str">
        <f ca="1">IF(AND(ISNUMBER($AF$638),$B$419=1),$AF$638,HLOOKUP(INDIRECT(ADDRESS(2,COLUMN())),OFFSET($BN$2,0,0,ROW()-1,60),ROW()-1,FALSE))</f>
        <v/>
      </c>
      <c r="AG188" t="str">
        <f ca="1">IF(AND(ISNUMBER($AG$638),$B$419=1),$AG$638,HLOOKUP(INDIRECT(ADDRESS(2,COLUMN())),OFFSET($BN$2,0,0,ROW()-1,60),ROW()-1,FALSE))</f>
        <v/>
      </c>
      <c r="AH188" t="str">
        <f ca="1">IF(AND(ISNUMBER($AH$638),$B$419=1),$AH$638,HLOOKUP(INDIRECT(ADDRESS(2,COLUMN())),OFFSET($BN$2,0,0,ROW()-1,60),ROW()-1,FALSE))</f>
        <v/>
      </c>
      <c r="AI188" t="str">
        <f ca="1">IF(AND(ISNUMBER($AI$638),$B$419=1),$AI$638,HLOOKUP(INDIRECT(ADDRESS(2,COLUMN())),OFFSET($BN$2,0,0,ROW()-1,60),ROW()-1,FALSE))</f>
        <v/>
      </c>
      <c r="AJ188" t="str">
        <f ca="1">IF(AND(ISNUMBER($AJ$638),$B$419=1),$AJ$638,HLOOKUP(INDIRECT(ADDRESS(2,COLUMN())),OFFSET($BN$2,0,0,ROW()-1,60),ROW()-1,FALSE))</f>
        <v/>
      </c>
      <c r="AK188" t="str">
        <f ca="1">IF(AND(ISNUMBER($AK$638),$B$419=1),$AK$638,HLOOKUP(INDIRECT(ADDRESS(2,COLUMN())),OFFSET($BN$2,0,0,ROW()-1,60),ROW()-1,FALSE))</f>
        <v/>
      </c>
      <c r="AL188" t="str">
        <f ca="1">IF(AND(ISNUMBER($AL$638),$B$419=1),$AL$638,HLOOKUP(INDIRECT(ADDRESS(2,COLUMN())),OFFSET($BN$2,0,0,ROW()-1,60),ROW()-1,FALSE))</f>
        <v/>
      </c>
      <c r="AM188" t="str">
        <f ca="1">IF(AND(ISNUMBER($AM$638),$B$419=1),$AM$638,HLOOKUP(INDIRECT(ADDRESS(2,COLUMN())),OFFSET($BN$2,0,0,ROW()-1,60),ROW()-1,FALSE))</f>
        <v/>
      </c>
      <c r="AN188" t="str">
        <f ca="1">IF(AND(ISNUMBER($AN$638),$B$419=1),$AN$638,HLOOKUP(INDIRECT(ADDRESS(2,COLUMN())),OFFSET($BN$2,0,0,ROW()-1,60),ROW()-1,FALSE))</f>
        <v/>
      </c>
      <c r="AO188" t="str">
        <f ca="1">IF(AND(ISNUMBER($AO$638),$B$419=1),$AO$638,HLOOKUP(INDIRECT(ADDRESS(2,COLUMN())),OFFSET($BN$2,0,0,ROW()-1,60),ROW()-1,FALSE))</f>
        <v/>
      </c>
      <c r="AP188" t="str">
        <f ca="1">IF(AND(ISNUMBER($AP$638),$B$419=1),$AP$638,HLOOKUP(INDIRECT(ADDRESS(2,COLUMN())),OFFSET($BN$2,0,0,ROW()-1,60),ROW()-1,FALSE))</f>
        <v/>
      </c>
      <c r="AQ188" t="str">
        <f ca="1">IF(AND(ISNUMBER($AQ$638),$B$419=1),$AQ$638,HLOOKUP(INDIRECT(ADDRESS(2,COLUMN())),OFFSET($BN$2,0,0,ROW()-1,60),ROW()-1,FALSE))</f>
        <v/>
      </c>
      <c r="AR188" t="str">
        <f ca="1">IF(AND(ISNUMBER($AR$638),$B$419=1),$AR$638,HLOOKUP(INDIRECT(ADDRESS(2,COLUMN())),OFFSET($BN$2,0,0,ROW()-1,60),ROW()-1,FALSE))</f>
        <v/>
      </c>
      <c r="AS188" t="str">
        <f ca="1">IF(AND(ISNUMBER($AS$638),$B$419=1),$AS$638,HLOOKUP(INDIRECT(ADDRESS(2,COLUMN())),OFFSET($BN$2,0,0,ROW()-1,60),ROW()-1,FALSE))</f>
        <v/>
      </c>
      <c r="AT188" t="str">
        <f ca="1">IF(AND(ISNUMBER($AT$638),$B$419=1),$AT$638,HLOOKUP(INDIRECT(ADDRESS(2,COLUMN())),OFFSET($BN$2,0,0,ROW()-1,60),ROW()-1,FALSE))</f>
        <v/>
      </c>
      <c r="AU188" t="str">
        <f ca="1">IF(AND(ISNUMBER($AU$638),$B$419=1),$AU$638,HLOOKUP(INDIRECT(ADDRESS(2,COLUMN())),OFFSET($BN$2,0,0,ROW()-1,60),ROW()-1,FALSE))</f>
        <v/>
      </c>
      <c r="AV188" t="str">
        <f ca="1">IF(AND(ISNUMBER($AV$638),$B$419=1),$AV$638,HLOOKUP(INDIRECT(ADDRESS(2,COLUMN())),OFFSET($BN$2,0,0,ROW()-1,60),ROW()-1,FALSE))</f>
        <v/>
      </c>
      <c r="AW188" t="str">
        <f ca="1">IF(AND(ISNUMBER($AW$638),$B$419=1),$AW$638,HLOOKUP(INDIRECT(ADDRESS(2,COLUMN())),OFFSET($BN$2,0,0,ROW()-1,60),ROW()-1,FALSE))</f>
        <v/>
      </c>
      <c r="AX188" t="str">
        <f ca="1">IF(AND(ISNUMBER($AX$638),$B$419=1),$AX$638,HLOOKUP(INDIRECT(ADDRESS(2,COLUMN())),OFFSET($BN$2,0,0,ROW()-1,60),ROW()-1,FALSE))</f>
        <v/>
      </c>
      <c r="AY188" t="str">
        <f ca="1">IF(AND(ISNUMBER($AY$638),$B$419=1),$AY$638,HLOOKUP(INDIRECT(ADDRESS(2,COLUMN())),OFFSET($BN$2,0,0,ROW()-1,60),ROW()-1,FALSE))</f>
        <v/>
      </c>
      <c r="AZ188" t="str">
        <f ca="1">IF(AND(ISNUMBER($AZ$638),$B$419=1),$AZ$638,HLOOKUP(INDIRECT(ADDRESS(2,COLUMN())),OFFSET($BN$2,0,0,ROW()-1,60),ROW()-1,FALSE))</f>
        <v/>
      </c>
      <c r="BA188" t="str">
        <f ca="1">IF(AND(ISNUMBER($BA$638),$B$419=1),$BA$638,HLOOKUP(INDIRECT(ADDRESS(2,COLUMN())),OFFSET($BN$2,0,0,ROW()-1,60),ROW()-1,FALSE))</f>
        <v/>
      </c>
      <c r="BB188" t="str">
        <f ca="1">IF(AND(ISNUMBER($BB$638),$B$419=1),$BB$638,HLOOKUP(INDIRECT(ADDRESS(2,COLUMN())),OFFSET($BN$2,0,0,ROW()-1,60),ROW()-1,FALSE))</f>
        <v/>
      </c>
      <c r="BC188" t="str">
        <f ca="1">IF(AND(ISNUMBER($BC$638),$B$419=1),$BC$638,HLOOKUP(INDIRECT(ADDRESS(2,COLUMN())),OFFSET($BN$2,0,0,ROW()-1,60),ROW()-1,FALSE))</f>
        <v/>
      </c>
      <c r="BD188" t="str">
        <f ca="1">IF(AND(ISNUMBER($BD$638),$B$419=1),$BD$638,HLOOKUP(INDIRECT(ADDRESS(2,COLUMN())),OFFSET($BN$2,0,0,ROW()-1,60),ROW()-1,FALSE))</f>
        <v/>
      </c>
      <c r="BE188" t="str">
        <f ca="1">IF(AND(ISNUMBER($BE$638),$B$419=1),$BE$638,HLOOKUP(INDIRECT(ADDRESS(2,COLUMN())),OFFSET($BN$2,0,0,ROW()-1,60),ROW()-1,FALSE))</f>
        <v/>
      </c>
      <c r="BF188" t="str">
        <f ca="1">IF(AND(ISNUMBER($BF$638),$B$419=1),$BF$638,HLOOKUP(INDIRECT(ADDRESS(2,COLUMN())),OFFSET($BN$2,0,0,ROW()-1,60),ROW()-1,FALSE))</f>
        <v/>
      </c>
      <c r="BG188" t="str">
        <f ca="1">IF(AND(ISNUMBER($BG$638),$B$419=1),$BG$638,HLOOKUP(INDIRECT(ADDRESS(2,COLUMN())),OFFSET($BN$2,0,0,ROW()-1,60),ROW()-1,FALSE))</f>
        <v/>
      </c>
      <c r="BH188" t="str">
        <f ca="1">IF(AND(ISNUMBER($BH$638),$B$419=1),$BH$638,HLOOKUP(INDIRECT(ADDRESS(2,COLUMN())),OFFSET($BN$2,0,0,ROW()-1,60),ROW()-1,FALSE))</f>
        <v/>
      </c>
      <c r="BI188" t="str">
        <f ca="1">IF(AND(ISNUMBER($BI$638),$B$419=1),$BI$638,HLOOKUP(INDIRECT(ADDRESS(2,COLUMN())),OFFSET($BN$2,0,0,ROW()-1,60),ROW()-1,FALSE))</f>
        <v/>
      </c>
      <c r="BJ188" t="str">
        <f ca="1">IF(AND(ISNUMBER($BJ$638),$B$419=1),$BJ$638,HLOOKUP(INDIRECT(ADDRESS(2,COLUMN())),OFFSET($BN$2,0,0,ROW()-1,60),ROW()-1,FALSE))</f>
        <v/>
      </c>
      <c r="BK188" t="str">
        <f ca="1">IF(AND(ISNUMBER($BK$638),$B$419=1),$BK$638,HLOOKUP(INDIRECT(ADDRESS(2,COLUMN())),OFFSET($BN$2,0,0,ROW()-1,60),ROW()-1,FALSE))</f>
        <v/>
      </c>
      <c r="BL188" t="str">
        <f ca="1">IF(AND(ISNUMBER($BL$638),$B$419=1),$BL$638,HLOOKUP(INDIRECT(ADDRESS(2,COLUMN())),OFFSET($BN$2,0,0,ROW()-1,60),ROW()-1,FALSE))</f>
        <v/>
      </c>
      <c r="BM188" t="str">
        <f ca="1">IF(AND(ISNUMBER($BM$638),$B$419=1),$BM$638,HLOOKUP(INDIRECT(ADDRESS(2,COLUMN())),OFFSET($BN$2,0,0,ROW()-1,60),ROW()-1,FALSE))</f>
        <v/>
      </c>
      <c r="BN188" t="str">
        <f>""</f>
        <v/>
      </c>
      <c r="BO188" t="str">
        <f>""</f>
        <v/>
      </c>
      <c r="BP188" t="str">
        <f>""</f>
        <v/>
      </c>
      <c r="BQ188" t="str">
        <f>""</f>
        <v/>
      </c>
      <c r="BR188" t="str">
        <f>""</f>
        <v/>
      </c>
      <c r="BS188" t="str">
        <f>""</f>
        <v/>
      </c>
      <c r="BT188" t="str">
        <f>""</f>
        <v/>
      </c>
      <c r="BU188" t="str">
        <f>""</f>
        <v/>
      </c>
      <c r="BV188" t="str">
        <f>""</f>
        <v/>
      </c>
      <c r="BW188" t="str">
        <f>""</f>
        <v/>
      </c>
      <c r="BX188" t="str">
        <f>""</f>
        <v/>
      </c>
      <c r="BY188" t="str">
        <f>""</f>
        <v/>
      </c>
      <c r="BZ188" t="str">
        <f>""</f>
        <v/>
      </c>
      <c r="CA188" t="str">
        <f>""</f>
        <v/>
      </c>
      <c r="CB188" t="str">
        <f>""</f>
        <v/>
      </c>
      <c r="CC188" t="str">
        <f>""</f>
        <v/>
      </c>
      <c r="CD188" t="str">
        <f>""</f>
        <v/>
      </c>
      <c r="CE188" t="str">
        <f>""</f>
        <v/>
      </c>
      <c r="CF188" t="str">
        <f>""</f>
        <v/>
      </c>
      <c r="CG188" t="str">
        <f>""</f>
        <v/>
      </c>
      <c r="CH188" t="str">
        <f>""</f>
        <v/>
      </c>
      <c r="CI188" t="str">
        <f>""</f>
        <v/>
      </c>
      <c r="CJ188" t="str">
        <f>""</f>
        <v/>
      </c>
      <c r="CK188" t="str">
        <f>""</f>
        <v/>
      </c>
      <c r="CL188" t="str">
        <f>""</f>
        <v/>
      </c>
      <c r="CM188" t="str">
        <f>""</f>
        <v/>
      </c>
      <c r="CN188" t="str">
        <f>""</f>
        <v/>
      </c>
      <c r="CO188" t="str">
        <f>""</f>
        <v/>
      </c>
      <c r="CP188" t="str">
        <f>""</f>
        <v/>
      </c>
      <c r="CQ188" t="str">
        <f>""</f>
        <v/>
      </c>
      <c r="CR188" t="str">
        <f>""</f>
        <v/>
      </c>
      <c r="CS188" t="str">
        <f>""</f>
        <v/>
      </c>
      <c r="CT188" t="str">
        <f>""</f>
        <v/>
      </c>
      <c r="CU188" t="str">
        <f>""</f>
        <v/>
      </c>
      <c r="CV188" t="str">
        <f>""</f>
        <v/>
      </c>
      <c r="CW188" t="str">
        <f>""</f>
        <v/>
      </c>
      <c r="CX188" t="str">
        <f>""</f>
        <v/>
      </c>
      <c r="CY188" t="str">
        <f>""</f>
        <v/>
      </c>
      <c r="CZ188" t="str">
        <f>""</f>
        <v/>
      </c>
      <c r="DA188" t="str">
        <f>""</f>
        <v/>
      </c>
      <c r="DB188" t="str">
        <f>""</f>
        <v/>
      </c>
      <c r="DC188" t="str">
        <f>""</f>
        <v/>
      </c>
      <c r="DD188" t="str">
        <f>""</f>
        <v/>
      </c>
      <c r="DE188" t="str">
        <f>""</f>
        <v/>
      </c>
      <c r="DF188" t="str">
        <f>""</f>
        <v/>
      </c>
      <c r="DG188" t="str">
        <f>""</f>
        <v/>
      </c>
      <c r="DH188" t="str">
        <f>""</f>
        <v/>
      </c>
      <c r="DI188" t="str">
        <f>""</f>
        <v/>
      </c>
      <c r="DJ188" t="str">
        <f>""</f>
        <v/>
      </c>
      <c r="DK188" t="str">
        <f>""</f>
        <v/>
      </c>
      <c r="DL188" t="str">
        <f>""</f>
        <v/>
      </c>
      <c r="DM188" t="str">
        <f>""</f>
        <v/>
      </c>
      <c r="DN188" t="str">
        <f>""</f>
        <v/>
      </c>
      <c r="DO188" t="str">
        <f>""</f>
        <v/>
      </c>
      <c r="DP188" t="str">
        <f>""</f>
        <v/>
      </c>
      <c r="DQ188" t="str">
        <f>""</f>
        <v/>
      </c>
      <c r="DR188" t="str">
        <f>""</f>
        <v/>
      </c>
      <c r="DS188" t="str">
        <f>""</f>
        <v/>
      </c>
      <c r="DT188" t="str">
        <f>""</f>
        <v/>
      </c>
      <c r="DU188" t="str">
        <f>""</f>
        <v/>
      </c>
    </row>
    <row r="189" spans="1:125">
      <c r="A189" t="str">
        <f>"    Retail Opportunity Investments"</f>
        <v xml:space="preserve">    Retail Opportunity Investments</v>
      </c>
      <c r="B189" t="str">
        <f>"ROIC US Equity"</f>
        <v>ROIC US Equity</v>
      </c>
      <c r="C189" t="str">
        <f t="shared" si="33"/>
        <v>BE592</v>
      </c>
      <c r="D189" t="str">
        <f t="shared" si="34"/>
        <v>BEST_FFOPS_YOY_GTH</v>
      </c>
      <c r="E189" t="str">
        <f t="shared" si="35"/>
        <v>动态</v>
      </c>
      <c r="F189" t="str">
        <f ca="1">IF(AND(ISNUMBER($F$639),$B$419=1),$F$639,HLOOKUP(INDIRECT(ADDRESS(2,COLUMN())),OFFSET($BN$2,0,0,ROW()-1,60),ROW()-1,FALSE))</f>
        <v/>
      </c>
      <c r="G189" t="str">
        <f ca="1">IF(AND(ISNUMBER($G$639),$B$419=1),$G$639,HLOOKUP(INDIRECT(ADDRESS(2,COLUMN())),OFFSET($BN$2,0,0,ROW()-1,60),ROW()-1,FALSE))</f>
        <v/>
      </c>
      <c r="H189" t="str">
        <f ca="1">IF(AND(ISNUMBER($H$639),$B$419=1),$H$639,HLOOKUP(INDIRECT(ADDRESS(2,COLUMN())),OFFSET($BN$2,0,0,ROW()-1,60),ROW()-1,FALSE))</f>
        <v/>
      </c>
      <c r="I189" t="str">
        <f ca="1">IF(AND(ISNUMBER($I$639),$B$419=1),$I$639,HLOOKUP(INDIRECT(ADDRESS(2,COLUMN())),OFFSET($BN$2,0,0,ROW()-1,60),ROW()-1,FALSE))</f>
        <v/>
      </c>
      <c r="J189" t="str">
        <f ca="1">IF(AND(ISNUMBER($J$639),$B$419=1),$J$639,HLOOKUP(INDIRECT(ADDRESS(2,COLUMN())),OFFSET($BN$2,0,0,ROW()-1,60),ROW()-1,FALSE))</f>
        <v/>
      </c>
      <c r="K189" t="str">
        <f ca="1">IF(AND(ISNUMBER($K$639),$B$419=1),$K$639,HLOOKUP(INDIRECT(ADDRESS(2,COLUMN())),OFFSET($BN$2,0,0,ROW()-1,60),ROW()-1,FALSE))</f>
        <v/>
      </c>
      <c r="L189" t="str">
        <f ca="1">IF(AND(ISNUMBER($L$639),$B$419=1),$L$639,HLOOKUP(INDIRECT(ADDRESS(2,COLUMN())),OFFSET($BN$2,0,0,ROW()-1,60),ROW()-1,FALSE))</f>
        <v/>
      </c>
      <c r="M189" t="str">
        <f ca="1">IF(AND(ISNUMBER($M$639),$B$419=1),$M$639,HLOOKUP(INDIRECT(ADDRESS(2,COLUMN())),OFFSET($BN$2,0,0,ROW()-1,60),ROW()-1,FALSE))</f>
        <v/>
      </c>
      <c r="N189" t="str">
        <f ca="1">IF(AND(ISNUMBER($N$639),$B$419=1),$N$639,HLOOKUP(INDIRECT(ADDRESS(2,COLUMN())),OFFSET($BN$2,0,0,ROW()-1,60),ROW()-1,FALSE))</f>
        <v/>
      </c>
      <c r="O189" t="str">
        <f ca="1">IF(AND(ISNUMBER($O$639),$B$419=1),$O$639,HLOOKUP(INDIRECT(ADDRESS(2,COLUMN())),OFFSET($BN$2,0,0,ROW()-1,60),ROW()-1,FALSE))</f>
        <v/>
      </c>
      <c r="P189" t="str">
        <f ca="1">IF(AND(ISNUMBER($P$639),$B$419=1),$P$639,HLOOKUP(INDIRECT(ADDRESS(2,COLUMN())),OFFSET($BN$2,0,0,ROW()-1,60),ROW()-1,FALSE))</f>
        <v/>
      </c>
      <c r="Q189" t="str">
        <f ca="1">IF(AND(ISNUMBER($Q$639),$B$419=1),$Q$639,HLOOKUP(INDIRECT(ADDRESS(2,COLUMN())),OFFSET($BN$2,0,0,ROW()-1,60),ROW()-1,FALSE))</f>
        <v/>
      </c>
      <c r="R189" t="str">
        <f ca="1">IF(AND(ISNUMBER($R$639),$B$419=1),$R$639,HLOOKUP(INDIRECT(ADDRESS(2,COLUMN())),OFFSET($BN$2,0,0,ROW()-1,60),ROW()-1,FALSE))</f>
        <v/>
      </c>
      <c r="S189" t="str">
        <f ca="1">IF(AND(ISNUMBER($S$639),$B$419=1),$S$639,HLOOKUP(INDIRECT(ADDRESS(2,COLUMN())),OFFSET($BN$2,0,0,ROW()-1,60),ROW()-1,FALSE))</f>
        <v/>
      </c>
      <c r="T189" t="str">
        <f ca="1">IF(AND(ISNUMBER($T$639),$B$419=1),$T$639,HLOOKUP(INDIRECT(ADDRESS(2,COLUMN())),OFFSET($BN$2,0,0,ROW()-1,60),ROW()-1,FALSE))</f>
        <v/>
      </c>
      <c r="U189" t="str">
        <f ca="1">IF(AND(ISNUMBER($U$639),$B$419=1),$U$639,HLOOKUP(INDIRECT(ADDRESS(2,COLUMN())),OFFSET($BN$2,0,0,ROW()-1,60),ROW()-1,FALSE))</f>
        <v/>
      </c>
      <c r="V189" t="str">
        <f ca="1">IF(AND(ISNUMBER($V$639),$B$419=1),$V$639,HLOOKUP(INDIRECT(ADDRESS(2,COLUMN())),OFFSET($BN$2,0,0,ROW()-1,60),ROW()-1,FALSE))</f>
        <v/>
      </c>
      <c r="W189" t="str">
        <f ca="1">IF(AND(ISNUMBER($W$639),$B$419=1),$W$639,HLOOKUP(INDIRECT(ADDRESS(2,COLUMN())),OFFSET($BN$2,0,0,ROW()-1,60),ROW()-1,FALSE))</f>
        <v/>
      </c>
      <c r="X189" t="str">
        <f ca="1">IF(AND(ISNUMBER($X$639),$B$419=1),$X$639,HLOOKUP(INDIRECT(ADDRESS(2,COLUMN())),OFFSET($BN$2,0,0,ROW()-1,60),ROW()-1,FALSE))</f>
        <v/>
      </c>
      <c r="Y189" t="str">
        <f ca="1">IF(AND(ISNUMBER($Y$639),$B$419=1),$Y$639,HLOOKUP(INDIRECT(ADDRESS(2,COLUMN())),OFFSET($BN$2,0,0,ROW()-1,60),ROW()-1,FALSE))</f>
        <v/>
      </c>
      <c r="Z189" t="str">
        <f ca="1">IF(AND(ISNUMBER($Z$639),$B$419=1),$Z$639,HLOOKUP(INDIRECT(ADDRESS(2,COLUMN())),OFFSET($BN$2,0,0,ROW()-1,60),ROW()-1,FALSE))</f>
        <v/>
      </c>
      <c r="AA189" t="str">
        <f ca="1">IF(AND(ISNUMBER($AA$639),$B$419=1),$AA$639,HLOOKUP(INDIRECT(ADDRESS(2,COLUMN())),OFFSET($BN$2,0,0,ROW()-1,60),ROW()-1,FALSE))</f>
        <v/>
      </c>
      <c r="AB189" t="str">
        <f ca="1">IF(AND(ISNUMBER($AB$639),$B$419=1),$AB$639,HLOOKUP(INDIRECT(ADDRESS(2,COLUMN())),OFFSET($BN$2,0,0,ROW()-1,60),ROW()-1,FALSE))</f>
        <v/>
      </c>
      <c r="AC189" t="str">
        <f ca="1">IF(AND(ISNUMBER($AC$639),$B$419=1),$AC$639,HLOOKUP(INDIRECT(ADDRESS(2,COLUMN())),OFFSET($BN$2,0,0,ROW()-1,60),ROW()-1,FALSE))</f>
        <v/>
      </c>
      <c r="AD189" t="str">
        <f ca="1">IF(AND(ISNUMBER($AD$639),$B$419=1),$AD$639,HLOOKUP(INDIRECT(ADDRESS(2,COLUMN())),OFFSET($BN$2,0,0,ROW()-1,60),ROW()-1,FALSE))</f>
        <v/>
      </c>
      <c r="AE189" t="str">
        <f ca="1">IF(AND(ISNUMBER($AE$639),$B$419=1),$AE$639,HLOOKUP(INDIRECT(ADDRESS(2,COLUMN())),OFFSET($BN$2,0,0,ROW()-1,60),ROW()-1,FALSE))</f>
        <v/>
      </c>
      <c r="AF189" t="str">
        <f ca="1">IF(AND(ISNUMBER($AF$639),$B$419=1),$AF$639,HLOOKUP(INDIRECT(ADDRESS(2,COLUMN())),OFFSET($BN$2,0,0,ROW()-1,60),ROW()-1,FALSE))</f>
        <v/>
      </c>
      <c r="AG189" t="str">
        <f ca="1">IF(AND(ISNUMBER($AG$639),$B$419=1),$AG$639,HLOOKUP(INDIRECT(ADDRESS(2,COLUMN())),OFFSET($BN$2,0,0,ROW()-1,60),ROW()-1,FALSE))</f>
        <v/>
      </c>
      <c r="AH189" t="str">
        <f ca="1">IF(AND(ISNUMBER($AH$639),$B$419=1),$AH$639,HLOOKUP(INDIRECT(ADDRESS(2,COLUMN())),OFFSET($BN$2,0,0,ROW()-1,60),ROW()-1,FALSE))</f>
        <v/>
      </c>
      <c r="AI189" t="str">
        <f ca="1">IF(AND(ISNUMBER($AI$639),$B$419=1),$AI$639,HLOOKUP(INDIRECT(ADDRESS(2,COLUMN())),OFFSET($BN$2,0,0,ROW()-1,60),ROW()-1,FALSE))</f>
        <v/>
      </c>
      <c r="AJ189" t="str">
        <f ca="1">IF(AND(ISNUMBER($AJ$639),$B$419=1),$AJ$639,HLOOKUP(INDIRECT(ADDRESS(2,COLUMN())),OFFSET($BN$2,0,0,ROW()-1,60),ROW()-1,FALSE))</f>
        <v/>
      </c>
      <c r="AK189" t="str">
        <f ca="1">IF(AND(ISNUMBER($AK$639),$B$419=1),$AK$639,HLOOKUP(INDIRECT(ADDRESS(2,COLUMN())),OFFSET($BN$2,0,0,ROW()-1,60),ROW()-1,FALSE))</f>
        <v/>
      </c>
      <c r="AL189" t="str">
        <f ca="1">IF(AND(ISNUMBER($AL$639),$B$419=1),$AL$639,HLOOKUP(INDIRECT(ADDRESS(2,COLUMN())),OFFSET($BN$2,0,0,ROW()-1,60),ROW()-1,FALSE))</f>
        <v/>
      </c>
      <c r="AM189" t="str">
        <f ca="1">IF(AND(ISNUMBER($AM$639),$B$419=1),$AM$639,HLOOKUP(INDIRECT(ADDRESS(2,COLUMN())),OFFSET($BN$2,0,0,ROW()-1,60),ROW()-1,FALSE))</f>
        <v/>
      </c>
      <c r="AN189" t="str">
        <f ca="1">IF(AND(ISNUMBER($AN$639),$B$419=1),$AN$639,HLOOKUP(INDIRECT(ADDRESS(2,COLUMN())),OFFSET($BN$2,0,0,ROW()-1,60),ROW()-1,FALSE))</f>
        <v/>
      </c>
      <c r="AO189" t="str">
        <f ca="1">IF(AND(ISNUMBER($AO$639),$B$419=1),$AO$639,HLOOKUP(INDIRECT(ADDRESS(2,COLUMN())),OFFSET($BN$2,0,0,ROW()-1,60),ROW()-1,FALSE))</f>
        <v/>
      </c>
      <c r="AP189" t="str">
        <f ca="1">IF(AND(ISNUMBER($AP$639),$B$419=1),$AP$639,HLOOKUP(INDIRECT(ADDRESS(2,COLUMN())),OFFSET($BN$2,0,0,ROW()-1,60),ROW()-1,FALSE))</f>
        <v/>
      </c>
      <c r="AQ189" t="str">
        <f ca="1">IF(AND(ISNUMBER($AQ$639),$B$419=1),$AQ$639,HLOOKUP(INDIRECT(ADDRESS(2,COLUMN())),OFFSET($BN$2,0,0,ROW()-1,60),ROW()-1,FALSE))</f>
        <v/>
      </c>
      <c r="AR189" t="str">
        <f ca="1">IF(AND(ISNUMBER($AR$639),$B$419=1),$AR$639,HLOOKUP(INDIRECT(ADDRESS(2,COLUMN())),OFFSET($BN$2,0,0,ROW()-1,60),ROW()-1,FALSE))</f>
        <v/>
      </c>
      <c r="AS189" t="str">
        <f ca="1">IF(AND(ISNUMBER($AS$639),$B$419=1),$AS$639,HLOOKUP(INDIRECT(ADDRESS(2,COLUMN())),OFFSET($BN$2,0,0,ROW()-1,60),ROW()-1,FALSE))</f>
        <v/>
      </c>
      <c r="AT189" t="str">
        <f ca="1">IF(AND(ISNUMBER($AT$639),$B$419=1),$AT$639,HLOOKUP(INDIRECT(ADDRESS(2,COLUMN())),OFFSET($BN$2,0,0,ROW()-1,60),ROW()-1,FALSE))</f>
        <v/>
      </c>
      <c r="AU189" t="str">
        <f ca="1">IF(AND(ISNUMBER($AU$639),$B$419=1),$AU$639,HLOOKUP(INDIRECT(ADDRESS(2,COLUMN())),OFFSET($BN$2,0,0,ROW()-1,60),ROW()-1,FALSE))</f>
        <v/>
      </c>
      <c r="AV189" t="str">
        <f ca="1">IF(AND(ISNUMBER($AV$639),$B$419=1),$AV$639,HLOOKUP(INDIRECT(ADDRESS(2,COLUMN())),OFFSET($BN$2,0,0,ROW()-1,60),ROW()-1,FALSE))</f>
        <v/>
      </c>
      <c r="AW189" t="str">
        <f ca="1">IF(AND(ISNUMBER($AW$639),$B$419=1),$AW$639,HLOOKUP(INDIRECT(ADDRESS(2,COLUMN())),OFFSET($BN$2,0,0,ROW()-1,60),ROW()-1,FALSE))</f>
        <v/>
      </c>
      <c r="AX189" t="str">
        <f ca="1">IF(AND(ISNUMBER($AX$639),$B$419=1),$AX$639,HLOOKUP(INDIRECT(ADDRESS(2,COLUMN())),OFFSET($BN$2,0,0,ROW()-1,60),ROW()-1,FALSE))</f>
        <v/>
      </c>
      <c r="AY189" t="str">
        <f ca="1">IF(AND(ISNUMBER($AY$639),$B$419=1),$AY$639,HLOOKUP(INDIRECT(ADDRESS(2,COLUMN())),OFFSET($BN$2,0,0,ROW()-1,60),ROW()-1,FALSE))</f>
        <v/>
      </c>
      <c r="AZ189" t="str">
        <f ca="1">IF(AND(ISNUMBER($AZ$639),$B$419=1),$AZ$639,HLOOKUP(INDIRECT(ADDRESS(2,COLUMN())),OFFSET($BN$2,0,0,ROW()-1,60),ROW()-1,FALSE))</f>
        <v/>
      </c>
      <c r="BA189" t="str">
        <f ca="1">IF(AND(ISNUMBER($BA$639),$B$419=1),$BA$639,HLOOKUP(INDIRECT(ADDRESS(2,COLUMN())),OFFSET($BN$2,0,0,ROW()-1,60),ROW()-1,FALSE))</f>
        <v/>
      </c>
      <c r="BB189" t="str">
        <f ca="1">IF(AND(ISNUMBER($BB$639),$B$419=1),$BB$639,HLOOKUP(INDIRECT(ADDRESS(2,COLUMN())),OFFSET($BN$2,0,0,ROW()-1,60),ROW()-1,FALSE))</f>
        <v/>
      </c>
      <c r="BC189" t="str">
        <f ca="1">IF(AND(ISNUMBER($BC$639),$B$419=1),$BC$639,HLOOKUP(INDIRECT(ADDRESS(2,COLUMN())),OFFSET($BN$2,0,0,ROW()-1,60),ROW()-1,FALSE))</f>
        <v/>
      </c>
      <c r="BD189" t="str">
        <f ca="1">IF(AND(ISNUMBER($BD$639),$B$419=1),$BD$639,HLOOKUP(INDIRECT(ADDRESS(2,COLUMN())),OFFSET($BN$2,0,0,ROW()-1,60),ROW()-1,FALSE))</f>
        <v/>
      </c>
      <c r="BE189" t="str">
        <f ca="1">IF(AND(ISNUMBER($BE$639),$B$419=1),$BE$639,HLOOKUP(INDIRECT(ADDRESS(2,COLUMN())),OFFSET($BN$2,0,0,ROW()-1,60),ROW()-1,FALSE))</f>
        <v/>
      </c>
      <c r="BF189" t="str">
        <f ca="1">IF(AND(ISNUMBER($BF$639),$B$419=1),$BF$639,HLOOKUP(INDIRECT(ADDRESS(2,COLUMN())),OFFSET($BN$2,0,0,ROW()-1,60),ROW()-1,FALSE))</f>
        <v/>
      </c>
      <c r="BG189" t="str">
        <f ca="1">IF(AND(ISNUMBER($BG$639),$B$419=1),$BG$639,HLOOKUP(INDIRECT(ADDRESS(2,COLUMN())),OFFSET($BN$2,0,0,ROW()-1,60),ROW()-1,FALSE))</f>
        <v/>
      </c>
      <c r="BH189" t="str">
        <f ca="1">IF(AND(ISNUMBER($BH$639),$B$419=1),$BH$639,HLOOKUP(INDIRECT(ADDRESS(2,COLUMN())),OFFSET($BN$2,0,0,ROW()-1,60),ROW()-1,FALSE))</f>
        <v/>
      </c>
      <c r="BI189" t="str">
        <f ca="1">IF(AND(ISNUMBER($BI$639),$B$419=1),$BI$639,HLOOKUP(INDIRECT(ADDRESS(2,COLUMN())),OFFSET($BN$2,0,0,ROW()-1,60),ROW()-1,FALSE))</f>
        <v/>
      </c>
      <c r="BJ189" t="str">
        <f ca="1">IF(AND(ISNUMBER($BJ$639),$B$419=1),$BJ$639,HLOOKUP(INDIRECT(ADDRESS(2,COLUMN())),OFFSET($BN$2,0,0,ROW()-1,60),ROW()-1,FALSE))</f>
        <v/>
      </c>
      <c r="BK189" t="str">
        <f ca="1">IF(AND(ISNUMBER($BK$639),$B$419=1),$BK$639,HLOOKUP(INDIRECT(ADDRESS(2,COLUMN())),OFFSET($BN$2,0,0,ROW()-1,60),ROW()-1,FALSE))</f>
        <v/>
      </c>
      <c r="BL189" t="str">
        <f ca="1">IF(AND(ISNUMBER($BL$639),$B$419=1),$BL$639,HLOOKUP(INDIRECT(ADDRESS(2,COLUMN())),OFFSET($BN$2,0,0,ROW()-1,60),ROW()-1,FALSE))</f>
        <v/>
      </c>
      <c r="BM189" t="str">
        <f ca="1">IF(AND(ISNUMBER($BM$639),$B$419=1),$BM$639,HLOOKUP(INDIRECT(ADDRESS(2,COLUMN())),OFFSET($BN$2,0,0,ROW()-1,60),ROW()-1,FALSE))</f>
        <v/>
      </c>
      <c r="BN189" t="str">
        <f>""</f>
        <v/>
      </c>
      <c r="BO189" t="str">
        <f>""</f>
        <v/>
      </c>
      <c r="BP189" t="str">
        <f>""</f>
        <v/>
      </c>
      <c r="BQ189" t="str">
        <f>""</f>
        <v/>
      </c>
      <c r="BR189" t="str">
        <f>""</f>
        <v/>
      </c>
      <c r="BS189" t="str">
        <f>""</f>
        <v/>
      </c>
      <c r="BT189" t="str">
        <f>""</f>
        <v/>
      </c>
      <c r="BU189" t="str">
        <f>""</f>
        <v/>
      </c>
      <c r="BV189" t="str">
        <f>""</f>
        <v/>
      </c>
      <c r="BW189" t="str">
        <f>""</f>
        <v/>
      </c>
      <c r="BX189" t="str">
        <f>""</f>
        <v/>
      </c>
      <c r="BY189" t="str">
        <f>""</f>
        <v/>
      </c>
      <c r="BZ189" t="str">
        <f>""</f>
        <v/>
      </c>
      <c r="CA189" t="str">
        <f>""</f>
        <v/>
      </c>
      <c r="CB189" t="str">
        <f>""</f>
        <v/>
      </c>
      <c r="CC189" t="str">
        <f>""</f>
        <v/>
      </c>
      <c r="CD189" t="str">
        <f>""</f>
        <v/>
      </c>
      <c r="CE189" t="str">
        <f>""</f>
        <v/>
      </c>
      <c r="CF189" t="str">
        <f>""</f>
        <v/>
      </c>
      <c r="CG189" t="str">
        <f>""</f>
        <v/>
      </c>
      <c r="CH189" t="str">
        <f>""</f>
        <v/>
      </c>
      <c r="CI189" t="str">
        <f>""</f>
        <v/>
      </c>
      <c r="CJ189" t="str">
        <f>""</f>
        <v/>
      </c>
      <c r="CK189" t="str">
        <f>""</f>
        <v/>
      </c>
      <c r="CL189" t="str">
        <f>""</f>
        <v/>
      </c>
      <c r="CM189" t="str">
        <f>""</f>
        <v/>
      </c>
      <c r="CN189" t="str">
        <f>""</f>
        <v/>
      </c>
      <c r="CO189" t="str">
        <f>""</f>
        <v/>
      </c>
      <c r="CP189" t="str">
        <f>""</f>
        <v/>
      </c>
      <c r="CQ189" t="str">
        <f>""</f>
        <v/>
      </c>
      <c r="CR189" t="str">
        <f>""</f>
        <v/>
      </c>
      <c r="CS189" t="str">
        <f>""</f>
        <v/>
      </c>
      <c r="CT189" t="str">
        <f>""</f>
        <v/>
      </c>
      <c r="CU189" t="str">
        <f>""</f>
        <v/>
      </c>
      <c r="CV189" t="str">
        <f>""</f>
        <v/>
      </c>
      <c r="CW189" t="str">
        <f>""</f>
        <v/>
      </c>
      <c r="CX189" t="str">
        <f>""</f>
        <v/>
      </c>
      <c r="CY189" t="str">
        <f>""</f>
        <v/>
      </c>
      <c r="CZ189" t="str">
        <f>""</f>
        <v/>
      </c>
      <c r="DA189" t="str">
        <f>""</f>
        <v/>
      </c>
      <c r="DB189" t="str">
        <f>""</f>
        <v/>
      </c>
      <c r="DC189" t="str">
        <f>""</f>
        <v/>
      </c>
      <c r="DD189" t="str">
        <f>""</f>
        <v/>
      </c>
      <c r="DE189" t="str">
        <f>""</f>
        <v/>
      </c>
      <c r="DF189" t="str">
        <f>""</f>
        <v/>
      </c>
      <c r="DG189" t="str">
        <f>""</f>
        <v/>
      </c>
      <c r="DH189" t="str">
        <f>""</f>
        <v/>
      </c>
      <c r="DI189" t="str">
        <f>""</f>
        <v/>
      </c>
      <c r="DJ189" t="str">
        <f>""</f>
        <v/>
      </c>
      <c r="DK189" t="str">
        <f>""</f>
        <v/>
      </c>
      <c r="DL189" t="str">
        <f>""</f>
        <v/>
      </c>
      <c r="DM189" t="str">
        <f>""</f>
        <v/>
      </c>
      <c r="DN189" t="str">
        <f>""</f>
        <v/>
      </c>
      <c r="DO189" t="str">
        <f>""</f>
        <v/>
      </c>
      <c r="DP189" t="str">
        <f>""</f>
        <v/>
      </c>
      <c r="DQ189" t="str">
        <f>""</f>
        <v/>
      </c>
      <c r="DR189" t="str">
        <f>""</f>
        <v/>
      </c>
      <c r="DS189" t="str">
        <f>""</f>
        <v/>
      </c>
      <c r="DT189" t="str">
        <f>""</f>
        <v/>
      </c>
      <c r="DU189" t="str">
        <f>""</f>
        <v/>
      </c>
    </row>
    <row r="190" spans="1:125">
      <c r="A190" t="str">
        <f>"    Retail Properties of America I"</f>
        <v xml:space="preserve">    Retail Properties of America I</v>
      </c>
      <c r="B190" t="str">
        <f>"RPAI US Equity"</f>
        <v>RPAI US Equity</v>
      </c>
      <c r="C190" t="str">
        <f t="shared" si="33"/>
        <v>BE592</v>
      </c>
      <c r="D190" t="str">
        <f t="shared" si="34"/>
        <v>BEST_FFOPS_YOY_GTH</v>
      </c>
      <c r="E190" t="str">
        <f t="shared" si="35"/>
        <v>动态</v>
      </c>
      <c r="F190" t="str">
        <f ca="1">IF(AND(ISNUMBER($F$640),$B$419=1),$F$640,HLOOKUP(INDIRECT(ADDRESS(2,COLUMN())),OFFSET($BN$2,0,0,ROW()-1,60),ROW()-1,FALSE))</f>
        <v/>
      </c>
      <c r="G190" t="str">
        <f ca="1">IF(AND(ISNUMBER($G$640),$B$419=1),$G$640,HLOOKUP(INDIRECT(ADDRESS(2,COLUMN())),OFFSET($BN$2,0,0,ROW()-1,60),ROW()-1,FALSE))</f>
        <v/>
      </c>
      <c r="H190" t="str">
        <f ca="1">IF(AND(ISNUMBER($H$640),$B$419=1),$H$640,HLOOKUP(INDIRECT(ADDRESS(2,COLUMN())),OFFSET($BN$2,0,0,ROW()-1,60),ROW()-1,FALSE))</f>
        <v/>
      </c>
      <c r="I190" t="str">
        <f ca="1">IF(AND(ISNUMBER($I$640),$B$419=1),$I$640,HLOOKUP(INDIRECT(ADDRESS(2,COLUMN())),OFFSET($BN$2,0,0,ROW()-1,60),ROW()-1,FALSE))</f>
        <v/>
      </c>
      <c r="J190" t="str">
        <f ca="1">IF(AND(ISNUMBER($J$640),$B$419=1),$J$640,HLOOKUP(INDIRECT(ADDRESS(2,COLUMN())),OFFSET($BN$2,0,0,ROW()-1,60),ROW()-1,FALSE))</f>
        <v/>
      </c>
      <c r="K190" t="str">
        <f ca="1">IF(AND(ISNUMBER($K$640),$B$419=1),$K$640,HLOOKUP(INDIRECT(ADDRESS(2,COLUMN())),OFFSET($BN$2,0,0,ROW()-1,60),ROW()-1,FALSE))</f>
        <v/>
      </c>
      <c r="L190" t="str">
        <f ca="1">IF(AND(ISNUMBER($L$640),$B$419=1),$L$640,HLOOKUP(INDIRECT(ADDRESS(2,COLUMN())),OFFSET($BN$2,0,0,ROW()-1,60),ROW()-1,FALSE))</f>
        <v/>
      </c>
      <c r="M190" t="str">
        <f ca="1">IF(AND(ISNUMBER($M$640),$B$419=1),$M$640,HLOOKUP(INDIRECT(ADDRESS(2,COLUMN())),OFFSET($BN$2,0,0,ROW()-1,60),ROW()-1,FALSE))</f>
        <v/>
      </c>
      <c r="N190" t="str">
        <f ca="1">IF(AND(ISNUMBER($N$640),$B$419=1),$N$640,HLOOKUP(INDIRECT(ADDRESS(2,COLUMN())),OFFSET($BN$2,0,0,ROW()-1,60),ROW()-1,FALSE))</f>
        <v/>
      </c>
      <c r="O190" t="str">
        <f ca="1">IF(AND(ISNUMBER($O$640),$B$419=1),$O$640,HLOOKUP(INDIRECT(ADDRESS(2,COLUMN())),OFFSET($BN$2,0,0,ROW()-1,60),ROW()-1,FALSE))</f>
        <v/>
      </c>
      <c r="P190" t="str">
        <f ca="1">IF(AND(ISNUMBER($P$640),$B$419=1),$P$640,HLOOKUP(INDIRECT(ADDRESS(2,COLUMN())),OFFSET($BN$2,0,0,ROW()-1,60),ROW()-1,FALSE))</f>
        <v/>
      </c>
      <c r="Q190" t="str">
        <f ca="1">IF(AND(ISNUMBER($Q$640),$B$419=1),$Q$640,HLOOKUP(INDIRECT(ADDRESS(2,COLUMN())),OFFSET($BN$2,0,0,ROW()-1,60),ROW()-1,FALSE))</f>
        <v/>
      </c>
      <c r="R190" t="str">
        <f ca="1">IF(AND(ISNUMBER($R$640),$B$419=1),$R$640,HLOOKUP(INDIRECT(ADDRESS(2,COLUMN())),OFFSET($BN$2,0,0,ROW()-1,60),ROW()-1,FALSE))</f>
        <v/>
      </c>
      <c r="S190" t="str">
        <f ca="1">IF(AND(ISNUMBER($S$640),$B$419=1),$S$640,HLOOKUP(INDIRECT(ADDRESS(2,COLUMN())),OFFSET($BN$2,0,0,ROW()-1,60),ROW()-1,FALSE))</f>
        <v/>
      </c>
      <c r="T190" t="str">
        <f ca="1">IF(AND(ISNUMBER($T$640),$B$419=1),$T$640,HLOOKUP(INDIRECT(ADDRESS(2,COLUMN())),OFFSET($BN$2,0,0,ROW()-1,60),ROW()-1,FALSE))</f>
        <v/>
      </c>
      <c r="U190" t="str">
        <f ca="1">IF(AND(ISNUMBER($U$640),$B$419=1),$U$640,HLOOKUP(INDIRECT(ADDRESS(2,COLUMN())),OFFSET($BN$2,0,0,ROW()-1,60),ROW()-1,FALSE))</f>
        <v/>
      </c>
      <c r="V190" t="str">
        <f ca="1">IF(AND(ISNUMBER($V$640),$B$419=1),$V$640,HLOOKUP(INDIRECT(ADDRESS(2,COLUMN())),OFFSET($BN$2,0,0,ROW()-1,60),ROW()-1,FALSE))</f>
        <v/>
      </c>
      <c r="W190" t="str">
        <f ca="1">IF(AND(ISNUMBER($W$640),$B$419=1),$W$640,HLOOKUP(INDIRECT(ADDRESS(2,COLUMN())),OFFSET($BN$2,0,0,ROW()-1,60),ROW()-1,FALSE))</f>
        <v/>
      </c>
      <c r="X190" t="str">
        <f ca="1">IF(AND(ISNUMBER($X$640),$B$419=1),$X$640,HLOOKUP(INDIRECT(ADDRESS(2,COLUMN())),OFFSET($BN$2,0,0,ROW()-1,60),ROW()-1,FALSE))</f>
        <v/>
      </c>
      <c r="Y190" t="str">
        <f ca="1">IF(AND(ISNUMBER($Y$640),$B$419=1),$Y$640,HLOOKUP(INDIRECT(ADDRESS(2,COLUMN())),OFFSET($BN$2,0,0,ROW()-1,60),ROW()-1,FALSE))</f>
        <v/>
      </c>
      <c r="Z190" t="str">
        <f ca="1">IF(AND(ISNUMBER($Z$640),$B$419=1),$Z$640,HLOOKUP(INDIRECT(ADDRESS(2,COLUMN())),OFFSET($BN$2,0,0,ROW()-1,60),ROW()-1,FALSE))</f>
        <v/>
      </c>
      <c r="AA190" t="str">
        <f ca="1">IF(AND(ISNUMBER($AA$640),$B$419=1),$AA$640,HLOOKUP(INDIRECT(ADDRESS(2,COLUMN())),OFFSET($BN$2,0,0,ROW()-1,60),ROW()-1,FALSE))</f>
        <v/>
      </c>
      <c r="AB190" t="str">
        <f ca="1">IF(AND(ISNUMBER($AB$640),$B$419=1),$AB$640,HLOOKUP(INDIRECT(ADDRESS(2,COLUMN())),OFFSET($BN$2,0,0,ROW()-1,60),ROW()-1,FALSE))</f>
        <v/>
      </c>
      <c r="AC190" t="str">
        <f ca="1">IF(AND(ISNUMBER($AC$640),$B$419=1),$AC$640,HLOOKUP(INDIRECT(ADDRESS(2,COLUMN())),OFFSET($BN$2,0,0,ROW()-1,60),ROW()-1,FALSE))</f>
        <v/>
      </c>
      <c r="AD190" t="str">
        <f ca="1">IF(AND(ISNUMBER($AD$640),$B$419=1),$AD$640,HLOOKUP(INDIRECT(ADDRESS(2,COLUMN())),OFFSET($BN$2,0,0,ROW()-1,60),ROW()-1,FALSE))</f>
        <v/>
      </c>
      <c r="AE190" t="str">
        <f ca="1">IF(AND(ISNUMBER($AE$640),$B$419=1),$AE$640,HLOOKUP(INDIRECT(ADDRESS(2,COLUMN())),OFFSET($BN$2,0,0,ROW()-1,60),ROW()-1,FALSE))</f>
        <v/>
      </c>
      <c r="AF190" t="str">
        <f ca="1">IF(AND(ISNUMBER($AF$640),$B$419=1),$AF$640,HLOOKUP(INDIRECT(ADDRESS(2,COLUMN())),OFFSET($BN$2,0,0,ROW()-1,60),ROW()-1,FALSE))</f>
        <v/>
      </c>
      <c r="AG190" t="str">
        <f ca="1">IF(AND(ISNUMBER($AG$640),$B$419=1),$AG$640,HLOOKUP(INDIRECT(ADDRESS(2,COLUMN())),OFFSET($BN$2,0,0,ROW()-1,60),ROW()-1,FALSE))</f>
        <v/>
      </c>
      <c r="AH190" t="str">
        <f ca="1">IF(AND(ISNUMBER($AH$640),$B$419=1),$AH$640,HLOOKUP(INDIRECT(ADDRESS(2,COLUMN())),OFFSET($BN$2,0,0,ROW()-1,60),ROW()-1,FALSE))</f>
        <v/>
      </c>
      <c r="AI190" t="str">
        <f ca="1">IF(AND(ISNUMBER($AI$640),$B$419=1),$AI$640,HLOOKUP(INDIRECT(ADDRESS(2,COLUMN())),OFFSET($BN$2,0,0,ROW()-1,60),ROW()-1,FALSE))</f>
        <v/>
      </c>
      <c r="AJ190" t="str">
        <f ca="1">IF(AND(ISNUMBER($AJ$640),$B$419=1),$AJ$640,HLOOKUP(INDIRECT(ADDRESS(2,COLUMN())),OFFSET($BN$2,0,0,ROW()-1,60),ROW()-1,FALSE))</f>
        <v/>
      </c>
      <c r="AK190" t="str">
        <f ca="1">IF(AND(ISNUMBER($AK$640),$B$419=1),$AK$640,HLOOKUP(INDIRECT(ADDRESS(2,COLUMN())),OFFSET($BN$2,0,0,ROW()-1,60),ROW()-1,FALSE))</f>
        <v/>
      </c>
      <c r="AL190" t="str">
        <f ca="1">IF(AND(ISNUMBER($AL$640),$B$419=1),$AL$640,HLOOKUP(INDIRECT(ADDRESS(2,COLUMN())),OFFSET($BN$2,0,0,ROW()-1,60),ROW()-1,FALSE))</f>
        <v/>
      </c>
      <c r="AM190" t="str">
        <f ca="1">IF(AND(ISNUMBER($AM$640),$B$419=1),$AM$640,HLOOKUP(INDIRECT(ADDRESS(2,COLUMN())),OFFSET($BN$2,0,0,ROW()-1,60),ROW()-1,FALSE))</f>
        <v/>
      </c>
      <c r="AN190" t="str">
        <f ca="1">IF(AND(ISNUMBER($AN$640),$B$419=1),$AN$640,HLOOKUP(INDIRECT(ADDRESS(2,COLUMN())),OFFSET($BN$2,0,0,ROW()-1,60),ROW()-1,FALSE))</f>
        <v/>
      </c>
      <c r="AO190" t="str">
        <f ca="1">IF(AND(ISNUMBER($AO$640),$B$419=1),$AO$640,HLOOKUP(INDIRECT(ADDRESS(2,COLUMN())),OFFSET($BN$2,0,0,ROW()-1,60),ROW()-1,FALSE))</f>
        <v/>
      </c>
      <c r="AP190" t="str">
        <f ca="1">IF(AND(ISNUMBER($AP$640),$B$419=1),$AP$640,HLOOKUP(INDIRECT(ADDRESS(2,COLUMN())),OFFSET($BN$2,0,0,ROW()-1,60),ROW()-1,FALSE))</f>
        <v/>
      </c>
      <c r="AQ190" t="str">
        <f ca="1">IF(AND(ISNUMBER($AQ$640),$B$419=1),$AQ$640,HLOOKUP(INDIRECT(ADDRESS(2,COLUMN())),OFFSET($BN$2,0,0,ROW()-1,60),ROW()-1,FALSE))</f>
        <v/>
      </c>
      <c r="AR190" t="str">
        <f ca="1">IF(AND(ISNUMBER($AR$640),$B$419=1),$AR$640,HLOOKUP(INDIRECT(ADDRESS(2,COLUMN())),OFFSET($BN$2,0,0,ROW()-1,60),ROW()-1,FALSE))</f>
        <v/>
      </c>
      <c r="AS190" t="str">
        <f ca="1">IF(AND(ISNUMBER($AS$640),$B$419=1),$AS$640,HLOOKUP(INDIRECT(ADDRESS(2,COLUMN())),OFFSET($BN$2,0,0,ROW()-1,60),ROW()-1,FALSE))</f>
        <v/>
      </c>
      <c r="AT190" t="str">
        <f ca="1">IF(AND(ISNUMBER($AT$640),$B$419=1),$AT$640,HLOOKUP(INDIRECT(ADDRESS(2,COLUMN())),OFFSET($BN$2,0,0,ROW()-1,60),ROW()-1,FALSE))</f>
        <v/>
      </c>
      <c r="AU190" t="str">
        <f ca="1">IF(AND(ISNUMBER($AU$640),$B$419=1),$AU$640,HLOOKUP(INDIRECT(ADDRESS(2,COLUMN())),OFFSET($BN$2,0,0,ROW()-1,60),ROW()-1,FALSE))</f>
        <v/>
      </c>
      <c r="AV190" t="str">
        <f ca="1">IF(AND(ISNUMBER($AV$640),$B$419=1),$AV$640,HLOOKUP(INDIRECT(ADDRESS(2,COLUMN())),OFFSET($BN$2,0,0,ROW()-1,60),ROW()-1,FALSE))</f>
        <v/>
      </c>
      <c r="AW190" t="str">
        <f ca="1">IF(AND(ISNUMBER($AW$640),$B$419=1),$AW$640,HLOOKUP(INDIRECT(ADDRESS(2,COLUMN())),OFFSET($BN$2,0,0,ROW()-1,60),ROW()-1,FALSE))</f>
        <v/>
      </c>
      <c r="AX190" t="str">
        <f ca="1">IF(AND(ISNUMBER($AX$640),$B$419=1),$AX$640,HLOOKUP(INDIRECT(ADDRESS(2,COLUMN())),OFFSET($BN$2,0,0,ROW()-1,60),ROW()-1,FALSE))</f>
        <v/>
      </c>
      <c r="AY190" t="str">
        <f ca="1">IF(AND(ISNUMBER($AY$640),$B$419=1),$AY$640,HLOOKUP(INDIRECT(ADDRESS(2,COLUMN())),OFFSET($BN$2,0,0,ROW()-1,60),ROW()-1,FALSE))</f>
        <v/>
      </c>
      <c r="AZ190" t="str">
        <f ca="1">IF(AND(ISNUMBER($AZ$640),$B$419=1),$AZ$640,HLOOKUP(INDIRECT(ADDRESS(2,COLUMN())),OFFSET($BN$2,0,0,ROW()-1,60),ROW()-1,FALSE))</f>
        <v/>
      </c>
      <c r="BA190" t="str">
        <f ca="1">IF(AND(ISNUMBER($BA$640),$B$419=1),$BA$640,HLOOKUP(INDIRECT(ADDRESS(2,COLUMN())),OFFSET($BN$2,0,0,ROW()-1,60),ROW()-1,FALSE))</f>
        <v/>
      </c>
      <c r="BB190" t="str">
        <f ca="1">IF(AND(ISNUMBER($BB$640),$B$419=1),$BB$640,HLOOKUP(INDIRECT(ADDRESS(2,COLUMN())),OFFSET($BN$2,0,0,ROW()-1,60),ROW()-1,FALSE))</f>
        <v/>
      </c>
      <c r="BC190" t="str">
        <f ca="1">IF(AND(ISNUMBER($BC$640),$B$419=1),$BC$640,HLOOKUP(INDIRECT(ADDRESS(2,COLUMN())),OFFSET($BN$2,0,0,ROW()-1,60),ROW()-1,FALSE))</f>
        <v/>
      </c>
      <c r="BD190" t="str">
        <f ca="1">IF(AND(ISNUMBER($BD$640),$B$419=1),$BD$640,HLOOKUP(INDIRECT(ADDRESS(2,COLUMN())),OFFSET($BN$2,0,0,ROW()-1,60),ROW()-1,FALSE))</f>
        <v/>
      </c>
      <c r="BE190" t="str">
        <f ca="1">IF(AND(ISNUMBER($BE$640),$B$419=1),$BE$640,HLOOKUP(INDIRECT(ADDRESS(2,COLUMN())),OFFSET($BN$2,0,0,ROW()-1,60),ROW()-1,FALSE))</f>
        <v/>
      </c>
      <c r="BF190" t="str">
        <f ca="1">IF(AND(ISNUMBER($BF$640),$B$419=1),$BF$640,HLOOKUP(INDIRECT(ADDRESS(2,COLUMN())),OFFSET($BN$2,0,0,ROW()-1,60),ROW()-1,FALSE))</f>
        <v/>
      </c>
      <c r="BG190" t="str">
        <f ca="1">IF(AND(ISNUMBER($BG$640),$B$419=1),$BG$640,HLOOKUP(INDIRECT(ADDRESS(2,COLUMN())),OFFSET($BN$2,0,0,ROW()-1,60),ROW()-1,FALSE))</f>
        <v/>
      </c>
      <c r="BH190" t="str">
        <f ca="1">IF(AND(ISNUMBER($BH$640),$B$419=1),$BH$640,HLOOKUP(INDIRECT(ADDRESS(2,COLUMN())),OFFSET($BN$2,0,0,ROW()-1,60),ROW()-1,FALSE))</f>
        <v/>
      </c>
      <c r="BI190" t="str">
        <f ca="1">IF(AND(ISNUMBER($BI$640),$B$419=1),$BI$640,HLOOKUP(INDIRECT(ADDRESS(2,COLUMN())),OFFSET($BN$2,0,0,ROW()-1,60),ROW()-1,FALSE))</f>
        <v/>
      </c>
      <c r="BJ190" t="str">
        <f ca="1">IF(AND(ISNUMBER($BJ$640),$B$419=1),$BJ$640,HLOOKUP(INDIRECT(ADDRESS(2,COLUMN())),OFFSET($BN$2,0,0,ROW()-1,60),ROW()-1,FALSE))</f>
        <v/>
      </c>
      <c r="BK190" t="str">
        <f ca="1">IF(AND(ISNUMBER($BK$640),$B$419=1),$BK$640,HLOOKUP(INDIRECT(ADDRESS(2,COLUMN())),OFFSET($BN$2,0,0,ROW()-1,60),ROW()-1,FALSE))</f>
        <v/>
      </c>
      <c r="BL190" t="str">
        <f ca="1">IF(AND(ISNUMBER($BL$640),$B$419=1),$BL$640,HLOOKUP(INDIRECT(ADDRESS(2,COLUMN())),OFFSET($BN$2,0,0,ROW()-1,60),ROW()-1,FALSE))</f>
        <v/>
      </c>
      <c r="BM190" t="str">
        <f ca="1">IF(AND(ISNUMBER($BM$640),$B$419=1),$BM$640,HLOOKUP(INDIRECT(ADDRESS(2,COLUMN())),OFFSET($BN$2,0,0,ROW()-1,60),ROW()-1,FALSE))</f>
        <v/>
      </c>
      <c r="BN190" t="str">
        <f>""</f>
        <v/>
      </c>
      <c r="BO190" t="str">
        <f>""</f>
        <v/>
      </c>
      <c r="BP190" t="str">
        <f>""</f>
        <v/>
      </c>
      <c r="BQ190" t="str">
        <f>""</f>
        <v/>
      </c>
      <c r="BR190" t="str">
        <f>""</f>
        <v/>
      </c>
      <c r="BS190" t="str">
        <f>""</f>
        <v/>
      </c>
      <c r="BT190" t="str">
        <f>""</f>
        <v/>
      </c>
      <c r="BU190" t="str">
        <f>""</f>
        <v/>
      </c>
      <c r="BV190" t="str">
        <f>""</f>
        <v/>
      </c>
      <c r="BW190" t="str">
        <f>""</f>
        <v/>
      </c>
      <c r="BX190" t="str">
        <f>""</f>
        <v/>
      </c>
      <c r="BY190" t="str">
        <f>""</f>
        <v/>
      </c>
      <c r="BZ190" t="str">
        <f>""</f>
        <v/>
      </c>
      <c r="CA190" t="str">
        <f>""</f>
        <v/>
      </c>
      <c r="CB190" t="str">
        <f>""</f>
        <v/>
      </c>
      <c r="CC190" t="str">
        <f>""</f>
        <v/>
      </c>
      <c r="CD190" t="str">
        <f>""</f>
        <v/>
      </c>
      <c r="CE190" t="str">
        <f>""</f>
        <v/>
      </c>
      <c r="CF190" t="str">
        <f>""</f>
        <v/>
      </c>
      <c r="CG190" t="str">
        <f>""</f>
        <v/>
      </c>
      <c r="CH190" t="str">
        <f>""</f>
        <v/>
      </c>
      <c r="CI190" t="str">
        <f>""</f>
        <v/>
      </c>
      <c r="CJ190" t="str">
        <f>""</f>
        <v/>
      </c>
      <c r="CK190" t="str">
        <f>""</f>
        <v/>
      </c>
      <c r="CL190" t="str">
        <f>""</f>
        <v/>
      </c>
      <c r="CM190" t="str">
        <f>""</f>
        <v/>
      </c>
      <c r="CN190" t="str">
        <f>""</f>
        <v/>
      </c>
      <c r="CO190" t="str">
        <f>""</f>
        <v/>
      </c>
      <c r="CP190" t="str">
        <f>""</f>
        <v/>
      </c>
      <c r="CQ190" t="str">
        <f>""</f>
        <v/>
      </c>
      <c r="CR190" t="str">
        <f>""</f>
        <v/>
      </c>
      <c r="CS190" t="str">
        <f>""</f>
        <v/>
      </c>
      <c r="CT190" t="str">
        <f>""</f>
        <v/>
      </c>
      <c r="CU190" t="str">
        <f>""</f>
        <v/>
      </c>
      <c r="CV190" t="str">
        <f>""</f>
        <v/>
      </c>
      <c r="CW190" t="str">
        <f>""</f>
        <v/>
      </c>
      <c r="CX190" t="str">
        <f>""</f>
        <v/>
      </c>
      <c r="CY190" t="str">
        <f>""</f>
        <v/>
      </c>
      <c r="CZ190" t="str">
        <f>""</f>
        <v/>
      </c>
      <c r="DA190" t="str">
        <f>""</f>
        <v/>
      </c>
      <c r="DB190" t="str">
        <f>""</f>
        <v/>
      </c>
      <c r="DC190" t="str">
        <f>""</f>
        <v/>
      </c>
      <c r="DD190" t="str">
        <f>""</f>
        <v/>
      </c>
      <c r="DE190" t="str">
        <f>""</f>
        <v/>
      </c>
      <c r="DF190" t="str">
        <f>""</f>
        <v/>
      </c>
      <c r="DG190" t="str">
        <f>""</f>
        <v/>
      </c>
      <c r="DH190" t="str">
        <f>""</f>
        <v/>
      </c>
      <c r="DI190" t="str">
        <f>""</f>
        <v/>
      </c>
      <c r="DJ190" t="str">
        <f>""</f>
        <v/>
      </c>
      <c r="DK190" t="str">
        <f>""</f>
        <v/>
      </c>
      <c r="DL190" t="str">
        <f>""</f>
        <v/>
      </c>
      <c r="DM190" t="str">
        <f>""</f>
        <v/>
      </c>
      <c r="DN190" t="str">
        <f>""</f>
        <v/>
      </c>
      <c r="DO190" t="str">
        <f>""</f>
        <v/>
      </c>
      <c r="DP190" t="str">
        <f>""</f>
        <v/>
      </c>
      <c r="DQ190" t="str">
        <f>""</f>
        <v/>
      </c>
      <c r="DR190" t="str">
        <f>""</f>
        <v/>
      </c>
      <c r="DS190" t="str">
        <f>""</f>
        <v/>
      </c>
      <c r="DT190" t="str">
        <f>""</f>
        <v/>
      </c>
      <c r="DU190" t="str">
        <f>""</f>
        <v/>
      </c>
    </row>
    <row r="191" spans="1:125">
      <c r="A191" t="str">
        <f>"    Simon Property Group Inc"</f>
        <v xml:space="preserve">    Simon Property Group Inc</v>
      </c>
      <c r="B191" t="str">
        <f>"SPG US Equity"</f>
        <v>SPG US Equity</v>
      </c>
      <c r="C191" t="str">
        <f t="shared" si="33"/>
        <v>BE592</v>
      </c>
      <c r="D191" t="str">
        <f t="shared" si="34"/>
        <v>BEST_FFOPS_YOY_GTH</v>
      </c>
      <c r="E191" t="str">
        <f t="shared" si="35"/>
        <v>动态</v>
      </c>
      <c r="F191" t="str">
        <f ca="1">IF(AND(ISNUMBER($F$641),$B$419=1),$F$641,HLOOKUP(INDIRECT(ADDRESS(2,COLUMN())),OFFSET($BN$2,0,0,ROW()-1,60),ROW()-1,FALSE))</f>
        <v/>
      </c>
      <c r="G191" t="str">
        <f ca="1">IF(AND(ISNUMBER($G$641),$B$419=1),$G$641,HLOOKUP(INDIRECT(ADDRESS(2,COLUMN())),OFFSET($BN$2,0,0,ROW()-1,60),ROW()-1,FALSE))</f>
        <v/>
      </c>
      <c r="H191" t="str">
        <f ca="1">IF(AND(ISNUMBER($H$641),$B$419=1),$H$641,HLOOKUP(INDIRECT(ADDRESS(2,COLUMN())),OFFSET($BN$2,0,0,ROW()-1,60),ROW()-1,FALSE))</f>
        <v/>
      </c>
      <c r="I191" t="str">
        <f ca="1">IF(AND(ISNUMBER($I$641),$B$419=1),$I$641,HLOOKUP(INDIRECT(ADDRESS(2,COLUMN())),OFFSET($BN$2,0,0,ROW()-1,60),ROW()-1,FALSE))</f>
        <v/>
      </c>
      <c r="J191" t="str">
        <f ca="1">IF(AND(ISNUMBER($J$641),$B$419=1),$J$641,HLOOKUP(INDIRECT(ADDRESS(2,COLUMN())),OFFSET($BN$2,0,0,ROW()-1,60),ROW()-1,FALSE))</f>
        <v/>
      </c>
      <c r="K191" t="str">
        <f ca="1">IF(AND(ISNUMBER($K$641),$B$419=1),$K$641,HLOOKUP(INDIRECT(ADDRESS(2,COLUMN())),OFFSET($BN$2,0,0,ROW()-1,60),ROW()-1,FALSE))</f>
        <v/>
      </c>
      <c r="L191" t="str">
        <f ca="1">IF(AND(ISNUMBER($L$641),$B$419=1),$L$641,HLOOKUP(INDIRECT(ADDRESS(2,COLUMN())),OFFSET($BN$2,0,0,ROW()-1,60),ROW()-1,FALSE))</f>
        <v/>
      </c>
      <c r="M191" t="str">
        <f ca="1">IF(AND(ISNUMBER($M$641),$B$419=1),$M$641,HLOOKUP(INDIRECT(ADDRESS(2,COLUMN())),OFFSET($BN$2,0,0,ROW()-1,60),ROW()-1,FALSE))</f>
        <v/>
      </c>
      <c r="N191" t="str">
        <f ca="1">IF(AND(ISNUMBER($N$641),$B$419=1),$N$641,HLOOKUP(INDIRECT(ADDRESS(2,COLUMN())),OFFSET($BN$2,0,0,ROW()-1,60),ROW()-1,FALSE))</f>
        <v/>
      </c>
      <c r="O191" t="str">
        <f ca="1">IF(AND(ISNUMBER($O$641),$B$419=1),$O$641,HLOOKUP(INDIRECT(ADDRESS(2,COLUMN())),OFFSET($BN$2,0,0,ROW()-1,60),ROW()-1,FALSE))</f>
        <v/>
      </c>
      <c r="P191" t="str">
        <f ca="1">IF(AND(ISNUMBER($P$641),$B$419=1),$P$641,HLOOKUP(INDIRECT(ADDRESS(2,COLUMN())),OFFSET($BN$2,0,0,ROW()-1,60),ROW()-1,FALSE))</f>
        <v/>
      </c>
      <c r="Q191" t="str">
        <f ca="1">IF(AND(ISNUMBER($Q$641),$B$419=1),$Q$641,HLOOKUP(INDIRECT(ADDRESS(2,COLUMN())),OFFSET($BN$2,0,0,ROW()-1,60),ROW()-1,FALSE))</f>
        <v/>
      </c>
      <c r="R191" t="str">
        <f ca="1">IF(AND(ISNUMBER($R$641),$B$419=1),$R$641,HLOOKUP(INDIRECT(ADDRESS(2,COLUMN())),OFFSET($BN$2,0,0,ROW()-1,60),ROW()-1,FALSE))</f>
        <v/>
      </c>
      <c r="S191" t="str">
        <f ca="1">IF(AND(ISNUMBER($S$641),$B$419=1),$S$641,HLOOKUP(INDIRECT(ADDRESS(2,COLUMN())),OFFSET($BN$2,0,0,ROW()-1,60),ROW()-1,FALSE))</f>
        <v/>
      </c>
      <c r="T191" t="str">
        <f ca="1">IF(AND(ISNUMBER($T$641),$B$419=1),$T$641,HLOOKUP(INDIRECT(ADDRESS(2,COLUMN())),OFFSET($BN$2,0,0,ROW()-1,60),ROW()-1,FALSE))</f>
        <v/>
      </c>
      <c r="U191" t="str">
        <f ca="1">IF(AND(ISNUMBER($U$641),$B$419=1),$U$641,HLOOKUP(INDIRECT(ADDRESS(2,COLUMN())),OFFSET($BN$2,0,0,ROW()-1,60),ROW()-1,FALSE))</f>
        <v/>
      </c>
      <c r="V191" t="str">
        <f ca="1">IF(AND(ISNUMBER($V$641),$B$419=1),$V$641,HLOOKUP(INDIRECT(ADDRESS(2,COLUMN())),OFFSET($BN$2,0,0,ROW()-1,60),ROW()-1,FALSE))</f>
        <v/>
      </c>
      <c r="W191" t="str">
        <f ca="1">IF(AND(ISNUMBER($W$641),$B$419=1),$W$641,HLOOKUP(INDIRECT(ADDRESS(2,COLUMN())),OFFSET($BN$2,0,0,ROW()-1,60),ROW()-1,FALSE))</f>
        <v/>
      </c>
      <c r="X191" t="str">
        <f ca="1">IF(AND(ISNUMBER($X$641),$B$419=1),$X$641,HLOOKUP(INDIRECT(ADDRESS(2,COLUMN())),OFFSET($BN$2,0,0,ROW()-1,60),ROW()-1,FALSE))</f>
        <v/>
      </c>
      <c r="Y191" t="str">
        <f ca="1">IF(AND(ISNUMBER($Y$641),$B$419=1),$Y$641,HLOOKUP(INDIRECT(ADDRESS(2,COLUMN())),OFFSET($BN$2,0,0,ROW()-1,60),ROW()-1,FALSE))</f>
        <v/>
      </c>
      <c r="Z191" t="str">
        <f ca="1">IF(AND(ISNUMBER($Z$641),$B$419=1),$Z$641,HLOOKUP(INDIRECT(ADDRESS(2,COLUMN())),OFFSET($BN$2,0,0,ROW()-1,60),ROW()-1,FALSE))</f>
        <v/>
      </c>
      <c r="AA191" t="str">
        <f ca="1">IF(AND(ISNUMBER($AA$641),$B$419=1),$AA$641,HLOOKUP(INDIRECT(ADDRESS(2,COLUMN())),OFFSET($BN$2,0,0,ROW()-1,60),ROW()-1,FALSE))</f>
        <v/>
      </c>
      <c r="AB191" t="str">
        <f ca="1">IF(AND(ISNUMBER($AB$641),$B$419=1),$AB$641,HLOOKUP(INDIRECT(ADDRESS(2,COLUMN())),OFFSET($BN$2,0,0,ROW()-1,60),ROW()-1,FALSE))</f>
        <v/>
      </c>
      <c r="AC191" t="str">
        <f ca="1">IF(AND(ISNUMBER($AC$641),$B$419=1),$AC$641,HLOOKUP(INDIRECT(ADDRESS(2,COLUMN())),OFFSET($BN$2,0,0,ROW()-1,60),ROW()-1,FALSE))</f>
        <v/>
      </c>
      <c r="AD191" t="str">
        <f ca="1">IF(AND(ISNUMBER($AD$641),$B$419=1),$AD$641,HLOOKUP(INDIRECT(ADDRESS(2,COLUMN())),OFFSET($BN$2,0,0,ROW()-1,60),ROW()-1,FALSE))</f>
        <v/>
      </c>
      <c r="AE191" t="str">
        <f ca="1">IF(AND(ISNUMBER($AE$641),$B$419=1),$AE$641,HLOOKUP(INDIRECT(ADDRESS(2,COLUMN())),OFFSET($BN$2,0,0,ROW()-1,60),ROW()-1,FALSE))</f>
        <v/>
      </c>
      <c r="AF191" t="str">
        <f ca="1">IF(AND(ISNUMBER($AF$641),$B$419=1),$AF$641,HLOOKUP(INDIRECT(ADDRESS(2,COLUMN())),OFFSET($BN$2,0,0,ROW()-1,60),ROW()-1,FALSE))</f>
        <v/>
      </c>
      <c r="AG191" t="str">
        <f ca="1">IF(AND(ISNUMBER($AG$641),$B$419=1),$AG$641,HLOOKUP(INDIRECT(ADDRESS(2,COLUMN())),OFFSET($BN$2,0,0,ROW()-1,60),ROW()-1,FALSE))</f>
        <v/>
      </c>
      <c r="AH191" t="str">
        <f ca="1">IF(AND(ISNUMBER($AH$641),$B$419=1),$AH$641,HLOOKUP(INDIRECT(ADDRESS(2,COLUMN())),OFFSET($BN$2,0,0,ROW()-1,60),ROW()-1,FALSE))</f>
        <v/>
      </c>
      <c r="AI191" t="str">
        <f ca="1">IF(AND(ISNUMBER($AI$641),$B$419=1),$AI$641,HLOOKUP(INDIRECT(ADDRESS(2,COLUMN())),OFFSET($BN$2,0,0,ROW()-1,60),ROW()-1,FALSE))</f>
        <v/>
      </c>
      <c r="AJ191" t="str">
        <f ca="1">IF(AND(ISNUMBER($AJ$641),$B$419=1),$AJ$641,HLOOKUP(INDIRECT(ADDRESS(2,COLUMN())),OFFSET($BN$2,0,0,ROW()-1,60),ROW()-1,FALSE))</f>
        <v/>
      </c>
      <c r="AK191" t="str">
        <f ca="1">IF(AND(ISNUMBER($AK$641),$B$419=1),$AK$641,HLOOKUP(INDIRECT(ADDRESS(2,COLUMN())),OFFSET($BN$2,0,0,ROW()-1,60),ROW()-1,FALSE))</f>
        <v/>
      </c>
      <c r="AL191" t="str">
        <f ca="1">IF(AND(ISNUMBER($AL$641),$B$419=1),$AL$641,HLOOKUP(INDIRECT(ADDRESS(2,COLUMN())),OFFSET($BN$2,0,0,ROW()-1,60),ROW()-1,FALSE))</f>
        <v/>
      </c>
      <c r="AM191" t="str">
        <f ca="1">IF(AND(ISNUMBER($AM$641),$B$419=1),$AM$641,HLOOKUP(INDIRECT(ADDRESS(2,COLUMN())),OFFSET($BN$2,0,0,ROW()-1,60),ROW()-1,FALSE))</f>
        <v/>
      </c>
      <c r="AN191" t="str">
        <f ca="1">IF(AND(ISNUMBER($AN$641),$B$419=1),$AN$641,HLOOKUP(INDIRECT(ADDRESS(2,COLUMN())),OFFSET($BN$2,0,0,ROW()-1,60),ROW()-1,FALSE))</f>
        <v/>
      </c>
      <c r="AO191" t="str">
        <f ca="1">IF(AND(ISNUMBER($AO$641),$B$419=1),$AO$641,HLOOKUP(INDIRECT(ADDRESS(2,COLUMN())),OFFSET($BN$2,0,0,ROW()-1,60),ROW()-1,FALSE))</f>
        <v/>
      </c>
      <c r="AP191" t="str">
        <f ca="1">IF(AND(ISNUMBER($AP$641),$B$419=1),$AP$641,HLOOKUP(INDIRECT(ADDRESS(2,COLUMN())),OFFSET($BN$2,0,0,ROW()-1,60),ROW()-1,FALSE))</f>
        <v/>
      </c>
      <c r="AQ191" t="str">
        <f ca="1">IF(AND(ISNUMBER($AQ$641),$B$419=1),$AQ$641,HLOOKUP(INDIRECT(ADDRESS(2,COLUMN())),OFFSET($BN$2,0,0,ROW()-1,60),ROW()-1,FALSE))</f>
        <v/>
      </c>
      <c r="AR191" t="str">
        <f ca="1">IF(AND(ISNUMBER($AR$641),$B$419=1),$AR$641,HLOOKUP(INDIRECT(ADDRESS(2,COLUMN())),OFFSET($BN$2,0,0,ROW()-1,60),ROW()-1,FALSE))</f>
        <v/>
      </c>
      <c r="AS191" t="str">
        <f ca="1">IF(AND(ISNUMBER($AS$641),$B$419=1),$AS$641,HLOOKUP(INDIRECT(ADDRESS(2,COLUMN())),OFFSET($BN$2,0,0,ROW()-1,60),ROW()-1,FALSE))</f>
        <v/>
      </c>
      <c r="AT191" t="str">
        <f ca="1">IF(AND(ISNUMBER($AT$641),$B$419=1),$AT$641,HLOOKUP(INDIRECT(ADDRESS(2,COLUMN())),OFFSET($BN$2,0,0,ROW()-1,60),ROW()-1,FALSE))</f>
        <v/>
      </c>
      <c r="AU191" t="str">
        <f ca="1">IF(AND(ISNUMBER($AU$641),$B$419=1),$AU$641,HLOOKUP(INDIRECT(ADDRESS(2,COLUMN())),OFFSET($BN$2,0,0,ROW()-1,60),ROW()-1,FALSE))</f>
        <v/>
      </c>
      <c r="AV191" t="str">
        <f ca="1">IF(AND(ISNUMBER($AV$641),$B$419=1),$AV$641,HLOOKUP(INDIRECT(ADDRESS(2,COLUMN())),OFFSET($BN$2,0,0,ROW()-1,60),ROW()-1,FALSE))</f>
        <v/>
      </c>
      <c r="AW191" t="str">
        <f ca="1">IF(AND(ISNUMBER($AW$641),$B$419=1),$AW$641,HLOOKUP(INDIRECT(ADDRESS(2,COLUMN())),OFFSET($BN$2,0,0,ROW()-1,60),ROW()-1,FALSE))</f>
        <v/>
      </c>
      <c r="AX191" t="str">
        <f ca="1">IF(AND(ISNUMBER($AX$641),$B$419=1),$AX$641,HLOOKUP(INDIRECT(ADDRESS(2,COLUMN())),OFFSET($BN$2,0,0,ROW()-1,60),ROW()-1,FALSE))</f>
        <v/>
      </c>
      <c r="AY191" t="str">
        <f ca="1">IF(AND(ISNUMBER($AY$641),$B$419=1),$AY$641,HLOOKUP(INDIRECT(ADDRESS(2,COLUMN())),OFFSET($BN$2,0,0,ROW()-1,60),ROW()-1,FALSE))</f>
        <v/>
      </c>
      <c r="AZ191" t="str">
        <f ca="1">IF(AND(ISNUMBER($AZ$641),$B$419=1),$AZ$641,HLOOKUP(INDIRECT(ADDRESS(2,COLUMN())),OFFSET($BN$2,0,0,ROW()-1,60),ROW()-1,FALSE))</f>
        <v/>
      </c>
      <c r="BA191" t="str">
        <f ca="1">IF(AND(ISNUMBER($BA$641),$B$419=1),$BA$641,HLOOKUP(INDIRECT(ADDRESS(2,COLUMN())),OFFSET($BN$2,0,0,ROW()-1,60),ROW()-1,FALSE))</f>
        <v/>
      </c>
      <c r="BB191" t="str">
        <f ca="1">IF(AND(ISNUMBER($BB$641),$B$419=1),$BB$641,HLOOKUP(INDIRECT(ADDRESS(2,COLUMN())),OFFSET($BN$2,0,0,ROW()-1,60),ROW()-1,FALSE))</f>
        <v/>
      </c>
      <c r="BC191" t="str">
        <f ca="1">IF(AND(ISNUMBER($BC$641),$B$419=1),$BC$641,HLOOKUP(INDIRECT(ADDRESS(2,COLUMN())),OFFSET($BN$2,0,0,ROW()-1,60),ROW()-1,FALSE))</f>
        <v/>
      </c>
      <c r="BD191" t="str">
        <f ca="1">IF(AND(ISNUMBER($BD$641),$B$419=1),$BD$641,HLOOKUP(INDIRECT(ADDRESS(2,COLUMN())),OFFSET($BN$2,0,0,ROW()-1,60),ROW()-1,FALSE))</f>
        <v/>
      </c>
      <c r="BE191" t="str">
        <f ca="1">IF(AND(ISNUMBER($BE$641),$B$419=1),$BE$641,HLOOKUP(INDIRECT(ADDRESS(2,COLUMN())),OFFSET($BN$2,0,0,ROW()-1,60),ROW()-1,FALSE))</f>
        <v/>
      </c>
      <c r="BF191" t="str">
        <f ca="1">IF(AND(ISNUMBER($BF$641),$B$419=1),$BF$641,HLOOKUP(INDIRECT(ADDRESS(2,COLUMN())),OFFSET($BN$2,0,0,ROW()-1,60),ROW()-1,FALSE))</f>
        <v/>
      </c>
      <c r="BG191" t="str">
        <f ca="1">IF(AND(ISNUMBER($BG$641),$B$419=1),$BG$641,HLOOKUP(INDIRECT(ADDRESS(2,COLUMN())),OFFSET($BN$2,0,0,ROW()-1,60),ROW()-1,FALSE))</f>
        <v/>
      </c>
      <c r="BH191" t="str">
        <f ca="1">IF(AND(ISNUMBER($BH$641),$B$419=1),$BH$641,HLOOKUP(INDIRECT(ADDRESS(2,COLUMN())),OFFSET($BN$2,0,0,ROW()-1,60),ROW()-1,FALSE))</f>
        <v/>
      </c>
      <c r="BI191" t="str">
        <f ca="1">IF(AND(ISNUMBER($BI$641),$B$419=1),$BI$641,HLOOKUP(INDIRECT(ADDRESS(2,COLUMN())),OFFSET($BN$2,0,0,ROW()-1,60),ROW()-1,FALSE))</f>
        <v/>
      </c>
      <c r="BJ191" t="str">
        <f ca="1">IF(AND(ISNUMBER($BJ$641),$B$419=1),$BJ$641,HLOOKUP(INDIRECT(ADDRESS(2,COLUMN())),OFFSET($BN$2,0,0,ROW()-1,60),ROW()-1,FALSE))</f>
        <v/>
      </c>
      <c r="BK191" t="str">
        <f ca="1">IF(AND(ISNUMBER($BK$641),$B$419=1),$BK$641,HLOOKUP(INDIRECT(ADDRESS(2,COLUMN())),OFFSET($BN$2,0,0,ROW()-1,60),ROW()-1,FALSE))</f>
        <v/>
      </c>
      <c r="BL191" t="str">
        <f ca="1">IF(AND(ISNUMBER($BL$641),$B$419=1),$BL$641,HLOOKUP(INDIRECT(ADDRESS(2,COLUMN())),OFFSET($BN$2,0,0,ROW()-1,60),ROW()-1,FALSE))</f>
        <v/>
      </c>
      <c r="BM191" t="str">
        <f ca="1">IF(AND(ISNUMBER($BM$641),$B$419=1),$BM$641,HLOOKUP(INDIRECT(ADDRESS(2,COLUMN())),OFFSET($BN$2,0,0,ROW()-1,60),ROW()-1,FALSE))</f>
        <v/>
      </c>
      <c r="BN191" t="str">
        <f>""</f>
        <v/>
      </c>
      <c r="BO191" t="str">
        <f>""</f>
        <v/>
      </c>
      <c r="BP191" t="str">
        <f>""</f>
        <v/>
      </c>
      <c r="BQ191" t="str">
        <f>""</f>
        <v/>
      </c>
      <c r="BR191" t="str">
        <f>""</f>
        <v/>
      </c>
      <c r="BS191" t="str">
        <f>""</f>
        <v/>
      </c>
      <c r="BT191" t="str">
        <f>""</f>
        <v/>
      </c>
      <c r="BU191" t="str">
        <f>""</f>
        <v/>
      </c>
      <c r="BV191" t="str">
        <f>""</f>
        <v/>
      </c>
      <c r="BW191" t="str">
        <f>""</f>
        <v/>
      </c>
      <c r="BX191" t="str">
        <f>""</f>
        <v/>
      </c>
      <c r="BY191" t="str">
        <f>""</f>
        <v/>
      </c>
      <c r="BZ191" t="str">
        <f>""</f>
        <v/>
      </c>
      <c r="CA191" t="str">
        <f>""</f>
        <v/>
      </c>
      <c r="CB191" t="str">
        <f>""</f>
        <v/>
      </c>
      <c r="CC191" t="str">
        <f>""</f>
        <v/>
      </c>
      <c r="CD191" t="str">
        <f>""</f>
        <v/>
      </c>
      <c r="CE191" t="str">
        <f>""</f>
        <v/>
      </c>
      <c r="CF191" t="str">
        <f>""</f>
        <v/>
      </c>
      <c r="CG191" t="str">
        <f>""</f>
        <v/>
      </c>
      <c r="CH191" t="str">
        <f>""</f>
        <v/>
      </c>
      <c r="CI191" t="str">
        <f>""</f>
        <v/>
      </c>
      <c r="CJ191" t="str">
        <f>""</f>
        <v/>
      </c>
      <c r="CK191" t="str">
        <f>""</f>
        <v/>
      </c>
      <c r="CL191" t="str">
        <f>""</f>
        <v/>
      </c>
      <c r="CM191" t="str">
        <f>""</f>
        <v/>
      </c>
      <c r="CN191" t="str">
        <f>""</f>
        <v/>
      </c>
      <c r="CO191" t="str">
        <f>""</f>
        <v/>
      </c>
      <c r="CP191" t="str">
        <f>""</f>
        <v/>
      </c>
      <c r="CQ191" t="str">
        <f>""</f>
        <v/>
      </c>
      <c r="CR191" t="str">
        <f>""</f>
        <v/>
      </c>
      <c r="CS191" t="str">
        <f>""</f>
        <v/>
      </c>
      <c r="CT191" t="str">
        <f>""</f>
        <v/>
      </c>
      <c r="CU191" t="str">
        <f>""</f>
        <v/>
      </c>
      <c r="CV191" t="str">
        <f>""</f>
        <v/>
      </c>
      <c r="CW191" t="str">
        <f>""</f>
        <v/>
      </c>
      <c r="CX191" t="str">
        <f>""</f>
        <v/>
      </c>
      <c r="CY191" t="str">
        <f>""</f>
        <v/>
      </c>
      <c r="CZ191" t="str">
        <f>""</f>
        <v/>
      </c>
      <c r="DA191" t="str">
        <f>""</f>
        <v/>
      </c>
      <c r="DB191" t="str">
        <f>""</f>
        <v/>
      </c>
      <c r="DC191" t="str">
        <f>""</f>
        <v/>
      </c>
      <c r="DD191" t="str">
        <f>""</f>
        <v/>
      </c>
      <c r="DE191" t="str">
        <f>""</f>
        <v/>
      </c>
      <c r="DF191" t="str">
        <f>""</f>
        <v/>
      </c>
      <c r="DG191" t="str">
        <f>""</f>
        <v/>
      </c>
      <c r="DH191" t="str">
        <f>""</f>
        <v/>
      </c>
      <c r="DI191" t="str">
        <f>""</f>
        <v/>
      </c>
      <c r="DJ191" t="str">
        <f>""</f>
        <v/>
      </c>
      <c r="DK191" t="str">
        <f>""</f>
        <v/>
      </c>
      <c r="DL191" t="str">
        <f>""</f>
        <v/>
      </c>
      <c r="DM191" t="str">
        <f>""</f>
        <v/>
      </c>
      <c r="DN191" t="str">
        <f>""</f>
        <v/>
      </c>
      <c r="DO191" t="str">
        <f>""</f>
        <v/>
      </c>
      <c r="DP191" t="str">
        <f>""</f>
        <v/>
      </c>
      <c r="DQ191" t="str">
        <f>""</f>
        <v/>
      </c>
      <c r="DR191" t="str">
        <f>""</f>
        <v/>
      </c>
      <c r="DS191" t="str">
        <f>""</f>
        <v/>
      </c>
      <c r="DT191" t="str">
        <f>""</f>
        <v/>
      </c>
      <c r="DU191" t="str">
        <f>""</f>
        <v/>
      </c>
    </row>
    <row r="192" spans="1:125">
      <c r="A192" t="str">
        <f>"    Tanger Factory Outlet Centers"</f>
        <v xml:space="preserve">    Tanger Factory Outlet Centers</v>
      </c>
      <c r="B192" t="str">
        <f>"SKT US Equity"</f>
        <v>SKT US Equity</v>
      </c>
      <c r="C192" t="str">
        <f t="shared" si="33"/>
        <v>BE592</v>
      </c>
      <c r="D192" t="str">
        <f t="shared" si="34"/>
        <v>BEST_FFOPS_YOY_GTH</v>
      </c>
      <c r="E192" t="str">
        <f t="shared" si="35"/>
        <v>动态</v>
      </c>
      <c r="F192" t="str">
        <f ca="1">IF(AND(ISNUMBER($F$642),$B$419=1),$F$642,HLOOKUP(INDIRECT(ADDRESS(2,COLUMN())),OFFSET($BN$2,0,0,ROW()-1,60),ROW()-1,FALSE))</f>
        <v/>
      </c>
      <c r="G192" t="str">
        <f ca="1">IF(AND(ISNUMBER($G$642),$B$419=1),$G$642,HLOOKUP(INDIRECT(ADDRESS(2,COLUMN())),OFFSET($BN$2,0,0,ROW()-1,60),ROW()-1,FALSE))</f>
        <v/>
      </c>
      <c r="H192" t="str">
        <f ca="1">IF(AND(ISNUMBER($H$642),$B$419=1),$H$642,HLOOKUP(INDIRECT(ADDRESS(2,COLUMN())),OFFSET($BN$2,0,0,ROW()-1,60),ROW()-1,FALSE))</f>
        <v/>
      </c>
      <c r="I192" t="str">
        <f ca="1">IF(AND(ISNUMBER($I$642),$B$419=1),$I$642,HLOOKUP(INDIRECT(ADDRESS(2,COLUMN())),OFFSET($BN$2,0,0,ROW()-1,60),ROW()-1,FALSE))</f>
        <v/>
      </c>
      <c r="J192" t="str">
        <f ca="1">IF(AND(ISNUMBER($J$642),$B$419=1),$J$642,HLOOKUP(INDIRECT(ADDRESS(2,COLUMN())),OFFSET($BN$2,0,0,ROW()-1,60),ROW()-1,FALSE))</f>
        <v/>
      </c>
      <c r="K192" t="str">
        <f ca="1">IF(AND(ISNUMBER($K$642),$B$419=1),$K$642,HLOOKUP(INDIRECT(ADDRESS(2,COLUMN())),OFFSET($BN$2,0,0,ROW()-1,60),ROW()-1,FALSE))</f>
        <v/>
      </c>
      <c r="L192" t="str">
        <f ca="1">IF(AND(ISNUMBER($L$642),$B$419=1),$L$642,HLOOKUP(INDIRECT(ADDRESS(2,COLUMN())),OFFSET($BN$2,0,0,ROW()-1,60),ROW()-1,FALSE))</f>
        <v/>
      </c>
      <c r="M192" t="str">
        <f ca="1">IF(AND(ISNUMBER($M$642),$B$419=1),$M$642,HLOOKUP(INDIRECT(ADDRESS(2,COLUMN())),OFFSET($BN$2,0,0,ROW()-1,60),ROW()-1,FALSE))</f>
        <v/>
      </c>
      <c r="N192" t="str">
        <f ca="1">IF(AND(ISNUMBER($N$642),$B$419=1),$N$642,HLOOKUP(INDIRECT(ADDRESS(2,COLUMN())),OFFSET($BN$2,0,0,ROW()-1,60),ROW()-1,FALSE))</f>
        <v/>
      </c>
      <c r="O192" t="str">
        <f ca="1">IF(AND(ISNUMBER($O$642),$B$419=1),$O$642,HLOOKUP(INDIRECT(ADDRESS(2,COLUMN())),OFFSET($BN$2,0,0,ROW()-1,60),ROW()-1,FALSE))</f>
        <v/>
      </c>
      <c r="P192" t="str">
        <f ca="1">IF(AND(ISNUMBER($P$642),$B$419=1),$P$642,HLOOKUP(INDIRECT(ADDRESS(2,COLUMN())),OFFSET($BN$2,0,0,ROW()-1,60),ROW()-1,FALSE))</f>
        <v/>
      </c>
      <c r="Q192" t="str">
        <f ca="1">IF(AND(ISNUMBER($Q$642),$B$419=1),$Q$642,HLOOKUP(INDIRECT(ADDRESS(2,COLUMN())),OFFSET($BN$2,0,0,ROW()-1,60),ROW()-1,FALSE))</f>
        <v/>
      </c>
      <c r="R192" t="str">
        <f ca="1">IF(AND(ISNUMBER($R$642),$B$419=1),$R$642,HLOOKUP(INDIRECT(ADDRESS(2,COLUMN())),OFFSET($BN$2,0,0,ROW()-1,60),ROW()-1,FALSE))</f>
        <v/>
      </c>
      <c r="S192" t="str">
        <f ca="1">IF(AND(ISNUMBER($S$642),$B$419=1),$S$642,HLOOKUP(INDIRECT(ADDRESS(2,COLUMN())),OFFSET($BN$2,0,0,ROW()-1,60),ROW()-1,FALSE))</f>
        <v/>
      </c>
      <c r="T192" t="str">
        <f ca="1">IF(AND(ISNUMBER($T$642),$B$419=1),$T$642,HLOOKUP(INDIRECT(ADDRESS(2,COLUMN())),OFFSET($BN$2,0,0,ROW()-1,60),ROW()-1,FALSE))</f>
        <v/>
      </c>
      <c r="U192" t="str">
        <f ca="1">IF(AND(ISNUMBER($U$642),$B$419=1),$U$642,HLOOKUP(INDIRECT(ADDRESS(2,COLUMN())),OFFSET($BN$2,0,0,ROW()-1,60),ROW()-1,FALSE))</f>
        <v/>
      </c>
      <c r="V192" t="str">
        <f ca="1">IF(AND(ISNUMBER($V$642),$B$419=1),$V$642,HLOOKUP(INDIRECT(ADDRESS(2,COLUMN())),OFFSET($BN$2,0,0,ROW()-1,60),ROW()-1,FALSE))</f>
        <v/>
      </c>
      <c r="W192" t="str">
        <f ca="1">IF(AND(ISNUMBER($W$642),$B$419=1),$W$642,HLOOKUP(INDIRECT(ADDRESS(2,COLUMN())),OFFSET($BN$2,0,0,ROW()-1,60),ROW()-1,FALSE))</f>
        <v/>
      </c>
      <c r="X192" t="str">
        <f ca="1">IF(AND(ISNUMBER($X$642),$B$419=1),$X$642,HLOOKUP(INDIRECT(ADDRESS(2,COLUMN())),OFFSET($BN$2,0,0,ROW()-1,60),ROW()-1,FALSE))</f>
        <v/>
      </c>
      <c r="Y192" t="str">
        <f ca="1">IF(AND(ISNUMBER($Y$642),$B$419=1),$Y$642,HLOOKUP(INDIRECT(ADDRESS(2,COLUMN())),OFFSET($BN$2,0,0,ROW()-1,60),ROW()-1,FALSE))</f>
        <v/>
      </c>
      <c r="Z192" t="str">
        <f ca="1">IF(AND(ISNUMBER($Z$642),$B$419=1),$Z$642,HLOOKUP(INDIRECT(ADDRESS(2,COLUMN())),OFFSET($BN$2,0,0,ROW()-1,60),ROW()-1,FALSE))</f>
        <v/>
      </c>
      <c r="AA192" t="str">
        <f ca="1">IF(AND(ISNUMBER($AA$642),$B$419=1),$AA$642,HLOOKUP(INDIRECT(ADDRESS(2,COLUMN())),OFFSET($BN$2,0,0,ROW()-1,60),ROW()-1,FALSE))</f>
        <v/>
      </c>
      <c r="AB192" t="str">
        <f ca="1">IF(AND(ISNUMBER($AB$642),$B$419=1),$AB$642,HLOOKUP(INDIRECT(ADDRESS(2,COLUMN())),OFFSET($BN$2,0,0,ROW()-1,60),ROW()-1,FALSE))</f>
        <v/>
      </c>
      <c r="AC192" t="str">
        <f ca="1">IF(AND(ISNUMBER($AC$642),$B$419=1),$AC$642,HLOOKUP(INDIRECT(ADDRESS(2,COLUMN())),OFFSET($BN$2,0,0,ROW()-1,60),ROW()-1,FALSE))</f>
        <v/>
      </c>
      <c r="AD192" t="str">
        <f ca="1">IF(AND(ISNUMBER($AD$642),$B$419=1),$AD$642,HLOOKUP(INDIRECT(ADDRESS(2,COLUMN())),OFFSET($BN$2,0,0,ROW()-1,60),ROW()-1,FALSE))</f>
        <v/>
      </c>
      <c r="AE192" t="str">
        <f ca="1">IF(AND(ISNUMBER($AE$642),$B$419=1),$AE$642,HLOOKUP(INDIRECT(ADDRESS(2,COLUMN())),OFFSET($BN$2,0,0,ROW()-1,60),ROW()-1,FALSE))</f>
        <v/>
      </c>
      <c r="AF192" t="str">
        <f ca="1">IF(AND(ISNUMBER($AF$642),$B$419=1),$AF$642,HLOOKUP(INDIRECT(ADDRESS(2,COLUMN())),OFFSET($BN$2,0,0,ROW()-1,60),ROW()-1,FALSE))</f>
        <v/>
      </c>
      <c r="AG192" t="str">
        <f ca="1">IF(AND(ISNUMBER($AG$642),$B$419=1),$AG$642,HLOOKUP(INDIRECT(ADDRESS(2,COLUMN())),OFFSET($BN$2,0,0,ROW()-1,60),ROW()-1,FALSE))</f>
        <v/>
      </c>
      <c r="AH192" t="str">
        <f ca="1">IF(AND(ISNUMBER($AH$642),$B$419=1),$AH$642,HLOOKUP(INDIRECT(ADDRESS(2,COLUMN())),OFFSET($BN$2,0,0,ROW()-1,60),ROW()-1,FALSE))</f>
        <v/>
      </c>
      <c r="AI192" t="str">
        <f ca="1">IF(AND(ISNUMBER($AI$642),$B$419=1),$AI$642,HLOOKUP(INDIRECT(ADDRESS(2,COLUMN())),OFFSET($BN$2,0,0,ROW()-1,60),ROW()-1,FALSE))</f>
        <v/>
      </c>
      <c r="AJ192" t="str">
        <f ca="1">IF(AND(ISNUMBER($AJ$642),$B$419=1),$AJ$642,HLOOKUP(INDIRECT(ADDRESS(2,COLUMN())),OFFSET($BN$2,0,0,ROW()-1,60),ROW()-1,FALSE))</f>
        <v/>
      </c>
      <c r="AK192" t="str">
        <f ca="1">IF(AND(ISNUMBER($AK$642),$B$419=1),$AK$642,HLOOKUP(INDIRECT(ADDRESS(2,COLUMN())),OFFSET($BN$2,0,0,ROW()-1,60),ROW()-1,FALSE))</f>
        <v/>
      </c>
      <c r="AL192" t="str">
        <f ca="1">IF(AND(ISNUMBER($AL$642),$B$419=1),$AL$642,HLOOKUP(INDIRECT(ADDRESS(2,COLUMN())),OFFSET($BN$2,0,0,ROW()-1,60),ROW()-1,FALSE))</f>
        <v/>
      </c>
      <c r="AM192" t="str">
        <f ca="1">IF(AND(ISNUMBER($AM$642),$B$419=1),$AM$642,HLOOKUP(INDIRECT(ADDRESS(2,COLUMN())),OFFSET($BN$2,0,0,ROW()-1,60),ROW()-1,FALSE))</f>
        <v/>
      </c>
      <c r="AN192" t="str">
        <f ca="1">IF(AND(ISNUMBER($AN$642),$B$419=1),$AN$642,HLOOKUP(INDIRECT(ADDRESS(2,COLUMN())),OFFSET($BN$2,0,0,ROW()-1,60),ROW()-1,FALSE))</f>
        <v/>
      </c>
      <c r="AO192" t="str">
        <f ca="1">IF(AND(ISNUMBER($AO$642),$B$419=1),$AO$642,HLOOKUP(INDIRECT(ADDRESS(2,COLUMN())),OFFSET($BN$2,0,0,ROW()-1,60),ROW()-1,FALSE))</f>
        <v/>
      </c>
      <c r="AP192" t="str">
        <f ca="1">IF(AND(ISNUMBER($AP$642),$B$419=1),$AP$642,HLOOKUP(INDIRECT(ADDRESS(2,COLUMN())),OFFSET($BN$2,0,0,ROW()-1,60),ROW()-1,FALSE))</f>
        <v/>
      </c>
      <c r="AQ192" t="str">
        <f ca="1">IF(AND(ISNUMBER($AQ$642),$B$419=1),$AQ$642,HLOOKUP(INDIRECT(ADDRESS(2,COLUMN())),OFFSET($BN$2,0,0,ROW()-1,60),ROW()-1,FALSE))</f>
        <v/>
      </c>
      <c r="AR192" t="str">
        <f ca="1">IF(AND(ISNUMBER($AR$642),$B$419=1),$AR$642,HLOOKUP(INDIRECT(ADDRESS(2,COLUMN())),OFFSET($BN$2,0,0,ROW()-1,60),ROW()-1,FALSE))</f>
        <v/>
      </c>
      <c r="AS192" t="str">
        <f ca="1">IF(AND(ISNUMBER($AS$642),$B$419=1),$AS$642,HLOOKUP(INDIRECT(ADDRESS(2,COLUMN())),OFFSET($BN$2,0,0,ROW()-1,60),ROW()-1,FALSE))</f>
        <v/>
      </c>
      <c r="AT192" t="str">
        <f ca="1">IF(AND(ISNUMBER($AT$642),$B$419=1),$AT$642,HLOOKUP(INDIRECT(ADDRESS(2,COLUMN())),OFFSET($BN$2,0,0,ROW()-1,60),ROW()-1,FALSE))</f>
        <v/>
      </c>
      <c r="AU192" t="str">
        <f ca="1">IF(AND(ISNUMBER($AU$642),$B$419=1),$AU$642,HLOOKUP(INDIRECT(ADDRESS(2,COLUMN())),OFFSET($BN$2,0,0,ROW()-1,60),ROW()-1,FALSE))</f>
        <v/>
      </c>
      <c r="AV192" t="str">
        <f ca="1">IF(AND(ISNUMBER($AV$642),$B$419=1),$AV$642,HLOOKUP(INDIRECT(ADDRESS(2,COLUMN())),OFFSET($BN$2,0,0,ROW()-1,60),ROW()-1,FALSE))</f>
        <v/>
      </c>
      <c r="AW192" t="str">
        <f ca="1">IF(AND(ISNUMBER($AW$642),$B$419=1),$AW$642,HLOOKUP(INDIRECT(ADDRESS(2,COLUMN())),OFFSET($BN$2,0,0,ROW()-1,60),ROW()-1,FALSE))</f>
        <v/>
      </c>
      <c r="AX192" t="str">
        <f ca="1">IF(AND(ISNUMBER($AX$642),$B$419=1),$AX$642,HLOOKUP(INDIRECT(ADDRESS(2,COLUMN())),OFFSET($BN$2,0,0,ROW()-1,60),ROW()-1,FALSE))</f>
        <v/>
      </c>
      <c r="AY192" t="str">
        <f ca="1">IF(AND(ISNUMBER($AY$642),$B$419=1),$AY$642,HLOOKUP(INDIRECT(ADDRESS(2,COLUMN())),OFFSET($BN$2,0,0,ROW()-1,60),ROW()-1,FALSE))</f>
        <v/>
      </c>
      <c r="AZ192" t="str">
        <f ca="1">IF(AND(ISNUMBER($AZ$642),$B$419=1),$AZ$642,HLOOKUP(INDIRECT(ADDRESS(2,COLUMN())),OFFSET($BN$2,0,0,ROW()-1,60),ROW()-1,FALSE))</f>
        <v/>
      </c>
      <c r="BA192" t="str">
        <f ca="1">IF(AND(ISNUMBER($BA$642),$B$419=1),$BA$642,HLOOKUP(INDIRECT(ADDRESS(2,COLUMN())),OFFSET($BN$2,0,0,ROW()-1,60),ROW()-1,FALSE))</f>
        <v/>
      </c>
      <c r="BB192" t="str">
        <f ca="1">IF(AND(ISNUMBER($BB$642),$B$419=1),$BB$642,HLOOKUP(INDIRECT(ADDRESS(2,COLUMN())),OFFSET($BN$2,0,0,ROW()-1,60),ROW()-1,FALSE))</f>
        <v/>
      </c>
      <c r="BC192" t="str">
        <f ca="1">IF(AND(ISNUMBER($BC$642),$B$419=1),$BC$642,HLOOKUP(INDIRECT(ADDRESS(2,COLUMN())),OFFSET($BN$2,0,0,ROW()-1,60),ROW()-1,FALSE))</f>
        <v/>
      </c>
      <c r="BD192" t="str">
        <f ca="1">IF(AND(ISNUMBER($BD$642),$B$419=1),$BD$642,HLOOKUP(INDIRECT(ADDRESS(2,COLUMN())),OFFSET($BN$2,0,0,ROW()-1,60),ROW()-1,FALSE))</f>
        <v/>
      </c>
      <c r="BE192" t="str">
        <f ca="1">IF(AND(ISNUMBER($BE$642),$B$419=1),$BE$642,HLOOKUP(INDIRECT(ADDRESS(2,COLUMN())),OFFSET($BN$2,0,0,ROW()-1,60),ROW()-1,FALSE))</f>
        <v/>
      </c>
      <c r="BF192" t="str">
        <f ca="1">IF(AND(ISNUMBER($BF$642),$B$419=1),$BF$642,HLOOKUP(INDIRECT(ADDRESS(2,COLUMN())),OFFSET($BN$2,0,0,ROW()-1,60),ROW()-1,FALSE))</f>
        <v/>
      </c>
      <c r="BG192" t="str">
        <f ca="1">IF(AND(ISNUMBER($BG$642),$B$419=1),$BG$642,HLOOKUP(INDIRECT(ADDRESS(2,COLUMN())),OFFSET($BN$2,0,0,ROW()-1,60),ROW()-1,FALSE))</f>
        <v/>
      </c>
      <c r="BH192" t="str">
        <f ca="1">IF(AND(ISNUMBER($BH$642),$B$419=1),$BH$642,HLOOKUP(INDIRECT(ADDRESS(2,COLUMN())),OFFSET($BN$2,0,0,ROW()-1,60),ROW()-1,FALSE))</f>
        <v/>
      </c>
      <c r="BI192" t="str">
        <f ca="1">IF(AND(ISNUMBER($BI$642),$B$419=1),$BI$642,HLOOKUP(INDIRECT(ADDRESS(2,COLUMN())),OFFSET($BN$2,0,0,ROW()-1,60),ROW()-1,FALSE))</f>
        <v/>
      </c>
      <c r="BJ192" t="str">
        <f ca="1">IF(AND(ISNUMBER($BJ$642),$B$419=1),$BJ$642,HLOOKUP(INDIRECT(ADDRESS(2,COLUMN())),OFFSET($BN$2,0,0,ROW()-1,60),ROW()-1,FALSE))</f>
        <v/>
      </c>
      <c r="BK192" t="str">
        <f ca="1">IF(AND(ISNUMBER($BK$642),$B$419=1),$BK$642,HLOOKUP(INDIRECT(ADDRESS(2,COLUMN())),OFFSET($BN$2,0,0,ROW()-1,60),ROW()-1,FALSE))</f>
        <v/>
      </c>
      <c r="BL192" t="str">
        <f ca="1">IF(AND(ISNUMBER($BL$642),$B$419=1),$BL$642,HLOOKUP(INDIRECT(ADDRESS(2,COLUMN())),OFFSET($BN$2,0,0,ROW()-1,60),ROW()-1,FALSE))</f>
        <v/>
      </c>
      <c r="BM192" t="str">
        <f ca="1">IF(AND(ISNUMBER($BM$642),$B$419=1),$BM$642,HLOOKUP(INDIRECT(ADDRESS(2,COLUMN())),OFFSET($BN$2,0,0,ROW()-1,60),ROW()-1,FALSE))</f>
        <v/>
      </c>
      <c r="BN192" t="str">
        <f>""</f>
        <v/>
      </c>
      <c r="BO192" t="str">
        <f>""</f>
        <v/>
      </c>
      <c r="BP192" t="str">
        <f>""</f>
        <v/>
      </c>
      <c r="BQ192" t="str">
        <f>""</f>
        <v/>
      </c>
      <c r="BR192" t="str">
        <f>""</f>
        <v/>
      </c>
      <c r="BS192" t="str">
        <f>""</f>
        <v/>
      </c>
      <c r="BT192" t="str">
        <f>""</f>
        <v/>
      </c>
      <c r="BU192" t="str">
        <f>""</f>
        <v/>
      </c>
      <c r="BV192" t="str">
        <f>""</f>
        <v/>
      </c>
      <c r="BW192" t="str">
        <f>""</f>
        <v/>
      </c>
      <c r="BX192" t="str">
        <f>""</f>
        <v/>
      </c>
      <c r="BY192" t="str">
        <f>""</f>
        <v/>
      </c>
      <c r="BZ192" t="str">
        <f>""</f>
        <v/>
      </c>
      <c r="CA192" t="str">
        <f>""</f>
        <v/>
      </c>
      <c r="CB192" t="str">
        <f>""</f>
        <v/>
      </c>
      <c r="CC192" t="str">
        <f>""</f>
        <v/>
      </c>
      <c r="CD192" t="str">
        <f>""</f>
        <v/>
      </c>
      <c r="CE192" t="str">
        <f>""</f>
        <v/>
      </c>
      <c r="CF192" t="str">
        <f>""</f>
        <v/>
      </c>
      <c r="CG192" t="str">
        <f>""</f>
        <v/>
      </c>
      <c r="CH192" t="str">
        <f>""</f>
        <v/>
      </c>
      <c r="CI192" t="str">
        <f>""</f>
        <v/>
      </c>
      <c r="CJ192" t="str">
        <f>""</f>
        <v/>
      </c>
      <c r="CK192" t="str">
        <f>""</f>
        <v/>
      </c>
      <c r="CL192" t="str">
        <f>""</f>
        <v/>
      </c>
      <c r="CM192" t="str">
        <f>""</f>
        <v/>
      </c>
      <c r="CN192" t="str">
        <f>""</f>
        <v/>
      </c>
      <c r="CO192" t="str">
        <f>""</f>
        <v/>
      </c>
      <c r="CP192" t="str">
        <f>""</f>
        <v/>
      </c>
      <c r="CQ192" t="str">
        <f>""</f>
        <v/>
      </c>
      <c r="CR192" t="str">
        <f>""</f>
        <v/>
      </c>
      <c r="CS192" t="str">
        <f>""</f>
        <v/>
      </c>
      <c r="CT192" t="str">
        <f>""</f>
        <v/>
      </c>
      <c r="CU192" t="str">
        <f>""</f>
        <v/>
      </c>
      <c r="CV192" t="str">
        <f>""</f>
        <v/>
      </c>
      <c r="CW192" t="str">
        <f>""</f>
        <v/>
      </c>
      <c r="CX192" t="str">
        <f>""</f>
        <v/>
      </c>
      <c r="CY192" t="str">
        <f>""</f>
        <v/>
      </c>
      <c r="CZ192" t="str">
        <f>""</f>
        <v/>
      </c>
      <c r="DA192" t="str">
        <f>""</f>
        <v/>
      </c>
      <c r="DB192" t="str">
        <f>""</f>
        <v/>
      </c>
      <c r="DC192" t="str">
        <f>""</f>
        <v/>
      </c>
      <c r="DD192" t="str">
        <f>""</f>
        <v/>
      </c>
      <c r="DE192" t="str">
        <f>""</f>
        <v/>
      </c>
      <c r="DF192" t="str">
        <f>""</f>
        <v/>
      </c>
      <c r="DG192" t="str">
        <f>""</f>
        <v/>
      </c>
      <c r="DH192" t="str">
        <f>""</f>
        <v/>
      </c>
      <c r="DI192" t="str">
        <f>""</f>
        <v/>
      </c>
      <c r="DJ192" t="str">
        <f>""</f>
        <v/>
      </c>
      <c r="DK192" t="str">
        <f>""</f>
        <v/>
      </c>
      <c r="DL192" t="str">
        <f>""</f>
        <v/>
      </c>
      <c r="DM192" t="str">
        <f>""</f>
        <v/>
      </c>
      <c r="DN192" t="str">
        <f>""</f>
        <v/>
      </c>
      <c r="DO192" t="str">
        <f>""</f>
        <v/>
      </c>
      <c r="DP192" t="str">
        <f>""</f>
        <v/>
      </c>
      <c r="DQ192" t="str">
        <f>""</f>
        <v/>
      </c>
      <c r="DR192" t="str">
        <f>""</f>
        <v/>
      </c>
      <c r="DS192" t="str">
        <f>""</f>
        <v/>
      </c>
      <c r="DT192" t="str">
        <f>""</f>
        <v/>
      </c>
      <c r="DU192" t="str">
        <f>""</f>
        <v/>
      </c>
    </row>
    <row r="193" spans="1:125">
      <c r="A193" t="str">
        <f>"    VEREIT Inc"</f>
        <v xml:space="preserve">    VEREIT Inc</v>
      </c>
      <c r="B193" t="str">
        <f>"VER US Equity"</f>
        <v>VER US Equity</v>
      </c>
      <c r="C193" t="str">
        <f t="shared" si="33"/>
        <v>BE592</v>
      </c>
      <c r="D193" t="str">
        <f t="shared" si="34"/>
        <v>BEST_FFOPS_YOY_GTH</v>
      </c>
      <c r="E193" t="str">
        <f t="shared" si="35"/>
        <v>动态</v>
      </c>
      <c r="F193" t="str">
        <f ca="1">IF(AND(ISNUMBER($F$643),$B$419=1),$F$643,HLOOKUP(INDIRECT(ADDRESS(2,COLUMN())),OFFSET($BN$2,0,0,ROW()-1,60),ROW()-1,FALSE))</f>
        <v/>
      </c>
      <c r="G193" t="str">
        <f ca="1">IF(AND(ISNUMBER($G$643),$B$419=1),$G$643,HLOOKUP(INDIRECT(ADDRESS(2,COLUMN())),OFFSET($BN$2,0,0,ROW()-1,60),ROW()-1,FALSE))</f>
        <v/>
      </c>
      <c r="H193" t="str">
        <f ca="1">IF(AND(ISNUMBER($H$643),$B$419=1),$H$643,HLOOKUP(INDIRECT(ADDRESS(2,COLUMN())),OFFSET($BN$2,0,0,ROW()-1,60),ROW()-1,FALSE))</f>
        <v/>
      </c>
      <c r="I193" t="str">
        <f ca="1">IF(AND(ISNUMBER($I$643),$B$419=1),$I$643,HLOOKUP(INDIRECT(ADDRESS(2,COLUMN())),OFFSET($BN$2,0,0,ROW()-1,60),ROW()-1,FALSE))</f>
        <v/>
      </c>
      <c r="J193" t="str">
        <f ca="1">IF(AND(ISNUMBER($J$643),$B$419=1),$J$643,HLOOKUP(INDIRECT(ADDRESS(2,COLUMN())),OFFSET($BN$2,0,0,ROW()-1,60),ROW()-1,FALSE))</f>
        <v/>
      </c>
      <c r="K193" t="str">
        <f ca="1">IF(AND(ISNUMBER($K$643),$B$419=1),$K$643,HLOOKUP(INDIRECT(ADDRESS(2,COLUMN())),OFFSET($BN$2,0,0,ROW()-1,60),ROW()-1,FALSE))</f>
        <v/>
      </c>
      <c r="L193" t="str">
        <f ca="1">IF(AND(ISNUMBER($L$643),$B$419=1),$L$643,HLOOKUP(INDIRECT(ADDRESS(2,COLUMN())),OFFSET($BN$2,0,0,ROW()-1,60),ROW()-1,FALSE))</f>
        <v/>
      </c>
      <c r="M193" t="str">
        <f ca="1">IF(AND(ISNUMBER($M$643),$B$419=1),$M$643,HLOOKUP(INDIRECT(ADDRESS(2,COLUMN())),OFFSET($BN$2,0,0,ROW()-1,60),ROW()-1,FALSE))</f>
        <v/>
      </c>
      <c r="N193" t="str">
        <f ca="1">IF(AND(ISNUMBER($N$643),$B$419=1),$N$643,HLOOKUP(INDIRECT(ADDRESS(2,COLUMN())),OFFSET($BN$2,0,0,ROW()-1,60),ROW()-1,FALSE))</f>
        <v/>
      </c>
      <c r="O193" t="str">
        <f ca="1">IF(AND(ISNUMBER($O$643),$B$419=1),$O$643,HLOOKUP(INDIRECT(ADDRESS(2,COLUMN())),OFFSET($BN$2,0,0,ROW()-1,60),ROW()-1,FALSE))</f>
        <v/>
      </c>
      <c r="P193" t="str">
        <f ca="1">IF(AND(ISNUMBER($P$643),$B$419=1),$P$643,HLOOKUP(INDIRECT(ADDRESS(2,COLUMN())),OFFSET($BN$2,0,0,ROW()-1,60),ROW()-1,FALSE))</f>
        <v/>
      </c>
      <c r="Q193" t="str">
        <f ca="1">IF(AND(ISNUMBER($Q$643),$B$419=1),$Q$643,HLOOKUP(INDIRECT(ADDRESS(2,COLUMN())),OFFSET($BN$2,0,0,ROW()-1,60),ROW()-1,FALSE))</f>
        <v/>
      </c>
      <c r="R193" t="str">
        <f ca="1">IF(AND(ISNUMBER($R$643),$B$419=1),$R$643,HLOOKUP(INDIRECT(ADDRESS(2,COLUMN())),OFFSET($BN$2,0,0,ROW()-1,60),ROW()-1,FALSE))</f>
        <v/>
      </c>
      <c r="S193" t="str">
        <f ca="1">IF(AND(ISNUMBER($S$643),$B$419=1),$S$643,HLOOKUP(INDIRECT(ADDRESS(2,COLUMN())),OFFSET($BN$2,0,0,ROW()-1,60),ROW()-1,FALSE))</f>
        <v/>
      </c>
      <c r="T193" t="str">
        <f ca="1">IF(AND(ISNUMBER($T$643),$B$419=1),$T$643,HLOOKUP(INDIRECT(ADDRESS(2,COLUMN())),OFFSET($BN$2,0,0,ROW()-1,60),ROW()-1,FALSE))</f>
        <v/>
      </c>
      <c r="U193" t="str">
        <f ca="1">IF(AND(ISNUMBER($U$643),$B$419=1),$U$643,HLOOKUP(INDIRECT(ADDRESS(2,COLUMN())),OFFSET($BN$2,0,0,ROW()-1,60),ROW()-1,FALSE))</f>
        <v/>
      </c>
      <c r="V193" t="str">
        <f ca="1">IF(AND(ISNUMBER($V$643),$B$419=1),$V$643,HLOOKUP(INDIRECT(ADDRESS(2,COLUMN())),OFFSET($BN$2,0,0,ROW()-1,60),ROW()-1,FALSE))</f>
        <v/>
      </c>
      <c r="W193" t="str">
        <f ca="1">IF(AND(ISNUMBER($W$643),$B$419=1),$W$643,HLOOKUP(INDIRECT(ADDRESS(2,COLUMN())),OFFSET($BN$2,0,0,ROW()-1,60),ROW()-1,FALSE))</f>
        <v/>
      </c>
      <c r="X193" t="str">
        <f ca="1">IF(AND(ISNUMBER($X$643),$B$419=1),$X$643,HLOOKUP(INDIRECT(ADDRESS(2,COLUMN())),OFFSET($BN$2,0,0,ROW()-1,60),ROW()-1,FALSE))</f>
        <v/>
      </c>
      <c r="Y193" t="str">
        <f ca="1">IF(AND(ISNUMBER($Y$643),$B$419=1),$Y$643,HLOOKUP(INDIRECT(ADDRESS(2,COLUMN())),OFFSET($BN$2,0,0,ROW()-1,60),ROW()-1,FALSE))</f>
        <v/>
      </c>
      <c r="Z193" t="str">
        <f ca="1">IF(AND(ISNUMBER($Z$643),$B$419=1),$Z$643,HLOOKUP(INDIRECT(ADDRESS(2,COLUMN())),OFFSET($BN$2,0,0,ROW()-1,60),ROW()-1,FALSE))</f>
        <v/>
      </c>
      <c r="AA193" t="str">
        <f ca="1">IF(AND(ISNUMBER($AA$643),$B$419=1),$AA$643,HLOOKUP(INDIRECT(ADDRESS(2,COLUMN())),OFFSET($BN$2,0,0,ROW()-1,60),ROW()-1,FALSE))</f>
        <v/>
      </c>
      <c r="AB193" t="str">
        <f ca="1">IF(AND(ISNUMBER($AB$643),$B$419=1),$AB$643,HLOOKUP(INDIRECT(ADDRESS(2,COLUMN())),OFFSET($BN$2,0,0,ROW()-1,60),ROW()-1,FALSE))</f>
        <v/>
      </c>
      <c r="AC193" t="str">
        <f ca="1">IF(AND(ISNUMBER($AC$643),$B$419=1),$AC$643,HLOOKUP(INDIRECT(ADDRESS(2,COLUMN())),OFFSET($BN$2,0,0,ROW()-1,60),ROW()-1,FALSE))</f>
        <v/>
      </c>
      <c r="AD193" t="str">
        <f ca="1">IF(AND(ISNUMBER($AD$643),$B$419=1),$AD$643,HLOOKUP(INDIRECT(ADDRESS(2,COLUMN())),OFFSET($BN$2,0,0,ROW()-1,60),ROW()-1,FALSE))</f>
        <v/>
      </c>
      <c r="AE193" t="str">
        <f ca="1">IF(AND(ISNUMBER($AE$643),$B$419=1),$AE$643,HLOOKUP(INDIRECT(ADDRESS(2,COLUMN())),OFFSET($BN$2,0,0,ROW()-1,60),ROW()-1,FALSE))</f>
        <v/>
      </c>
      <c r="AF193" t="str">
        <f ca="1">IF(AND(ISNUMBER($AF$643),$B$419=1),$AF$643,HLOOKUP(INDIRECT(ADDRESS(2,COLUMN())),OFFSET($BN$2,0,0,ROW()-1,60),ROW()-1,FALSE))</f>
        <v/>
      </c>
      <c r="AG193" t="str">
        <f ca="1">IF(AND(ISNUMBER($AG$643),$B$419=1),$AG$643,HLOOKUP(INDIRECT(ADDRESS(2,COLUMN())),OFFSET($BN$2,0,0,ROW()-1,60),ROW()-1,FALSE))</f>
        <v/>
      </c>
      <c r="AH193" t="str">
        <f ca="1">IF(AND(ISNUMBER($AH$643),$B$419=1),$AH$643,HLOOKUP(INDIRECT(ADDRESS(2,COLUMN())),OFFSET($BN$2,0,0,ROW()-1,60),ROW()-1,FALSE))</f>
        <v/>
      </c>
      <c r="AI193" t="str">
        <f ca="1">IF(AND(ISNUMBER($AI$643),$B$419=1),$AI$643,HLOOKUP(INDIRECT(ADDRESS(2,COLUMN())),OFFSET($BN$2,0,0,ROW()-1,60),ROW()-1,FALSE))</f>
        <v/>
      </c>
      <c r="AJ193" t="str">
        <f ca="1">IF(AND(ISNUMBER($AJ$643),$B$419=1),$AJ$643,HLOOKUP(INDIRECT(ADDRESS(2,COLUMN())),OFFSET($BN$2,0,0,ROW()-1,60),ROW()-1,FALSE))</f>
        <v/>
      </c>
      <c r="AK193" t="str">
        <f ca="1">IF(AND(ISNUMBER($AK$643),$B$419=1),$AK$643,HLOOKUP(INDIRECT(ADDRESS(2,COLUMN())),OFFSET($BN$2,0,0,ROW()-1,60),ROW()-1,FALSE))</f>
        <v/>
      </c>
      <c r="AL193" t="str">
        <f ca="1">IF(AND(ISNUMBER($AL$643),$B$419=1),$AL$643,HLOOKUP(INDIRECT(ADDRESS(2,COLUMN())),OFFSET($BN$2,0,0,ROW()-1,60),ROW()-1,FALSE))</f>
        <v/>
      </c>
      <c r="AM193" t="str">
        <f ca="1">IF(AND(ISNUMBER($AM$643),$B$419=1),$AM$643,HLOOKUP(INDIRECT(ADDRESS(2,COLUMN())),OFFSET($BN$2,0,0,ROW()-1,60),ROW()-1,FALSE))</f>
        <v/>
      </c>
      <c r="AN193" t="str">
        <f ca="1">IF(AND(ISNUMBER($AN$643),$B$419=1),$AN$643,HLOOKUP(INDIRECT(ADDRESS(2,COLUMN())),OFFSET($BN$2,0,0,ROW()-1,60),ROW()-1,FALSE))</f>
        <v/>
      </c>
      <c r="AO193" t="str">
        <f ca="1">IF(AND(ISNUMBER($AO$643),$B$419=1),$AO$643,HLOOKUP(INDIRECT(ADDRESS(2,COLUMN())),OFFSET($BN$2,0,0,ROW()-1,60),ROW()-1,FALSE))</f>
        <v/>
      </c>
      <c r="AP193" t="str">
        <f ca="1">IF(AND(ISNUMBER($AP$643),$B$419=1),$AP$643,HLOOKUP(INDIRECT(ADDRESS(2,COLUMN())),OFFSET($BN$2,0,0,ROW()-1,60),ROW()-1,FALSE))</f>
        <v/>
      </c>
      <c r="AQ193" t="str">
        <f ca="1">IF(AND(ISNUMBER($AQ$643),$B$419=1),$AQ$643,HLOOKUP(INDIRECT(ADDRESS(2,COLUMN())),OFFSET($BN$2,0,0,ROW()-1,60),ROW()-1,FALSE))</f>
        <v/>
      </c>
      <c r="AR193" t="str">
        <f ca="1">IF(AND(ISNUMBER($AR$643),$B$419=1),$AR$643,HLOOKUP(INDIRECT(ADDRESS(2,COLUMN())),OFFSET($BN$2,0,0,ROW()-1,60),ROW()-1,FALSE))</f>
        <v/>
      </c>
      <c r="AS193" t="str">
        <f ca="1">IF(AND(ISNUMBER($AS$643),$B$419=1),$AS$643,HLOOKUP(INDIRECT(ADDRESS(2,COLUMN())),OFFSET($BN$2,0,0,ROW()-1,60),ROW()-1,FALSE))</f>
        <v/>
      </c>
      <c r="AT193" t="str">
        <f ca="1">IF(AND(ISNUMBER($AT$643),$B$419=1),$AT$643,HLOOKUP(INDIRECT(ADDRESS(2,COLUMN())),OFFSET($BN$2,0,0,ROW()-1,60),ROW()-1,FALSE))</f>
        <v/>
      </c>
      <c r="AU193" t="str">
        <f ca="1">IF(AND(ISNUMBER($AU$643),$B$419=1),$AU$643,HLOOKUP(INDIRECT(ADDRESS(2,COLUMN())),OFFSET($BN$2,0,0,ROW()-1,60),ROW()-1,FALSE))</f>
        <v/>
      </c>
      <c r="AV193" t="str">
        <f ca="1">IF(AND(ISNUMBER($AV$643),$B$419=1),$AV$643,HLOOKUP(INDIRECT(ADDRESS(2,COLUMN())),OFFSET($BN$2,0,0,ROW()-1,60),ROW()-1,FALSE))</f>
        <v/>
      </c>
      <c r="AW193" t="str">
        <f ca="1">IF(AND(ISNUMBER($AW$643),$B$419=1),$AW$643,HLOOKUP(INDIRECT(ADDRESS(2,COLUMN())),OFFSET($BN$2,0,0,ROW()-1,60),ROW()-1,FALSE))</f>
        <v/>
      </c>
      <c r="AX193" t="str">
        <f ca="1">IF(AND(ISNUMBER($AX$643),$B$419=1),$AX$643,HLOOKUP(INDIRECT(ADDRESS(2,COLUMN())),OFFSET($BN$2,0,0,ROW()-1,60),ROW()-1,FALSE))</f>
        <v/>
      </c>
      <c r="AY193" t="str">
        <f ca="1">IF(AND(ISNUMBER($AY$643),$B$419=1),$AY$643,HLOOKUP(INDIRECT(ADDRESS(2,COLUMN())),OFFSET($BN$2,0,0,ROW()-1,60),ROW()-1,FALSE))</f>
        <v/>
      </c>
      <c r="AZ193" t="str">
        <f ca="1">IF(AND(ISNUMBER($AZ$643),$B$419=1),$AZ$643,HLOOKUP(INDIRECT(ADDRESS(2,COLUMN())),OFFSET($BN$2,0,0,ROW()-1,60),ROW()-1,FALSE))</f>
        <v/>
      </c>
      <c r="BA193" t="str">
        <f ca="1">IF(AND(ISNUMBER($BA$643),$B$419=1),$BA$643,HLOOKUP(INDIRECT(ADDRESS(2,COLUMN())),OFFSET($BN$2,0,0,ROW()-1,60),ROW()-1,FALSE))</f>
        <v/>
      </c>
      <c r="BB193" t="str">
        <f ca="1">IF(AND(ISNUMBER($BB$643),$B$419=1),$BB$643,HLOOKUP(INDIRECT(ADDRESS(2,COLUMN())),OFFSET($BN$2,0,0,ROW()-1,60),ROW()-1,FALSE))</f>
        <v/>
      </c>
      <c r="BC193" t="str">
        <f ca="1">IF(AND(ISNUMBER($BC$643),$B$419=1),$BC$643,HLOOKUP(INDIRECT(ADDRESS(2,COLUMN())),OFFSET($BN$2,0,0,ROW()-1,60),ROW()-1,FALSE))</f>
        <v/>
      </c>
      <c r="BD193" t="str">
        <f ca="1">IF(AND(ISNUMBER($BD$643),$B$419=1),$BD$643,HLOOKUP(INDIRECT(ADDRESS(2,COLUMN())),OFFSET($BN$2,0,0,ROW()-1,60),ROW()-1,FALSE))</f>
        <v/>
      </c>
      <c r="BE193" t="str">
        <f ca="1">IF(AND(ISNUMBER($BE$643),$B$419=1),$BE$643,HLOOKUP(INDIRECT(ADDRESS(2,COLUMN())),OFFSET($BN$2,0,0,ROW()-1,60),ROW()-1,FALSE))</f>
        <v/>
      </c>
      <c r="BF193" t="str">
        <f ca="1">IF(AND(ISNUMBER($BF$643),$B$419=1),$BF$643,HLOOKUP(INDIRECT(ADDRESS(2,COLUMN())),OFFSET($BN$2,0,0,ROW()-1,60),ROW()-1,FALSE))</f>
        <v/>
      </c>
      <c r="BG193" t="str">
        <f ca="1">IF(AND(ISNUMBER($BG$643),$B$419=1),$BG$643,HLOOKUP(INDIRECT(ADDRESS(2,COLUMN())),OFFSET($BN$2,0,0,ROW()-1,60),ROW()-1,FALSE))</f>
        <v/>
      </c>
      <c r="BH193" t="str">
        <f ca="1">IF(AND(ISNUMBER($BH$643),$B$419=1),$BH$643,HLOOKUP(INDIRECT(ADDRESS(2,COLUMN())),OFFSET($BN$2,0,0,ROW()-1,60),ROW()-1,FALSE))</f>
        <v/>
      </c>
      <c r="BI193" t="str">
        <f ca="1">IF(AND(ISNUMBER($BI$643),$B$419=1),$BI$643,HLOOKUP(INDIRECT(ADDRESS(2,COLUMN())),OFFSET($BN$2,0,0,ROW()-1,60),ROW()-1,FALSE))</f>
        <v/>
      </c>
      <c r="BJ193" t="str">
        <f ca="1">IF(AND(ISNUMBER($BJ$643),$B$419=1),$BJ$643,HLOOKUP(INDIRECT(ADDRESS(2,COLUMN())),OFFSET($BN$2,0,0,ROW()-1,60),ROW()-1,FALSE))</f>
        <v/>
      </c>
      <c r="BK193" t="str">
        <f ca="1">IF(AND(ISNUMBER($BK$643),$B$419=1),$BK$643,HLOOKUP(INDIRECT(ADDRESS(2,COLUMN())),OFFSET($BN$2,0,0,ROW()-1,60),ROW()-1,FALSE))</f>
        <v/>
      </c>
      <c r="BL193" t="str">
        <f ca="1">IF(AND(ISNUMBER($BL$643),$B$419=1),$BL$643,HLOOKUP(INDIRECT(ADDRESS(2,COLUMN())),OFFSET($BN$2,0,0,ROW()-1,60),ROW()-1,FALSE))</f>
        <v/>
      </c>
      <c r="BM193" t="str">
        <f ca="1">IF(AND(ISNUMBER($BM$643),$B$419=1),$BM$643,HLOOKUP(INDIRECT(ADDRESS(2,COLUMN())),OFFSET($BN$2,0,0,ROW()-1,60),ROW()-1,FALSE))</f>
        <v/>
      </c>
      <c r="BN193" t="str">
        <f>""</f>
        <v/>
      </c>
      <c r="BO193" t="str">
        <f>""</f>
        <v/>
      </c>
      <c r="BP193" t="str">
        <f>""</f>
        <v/>
      </c>
      <c r="BQ193" t="str">
        <f>""</f>
        <v/>
      </c>
      <c r="BR193" t="str">
        <f>""</f>
        <v/>
      </c>
      <c r="BS193" t="str">
        <f>""</f>
        <v/>
      </c>
      <c r="BT193" t="str">
        <f>""</f>
        <v/>
      </c>
      <c r="BU193" t="str">
        <f>""</f>
        <v/>
      </c>
      <c r="BV193" t="str">
        <f>""</f>
        <v/>
      </c>
      <c r="BW193" t="str">
        <f>""</f>
        <v/>
      </c>
      <c r="BX193" t="str">
        <f>""</f>
        <v/>
      </c>
      <c r="BY193" t="str">
        <f>""</f>
        <v/>
      </c>
      <c r="BZ193" t="str">
        <f>""</f>
        <v/>
      </c>
      <c r="CA193" t="str">
        <f>""</f>
        <v/>
      </c>
      <c r="CB193" t="str">
        <f>""</f>
        <v/>
      </c>
      <c r="CC193" t="str">
        <f>""</f>
        <v/>
      </c>
      <c r="CD193" t="str">
        <f>""</f>
        <v/>
      </c>
      <c r="CE193" t="str">
        <f>""</f>
        <v/>
      </c>
      <c r="CF193" t="str">
        <f>""</f>
        <v/>
      </c>
      <c r="CG193" t="str">
        <f>""</f>
        <v/>
      </c>
      <c r="CH193" t="str">
        <f>""</f>
        <v/>
      </c>
      <c r="CI193" t="str">
        <f>""</f>
        <v/>
      </c>
      <c r="CJ193" t="str">
        <f>""</f>
        <v/>
      </c>
      <c r="CK193" t="str">
        <f>""</f>
        <v/>
      </c>
      <c r="CL193" t="str">
        <f>""</f>
        <v/>
      </c>
      <c r="CM193" t="str">
        <f>""</f>
        <v/>
      </c>
      <c r="CN193" t="str">
        <f>""</f>
        <v/>
      </c>
      <c r="CO193" t="str">
        <f>""</f>
        <v/>
      </c>
      <c r="CP193" t="str">
        <f>""</f>
        <v/>
      </c>
      <c r="CQ193" t="str">
        <f>""</f>
        <v/>
      </c>
      <c r="CR193" t="str">
        <f>""</f>
        <v/>
      </c>
      <c r="CS193" t="str">
        <f>""</f>
        <v/>
      </c>
      <c r="CT193" t="str">
        <f>""</f>
        <v/>
      </c>
      <c r="CU193" t="str">
        <f>""</f>
        <v/>
      </c>
      <c r="CV193" t="str">
        <f>""</f>
        <v/>
      </c>
      <c r="CW193" t="str">
        <f>""</f>
        <v/>
      </c>
      <c r="CX193" t="str">
        <f>""</f>
        <v/>
      </c>
      <c r="CY193" t="str">
        <f>""</f>
        <v/>
      </c>
      <c r="CZ193" t="str">
        <f>""</f>
        <v/>
      </c>
      <c r="DA193" t="str">
        <f>""</f>
        <v/>
      </c>
      <c r="DB193" t="str">
        <f>""</f>
        <v/>
      </c>
      <c r="DC193" t="str">
        <f>""</f>
        <v/>
      </c>
      <c r="DD193" t="str">
        <f>""</f>
        <v/>
      </c>
      <c r="DE193" t="str">
        <f>""</f>
        <v/>
      </c>
      <c r="DF193" t="str">
        <f>""</f>
        <v/>
      </c>
      <c r="DG193" t="str">
        <f>""</f>
        <v/>
      </c>
      <c r="DH193" t="str">
        <f>""</f>
        <v/>
      </c>
      <c r="DI193" t="str">
        <f>""</f>
        <v/>
      </c>
      <c r="DJ193" t="str">
        <f>""</f>
        <v/>
      </c>
      <c r="DK193" t="str">
        <f>""</f>
        <v/>
      </c>
      <c r="DL193" t="str">
        <f>""</f>
        <v/>
      </c>
      <c r="DM193" t="str">
        <f>""</f>
        <v/>
      </c>
      <c r="DN193" t="str">
        <f>""</f>
        <v/>
      </c>
      <c r="DO193" t="str">
        <f>""</f>
        <v/>
      </c>
      <c r="DP193" t="str">
        <f>""</f>
        <v/>
      </c>
      <c r="DQ193" t="str">
        <f>""</f>
        <v/>
      </c>
      <c r="DR193" t="str">
        <f>""</f>
        <v/>
      </c>
      <c r="DS193" t="str">
        <f>""</f>
        <v/>
      </c>
      <c r="DT193" t="str">
        <f>""</f>
        <v/>
      </c>
      <c r="DU193" t="str">
        <f>""</f>
        <v/>
      </c>
    </row>
    <row r="194" spans="1:125">
      <c r="A194" t="str">
        <f>"    Washington Prime Group Inc"</f>
        <v xml:space="preserve">    Washington Prime Group Inc</v>
      </c>
      <c r="B194" t="str">
        <f>"WPG US Equity"</f>
        <v>WPG US Equity</v>
      </c>
      <c r="C194" t="str">
        <f t="shared" si="33"/>
        <v>BE592</v>
      </c>
      <c r="D194" t="str">
        <f t="shared" si="34"/>
        <v>BEST_FFOPS_YOY_GTH</v>
      </c>
      <c r="E194" t="str">
        <f t="shared" si="35"/>
        <v>动态</v>
      </c>
      <c r="F194" t="str">
        <f ca="1">IF(AND(ISNUMBER($F$644),$B$419=1),$F$644,HLOOKUP(INDIRECT(ADDRESS(2,COLUMN())),OFFSET($BN$2,0,0,ROW()-1,60),ROW()-1,FALSE))</f>
        <v/>
      </c>
      <c r="G194" t="str">
        <f ca="1">IF(AND(ISNUMBER($G$644),$B$419=1),$G$644,HLOOKUP(INDIRECT(ADDRESS(2,COLUMN())),OFFSET($BN$2,0,0,ROW()-1,60),ROW()-1,FALSE))</f>
        <v/>
      </c>
      <c r="H194" t="str">
        <f ca="1">IF(AND(ISNUMBER($H$644),$B$419=1),$H$644,HLOOKUP(INDIRECT(ADDRESS(2,COLUMN())),OFFSET($BN$2,0,0,ROW()-1,60),ROW()-1,FALSE))</f>
        <v/>
      </c>
      <c r="I194" t="str">
        <f ca="1">IF(AND(ISNUMBER($I$644),$B$419=1),$I$644,HLOOKUP(INDIRECT(ADDRESS(2,COLUMN())),OFFSET($BN$2,0,0,ROW()-1,60),ROW()-1,FALSE))</f>
        <v/>
      </c>
      <c r="J194" t="str">
        <f ca="1">IF(AND(ISNUMBER($J$644),$B$419=1),$J$644,HLOOKUP(INDIRECT(ADDRESS(2,COLUMN())),OFFSET($BN$2,0,0,ROW()-1,60),ROW()-1,FALSE))</f>
        <v/>
      </c>
      <c r="K194" t="str">
        <f ca="1">IF(AND(ISNUMBER($K$644),$B$419=1),$K$644,HLOOKUP(INDIRECT(ADDRESS(2,COLUMN())),OFFSET($BN$2,0,0,ROW()-1,60),ROW()-1,FALSE))</f>
        <v/>
      </c>
      <c r="L194" t="str">
        <f ca="1">IF(AND(ISNUMBER($L$644),$B$419=1),$L$644,HLOOKUP(INDIRECT(ADDRESS(2,COLUMN())),OFFSET($BN$2,0,0,ROW()-1,60),ROW()-1,FALSE))</f>
        <v/>
      </c>
      <c r="M194" t="str">
        <f ca="1">IF(AND(ISNUMBER($M$644),$B$419=1),$M$644,HLOOKUP(INDIRECT(ADDRESS(2,COLUMN())),OFFSET($BN$2,0,0,ROW()-1,60),ROW()-1,FALSE))</f>
        <v/>
      </c>
      <c r="N194" t="str">
        <f ca="1">IF(AND(ISNUMBER($N$644),$B$419=1),$N$644,HLOOKUP(INDIRECT(ADDRESS(2,COLUMN())),OFFSET($BN$2,0,0,ROW()-1,60),ROW()-1,FALSE))</f>
        <v/>
      </c>
      <c r="O194" t="str">
        <f ca="1">IF(AND(ISNUMBER($O$644),$B$419=1),$O$644,HLOOKUP(INDIRECT(ADDRESS(2,COLUMN())),OFFSET($BN$2,0,0,ROW()-1,60),ROW()-1,FALSE))</f>
        <v/>
      </c>
      <c r="P194" t="str">
        <f ca="1">IF(AND(ISNUMBER($P$644),$B$419=1),$P$644,HLOOKUP(INDIRECT(ADDRESS(2,COLUMN())),OFFSET($BN$2,0,0,ROW()-1,60),ROW()-1,FALSE))</f>
        <v/>
      </c>
      <c r="Q194" t="str">
        <f ca="1">IF(AND(ISNUMBER($Q$644),$B$419=1),$Q$644,HLOOKUP(INDIRECT(ADDRESS(2,COLUMN())),OFFSET($BN$2,0,0,ROW()-1,60),ROW()-1,FALSE))</f>
        <v/>
      </c>
      <c r="R194" t="str">
        <f ca="1">IF(AND(ISNUMBER($R$644),$B$419=1),$R$644,HLOOKUP(INDIRECT(ADDRESS(2,COLUMN())),OFFSET($BN$2,0,0,ROW()-1,60),ROW()-1,FALSE))</f>
        <v/>
      </c>
      <c r="S194" t="str">
        <f ca="1">IF(AND(ISNUMBER($S$644),$B$419=1),$S$644,HLOOKUP(INDIRECT(ADDRESS(2,COLUMN())),OFFSET($BN$2,0,0,ROW()-1,60),ROW()-1,FALSE))</f>
        <v/>
      </c>
      <c r="T194" t="str">
        <f ca="1">IF(AND(ISNUMBER($T$644),$B$419=1),$T$644,HLOOKUP(INDIRECT(ADDRESS(2,COLUMN())),OFFSET($BN$2,0,0,ROW()-1,60),ROW()-1,FALSE))</f>
        <v/>
      </c>
      <c r="U194" t="str">
        <f ca="1">IF(AND(ISNUMBER($U$644),$B$419=1),$U$644,HLOOKUP(INDIRECT(ADDRESS(2,COLUMN())),OFFSET($BN$2,0,0,ROW()-1,60),ROW()-1,FALSE))</f>
        <v/>
      </c>
      <c r="V194" t="str">
        <f ca="1">IF(AND(ISNUMBER($V$644),$B$419=1),$V$644,HLOOKUP(INDIRECT(ADDRESS(2,COLUMN())),OFFSET($BN$2,0,0,ROW()-1,60),ROW()-1,FALSE))</f>
        <v/>
      </c>
      <c r="W194" t="str">
        <f ca="1">IF(AND(ISNUMBER($W$644),$B$419=1),$W$644,HLOOKUP(INDIRECT(ADDRESS(2,COLUMN())),OFFSET($BN$2,0,0,ROW()-1,60),ROW()-1,FALSE))</f>
        <v/>
      </c>
      <c r="X194" t="str">
        <f ca="1">IF(AND(ISNUMBER($X$644),$B$419=1),$X$644,HLOOKUP(INDIRECT(ADDRESS(2,COLUMN())),OFFSET($BN$2,0,0,ROW()-1,60),ROW()-1,FALSE))</f>
        <v/>
      </c>
      <c r="Y194" t="str">
        <f ca="1">IF(AND(ISNUMBER($Y$644),$B$419=1),$Y$644,HLOOKUP(INDIRECT(ADDRESS(2,COLUMN())),OFFSET($BN$2,0,0,ROW()-1,60),ROW()-1,FALSE))</f>
        <v/>
      </c>
      <c r="Z194" t="str">
        <f ca="1">IF(AND(ISNUMBER($Z$644),$B$419=1),$Z$644,HLOOKUP(INDIRECT(ADDRESS(2,COLUMN())),OFFSET($BN$2,0,0,ROW()-1,60),ROW()-1,FALSE))</f>
        <v/>
      </c>
      <c r="AA194" t="str">
        <f ca="1">IF(AND(ISNUMBER($AA$644),$B$419=1),$AA$644,HLOOKUP(INDIRECT(ADDRESS(2,COLUMN())),OFFSET($BN$2,0,0,ROW()-1,60),ROW()-1,FALSE))</f>
        <v/>
      </c>
      <c r="AB194" t="str">
        <f ca="1">IF(AND(ISNUMBER($AB$644),$B$419=1),$AB$644,HLOOKUP(INDIRECT(ADDRESS(2,COLUMN())),OFFSET($BN$2,0,0,ROW()-1,60),ROW()-1,FALSE))</f>
        <v/>
      </c>
      <c r="AC194" t="str">
        <f ca="1">IF(AND(ISNUMBER($AC$644),$B$419=1),$AC$644,HLOOKUP(INDIRECT(ADDRESS(2,COLUMN())),OFFSET($BN$2,0,0,ROW()-1,60),ROW()-1,FALSE))</f>
        <v/>
      </c>
      <c r="AD194" t="str">
        <f ca="1">IF(AND(ISNUMBER($AD$644),$B$419=1),$AD$644,HLOOKUP(INDIRECT(ADDRESS(2,COLUMN())),OFFSET($BN$2,0,0,ROW()-1,60),ROW()-1,FALSE))</f>
        <v/>
      </c>
      <c r="AE194" t="str">
        <f ca="1">IF(AND(ISNUMBER($AE$644),$B$419=1),$AE$644,HLOOKUP(INDIRECT(ADDRESS(2,COLUMN())),OFFSET($BN$2,0,0,ROW()-1,60),ROW()-1,FALSE))</f>
        <v/>
      </c>
      <c r="AF194" t="str">
        <f ca="1">IF(AND(ISNUMBER($AF$644),$B$419=1),$AF$644,HLOOKUP(INDIRECT(ADDRESS(2,COLUMN())),OFFSET($BN$2,0,0,ROW()-1,60),ROW()-1,FALSE))</f>
        <v/>
      </c>
      <c r="AG194" t="str">
        <f ca="1">IF(AND(ISNUMBER($AG$644),$B$419=1),$AG$644,HLOOKUP(INDIRECT(ADDRESS(2,COLUMN())),OFFSET($BN$2,0,0,ROW()-1,60),ROW()-1,FALSE))</f>
        <v/>
      </c>
      <c r="AH194" t="str">
        <f ca="1">IF(AND(ISNUMBER($AH$644),$B$419=1),$AH$644,HLOOKUP(INDIRECT(ADDRESS(2,COLUMN())),OFFSET($BN$2,0,0,ROW()-1,60),ROW()-1,FALSE))</f>
        <v/>
      </c>
      <c r="AI194" t="str">
        <f ca="1">IF(AND(ISNUMBER($AI$644),$B$419=1),$AI$644,HLOOKUP(INDIRECT(ADDRESS(2,COLUMN())),OFFSET($BN$2,0,0,ROW()-1,60),ROW()-1,FALSE))</f>
        <v/>
      </c>
      <c r="AJ194" t="str">
        <f ca="1">IF(AND(ISNUMBER($AJ$644),$B$419=1),$AJ$644,HLOOKUP(INDIRECT(ADDRESS(2,COLUMN())),OFFSET($BN$2,0,0,ROW()-1,60),ROW()-1,FALSE))</f>
        <v/>
      </c>
      <c r="AK194" t="str">
        <f ca="1">IF(AND(ISNUMBER($AK$644),$B$419=1),$AK$644,HLOOKUP(INDIRECT(ADDRESS(2,COLUMN())),OFFSET($BN$2,0,0,ROW()-1,60),ROW()-1,FALSE))</f>
        <v/>
      </c>
      <c r="AL194" t="str">
        <f ca="1">IF(AND(ISNUMBER($AL$644),$B$419=1),$AL$644,HLOOKUP(INDIRECT(ADDRESS(2,COLUMN())),OFFSET($BN$2,0,0,ROW()-1,60),ROW()-1,FALSE))</f>
        <v/>
      </c>
      <c r="AM194" t="str">
        <f ca="1">IF(AND(ISNUMBER($AM$644),$B$419=1),$AM$644,HLOOKUP(INDIRECT(ADDRESS(2,COLUMN())),OFFSET($BN$2,0,0,ROW()-1,60),ROW()-1,FALSE))</f>
        <v/>
      </c>
      <c r="AN194" t="str">
        <f ca="1">IF(AND(ISNUMBER($AN$644),$B$419=1),$AN$644,HLOOKUP(INDIRECT(ADDRESS(2,COLUMN())),OFFSET($BN$2,0,0,ROW()-1,60),ROW()-1,FALSE))</f>
        <v/>
      </c>
      <c r="AO194" t="str">
        <f ca="1">IF(AND(ISNUMBER($AO$644),$B$419=1),$AO$644,HLOOKUP(INDIRECT(ADDRESS(2,COLUMN())),OFFSET($BN$2,0,0,ROW()-1,60),ROW()-1,FALSE))</f>
        <v/>
      </c>
      <c r="AP194" t="str">
        <f ca="1">IF(AND(ISNUMBER($AP$644),$B$419=1),$AP$644,HLOOKUP(INDIRECT(ADDRESS(2,COLUMN())),OFFSET($BN$2,0,0,ROW()-1,60),ROW()-1,FALSE))</f>
        <v/>
      </c>
      <c r="AQ194" t="str">
        <f ca="1">IF(AND(ISNUMBER($AQ$644),$B$419=1),$AQ$644,HLOOKUP(INDIRECT(ADDRESS(2,COLUMN())),OFFSET($BN$2,0,0,ROW()-1,60),ROW()-1,FALSE))</f>
        <v/>
      </c>
      <c r="AR194" t="str">
        <f ca="1">IF(AND(ISNUMBER($AR$644),$B$419=1),$AR$644,HLOOKUP(INDIRECT(ADDRESS(2,COLUMN())),OFFSET($BN$2,0,0,ROW()-1,60),ROW()-1,FALSE))</f>
        <v/>
      </c>
      <c r="AS194" t="str">
        <f ca="1">IF(AND(ISNUMBER($AS$644),$B$419=1),$AS$644,HLOOKUP(INDIRECT(ADDRESS(2,COLUMN())),OFFSET($BN$2,0,0,ROW()-1,60),ROW()-1,FALSE))</f>
        <v/>
      </c>
      <c r="AT194" t="str">
        <f ca="1">IF(AND(ISNUMBER($AT$644),$B$419=1),$AT$644,HLOOKUP(INDIRECT(ADDRESS(2,COLUMN())),OFFSET($BN$2,0,0,ROW()-1,60),ROW()-1,FALSE))</f>
        <v/>
      </c>
      <c r="AU194" t="str">
        <f ca="1">IF(AND(ISNUMBER($AU$644),$B$419=1),$AU$644,HLOOKUP(INDIRECT(ADDRESS(2,COLUMN())),OFFSET($BN$2,0,0,ROW()-1,60),ROW()-1,FALSE))</f>
        <v/>
      </c>
      <c r="AV194" t="str">
        <f ca="1">IF(AND(ISNUMBER($AV$644),$B$419=1),$AV$644,HLOOKUP(INDIRECT(ADDRESS(2,COLUMN())),OFFSET($BN$2,0,0,ROW()-1,60),ROW()-1,FALSE))</f>
        <v/>
      </c>
      <c r="AW194" t="str">
        <f ca="1">IF(AND(ISNUMBER($AW$644),$B$419=1),$AW$644,HLOOKUP(INDIRECT(ADDRESS(2,COLUMN())),OFFSET($BN$2,0,0,ROW()-1,60),ROW()-1,FALSE))</f>
        <v/>
      </c>
      <c r="AX194" t="str">
        <f ca="1">IF(AND(ISNUMBER($AX$644),$B$419=1),$AX$644,HLOOKUP(INDIRECT(ADDRESS(2,COLUMN())),OFFSET($BN$2,0,0,ROW()-1,60),ROW()-1,FALSE))</f>
        <v/>
      </c>
      <c r="AY194" t="str">
        <f ca="1">IF(AND(ISNUMBER($AY$644),$B$419=1),$AY$644,HLOOKUP(INDIRECT(ADDRESS(2,COLUMN())),OFFSET($BN$2,0,0,ROW()-1,60),ROW()-1,FALSE))</f>
        <v/>
      </c>
      <c r="AZ194" t="str">
        <f ca="1">IF(AND(ISNUMBER($AZ$644),$B$419=1),$AZ$644,HLOOKUP(INDIRECT(ADDRESS(2,COLUMN())),OFFSET($BN$2,0,0,ROW()-1,60),ROW()-1,FALSE))</f>
        <v/>
      </c>
      <c r="BA194" t="str">
        <f ca="1">IF(AND(ISNUMBER($BA$644),$B$419=1),$BA$644,HLOOKUP(INDIRECT(ADDRESS(2,COLUMN())),OFFSET($BN$2,0,0,ROW()-1,60),ROW()-1,FALSE))</f>
        <v/>
      </c>
      <c r="BB194" t="str">
        <f ca="1">IF(AND(ISNUMBER($BB$644),$B$419=1),$BB$644,HLOOKUP(INDIRECT(ADDRESS(2,COLUMN())),OFFSET($BN$2,0,0,ROW()-1,60),ROW()-1,FALSE))</f>
        <v/>
      </c>
      <c r="BC194" t="str">
        <f ca="1">IF(AND(ISNUMBER($BC$644),$B$419=1),$BC$644,HLOOKUP(INDIRECT(ADDRESS(2,COLUMN())),OFFSET($BN$2,0,0,ROW()-1,60),ROW()-1,FALSE))</f>
        <v/>
      </c>
      <c r="BD194" t="str">
        <f ca="1">IF(AND(ISNUMBER($BD$644),$B$419=1),$BD$644,HLOOKUP(INDIRECT(ADDRESS(2,COLUMN())),OFFSET($BN$2,0,0,ROW()-1,60),ROW()-1,FALSE))</f>
        <v/>
      </c>
      <c r="BE194" t="str">
        <f ca="1">IF(AND(ISNUMBER($BE$644),$B$419=1),$BE$644,HLOOKUP(INDIRECT(ADDRESS(2,COLUMN())),OFFSET($BN$2,0,0,ROW()-1,60),ROW()-1,FALSE))</f>
        <v/>
      </c>
      <c r="BF194" t="str">
        <f ca="1">IF(AND(ISNUMBER($BF$644),$B$419=1),$BF$644,HLOOKUP(INDIRECT(ADDRESS(2,COLUMN())),OFFSET($BN$2,0,0,ROW()-1,60),ROW()-1,FALSE))</f>
        <v/>
      </c>
      <c r="BG194" t="str">
        <f ca="1">IF(AND(ISNUMBER($BG$644),$B$419=1),$BG$644,HLOOKUP(INDIRECT(ADDRESS(2,COLUMN())),OFFSET($BN$2,0,0,ROW()-1,60),ROW()-1,FALSE))</f>
        <v/>
      </c>
      <c r="BH194" t="str">
        <f ca="1">IF(AND(ISNUMBER($BH$644),$B$419=1),$BH$644,HLOOKUP(INDIRECT(ADDRESS(2,COLUMN())),OFFSET($BN$2,0,0,ROW()-1,60),ROW()-1,FALSE))</f>
        <v/>
      </c>
      <c r="BI194" t="str">
        <f ca="1">IF(AND(ISNUMBER($BI$644),$B$419=1),$BI$644,HLOOKUP(INDIRECT(ADDRESS(2,COLUMN())),OFFSET($BN$2,0,0,ROW()-1,60),ROW()-1,FALSE))</f>
        <v/>
      </c>
      <c r="BJ194" t="str">
        <f ca="1">IF(AND(ISNUMBER($BJ$644),$B$419=1),$BJ$644,HLOOKUP(INDIRECT(ADDRESS(2,COLUMN())),OFFSET($BN$2,0,0,ROW()-1,60),ROW()-1,FALSE))</f>
        <v/>
      </c>
      <c r="BK194" t="str">
        <f ca="1">IF(AND(ISNUMBER($BK$644),$B$419=1),$BK$644,HLOOKUP(INDIRECT(ADDRESS(2,COLUMN())),OFFSET($BN$2,0,0,ROW()-1,60),ROW()-1,FALSE))</f>
        <v/>
      </c>
      <c r="BL194" t="str">
        <f ca="1">IF(AND(ISNUMBER($BL$644),$B$419=1),$BL$644,HLOOKUP(INDIRECT(ADDRESS(2,COLUMN())),OFFSET($BN$2,0,0,ROW()-1,60),ROW()-1,FALSE))</f>
        <v/>
      </c>
      <c r="BM194" t="str">
        <f ca="1">IF(AND(ISNUMBER($BM$644),$B$419=1),$BM$644,HLOOKUP(INDIRECT(ADDRESS(2,COLUMN())),OFFSET($BN$2,0,0,ROW()-1,60),ROW()-1,FALSE))</f>
        <v/>
      </c>
      <c r="BN194" t="str">
        <f>""</f>
        <v/>
      </c>
      <c r="BO194" t="str">
        <f>""</f>
        <v/>
      </c>
      <c r="BP194" t="str">
        <f>""</f>
        <v/>
      </c>
      <c r="BQ194" t="str">
        <f>""</f>
        <v/>
      </c>
      <c r="BR194" t="str">
        <f>""</f>
        <v/>
      </c>
      <c r="BS194" t="str">
        <f>""</f>
        <v/>
      </c>
      <c r="BT194" t="str">
        <f>""</f>
        <v/>
      </c>
      <c r="BU194" t="str">
        <f>""</f>
        <v/>
      </c>
      <c r="BV194" t="str">
        <f>""</f>
        <v/>
      </c>
      <c r="BW194" t="str">
        <f>""</f>
        <v/>
      </c>
      <c r="BX194" t="str">
        <f>""</f>
        <v/>
      </c>
      <c r="BY194" t="str">
        <f>""</f>
        <v/>
      </c>
      <c r="BZ194" t="str">
        <f>""</f>
        <v/>
      </c>
      <c r="CA194" t="str">
        <f>""</f>
        <v/>
      </c>
      <c r="CB194" t="str">
        <f>""</f>
        <v/>
      </c>
      <c r="CC194" t="str">
        <f>""</f>
        <v/>
      </c>
      <c r="CD194" t="str">
        <f>""</f>
        <v/>
      </c>
      <c r="CE194" t="str">
        <f>""</f>
        <v/>
      </c>
      <c r="CF194" t="str">
        <f>""</f>
        <v/>
      </c>
      <c r="CG194" t="str">
        <f>""</f>
        <v/>
      </c>
      <c r="CH194" t="str">
        <f>""</f>
        <v/>
      </c>
      <c r="CI194" t="str">
        <f>""</f>
        <v/>
      </c>
      <c r="CJ194" t="str">
        <f>""</f>
        <v/>
      </c>
      <c r="CK194" t="str">
        <f>""</f>
        <v/>
      </c>
      <c r="CL194" t="str">
        <f>""</f>
        <v/>
      </c>
      <c r="CM194" t="str">
        <f>""</f>
        <v/>
      </c>
      <c r="CN194" t="str">
        <f>""</f>
        <v/>
      </c>
      <c r="CO194" t="str">
        <f>""</f>
        <v/>
      </c>
      <c r="CP194" t="str">
        <f>""</f>
        <v/>
      </c>
      <c r="CQ194" t="str">
        <f>""</f>
        <v/>
      </c>
      <c r="CR194" t="str">
        <f>""</f>
        <v/>
      </c>
      <c r="CS194" t="str">
        <f>""</f>
        <v/>
      </c>
      <c r="CT194" t="str">
        <f>""</f>
        <v/>
      </c>
      <c r="CU194" t="str">
        <f>""</f>
        <v/>
      </c>
      <c r="CV194" t="str">
        <f>""</f>
        <v/>
      </c>
      <c r="CW194" t="str">
        <f>""</f>
        <v/>
      </c>
      <c r="CX194" t="str">
        <f>""</f>
        <v/>
      </c>
      <c r="CY194" t="str">
        <f>""</f>
        <v/>
      </c>
      <c r="CZ194" t="str">
        <f>""</f>
        <v/>
      </c>
      <c r="DA194" t="str">
        <f>""</f>
        <v/>
      </c>
      <c r="DB194" t="str">
        <f>""</f>
        <v/>
      </c>
      <c r="DC194" t="str">
        <f>""</f>
        <v/>
      </c>
      <c r="DD194" t="str">
        <f>""</f>
        <v/>
      </c>
      <c r="DE194" t="str">
        <f>""</f>
        <v/>
      </c>
      <c r="DF194" t="str">
        <f>""</f>
        <v/>
      </c>
      <c r="DG194" t="str">
        <f>""</f>
        <v/>
      </c>
      <c r="DH194" t="str">
        <f>""</f>
        <v/>
      </c>
      <c r="DI194" t="str">
        <f>""</f>
        <v/>
      </c>
      <c r="DJ194" t="str">
        <f>""</f>
        <v/>
      </c>
      <c r="DK194" t="str">
        <f>""</f>
        <v/>
      </c>
      <c r="DL194" t="str">
        <f>""</f>
        <v/>
      </c>
      <c r="DM194" t="str">
        <f>""</f>
        <v/>
      </c>
      <c r="DN194" t="str">
        <f>""</f>
        <v/>
      </c>
      <c r="DO194" t="str">
        <f>""</f>
        <v/>
      </c>
      <c r="DP194" t="str">
        <f>""</f>
        <v/>
      </c>
      <c r="DQ194" t="str">
        <f>""</f>
        <v/>
      </c>
      <c r="DR194" t="str">
        <f>""</f>
        <v/>
      </c>
      <c r="DS194" t="str">
        <f>""</f>
        <v/>
      </c>
      <c r="DT194" t="str">
        <f>""</f>
        <v/>
      </c>
      <c r="DU194" t="str">
        <f>""</f>
        <v/>
      </c>
    </row>
    <row r="195" spans="1:125">
      <c r="A195" t="str">
        <f>"    Weingarten Realty Investors"</f>
        <v xml:space="preserve">    Weingarten Realty Investors</v>
      </c>
      <c r="B195" t="str">
        <f>"WRI US Equity"</f>
        <v>WRI US Equity</v>
      </c>
      <c r="C195" t="str">
        <f t="shared" si="33"/>
        <v>BE592</v>
      </c>
      <c r="D195" t="str">
        <f t="shared" si="34"/>
        <v>BEST_FFOPS_YOY_GTH</v>
      </c>
      <c r="E195" t="str">
        <f t="shared" si="35"/>
        <v>动态</v>
      </c>
      <c r="F195" t="str">
        <f ca="1">IF(AND(ISNUMBER($F$645),$B$419=1),$F$645,HLOOKUP(INDIRECT(ADDRESS(2,COLUMN())),OFFSET($BN$2,0,0,ROW()-1,60),ROW()-1,FALSE))</f>
        <v/>
      </c>
      <c r="G195" t="str">
        <f ca="1">IF(AND(ISNUMBER($G$645),$B$419=1),$G$645,HLOOKUP(INDIRECT(ADDRESS(2,COLUMN())),OFFSET($BN$2,0,0,ROW()-1,60),ROW()-1,FALSE))</f>
        <v/>
      </c>
      <c r="H195" t="str">
        <f ca="1">IF(AND(ISNUMBER($H$645),$B$419=1),$H$645,HLOOKUP(INDIRECT(ADDRESS(2,COLUMN())),OFFSET($BN$2,0,0,ROW()-1,60),ROW()-1,FALSE))</f>
        <v/>
      </c>
      <c r="I195" t="str">
        <f ca="1">IF(AND(ISNUMBER($I$645),$B$419=1),$I$645,HLOOKUP(INDIRECT(ADDRESS(2,COLUMN())),OFFSET($BN$2,0,0,ROW()-1,60),ROW()-1,FALSE))</f>
        <v/>
      </c>
      <c r="J195" t="str">
        <f ca="1">IF(AND(ISNUMBER($J$645),$B$419=1),$J$645,HLOOKUP(INDIRECT(ADDRESS(2,COLUMN())),OFFSET($BN$2,0,0,ROW()-1,60),ROW()-1,FALSE))</f>
        <v/>
      </c>
      <c r="K195" t="str">
        <f ca="1">IF(AND(ISNUMBER($K$645),$B$419=1),$K$645,HLOOKUP(INDIRECT(ADDRESS(2,COLUMN())),OFFSET($BN$2,0,0,ROW()-1,60),ROW()-1,FALSE))</f>
        <v/>
      </c>
      <c r="L195" t="str">
        <f ca="1">IF(AND(ISNUMBER($L$645),$B$419=1),$L$645,HLOOKUP(INDIRECT(ADDRESS(2,COLUMN())),OFFSET($BN$2,0,0,ROW()-1,60),ROW()-1,FALSE))</f>
        <v/>
      </c>
      <c r="M195" t="str">
        <f ca="1">IF(AND(ISNUMBER($M$645),$B$419=1),$M$645,HLOOKUP(INDIRECT(ADDRESS(2,COLUMN())),OFFSET($BN$2,0,0,ROW()-1,60),ROW()-1,FALSE))</f>
        <v/>
      </c>
      <c r="N195" t="str">
        <f ca="1">IF(AND(ISNUMBER($N$645),$B$419=1),$N$645,HLOOKUP(INDIRECT(ADDRESS(2,COLUMN())),OFFSET($BN$2,0,0,ROW()-1,60),ROW()-1,FALSE))</f>
        <v/>
      </c>
      <c r="O195" t="str">
        <f ca="1">IF(AND(ISNUMBER($O$645),$B$419=1),$O$645,HLOOKUP(INDIRECT(ADDRESS(2,COLUMN())),OFFSET($BN$2,0,0,ROW()-1,60),ROW()-1,FALSE))</f>
        <v/>
      </c>
      <c r="P195" t="str">
        <f ca="1">IF(AND(ISNUMBER($P$645),$B$419=1),$P$645,HLOOKUP(INDIRECT(ADDRESS(2,COLUMN())),OFFSET($BN$2,0,0,ROW()-1,60),ROW()-1,FALSE))</f>
        <v/>
      </c>
      <c r="Q195" t="str">
        <f ca="1">IF(AND(ISNUMBER($Q$645),$B$419=1),$Q$645,HLOOKUP(INDIRECT(ADDRESS(2,COLUMN())),OFFSET($BN$2,0,0,ROW()-1,60),ROW()-1,FALSE))</f>
        <v/>
      </c>
      <c r="R195" t="str">
        <f ca="1">IF(AND(ISNUMBER($R$645),$B$419=1),$R$645,HLOOKUP(INDIRECT(ADDRESS(2,COLUMN())),OFFSET($BN$2,0,0,ROW()-1,60),ROW()-1,FALSE))</f>
        <v/>
      </c>
      <c r="S195" t="str">
        <f ca="1">IF(AND(ISNUMBER($S$645),$B$419=1),$S$645,HLOOKUP(INDIRECT(ADDRESS(2,COLUMN())),OFFSET($BN$2,0,0,ROW()-1,60),ROW()-1,FALSE))</f>
        <v/>
      </c>
      <c r="T195" t="str">
        <f ca="1">IF(AND(ISNUMBER($T$645),$B$419=1),$T$645,HLOOKUP(INDIRECT(ADDRESS(2,COLUMN())),OFFSET($BN$2,0,0,ROW()-1,60),ROW()-1,FALSE))</f>
        <v/>
      </c>
      <c r="U195" t="str">
        <f ca="1">IF(AND(ISNUMBER($U$645),$B$419=1),$U$645,HLOOKUP(INDIRECT(ADDRESS(2,COLUMN())),OFFSET($BN$2,0,0,ROW()-1,60),ROW()-1,FALSE))</f>
        <v/>
      </c>
      <c r="V195" t="str">
        <f ca="1">IF(AND(ISNUMBER($V$645),$B$419=1),$V$645,HLOOKUP(INDIRECT(ADDRESS(2,COLUMN())),OFFSET($BN$2,0,0,ROW()-1,60),ROW()-1,FALSE))</f>
        <v/>
      </c>
      <c r="W195" t="str">
        <f ca="1">IF(AND(ISNUMBER($W$645),$B$419=1),$W$645,HLOOKUP(INDIRECT(ADDRESS(2,COLUMN())),OFFSET($BN$2,0,0,ROW()-1,60),ROW()-1,FALSE))</f>
        <v/>
      </c>
      <c r="X195" t="str">
        <f ca="1">IF(AND(ISNUMBER($X$645),$B$419=1),$X$645,HLOOKUP(INDIRECT(ADDRESS(2,COLUMN())),OFFSET($BN$2,0,0,ROW()-1,60),ROW()-1,FALSE))</f>
        <v/>
      </c>
      <c r="Y195" t="str">
        <f ca="1">IF(AND(ISNUMBER($Y$645),$B$419=1),$Y$645,HLOOKUP(INDIRECT(ADDRESS(2,COLUMN())),OFFSET($BN$2,0,0,ROW()-1,60),ROW()-1,FALSE))</f>
        <v/>
      </c>
      <c r="Z195" t="str">
        <f ca="1">IF(AND(ISNUMBER($Z$645),$B$419=1),$Z$645,HLOOKUP(INDIRECT(ADDRESS(2,COLUMN())),OFFSET($BN$2,0,0,ROW()-1,60),ROW()-1,FALSE))</f>
        <v/>
      </c>
      <c r="AA195" t="str">
        <f ca="1">IF(AND(ISNUMBER($AA$645),$B$419=1),$AA$645,HLOOKUP(INDIRECT(ADDRESS(2,COLUMN())),OFFSET($BN$2,0,0,ROW()-1,60),ROW()-1,FALSE))</f>
        <v/>
      </c>
      <c r="AB195" t="str">
        <f ca="1">IF(AND(ISNUMBER($AB$645),$B$419=1),$AB$645,HLOOKUP(INDIRECT(ADDRESS(2,COLUMN())),OFFSET($BN$2,0,0,ROW()-1,60),ROW()-1,FALSE))</f>
        <v/>
      </c>
      <c r="AC195" t="str">
        <f ca="1">IF(AND(ISNUMBER($AC$645),$B$419=1),$AC$645,HLOOKUP(INDIRECT(ADDRESS(2,COLUMN())),OFFSET($BN$2,0,0,ROW()-1,60),ROW()-1,FALSE))</f>
        <v/>
      </c>
      <c r="AD195" t="str">
        <f ca="1">IF(AND(ISNUMBER($AD$645),$B$419=1),$AD$645,HLOOKUP(INDIRECT(ADDRESS(2,COLUMN())),OFFSET($BN$2,0,0,ROW()-1,60),ROW()-1,FALSE))</f>
        <v/>
      </c>
      <c r="AE195" t="str">
        <f ca="1">IF(AND(ISNUMBER($AE$645),$B$419=1),$AE$645,HLOOKUP(INDIRECT(ADDRESS(2,COLUMN())),OFFSET($BN$2,0,0,ROW()-1,60),ROW()-1,FALSE))</f>
        <v/>
      </c>
      <c r="AF195" t="str">
        <f ca="1">IF(AND(ISNUMBER($AF$645),$B$419=1),$AF$645,HLOOKUP(INDIRECT(ADDRESS(2,COLUMN())),OFFSET($BN$2,0,0,ROW()-1,60),ROW()-1,FALSE))</f>
        <v/>
      </c>
      <c r="AG195" t="str">
        <f ca="1">IF(AND(ISNUMBER($AG$645),$B$419=1),$AG$645,HLOOKUP(INDIRECT(ADDRESS(2,COLUMN())),OFFSET($BN$2,0,0,ROW()-1,60),ROW()-1,FALSE))</f>
        <v/>
      </c>
      <c r="AH195" t="str">
        <f ca="1">IF(AND(ISNUMBER($AH$645),$B$419=1),$AH$645,HLOOKUP(INDIRECT(ADDRESS(2,COLUMN())),OFFSET($BN$2,0,0,ROW()-1,60),ROW()-1,FALSE))</f>
        <v/>
      </c>
      <c r="AI195" t="str">
        <f ca="1">IF(AND(ISNUMBER($AI$645),$B$419=1),$AI$645,HLOOKUP(INDIRECT(ADDRESS(2,COLUMN())),OFFSET($BN$2,0,0,ROW()-1,60),ROW()-1,FALSE))</f>
        <v/>
      </c>
      <c r="AJ195" t="str">
        <f ca="1">IF(AND(ISNUMBER($AJ$645),$B$419=1),$AJ$645,HLOOKUP(INDIRECT(ADDRESS(2,COLUMN())),OFFSET($BN$2,0,0,ROW()-1,60),ROW()-1,FALSE))</f>
        <v/>
      </c>
      <c r="AK195" t="str">
        <f ca="1">IF(AND(ISNUMBER($AK$645),$B$419=1),$AK$645,HLOOKUP(INDIRECT(ADDRESS(2,COLUMN())),OFFSET($BN$2,0,0,ROW()-1,60),ROW()-1,FALSE))</f>
        <v/>
      </c>
      <c r="AL195" t="str">
        <f ca="1">IF(AND(ISNUMBER($AL$645),$B$419=1),$AL$645,HLOOKUP(INDIRECT(ADDRESS(2,COLUMN())),OFFSET($BN$2,0,0,ROW()-1,60),ROW()-1,FALSE))</f>
        <v/>
      </c>
      <c r="AM195" t="str">
        <f ca="1">IF(AND(ISNUMBER($AM$645),$B$419=1),$AM$645,HLOOKUP(INDIRECT(ADDRESS(2,COLUMN())),OFFSET($BN$2,0,0,ROW()-1,60),ROW()-1,FALSE))</f>
        <v/>
      </c>
      <c r="AN195" t="str">
        <f ca="1">IF(AND(ISNUMBER($AN$645),$B$419=1),$AN$645,HLOOKUP(INDIRECT(ADDRESS(2,COLUMN())),OFFSET($BN$2,0,0,ROW()-1,60),ROW()-1,FALSE))</f>
        <v/>
      </c>
      <c r="AO195" t="str">
        <f ca="1">IF(AND(ISNUMBER($AO$645),$B$419=1),$AO$645,HLOOKUP(INDIRECT(ADDRESS(2,COLUMN())),OFFSET($BN$2,0,0,ROW()-1,60),ROW()-1,FALSE))</f>
        <v/>
      </c>
      <c r="AP195" t="str">
        <f ca="1">IF(AND(ISNUMBER($AP$645),$B$419=1),$AP$645,HLOOKUP(INDIRECT(ADDRESS(2,COLUMN())),OFFSET($BN$2,0,0,ROW()-1,60),ROW()-1,FALSE))</f>
        <v/>
      </c>
      <c r="AQ195" t="str">
        <f ca="1">IF(AND(ISNUMBER($AQ$645),$B$419=1),$AQ$645,HLOOKUP(INDIRECT(ADDRESS(2,COLUMN())),OFFSET($BN$2,0,0,ROW()-1,60),ROW()-1,FALSE))</f>
        <v/>
      </c>
      <c r="AR195" t="str">
        <f ca="1">IF(AND(ISNUMBER($AR$645),$B$419=1),$AR$645,HLOOKUP(INDIRECT(ADDRESS(2,COLUMN())),OFFSET($BN$2,0,0,ROW()-1,60),ROW()-1,FALSE))</f>
        <v/>
      </c>
      <c r="AS195" t="str">
        <f ca="1">IF(AND(ISNUMBER($AS$645),$B$419=1),$AS$645,HLOOKUP(INDIRECT(ADDRESS(2,COLUMN())),OFFSET($BN$2,0,0,ROW()-1,60),ROW()-1,FALSE))</f>
        <v/>
      </c>
      <c r="AT195" t="str">
        <f ca="1">IF(AND(ISNUMBER($AT$645),$B$419=1),$AT$645,HLOOKUP(INDIRECT(ADDRESS(2,COLUMN())),OFFSET($BN$2,0,0,ROW()-1,60),ROW()-1,FALSE))</f>
        <v/>
      </c>
      <c r="AU195" t="str">
        <f ca="1">IF(AND(ISNUMBER($AU$645),$B$419=1),$AU$645,HLOOKUP(INDIRECT(ADDRESS(2,COLUMN())),OFFSET($BN$2,0,0,ROW()-1,60),ROW()-1,FALSE))</f>
        <v/>
      </c>
      <c r="AV195" t="str">
        <f ca="1">IF(AND(ISNUMBER($AV$645),$B$419=1),$AV$645,HLOOKUP(INDIRECT(ADDRESS(2,COLUMN())),OFFSET($BN$2,0,0,ROW()-1,60),ROW()-1,FALSE))</f>
        <v/>
      </c>
      <c r="AW195" t="str">
        <f ca="1">IF(AND(ISNUMBER($AW$645),$B$419=1),$AW$645,HLOOKUP(INDIRECT(ADDRESS(2,COLUMN())),OFFSET($BN$2,0,0,ROW()-1,60),ROW()-1,FALSE))</f>
        <v/>
      </c>
      <c r="AX195" t="str">
        <f ca="1">IF(AND(ISNUMBER($AX$645),$B$419=1),$AX$645,HLOOKUP(INDIRECT(ADDRESS(2,COLUMN())),OFFSET($BN$2,0,0,ROW()-1,60),ROW()-1,FALSE))</f>
        <v/>
      </c>
      <c r="AY195" t="str">
        <f ca="1">IF(AND(ISNUMBER($AY$645),$B$419=1),$AY$645,HLOOKUP(INDIRECT(ADDRESS(2,COLUMN())),OFFSET($BN$2,0,0,ROW()-1,60),ROW()-1,FALSE))</f>
        <v/>
      </c>
      <c r="AZ195" t="str">
        <f ca="1">IF(AND(ISNUMBER($AZ$645),$B$419=1),$AZ$645,HLOOKUP(INDIRECT(ADDRESS(2,COLUMN())),OFFSET($BN$2,0,0,ROW()-1,60),ROW()-1,FALSE))</f>
        <v/>
      </c>
      <c r="BA195" t="str">
        <f ca="1">IF(AND(ISNUMBER($BA$645),$B$419=1),$BA$645,HLOOKUP(INDIRECT(ADDRESS(2,COLUMN())),OFFSET($BN$2,0,0,ROW()-1,60),ROW()-1,FALSE))</f>
        <v/>
      </c>
      <c r="BB195" t="str">
        <f ca="1">IF(AND(ISNUMBER($BB$645),$B$419=1),$BB$645,HLOOKUP(INDIRECT(ADDRESS(2,COLUMN())),OFFSET($BN$2,0,0,ROW()-1,60),ROW()-1,FALSE))</f>
        <v/>
      </c>
      <c r="BC195" t="str">
        <f ca="1">IF(AND(ISNUMBER($BC$645),$B$419=1),$BC$645,HLOOKUP(INDIRECT(ADDRESS(2,COLUMN())),OFFSET($BN$2,0,0,ROW()-1,60),ROW()-1,FALSE))</f>
        <v/>
      </c>
      <c r="BD195" t="str">
        <f ca="1">IF(AND(ISNUMBER($BD$645),$B$419=1),$BD$645,HLOOKUP(INDIRECT(ADDRESS(2,COLUMN())),OFFSET($BN$2,0,0,ROW()-1,60),ROW()-1,FALSE))</f>
        <v/>
      </c>
      <c r="BE195" t="str">
        <f ca="1">IF(AND(ISNUMBER($BE$645),$B$419=1),$BE$645,HLOOKUP(INDIRECT(ADDRESS(2,COLUMN())),OFFSET($BN$2,0,0,ROW()-1,60),ROW()-1,FALSE))</f>
        <v/>
      </c>
      <c r="BF195" t="str">
        <f ca="1">IF(AND(ISNUMBER($BF$645),$B$419=1),$BF$645,HLOOKUP(INDIRECT(ADDRESS(2,COLUMN())),OFFSET($BN$2,0,0,ROW()-1,60),ROW()-1,FALSE))</f>
        <v/>
      </c>
      <c r="BG195" t="str">
        <f ca="1">IF(AND(ISNUMBER($BG$645),$B$419=1),$BG$645,HLOOKUP(INDIRECT(ADDRESS(2,COLUMN())),OFFSET($BN$2,0,0,ROW()-1,60),ROW()-1,FALSE))</f>
        <v/>
      </c>
      <c r="BH195" t="str">
        <f ca="1">IF(AND(ISNUMBER($BH$645),$B$419=1),$BH$645,HLOOKUP(INDIRECT(ADDRESS(2,COLUMN())),OFFSET($BN$2,0,0,ROW()-1,60),ROW()-1,FALSE))</f>
        <v/>
      </c>
      <c r="BI195" t="str">
        <f ca="1">IF(AND(ISNUMBER($BI$645),$B$419=1),$BI$645,HLOOKUP(INDIRECT(ADDRESS(2,COLUMN())),OFFSET($BN$2,0,0,ROW()-1,60),ROW()-1,FALSE))</f>
        <v/>
      </c>
      <c r="BJ195" t="str">
        <f ca="1">IF(AND(ISNUMBER($BJ$645),$B$419=1),$BJ$645,HLOOKUP(INDIRECT(ADDRESS(2,COLUMN())),OFFSET($BN$2,0,0,ROW()-1,60),ROW()-1,FALSE))</f>
        <v/>
      </c>
      <c r="BK195" t="str">
        <f ca="1">IF(AND(ISNUMBER($BK$645),$B$419=1),$BK$645,HLOOKUP(INDIRECT(ADDRESS(2,COLUMN())),OFFSET($BN$2,0,0,ROW()-1,60),ROW()-1,FALSE))</f>
        <v/>
      </c>
      <c r="BL195" t="str">
        <f ca="1">IF(AND(ISNUMBER($BL$645),$B$419=1),$BL$645,HLOOKUP(INDIRECT(ADDRESS(2,COLUMN())),OFFSET($BN$2,0,0,ROW()-1,60),ROW()-1,FALSE))</f>
        <v/>
      </c>
      <c r="BM195" t="str">
        <f ca="1">IF(AND(ISNUMBER($BM$645),$B$419=1),$BM$645,HLOOKUP(INDIRECT(ADDRESS(2,COLUMN())),OFFSET($BN$2,0,0,ROW()-1,60),ROW()-1,FALSE))</f>
        <v/>
      </c>
      <c r="BN195" t="str">
        <f>""</f>
        <v/>
      </c>
      <c r="BO195" t="str">
        <f>""</f>
        <v/>
      </c>
      <c r="BP195" t="str">
        <f>""</f>
        <v/>
      </c>
      <c r="BQ195" t="str">
        <f>""</f>
        <v/>
      </c>
      <c r="BR195" t="str">
        <f>""</f>
        <v/>
      </c>
      <c r="BS195" t="str">
        <f>""</f>
        <v/>
      </c>
      <c r="BT195" t="str">
        <f>""</f>
        <v/>
      </c>
      <c r="BU195" t="str">
        <f>""</f>
        <v/>
      </c>
      <c r="BV195" t="str">
        <f>""</f>
        <v/>
      </c>
      <c r="BW195" t="str">
        <f>""</f>
        <v/>
      </c>
      <c r="BX195" t="str">
        <f>""</f>
        <v/>
      </c>
      <c r="BY195" t="str">
        <f>""</f>
        <v/>
      </c>
      <c r="BZ195" t="str">
        <f>""</f>
        <v/>
      </c>
      <c r="CA195" t="str">
        <f>""</f>
        <v/>
      </c>
      <c r="CB195" t="str">
        <f>""</f>
        <v/>
      </c>
      <c r="CC195" t="str">
        <f>""</f>
        <v/>
      </c>
      <c r="CD195" t="str">
        <f>""</f>
        <v/>
      </c>
      <c r="CE195" t="str">
        <f>""</f>
        <v/>
      </c>
      <c r="CF195" t="str">
        <f>""</f>
        <v/>
      </c>
      <c r="CG195" t="str">
        <f>""</f>
        <v/>
      </c>
      <c r="CH195" t="str">
        <f>""</f>
        <v/>
      </c>
      <c r="CI195" t="str">
        <f>""</f>
        <v/>
      </c>
      <c r="CJ195" t="str">
        <f>""</f>
        <v/>
      </c>
      <c r="CK195" t="str">
        <f>""</f>
        <v/>
      </c>
      <c r="CL195" t="str">
        <f>""</f>
        <v/>
      </c>
      <c r="CM195" t="str">
        <f>""</f>
        <v/>
      </c>
      <c r="CN195" t="str">
        <f>""</f>
        <v/>
      </c>
      <c r="CO195" t="str">
        <f>""</f>
        <v/>
      </c>
      <c r="CP195" t="str">
        <f>""</f>
        <v/>
      </c>
      <c r="CQ195" t="str">
        <f>""</f>
        <v/>
      </c>
      <c r="CR195" t="str">
        <f>""</f>
        <v/>
      </c>
      <c r="CS195" t="str">
        <f>""</f>
        <v/>
      </c>
      <c r="CT195" t="str">
        <f>""</f>
        <v/>
      </c>
      <c r="CU195" t="str">
        <f>""</f>
        <v/>
      </c>
      <c r="CV195" t="str">
        <f>""</f>
        <v/>
      </c>
      <c r="CW195" t="str">
        <f>""</f>
        <v/>
      </c>
      <c r="CX195" t="str">
        <f>""</f>
        <v/>
      </c>
      <c r="CY195" t="str">
        <f>""</f>
        <v/>
      </c>
      <c r="CZ195" t="str">
        <f>""</f>
        <v/>
      </c>
      <c r="DA195" t="str">
        <f>""</f>
        <v/>
      </c>
      <c r="DB195" t="str">
        <f>""</f>
        <v/>
      </c>
      <c r="DC195" t="str">
        <f>""</f>
        <v/>
      </c>
      <c r="DD195" t="str">
        <f>""</f>
        <v/>
      </c>
      <c r="DE195" t="str">
        <f>""</f>
        <v/>
      </c>
      <c r="DF195" t="str">
        <f>""</f>
        <v/>
      </c>
      <c r="DG195" t="str">
        <f>""</f>
        <v/>
      </c>
      <c r="DH195" t="str">
        <f>""</f>
        <v/>
      </c>
      <c r="DI195" t="str">
        <f>""</f>
        <v/>
      </c>
      <c r="DJ195" t="str">
        <f>""</f>
        <v/>
      </c>
      <c r="DK195" t="str">
        <f>""</f>
        <v/>
      </c>
      <c r="DL195" t="str">
        <f>""</f>
        <v/>
      </c>
      <c r="DM195" t="str">
        <f>""</f>
        <v/>
      </c>
      <c r="DN195" t="str">
        <f>""</f>
        <v/>
      </c>
      <c r="DO195" t="str">
        <f>""</f>
        <v/>
      </c>
      <c r="DP195" t="str">
        <f>""</f>
        <v/>
      </c>
      <c r="DQ195" t="str">
        <f>""</f>
        <v/>
      </c>
      <c r="DR195" t="str">
        <f>""</f>
        <v/>
      </c>
      <c r="DS195" t="str">
        <f>""</f>
        <v/>
      </c>
      <c r="DT195" t="str">
        <f>""</f>
        <v/>
      </c>
      <c r="DU195" t="str">
        <f>""</f>
        <v/>
      </c>
    </row>
    <row r="196" spans="1:125">
      <c r="A196" t="str">
        <f>"EBITDA利润率(%)"</f>
        <v>EBITDA利润率(%)</v>
      </c>
      <c r="B196" t="str">
        <f>""</f>
        <v/>
      </c>
      <c r="E196" t="str">
        <f>"Median"</f>
        <v>Median</v>
      </c>
      <c r="F196" t="str">
        <f ca="1">IF(ISERROR(IF(MEDIAN($F$197:$F$211) = 0, "", MEDIAN($F$197:$F$211))), "", (IF(MEDIAN($F$197:$F$211) = 0, "", MEDIAN($F$197:$F$211))))</f>
        <v/>
      </c>
      <c r="G196">
        <f ca="1">IF(ISERROR(IF(MEDIAN($G$197:$G$211) = 0, "", MEDIAN($G$197:$G$211))), "", (IF(MEDIAN($G$197:$G$211) = 0, "", MEDIAN($G$197:$G$211))))</f>
        <v>63.167751330000002</v>
      </c>
      <c r="H196">
        <f ca="1">IF(ISERROR(IF(MEDIAN($H$197:$H$211) = 0, "", MEDIAN($H$197:$H$211))), "", (IF(MEDIAN($H$197:$H$211) = 0, "", MEDIAN($H$197:$H$211))))</f>
        <v>63.859994229999998</v>
      </c>
      <c r="I196">
        <f ca="1">IF(ISERROR(IF(MEDIAN($I$197:$I$211) = 0, "", MEDIAN($I$197:$I$211))), "", (IF(MEDIAN($I$197:$I$211) = 0, "", MEDIAN($I$197:$I$211))))</f>
        <v>62.750388639999997</v>
      </c>
      <c r="J196">
        <f ca="1">IF(ISERROR(IF(MEDIAN($J$197:$J$211) = 0, "", MEDIAN($J$197:$J$211))), "", (IF(MEDIAN($J$197:$J$211) = 0, "", MEDIAN($J$197:$J$211))))</f>
        <v>62.915037400000003</v>
      </c>
      <c r="K196">
        <f ca="1">IF(ISERROR(IF(MEDIAN($K$197:$K$211) = 0, "", MEDIAN($K$197:$K$211))), "", (IF(MEDIAN($K$197:$K$211) = 0, "", MEDIAN($K$197:$K$211))))</f>
        <v>64.168266290000005</v>
      </c>
      <c r="L196">
        <f ca="1">IF(ISERROR(IF(MEDIAN($L$197:$L$211) = 0, "", MEDIAN($L$197:$L$211))), "", (IF(MEDIAN($L$197:$L$211) = 0, "", MEDIAN($L$197:$L$211))))</f>
        <v>64.158115620000004</v>
      </c>
      <c r="M196">
        <f ca="1">IF(ISERROR(IF(MEDIAN($M$197:$M$211) = 0, "", MEDIAN($M$197:$M$211))), "", (IF(MEDIAN($M$197:$M$211) = 0, "", MEDIAN($M$197:$M$211))))</f>
        <v>64.8831615</v>
      </c>
      <c r="N196">
        <f ca="1">IF(ISERROR(IF(MEDIAN($N$197:$N$211) = 0, "", MEDIAN($N$197:$N$211))), "", (IF(MEDIAN($N$197:$N$211) = 0, "", MEDIAN($N$197:$N$211))))</f>
        <v>62.881155970000002</v>
      </c>
      <c r="O196">
        <f ca="1">IF(ISERROR(IF(MEDIAN($O$197:$O$211) = 0, "", MEDIAN($O$197:$O$211))), "", (IF(MEDIAN($O$197:$O$211) = 0, "", MEDIAN($O$197:$O$211))))</f>
        <v>61.740863949999998</v>
      </c>
      <c r="P196">
        <f ca="1">IF(ISERROR(IF(MEDIAN($P$197:$P$211) = 0, "", MEDIAN($P$197:$P$211))), "", (IF(MEDIAN($P$197:$P$211) = 0, "", MEDIAN($P$197:$P$211))))</f>
        <v>64.631808190000001</v>
      </c>
      <c r="Q196">
        <f ca="1">IF(ISERROR(IF(MEDIAN($Q$197:$Q$211) = 0, "", MEDIAN($Q$197:$Q$211))), "", (IF(MEDIAN($Q$197:$Q$211) = 0, "", MEDIAN($Q$197:$Q$211))))</f>
        <v>63.820956539999997</v>
      </c>
      <c r="R196">
        <f ca="1">IF(ISERROR(IF(MEDIAN($R$197:$R$211) = 0, "", MEDIAN($R$197:$R$211))), "", (IF(MEDIAN($R$197:$R$211) = 0, "", MEDIAN($R$197:$R$211))))</f>
        <v>61.75448145</v>
      </c>
      <c r="S196">
        <f ca="1">IF(ISERROR(IF(MEDIAN($S$197:$S$211) = 0, "", MEDIAN($S$197:$S$211))), "", (IF(MEDIAN($S$197:$S$211) = 0, "", MEDIAN($S$197:$S$211))))</f>
        <v>63.507255129999997</v>
      </c>
      <c r="T196">
        <f ca="1">IF(ISERROR(IF(MEDIAN($T$197:$T$211) = 0, "", MEDIAN($T$197:$T$211))), "", (IF(MEDIAN($T$197:$T$211) = 0, "", MEDIAN($T$197:$T$211))))</f>
        <v>64.957303999999993</v>
      </c>
      <c r="U196">
        <f ca="1">IF(ISERROR(IF(MEDIAN($U$197:$U$211) = 0, "", MEDIAN($U$197:$U$211))), "", (IF(MEDIAN($U$197:$U$211) = 0, "", MEDIAN($U$197:$U$211))))</f>
        <v>64.592022490000005</v>
      </c>
      <c r="V196">
        <f ca="1">IF(ISERROR(IF(MEDIAN($V$197:$V$211) = 0, "", MEDIAN($V$197:$V$211))), "", (IF(MEDIAN($V$197:$V$211) = 0, "", MEDIAN($V$197:$V$211))))</f>
        <v>63.275298710000001</v>
      </c>
      <c r="W196">
        <f ca="1">IF(ISERROR(IF(MEDIAN($W$197:$W$211) = 0, "", MEDIAN($W$197:$W$211))), "", (IF(MEDIAN($W$197:$W$211) = 0, "", MEDIAN($W$197:$W$211))))</f>
        <v>62.448340340000001</v>
      </c>
      <c r="X196">
        <f ca="1">IF(ISERROR(IF(MEDIAN($X$197:$X$211) = 0, "", MEDIAN($X$197:$X$211))), "", (IF(MEDIAN($X$197:$X$211) = 0, "", MEDIAN($X$197:$X$211))))</f>
        <v>60.890789290000001</v>
      </c>
      <c r="Y196">
        <f ca="1">IF(ISERROR(IF(MEDIAN($Y$197:$Y$211) = 0, "", MEDIAN($Y$197:$Y$211))), "", (IF(MEDIAN($Y$197:$Y$211) = 0, "", MEDIAN($Y$197:$Y$211))))</f>
        <v>62.909836780000006</v>
      </c>
      <c r="Z196">
        <f ca="1">IF(ISERROR(IF(MEDIAN($Z$197:$Z$211) = 0, "", MEDIAN($Z$197:$Z$211))), "", (IF(MEDIAN($Z$197:$Z$211) = 0, "", MEDIAN($Z$197:$Z$211))))</f>
        <v>62.913070325</v>
      </c>
      <c r="AA196">
        <f ca="1">IF(ISERROR(IF(MEDIAN($AA$197:$AA$211) = 0, "", MEDIAN($AA$197:$AA$211))), "", (IF(MEDIAN($AA$197:$AA$211) = 0, "", MEDIAN($AA$197:$AA$211))))</f>
        <v>61.390099755000001</v>
      </c>
      <c r="AB196">
        <f ca="1">IF(ISERROR(IF(MEDIAN($AB$197:$AB$211) = 0, "", MEDIAN($AB$197:$AB$211))), "", (IF(MEDIAN($AB$197:$AB$211) = 0, "", MEDIAN($AB$197:$AB$211))))</f>
        <v>63.472444084999999</v>
      </c>
      <c r="AC196">
        <f ca="1">IF(ISERROR(IF(MEDIAN($AC$197:$AC$211) = 0, "", MEDIAN($AC$197:$AC$211))), "", (IF(MEDIAN($AC$197:$AC$211) = 0, "", MEDIAN($AC$197:$AC$211))))</f>
        <v>63.738350220000001</v>
      </c>
      <c r="AD196">
        <f ca="1">IF(ISERROR(IF(MEDIAN($AD$197:$AD$211) = 0, "", MEDIAN($AD$197:$AD$211))), "", (IF(MEDIAN($AD$197:$AD$211) = 0, "", MEDIAN($AD$197:$AD$211))))</f>
        <v>60.701069930000003</v>
      </c>
      <c r="AE196">
        <f ca="1">IF(ISERROR(IF(MEDIAN($AE$197:$AE$211) = 0, "", MEDIAN($AE$197:$AE$211))), "", (IF(MEDIAN($AE$197:$AE$211) = 0, "", MEDIAN($AE$197:$AE$211))))</f>
        <v>62.557301330000001</v>
      </c>
      <c r="AF196">
        <f ca="1">IF(ISERROR(IF(MEDIAN($AF$197:$AF$211) = 0, "", MEDIAN($AF$197:$AF$211))), "", (IF(MEDIAN($AF$197:$AF$211) = 0, "", MEDIAN($AF$197:$AF$211))))</f>
        <v>59.033191979999998</v>
      </c>
      <c r="AG196">
        <f ca="1">IF(ISERROR(IF(MEDIAN($AG$197:$AG$211) = 0, "", MEDIAN($AG$197:$AG$211))), "", (IF(MEDIAN($AG$197:$AG$211) = 0, "", MEDIAN($AG$197:$AG$211))))</f>
        <v>63.10618084</v>
      </c>
      <c r="AH196">
        <f ca="1">IF(ISERROR(IF(MEDIAN($AH$197:$AH$211) = 0, "", MEDIAN($AH$197:$AH$211))), "", (IF(MEDIAN($AH$197:$AH$211) = 0, "", MEDIAN($AH$197:$AH$211))))</f>
        <v>62.390471949999998</v>
      </c>
      <c r="AI196">
        <f ca="1">IF(ISERROR(IF(MEDIAN($AI$197:$AI$211) = 0, "", MEDIAN($AI$197:$AI$211))), "", (IF(MEDIAN($AI$197:$AI$211) = 0, "", MEDIAN($AI$197:$AI$211))))</f>
        <v>62.917697140000001</v>
      </c>
      <c r="AJ196">
        <f ca="1">IF(ISERROR(IF(MEDIAN($AJ$197:$AJ$211) = 0, "", MEDIAN($AJ$197:$AJ$211))), "", (IF(MEDIAN($AJ$197:$AJ$211) = 0, "", MEDIAN($AJ$197:$AJ$211))))</f>
        <v>62.809014765000001</v>
      </c>
      <c r="AK196">
        <f ca="1">IF(ISERROR(IF(MEDIAN($AK$197:$AK$211) = 0, "", MEDIAN($AK$197:$AK$211))), "", (IF(MEDIAN($AK$197:$AK$211) = 0, "", MEDIAN($AK$197:$AK$211))))</f>
        <v>61.829593160000002</v>
      </c>
      <c r="AL196">
        <f ca="1">IF(ISERROR(IF(MEDIAN($AL$197:$AL$211) = 0, "", MEDIAN($AL$197:$AL$211))), "", (IF(MEDIAN($AL$197:$AL$211) = 0, "", MEDIAN($AL$197:$AL$211))))</f>
        <v>63.648023530000003</v>
      </c>
      <c r="AM196">
        <f ca="1">IF(ISERROR(IF(MEDIAN($AM$197:$AM$211) = 0, "", MEDIAN($AM$197:$AM$211))), "", (IF(MEDIAN($AM$197:$AM$211) = 0, "", MEDIAN($AM$197:$AM$211))))</f>
        <v>62.424429525000001</v>
      </c>
      <c r="AN196">
        <f ca="1">IF(ISERROR(IF(MEDIAN($AN$197:$AN$211) = 0, "", MEDIAN($AN$197:$AN$211))), "", (IF(MEDIAN($AN$197:$AN$211) = 0, "", MEDIAN($AN$197:$AN$211))))</f>
        <v>62.315637870000003</v>
      </c>
      <c r="AO196">
        <f ca="1">IF(ISERROR(IF(MEDIAN($AO$197:$AO$211) = 0, "", MEDIAN($AO$197:$AO$211))), "", (IF(MEDIAN($AO$197:$AO$211) = 0, "", MEDIAN($AO$197:$AO$211))))</f>
        <v>63.0244979</v>
      </c>
      <c r="AP196">
        <f ca="1">IF(ISERROR(IF(MEDIAN($AP$197:$AP$211) = 0, "", MEDIAN($AP$197:$AP$211))), "", (IF(MEDIAN($AP$197:$AP$211) = 0, "", MEDIAN($AP$197:$AP$211))))</f>
        <v>62.175895999999995</v>
      </c>
      <c r="AQ196">
        <f ca="1">IF(ISERROR(IF(MEDIAN($AQ$197:$AQ$211) = 0, "", MEDIAN($AQ$197:$AQ$211))), "", (IF(MEDIAN($AQ$197:$AQ$211) = 0, "", MEDIAN($AQ$197:$AQ$211))))</f>
        <v>63.892748770000004</v>
      </c>
      <c r="AR196">
        <f ca="1">IF(ISERROR(IF(MEDIAN($AR$197:$AR$211) = 0, "", MEDIAN($AR$197:$AR$211))), "", (IF(MEDIAN($AR$197:$AR$211) = 0, "", MEDIAN($AR$197:$AR$211))))</f>
        <v>64.133996445000008</v>
      </c>
      <c r="AS196">
        <f ca="1">IF(ISERROR(IF(MEDIAN($AS$197:$AS$211) = 0, "", MEDIAN($AS$197:$AS$211))), "", (IF(MEDIAN($AS$197:$AS$211) = 0, "", MEDIAN($AS$197:$AS$211))))</f>
        <v>66.319990845000007</v>
      </c>
      <c r="AT196">
        <f ca="1">IF(ISERROR(IF(MEDIAN($AT$197:$AT$211) = 0, "", MEDIAN($AT$197:$AT$211))), "", (IF(MEDIAN($AT$197:$AT$211) = 0, "", MEDIAN($AT$197:$AT$211))))</f>
        <v>64.55811937</v>
      </c>
      <c r="AU196">
        <f ca="1">IF(ISERROR(IF(MEDIAN($AU$197:$AU$211) = 0, "", MEDIAN($AU$197:$AU$211))), "", (IF(MEDIAN($AU$197:$AU$211) = 0, "", MEDIAN($AU$197:$AU$211))))</f>
        <v>65.675351419999998</v>
      </c>
      <c r="AV196">
        <f ca="1">IF(ISERROR(IF(MEDIAN($AV$197:$AV$211) = 0, "", MEDIAN($AV$197:$AV$211))), "", (IF(MEDIAN($AV$197:$AV$211) = 0, "", MEDIAN($AV$197:$AV$211))))</f>
        <v>65.682767819999995</v>
      </c>
      <c r="AW196">
        <f ca="1">IF(ISERROR(IF(MEDIAN($AW$197:$AW$211) = 0, "", MEDIAN($AW$197:$AW$211))), "", (IF(MEDIAN($AW$197:$AW$211) = 0, "", MEDIAN($AW$197:$AW$211))))</f>
        <v>66.917028220000006</v>
      </c>
      <c r="AX196">
        <f ca="1">IF(ISERROR(IF(MEDIAN($AX$197:$AX$211) = 0, "", MEDIAN($AX$197:$AX$211))), "", (IF(MEDIAN($AX$197:$AX$211) = 0, "", MEDIAN($AX$197:$AX$211))))</f>
        <v>66.113114569999993</v>
      </c>
      <c r="AY196">
        <f ca="1">IF(ISERROR(IF(MEDIAN($AY$197:$AY$211) = 0, "", MEDIAN($AY$197:$AY$211))), "", (IF(MEDIAN($AY$197:$AY$211) = 0, "", MEDIAN($AY$197:$AY$211))))</f>
        <v>68.447378950000001</v>
      </c>
      <c r="AZ196">
        <f ca="1">IF(ISERROR(IF(MEDIAN($AZ$197:$AZ$211) = 0, "", MEDIAN($AZ$197:$AZ$211))), "", (IF(MEDIAN($AZ$197:$AZ$211) = 0, "", MEDIAN($AZ$197:$AZ$211))))</f>
        <v>65.814813169999994</v>
      </c>
      <c r="BA196">
        <f ca="1">IF(ISERROR(IF(MEDIAN($BA$197:$BA$211) = 0, "", MEDIAN($BA$197:$BA$211))), "", (IF(MEDIAN($BA$197:$BA$211) = 0, "", MEDIAN($BA$197:$BA$211))))</f>
        <v>67.421252370000005</v>
      </c>
      <c r="BB196">
        <f ca="1">IF(ISERROR(IF(MEDIAN($BB$197:$BB$211) = 0, "", MEDIAN($BB$197:$BB$211))), "", (IF(MEDIAN($BB$197:$BB$211) = 0, "", MEDIAN($BB$197:$BB$211))))</f>
        <v>65.956389270000003</v>
      </c>
      <c r="BC196">
        <f ca="1">IF(ISERROR(IF(MEDIAN($BC$197:$BC$211) = 0, "", MEDIAN($BC$197:$BC$211))), "", (IF(MEDIAN($BC$197:$BC$211) = 0, "", MEDIAN($BC$197:$BC$211))))</f>
        <v>67.962725344999996</v>
      </c>
      <c r="BD196">
        <f ca="1">IF(ISERROR(IF(MEDIAN($BD$197:$BD$211) = 0, "", MEDIAN($BD$197:$BD$211))), "", (IF(MEDIAN($BD$197:$BD$211) = 0, "", MEDIAN($BD$197:$BD$211))))</f>
        <v>66.729419965000005</v>
      </c>
      <c r="BE196">
        <f ca="1">IF(ISERROR(IF(MEDIAN($BE$197:$BE$211) = 0, "", MEDIAN($BE$197:$BE$211))), "", (IF(MEDIAN($BE$197:$BE$211) = 0, "", MEDIAN($BE$197:$BE$211))))</f>
        <v>70.240812809999994</v>
      </c>
      <c r="BF196">
        <f ca="1">IF(ISERROR(IF(MEDIAN($BF$197:$BF$211) = 0, "", MEDIAN($BF$197:$BF$211))), "", (IF(MEDIAN($BF$197:$BF$211) = 0, "", MEDIAN($BF$197:$BF$211))))</f>
        <v>68.716906399999999</v>
      </c>
      <c r="BG196">
        <f ca="1">IF(ISERROR(IF(MEDIAN($BG$197:$BG$211) = 0, "", MEDIAN($BG$197:$BG$211))), "", (IF(MEDIAN($BG$197:$BG$211) = 0, "", MEDIAN($BG$197:$BG$211))))</f>
        <v>66.087546320000001</v>
      </c>
      <c r="BH196">
        <f ca="1">IF(ISERROR(IF(MEDIAN($BH$197:$BH$211) = 0, "", MEDIAN($BH$197:$BH$211))), "", (IF(MEDIAN($BH$197:$BH$211) = 0, "", MEDIAN($BH$197:$BH$211))))</f>
        <v>70.809552699999998</v>
      </c>
      <c r="BI196">
        <f ca="1">IF(ISERROR(IF(MEDIAN($BI$197:$BI$211) = 0, "", MEDIAN($BI$197:$BI$211))), "", (IF(MEDIAN($BI$197:$BI$211) = 0, "", MEDIAN($BI$197:$BI$211))))</f>
        <v>64.705950799999997</v>
      </c>
      <c r="BJ196">
        <f ca="1">IF(ISERROR(IF(MEDIAN($BJ$197:$BJ$211) = 0, "", MEDIAN($BJ$197:$BJ$211))), "", (IF(MEDIAN($BJ$197:$BJ$211) = 0, "", MEDIAN($BJ$197:$BJ$211))))</f>
        <v>68.561490280000001</v>
      </c>
      <c r="BK196">
        <f ca="1">IF(ISERROR(IF(MEDIAN($BK$197:$BK$211) = 0, "", MEDIAN($BK$197:$BK$211))), "", (IF(MEDIAN($BK$197:$BK$211) = 0, "", MEDIAN($BK$197:$BK$211))))</f>
        <v>67.237516200000002</v>
      </c>
      <c r="BL196">
        <f ca="1">IF(ISERROR(IF(MEDIAN($BL$197:$BL$211) = 0, "", MEDIAN($BL$197:$BL$211))), "", (IF(MEDIAN($BL$197:$BL$211) = 0, "", MEDIAN($BL$197:$BL$211))))</f>
        <v>70.528690179999998</v>
      </c>
      <c r="BM196">
        <f ca="1">IF(ISERROR(IF(MEDIAN($BM$197:$BM$211) = 0, "", MEDIAN($BM$197:$BM$211))), "", (IF(MEDIAN($BM$197:$BM$211) = 0, "", MEDIAN($BM$197:$BM$211))))</f>
        <v>69.3923925</v>
      </c>
      <c r="BN196" t="str">
        <f>""</f>
        <v/>
      </c>
      <c r="BO196">
        <f>63.16775133</f>
        <v>63.167751330000002</v>
      </c>
      <c r="BP196">
        <f>63.85999423</f>
        <v>63.859994229999998</v>
      </c>
      <c r="BQ196">
        <f>62.75038864</f>
        <v>62.750388639999997</v>
      </c>
      <c r="BR196">
        <f>62.9150374</f>
        <v>62.915037400000003</v>
      </c>
      <c r="BS196">
        <f>64.16826629</f>
        <v>64.168266290000005</v>
      </c>
      <c r="BT196">
        <f>64.15811562</f>
        <v>64.158115620000004</v>
      </c>
      <c r="BU196">
        <f>64.8831615</f>
        <v>64.8831615</v>
      </c>
      <c r="BV196">
        <f>62.88115597</f>
        <v>62.881155970000002</v>
      </c>
      <c r="BW196">
        <f>61.74086395</f>
        <v>61.740863949999998</v>
      </c>
      <c r="BX196">
        <f>64.63180819</f>
        <v>64.631808190000001</v>
      </c>
      <c r="BY196">
        <f>63.82095654</f>
        <v>63.820956539999997</v>
      </c>
      <c r="BZ196">
        <f>61.75448145</f>
        <v>61.75448145</v>
      </c>
      <c r="CA196">
        <f>63.50725513</f>
        <v>63.507255129999997</v>
      </c>
      <c r="CB196">
        <f>64.957304</f>
        <v>64.957303999999993</v>
      </c>
      <c r="CC196">
        <f>64.59202249</f>
        <v>64.592022490000005</v>
      </c>
      <c r="CD196">
        <f>63.27529871</f>
        <v>63.275298710000001</v>
      </c>
      <c r="CE196">
        <f>62.44834034</f>
        <v>62.448340340000001</v>
      </c>
      <c r="CF196">
        <f>60.89078929</f>
        <v>60.890789290000001</v>
      </c>
      <c r="CG196">
        <f>62.90983678</f>
        <v>62.909836779999999</v>
      </c>
      <c r="CH196">
        <f>62.91307033</f>
        <v>62.913070329999996</v>
      </c>
      <c r="CI196">
        <f>61.39009976</f>
        <v>61.390099759999998</v>
      </c>
      <c r="CJ196">
        <f>63.47244408</f>
        <v>63.472444080000002</v>
      </c>
      <c r="CK196">
        <f>63.73835022</f>
        <v>63.738350220000001</v>
      </c>
      <c r="CL196">
        <f>60.70106993</f>
        <v>60.701069930000003</v>
      </c>
      <c r="CM196">
        <f>62.55730133</f>
        <v>62.557301330000001</v>
      </c>
      <c r="CN196">
        <f>59.03319198</f>
        <v>59.033191979999998</v>
      </c>
      <c r="CO196">
        <f>63.10618084</f>
        <v>63.10618084</v>
      </c>
      <c r="CP196">
        <f>62.39047195</f>
        <v>62.390471949999998</v>
      </c>
      <c r="CQ196">
        <f>62.91769714</f>
        <v>62.917697140000001</v>
      </c>
      <c r="CR196">
        <f>62.80901476</f>
        <v>62.809014759999997</v>
      </c>
      <c r="CS196">
        <f>61.82959316</f>
        <v>61.829593160000002</v>
      </c>
      <c r="CT196">
        <f>63.64802353</f>
        <v>63.648023530000003</v>
      </c>
      <c r="CU196">
        <f>62.42442952</f>
        <v>62.424429519999997</v>
      </c>
      <c r="CV196">
        <f>62.31563787</f>
        <v>62.315637870000003</v>
      </c>
      <c r="CW196">
        <f>63.0244979</f>
        <v>63.0244979</v>
      </c>
      <c r="CX196">
        <f>62.175896</f>
        <v>62.175896000000002</v>
      </c>
      <c r="CY196">
        <f>63.89274877</f>
        <v>63.892748769999997</v>
      </c>
      <c r="CZ196">
        <f>64.13399645</f>
        <v>64.133996449999998</v>
      </c>
      <c r="DA196">
        <f>66.31999084</f>
        <v>66.319990840000003</v>
      </c>
      <c r="DB196">
        <f>64.55811937</f>
        <v>64.55811937</v>
      </c>
      <c r="DC196">
        <f>65.67535142</f>
        <v>65.675351419999998</v>
      </c>
      <c r="DD196">
        <f>65.68276782</f>
        <v>65.682767819999995</v>
      </c>
      <c r="DE196">
        <f>66.91702822</f>
        <v>66.917028220000006</v>
      </c>
      <c r="DF196">
        <f>66.11311457</f>
        <v>66.113114569999993</v>
      </c>
      <c r="DG196">
        <f>68.44737895</f>
        <v>68.447378950000001</v>
      </c>
      <c r="DH196">
        <f>65.81481317</f>
        <v>65.814813169999994</v>
      </c>
      <c r="DI196">
        <f>67.42125237</f>
        <v>67.421252370000005</v>
      </c>
      <c r="DJ196">
        <f>65.95638927</f>
        <v>65.956389270000003</v>
      </c>
      <c r="DK196">
        <f>67.96272534</f>
        <v>67.962725340000006</v>
      </c>
      <c r="DL196">
        <f>66.72941997</f>
        <v>66.729419969999995</v>
      </c>
      <c r="DM196">
        <f>70.24081281</f>
        <v>70.240812809999994</v>
      </c>
      <c r="DN196">
        <f>68.7169064</f>
        <v>68.716906399999999</v>
      </c>
      <c r="DO196">
        <f>66.08754632</f>
        <v>66.087546320000001</v>
      </c>
      <c r="DP196">
        <f>70.8095527</f>
        <v>70.809552699999998</v>
      </c>
      <c r="DQ196">
        <f>64.7059508</f>
        <v>64.705950799999997</v>
      </c>
      <c r="DR196">
        <f>68.56149028</f>
        <v>68.561490280000001</v>
      </c>
      <c r="DS196">
        <f>67.2375162</f>
        <v>67.237516200000002</v>
      </c>
      <c r="DT196">
        <f>70.52869018</f>
        <v>70.528690179999998</v>
      </c>
      <c r="DU196">
        <f>69.3923925</f>
        <v>69.3923925</v>
      </c>
    </row>
    <row r="197" spans="1:125">
      <c r="A197" t="str">
        <f>"    Brixmor Property Group Inc"</f>
        <v xml:space="preserve">    Brixmor Property Group Inc</v>
      </c>
      <c r="B197" t="str">
        <f>"BRX US Equity"</f>
        <v>BRX US Equity</v>
      </c>
      <c r="C197" t="str">
        <f t="shared" ref="C197:C211" si="36">"RX225"</f>
        <v>RX225</v>
      </c>
      <c r="D197" t="str">
        <f t="shared" ref="D197:D211" si="37">"EBITDA_TO_REVENUE"</f>
        <v>EBITDA_TO_REVENUE</v>
      </c>
      <c r="E197" t="str">
        <f t="shared" ref="E197:E211" si="38">"动态"</f>
        <v>动态</v>
      </c>
      <c r="F197" t="str">
        <f ca="1">IF(AND(ISNUMBER($F$646),$B$419=1),$F$646,HLOOKUP(INDIRECT(ADDRESS(2,COLUMN())),OFFSET($BN$2,0,0,ROW()-1,60),ROW()-1,FALSE))</f>
        <v/>
      </c>
      <c r="G197">
        <f ca="1">IF(AND(ISNUMBER($G$646),$B$419=1),$G$646,HLOOKUP(INDIRECT(ADDRESS(2,COLUMN())),OFFSET($BN$2,0,0,ROW()-1,60),ROW()-1,FALSE))</f>
        <v>61.109167030000002</v>
      </c>
      <c r="H197">
        <f ca="1">IF(AND(ISNUMBER($H$646),$B$419=1),$H$646,HLOOKUP(INDIRECT(ADDRESS(2,COLUMN())),OFFSET($BN$2,0,0,ROW()-1,60),ROW()-1,FALSE))</f>
        <v>62.370586590000002</v>
      </c>
      <c r="I197">
        <f ca="1">IF(AND(ISNUMBER($I$646),$B$419=1),$I$646,HLOOKUP(INDIRECT(ADDRESS(2,COLUMN())),OFFSET($BN$2,0,0,ROW()-1,60),ROW()-1,FALSE))</f>
        <v>62.734729790000003</v>
      </c>
      <c r="J197">
        <f ca="1">IF(AND(ISNUMBER($J$646),$B$419=1),$J$646,HLOOKUP(INDIRECT(ADDRESS(2,COLUMN())),OFFSET($BN$2,0,0,ROW()-1,60),ROW()-1,FALSE))</f>
        <v>63.358256140000002</v>
      </c>
      <c r="K197">
        <f ca="1">IF(AND(ISNUMBER($K$646),$B$419=1),$K$646,HLOOKUP(INDIRECT(ADDRESS(2,COLUMN())),OFFSET($BN$2,0,0,ROW()-1,60),ROW()-1,FALSE))</f>
        <v>64.168266290000005</v>
      </c>
      <c r="L197">
        <f ca="1">IF(AND(ISNUMBER($L$646),$B$419=1),$L$646,HLOOKUP(INDIRECT(ADDRESS(2,COLUMN())),OFFSET($BN$2,0,0,ROW()-1,60),ROW()-1,FALSE))</f>
        <v>64.158115620000004</v>
      </c>
      <c r="M197">
        <f ca="1">IF(AND(ISNUMBER($M$646),$B$419=1),$M$646,HLOOKUP(INDIRECT(ADDRESS(2,COLUMN())),OFFSET($BN$2,0,0,ROW()-1,60),ROW()-1,FALSE))</f>
        <v>65.162857149999994</v>
      </c>
      <c r="N197">
        <f ca="1">IF(AND(ISNUMBER($N$646),$B$419=1),$N$646,HLOOKUP(INDIRECT(ADDRESS(2,COLUMN())),OFFSET($BN$2,0,0,ROW()-1,60),ROW()-1,FALSE))</f>
        <v>64.740764580000004</v>
      </c>
      <c r="O197">
        <f ca="1">IF(AND(ISNUMBER($O$646),$B$419=1),$O$646,HLOOKUP(INDIRECT(ADDRESS(2,COLUMN())),OFFSET($BN$2,0,0,ROW()-1,60),ROW()-1,FALSE))</f>
        <v>61.740863949999998</v>
      </c>
      <c r="P197">
        <f ca="1">IF(AND(ISNUMBER($P$646),$B$419=1),$P$646,HLOOKUP(INDIRECT(ADDRESS(2,COLUMN())),OFFSET($BN$2,0,0,ROW()-1,60),ROW()-1,FALSE))</f>
        <v>65.709767589999998</v>
      </c>
      <c r="Q197">
        <f ca="1">IF(AND(ISNUMBER($Q$646),$B$419=1),$Q$646,HLOOKUP(INDIRECT(ADDRESS(2,COLUMN())),OFFSET($BN$2,0,0,ROW()-1,60),ROW()-1,FALSE))</f>
        <v>65.282223310000006</v>
      </c>
      <c r="R197">
        <f ca="1">IF(AND(ISNUMBER($R$646),$B$419=1),$R$646,HLOOKUP(INDIRECT(ADDRESS(2,COLUMN())),OFFSET($BN$2,0,0,ROW()-1,60),ROW()-1,FALSE))</f>
        <v>59.752991659999999</v>
      </c>
      <c r="S197">
        <f ca="1">IF(AND(ISNUMBER($S$646),$B$419=1),$S$646,HLOOKUP(INDIRECT(ADDRESS(2,COLUMN())),OFFSET($BN$2,0,0,ROW()-1,60),ROW()-1,FALSE))</f>
        <v>63.507255129999997</v>
      </c>
      <c r="T197">
        <f ca="1">IF(AND(ISNUMBER($T$646),$B$419=1),$T$646,HLOOKUP(INDIRECT(ADDRESS(2,COLUMN())),OFFSET($BN$2,0,0,ROW()-1,60),ROW()-1,FALSE))</f>
        <v>64.957303999999993</v>
      </c>
      <c r="U197">
        <f ca="1">IF(AND(ISNUMBER($U$646),$B$419=1),$U$646,HLOOKUP(INDIRECT(ADDRESS(2,COLUMN())),OFFSET($BN$2,0,0,ROW()-1,60),ROW()-1,FALSE))</f>
        <v>64.229141839999997</v>
      </c>
      <c r="V197">
        <f ca="1">IF(AND(ISNUMBER($V$646),$B$419=1),$V$646,HLOOKUP(INDIRECT(ADDRESS(2,COLUMN())),OFFSET($BN$2,0,0,ROW()-1,60),ROW()-1,FALSE))</f>
        <v>63.275298710000001</v>
      </c>
      <c r="W197">
        <f ca="1">IF(AND(ISNUMBER($W$646),$B$419=1),$W$646,HLOOKUP(INDIRECT(ADDRESS(2,COLUMN())),OFFSET($BN$2,0,0,ROW()-1,60),ROW()-1,FALSE))</f>
        <v>52.998757959999999</v>
      </c>
      <c r="X197">
        <f ca="1">IF(AND(ISNUMBER($X$646),$B$419=1),$X$646,HLOOKUP(INDIRECT(ADDRESS(2,COLUMN())),OFFSET($BN$2,0,0,ROW()-1,60),ROW()-1,FALSE))</f>
        <v>62.031179000000002</v>
      </c>
      <c r="Y197">
        <f ca="1">IF(AND(ISNUMBER($Y$646),$B$419=1),$Y$646,HLOOKUP(INDIRECT(ADDRESS(2,COLUMN())),OFFSET($BN$2,0,0,ROW()-1,60),ROW()-1,FALSE))</f>
        <v>63.799511180000003</v>
      </c>
      <c r="Z197">
        <f ca="1">IF(AND(ISNUMBER($Z$646),$B$419=1),$Z$646,HLOOKUP(INDIRECT(ADDRESS(2,COLUMN())),OFFSET($BN$2,0,0,ROW()-1,60),ROW()-1,FALSE))</f>
        <v>62.00931782</v>
      </c>
      <c r="AA197">
        <f ca="1">IF(AND(ISNUMBER($AA$646),$B$419=1),$AA$646,HLOOKUP(INDIRECT(ADDRESS(2,COLUMN())),OFFSET($BN$2,0,0,ROW()-1,60),ROW()-1,FALSE))</f>
        <v>62.379752510000003</v>
      </c>
      <c r="AB197">
        <f ca="1">IF(AND(ISNUMBER($AB$646),$B$419=1),$AB$646,HLOOKUP(INDIRECT(ADDRESS(2,COLUMN())),OFFSET($BN$2,0,0,ROW()-1,60),ROW()-1,FALSE))</f>
        <v>62.878798680000003</v>
      </c>
      <c r="AC197">
        <f ca="1">IF(AND(ISNUMBER($AC$646),$B$419=1),$AC$646,HLOOKUP(INDIRECT(ADDRESS(2,COLUMN())),OFFSET($BN$2,0,0,ROW()-1,60),ROW()-1,FALSE))</f>
        <v>61.463693130000003</v>
      </c>
      <c r="AD197">
        <f ca="1">IF(AND(ISNUMBER($AD$646),$B$419=1),$AD$646,HLOOKUP(INDIRECT(ADDRESS(2,COLUMN())),OFFSET($BN$2,0,0,ROW()-1,60),ROW()-1,FALSE))</f>
        <v>59.927585559999997</v>
      </c>
      <c r="AE197" t="str">
        <f ca="1">IF(AND(ISNUMBER($AE$646),$B$419=1),$AE$646,HLOOKUP(INDIRECT(ADDRESS(2,COLUMN())),OFFSET($BN$2,0,0,ROW()-1,60),ROW()-1,FALSE))</f>
        <v/>
      </c>
      <c r="AF197" t="str">
        <f ca="1">IF(AND(ISNUMBER($AF$646),$B$419=1),$AF$646,HLOOKUP(INDIRECT(ADDRESS(2,COLUMN())),OFFSET($BN$2,0,0,ROW()-1,60),ROW()-1,FALSE))</f>
        <v/>
      </c>
      <c r="AG197" t="str">
        <f ca="1">IF(AND(ISNUMBER($AG$646),$B$419=1),$AG$646,HLOOKUP(INDIRECT(ADDRESS(2,COLUMN())),OFFSET($BN$2,0,0,ROW()-1,60),ROW()-1,FALSE))</f>
        <v/>
      </c>
      <c r="AH197" t="str">
        <f ca="1">IF(AND(ISNUMBER($AH$646),$B$419=1),$AH$646,HLOOKUP(INDIRECT(ADDRESS(2,COLUMN())),OFFSET($BN$2,0,0,ROW()-1,60),ROW()-1,FALSE))</f>
        <v/>
      </c>
      <c r="AI197" t="str">
        <f ca="1">IF(AND(ISNUMBER($AI$646),$B$419=1),$AI$646,HLOOKUP(INDIRECT(ADDRESS(2,COLUMN())),OFFSET($BN$2,0,0,ROW()-1,60),ROW()-1,FALSE))</f>
        <v/>
      </c>
      <c r="AJ197" t="str">
        <f ca="1">IF(AND(ISNUMBER($AJ$646),$B$419=1),$AJ$646,HLOOKUP(INDIRECT(ADDRESS(2,COLUMN())),OFFSET($BN$2,0,0,ROW()-1,60),ROW()-1,FALSE))</f>
        <v/>
      </c>
      <c r="AK197" t="str">
        <f ca="1">IF(AND(ISNUMBER($AK$646),$B$419=1),$AK$646,HLOOKUP(INDIRECT(ADDRESS(2,COLUMN())),OFFSET($BN$2,0,0,ROW()-1,60),ROW()-1,FALSE))</f>
        <v/>
      </c>
      <c r="AL197" t="str">
        <f ca="1">IF(AND(ISNUMBER($AL$646),$B$419=1),$AL$646,HLOOKUP(INDIRECT(ADDRESS(2,COLUMN())),OFFSET($BN$2,0,0,ROW()-1,60),ROW()-1,FALSE))</f>
        <v/>
      </c>
      <c r="AM197" t="str">
        <f ca="1">IF(AND(ISNUMBER($AM$646),$B$419=1),$AM$646,HLOOKUP(INDIRECT(ADDRESS(2,COLUMN())),OFFSET($BN$2,0,0,ROW()-1,60),ROW()-1,FALSE))</f>
        <v/>
      </c>
      <c r="AN197" t="str">
        <f ca="1">IF(AND(ISNUMBER($AN$646),$B$419=1),$AN$646,HLOOKUP(INDIRECT(ADDRESS(2,COLUMN())),OFFSET($BN$2,0,0,ROW()-1,60),ROW()-1,FALSE))</f>
        <v/>
      </c>
      <c r="AO197" t="str">
        <f ca="1">IF(AND(ISNUMBER($AO$646),$B$419=1),$AO$646,HLOOKUP(INDIRECT(ADDRESS(2,COLUMN())),OFFSET($BN$2,0,0,ROW()-1,60),ROW()-1,FALSE))</f>
        <v/>
      </c>
      <c r="AP197" t="str">
        <f ca="1">IF(AND(ISNUMBER($AP$646),$B$419=1),$AP$646,HLOOKUP(INDIRECT(ADDRESS(2,COLUMN())),OFFSET($BN$2,0,0,ROW()-1,60),ROW()-1,FALSE))</f>
        <v/>
      </c>
      <c r="AQ197" t="str">
        <f ca="1">IF(AND(ISNUMBER($AQ$646),$B$419=1),$AQ$646,HLOOKUP(INDIRECT(ADDRESS(2,COLUMN())),OFFSET($BN$2,0,0,ROW()-1,60),ROW()-1,FALSE))</f>
        <v/>
      </c>
      <c r="AR197" t="str">
        <f ca="1">IF(AND(ISNUMBER($AR$646),$B$419=1),$AR$646,HLOOKUP(INDIRECT(ADDRESS(2,COLUMN())),OFFSET($BN$2,0,0,ROW()-1,60),ROW()-1,FALSE))</f>
        <v/>
      </c>
      <c r="AS197" t="str">
        <f ca="1">IF(AND(ISNUMBER($AS$646),$B$419=1),$AS$646,HLOOKUP(INDIRECT(ADDRESS(2,COLUMN())),OFFSET($BN$2,0,0,ROW()-1,60),ROW()-1,FALSE))</f>
        <v/>
      </c>
      <c r="AT197" t="str">
        <f ca="1">IF(AND(ISNUMBER($AT$646),$B$419=1),$AT$646,HLOOKUP(INDIRECT(ADDRESS(2,COLUMN())),OFFSET($BN$2,0,0,ROW()-1,60),ROW()-1,FALSE))</f>
        <v/>
      </c>
      <c r="AU197" t="str">
        <f ca="1">IF(AND(ISNUMBER($AU$646),$B$419=1),$AU$646,HLOOKUP(INDIRECT(ADDRESS(2,COLUMN())),OFFSET($BN$2,0,0,ROW()-1,60),ROW()-1,FALSE))</f>
        <v/>
      </c>
      <c r="AV197" t="str">
        <f ca="1">IF(AND(ISNUMBER($AV$646),$B$419=1),$AV$646,HLOOKUP(INDIRECT(ADDRESS(2,COLUMN())),OFFSET($BN$2,0,0,ROW()-1,60),ROW()-1,FALSE))</f>
        <v/>
      </c>
      <c r="AW197" t="str">
        <f ca="1">IF(AND(ISNUMBER($AW$646),$B$419=1),$AW$646,HLOOKUP(INDIRECT(ADDRESS(2,COLUMN())),OFFSET($BN$2,0,0,ROW()-1,60),ROW()-1,FALSE))</f>
        <v/>
      </c>
      <c r="AX197" t="str">
        <f ca="1">IF(AND(ISNUMBER($AX$646),$B$419=1),$AX$646,HLOOKUP(INDIRECT(ADDRESS(2,COLUMN())),OFFSET($BN$2,0,0,ROW()-1,60),ROW()-1,FALSE))</f>
        <v/>
      </c>
      <c r="AY197" t="str">
        <f ca="1">IF(AND(ISNUMBER($AY$646),$B$419=1),$AY$646,HLOOKUP(INDIRECT(ADDRESS(2,COLUMN())),OFFSET($BN$2,0,0,ROW()-1,60),ROW()-1,FALSE))</f>
        <v/>
      </c>
      <c r="AZ197" t="str">
        <f ca="1">IF(AND(ISNUMBER($AZ$646),$B$419=1),$AZ$646,HLOOKUP(INDIRECT(ADDRESS(2,COLUMN())),OFFSET($BN$2,0,0,ROW()-1,60),ROW()-1,FALSE))</f>
        <v/>
      </c>
      <c r="BA197" t="str">
        <f ca="1">IF(AND(ISNUMBER($BA$646),$B$419=1),$BA$646,HLOOKUP(INDIRECT(ADDRESS(2,COLUMN())),OFFSET($BN$2,0,0,ROW()-1,60),ROW()-1,FALSE))</f>
        <v/>
      </c>
      <c r="BB197" t="str">
        <f ca="1">IF(AND(ISNUMBER($BB$646),$B$419=1),$BB$646,HLOOKUP(INDIRECT(ADDRESS(2,COLUMN())),OFFSET($BN$2,0,0,ROW()-1,60),ROW()-1,FALSE))</f>
        <v/>
      </c>
      <c r="BC197" t="str">
        <f ca="1">IF(AND(ISNUMBER($BC$646),$B$419=1),$BC$646,HLOOKUP(INDIRECT(ADDRESS(2,COLUMN())),OFFSET($BN$2,0,0,ROW()-1,60),ROW()-1,FALSE))</f>
        <v/>
      </c>
      <c r="BD197" t="str">
        <f ca="1">IF(AND(ISNUMBER($BD$646),$B$419=1),$BD$646,HLOOKUP(INDIRECT(ADDRESS(2,COLUMN())),OFFSET($BN$2,0,0,ROW()-1,60),ROW()-1,FALSE))</f>
        <v/>
      </c>
      <c r="BE197" t="str">
        <f ca="1">IF(AND(ISNUMBER($BE$646),$B$419=1),$BE$646,HLOOKUP(INDIRECT(ADDRESS(2,COLUMN())),OFFSET($BN$2,0,0,ROW()-1,60),ROW()-1,FALSE))</f>
        <v/>
      </c>
      <c r="BF197" t="str">
        <f ca="1">IF(AND(ISNUMBER($BF$646),$B$419=1),$BF$646,HLOOKUP(INDIRECT(ADDRESS(2,COLUMN())),OFFSET($BN$2,0,0,ROW()-1,60),ROW()-1,FALSE))</f>
        <v/>
      </c>
      <c r="BG197" t="str">
        <f ca="1">IF(AND(ISNUMBER($BG$646),$B$419=1),$BG$646,HLOOKUP(INDIRECT(ADDRESS(2,COLUMN())),OFFSET($BN$2,0,0,ROW()-1,60),ROW()-1,FALSE))</f>
        <v/>
      </c>
      <c r="BH197" t="str">
        <f ca="1">IF(AND(ISNUMBER($BH$646),$B$419=1),$BH$646,HLOOKUP(INDIRECT(ADDRESS(2,COLUMN())),OFFSET($BN$2,0,0,ROW()-1,60),ROW()-1,FALSE))</f>
        <v/>
      </c>
      <c r="BI197" t="str">
        <f ca="1">IF(AND(ISNUMBER($BI$646),$B$419=1),$BI$646,HLOOKUP(INDIRECT(ADDRESS(2,COLUMN())),OFFSET($BN$2,0,0,ROW()-1,60),ROW()-1,FALSE))</f>
        <v/>
      </c>
      <c r="BJ197" t="str">
        <f ca="1">IF(AND(ISNUMBER($BJ$646),$B$419=1),$BJ$646,HLOOKUP(INDIRECT(ADDRESS(2,COLUMN())),OFFSET($BN$2,0,0,ROW()-1,60),ROW()-1,FALSE))</f>
        <v/>
      </c>
      <c r="BK197" t="str">
        <f ca="1">IF(AND(ISNUMBER($BK$646),$B$419=1),$BK$646,HLOOKUP(INDIRECT(ADDRESS(2,COLUMN())),OFFSET($BN$2,0,0,ROW()-1,60),ROW()-1,FALSE))</f>
        <v/>
      </c>
      <c r="BL197" t="str">
        <f ca="1">IF(AND(ISNUMBER($BL$646),$B$419=1),$BL$646,HLOOKUP(INDIRECT(ADDRESS(2,COLUMN())),OFFSET($BN$2,0,0,ROW()-1,60),ROW()-1,FALSE))</f>
        <v/>
      </c>
      <c r="BM197" t="str">
        <f ca="1">IF(AND(ISNUMBER($BM$646),$B$419=1),$BM$646,HLOOKUP(INDIRECT(ADDRESS(2,COLUMN())),OFFSET($BN$2,0,0,ROW()-1,60),ROW()-1,FALSE))</f>
        <v/>
      </c>
      <c r="BN197" t="str">
        <f>""</f>
        <v/>
      </c>
      <c r="BO197">
        <f>61.10916703</f>
        <v>61.109167030000002</v>
      </c>
      <c r="BP197">
        <f>62.37058659</f>
        <v>62.370586590000002</v>
      </c>
      <c r="BQ197">
        <f>62.73472979</f>
        <v>62.734729790000003</v>
      </c>
      <c r="BR197">
        <f>63.35825614</f>
        <v>63.358256140000002</v>
      </c>
      <c r="BS197">
        <f>64.16826629</f>
        <v>64.168266290000005</v>
      </c>
      <c r="BT197">
        <f>64.15811562</f>
        <v>64.158115620000004</v>
      </c>
      <c r="BU197">
        <f>65.16285715</f>
        <v>65.162857149999994</v>
      </c>
      <c r="BV197">
        <f>64.74076458</f>
        <v>64.740764580000004</v>
      </c>
      <c r="BW197">
        <f>61.74086395</f>
        <v>61.740863949999998</v>
      </c>
      <c r="BX197">
        <f>65.70976759</f>
        <v>65.709767589999998</v>
      </c>
      <c r="BY197">
        <f>65.28222331</f>
        <v>65.282223310000006</v>
      </c>
      <c r="BZ197">
        <f>59.75299166</f>
        <v>59.752991659999999</v>
      </c>
      <c r="CA197">
        <f>63.50725513</f>
        <v>63.507255129999997</v>
      </c>
      <c r="CB197">
        <f>64.957304</f>
        <v>64.957303999999993</v>
      </c>
      <c r="CC197">
        <f>64.22914184</f>
        <v>64.229141839999997</v>
      </c>
      <c r="CD197">
        <f>63.27529871</f>
        <v>63.275298710000001</v>
      </c>
      <c r="CE197">
        <f>52.99875796</f>
        <v>52.998757959999999</v>
      </c>
      <c r="CF197">
        <f>62.031179</f>
        <v>62.031179000000002</v>
      </c>
      <c r="CG197">
        <f>63.79951118</f>
        <v>63.799511180000003</v>
      </c>
      <c r="CH197">
        <f>62.00931782</f>
        <v>62.00931782</v>
      </c>
      <c r="CI197">
        <f>62.37975251</f>
        <v>62.379752510000003</v>
      </c>
      <c r="CJ197">
        <f>62.87879868</f>
        <v>62.878798680000003</v>
      </c>
      <c r="CK197">
        <f>61.46369313</f>
        <v>61.463693130000003</v>
      </c>
      <c r="CL197">
        <f>59.92758556</f>
        <v>59.927585559999997</v>
      </c>
      <c r="CM197" t="str">
        <f>""</f>
        <v/>
      </c>
      <c r="CN197" t="str">
        <f>""</f>
        <v/>
      </c>
      <c r="CO197" t="str">
        <f>""</f>
        <v/>
      </c>
      <c r="CP197" t="str">
        <f>""</f>
        <v/>
      </c>
      <c r="CQ197" t="str">
        <f>""</f>
        <v/>
      </c>
      <c r="CR197" t="str">
        <f>""</f>
        <v/>
      </c>
      <c r="CS197" t="str">
        <f>""</f>
        <v/>
      </c>
      <c r="CT197" t="str">
        <f>""</f>
        <v/>
      </c>
      <c r="CU197" t="str">
        <f>""</f>
        <v/>
      </c>
      <c r="CV197" t="str">
        <f>""</f>
        <v/>
      </c>
      <c r="CW197" t="str">
        <f>""</f>
        <v/>
      </c>
      <c r="CX197" t="str">
        <f>""</f>
        <v/>
      </c>
      <c r="CY197" t="str">
        <f>""</f>
        <v/>
      </c>
      <c r="CZ197" t="str">
        <f>""</f>
        <v/>
      </c>
      <c r="DA197" t="str">
        <f>""</f>
        <v/>
      </c>
      <c r="DB197" t="str">
        <f>""</f>
        <v/>
      </c>
      <c r="DC197" t="str">
        <f>""</f>
        <v/>
      </c>
      <c r="DD197" t="str">
        <f>""</f>
        <v/>
      </c>
      <c r="DE197" t="str">
        <f>""</f>
        <v/>
      </c>
      <c r="DF197" t="str">
        <f>""</f>
        <v/>
      </c>
      <c r="DG197" t="str">
        <f>""</f>
        <v/>
      </c>
      <c r="DH197" t="str">
        <f>""</f>
        <v/>
      </c>
      <c r="DI197" t="str">
        <f>""</f>
        <v/>
      </c>
      <c r="DJ197" t="str">
        <f>""</f>
        <v/>
      </c>
      <c r="DK197" t="str">
        <f>""</f>
        <v/>
      </c>
      <c r="DL197" t="str">
        <f>""</f>
        <v/>
      </c>
      <c r="DM197" t="str">
        <f>""</f>
        <v/>
      </c>
      <c r="DN197" t="str">
        <f>""</f>
        <v/>
      </c>
      <c r="DO197" t="str">
        <f>""</f>
        <v/>
      </c>
      <c r="DP197" t="str">
        <f>""</f>
        <v/>
      </c>
      <c r="DQ197" t="str">
        <f>""</f>
        <v/>
      </c>
      <c r="DR197" t="str">
        <f>""</f>
        <v/>
      </c>
      <c r="DS197" t="str">
        <f>""</f>
        <v/>
      </c>
      <c r="DT197" t="str">
        <f>""</f>
        <v/>
      </c>
      <c r="DU197" t="str">
        <f>""</f>
        <v/>
      </c>
    </row>
    <row r="198" spans="1:125">
      <c r="A198" t="str">
        <f>"    CBL &amp; Associates Properties In"</f>
        <v xml:space="preserve">    CBL &amp; Associates Properties In</v>
      </c>
      <c r="B198" t="str">
        <f>"CBL US Equity"</f>
        <v>CBL US Equity</v>
      </c>
      <c r="C198" t="str">
        <f t="shared" si="36"/>
        <v>RX225</v>
      </c>
      <c r="D198" t="str">
        <f t="shared" si="37"/>
        <v>EBITDA_TO_REVENUE</v>
      </c>
      <c r="E198" t="str">
        <f t="shared" si="38"/>
        <v>动态</v>
      </c>
      <c r="F198" t="str">
        <f ca="1">IF(AND(ISNUMBER($F$647),$B$419=1),$F$647,HLOOKUP(INDIRECT(ADDRESS(2,COLUMN())),OFFSET($BN$2,0,0,ROW()-1,60),ROW()-1,FALSE))</f>
        <v/>
      </c>
      <c r="G198">
        <f ca="1">IF(AND(ISNUMBER($G$647),$B$419=1),$G$647,HLOOKUP(INDIRECT(ADDRESS(2,COLUMN())),OFFSET($BN$2,0,0,ROW()-1,60),ROW()-1,FALSE))</f>
        <v>66.313159639999995</v>
      </c>
      <c r="H198">
        <f ca="1">IF(AND(ISNUMBER($H$647),$B$419=1),$H$647,HLOOKUP(INDIRECT(ADDRESS(2,COLUMN())),OFFSET($BN$2,0,0,ROW()-1,60),ROW()-1,FALSE))</f>
        <v>54.102381479999998</v>
      </c>
      <c r="I198">
        <f ca="1">IF(AND(ISNUMBER($I$647),$B$419=1),$I$647,HLOOKUP(INDIRECT(ADDRESS(2,COLUMN())),OFFSET($BN$2,0,0,ROW()-1,60),ROW()-1,FALSE))</f>
        <v>45.665327419999997</v>
      </c>
      <c r="J198">
        <f ca="1">IF(AND(ISNUMBER($J$647),$B$419=1),$J$647,HLOOKUP(INDIRECT(ADDRESS(2,COLUMN())),OFFSET($BN$2,0,0,ROW()-1,60),ROW()-1,FALSE))</f>
        <v>62.001235229999999</v>
      </c>
      <c r="K198">
        <f ca="1">IF(AND(ISNUMBER($K$647),$B$419=1),$K$647,HLOOKUP(INDIRECT(ADDRESS(2,COLUMN())),OFFSET($BN$2,0,0,ROW()-1,60),ROW()-1,FALSE))</f>
        <v>67.127543110000005</v>
      </c>
      <c r="L198">
        <f ca="1">IF(AND(ISNUMBER($L$647),$B$419=1),$L$647,HLOOKUP(INDIRECT(ADDRESS(2,COLUMN())),OFFSET($BN$2,0,0,ROW()-1,60),ROW()-1,FALSE))</f>
        <v>43.144989889999998</v>
      </c>
      <c r="M198">
        <f ca="1">IF(AND(ISNUMBER($M$647),$B$419=1),$M$647,HLOOKUP(INDIRECT(ADDRESS(2,COLUMN())),OFFSET($BN$2,0,0,ROW()-1,60),ROW()-1,FALSE))</f>
        <v>48.867491620000003</v>
      </c>
      <c r="N198">
        <f ca="1">IF(AND(ISNUMBER($N$647),$B$419=1),$N$647,HLOOKUP(INDIRECT(ADDRESS(2,COLUMN())),OFFSET($BN$2,0,0,ROW()-1,60),ROW()-1,FALSE))</f>
        <v>53.107443420000003</v>
      </c>
      <c r="O198">
        <f ca="1">IF(AND(ISNUMBER($O$647),$B$419=1),$O$647,HLOOKUP(INDIRECT(ADDRESS(2,COLUMN())),OFFSET($BN$2,0,0,ROW()-1,60),ROW()-1,FALSE))</f>
        <v>30.73587148</v>
      </c>
      <c r="P198">
        <f ca="1">IF(AND(ISNUMBER($P$647),$B$419=1),$P$647,HLOOKUP(INDIRECT(ADDRESS(2,COLUMN())),OFFSET($BN$2,0,0,ROW()-1,60),ROW()-1,FALSE))</f>
        <v>63.740690540000003</v>
      </c>
      <c r="Q198">
        <f ca="1">IF(AND(ISNUMBER($Q$647),$B$419=1),$Q$647,HLOOKUP(INDIRECT(ADDRESS(2,COLUMN())),OFFSET($BN$2,0,0,ROW()-1,60),ROW()-1,FALSE))</f>
        <v>63.545183440000002</v>
      </c>
      <c r="R198">
        <f ca="1">IF(AND(ISNUMBER($R$647),$B$419=1),$R$647,HLOOKUP(INDIRECT(ADDRESS(2,COLUMN())),OFFSET($BN$2,0,0,ROW()-1,60),ROW()-1,FALSE))</f>
        <v>61.75448145</v>
      </c>
      <c r="S198">
        <f ca="1">IF(AND(ISNUMBER($S$647),$B$419=1),$S$647,HLOOKUP(INDIRECT(ADDRESS(2,COLUMN())),OFFSET($BN$2,0,0,ROW()-1,60),ROW()-1,FALSE))</f>
        <v>64.562848560000006</v>
      </c>
      <c r="T198">
        <f ca="1">IF(AND(ISNUMBER($T$647),$B$419=1),$T$647,HLOOKUP(INDIRECT(ADDRESS(2,COLUMN())),OFFSET($BN$2,0,0,ROW()-1,60),ROW()-1,FALSE))</f>
        <v>65.764512159999995</v>
      </c>
      <c r="U198">
        <f ca="1">IF(AND(ISNUMBER($U$647),$B$419=1),$U$647,HLOOKUP(INDIRECT(ADDRESS(2,COLUMN())),OFFSET($BN$2,0,0,ROW()-1,60),ROW()-1,FALSE))</f>
        <v>65.386696139999998</v>
      </c>
      <c r="V198">
        <f ca="1">IF(AND(ISNUMBER($V$647),$B$419=1),$V$647,HLOOKUP(INDIRECT(ADDRESS(2,COLUMN())),OFFSET($BN$2,0,0,ROW()-1,60),ROW()-1,FALSE))</f>
        <v>55.649720760000001</v>
      </c>
      <c r="W198">
        <f ca="1">IF(AND(ISNUMBER($W$647),$B$419=1),$W$647,HLOOKUP(INDIRECT(ADDRESS(2,COLUMN())),OFFSET($BN$2,0,0,ROW()-1,60),ROW()-1,FALSE))</f>
        <v>47.99102156</v>
      </c>
      <c r="X198">
        <f ca="1">IF(AND(ISNUMBER($X$647),$B$419=1),$X$647,HLOOKUP(INDIRECT(ADDRESS(2,COLUMN())),OFFSET($BN$2,0,0,ROW()-1,60),ROW()-1,FALSE))</f>
        <v>65.366978709999998</v>
      </c>
      <c r="Y198">
        <f ca="1">IF(AND(ISNUMBER($Y$647),$B$419=1),$Y$647,HLOOKUP(INDIRECT(ADDRESS(2,COLUMN())),OFFSET($BN$2,0,0,ROW()-1,60),ROW()-1,FALSE))</f>
        <v>57.801122909999997</v>
      </c>
      <c r="Z198">
        <f ca="1">IF(AND(ISNUMBER($Z$647),$B$419=1),$Z$647,HLOOKUP(INDIRECT(ADDRESS(2,COLUMN())),OFFSET($BN$2,0,0,ROW()-1,60),ROW()-1,FALSE))</f>
        <v>63.81682283</v>
      </c>
      <c r="AA198">
        <f ca="1">IF(AND(ISNUMBER($AA$647),$B$419=1),$AA$647,HLOOKUP(INDIRECT(ADDRESS(2,COLUMN())),OFFSET($BN$2,0,0,ROW()-1,60),ROW()-1,FALSE))</f>
        <v>60.400447</v>
      </c>
      <c r="AB198">
        <f ca="1">IF(AND(ISNUMBER($AB$647),$B$419=1),$AB$647,HLOOKUP(INDIRECT(ADDRESS(2,COLUMN())),OFFSET($BN$2,0,0,ROW()-1,60),ROW()-1,FALSE))</f>
        <v>64.732769899999994</v>
      </c>
      <c r="AC198">
        <f ca="1">IF(AND(ISNUMBER($AC$647),$B$419=1),$AC$647,HLOOKUP(INDIRECT(ADDRESS(2,COLUMN())),OFFSET($BN$2,0,0,ROW()-1,60),ROW()-1,FALSE))</f>
        <v>64.368021470000002</v>
      </c>
      <c r="AD198">
        <f ca="1">IF(AND(ISNUMBER($AD$647),$B$419=1),$AD$647,HLOOKUP(INDIRECT(ADDRESS(2,COLUMN())),OFFSET($BN$2,0,0,ROW()-1,60),ROW()-1,FALSE))</f>
        <v>62.988448849999997</v>
      </c>
      <c r="AE198">
        <f ca="1">IF(AND(ISNUMBER($AE$647),$B$419=1),$AE$647,HLOOKUP(INDIRECT(ADDRESS(2,COLUMN())),OFFSET($BN$2,0,0,ROW()-1,60),ROW()-1,FALSE))</f>
        <v>67.360285149999996</v>
      </c>
      <c r="AF198">
        <f ca="1">IF(AND(ISNUMBER($AF$647),$B$419=1),$AF$647,HLOOKUP(INDIRECT(ADDRESS(2,COLUMN())),OFFSET($BN$2,0,0,ROW()-1,60),ROW()-1,FALSE))</f>
        <v>45.904221679999999</v>
      </c>
      <c r="AG198">
        <f ca="1">IF(AND(ISNUMBER($AG$647),$B$419=1),$AG$647,HLOOKUP(INDIRECT(ADDRESS(2,COLUMN())),OFFSET($BN$2,0,0,ROW()-1,60),ROW()-1,FALSE))</f>
        <v>64.351687589999997</v>
      </c>
      <c r="AH198">
        <f ca="1">IF(AND(ISNUMBER($AH$647),$B$419=1),$AH$647,HLOOKUP(INDIRECT(ADDRESS(2,COLUMN())),OFFSET($BN$2,0,0,ROW()-1,60),ROW()-1,FALSE))</f>
        <v>62.390471949999998</v>
      </c>
      <c r="AI198">
        <f ca="1">IF(AND(ISNUMBER($AI$647),$B$419=1),$AI$647,HLOOKUP(INDIRECT(ADDRESS(2,COLUMN())),OFFSET($BN$2,0,0,ROW()-1,60),ROW()-1,FALSE))</f>
        <v>62.868303449999999</v>
      </c>
      <c r="AJ198">
        <f ca="1">IF(AND(ISNUMBER($AJ$647),$B$419=1),$AJ$647,HLOOKUP(INDIRECT(ADDRESS(2,COLUMN())),OFFSET($BN$2,0,0,ROW()-1,60),ROW()-1,FALSE))</f>
        <v>64.797253229999995</v>
      </c>
      <c r="AK198">
        <f ca="1">IF(AND(ISNUMBER($AK$647),$B$419=1),$AK$647,HLOOKUP(INDIRECT(ADDRESS(2,COLUMN())),OFFSET($BN$2,0,0,ROW()-1,60),ROW()-1,FALSE))</f>
        <v>65.484197739999999</v>
      </c>
      <c r="AL198">
        <f ca="1">IF(AND(ISNUMBER($AL$647),$B$419=1),$AL$647,HLOOKUP(INDIRECT(ADDRESS(2,COLUMN())),OFFSET($BN$2,0,0,ROW()-1,60),ROW()-1,FALSE))</f>
        <v>64.083979670000005</v>
      </c>
      <c r="AM198">
        <f ca="1">IF(AND(ISNUMBER($AM$647),$B$419=1),$AM$647,HLOOKUP(INDIRECT(ADDRESS(2,COLUMN())),OFFSET($BN$2,0,0,ROW()-1,60),ROW()-1,FALSE))</f>
        <v>28.103173519999999</v>
      </c>
      <c r="AN198">
        <f ca="1">IF(AND(ISNUMBER($AN$647),$B$419=1),$AN$647,HLOOKUP(INDIRECT(ADDRESS(2,COLUMN())),OFFSET($BN$2,0,0,ROW()-1,60),ROW()-1,FALSE))</f>
        <v>62.315637870000003</v>
      </c>
      <c r="AO198">
        <f ca="1">IF(AND(ISNUMBER($AO$647),$B$419=1),$AO$647,HLOOKUP(INDIRECT(ADDRESS(2,COLUMN())),OFFSET($BN$2,0,0,ROW()-1,60),ROW()-1,FALSE))</f>
        <v>64.92586034</v>
      </c>
      <c r="AP198">
        <f ca="1">IF(AND(ISNUMBER($AP$647),$B$419=1),$AP$647,HLOOKUP(INDIRECT(ADDRESS(2,COLUMN())),OFFSET($BN$2,0,0,ROW()-1,60),ROW()-1,FALSE))</f>
        <v>63.097469199999999</v>
      </c>
      <c r="AQ198">
        <f ca="1">IF(AND(ISNUMBER($AQ$647),$B$419=1),$AQ$647,HLOOKUP(INDIRECT(ADDRESS(2,COLUMN())),OFFSET($BN$2,0,0,ROW()-1,60),ROW()-1,FALSE))</f>
        <v>58.604599899999997</v>
      </c>
      <c r="AR198">
        <f ca="1">IF(AND(ISNUMBER($AR$647),$B$419=1),$AR$647,HLOOKUP(INDIRECT(ADDRESS(2,COLUMN())),OFFSET($BN$2,0,0,ROW()-1,60),ROW()-1,FALSE))</f>
        <v>64.422487340000004</v>
      </c>
      <c r="AS198">
        <f ca="1">IF(AND(ISNUMBER($AS$647),$B$419=1),$AS$647,HLOOKUP(INDIRECT(ADDRESS(2,COLUMN())),OFFSET($BN$2,0,0,ROW()-1,60),ROW()-1,FALSE))</f>
        <v>63.024115270000003</v>
      </c>
      <c r="AT198">
        <f ca="1">IF(AND(ISNUMBER($AT$647),$B$419=1),$AT$647,HLOOKUP(INDIRECT(ADDRESS(2,COLUMN())),OFFSET($BN$2,0,0,ROW()-1,60),ROW()-1,FALSE))</f>
        <v>60.980098320000003</v>
      </c>
      <c r="AU198">
        <f ca="1">IF(AND(ISNUMBER($AU$647),$B$419=1),$AU$647,HLOOKUP(INDIRECT(ADDRESS(2,COLUMN())),OFFSET($BN$2,0,0,ROW()-1,60),ROW()-1,FALSE))</f>
        <v>65.675351419999998</v>
      </c>
      <c r="AV198">
        <f ca="1">IF(AND(ISNUMBER($AV$647),$B$419=1),$AV$647,HLOOKUP(INDIRECT(ADDRESS(2,COLUMN())),OFFSET($BN$2,0,0,ROW()-1,60),ROW()-1,FALSE))</f>
        <v>63.368379949999998</v>
      </c>
      <c r="AW198">
        <f ca="1">IF(AND(ISNUMBER($AW$647),$B$419=1),$AW$647,HLOOKUP(INDIRECT(ADDRESS(2,COLUMN())),OFFSET($BN$2,0,0,ROW()-1,60),ROW()-1,FALSE))</f>
        <v>64.258655480000002</v>
      </c>
      <c r="AX198">
        <f ca="1">IF(AND(ISNUMBER($AX$647),$B$419=1),$AX$647,HLOOKUP(INDIRECT(ADDRESS(2,COLUMN())),OFFSET($BN$2,0,0,ROW()-1,60),ROW()-1,FALSE))</f>
        <v>62.772130930000003</v>
      </c>
      <c r="AY198">
        <f ca="1">IF(AND(ISNUMBER($AY$647),$B$419=1),$AY$647,HLOOKUP(INDIRECT(ADDRESS(2,COLUMN())),OFFSET($BN$2,0,0,ROW()-1,60),ROW()-1,FALSE))</f>
        <v>66.004538629999999</v>
      </c>
      <c r="AZ198">
        <f ca="1">IF(AND(ISNUMBER($AZ$647),$B$419=1),$AZ$647,HLOOKUP(INDIRECT(ADDRESS(2,COLUMN())),OFFSET($BN$2,0,0,ROW()-1,60),ROW()-1,FALSE))</f>
        <v>62.757384039999998</v>
      </c>
      <c r="BA198">
        <f ca="1">IF(AND(ISNUMBER($BA$647),$B$419=1),$BA$647,HLOOKUP(INDIRECT(ADDRESS(2,COLUMN())),OFFSET($BN$2,0,0,ROW()-1,60),ROW()-1,FALSE))</f>
        <v>64.579469979999999</v>
      </c>
      <c r="BB198">
        <f ca="1">IF(AND(ISNUMBER($BB$647),$B$419=1),$BB$647,HLOOKUP(INDIRECT(ADDRESS(2,COLUMN())),OFFSET($BN$2,0,0,ROW()-1,60),ROW()-1,FALSE))</f>
        <v>64.881340289999997</v>
      </c>
      <c r="BC198">
        <f ca="1">IF(AND(ISNUMBER($BC$647),$B$419=1),$BC$647,HLOOKUP(INDIRECT(ADDRESS(2,COLUMN())),OFFSET($BN$2,0,0,ROW()-1,60),ROW()-1,FALSE))</f>
        <v>67.650721950000005</v>
      </c>
      <c r="BD198">
        <f ca="1">IF(AND(ISNUMBER($BD$647),$B$419=1),$BD$647,HLOOKUP(INDIRECT(ADDRESS(2,COLUMN())),OFFSET($BN$2,0,0,ROW()-1,60),ROW()-1,FALSE))</f>
        <v>64.512421810000006</v>
      </c>
      <c r="BE198">
        <f ca="1">IF(AND(ISNUMBER($BE$647),$B$419=1),$BE$647,HLOOKUP(INDIRECT(ADDRESS(2,COLUMN())),OFFSET($BN$2,0,0,ROW()-1,60),ROW()-1,FALSE))</f>
        <v>64.724963160000001</v>
      </c>
      <c r="BF198">
        <f ca="1">IF(AND(ISNUMBER($BF$647),$B$419=1),$BF$647,HLOOKUP(INDIRECT(ADDRESS(2,COLUMN())),OFFSET($BN$2,0,0,ROW()-1,60),ROW()-1,FALSE))</f>
        <v>65.113173189999998</v>
      </c>
      <c r="BG198">
        <f ca="1">IF(AND(ISNUMBER($BG$647),$B$419=1),$BG$647,HLOOKUP(INDIRECT(ADDRESS(2,COLUMN())),OFFSET($BN$2,0,0,ROW()-1,60),ROW()-1,FALSE))</f>
        <v>65.88841171</v>
      </c>
      <c r="BH198">
        <f ca="1">IF(AND(ISNUMBER($BH$647),$B$419=1),$BH$647,HLOOKUP(INDIRECT(ADDRESS(2,COLUMN())),OFFSET($BN$2,0,0,ROW()-1,60),ROW()-1,FALSE))</f>
        <v>75.459193099999993</v>
      </c>
      <c r="BI198">
        <f ca="1">IF(AND(ISNUMBER($BI$647),$B$419=1),$BI$647,HLOOKUP(INDIRECT(ADDRESS(2,COLUMN())),OFFSET($BN$2,0,0,ROW()-1,60),ROW()-1,FALSE))</f>
        <v>59.012876749999997</v>
      </c>
      <c r="BJ198">
        <f ca="1">IF(AND(ISNUMBER($BJ$647),$B$419=1),$BJ$647,HLOOKUP(INDIRECT(ADDRESS(2,COLUMN())),OFFSET($BN$2,0,0,ROW()-1,60),ROW()-1,FALSE))</f>
        <v>58.378631800000001</v>
      </c>
      <c r="BK198">
        <f ca="1">IF(AND(ISNUMBER($BK$647),$B$419=1),$BK$647,HLOOKUP(INDIRECT(ADDRESS(2,COLUMN())),OFFSET($BN$2,0,0,ROW()-1,60),ROW()-1,FALSE))</f>
        <v>66.213703989999999</v>
      </c>
      <c r="BL198">
        <f ca="1">IF(AND(ISNUMBER($BL$647),$B$419=1),$BL$647,HLOOKUP(INDIRECT(ADDRESS(2,COLUMN())),OFFSET($BN$2,0,0,ROW()-1,60),ROW()-1,FALSE))</f>
        <v>75.262692049999998</v>
      </c>
      <c r="BM198">
        <f ca="1">IF(AND(ISNUMBER($BM$647),$B$419=1),$BM$647,HLOOKUP(INDIRECT(ADDRESS(2,COLUMN())),OFFSET($BN$2,0,0,ROW()-1,60),ROW()-1,FALSE))</f>
        <v>60.863001320000002</v>
      </c>
      <c r="BN198" t="str">
        <f>""</f>
        <v/>
      </c>
      <c r="BO198">
        <f>66.31315964</f>
        <v>66.313159639999995</v>
      </c>
      <c r="BP198">
        <f>54.10238148</f>
        <v>54.102381479999998</v>
      </c>
      <c r="BQ198">
        <f>45.66532742</f>
        <v>45.665327419999997</v>
      </c>
      <c r="BR198">
        <f>62.00123523</f>
        <v>62.001235229999999</v>
      </c>
      <c r="BS198">
        <f>67.12754311</f>
        <v>67.127543110000005</v>
      </c>
      <c r="BT198">
        <f>43.14498989</f>
        <v>43.144989889999998</v>
      </c>
      <c r="BU198">
        <f>48.86749162</f>
        <v>48.867491620000003</v>
      </c>
      <c r="BV198">
        <f>53.10744342</f>
        <v>53.107443420000003</v>
      </c>
      <c r="BW198">
        <f>30.73587148</f>
        <v>30.73587148</v>
      </c>
      <c r="BX198">
        <f>63.74069054</f>
        <v>63.740690540000003</v>
      </c>
      <c r="BY198">
        <f>63.54518344</f>
        <v>63.545183440000002</v>
      </c>
      <c r="BZ198">
        <f>61.75448145</f>
        <v>61.75448145</v>
      </c>
      <c r="CA198">
        <f>64.56284856</f>
        <v>64.562848560000006</v>
      </c>
      <c r="CB198">
        <f>65.76451216</f>
        <v>65.764512159999995</v>
      </c>
      <c r="CC198">
        <f>65.38669614</f>
        <v>65.386696139999998</v>
      </c>
      <c r="CD198">
        <f>55.64972076</f>
        <v>55.649720760000001</v>
      </c>
      <c r="CE198">
        <f>47.99102156</f>
        <v>47.99102156</v>
      </c>
      <c r="CF198">
        <f>65.36697871</f>
        <v>65.366978709999998</v>
      </c>
      <c r="CG198">
        <f>57.80112291</f>
        <v>57.801122909999997</v>
      </c>
      <c r="CH198">
        <f>63.81682283</f>
        <v>63.81682283</v>
      </c>
      <c r="CI198">
        <f>60.400447</f>
        <v>60.400447</v>
      </c>
      <c r="CJ198">
        <f>64.7327699</f>
        <v>64.732769899999994</v>
      </c>
      <c r="CK198">
        <f>64.36802147</f>
        <v>64.368021470000002</v>
      </c>
      <c r="CL198">
        <f>62.98844885</f>
        <v>62.988448849999997</v>
      </c>
      <c r="CM198">
        <f>67.36028515</f>
        <v>67.360285149999996</v>
      </c>
      <c r="CN198">
        <f>45.90422168</f>
        <v>45.904221679999999</v>
      </c>
      <c r="CO198">
        <f>64.35168759</f>
        <v>64.351687589999997</v>
      </c>
      <c r="CP198">
        <f>62.39047195</f>
        <v>62.390471949999998</v>
      </c>
      <c r="CQ198">
        <f>62.86830345</f>
        <v>62.868303449999999</v>
      </c>
      <c r="CR198">
        <f>64.79725323</f>
        <v>64.797253229999995</v>
      </c>
      <c r="CS198">
        <f>65.48419774</f>
        <v>65.484197739999999</v>
      </c>
      <c r="CT198">
        <f>64.08397967</f>
        <v>64.083979670000005</v>
      </c>
      <c r="CU198">
        <f>28.10317352</f>
        <v>28.103173519999999</v>
      </c>
      <c r="CV198">
        <f>62.31563787</f>
        <v>62.315637870000003</v>
      </c>
      <c r="CW198">
        <f>64.92586034</f>
        <v>64.92586034</v>
      </c>
      <c r="CX198">
        <f>63.0974692</f>
        <v>63.097469199999999</v>
      </c>
      <c r="CY198">
        <f>58.6045999</f>
        <v>58.604599899999997</v>
      </c>
      <c r="CZ198">
        <f>64.42248734</f>
        <v>64.422487340000004</v>
      </c>
      <c r="DA198">
        <f>63.02411527</f>
        <v>63.024115270000003</v>
      </c>
      <c r="DB198">
        <f>60.98009832</f>
        <v>60.980098320000003</v>
      </c>
      <c r="DC198">
        <f>65.67535142</f>
        <v>65.675351419999998</v>
      </c>
      <c r="DD198">
        <f>63.36837995</f>
        <v>63.368379949999998</v>
      </c>
      <c r="DE198">
        <f>64.25865548</f>
        <v>64.258655480000002</v>
      </c>
      <c r="DF198">
        <f>62.77213093</f>
        <v>62.772130930000003</v>
      </c>
      <c r="DG198">
        <f>66.00453863</f>
        <v>66.004538629999999</v>
      </c>
      <c r="DH198">
        <f>62.75738404</f>
        <v>62.757384039999998</v>
      </c>
      <c r="DI198">
        <f>64.57946998</f>
        <v>64.579469979999999</v>
      </c>
      <c r="DJ198">
        <f>64.88134029</f>
        <v>64.881340289999997</v>
      </c>
      <c r="DK198">
        <f>67.65072195</f>
        <v>67.650721950000005</v>
      </c>
      <c r="DL198">
        <f>64.51242181</f>
        <v>64.512421810000006</v>
      </c>
      <c r="DM198">
        <f>64.72496316</f>
        <v>64.724963160000001</v>
      </c>
      <c r="DN198">
        <f>65.11317319</f>
        <v>65.113173189999998</v>
      </c>
      <c r="DO198">
        <f>65.88841171</f>
        <v>65.88841171</v>
      </c>
      <c r="DP198">
        <f>75.4591931</f>
        <v>75.459193099999993</v>
      </c>
      <c r="DQ198">
        <f>59.01287675</f>
        <v>59.012876749999997</v>
      </c>
      <c r="DR198">
        <f>58.3786318</f>
        <v>58.378631800000001</v>
      </c>
      <c r="DS198">
        <f>66.21370399</f>
        <v>66.213703989999999</v>
      </c>
      <c r="DT198">
        <f>75.26269205</f>
        <v>75.262692049999998</v>
      </c>
      <c r="DU198">
        <f>60.86300132</f>
        <v>60.863001320000002</v>
      </c>
    </row>
    <row r="199" spans="1:125">
      <c r="A199" t="str">
        <f>"    DDR Corp"</f>
        <v xml:space="preserve">    DDR Corp</v>
      </c>
      <c r="B199" t="str">
        <f>"DDR US Equity"</f>
        <v>DDR US Equity</v>
      </c>
      <c r="C199" t="str">
        <f t="shared" si="36"/>
        <v>RX225</v>
      </c>
      <c r="D199" t="str">
        <f t="shared" si="37"/>
        <v>EBITDA_TO_REVENUE</v>
      </c>
      <c r="E199" t="str">
        <f t="shared" si="38"/>
        <v>动态</v>
      </c>
      <c r="F199" t="str">
        <f ca="1">IF(AND(ISNUMBER($F$648),$B$419=1),$F$648,HLOOKUP(INDIRECT(ADDRESS(2,COLUMN())),OFFSET($BN$2,0,0,ROW()-1,60),ROW()-1,FALSE))</f>
        <v/>
      </c>
      <c r="G199">
        <f ca="1">IF(AND(ISNUMBER($G$648),$B$419=1),$G$648,HLOOKUP(INDIRECT(ADDRESS(2,COLUMN())),OFFSET($BN$2,0,0,ROW()-1,60),ROW()-1,FALSE))</f>
        <v>-70.797203870000004</v>
      </c>
      <c r="H199">
        <f ca="1">IF(AND(ISNUMBER($H$648),$B$419=1),$H$648,HLOOKUP(INDIRECT(ADDRESS(2,COLUMN())),OFFSET($BN$2,0,0,ROW()-1,60),ROW()-1,FALSE))</f>
        <v>59.385992680000001</v>
      </c>
      <c r="I199">
        <f ca="1">IF(AND(ISNUMBER($I$648),$B$419=1),$I$648,HLOOKUP(INDIRECT(ADDRESS(2,COLUMN())),OFFSET($BN$2,0,0,ROW()-1,60),ROW()-1,FALSE))</f>
        <v>50.570522510000004</v>
      </c>
      <c r="J199">
        <f ca="1">IF(AND(ISNUMBER($J$648),$B$419=1),$J$648,HLOOKUP(INDIRECT(ADDRESS(2,COLUMN())),OFFSET($BN$2,0,0,ROW()-1,60),ROW()-1,FALSE))</f>
        <v>49.93573773</v>
      </c>
      <c r="K199">
        <f ca="1">IF(AND(ISNUMBER($K$648),$B$419=1),$K$648,HLOOKUP(INDIRECT(ADDRESS(2,COLUMN())),OFFSET($BN$2,0,0,ROW()-1,60),ROW()-1,FALSE))</f>
        <v>60.813290379999998</v>
      </c>
      <c r="L199">
        <f ca="1">IF(AND(ISNUMBER($L$648),$B$419=1),$L$648,HLOOKUP(INDIRECT(ADDRESS(2,COLUMN())),OFFSET($BN$2,0,0,ROW()-1,60),ROW()-1,FALSE))</f>
        <v>24.416469660000001</v>
      </c>
      <c r="M199">
        <f ca="1">IF(AND(ISNUMBER($M$648),$B$419=1),$M$648,HLOOKUP(INDIRECT(ADDRESS(2,COLUMN())),OFFSET($BN$2,0,0,ROW()-1,60),ROW()-1,FALSE))</f>
        <v>64.8831615</v>
      </c>
      <c r="N199">
        <f ca="1">IF(AND(ISNUMBER($N$648),$B$419=1),$N$648,HLOOKUP(INDIRECT(ADDRESS(2,COLUMN())),OFFSET($BN$2,0,0,ROW()-1,60),ROW()-1,FALSE))</f>
        <v>64.265023209999995</v>
      </c>
      <c r="O199">
        <f ca="1">IF(AND(ISNUMBER($O$648),$B$419=1),$O$648,HLOOKUP(INDIRECT(ADDRESS(2,COLUMN())),OFFSET($BN$2,0,0,ROW()-1,60),ROW()-1,FALSE))</f>
        <v>63.496126230000002</v>
      </c>
      <c r="P199">
        <f ca="1">IF(AND(ISNUMBER($P$648),$B$419=1),$P$648,HLOOKUP(INDIRECT(ADDRESS(2,COLUMN())),OFFSET($BN$2,0,0,ROW()-1,60),ROW()-1,FALSE))</f>
        <v>64.631808190000001</v>
      </c>
      <c r="Q199">
        <f ca="1">IF(AND(ISNUMBER($Q$648),$B$419=1),$Q$648,HLOOKUP(INDIRECT(ADDRESS(2,COLUMN())),OFFSET($BN$2,0,0,ROW()-1,60),ROW()-1,FALSE))</f>
        <v>63.820956539999997</v>
      </c>
      <c r="R199">
        <f ca="1">IF(AND(ISNUMBER($R$648),$B$419=1),$R$648,HLOOKUP(INDIRECT(ADDRESS(2,COLUMN())),OFFSET($BN$2,0,0,ROW()-1,60),ROW()-1,FALSE))</f>
        <v>-44.4879745</v>
      </c>
      <c r="S199">
        <f ca="1">IF(AND(ISNUMBER($S$648),$B$419=1),$S$648,HLOOKUP(INDIRECT(ADDRESS(2,COLUMN())),OFFSET($BN$2,0,0,ROW()-1,60),ROW()-1,FALSE))</f>
        <v>48.931633390000002</v>
      </c>
      <c r="T199">
        <f ca="1">IF(AND(ISNUMBER($T$648),$B$419=1),$T$648,HLOOKUP(INDIRECT(ADDRESS(2,COLUMN())),OFFSET($BN$2,0,0,ROW()-1,60),ROW()-1,FALSE))</f>
        <v>64.190662509999996</v>
      </c>
      <c r="U199">
        <f ca="1">IF(AND(ISNUMBER($U$648),$B$419=1),$U$648,HLOOKUP(INDIRECT(ADDRESS(2,COLUMN())),OFFSET($BN$2,0,0,ROW()-1,60),ROW()-1,FALSE))</f>
        <v>59.59304247</v>
      </c>
      <c r="V199">
        <f ca="1">IF(AND(ISNUMBER($V$648),$B$419=1),$V$648,HLOOKUP(INDIRECT(ADDRESS(2,COLUMN())),OFFSET($BN$2,0,0,ROW()-1,60),ROW()-1,FALSE))</f>
        <v>60.015651400000003</v>
      </c>
      <c r="W199">
        <f ca="1">IF(AND(ISNUMBER($W$648),$B$419=1),$W$648,HLOOKUP(INDIRECT(ADDRESS(2,COLUMN())),OFFSET($BN$2,0,0,ROW()-1,60),ROW()-1,FALSE))</f>
        <v>64.052273540000002</v>
      </c>
      <c r="X199">
        <f ca="1">IF(AND(ISNUMBER($X$648),$B$419=1),$X$648,HLOOKUP(INDIRECT(ADDRESS(2,COLUMN())),OFFSET($BN$2,0,0,ROW()-1,60),ROW()-1,FALSE))</f>
        <v>58.00968992</v>
      </c>
      <c r="Y199">
        <f ca="1">IF(AND(ISNUMBER($Y$648),$B$419=1),$Y$648,HLOOKUP(INDIRECT(ADDRESS(2,COLUMN())),OFFSET($BN$2,0,0,ROW()-1,60),ROW()-1,FALSE))</f>
        <v>58.449687050000001</v>
      </c>
      <c r="Z199">
        <f ca="1">IF(AND(ISNUMBER($Z$648),$B$419=1),$Z$648,HLOOKUP(INDIRECT(ADDRESS(2,COLUMN())),OFFSET($BN$2,0,0,ROW()-1,60),ROW()-1,FALSE))</f>
        <v>61.149136079999998</v>
      </c>
      <c r="AA199">
        <f ca="1">IF(AND(ISNUMBER($AA$648),$B$419=1),$AA$648,HLOOKUP(INDIRECT(ADDRESS(2,COLUMN())),OFFSET($BN$2,0,0,ROW()-1,60),ROW()-1,FALSE))</f>
        <v>56.596300859999999</v>
      </c>
      <c r="AB199">
        <f ca="1">IF(AND(ISNUMBER($AB$648),$B$419=1),$AB$648,HLOOKUP(INDIRECT(ADDRESS(2,COLUMN())),OFFSET($BN$2,0,0,ROW()-1,60),ROW()-1,FALSE))</f>
        <v>48.501852720000002</v>
      </c>
      <c r="AC199">
        <f ca="1">IF(AND(ISNUMBER($AC$648),$B$419=1),$AC$648,HLOOKUP(INDIRECT(ADDRESS(2,COLUMN())),OFFSET($BN$2,0,0,ROW()-1,60),ROW()-1,FALSE))</f>
        <v>39.252414860000002</v>
      </c>
      <c r="AD199">
        <f ca="1">IF(AND(ISNUMBER($AD$648),$B$419=1),$AD$648,HLOOKUP(INDIRECT(ADDRESS(2,COLUMN())),OFFSET($BN$2,0,0,ROW()-1,60),ROW()-1,FALSE))</f>
        <v>59.450426059999998</v>
      </c>
      <c r="AE199">
        <f ca="1">IF(AND(ISNUMBER($AE$648),$B$419=1),$AE$648,HLOOKUP(INDIRECT(ADDRESS(2,COLUMN())),OFFSET($BN$2,0,0,ROW()-1,60),ROW()-1,FALSE))</f>
        <v>59.481297230000003</v>
      </c>
      <c r="AF199">
        <f ca="1">IF(AND(ISNUMBER($AF$648),$B$419=1),$AF$648,HLOOKUP(INDIRECT(ADDRESS(2,COLUMN())),OFFSET($BN$2,0,0,ROW()-1,60),ROW()-1,FALSE))</f>
        <v>35.170585440000004</v>
      </c>
      <c r="AG199">
        <f ca="1">IF(AND(ISNUMBER($AG$648),$B$419=1),$AG$648,HLOOKUP(INDIRECT(ADDRESS(2,COLUMN())),OFFSET($BN$2,0,0,ROW()-1,60),ROW()-1,FALSE))</f>
        <v>57.009190799999999</v>
      </c>
      <c r="AH199">
        <f ca="1">IF(AND(ISNUMBER($AH$648),$B$419=1),$AH$648,HLOOKUP(INDIRECT(ADDRESS(2,COLUMN())),OFFSET($BN$2,0,0,ROW()-1,60),ROW()-1,FALSE))</f>
        <v>51.12679499</v>
      </c>
      <c r="AI199">
        <f ca="1">IF(AND(ISNUMBER($AI$648),$B$419=1),$AI$648,HLOOKUP(INDIRECT(ADDRESS(2,COLUMN())),OFFSET($BN$2,0,0,ROW()-1,60),ROW()-1,FALSE))</f>
        <v>49.293903589999999</v>
      </c>
      <c r="AJ199">
        <f ca="1">IF(AND(ISNUMBER($AJ$648),$B$419=1),$AJ$648,HLOOKUP(INDIRECT(ADDRESS(2,COLUMN())),OFFSET($BN$2,0,0,ROW()-1,60),ROW()-1,FALSE))</f>
        <v>56.539649310000001</v>
      </c>
      <c r="AK199">
        <f ca="1">IF(AND(ISNUMBER($AK$648),$B$419=1),$AK$648,HLOOKUP(INDIRECT(ADDRESS(2,COLUMN())),OFFSET($BN$2,0,0,ROW()-1,60),ROW()-1,FALSE))</f>
        <v>20.03662258</v>
      </c>
      <c r="AL199">
        <f ca="1">IF(AND(ISNUMBER($AL$648),$B$419=1),$AL$648,HLOOKUP(INDIRECT(ADDRESS(2,COLUMN())),OFFSET($BN$2,0,0,ROW()-1,60),ROW()-1,FALSE))</f>
        <v>58.450212980000003</v>
      </c>
      <c r="AM199">
        <f ca="1">IF(AND(ISNUMBER($AM$648),$B$419=1),$AM$648,HLOOKUP(INDIRECT(ADDRESS(2,COLUMN())),OFFSET($BN$2,0,0,ROW()-1,60),ROW()-1,FALSE))</f>
        <v>64.245266799999996</v>
      </c>
      <c r="AN199">
        <f ca="1">IF(AND(ISNUMBER($AN$648),$B$419=1),$AN$648,HLOOKUP(INDIRECT(ADDRESS(2,COLUMN())),OFFSET($BN$2,0,0,ROW()-1,60),ROW()-1,FALSE))</f>
        <v>23.537554879999998</v>
      </c>
      <c r="AO199">
        <f ca="1">IF(AND(ISNUMBER($AO$648),$B$419=1),$AO$648,HLOOKUP(INDIRECT(ADDRESS(2,COLUMN())),OFFSET($BN$2,0,0,ROW()-1,60),ROW()-1,FALSE))</f>
        <v>10.273653510000001</v>
      </c>
      <c r="AP199">
        <f ca="1">IF(AND(ISNUMBER($AP$648),$B$419=1),$AP$648,HLOOKUP(INDIRECT(ADDRESS(2,COLUMN())),OFFSET($BN$2,0,0,ROW()-1,60),ROW()-1,FALSE))</f>
        <v>57.59007252</v>
      </c>
      <c r="AQ199">
        <f ca="1">IF(AND(ISNUMBER($AQ$648),$B$419=1),$AQ$648,HLOOKUP(INDIRECT(ADDRESS(2,COLUMN())),OFFSET($BN$2,0,0,ROW()-1,60),ROW()-1,FALSE))</f>
        <v>92.690014320000003</v>
      </c>
      <c r="AR199">
        <f ca="1">IF(AND(ISNUMBER($AR$648),$B$419=1),$AR$648,HLOOKUP(INDIRECT(ADDRESS(2,COLUMN())),OFFSET($BN$2,0,0,ROW()-1,60),ROW()-1,FALSE))</f>
        <v>63.652517279999998</v>
      </c>
      <c r="AS199">
        <f ca="1">IF(AND(ISNUMBER($AS$648),$B$419=1),$AS$648,HLOOKUP(INDIRECT(ADDRESS(2,COLUMN())),OFFSET($BN$2,0,0,ROW()-1,60),ROW()-1,FALSE))</f>
        <v>38.440669440000001</v>
      </c>
      <c r="AT199">
        <f ca="1">IF(AND(ISNUMBER($AT$648),$B$419=1),$AT$648,HLOOKUP(INDIRECT(ADDRESS(2,COLUMN())),OFFSET($BN$2,0,0,ROW()-1,60),ROW()-1,FALSE))</f>
        <v>64.671997829999995</v>
      </c>
      <c r="AU199" t="str">
        <f ca="1">IF(AND(ISNUMBER($AU$648),$B$419=1),$AU$648,HLOOKUP(INDIRECT(ADDRESS(2,COLUMN())),OFFSET($BN$2,0,0,ROW()-1,60),ROW()-1,FALSE))</f>
        <v/>
      </c>
      <c r="AV199" t="str">
        <f ca="1">IF(AND(ISNUMBER($AV$648),$B$419=1),$AV$648,HLOOKUP(INDIRECT(ADDRESS(2,COLUMN())),OFFSET($BN$2,0,0,ROW()-1,60),ROW()-1,FALSE))</f>
        <v/>
      </c>
      <c r="AW199" t="str">
        <f ca="1">IF(AND(ISNUMBER($AW$648),$B$419=1),$AW$648,HLOOKUP(INDIRECT(ADDRESS(2,COLUMN())),OFFSET($BN$2,0,0,ROW()-1,60),ROW()-1,FALSE))</f>
        <v/>
      </c>
      <c r="AX199">
        <f ca="1">IF(AND(ISNUMBER($AX$648),$B$419=1),$AX$648,HLOOKUP(INDIRECT(ADDRESS(2,COLUMN())),OFFSET($BN$2,0,0,ROW()-1,60),ROW()-1,FALSE))</f>
        <v>65.911114150000003</v>
      </c>
      <c r="AY199" t="str">
        <f ca="1">IF(AND(ISNUMBER($AY$648),$B$419=1),$AY$648,HLOOKUP(INDIRECT(ADDRESS(2,COLUMN())),OFFSET($BN$2,0,0,ROW()-1,60),ROW()-1,FALSE))</f>
        <v/>
      </c>
      <c r="AZ199" t="str">
        <f ca="1">IF(AND(ISNUMBER($AZ$648),$B$419=1),$AZ$648,HLOOKUP(INDIRECT(ADDRESS(2,COLUMN())),OFFSET($BN$2,0,0,ROW()-1,60),ROW()-1,FALSE))</f>
        <v/>
      </c>
      <c r="BA199" t="str">
        <f ca="1">IF(AND(ISNUMBER($BA$648),$B$419=1),$BA$648,HLOOKUP(INDIRECT(ADDRESS(2,COLUMN())),OFFSET($BN$2,0,0,ROW()-1,60),ROW()-1,FALSE))</f>
        <v/>
      </c>
      <c r="BB199" t="str">
        <f ca="1">IF(AND(ISNUMBER($BB$648),$B$419=1),$BB$648,HLOOKUP(INDIRECT(ADDRESS(2,COLUMN())),OFFSET($BN$2,0,0,ROW()-1,60),ROW()-1,FALSE))</f>
        <v/>
      </c>
      <c r="BC199">
        <f ca="1">IF(AND(ISNUMBER($BC$648),$B$419=1),$BC$648,HLOOKUP(INDIRECT(ADDRESS(2,COLUMN())),OFFSET($BN$2,0,0,ROW()-1,60),ROW()-1,FALSE))</f>
        <v>109.3664194</v>
      </c>
      <c r="BD199">
        <f ca="1">IF(AND(ISNUMBER($BD$648),$B$419=1),$BD$648,HLOOKUP(INDIRECT(ADDRESS(2,COLUMN())),OFFSET($BN$2,0,0,ROW()-1,60),ROW()-1,FALSE))</f>
        <v>67.237729119999997</v>
      </c>
      <c r="BE199" t="str">
        <f ca="1">IF(AND(ISNUMBER($BE$648),$B$419=1),$BE$648,HLOOKUP(INDIRECT(ADDRESS(2,COLUMN())),OFFSET($BN$2,0,0,ROW()-1,60),ROW()-1,FALSE))</f>
        <v/>
      </c>
      <c r="BF199" t="str">
        <f ca="1">IF(AND(ISNUMBER($BF$648),$B$419=1),$BF$648,HLOOKUP(INDIRECT(ADDRESS(2,COLUMN())),OFFSET($BN$2,0,0,ROW()-1,60),ROW()-1,FALSE))</f>
        <v/>
      </c>
      <c r="BG199">
        <f ca="1">IF(AND(ISNUMBER($BG$648),$B$419=1),$BG$648,HLOOKUP(INDIRECT(ADDRESS(2,COLUMN())),OFFSET($BN$2,0,0,ROW()-1,60),ROW()-1,FALSE))</f>
        <v>66.286680930000003</v>
      </c>
      <c r="BH199">
        <f ca="1">IF(AND(ISNUMBER($BH$648),$B$419=1),$BH$648,HLOOKUP(INDIRECT(ADDRESS(2,COLUMN())),OFFSET($BN$2,0,0,ROW()-1,60),ROW()-1,FALSE))</f>
        <v>68.658198200000001</v>
      </c>
      <c r="BI199" t="str">
        <f ca="1">IF(AND(ISNUMBER($BI$648),$B$419=1),$BI$648,HLOOKUP(INDIRECT(ADDRESS(2,COLUMN())),OFFSET($BN$2,0,0,ROW()-1,60),ROW()-1,FALSE))</f>
        <v/>
      </c>
      <c r="BJ199" t="str">
        <f ca="1">IF(AND(ISNUMBER($BJ$648),$B$419=1),$BJ$648,HLOOKUP(INDIRECT(ADDRESS(2,COLUMN())),OFFSET($BN$2,0,0,ROW()-1,60),ROW()-1,FALSE))</f>
        <v/>
      </c>
      <c r="BK199" t="str">
        <f ca="1">IF(AND(ISNUMBER($BK$648),$B$419=1),$BK$648,HLOOKUP(INDIRECT(ADDRESS(2,COLUMN())),OFFSET($BN$2,0,0,ROW()-1,60),ROW()-1,FALSE))</f>
        <v/>
      </c>
      <c r="BL199" t="str">
        <f ca="1">IF(AND(ISNUMBER($BL$648),$B$419=1),$BL$648,HLOOKUP(INDIRECT(ADDRESS(2,COLUMN())),OFFSET($BN$2,0,0,ROW()-1,60),ROW()-1,FALSE))</f>
        <v/>
      </c>
      <c r="BM199" t="str">
        <f ca="1">IF(AND(ISNUMBER($BM$648),$B$419=1),$BM$648,HLOOKUP(INDIRECT(ADDRESS(2,COLUMN())),OFFSET($BN$2,0,0,ROW()-1,60),ROW()-1,FALSE))</f>
        <v/>
      </c>
      <c r="BN199" t="str">
        <f>""</f>
        <v/>
      </c>
      <c r="BO199">
        <f>-70.79720387</f>
        <v>-70.797203870000004</v>
      </c>
      <c r="BP199">
        <f>59.38599268</f>
        <v>59.385992680000001</v>
      </c>
      <c r="BQ199">
        <f>50.57052251</f>
        <v>50.570522510000004</v>
      </c>
      <c r="BR199">
        <f>49.93573773</f>
        <v>49.93573773</v>
      </c>
      <c r="BS199">
        <f>60.81329038</f>
        <v>60.813290379999998</v>
      </c>
      <c r="BT199">
        <f>24.41646966</f>
        <v>24.416469660000001</v>
      </c>
      <c r="BU199">
        <f>64.8831615</f>
        <v>64.8831615</v>
      </c>
      <c r="BV199">
        <f>64.26502321</f>
        <v>64.265023209999995</v>
      </c>
      <c r="BW199">
        <f>63.49612623</f>
        <v>63.496126230000002</v>
      </c>
      <c r="BX199">
        <f>64.63180819</f>
        <v>64.631808190000001</v>
      </c>
      <c r="BY199">
        <f>63.82095654</f>
        <v>63.820956539999997</v>
      </c>
      <c r="BZ199">
        <f>-44.4879745</f>
        <v>-44.4879745</v>
      </c>
      <c r="CA199">
        <f>48.93163339</f>
        <v>48.931633390000002</v>
      </c>
      <c r="CB199">
        <f>64.19066251</f>
        <v>64.190662509999996</v>
      </c>
      <c r="CC199">
        <f>59.59304247</f>
        <v>59.59304247</v>
      </c>
      <c r="CD199">
        <f>60.0156514</f>
        <v>60.015651400000003</v>
      </c>
      <c r="CE199">
        <f>64.05227354</f>
        <v>64.052273540000002</v>
      </c>
      <c r="CF199">
        <f>58.00968992</f>
        <v>58.00968992</v>
      </c>
      <c r="CG199">
        <f>58.44968705</f>
        <v>58.449687050000001</v>
      </c>
      <c r="CH199">
        <f>61.14913608</f>
        <v>61.149136079999998</v>
      </c>
      <c r="CI199">
        <f>56.59630086</f>
        <v>56.596300859999999</v>
      </c>
      <c r="CJ199">
        <f>48.50185272</f>
        <v>48.501852720000002</v>
      </c>
      <c r="CK199">
        <f>39.25241486</f>
        <v>39.252414860000002</v>
      </c>
      <c r="CL199">
        <f>59.45042606</f>
        <v>59.450426059999998</v>
      </c>
      <c r="CM199">
        <f>59.48129723</f>
        <v>59.481297230000003</v>
      </c>
      <c r="CN199">
        <f>35.17058544</f>
        <v>35.170585440000004</v>
      </c>
      <c r="CO199">
        <f>57.0091908</f>
        <v>57.009190799999999</v>
      </c>
      <c r="CP199">
        <f>51.12679499</f>
        <v>51.12679499</v>
      </c>
      <c r="CQ199">
        <f>49.29390359</f>
        <v>49.293903589999999</v>
      </c>
      <c r="CR199">
        <f>56.53964931</f>
        <v>56.539649310000001</v>
      </c>
      <c r="CS199">
        <f>20.03662258</f>
        <v>20.03662258</v>
      </c>
      <c r="CT199">
        <f>58.45021298</f>
        <v>58.450212980000003</v>
      </c>
      <c r="CU199">
        <f>64.2452668</f>
        <v>64.245266799999996</v>
      </c>
      <c r="CV199">
        <f>23.53755488</f>
        <v>23.537554879999998</v>
      </c>
      <c r="CW199">
        <f>10.27365351</f>
        <v>10.273653510000001</v>
      </c>
      <c r="CX199">
        <f>57.59007252</f>
        <v>57.59007252</v>
      </c>
      <c r="CY199">
        <f>92.69001432</f>
        <v>92.690014320000003</v>
      </c>
      <c r="CZ199">
        <f>63.65251728</f>
        <v>63.652517279999998</v>
      </c>
      <c r="DA199">
        <f>38.44066944</f>
        <v>38.440669440000001</v>
      </c>
      <c r="DB199">
        <f>64.67199783</f>
        <v>64.671997829999995</v>
      </c>
      <c r="DC199" t="str">
        <f>""</f>
        <v/>
      </c>
      <c r="DD199" t="str">
        <f>""</f>
        <v/>
      </c>
      <c r="DE199" t="str">
        <f>""</f>
        <v/>
      </c>
      <c r="DF199">
        <f>65.91111415</f>
        <v>65.911114150000003</v>
      </c>
      <c r="DG199" t="str">
        <f>""</f>
        <v/>
      </c>
      <c r="DH199" t="str">
        <f>""</f>
        <v/>
      </c>
      <c r="DI199" t="str">
        <f>""</f>
        <v/>
      </c>
      <c r="DJ199" t="str">
        <f>""</f>
        <v/>
      </c>
      <c r="DK199">
        <f>109.3664194</f>
        <v>109.3664194</v>
      </c>
      <c r="DL199">
        <f>67.23772912</f>
        <v>67.237729119999997</v>
      </c>
      <c r="DM199" t="str">
        <f>""</f>
        <v/>
      </c>
      <c r="DN199" t="str">
        <f>""</f>
        <v/>
      </c>
      <c r="DO199">
        <f>66.28668093</f>
        <v>66.286680930000003</v>
      </c>
      <c r="DP199">
        <f>68.6581982</f>
        <v>68.658198200000001</v>
      </c>
      <c r="DQ199" t="str">
        <f>""</f>
        <v/>
      </c>
      <c r="DR199" t="str">
        <f>""</f>
        <v/>
      </c>
      <c r="DS199" t="str">
        <f>""</f>
        <v/>
      </c>
      <c r="DT199" t="str">
        <f>""</f>
        <v/>
      </c>
      <c r="DU199" t="str">
        <f>""</f>
        <v/>
      </c>
    </row>
    <row r="200" spans="1:125">
      <c r="A200" t="str">
        <f>"    Federal Realty Investment Trus"</f>
        <v xml:space="preserve">    Federal Realty Investment Trus</v>
      </c>
      <c r="B200" t="str">
        <f>"FRT US Equity"</f>
        <v>FRT US Equity</v>
      </c>
      <c r="C200" t="str">
        <f t="shared" si="36"/>
        <v>RX225</v>
      </c>
      <c r="D200" t="str">
        <f t="shared" si="37"/>
        <v>EBITDA_TO_REVENUE</v>
      </c>
      <c r="E200" t="str">
        <f t="shared" si="38"/>
        <v>动态</v>
      </c>
      <c r="F200" t="str">
        <f ca="1">IF(AND(ISNUMBER($F$649),$B$419=1),$F$649,HLOOKUP(INDIRECT(ADDRESS(2,COLUMN())),OFFSET($BN$2,0,0,ROW()-1,60),ROW()-1,FALSE))</f>
        <v/>
      </c>
      <c r="G200">
        <f ca="1">IF(AND(ISNUMBER($G$649),$B$419=1),$G$649,HLOOKUP(INDIRECT(ADDRESS(2,COLUMN())),OFFSET($BN$2,0,0,ROW()-1,60),ROW()-1,FALSE))</f>
        <v>62.311515159999999</v>
      </c>
      <c r="H200">
        <f ca="1">IF(AND(ISNUMBER($H$649),$B$419=1),$H$649,HLOOKUP(INDIRECT(ADDRESS(2,COLUMN())),OFFSET($BN$2,0,0,ROW()-1,60),ROW()-1,FALSE))</f>
        <v>64.283584079999997</v>
      </c>
      <c r="I200">
        <f ca="1">IF(AND(ISNUMBER($I$649),$B$419=1),$I$649,HLOOKUP(INDIRECT(ADDRESS(2,COLUMN())),OFFSET($BN$2,0,0,ROW()-1,60),ROW()-1,FALSE))</f>
        <v>65.251935840000002</v>
      </c>
      <c r="J200">
        <f ca="1">IF(AND(ISNUMBER($J$649),$B$419=1),$J$649,HLOOKUP(INDIRECT(ADDRESS(2,COLUMN())),OFFSET($BN$2,0,0,ROW()-1,60),ROW()-1,FALSE))</f>
        <v>64.0935633</v>
      </c>
      <c r="K200">
        <f ca="1">IF(AND(ISNUMBER($K$649),$B$419=1),$K$649,HLOOKUP(INDIRECT(ADDRESS(2,COLUMN())),OFFSET($BN$2,0,0,ROW()-1,60),ROW()-1,FALSE))</f>
        <v>64.634582499999993</v>
      </c>
      <c r="L200">
        <f ca="1">IF(AND(ISNUMBER($L$649),$B$419=1),$L$649,HLOOKUP(INDIRECT(ADDRESS(2,COLUMN())),OFFSET($BN$2,0,0,ROW()-1,60),ROW()-1,FALSE))</f>
        <v>64.309966840000001</v>
      </c>
      <c r="M200">
        <f ca="1">IF(AND(ISNUMBER($M$649),$B$419=1),$M$649,HLOOKUP(INDIRECT(ADDRESS(2,COLUMN())),OFFSET($BN$2,0,0,ROW()-1,60),ROW()-1,FALSE))</f>
        <v>64.940575109999997</v>
      </c>
      <c r="N200">
        <f ca="1">IF(AND(ISNUMBER($N$649),$B$419=1),$N$649,HLOOKUP(INDIRECT(ADDRESS(2,COLUMN())),OFFSET($BN$2,0,0,ROW()-1,60),ROW()-1,FALSE))</f>
        <v>62.881155970000002</v>
      </c>
      <c r="O200">
        <f ca="1">IF(AND(ISNUMBER($O$649),$B$419=1),$O$649,HLOOKUP(INDIRECT(ADDRESS(2,COLUMN())),OFFSET($BN$2,0,0,ROW()-1,60),ROW()-1,FALSE))</f>
        <v>63.54937743</v>
      </c>
      <c r="P200">
        <f ca="1">IF(AND(ISNUMBER($P$649),$B$419=1),$P$649,HLOOKUP(INDIRECT(ADDRESS(2,COLUMN())),OFFSET($BN$2,0,0,ROW()-1,60),ROW()-1,FALSE))</f>
        <v>64.579599680000001</v>
      </c>
      <c r="Q200">
        <f ca="1">IF(AND(ISNUMBER($Q$649),$B$419=1),$Q$649,HLOOKUP(INDIRECT(ADDRESS(2,COLUMN())),OFFSET($BN$2,0,0,ROW()-1,60),ROW()-1,FALSE))</f>
        <v>65.508291040000003</v>
      </c>
      <c r="R200">
        <f ca="1">IF(AND(ISNUMBER($R$649),$B$419=1),$R$649,HLOOKUP(INDIRECT(ADDRESS(2,COLUMN())),OFFSET($BN$2,0,0,ROW()-1,60),ROW()-1,FALSE))</f>
        <v>61.748344080000003</v>
      </c>
      <c r="S200">
        <f ca="1">IF(AND(ISNUMBER($S$649),$B$419=1),$S$649,HLOOKUP(INDIRECT(ADDRESS(2,COLUMN())),OFFSET($BN$2,0,0,ROW()-1,60),ROW()-1,FALSE))</f>
        <v>65.213151370000006</v>
      </c>
      <c r="T200">
        <f ca="1">IF(AND(ISNUMBER($T$649),$B$419=1),$T$649,HLOOKUP(INDIRECT(ADDRESS(2,COLUMN())),OFFSET($BN$2,0,0,ROW()-1,60),ROW()-1,FALSE))</f>
        <v>64.515789350000006</v>
      </c>
      <c r="U200">
        <f ca="1">IF(AND(ISNUMBER($U$649),$B$419=1),$U$649,HLOOKUP(INDIRECT(ADDRESS(2,COLUMN())),OFFSET($BN$2,0,0,ROW()-1,60),ROW()-1,FALSE))</f>
        <v>65.052665419999997</v>
      </c>
      <c r="V200">
        <f ca="1">IF(AND(ISNUMBER($V$649),$B$419=1),$V$649,HLOOKUP(INDIRECT(ADDRESS(2,COLUMN())),OFFSET($BN$2,0,0,ROW()-1,60),ROW()-1,FALSE))</f>
        <v>62.808204740000001</v>
      </c>
      <c r="W200">
        <f ca="1">IF(AND(ISNUMBER($W$649),$B$419=1),$W$649,HLOOKUP(INDIRECT(ADDRESS(2,COLUMN())),OFFSET($BN$2,0,0,ROW()-1,60),ROW()-1,FALSE))</f>
        <v>63.89170318</v>
      </c>
      <c r="X200">
        <f ca="1">IF(AND(ISNUMBER($X$649),$B$419=1),$X$649,HLOOKUP(INDIRECT(ADDRESS(2,COLUMN())),OFFSET($BN$2,0,0,ROW()-1,60),ROW()-1,FALSE))</f>
        <v>65.465006599999995</v>
      </c>
      <c r="Y200">
        <f ca="1">IF(AND(ISNUMBER($Y$649),$B$419=1),$Y$649,HLOOKUP(INDIRECT(ADDRESS(2,COLUMN())),OFFSET($BN$2,0,0,ROW()-1,60),ROW()-1,FALSE))</f>
        <v>65.660024910000004</v>
      </c>
      <c r="Z200">
        <f ca="1">IF(AND(ISNUMBER($Z$649),$B$419=1),$Z$649,HLOOKUP(INDIRECT(ADDRESS(2,COLUMN())),OFFSET($BN$2,0,0,ROW()-1,60),ROW()-1,FALSE))</f>
        <v>65.623071100000004</v>
      </c>
      <c r="AA200">
        <f ca="1">IF(AND(ISNUMBER($AA$649),$B$419=1),$AA$649,HLOOKUP(INDIRECT(ADDRESS(2,COLUMN())),OFFSET($BN$2,0,0,ROW()-1,60),ROW()-1,FALSE))</f>
        <v>64.721892350000005</v>
      </c>
      <c r="AB200">
        <f ca="1">IF(AND(ISNUMBER($AB$649),$B$419=1),$AB$649,HLOOKUP(INDIRECT(ADDRESS(2,COLUMN())),OFFSET($BN$2,0,0,ROW()-1,60),ROW()-1,FALSE))</f>
        <v>64.671588349999993</v>
      </c>
      <c r="AC200">
        <f ca="1">IF(AND(ISNUMBER($AC$649),$B$419=1),$AC$649,HLOOKUP(INDIRECT(ADDRESS(2,COLUMN())),OFFSET($BN$2,0,0,ROW()-1,60),ROW()-1,FALSE))</f>
        <v>65.721062619999998</v>
      </c>
      <c r="AD200">
        <f ca="1">IF(AND(ISNUMBER($AD$649),$B$419=1),$AD$649,HLOOKUP(INDIRECT(ADDRESS(2,COLUMN())),OFFSET($BN$2,0,0,ROW()-1,60),ROW()-1,FALSE))</f>
        <v>66.387766679999999</v>
      </c>
      <c r="AE200">
        <f ca="1">IF(AND(ISNUMBER($AE$649),$B$419=1),$AE$649,HLOOKUP(INDIRECT(ADDRESS(2,COLUMN())),OFFSET($BN$2,0,0,ROW()-1,60),ROW()-1,FALSE))</f>
        <v>62.973435309999999</v>
      </c>
      <c r="AF200">
        <f ca="1">IF(AND(ISNUMBER($AF$649),$B$419=1),$AF$649,HLOOKUP(INDIRECT(ADDRESS(2,COLUMN())),OFFSET($BN$2,0,0,ROW()-1,60),ROW()-1,FALSE))</f>
        <v>64.533937699999996</v>
      </c>
      <c r="AG200">
        <f ca="1">IF(AND(ISNUMBER($AG$649),$B$419=1),$AG$649,HLOOKUP(INDIRECT(ADDRESS(2,COLUMN())),OFFSET($BN$2,0,0,ROW()-1,60),ROW()-1,FALSE))</f>
        <v>65.598033459999996</v>
      </c>
      <c r="AH200">
        <f ca="1">IF(AND(ISNUMBER($AH$649),$B$419=1),$AH$649,HLOOKUP(INDIRECT(ADDRESS(2,COLUMN())),OFFSET($BN$2,0,0,ROW()-1,60),ROW()-1,FALSE))</f>
        <v>63.162100709999997</v>
      </c>
      <c r="AI200">
        <f ca="1">IF(AND(ISNUMBER($AI$649),$B$419=1),$AI$649,HLOOKUP(INDIRECT(ADDRESS(2,COLUMN())),OFFSET($BN$2,0,0,ROW()-1,60),ROW()-1,FALSE))</f>
        <v>64.716676129999996</v>
      </c>
      <c r="AJ200">
        <f ca="1">IF(AND(ISNUMBER($AJ$649),$B$419=1),$AJ$649,HLOOKUP(INDIRECT(ADDRESS(2,COLUMN())),OFFSET($BN$2,0,0,ROW()-1,60),ROW()-1,FALSE))</f>
        <v>64.061118350000001</v>
      </c>
      <c r="AK200">
        <f ca="1">IF(AND(ISNUMBER($AK$649),$B$419=1),$AK$649,HLOOKUP(INDIRECT(ADDRESS(2,COLUMN())),OFFSET($BN$2,0,0,ROW()-1,60),ROW()-1,FALSE))</f>
        <v>65.321733129999998</v>
      </c>
      <c r="AL200">
        <f ca="1">IF(AND(ISNUMBER($AL$649),$B$419=1),$AL$649,HLOOKUP(INDIRECT(ADDRESS(2,COLUMN())),OFFSET($BN$2,0,0,ROW()-1,60),ROW()-1,FALSE))</f>
        <v>63.556577310000002</v>
      </c>
      <c r="AM200">
        <f ca="1">IF(AND(ISNUMBER($AM$649),$B$419=1),$AM$649,HLOOKUP(INDIRECT(ADDRESS(2,COLUMN())),OFFSET($BN$2,0,0,ROW()-1,60),ROW()-1,FALSE))</f>
        <v>66.291964370000002</v>
      </c>
      <c r="AN200">
        <f ca="1">IF(AND(ISNUMBER($AN$649),$B$419=1),$AN$649,HLOOKUP(INDIRECT(ADDRESS(2,COLUMN())),OFFSET($BN$2,0,0,ROW()-1,60),ROW()-1,FALSE))</f>
        <v>65.699432029999997</v>
      </c>
      <c r="AO200">
        <f ca="1">IF(AND(ISNUMBER($AO$649),$B$419=1),$AO$649,HLOOKUP(INDIRECT(ADDRESS(2,COLUMN())),OFFSET($BN$2,0,0,ROW()-1,60),ROW()-1,FALSE))</f>
        <v>65.242676729999999</v>
      </c>
      <c r="AP200">
        <f ca="1">IF(AND(ISNUMBER($AP$649),$B$419=1),$AP$649,HLOOKUP(INDIRECT(ADDRESS(2,COLUMN())),OFFSET($BN$2,0,0,ROW()-1,60),ROW()-1,FALSE))</f>
        <v>47.888248040000001</v>
      </c>
      <c r="AQ200">
        <f ca="1">IF(AND(ISNUMBER($AQ$649),$B$419=1),$AQ$649,HLOOKUP(INDIRECT(ADDRESS(2,COLUMN())),OFFSET($BN$2,0,0,ROW()-1,60),ROW()-1,FALSE))</f>
        <v>62.299010690000003</v>
      </c>
      <c r="AR200">
        <f ca="1">IF(AND(ISNUMBER($AR$649),$B$419=1),$AR$649,HLOOKUP(INDIRECT(ADDRESS(2,COLUMN())),OFFSET($BN$2,0,0,ROW()-1,60),ROW()-1,FALSE))</f>
        <v>63.845505549999999</v>
      </c>
      <c r="AS200">
        <f ca="1">IF(AND(ISNUMBER($AS$649),$B$419=1),$AS$649,HLOOKUP(INDIRECT(ADDRESS(2,COLUMN())),OFFSET($BN$2,0,0,ROW()-1,60),ROW()-1,FALSE))</f>
        <v>63.172043010000003</v>
      </c>
      <c r="AT200">
        <f ca="1">IF(AND(ISNUMBER($AT$649),$B$419=1),$AT$649,HLOOKUP(INDIRECT(ADDRESS(2,COLUMN())),OFFSET($BN$2,0,0,ROW()-1,60),ROW()-1,FALSE))</f>
        <v>63.1381114</v>
      </c>
      <c r="AU200">
        <f ca="1">IF(AND(ISNUMBER($AU$649),$B$419=1),$AU$649,HLOOKUP(INDIRECT(ADDRESS(2,COLUMN())),OFFSET($BN$2,0,0,ROW()-1,60),ROW()-1,FALSE))</f>
        <v>62.949299289999999</v>
      </c>
      <c r="AV200">
        <f ca="1">IF(AND(ISNUMBER($AV$649),$B$419=1),$AV$649,HLOOKUP(INDIRECT(ADDRESS(2,COLUMN())),OFFSET($BN$2,0,0,ROW()-1,60),ROW()-1,FALSE))</f>
        <v>64.876501250000004</v>
      </c>
      <c r="AW200">
        <f ca="1">IF(AND(ISNUMBER($AW$649),$B$419=1),$AW$649,HLOOKUP(INDIRECT(ADDRESS(2,COLUMN())),OFFSET($BN$2,0,0,ROW()-1,60),ROW()-1,FALSE))</f>
        <v>66.917028220000006</v>
      </c>
      <c r="AX200">
        <f ca="1">IF(AND(ISNUMBER($AX$649),$B$419=1),$AX$649,HLOOKUP(INDIRECT(ADDRESS(2,COLUMN())),OFFSET($BN$2,0,0,ROW()-1,60),ROW()-1,FALSE))</f>
        <v>66.315114989999998</v>
      </c>
      <c r="AY200">
        <f ca="1">IF(AND(ISNUMBER($AY$649),$B$419=1),$AY$649,HLOOKUP(INDIRECT(ADDRESS(2,COLUMN())),OFFSET($BN$2,0,0,ROW()-1,60),ROW()-1,FALSE))</f>
        <v>68.747620100000006</v>
      </c>
      <c r="AZ200">
        <f ca="1">IF(AND(ISNUMBER($AZ$649),$B$419=1),$AZ$649,HLOOKUP(INDIRECT(ADDRESS(2,COLUMN())),OFFSET($BN$2,0,0,ROW()-1,60),ROW()-1,FALSE))</f>
        <v>65.814813169999994</v>
      </c>
      <c r="BA200">
        <f ca="1">IF(AND(ISNUMBER($BA$649),$B$419=1),$BA$649,HLOOKUP(INDIRECT(ADDRESS(2,COLUMN())),OFFSET($BN$2,0,0,ROW()-1,60),ROW()-1,FALSE))</f>
        <v>67.244087260000001</v>
      </c>
      <c r="BB200">
        <f ca="1">IF(AND(ISNUMBER($BB$649),$B$419=1),$BB$649,HLOOKUP(INDIRECT(ADDRESS(2,COLUMN())),OFFSET($BN$2,0,0,ROW()-1,60),ROW()-1,FALSE))</f>
        <v>65.956389270000003</v>
      </c>
      <c r="BC200">
        <f ca="1">IF(AND(ISNUMBER($BC$649),$B$419=1),$BC$649,HLOOKUP(INDIRECT(ADDRESS(2,COLUMN())),OFFSET($BN$2,0,0,ROW()-1,60),ROW()-1,FALSE))</f>
        <v>64.231069910000002</v>
      </c>
      <c r="BD200">
        <f ca="1">IF(AND(ISNUMBER($BD$649),$B$419=1),$BD$649,HLOOKUP(INDIRECT(ADDRESS(2,COLUMN())),OFFSET($BN$2,0,0,ROW()-1,60),ROW()-1,FALSE))</f>
        <v>66.221110809999999</v>
      </c>
      <c r="BE200">
        <f ca="1">IF(AND(ISNUMBER($BE$649),$B$419=1),$BE$649,HLOOKUP(INDIRECT(ADDRESS(2,COLUMN())),OFFSET($BN$2,0,0,ROW()-1,60),ROW()-1,FALSE))</f>
        <v>67.840165479999996</v>
      </c>
      <c r="BF200">
        <f ca="1">IF(AND(ISNUMBER($BF$649),$B$419=1),$BF$649,HLOOKUP(INDIRECT(ADDRESS(2,COLUMN())),OFFSET($BN$2,0,0,ROW()-1,60),ROW()-1,FALSE))</f>
        <v>64.056167759999994</v>
      </c>
      <c r="BG200">
        <f ca="1">IF(AND(ISNUMBER($BG$649),$B$419=1),$BG$649,HLOOKUP(INDIRECT(ADDRESS(2,COLUMN())),OFFSET($BN$2,0,0,ROW()-1,60),ROW()-1,FALSE))</f>
        <v>61.087870649999999</v>
      </c>
      <c r="BH200">
        <f ca="1">IF(AND(ISNUMBER($BH$649),$B$419=1),$BH$649,HLOOKUP(INDIRECT(ADDRESS(2,COLUMN())),OFFSET($BN$2,0,0,ROW()-1,60),ROW()-1,FALSE))</f>
        <v>107.4879397</v>
      </c>
      <c r="BI200">
        <f ca="1">IF(AND(ISNUMBER($BI$649),$B$419=1),$BI$649,HLOOKUP(INDIRECT(ADDRESS(2,COLUMN())),OFFSET($BN$2,0,0,ROW()-1,60),ROW()-1,FALSE))</f>
        <v>63.476251929999997</v>
      </c>
      <c r="BJ200">
        <f ca="1">IF(AND(ISNUMBER($BJ$649),$B$419=1),$BJ$649,HLOOKUP(INDIRECT(ADDRESS(2,COLUMN())),OFFSET($BN$2,0,0,ROW()-1,60),ROW()-1,FALSE))</f>
        <v>62.769176379999998</v>
      </c>
      <c r="BK200">
        <f ca="1">IF(AND(ISNUMBER($BK$649),$B$419=1),$BK$649,HLOOKUP(INDIRECT(ADDRESS(2,COLUMN())),OFFSET($BN$2,0,0,ROW()-1,60),ROW()-1,FALSE))</f>
        <v>64.748514130000004</v>
      </c>
      <c r="BL200">
        <f ca="1">IF(AND(ISNUMBER($BL$649),$B$419=1),$BL$649,HLOOKUP(INDIRECT(ADDRESS(2,COLUMN())),OFFSET($BN$2,0,0,ROW()-1,60),ROW()-1,FALSE))</f>
        <v>104.8859898</v>
      </c>
      <c r="BM200">
        <f ca="1">IF(AND(ISNUMBER($BM$649),$B$419=1),$BM$649,HLOOKUP(INDIRECT(ADDRESS(2,COLUMN())),OFFSET($BN$2,0,0,ROW()-1,60),ROW()-1,FALSE))</f>
        <v>83.951903160000001</v>
      </c>
      <c r="BN200" t="str">
        <f>""</f>
        <v/>
      </c>
      <c r="BO200">
        <f>62.31151516</f>
        <v>62.311515159999999</v>
      </c>
      <c r="BP200">
        <f>64.28358408</f>
        <v>64.283584079999997</v>
      </c>
      <c r="BQ200">
        <f>65.25193584</f>
        <v>65.251935840000002</v>
      </c>
      <c r="BR200">
        <f>64.0935633</f>
        <v>64.0935633</v>
      </c>
      <c r="BS200">
        <f>64.6345825</f>
        <v>64.634582499999993</v>
      </c>
      <c r="BT200">
        <f>64.30996684</f>
        <v>64.309966840000001</v>
      </c>
      <c r="BU200">
        <f>64.94057511</f>
        <v>64.940575109999997</v>
      </c>
      <c r="BV200">
        <f>62.88115597</f>
        <v>62.881155970000002</v>
      </c>
      <c r="BW200">
        <f>63.54937743</f>
        <v>63.54937743</v>
      </c>
      <c r="BX200">
        <f>64.57959968</f>
        <v>64.579599680000001</v>
      </c>
      <c r="BY200">
        <f>65.50829104</f>
        <v>65.508291040000003</v>
      </c>
      <c r="BZ200">
        <f>61.74834408</f>
        <v>61.748344080000003</v>
      </c>
      <c r="CA200">
        <f>65.21315137</f>
        <v>65.213151370000006</v>
      </c>
      <c r="CB200">
        <f>64.51578935</f>
        <v>64.515789350000006</v>
      </c>
      <c r="CC200">
        <f>65.05266542</f>
        <v>65.052665419999997</v>
      </c>
      <c r="CD200">
        <f>62.80820474</f>
        <v>62.808204740000001</v>
      </c>
      <c r="CE200">
        <f>63.89170318</f>
        <v>63.89170318</v>
      </c>
      <c r="CF200">
        <f>65.4650066</f>
        <v>65.465006599999995</v>
      </c>
      <c r="CG200">
        <f>65.66002491</f>
        <v>65.660024910000004</v>
      </c>
      <c r="CH200">
        <f>65.6230711</f>
        <v>65.623071100000004</v>
      </c>
      <c r="CI200">
        <f>64.72189235</f>
        <v>64.721892350000005</v>
      </c>
      <c r="CJ200">
        <f>64.67158835</f>
        <v>64.671588349999993</v>
      </c>
      <c r="CK200">
        <f>65.72106262</f>
        <v>65.721062619999998</v>
      </c>
      <c r="CL200">
        <f>66.38776668</f>
        <v>66.387766679999999</v>
      </c>
      <c r="CM200">
        <f>62.97343531</f>
        <v>62.973435309999999</v>
      </c>
      <c r="CN200">
        <f>64.5339377</f>
        <v>64.533937699999996</v>
      </c>
      <c r="CO200">
        <f>65.59803346</f>
        <v>65.598033459999996</v>
      </c>
      <c r="CP200">
        <f>63.16210071</f>
        <v>63.162100709999997</v>
      </c>
      <c r="CQ200">
        <f>64.71667613</f>
        <v>64.716676129999996</v>
      </c>
      <c r="CR200">
        <f>64.06111835</f>
        <v>64.061118350000001</v>
      </c>
      <c r="CS200">
        <f>65.32173313</f>
        <v>65.321733129999998</v>
      </c>
      <c r="CT200">
        <f>63.55657731</f>
        <v>63.556577310000002</v>
      </c>
      <c r="CU200">
        <f>66.29196437</f>
        <v>66.291964370000002</v>
      </c>
      <c r="CV200">
        <f>65.69943203</f>
        <v>65.699432029999997</v>
      </c>
      <c r="CW200">
        <f>65.24267673</f>
        <v>65.242676729999999</v>
      </c>
      <c r="CX200">
        <f>47.88824804</f>
        <v>47.888248040000001</v>
      </c>
      <c r="CY200">
        <f>62.29901069</f>
        <v>62.299010690000003</v>
      </c>
      <c r="CZ200">
        <f>63.84550555</f>
        <v>63.845505549999999</v>
      </c>
      <c r="DA200">
        <f>63.17204301</f>
        <v>63.172043010000003</v>
      </c>
      <c r="DB200">
        <f>63.1381114</f>
        <v>63.1381114</v>
      </c>
      <c r="DC200">
        <f>62.94929929</f>
        <v>62.949299289999999</v>
      </c>
      <c r="DD200">
        <f>64.87650125</f>
        <v>64.876501250000004</v>
      </c>
      <c r="DE200">
        <f>66.91702822</f>
        <v>66.917028220000006</v>
      </c>
      <c r="DF200">
        <f>66.31511499</f>
        <v>66.315114989999998</v>
      </c>
      <c r="DG200">
        <f>68.7476201</f>
        <v>68.747620100000006</v>
      </c>
      <c r="DH200">
        <f>65.81481317</f>
        <v>65.814813169999994</v>
      </c>
      <c r="DI200">
        <f>67.24408726</f>
        <v>67.244087260000001</v>
      </c>
      <c r="DJ200">
        <f>65.95638927</f>
        <v>65.956389270000003</v>
      </c>
      <c r="DK200">
        <f>64.23106991</f>
        <v>64.231069910000002</v>
      </c>
      <c r="DL200">
        <f>66.22111081</f>
        <v>66.221110809999999</v>
      </c>
      <c r="DM200">
        <f>67.84016548</f>
        <v>67.840165479999996</v>
      </c>
      <c r="DN200">
        <f>64.05616776</f>
        <v>64.056167759999994</v>
      </c>
      <c r="DO200">
        <f>61.08787065</f>
        <v>61.087870649999999</v>
      </c>
      <c r="DP200">
        <f>107.4879397</f>
        <v>107.4879397</v>
      </c>
      <c r="DQ200">
        <f>63.47625193</f>
        <v>63.476251929999997</v>
      </c>
      <c r="DR200">
        <f>62.76917638</f>
        <v>62.769176379999998</v>
      </c>
      <c r="DS200">
        <f>64.74851413</f>
        <v>64.748514130000004</v>
      </c>
      <c r="DT200">
        <f>104.8859898</f>
        <v>104.8859898</v>
      </c>
      <c r="DU200">
        <f>83.95190316</f>
        <v>83.951903160000001</v>
      </c>
    </row>
    <row r="201" spans="1:125">
      <c r="A201" t="str">
        <f>"    Kimco Realty Corp"</f>
        <v xml:space="preserve">    Kimco Realty Corp</v>
      </c>
      <c r="B201" t="str">
        <f>"KIM US Equity"</f>
        <v>KIM US Equity</v>
      </c>
      <c r="C201" t="str">
        <f t="shared" si="36"/>
        <v>RX225</v>
      </c>
      <c r="D201" t="str">
        <f t="shared" si="37"/>
        <v>EBITDA_TO_REVENUE</v>
      </c>
      <c r="E201" t="str">
        <f t="shared" si="38"/>
        <v>动态</v>
      </c>
      <c r="F201" t="str">
        <f ca="1">IF(AND(ISNUMBER($F$650),$B$419=1),$F$650,HLOOKUP(INDIRECT(ADDRESS(2,COLUMN())),OFFSET($BN$2,0,0,ROW()-1,60),ROW()-1,FALSE))</f>
        <v/>
      </c>
      <c r="G201">
        <f ca="1">IF(AND(ISNUMBER($G$650),$B$419=1),$G$650,HLOOKUP(INDIRECT(ADDRESS(2,COLUMN())),OFFSET($BN$2,0,0,ROW()-1,60),ROW()-1,FALSE))</f>
        <v>52.06122611</v>
      </c>
      <c r="H201">
        <f ca="1">IF(AND(ISNUMBER($H$650),$B$419=1),$H$650,HLOOKUP(INDIRECT(ADDRESS(2,COLUMN())),OFFSET($BN$2,0,0,ROW()-1,60),ROW()-1,FALSE))</f>
        <v>63.859994229999998</v>
      </c>
      <c r="I201">
        <f ca="1">IF(AND(ISNUMBER($I$650),$B$419=1),$I$650,HLOOKUP(INDIRECT(ADDRESS(2,COLUMN())),OFFSET($BN$2,0,0,ROW()-1,60),ROW()-1,FALSE))</f>
        <v>54.2375562</v>
      </c>
      <c r="J201">
        <f ca="1">IF(AND(ISNUMBER($J$650),$B$419=1),$J$650,HLOOKUP(INDIRECT(ADDRESS(2,COLUMN())),OFFSET($BN$2,0,0,ROW()-1,60),ROW()-1,FALSE))</f>
        <v>62.915037400000003</v>
      </c>
      <c r="K201">
        <f ca="1">IF(AND(ISNUMBER($K$650),$B$419=1),$K$650,HLOOKUP(INDIRECT(ADDRESS(2,COLUMN())),OFFSET($BN$2,0,0,ROW()-1,60),ROW()-1,FALSE))</f>
        <v>54.776686220000002</v>
      </c>
      <c r="L201">
        <f ca="1">IF(AND(ISNUMBER($L$650),$B$419=1),$L$650,HLOOKUP(INDIRECT(ADDRESS(2,COLUMN())),OFFSET($BN$2,0,0,ROW()-1,60),ROW()-1,FALSE))</f>
        <v>60.652948690000002</v>
      </c>
      <c r="M201">
        <f ca="1">IF(AND(ISNUMBER($M$650),$B$419=1),$M$650,HLOOKUP(INDIRECT(ADDRESS(2,COLUMN())),OFFSET($BN$2,0,0,ROW()-1,60),ROW()-1,FALSE))</f>
        <v>46.801240530000001</v>
      </c>
      <c r="N201">
        <f ca="1">IF(AND(ISNUMBER($N$650),$B$419=1),$N$650,HLOOKUP(INDIRECT(ADDRESS(2,COLUMN())),OFFSET($BN$2,0,0,ROW()-1,60),ROW()-1,FALSE))</f>
        <v>61.949448519999997</v>
      </c>
      <c r="O201">
        <f ca="1">IF(AND(ISNUMBER($O$650),$B$419=1),$O$650,HLOOKUP(INDIRECT(ADDRESS(2,COLUMN())),OFFSET($BN$2,0,0,ROW()-1,60),ROW()-1,FALSE))</f>
        <v>56.00491907</v>
      </c>
      <c r="P201">
        <f ca="1">IF(AND(ISNUMBER($P$650),$B$419=1),$P$650,HLOOKUP(INDIRECT(ADDRESS(2,COLUMN())),OFFSET($BN$2,0,0,ROW()-1,60),ROW()-1,FALSE))</f>
        <v>61.964685729999999</v>
      </c>
      <c r="Q201">
        <f ca="1">IF(AND(ISNUMBER($Q$650),$B$419=1),$Q$650,HLOOKUP(INDIRECT(ADDRESS(2,COLUMN())),OFFSET($BN$2,0,0,ROW()-1,60),ROW()-1,FALSE))</f>
        <v>58.616069449999998</v>
      </c>
      <c r="R201">
        <f ca="1">IF(AND(ISNUMBER($R$650),$B$419=1),$R$650,HLOOKUP(INDIRECT(ADDRESS(2,COLUMN())),OFFSET($BN$2,0,0,ROW()-1,60),ROW()-1,FALSE))</f>
        <v>59.457199709999998</v>
      </c>
      <c r="S201">
        <f ca="1">IF(AND(ISNUMBER($S$650),$B$419=1),$S$650,HLOOKUP(INDIRECT(ADDRESS(2,COLUMN())),OFFSET($BN$2,0,0,ROW()-1,60),ROW()-1,FALSE))</f>
        <v>58.200006049999999</v>
      </c>
      <c r="T201">
        <f ca="1">IF(AND(ISNUMBER($T$650),$B$419=1),$T$650,HLOOKUP(INDIRECT(ADDRESS(2,COLUMN())),OFFSET($BN$2,0,0,ROW()-1,60),ROW()-1,FALSE))</f>
        <v>63.08250468</v>
      </c>
      <c r="U201">
        <f ca="1">IF(AND(ISNUMBER($U$650),$B$419=1),$U$650,HLOOKUP(INDIRECT(ADDRESS(2,COLUMN())),OFFSET($BN$2,0,0,ROW()-1,60),ROW()-1,FALSE))</f>
        <v>53.716488179999999</v>
      </c>
      <c r="V201">
        <f ca="1">IF(AND(ISNUMBER($V$650),$B$419=1),$V$650,HLOOKUP(INDIRECT(ADDRESS(2,COLUMN())),OFFSET($BN$2,0,0,ROW()-1,60),ROW()-1,FALSE))</f>
        <v>59.745040379999999</v>
      </c>
      <c r="W201">
        <f ca="1">IF(AND(ISNUMBER($W$650),$B$419=1),$W$650,HLOOKUP(INDIRECT(ADDRESS(2,COLUMN())),OFFSET($BN$2,0,0,ROW()-1,60),ROW()-1,FALSE))</f>
        <v>61.217484040000002</v>
      </c>
      <c r="X201">
        <f ca="1">IF(AND(ISNUMBER($X$650),$B$419=1),$X$650,HLOOKUP(INDIRECT(ADDRESS(2,COLUMN())),OFFSET($BN$2,0,0,ROW()-1,60),ROW()-1,FALSE))</f>
        <v>36.615597190000003</v>
      </c>
      <c r="Y201">
        <f ca="1">IF(AND(ISNUMBER($Y$650),$B$419=1),$Y$650,HLOOKUP(INDIRECT(ADDRESS(2,COLUMN())),OFFSET($BN$2,0,0,ROW()-1,60),ROW()-1,FALSE))</f>
        <v>46.013862709999998</v>
      </c>
      <c r="Z201">
        <f ca="1">IF(AND(ISNUMBER($Z$650),$B$419=1),$Z$650,HLOOKUP(INDIRECT(ADDRESS(2,COLUMN())),OFFSET($BN$2,0,0,ROW()-1,60),ROW()-1,FALSE))</f>
        <v>60.400414069999997</v>
      </c>
      <c r="AA201">
        <f ca="1">IF(AND(ISNUMBER($AA$650),$B$419=1),$AA$650,HLOOKUP(INDIRECT(ADDRESS(2,COLUMN())),OFFSET($BN$2,0,0,ROW()-1,60),ROW()-1,FALSE))</f>
        <v>55.675675679999998</v>
      </c>
      <c r="AB201">
        <f ca="1">IF(AND(ISNUMBER($AB$650),$B$419=1),$AB$650,HLOOKUP(INDIRECT(ADDRESS(2,COLUMN())),OFFSET($BN$2,0,0,ROW()-1,60),ROW()-1,FALSE))</f>
        <v>61.736582560000002</v>
      </c>
      <c r="AC201">
        <f ca="1">IF(AND(ISNUMBER($AC$650),$B$419=1),$AC$650,HLOOKUP(INDIRECT(ADDRESS(2,COLUMN())),OFFSET($BN$2,0,0,ROW()-1,60),ROW()-1,FALSE))</f>
        <v>62.634039530000003</v>
      </c>
      <c r="AD201">
        <f ca="1">IF(AND(ISNUMBER($AD$650),$B$419=1),$AD$650,HLOOKUP(INDIRECT(ADDRESS(2,COLUMN())),OFFSET($BN$2,0,0,ROW()-1,60),ROW()-1,FALSE))</f>
        <v>59.71007505</v>
      </c>
      <c r="AE201">
        <f ca="1">IF(AND(ISNUMBER($AE$650),$B$419=1),$AE$650,HLOOKUP(INDIRECT(ADDRESS(2,COLUMN())),OFFSET($BN$2,0,0,ROW()-1,60),ROW()-1,FALSE))</f>
        <v>57.125141999999997</v>
      </c>
      <c r="AF201">
        <f ca="1">IF(AND(ISNUMBER($AF$650),$B$419=1),$AF$650,HLOOKUP(INDIRECT(ADDRESS(2,COLUMN())),OFFSET($BN$2,0,0,ROW()-1,60),ROW()-1,FALSE))</f>
        <v>57.834057039999998</v>
      </c>
      <c r="AG201">
        <f ca="1">IF(AND(ISNUMBER($AG$650),$B$419=1),$AG$650,HLOOKUP(INDIRECT(ADDRESS(2,COLUMN())),OFFSET($BN$2,0,0,ROW()-1,60),ROW()-1,FALSE))</f>
        <v>59.410925419999998</v>
      </c>
      <c r="AH201">
        <f ca="1">IF(AND(ISNUMBER($AH$650),$B$419=1),$AH$650,HLOOKUP(INDIRECT(ADDRESS(2,COLUMN())),OFFSET($BN$2,0,0,ROW()-1,60),ROW()-1,FALSE))</f>
        <v>58.74804563</v>
      </c>
      <c r="AI201">
        <f ca="1">IF(AND(ISNUMBER($AI$650),$B$419=1),$AI$650,HLOOKUP(INDIRECT(ADDRESS(2,COLUMN())),OFFSET($BN$2,0,0,ROW()-1,60),ROW()-1,FALSE))</f>
        <v>55.471342720000003</v>
      </c>
      <c r="AJ201">
        <f ca="1">IF(AND(ISNUMBER($AJ$650),$B$419=1),$AJ$650,HLOOKUP(INDIRECT(ADDRESS(2,COLUMN())),OFFSET($BN$2,0,0,ROW()-1,60),ROW()-1,FALSE))</f>
        <v>60.230423119999998</v>
      </c>
      <c r="AK201">
        <f ca="1">IF(AND(ISNUMBER($AK$650),$B$419=1),$AK$650,HLOOKUP(INDIRECT(ADDRESS(2,COLUMN())),OFFSET($BN$2,0,0,ROW()-1,60),ROW()-1,FALSE))</f>
        <v>61.410840589999999</v>
      </c>
      <c r="AL201">
        <f ca="1">IF(AND(ISNUMBER($AL$650),$B$419=1),$AL$650,HLOOKUP(INDIRECT(ADDRESS(2,COLUMN())),OFFSET($BN$2,0,0,ROW()-1,60),ROW()-1,FALSE))</f>
        <v>61.559581680000001</v>
      </c>
      <c r="AM201">
        <f ca="1">IF(AND(ISNUMBER($AM$650),$B$419=1),$AM$650,HLOOKUP(INDIRECT(ADDRESS(2,COLUMN())),OFFSET($BN$2,0,0,ROW()-1,60),ROW()-1,FALSE))</f>
        <v>61.818317290000003</v>
      </c>
      <c r="AN201">
        <f ca="1">IF(AND(ISNUMBER($AN$650),$B$419=1),$AN$650,HLOOKUP(INDIRECT(ADDRESS(2,COLUMN())),OFFSET($BN$2,0,0,ROW()-1,60),ROW()-1,FALSE))</f>
        <v>60.483935240000001</v>
      </c>
      <c r="AO201">
        <f ca="1">IF(AND(ISNUMBER($AO$650),$B$419=1),$AO$650,HLOOKUP(INDIRECT(ADDRESS(2,COLUMN())),OFFSET($BN$2,0,0,ROW()-1,60),ROW()-1,FALSE))</f>
        <v>43.44923137</v>
      </c>
      <c r="AP201">
        <f ca="1">IF(AND(ISNUMBER($AP$650),$B$419=1),$AP$650,HLOOKUP(INDIRECT(ADDRESS(2,COLUMN())),OFFSET($BN$2,0,0,ROW()-1,60),ROW()-1,FALSE))</f>
        <v>59.026575710000003</v>
      </c>
      <c r="AQ201">
        <f ca="1">IF(AND(ISNUMBER($AQ$650),$B$419=1),$AQ$650,HLOOKUP(INDIRECT(ADDRESS(2,COLUMN())),OFFSET($BN$2,0,0,ROW()-1,60),ROW()-1,FALSE))</f>
        <v>57.797090259999997</v>
      </c>
      <c r="AR201">
        <f ca="1">IF(AND(ISNUMBER($AR$650),$B$419=1),$AR$650,HLOOKUP(INDIRECT(ADDRESS(2,COLUMN())),OFFSET($BN$2,0,0,ROW()-1,60),ROW()-1,FALSE))</f>
        <v>63.506823109999999</v>
      </c>
      <c r="AS201">
        <f ca="1">IF(AND(ISNUMBER($AS$650),$B$419=1),$AS$650,HLOOKUP(INDIRECT(ADDRESS(2,COLUMN())),OFFSET($BN$2,0,0,ROW()-1,60),ROW()-1,FALSE))</f>
        <v>67.560843700000007</v>
      </c>
      <c r="AT201">
        <f ca="1">IF(AND(ISNUMBER($AT$650),$B$419=1),$AT$650,HLOOKUP(INDIRECT(ADDRESS(2,COLUMN())),OFFSET($BN$2,0,0,ROW()-1,60),ROW()-1,FALSE))</f>
        <v>65.36601383</v>
      </c>
      <c r="AU201">
        <f ca="1">IF(AND(ISNUMBER($AU$650),$B$419=1),$AU$650,HLOOKUP(INDIRECT(ADDRESS(2,COLUMN())),OFFSET($BN$2,0,0,ROW()-1,60),ROW()-1,FALSE))</f>
        <v>61.79495507</v>
      </c>
      <c r="AV201">
        <f ca="1">IF(AND(ISNUMBER($AV$650),$B$419=1),$AV$650,HLOOKUP(INDIRECT(ADDRESS(2,COLUMN())),OFFSET($BN$2,0,0,ROW()-1,60),ROW()-1,FALSE))</f>
        <v>63.903823959999997</v>
      </c>
      <c r="AW201">
        <f ca="1">IF(AND(ISNUMBER($AW$650),$B$419=1),$AW$650,HLOOKUP(INDIRECT(ADDRESS(2,COLUMN())),OFFSET($BN$2,0,0,ROW()-1,60),ROW()-1,FALSE))</f>
        <v>68.132362569999998</v>
      </c>
      <c r="AX201">
        <f ca="1">IF(AND(ISNUMBER($AX$650),$B$419=1),$AX$650,HLOOKUP(INDIRECT(ADDRESS(2,COLUMN())),OFFSET($BN$2,0,0,ROW()-1,60),ROW()-1,FALSE))</f>
        <v>66.393926829999998</v>
      </c>
      <c r="AY201">
        <f ca="1">IF(AND(ISNUMBER($AY$650),$B$419=1),$AY$650,HLOOKUP(INDIRECT(ADDRESS(2,COLUMN())),OFFSET($BN$2,0,0,ROW()-1,60),ROW()-1,FALSE))</f>
        <v>96.61175394</v>
      </c>
      <c r="AZ201">
        <f ca="1">IF(AND(ISNUMBER($AZ$650),$B$419=1),$AZ$650,HLOOKUP(INDIRECT(ADDRESS(2,COLUMN())),OFFSET($BN$2,0,0,ROW()-1,60),ROW()-1,FALSE))</f>
        <v>58.693436329999997</v>
      </c>
      <c r="BA201">
        <f ca="1">IF(AND(ISNUMBER($BA$650),$B$419=1),$BA$650,HLOOKUP(INDIRECT(ADDRESS(2,COLUMN())),OFFSET($BN$2,0,0,ROW()-1,60),ROW()-1,FALSE))</f>
        <v>72.148196130000002</v>
      </c>
      <c r="BB201">
        <f ca="1">IF(AND(ISNUMBER($BB$650),$B$419=1),$BB$650,HLOOKUP(INDIRECT(ADDRESS(2,COLUMN())),OFFSET($BN$2,0,0,ROW()-1,60),ROW()-1,FALSE))</f>
        <v>68.726580549999994</v>
      </c>
      <c r="BC201">
        <f ca="1">IF(AND(ISNUMBER($BC$650),$B$419=1),$BC$650,HLOOKUP(INDIRECT(ADDRESS(2,COLUMN())),OFFSET($BN$2,0,0,ROW()-1,60),ROW()-1,FALSE))</f>
        <v>51.885984819999997</v>
      </c>
      <c r="BD201">
        <f ca="1">IF(AND(ISNUMBER($BD$650),$B$419=1),$BD$650,HLOOKUP(INDIRECT(ADDRESS(2,COLUMN())),OFFSET($BN$2,0,0,ROW()-1,60),ROW()-1,FALSE))</f>
        <v>68.522936029999997</v>
      </c>
      <c r="BE201">
        <f ca="1">IF(AND(ISNUMBER($BE$650),$B$419=1),$BE$650,HLOOKUP(INDIRECT(ADDRESS(2,COLUMN())),OFFSET($BN$2,0,0,ROW()-1,60),ROW()-1,FALSE))</f>
        <v>72.545050239999995</v>
      </c>
      <c r="BF201">
        <f ca="1">IF(AND(ISNUMBER($BF$650),$B$419=1),$BF$650,HLOOKUP(INDIRECT(ADDRESS(2,COLUMN())),OFFSET($BN$2,0,0,ROW()-1,60),ROW()-1,FALSE))</f>
        <v>69.288358439999996</v>
      </c>
      <c r="BG201">
        <f ca="1">IF(AND(ISNUMBER($BG$650),$B$419=1),$BG$650,HLOOKUP(INDIRECT(ADDRESS(2,COLUMN())),OFFSET($BN$2,0,0,ROW()-1,60),ROW()-1,FALSE))</f>
        <v>70.176889970000005</v>
      </c>
      <c r="BH201">
        <f ca="1">IF(AND(ISNUMBER($BH$650),$B$419=1),$BH$650,HLOOKUP(INDIRECT(ADDRESS(2,COLUMN())),OFFSET($BN$2,0,0,ROW()-1,60),ROW()-1,FALSE))</f>
        <v>71.434969420000002</v>
      </c>
      <c r="BI201">
        <f ca="1">IF(AND(ISNUMBER($BI$650),$B$419=1),$BI$650,HLOOKUP(INDIRECT(ADDRESS(2,COLUMN())),OFFSET($BN$2,0,0,ROW()-1,60),ROW()-1,FALSE))</f>
        <v>68.828727869999994</v>
      </c>
      <c r="BJ201">
        <f ca="1">IF(AND(ISNUMBER($BJ$650),$B$419=1),$BJ$650,HLOOKUP(INDIRECT(ADDRESS(2,COLUMN())),OFFSET($BN$2,0,0,ROW()-1,60),ROW()-1,FALSE))</f>
        <v>68.746649869999999</v>
      </c>
      <c r="BK201" t="str">
        <f ca="1">IF(AND(ISNUMBER($BK$650),$B$419=1),$BK$650,HLOOKUP(INDIRECT(ADDRESS(2,COLUMN())),OFFSET($BN$2,0,0,ROW()-1,60),ROW()-1,FALSE))</f>
        <v/>
      </c>
      <c r="BL201">
        <f ca="1">IF(AND(ISNUMBER($BL$650),$B$419=1),$BL$650,HLOOKUP(INDIRECT(ADDRESS(2,COLUMN())),OFFSET($BN$2,0,0,ROW()-1,60),ROW()-1,FALSE))</f>
        <v>70.795123829999994</v>
      </c>
      <c r="BM201">
        <f ca="1">IF(AND(ISNUMBER($BM$650),$B$419=1),$BM$650,HLOOKUP(INDIRECT(ADDRESS(2,COLUMN())),OFFSET($BN$2,0,0,ROW()-1,60),ROW()-1,FALSE))</f>
        <v>69.3923925</v>
      </c>
      <c r="BN201" t="str">
        <f>""</f>
        <v/>
      </c>
      <c r="BO201">
        <f>52.06122611</f>
        <v>52.06122611</v>
      </c>
      <c r="BP201">
        <f>63.85999423</f>
        <v>63.859994229999998</v>
      </c>
      <c r="BQ201">
        <f>54.2375562</f>
        <v>54.2375562</v>
      </c>
      <c r="BR201">
        <f>62.9150374</f>
        <v>62.915037400000003</v>
      </c>
      <c r="BS201">
        <f>54.77668622</f>
        <v>54.776686220000002</v>
      </c>
      <c r="BT201">
        <f>60.65294869</f>
        <v>60.652948690000002</v>
      </c>
      <c r="BU201">
        <f>46.80124053</f>
        <v>46.801240530000001</v>
      </c>
      <c r="BV201">
        <f>61.94944852</f>
        <v>61.949448519999997</v>
      </c>
      <c r="BW201">
        <f>56.00491907</f>
        <v>56.00491907</v>
      </c>
      <c r="BX201">
        <f>61.96468573</f>
        <v>61.964685729999999</v>
      </c>
      <c r="BY201">
        <f>58.61606945</f>
        <v>58.616069449999998</v>
      </c>
      <c r="BZ201">
        <f>59.45719971</f>
        <v>59.457199709999998</v>
      </c>
      <c r="CA201">
        <f>58.20000605</f>
        <v>58.200006049999999</v>
      </c>
      <c r="CB201">
        <f>63.08250468</f>
        <v>63.08250468</v>
      </c>
      <c r="CC201">
        <f>53.71648818</f>
        <v>53.716488179999999</v>
      </c>
      <c r="CD201">
        <f>59.74504038</f>
        <v>59.745040379999999</v>
      </c>
      <c r="CE201">
        <f>61.21748404</f>
        <v>61.217484040000002</v>
      </c>
      <c r="CF201">
        <f>36.61559719</f>
        <v>36.615597190000003</v>
      </c>
      <c r="CG201">
        <f>46.01386271</f>
        <v>46.013862709999998</v>
      </c>
      <c r="CH201">
        <f>60.40041407</f>
        <v>60.400414069999997</v>
      </c>
      <c r="CI201">
        <f>55.67567568</f>
        <v>55.675675679999998</v>
      </c>
      <c r="CJ201">
        <f>61.73658256</f>
        <v>61.736582560000002</v>
      </c>
      <c r="CK201">
        <f>62.63403953</f>
        <v>62.634039530000003</v>
      </c>
      <c r="CL201">
        <f>59.71007505</f>
        <v>59.71007505</v>
      </c>
      <c r="CM201">
        <f>57.125142</f>
        <v>57.125141999999997</v>
      </c>
      <c r="CN201">
        <f>57.83405704</f>
        <v>57.834057039999998</v>
      </c>
      <c r="CO201">
        <f>59.41092542</f>
        <v>59.410925419999998</v>
      </c>
      <c r="CP201">
        <f>58.74804563</f>
        <v>58.74804563</v>
      </c>
      <c r="CQ201">
        <f>55.47134272</f>
        <v>55.471342720000003</v>
      </c>
      <c r="CR201">
        <f>60.23042312</f>
        <v>60.230423119999998</v>
      </c>
      <c r="CS201">
        <f>61.41084059</f>
        <v>61.410840589999999</v>
      </c>
      <c r="CT201">
        <f>61.55958168</f>
        <v>61.559581680000001</v>
      </c>
      <c r="CU201">
        <f>61.81831729</f>
        <v>61.818317290000003</v>
      </c>
      <c r="CV201">
        <f>60.48393524</f>
        <v>60.483935240000001</v>
      </c>
      <c r="CW201">
        <f>43.44923137</f>
        <v>43.44923137</v>
      </c>
      <c r="CX201">
        <f>59.02657571</f>
        <v>59.026575710000003</v>
      </c>
      <c r="CY201">
        <f>57.79709026</f>
        <v>57.797090259999997</v>
      </c>
      <c r="CZ201">
        <f>63.50682311</f>
        <v>63.506823109999999</v>
      </c>
      <c r="DA201">
        <f>67.5608437</f>
        <v>67.560843700000007</v>
      </c>
      <c r="DB201">
        <f>65.36601383</f>
        <v>65.36601383</v>
      </c>
      <c r="DC201">
        <f>61.79495507</f>
        <v>61.79495507</v>
      </c>
      <c r="DD201">
        <f>63.90382396</f>
        <v>63.903823959999997</v>
      </c>
      <c r="DE201">
        <f>68.13236257</f>
        <v>68.132362569999998</v>
      </c>
      <c r="DF201">
        <f>66.39392683</f>
        <v>66.393926829999998</v>
      </c>
      <c r="DG201">
        <f>96.61175394</f>
        <v>96.61175394</v>
      </c>
      <c r="DH201">
        <f>58.69343633</f>
        <v>58.693436329999997</v>
      </c>
      <c r="DI201">
        <f>72.14819613</f>
        <v>72.148196130000002</v>
      </c>
      <c r="DJ201">
        <f>68.72658055</f>
        <v>68.726580549999994</v>
      </c>
      <c r="DK201">
        <f>51.88598482</f>
        <v>51.885984819999997</v>
      </c>
      <c r="DL201">
        <f>68.52293603</f>
        <v>68.522936029999997</v>
      </c>
      <c r="DM201">
        <f>72.54505024</f>
        <v>72.545050239999995</v>
      </c>
      <c r="DN201">
        <f>69.28835844</f>
        <v>69.288358439999996</v>
      </c>
      <c r="DO201">
        <f>70.17688997</f>
        <v>70.176889970000005</v>
      </c>
      <c r="DP201">
        <f>71.43496942</f>
        <v>71.434969420000002</v>
      </c>
      <c r="DQ201">
        <f>68.82872787</f>
        <v>68.828727869999994</v>
      </c>
      <c r="DR201">
        <f>68.74664987</f>
        <v>68.746649869999999</v>
      </c>
      <c r="DS201" t="str">
        <f>""</f>
        <v/>
      </c>
      <c r="DT201">
        <f>70.79512383</f>
        <v>70.795123829999994</v>
      </c>
      <c r="DU201">
        <f>69.3923925</f>
        <v>69.3923925</v>
      </c>
    </row>
    <row r="202" spans="1:125">
      <c r="A202" t="str">
        <f>"    National Retail Properties Inc"</f>
        <v xml:space="preserve">    National Retail Properties Inc</v>
      </c>
      <c r="B202" t="str">
        <f>"NNN US Equity"</f>
        <v>NNN US Equity</v>
      </c>
      <c r="C202" t="str">
        <f t="shared" si="36"/>
        <v>RX225</v>
      </c>
      <c r="D202" t="str">
        <f t="shared" si="37"/>
        <v>EBITDA_TO_REVENUE</v>
      </c>
      <c r="E202" t="str">
        <f t="shared" si="38"/>
        <v>动态</v>
      </c>
      <c r="F202" t="str">
        <f ca="1">IF(AND(ISNUMBER($F$651),$B$419=1),$F$651,HLOOKUP(INDIRECT(ADDRESS(2,COLUMN())),OFFSET($BN$2,0,0,ROW()-1,60),ROW()-1,FALSE))</f>
        <v/>
      </c>
      <c r="G202">
        <f ca="1">IF(AND(ISNUMBER($G$651),$B$419=1),$G$651,HLOOKUP(INDIRECT(ADDRESS(2,COLUMN())),OFFSET($BN$2,0,0,ROW()-1,60),ROW()-1,FALSE))</f>
        <v>84.639959529999999</v>
      </c>
      <c r="H202">
        <f ca="1">IF(AND(ISNUMBER($H$651),$B$419=1),$H$651,HLOOKUP(INDIRECT(ADDRESS(2,COLUMN())),OFFSET($BN$2,0,0,ROW()-1,60),ROW()-1,FALSE))</f>
        <v>91.055143700000002</v>
      </c>
      <c r="I202">
        <f ca="1">IF(AND(ISNUMBER($I$651),$B$419=1),$I$651,HLOOKUP(INDIRECT(ADDRESS(2,COLUMN())),OFFSET($BN$2,0,0,ROW()-1,60),ROW()-1,FALSE))</f>
        <v>85.137066300000001</v>
      </c>
      <c r="J202">
        <f ca="1">IF(AND(ISNUMBER($J$651),$B$419=1),$J$651,HLOOKUP(INDIRECT(ADDRESS(2,COLUMN())),OFFSET($BN$2,0,0,ROW()-1,60),ROW()-1,FALSE))</f>
        <v>88.837038289999995</v>
      </c>
      <c r="K202">
        <f ca="1">IF(AND(ISNUMBER($K$651),$B$419=1),$K$651,HLOOKUP(INDIRECT(ADDRESS(2,COLUMN())),OFFSET($BN$2,0,0,ROW()-1,60),ROW()-1,FALSE))</f>
        <v>88.45530067</v>
      </c>
      <c r="L202">
        <f ca="1">IF(AND(ISNUMBER($L$651),$B$419=1),$L$651,HLOOKUP(INDIRECT(ADDRESS(2,COLUMN())),OFFSET($BN$2,0,0,ROW()-1,60),ROW()-1,FALSE))</f>
        <v>81.453237299999998</v>
      </c>
      <c r="M202">
        <f ca="1">IF(AND(ISNUMBER($M$651),$B$419=1),$M$651,HLOOKUP(INDIRECT(ADDRESS(2,COLUMN())),OFFSET($BN$2,0,0,ROW()-1,60),ROW()-1,FALSE))</f>
        <v>85.18781602</v>
      </c>
      <c r="N202">
        <f ca="1">IF(AND(ISNUMBER($N$651),$B$419=1),$N$651,HLOOKUP(INDIRECT(ADDRESS(2,COLUMN())),OFFSET($BN$2,0,0,ROW()-1,60),ROW()-1,FALSE))</f>
        <v>88.322570479999996</v>
      </c>
      <c r="O202">
        <f ca="1">IF(AND(ISNUMBER($O$651),$B$419=1),$O$651,HLOOKUP(INDIRECT(ADDRESS(2,COLUMN())),OFFSET($BN$2,0,0,ROW()-1,60),ROW()-1,FALSE))</f>
        <v>87.346589960000003</v>
      </c>
      <c r="P202">
        <f ca="1">IF(AND(ISNUMBER($P$651),$B$419=1),$P$651,HLOOKUP(INDIRECT(ADDRESS(2,COLUMN())),OFFSET($BN$2,0,0,ROW()-1,60),ROW()-1,FALSE))</f>
        <v>89.057437289999996</v>
      </c>
      <c r="Q202">
        <f ca="1">IF(AND(ISNUMBER($Q$651),$B$419=1),$Q$651,HLOOKUP(INDIRECT(ADDRESS(2,COLUMN())),OFFSET($BN$2,0,0,ROW()-1,60),ROW()-1,FALSE))</f>
        <v>86.688621940000004</v>
      </c>
      <c r="R202">
        <f ca="1">IF(AND(ISNUMBER($R$651),$B$419=1),$R$651,HLOOKUP(INDIRECT(ADDRESS(2,COLUMN())),OFFSET($BN$2,0,0,ROW()-1,60),ROW()-1,FALSE))</f>
        <v>87.613072029999998</v>
      </c>
      <c r="S202">
        <f ca="1">IF(AND(ISNUMBER($S$651),$B$419=1),$S$651,HLOOKUP(INDIRECT(ADDRESS(2,COLUMN())),OFFSET($BN$2,0,0,ROW()-1,60),ROW()-1,FALSE))</f>
        <v>88.599054760000001</v>
      </c>
      <c r="T202">
        <f ca="1">IF(AND(ISNUMBER($T$651),$B$419=1),$T$651,HLOOKUP(INDIRECT(ADDRESS(2,COLUMN())),OFFSET($BN$2,0,0,ROW()-1,60),ROW()-1,FALSE))</f>
        <v>87.542783279999995</v>
      </c>
      <c r="U202">
        <f ca="1">IF(AND(ISNUMBER($U$651),$B$419=1),$U$651,HLOOKUP(INDIRECT(ADDRESS(2,COLUMN())),OFFSET($BN$2,0,0,ROW()-1,60),ROW()-1,FALSE))</f>
        <v>87.704165209999999</v>
      </c>
      <c r="V202">
        <f ca="1">IF(AND(ISNUMBER($V$651),$B$419=1),$V$651,HLOOKUP(INDIRECT(ADDRESS(2,COLUMN())),OFFSET($BN$2,0,0,ROW()-1,60),ROW()-1,FALSE))</f>
        <v>86.73028137</v>
      </c>
      <c r="W202">
        <f ca="1">IF(AND(ISNUMBER($W$651),$B$419=1),$W$651,HLOOKUP(INDIRECT(ADDRESS(2,COLUMN())),OFFSET($BN$2,0,0,ROW()-1,60),ROW()-1,FALSE))</f>
        <v>86.397030540000003</v>
      </c>
      <c r="X202">
        <f ca="1">IF(AND(ISNUMBER($X$651),$B$419=1),$X$651,HLOOKUP(INDIRECT(ADDRESS(2,COLUMN())),OFFSET($BN$2,0,0,ROW()-1,60),ROW()-1,FALSE))</f>
        <v>88.251955359999997</v>
      </c>
      <c r="Y202">
        <f ca="1">IF(AND(ISNUMBER($Y$651),$B$419=1),$Y$651,HLOOKUP(INDIRECT(ADDRESS(2,COLUMN())),OFFSET($BN$2,0,0,ROW()-1,60),ROW()-1,FALSE))</f>
        <v>85.492497009999994</v>
      </c>
      <c r="Z202">
        <f ca="1">IF(AND(ISNUMBER($Z$651),$B$419=1),$Z$651,HLOOKUP(INDIRECT(ADDRESS(2,COLUMN())),OFFSET($BN$2,0,0,ROW()-1,60),ROW()-1,FALSE))</f>
        <v>83.788285169999995</v>
      </c>
      <c r="AA202">
        <f ca="1">IF(AND(ISNUMBER($AA$651),$B$419=1),$AA$651,HLOOKUP(INDIRECT(ADDRESS(2,COLUMN())),OFFSET($BN$2,0,0,ROW()-1,60),ROW()-1,FALSE))</f>
        <v>84.912249180000003</v>
      </c>
      <c r="AB202">
        <f ca="1">IF(AND(ISNUMBER($AB$651),$B$419=1),$AB$651,HLOOKUP(INDIRECT(ADDRESS(2,COLUMN())),OFFSET($BN$2,0,0,ROW()-1,60),ROW()-1,FALSE))</f>
        <v>81.731464259999996</v>
      </c>
      <c r="AC202">
        <f ca="1">IF(AND(ISNUMBER($AC$651),$B$419=1),$AC$651,HLOOKUP(INDIRECT(ADDRESS(2,COLUMN())),OFFSET($BN$2,0,0,ROW()-1,60),ROW()-1,FALSE))</f>
        <v>76.794021799999996</v>
      </c>
      <c r="AD202">
        <f ca="1">IF(AND(ISNUMBER($AD$651),$B$419=1),$AD$651,HLOOKUP(INDIRECT(ADDRESS(2,COLUMN())),OFFSET($BN$2,0,0,ROW()-1,60),ROW()-1,FALSE))</f>
        <v>74.292679070000005</v>
      </c>
      <c r="AE202">
        <f ca="1">IF(AND(ISNUMBER($AE$651),$B$419=1),$AE$651,HLOOKUP(INDIRECT(ADDRESS(2,COLUMN())),OFFSET($BN$2,0,0,ROW()-1,60),ROW()-1,FALSE))</f>
        <v>72.826589249999998</v>
      </c>
      <c r="AF202">
        <f ca="1">IF(AND(ISNUMBER($AF$651),$B$419=1),$AF$651,HLOOKUP(INDIRECT(ADDRESS(2,COLUMN())),OFFSET($BN$2,0,0,ROW()-1,60),ROW()-1,FALSE))</f>
        <v>71.293718679999998</v>
      </c>
      <c r="AG202">
        <f ca="1">IF(AND(ISNUMBER($AG$651),$B$419=1),$AG$651,HLOOKUP(INDIRECT(ADDRESS(2,COLUMN())),OFFSET($BN$2,0,0,ROW()-1,60),ROW()-1,FALSE))</f>
        <v>70.031622150000004</v>
      </c>
      <c r="AH202">
        <f ca="1">IF(AND(ISNUMBER($AH$651),$B$419=1),$AH$651,HLOOKUP(INDIRECT(ADDRESS(2,COLUMN())),OFFSET($BN$2,0,0,ROW()-1,60),ROW()-1,FALSE))</f>
        <v>72.935108479999997</v>
      </c>
      <c r="AI202">
        <f ca="1">IF(AND(ISNUMBER($AI$651),$B$419=1),$AI$651,HLOOKUP(INDIRECT(ADDRESS(2,COLUMN())),OFFSET($BN$2,0,0,ROW()-1,60),ROW()-1,FALSE))</f>
        <v>63.390966830000004</v>
      </c>
      <c r="AJ202">
        <f ca="1">IF(AND(ISNUMBER($AJ$651),$B$419=1),$AJ$651,HLOOKUP(INDIRECT(ADDRESS(2,COLUMN())),OFFSET($BN$2,0,0,ROW()-1,60),ROW()-1,FALSE))</f>
        <v>73.757782930000005</v>
      </c>
      <c r="AK202">
        <f ca="1">IF(AND(ISNUMBER($AK$651),$B$419=1),$AK$651,HLOOKUP(INDIRECT(ADDRESS(2,COLUMN())),OFFSET($BN$2,0,0,ROW()-1,60),ROW()-1,FALSE))</f>
        <v>73.694476870000003</v>
      </c>
      <c r="AL202">
        <f ca="1">IF(AND(ISNUMBER($AL$651),$B$419=1),$AL$651,HLOOKUP(INDIRECT(ADDRESS(2,COLUMN())),OFFSET($BN$2,0,0,ROW()-1,60),ROW()-1,FALSE))</f>
        <v>69.590671110000002</v>
      </c>
      <c r="AM202">
        <f ca="1">IF(AND(ISNUMBER($AM$651),$B$419=1),$AM$651,HLOOKUP(INDIRECT(ADDRESS(2,COLUMN())),OFFSET($BN$2,0,0,ROW()-1,60),ROW()-1,FALSE))</f>
        <v>32.334118719999999</v>
      </c>
      <c r="AN202">
        <f ca="1">IF(AND(ISNUMBER($AN$651),$B$419=1),$AN$651,HLOOKUP(INDIRECT(ADDRESS(2,COLUMN())),OFFSET($BN$2,0,0,ROW()-1,60),ROW()-1,FALSE))</f>
        <v>75.754989289999997</v>
      </c>
      <c r="AO202">
        <f ca="1">IF(AND(ISNUMBER($AO$651),$B$419=1),$AO$651,HLOOKUP(INDIRECT(ADDRESS(2,COLUMN())),OFFSET($BN$2,0,0,ROW()-1,60),ROW()-1,FALSE))</f>
        <v>84.681618970000002</v>
      </c>
      <c r="AP202">
        <f ca="1">IF(AND(ISNUMBER($AP$651),$B$419=1),$AP$651,HLOOKUP(INDIRECT(ADDRESS(2,COLUMN())),OFFSET($BN$2,0,0,ROW()-1,60),ROW()-1,FALSE))</f>
        <v>84.260182159999999</v>
      </c>
      <c r="AQ202">
        <f ca="1">IF(AND(ISNUMBER($AQ$651),$B$419=1),$AQ$651,HLOOKUP(INDIRECT(ADDRESS(2,COLUMN())),OFFSET($BN$2,0,0,ROW()-1,60),ROW()-1,FALSE))</f>
        <v>84.131653150000005</v>
      </c>
      <c r="AR202">
        <f ca="1">IF(AND(ISNUMBER($AR$651),$B$419=1),$AR$651,HLOOKUP(INDIRECT(ADDRESS(2,COLUMN())),OFFSET($BN$2,0,0,ROW()-1,60),ROW()-1,FALSE))</f>
        <v>87.356400440000002</v>
      </c>
      <c r="AS202">
        <f ca="1">IF(AND(ISNUMBER($AS$651),$B$419=1),$AS$651,HLOOKUP(INDIRECT(ADDRESS(2,COLUMN())),OFFSET($BN$2,0,0,ROW()-1,60),ROW()-1,FALSE))</f>
        <v>85.724423000000002</v>
      </c>
      <c r="AT202">
        <f ca="1">IF(AND(ISNUMBER($AT$651),$B$419=1),$AT$651,HLOOKUP(INDIRECT(ADDRESS(2,COLUMN())),OFFSET($BN$2,0,0,ROW()-1,60),ROW()-1,FALSE))</f>
        <v>82.038178819999999</v>
      </c>
      <c r="AU202">
        <f ca="1">IF(AND(ISNUMBER($AU$651),$B$419=1),$AU$651,HLOOKUP(INDIRECT(ADDRESS(2,COLUMN())),OFFSET($BN$2,0,0,ROW()-1,60),ROW()-1,FALSE))</f>
        <v>82.786220439999994</v>
      </c>
      <c r="AV202">
        <f ca="1">IF(AND(ISNUMBER($AV$651),$B$419=1),$AV$651,HLOOKUP(INDIRECT(ADDRESS(2,COLUMN())),OFFSET($BN$2,0,0,ROW()-1,60),ROW()-1,FALSE))</f>
        <v>85.488789620000006</v>
      </c>
      <c r="AW202">
        <f ca="1">IF(AND(ISNUMBER($AW$651),$B$419=1),$AW$651,HLOOKUP(INDIRECT(ADDRESS(2,COLUMN())),OFFSET($BN$2,0,0,ROW()-1,60),ROW()-1,FALSE))</f>
        <v>83.2775666</v>
      </c>
      <c r="AX202">
        <f ca="1">IF(AND(ISNUMBER($AX$651),$B$419=1),$AX$651,HLOOKUP(INDIRECT(ADDRESS(2,COLUMN())),OFFSET($BN$2,0,0,ROW()-1,60),ROW()-1,FALSE))</f>
        <v>80.710476139999997</v>
      </c>
      <c r="AY202">
        <f ca="1">IF(AND(ISNUMBER($AY$651),$B$419=1),$AY$651,HLOOKUP(INDIRECT(ADDRESS(2,COLUMN())),OFFSET($BN$2,0,0,ROW()-1,60),ROW()-1,FALSE))</f>
        <v>78.401941440000002</v>
      </c>
      <c r="AZ202">
        <f ca="1">IF(AND(ISNUMBER($AZ$651),$B$419=1),$AZ$651,HLOOKUP(INDIRECT(ADDRESS(2,COLUMN())),OFFSET($BN$2,0,0,ROW()-1,60),ROW()-1,FALSE))</f>
        <v>83.666481070000003</v>
      </c>
      <c r="BA202">
        <f ca="1">IF(AND(ISNUMBER($BA$651),$B$419=1),$BA$651,HLOOKUP(INDIRECT(ADDRESS(2,COLUMN())),OFFSET($BN$2,0,0,ROW()-1,60),ROW()-1,FALSE))</f>
        <v>77.897758510000003</v>
      </c>
      <c r="BB202">
        <f ca="1">IF(AND(ISNUMBER($BB$651),$B$419=1),$BB$651,HLOOKUP(INDIRECT(ADDRESS(2,COLUMN())),OFFSET($BN$2,0,0,ROW()-1,60),ROW()-1,FALSE))</f>
        <v>81.068281940000006</v>
      </c>
      <c r="BC202">
        <f ca="1">IF(AND(ISNUMBER($BC$651),$B$419=1),$BC$651,HLOOKUP(INDIRECT(ADDRESS(2,COLUMN())),OFFSET($BN$2,0,0,ROW()-1,60),ROW()-1,FALSE))</f>
        <v>78.635566170000004</v>
      </c>
      <c r="BD202">
        <f ca="1">IF(AND(ISNUMBER($BD$651),$B$419=1),$BD$651,HLOOKUP(INDIRECT(ADDRESS(2,COLUMN())),OFFSET($BN$2,0,0,ROW()-1,60),ROW()-1,FALSE))</f>
        <v>82.621937889999998</v>
      </c>
      <c r="BE202">
        <f ca="1">IF(AND(ISNUMBER($BE$651),$B$419=1),$BE$651,HLOOKUP(INDIRECT(ADDRESS(2,COLUMN())),OFFSET($BN$2,0,0,ROW()-1,60),ROW()-1,FALSE))</f>
        <v>81.456758969999996</v>
      </c>
      <c r="BF202">
        <f ca="1">IF(AND(ISNUMBER($BF$651),$B$419=1),$BF$651,HLOOKUP(INDIRECT(ADDRESS(2,COLUMN())),OFFSET($BN$2,0,0,ROW()-1,60),ROW()-1,FALSE))</f>
        <v>81.456953639999995</v>
      </c>
      <c r="BG202">
        <f ca="1">IF(AND(ISNUMBER($BG$651),$B$419=1),$BG$651,HLOOKUP(INDIRECT(ADDRESS(2,COLUMN())),OFFSET($BN$2,0,0,ROW()-1,60),ROW()-1,FALSE))</f>
        <v>71.099846389999996</v>
      </c>
      <c r="BH202">
        <f ca="1">IF(AND(ISNUMBER($BH$651),$B$419=1),$BH$651,HLOOKUP(INDIRECT(ADDRESS(2,COLUMN())),OFFSET($BN$2,0,0,ROW()-1,60),ROW()-1,FALSE))</f>
        <v>75.225781920000003</v>
      </c>
      <c r="BI202">
        <f ca="1">IF(AND(ISNUMBER($BI$651),$B$419=1),$BI$651,HLOOKUP(INDIRECT(ADDRESS(2,COLUMN())),OFFSET($BN$2,0,0,ROW()-1,60),ROW()-1,FALSE))</f>
        <v>63.426714130000001</v>
      </c>
      <c r="BJ202">
        <f ca="1">IF(AND(ISNUMBER($BJ$651),$B$419=1),$BJ$651,HLOOKUP(INDIRECT(ADDRESS(2,COLUMN())),OFFSET($BN$2,0,0,ROW()-1,60),ROW()-1,FALSE))</f>
        <v>72.667712469999998</v>
      </c>
      <c r="BK202">
        <f ca="1">IF(AND(ISNUMBER($BK$651),$B$419=1),$BK$651,HLOOKUP(INDIRECT(ADDRESS(2,COLUMN())),OFFSET($BN$2,0,0,ROW()-1,60),ROW()-1,FALSE))</f>
        <v>83.864278310000003</v>
      </c>
      <c r="BL202">
        <f ca="1">IF(AND(ISNUMBER($BL$651),$B$419=1),$BL$651,HLOOKUP(INDIRECT(ADDRESS(2,COLUMN())),OFFSET($BN$2,0,0,ROW()-1,60),ROW()-1,FALSE))</f>
        <v>70.528690179999998</v>
      </c>
      <c r="BM202">
        <f ca="1">IF(AND(ISNUMBER($BM$651),$B$419=1),$BM$651,HLOOKUP(INDIRECT(ADDRESS(2,COLUMN())),OFFSET($BN$2,0,0,ROW()-1,60),ROW()-1,FALSE))</f>
        <v>76.124010780000006</v>
      </c>
      <c r="BN202" t="str">
        <f>""</f>
        <v/>
      </c>
      <c r="BO202">
        <f>84.63995953</f>
        <v>84.639959529999999</v>
      </c>
      <c r="BP202">
        <f>91.0551437</f>
        <v>91.055143700000002</v>
      </c>
      <c r="BQ202">
        <f>85.1370663</f>
        <v>85.137066300000001</v>
      </c>
      <c r="BR202">
        <f>88.83703829</f>
        <v>88.837038289999995</v>
      </c>
      <c r="BS202">
        <f>88.45530067</f>
        <v>88.45530067</v>
      </c>
      <c r="BT202">
        <f>81.4532373</f>
        <v>81.453237299999998</v>
      </c>
      <c r="BU202">
        <f>85.18781602</f>
        <v>85.18781602</v>
      </c>
      <c r="BV202">
        <f>88.32257048</f>
        <v>88.322570479999996</v>
      </c>
      <c r="BW202">
        <f>87.34658996</f>
        <v>87.346589960000003</v>
      </c>
      <c r="BX202">
        <f>89.05743729</f>
        <v>89.057437289999996</v>
      </c>
      <c r="BY202">
        <f>86.68862194</f>
        <v>86.688621940000004</v>
      </c>
      <c r="BZ202">
        <f>87.61307203</f>
        <v>87.613072029999998</v>
      </c>
      <c r="CA202">
        <f>88.59905476</f>
        <v>88.599054760000001</v>
      </c>
      <c r="CB202">
        <f>87.54278328</f>
        <v>87.542783279999995</v>
      </c>
      <c r="CC202">
        <f>87.70416521</f>
        <v>87.704165209999999</v>
      </c>
      <c r="CD202">
        <f>86.73028137</f>
        <v>86.73028137</v>
      </c>
      <c r="CE202">
        <f>86.39703054</f>
        <v>86.397030540000003</v>
      </c>
      <c r="CF202">
        <f>88.25195536</f>
        <v>88.251955359999997</v>
      </c>
      <c r="CG202">
        <f>85.49249701</f>
        <v>85.492497009999994</v>
      </c>
      <c r="CH202">
        <f>83.78828517</f>
        <v>83.788285169999995</v>
      </c>
      <c r="CI202">
        <f>84.91224918</f>
        <v>84.912249180000003</v>
      </c>
      <c r="CJ202">
        <f>81.73146426</f>
        <v>81.731464259999996</v>
      </c>
      <c r="CK202">
        <f>76.7940218</f>
        <v>76.794021799999996</v>
      </c>
      <c r="CL202">
        <f>74.29267907</f>
        <v>74.292679070000005</v>
      </c>
      <c r="CM202">
        <f>72.82658925</f>
        <v>72.826589249999998</v>
      </c>
      <c r="CN202">
        <f>71.29371868</f>
        <v>71.293718679999998</v>
      </c>
      <c r="CO202">
        <f>70.03162215</f>
        <v>70.031622150000004</v>
      </c>
      <c r="CP202">
        <f>72.93510848</f>
        <v>72.935108479999997</v>
      </c>
      <c r="CQ202">
        <f>63.39096683</f>
        <v>63.390966830000004</v>
      </c>
      <c r="CR202">
        <f>73.75778293</f>
        <v>73.757782930000005</v>
      </c>
      <c r="CS202">
        <f>73.69447687</f>
        <v>73.694476870000003</v>
      </c>
      <c r="CT202">
        <f>69.59067111</f>
        <v>69.590671110000002</v>
      </c>
      <c r="CU202">
        <f>32.33411872</f>
        <v>32.334118719999999</v>
      </c>
      <c r="CV202">
        <f>75.75498929</f>
        <v>75.754989289999997</v>
      </c>
      <c r="CW202">
        <f>84.68161897</f>
        <v>84.681618970000002</v>
      </c>
      <c r="CX202">
        <f>84.26018216</f>
        <v>84.260182159999999</v>
      </c>
      <c r="CY202">
        <f>84.13165315</f>
        <v>84.131653150000005</v>
      </c>
      <c r="CZ202">
        <f>87.35640044</f>
        <v>87.356400440000002</v>
      </c>
      <c r="DA202">
        <f>85.724423</f>
        <v>85.724423000000002</v>
      </c>
      <c r="DB202">
        <f>82.03817882</f>
        <v>82.038178819999999</v>
      </c>
      <c r="DC202">
        <f>82.78622044</f>
        <v>82.786220439999994</v>
      </c>
      <c r="DD202">
        <f>85.48878962</f>
        <v>85.488789620000006</v>
      </c>
      <c r="DE202">
        <f>83.2775666</f>
        <v>83.2775666</v>
      </c>
      <c r="DF202">
        <f>80.71047614</f>
        <v>80.710476139999997</v>
      </c>
      <c r="DG202">
        <f>78.40194144</f>
        <v>78.401941440000002</v>
      </c>
      <c r="DH202">
        <f>83.66648107</f>
        <v>83.666481070000003</v>
      </c>
      <c r="DI202">
        <f>77.89775851</f>
        <v>77.897758510000003</v>
      </c>
      <c r="DJ202">
        <f>81.06828194</f>
        <v>81.068281940000006</v>
      </c>
      <c r="DK202">
        <f>78.63556617</f>
        <v>78.635566170000004</v>
      </c>
      <c r="DL202">
        <f>82.62193789</f>
        <v>82.621937889999998</v>
      </c>
      <c r="DM202">
        <f>81.45675897</f>
        <v>81.456758969999996</v>
      </c>
      <c r="DN202">
        <f>81.45695364</f>
        <v>81.456953639999995</v>
      </c>
      <c r="DO202">
        <f>71.09984639</f>
        <v>71.099846389999996</v>
      </c>
      <c r="DP202">
        <f>75.22578192</f>
        <v>75.225781920000003</v>
      </c>
      <c r="DQ202">
        <f>63.42671413</f>
        <v>63.426714130000001</v>
      </c>
      <c r="DR202">
        <f>72.66771247</f>
        <v>72.667712469999998</v>
      </c>
      <c r="DS202">
        <f>83.86427831</f>
        <v>83.864278310000003</v>
      </c>
      <c r="DT202">
        <f>70.52869018</f>
        <v>70.528690179999998</v>
      </c>
      <c r="DU202">
        <f>76.12401078</f>
        <v>76.124010780000006</v>
      </c>
    </row>
    <row r="203" spans="1:125">
      <c r="A203" t="str">
        <f>"    Realty Income Corp"</f>
        <v xml:space="preserve">    Realty Income Corp</v>
      </c>
      <c r="B203" t="str">
        <f>"O US Equity"</f>
        <v>O US Equity</v>
      </c>
      <c r="C203" t="str">
        <f t="shared" si="36"/>
        <v>RX225</v>
      </c>
      <c r="D203" t="str">
        <f t="shared" si="37"/>
        <v>EBITDA_TO_REVENUE</v>
      </c>
      <c r="E203" t="str">
        <f t="shared" si="38"/>
        <v>动态</v>
      </c>
      <c r="F203" t="str">
        <f ca="1">IF(AND(ISNUMBER($F$652),$B$419=1),$F$652,HLOOKUP(INDIRECT(ADDRESS(2,COLUMN())),OFFSET($BN$2,0,0,ROW()-1,60),ROW()-1,FALSE))</f>
        <v/>
      </c>
      <c r="G203">
        <f ca="1">IF(AND(ISNUMBER($G$652),$B$419=1),$G$652,HLOOKUP(INDIRECT(ADDRESS(2,COLUMN())),OFFSET($BN$2,0,0,ROW()-1,60),ROW()-1,FALSE))</f>
        <v>87.590695760000003</v>
      </c>
      <c r="H203">
        <f ca="1">IF(AND(ISNUMBER($H$652),$B$419=1),$H$652,HLOOKUP(INDIRECT(ADDRESS(2,COLUMN())),OFFSET($BN$2,0,0,ROW()-1,60),ROW()-1,FALSE))</f>
        <v>89.732503579999999</v>
      </c>
      <c r="I203">
        <f ca="1">IF(AND(ISNUMBER($I$652),$B$419=1),$I$652,HLOOKUP(INDIRECT(ADDRESS(2,COLUMN())),OFFSET($BN$2,0,0,ROW()-1,60),ROW()-1,FALSE))</f>
        <v>88.492854050000005</v>
      </c>
      <c r="J203">
        <f ca="1">IF(AND(ISNUMBER($J$652),$B$419=1),$J$652,HLOOKUP(INDIRECT(ADDRESS(2,COLUMN())),OFFSET($BN$2,0,0,ROW()-1,60),ROW()-1,FALSE))</f>
        <v>87.224897240000004</v>
      </c>
      <c r="K203">
        <f ca="1">IF(AND(ISNUMBER($K$652),$B$419=1),$K$652,HLOOKUP(INDIRECT(ADDRESS(2,COLUMN())),OFFSET($BN$2,0,0,ROW()-1,60),ROW()-1,FALSE))</f>
        <v>87.951765370000004</v>
      </c>
      <c r="L203">
        <f ca="1">IF(AND(ISNUMBER($L$652),$B$419=1),$L$652,HLOOKUP(INDIRECT(ADDRESS(2,COLUMN())),OFFSET($BN$2,0,0,ROW()-1,60),ROW()-1,FALSE))</f>
        <v>86.815502179999996</v>
      </c>
      <c r="M203">
        <f ca="1">IF(AND(ISNUMBER($M$652),$B$419=1),$M$652,HLOOKUP(INDIRECT(ADDRESS(2,COLUMN())),OFFSET($BN$2,0,0,ROW()-1,60),ROW()-1,FALSE))</f>
        <v>87.114400509999996</v>
      </c>
      <c r="N203">
        <f ca="1">IF(AND(ISNUMBER($N$652),$B$419=1),$N$652,HLOOKUP(INDIRECT(ADDRESS(2,COLUMN())),OFFSET($BN$2,0,0,ROW()-1,60),ROW()-1,FALSE))</f>
        <v>89.013761810000005</v>
      </c>
      <c r="O203">
        <f ca="1">IF(AND(ISNUMBER($O$652),$B$419=1),$O$652,HLOOKUP(INDIRECT(ADDRESS(2,COLUMN())),OFFSET($BN$2,0,0,ROW()-1,60),ROW()-1,FALSE))</f>
        <v>89.668446680000002</v>
      </c>
      <c r="P203">
        <f ca="1">IF(AND(ISNUMBER($P$652),$B$419=1),$P$652,HLOOKUP(INDIRECT(ADDRESS(2,COLUMN())),OFFSET($BN$2,0,0,ROW()-1,60),ROW()-1,FALSE))</f>
        <v>89.081421000000006</v>
      </c>
      <c r="Q203">
        <f ca="1">IF(AND(ISNUMBER($Q$652),$B$419=1),$Q$652,HLOOKUP(INDIRECT(ADDRESS(2,COLUMN())),OFFSET($BN$2,0,0,ROW()-1,60),ROW()-1,FALSE))</f>
        <v>89.149137319999994</v>
      </c>
      <c r="R203">
        <f ca="1">IF(AND(ISNUMBER($R$652),$B$419=1),$R$652,HLOOKUP(INDIRECT(ADDRESS(2,COLUMN())),OFFSET($BN$2,0,0,ROW()-1,60),ROW()-1,FALSE))</f>
        <v>89.128559100000004</v>
      </c>
      <c r="S203">
        <f ca="1">IF(AND(ISNUMBER($S$652),$B$419=1),$S$652,HLOOKUP(INDIRECT(ADDRESS(2,COLUMN())),OFFSET($BN$2,0,0,ROW()-1,60),ROW()-1,FALSE))</f>
        <v>81.788805730000007</v>
      </c>
      <c r="T203">
        <f ca="1">IF(AND(ISNUMBER($T$652),$B$419=1),$T$652,HLOOKUP(INDIRECT(ADDRESS(2,COLUMN())),OFFSET($BN$2,0,0,ROW()-1,60),ROW()-1,FALSE))</f>
        <v>93.151841430000005</v>
      </c>
      <c r="U203">
        <f ca="1">IF(AND(ISNUMBER($U$652),$B$419=1),$U$652,HLOOKUP(INDIRECT(ADDRESS(2,COLUMN())),OFFSET($BN$2,0,0,ROW()-1,60),ROW()-1,FALSE))</f>
        <v>90.503223320000004</v>
      </c>
      <c r="V203">
        <f ca="1">IF(AND(ISNUMBER($V$652),$B$419=1),$V$652,HLOOKUP(INDIRECT(ADDRESS(2,COLUMN())),OFFSET($BN$2,0,0,ROW()-1,60),ROW()-1,FALSE))</f>
        <v>89.410665609999995</v>
      </c>
      <c r="W203">
        <f ca="1">IF(AND(ISNUMBER($W$652),$B$419=1),$W$652,HLOOKUP(INDIRECT(ADDRESS(2,COLUMN())),OFFSET($BN$2,0,0,ROW()-1,60),ROW()-1,FALSE))</f>
        <v>86.250190829999994</v>
      </c>
      <c r="X203">
        <f ca="1">IF(AND(ISNUMBER($X$652),$B$419=1),$X$652,HLOOKUP(INDIRECT(ADDRESS(2,COLUMN())),OFFSET($BN$2,0,0,ROW()-1,60),ROW()-1,FALSE))</f>
        <v>87.457009810000002</v>
      </c>
      <c r="Y203">
        <f ca="1">IF(AND(ISNUMBER($Y$652),$B$419=1),$Y$652,HLOOKUP(INDIRECT(ADDRESS(2,COLUMN())),OFFSET($BN$2,0,0,ROW()-1,60),ROW()-1,FALSE))</f>
        <v>89.03310931</v>
      </c>
      <c r="Z203">
        <f ca="1">IF(AND(ISNUMBER($Z$652),$B$419=1),$Z$652,HLOOKUP(INDIRECT(ADDRESS(2,COLUMN())),OFFSET($BN$2,0,0,ROW()-1,60),ROW()-1,FALSE))</f>
        <v>81.067900320000007</v>
      </c>
      <c r="AA203">
        <f ca="1">IF(AND(ISNUMBER($AA$652),$B$419=1),$AA$652,HLOOKUP(INDIRECT(ADDRESS(2,COLUMN())),OFFSET($BN$2,0,0,ROW()-1,60),ROW()-1,FALSE))</f>
        <v>85.738273980000002</v>
      </c>
      <c r="AB203">
        <f ca="1">IF(AND(ISNUMBER($AB$652),$B$419=1),$AB$652,HLOOKUP(INDIRECT(ADDRESS(2,COLUMN())),OFFSET($BN$2,0,0,ROW()-1,60),ROW()-1,FALSE))</f>
        <v>85.773672840000003</v>
      </c>
      <c r="AC203">
        <f ca="1">IF(AND(ISNUMBER($AC$652),$B$419=1),$AC$652,HLOOKUP(INDIRECT(ADDRESS(2,COLUMN())),OFFSET($BN$2,0,0,ROW()-1,60),ROW()-1,FALSE))</f>
        <v>90.059487509999997</v>
      </c>
      <c r="AD203">
        <f ca="1">IF(AND(ISNUMBER($AD$652),$B$419=1),$AD$652,HLOOKUP(INDIRECT(ADDRESS(2,COLUMN())),OFFSET($BN$2,0,0,ROW()-1,60),ROW()-1,FALSE))</f>
        <v>89.917635009999998</v>
      </c>
      <c r="AE203">
        <f ca="1">IF(AND(ISNUMBER($AE$652),$B$419=1),$AE$652,HLOOKUP(INDIRECT(ADDRESS(2,COLUMN())),OFFSET($BN$2,0,0,ROW()-1,60),ROW()-1,FALSE))</f>
        <v>87.761621399999996</v>
      </c>
      <c r="AF203">
        <f ca="1">IF(AND(ISNUMBER($AF$652),$B$419=1),$AF$652,HLOOKUP(INDIRECT(ADDRESS(2,COLUMN())),OFFSET($BN$2,0,0,ROW()-1,60),ROW()-1,FALSE))</f>
        <v>91.660547870000002</v>
      </c>
      <c r="AG203">
        <f ca="1">IF(AND(ISNUMBER($AG$652),$B$419=1),$AG$652,HLOOKUP(INDIRECT(ADDRESS(2,COLUMN())),OFFSET($BN$2,0,0,ROW()-1,60),ROW()-1,FALSE))</f>
        <v>90.394607359999995</v>
      </c>
      <c r="AH203">
        <f ca="1">IF(AND(ISNUMBER($AH$652),$B$419=1),$AH$652,HLOOKUP(INDIRECT(ADDRESS(2,COLUMN())),OFFSET($BN$2,0,0,ROW()-1,60),ROW()-1,FALSE))</f>
        <v>90.157682660000006</v>
      </c>
      <c r="AI203">
        <f ca="1">IF(AND(ISNUMBER($AI$652),$B$419=1),$AI$652,HLOOKUP(INDIRECT(ADDRESS(2,COLUMN())),OFFSET($BN$2,0,0,ROW()-1,60),ROW()-1,FALSE))</f>
        <v>88.127269769999998</v>
      </c>
      <c r="AJ203">
        <f ca="1">IF(AND(ISNUMBER($AJ$652),$B$419=1),$AJ$652,HLOOKUP(INDIRECT(ADDRESS(2,COLUMN())),OFFSET($BN$2,0,0,ROW()-1,60),ROW()-1,FALSE))</f>
        <v>90.806490620000005</v>
      </c>
      <c r="AK203">
        <f ca="1">IF(AND(ISNUMBER($AK$652),$B$419=1),$AK$652,HLOOKUP(INDIRECT(ADDRESS(2,COLUMN())),OFFSET($BN$2,0,0,ROW()-1,60),ROW()-1,FALSE))</f>
        <v>89.873417720000006</v>
      </c>
      <c r="AL203">
        <f ca="1">IF(AND(ISNUMBER($AL$652),$B$419=1),$AL$652,HLOOKUP(INDIRECT(ADDRESS(2,COLUMN())),OFFSET($BN$2,0,0,ROW()-1,60),ROW()-1,FALSE))</f>
        <v>89.491394130000003</v>
      </c>
      <c r="AM203">
        <f ca="1">IF(AND(ISNUMBER($AM$652),$B$419=1),$AM$652,HLOOKUP(INDIRECT(ADDRESS(2,COLUMN())),OFFSET($BN$2,0,0,ROW()-1,60),ROW()-1,FALSE))</f>
        <v>91.198976450000004</v>
      </c>
      <c r="AN203">
        <f ca="1">IF(AND(ISNUMBER($AN$652),$B$419=1),$AN$652,HLOOKUP(INDIRECT(ADDRESS(2,COLUMN())),OFFSET($BN$2,0,0,ROW()-1,60),ROW()-1,FALSE))</f>
        <v>91.884659290000002</v>
      </c>
      <c r="AO203">
        <f ca="1">IF(AND(ISNUMBER($AO$652),$B$419=1),$AO$652,HLOOKUP(INDIRECT(ADDRESS(2,COLUMN())),OFFSET($BN$2,0,0,ROW()-1,60),ROW()-1,FALSE))</f>
        <v>91.626179260000001</v>
      </c>
      <c r="AP203">
        <f ca="1">IF(AND(ISNUMBER($AP$652),$B$419=1),$AP$652,HLOOKUP(INDIRECT(ADDRESS(2,COLUMN())),OFFSET($BN$2,0,0,ROW()-1,60),ROW()-1,FALSE))</f>
        <v>90.197741480000005</v>
      </c>
      <c r="AQ203">
        <f ca="1">IF(AND(ISNUMBER($AQ$652),$B$419=1),$AQ$652,HLOOKUP(INDIRECT(ADDRESS(2,COLUMN())),OFFSET($BN$2,0,0,ROW()-1,60),ROW()-1,FALSE))</f>
        <v>98.298115640000006</v>
      </c>
      <c r="AR203">
        <f ca="1">IF(AND(ISNUMBER($AR$652),$B$419=1),$AR$652,HLOOKUP(INDIRECT(ADDRESS(2,COLUMN())),OFFSET($BN$2,0,0,ROW()-1,60),ROW()-1,FALSE))</f>
        <v>87.271201489999996</v>
      </c>
      <c r="AS203">
        <f ca="1">IF(AND(ISNUMBER($AS$652),$B$419=1),$AS$652,HLOOKUP(INDIRECT(ADDRESS(2,COLUMN())),OFFSET($BN$2,0,0,ROW()-1,60),ROW()-1,FALSE))</f>
        <v>95.078111669999998</v>
      </c>
      <c r="AT203">
        <f ca="1">IF(AND(ISNUMBER($AT$652),$B$419=1),$AT$652,HLOOKUP(INDIRECT(ADDRESS(2,COLUMN())),OFFSET($BN$2,0,0,ROW()-1,60),ROW()-1,FALSE))</f>
        <v>92.893855290000005</v>
      </c>
      <c r="AU203">
        <f ca="1">IF(AND(ISNUMBER($AU$652),$B$419=1),$AU$652,HLOOKUP(INDIRECT(ADDRESS(2,COLUMN())),OFFSET($BN$2,0,0,ROW()-1,60),ROW()-1,FALSE))</f>
        <v>93.766460710000004</v>
      </c>
      <c r="AV203">
        <f ca="1">IF(AND(ISNUMBER($AV$652),$B$419=1),$AV$652,HLOOKUP(INDIRECT(ADDRESS(2,COLUMN())),OFFSET($BN$2,0,0,ROW()-1,60),ROW()-1,FALSE))</f>
        <v>91.289678100000003</v>
      </c>
      <c r="AW203">
        <f ca="1">IF(AND(ISNUMBER($AW$652),$B$419=1),$AW$652,HLOOKUP(INDIRECT(ADDRESS(2,COLUMN())),OFFSET($BN$2,0,0,ROW()-1,60),ROW()-1,FALSE))</f>
        <v>92.221829229999997</v>
      </c>
      <c r="AX203">
        <f ca="1">IF(AND(ISNUMBER($AX$652),$B$419=1),$AX$652,HLOOKUP(INDIRECT(ADDRESS(2,COLUMN())),OFFSET($BN$2,0,0,ROW()-1,60),ROW()-1,FALSE))</f>
        <v>92.809477079999994</v>
      </c>
      <c r="AY203">
        <f ca="1">IF(AND(ISNUMBER($AY$652),$B$419=1),$AY$652,HLOOKUP(INDIRECT(ADDRESS(2,COLUMN())),OFFSET($BN$2,0,0,ROW()-1,60),ROW()-1,FALSE))</f>
        <v>92.564482830000003</v>
      </c>
      <c r="AZ203">
        <f ca="1">IF(AND(ISNUMBER($AZ$652),$B$419=1),$AZ$652,HLOOKUP(INDIRECT(ADDRESS(2,COLUMN())),OFFSET($BN$2,0,0,ROW()-1,60),ROW()-1,FALSE))</f>
        <v>92.747278750000007</v>
      </c>
      <c r="BA203">
        <f ca="1">IF(AND(ISNUMBER($BA$652),$B$419=1),$BA$652,HLOOKUP(INDIRECT(ADDRESS(2,COLUMN())),OFFSET($BN$2,0,0,ROW()-1,60),ROW()-1,FALSE))</f>
        <v>92.854485339999997</v>
      </c>
      <c r="BB203">
        <f ca="1">IF(AND(ISNUMBER($BB$652),$B$419=1),$BB$652,HLOOKUP(INDIRECT(ADDRESS(2,COLUMN())),OFFSET($BN$2,0,0,ROW()-1,60),ROW()-1,FALSE))</f>
        <v>91.895569510000001</v>
      </c>
      <c r="BC203">
        <f ca="1">IF(AND(ISNUMBER($BC$652),$B$419=1),$BC$652,HLOOKUP(INDIRECT(ADDRESS(2,COLUMN())),OFFSET($BN$2,0,0,ROW()-1,60),ROW()-1,FALSE))</f>
        <v>92.877354069999996</v>
      </c>
      <c r="BD203">
        <f ca="1">IF(AND(ISNUMBER($BD$652),$B$419=1),$BD$652,HLOOKUP(INDIRECT(ADDRESS(2,COLUMN())),OFFSET($BN$2,0,0,ROW()-1,60),ROW()-1,FALSE))</f>
        <v>90.529175600000002</v>
      </c>
      <c r="BE203">
        <f ca="1">IF(AND(ISNUMBER($BE$652),$B$419=1),$BE$652,HLOOKUP(INDIRECT(ADDRESS(2,COLUMN())),OFFSET($BN$2,0,0,ROW()-1,60),ROW()-1,FALSE))</f>
        <v>90.971090709999999</v>
      </c>
      <c r="BF203">
        <f ca="1">IF(AND(ISNUMBER($BF$652),$B$419=1),$BF$652,HLOOKUP(INDIRECT(ADDRESS(2,COLUMN())),OFFSET($BN$2,0,0,ROW()-1,60),ROW()-1,FALSE))</f>
        <v>90.782546370000006</v>
      </c>
      <c r="BG203">
        <f ca="1">IF(AND(ISNUMBER($BG$652),$B$419=1),$BG$652,HLOOKUP(INDIRECT(ADDRESS(2,COLUMN())),OFFSET($BN$2,0,0,ROW()-1,60),ROW()-1,FALSE))</f>
        <v>94.012420059999997</v>
      </c>
      <c r="BH203">
        <f ca="1">IF(AND(ISNUMBER($BH$652),$B$419=1),$BH$652,HLOOKUP(INDIRECT(ADDRESS(2,COLUMN())),OFFSET($BN$2,0,0,ROW()-1,60),ROW()-1,FALSE))</f>
        <v>92.406368110000003</v>
      </c>
      <c r="BI203">
        <f ca="1">IF(AND(ISNUMBER($BI$652),$B$419=1),$BI$652,HLOOKUP(INDIRECT(ADDRESS(2,COLUMN())),OFFSET($BN$2,0,0,ROW()-1,60),ROW()-1,FALSE))</f>
        <v>115.1324345</v>
      </c>
      <c r="BJ203">
        <f ca="1">IF(AND(ISNUMBER($BJ$652),$B$419=1),$BJ$652,HLOOKUP(INDIRECT(ADDRESS(2,COLUMN())),OFFSET($BN$2,0,0,ROW()-1,60),ROW()-1,FALSE))</f>
        <v>90.36229951</v>
      </c>
      <c r="BK203">
        <f ca="1">IF(AND(ISNUMBER($BK$652),$B$419=1),$BK$652,HLOOKUP(INDIRECT(ADDRESS(2,COLUMN())),OFFSET($BN$2,0,0,ROW()-1,60),ROW()-1,FALSE))</f>
        <v>91.371977110000003</v>
      </c>
      <c r="BL203">
        <f ca="1">IF(AND(ISNUMBER($BL$652),$B$419=1),$BL$652,HLOOKUP(INDIRECT(ADDRESS(2,COLUMN())),OFFSET($BN$2,0,0,ROW()-1,60),ROW()-1,FALSE))</f>
        <v>91.047945330000005</v>
      </c>
      <c r="BM203">
        <f ca="1">IF(AND(ISNUMBER($BM$652),$B$419=1),$BM$652,HLOOKUP(INDIRECT(ADDRESS(2,COLUMN())),OFFSET($BN$2,0,0,ROW()-1,60),ROW()-1,FALSE))</f>
        <v>90.449024399999999</v>
      </c>
      <c r="BN203" t="str">
        <f>""</f>
        <v/>
      </c>
      <c r="BO203">
        <f>87.59069576</f>
        <v>87.590695760000003</v>
      </c>
      <c r="BP203">
        <f>89.73250358</f>
        <v>89.732503579999999</v>
      </c>
      <c r="BQ203">
        <f>88.49285405</f>
        <v>88.492854050000005</v>
      </c>
      <c r="BR203">
        <f>87.22489724</f>
        <v>87.224897240000004</v>
      </c>
      <c r="BS203">
        <f>87.95176537</f>
        <v>87.951765370000004</v>
      </c>
      <c r="BT203">
        <f>86.81550218</f>
        <v>86.815502179999996</v>
      </c>
      <c r="BU203">
        <f>87.11440051</f>
        <v>87.114400509999996</v>
      </c>
      <c r="BV203">
        <f>89.01376181</f>
        <v>89.013761810000005</v>
      </c>
      <c r="BW203">
        <f>89.66844668</f>
        <v>89.668446680000002</v>
      </c>
      <c r="BX203">
        <f>89.081421</f>
        <v>89.081421000000006</v>
      </c>
      <c r="BY203">
        <f>89.14913732</f>
        <v>89.149137319999994</v>
      </c>
      <c r="BZ203">
        <f>89.1285591</f>
        <v>89.128559100000004</v>
      </c>
      <c r="CA203">
        <f>81.78880573</f>
        <v>81.788805730000007</v>
      </c>
      <c r="CB203">
        <f>93.15184143</f>
        <v>93.151841430000005</v>
      </c>
      <c r="CC203">
        <f>90.50322332</f>
        <v>90.503223320000004</v>
      </c>
      <c r="CD203">
        <f>89.41066561</f>
        <v>89.410665609999995</v>
      </c>
      <c r="CE203">
        <f>86.25019083</f>
        <v>86.250190829999994</v>
      </c>
      <c r="CF203">
        <f>87.45700981</f>
        <v>87.457009810000002</v>
      </c>
      <c r="CG203">
        <f>89.03310931</f>
        <v>89.03310931</v>
      </c>
      <c r="CH203">
        <f>81.06790032</f>
        <v>81.067900320000007</v>
      </c>
      <c r="CI203">
        <f>85.73827398</f>
        <v>85.738273980000002</v>
      </c>
      <c r="CJ203">
        <f>85.77367284</f>
        <v>85.773672840000003</v>
      </c>
      <c r="CK203">
        <f>90.05948751</f>
        <v>90.059487509999997</v>
      </c>
      <c r="CL203">
        <f>89.91763501</f>
        <v>89.917635009999998</v>
      </c>
      <c r="CM203">
        <f>87.7616214</f>
        <v>87.761621399999996</v>
      </c>
      <c r="CN203">
        <f>91.66054787</f>
        <v>91.660547870000002</v>
      </c>
      <c r="CO203">
        <f>90.39460736</f>
        <v>90.394607359999995</v>
      </c>
      <c r="CP203">
        <f>90.15768266</f>
        <v>90.157682660000006</v>
      </c>
      <c r="CQ203">
        <f>88.12726977</f>
        <v>88.127269769999998</v>
      </c>
      <c r="CR203">
        <f>90.80649062</f>
        <v>90.806490620000005</v>
      </c>
      <c r="CS203">
        <f>89.87341772</f>
        <v>89.873417720000006</v>
      </c>
      <c r="CT203">
        <f>89.49139413</f>
        <v>89.491394130000003</v>
      </c>
      <c r="CU203">
        <f>91.19897645</f>
        <v>91.198976450000004</v>
      </c>
      <c r="CV203">
        <f>91.88465929</f>
        <v>91.884659290000002</v>
      </c>
      <c r="CW203">
        <f>91.62617926</f>
        <v>91.626179260000001</v>
      </c>
      <c r="CX203">
        <f>90.19774148</f>
        <v>90.197741480000005</v>
      </c>
      <c r="CY203">
        <f>98.29811564</f>
        <v>98.298115640000006</v>
      </c>
      <c r="CZ203">
        <f>87.27120149</f>
        <v>87.271201489999996</v>
      </c>
      <c r="DA203">
        <f>95.07811167</f>
        <v>95.078111669999998</v>
      </c>
      <c r="DB203">
        <f>92.89385529</f>
        <v>92.893855290000005</v>
      </c>
      <c r="DC203">
        <f>93.76646071</f>
        <v>93.766460710000004</v>
      </c>
      <c r="DD203">
        <f>91.2896781</f>
        <v>91.289678100000003</v>
      </c>
      <c r="DE203">
        <f>92.22182923</f>
        <v>92.221829229999997</v>
      </c>
      <c r="DF203">
        <f>92.80947708</f>
        <v>92.809477079999994</v>
      </c>
      <c r="DG203">
        <f>92.56448283</f>
        <v>92.564482830000003</v>
      </c>
      <c r="DH203">
        <f>92.74727875</f>
        <v>92.747278750000007</v>
      </c>
      <c r="DI203">
        <f>92.85448534</f>
        <v>92.854485339999997</v>
      </c>
      <c r="DJ203">
        <f>91.89556951</f>
        <v>91.895569510000001</v>
      </c>
      <c r="DK203">
        <f>92.87735407</f>
        <v>92.877354069999996</v>
      </c>
      <c r="DL203">
        <f>90.5291756</f>
        <v>90.529175600000002</v>
      </c>
      <c r="DM203">
        <f>90.97109071</f>
        <v>90.971090709999999</v>
      </c>
      <c r="DN203">
        <f>90.78254637</f>
        <v>90.782546370000006</v>
      </c>
      <c r="DO203">
        <f>94.01242006</f>
        <v>94.012420059999997</v>
      </c>
      <c r="DP203">
        <f>92.40636811</f>
        <v>92.406368110000003</v>
      </c>
      <c r="DQ203">
        <f>115.1324345</f>
        <v>115.1324345</v>
      </c>
      <c r="DR203">
        <f>90.36229951</f>
        <v>90.36229951</v>
      </c>
      <c r="DS203">
        <f>91.37197711</f>
        <v>91.371977110000003</v>
      </c>
      <c r="DT203">
        <f>91.04794533</f>
        <v>91.047945330000005</v>
      </c>
      <c r="DU203">
        <f>90.4490244</f>
        <v>90.449024399999999</v>
      </c>
    </row>
    <row r="204" spans="1:125">
      <c r="A204" t="str">
        <f>"    Regency Centers Corp"</f>
        <v xml:space="preserve">    Regency Centers Corp</v>
      </c>
      <c r="B204" t="str">
        <f>"REG US Equity"</f>
        <v>REG US Equity</v>
      </c>
      <c r="C204" t="str">
        <f t="shared" si="36"/>
        <v>RX225</v>
      </c>
      <c r="D204" t="str">
        <f t="shared" si="37"/>
        <v>EBITDA_TO_REVENUE</v>
      </c>
      <c r="E204" t="str">
        <f t="shared" si="38"/>
        <v>动态</v>
      </c>
      <c r="F204" t="str">
        <f ca="1">IF(AND(ISNUMBER($F$653),$B$419=1),$F$653,HLOOKUP(INDIRECT(ADDRESS(2,COLUMN())),OFFSET($BN$2,0,0,ROW()-1,60),ROW()-1,FALSE))</f>
        <v/>
      </c>
      <c r="G204">
        <f ca="1">IF(AND(ISNUMBER($G$653),$B$419=1),$G$653,HLOOKUP(INDIRECT(ADDRESS(2,COLUMN())),OFFSET($BN$2,0,0,ROW()-1,60),ROW()-1,FALSE))</f>
        <v>63.815434119999999</v>
      </c>
      <c r="H204">
        <f ca="1">IF(AND(ISNUMBER($H$653),$B$419=1),$H$653,HLOOKUP(INDIRECT(ADDRESS(2,COLUMN())),OFFSET($BN$2,0,0,ROW()-1,60),ROW()-1,FALSE))</f>
        <v>67.296226079999997</v>
      </c>
      <c r="I204">
        <f ca="1">IF(AND(ISNUMBER($I$653),$B$419=1),$I$653,HLOOKUP(INDIRECT(ADDRESS(2,COLUMN())),OFFSET($BN$2,0,0,ROW()-1,60),ROW()-1,FALSE))</f>
        <v>66.193911330000006</v>
      </c>
      <c r="J204">
        <f ca="1">IF(AND(ISNUMBER($J$653),$B$419=1),$J$653,HLOOKUP(INDIRECT(ADDRESS(2,COLUMN())),OFFSET($BN$2,0,0,ROW()-1,60),ROW()-1,FALSE))</f>
        <v>28.416211610000001</v>
      </c>
      <c r="K204">
        <f ca="1">IF(AND(ISNUMBER($K$653),$B$419=1),$K$653,HLOOKUP(INDIRECT(ADDRESS(2,COLUMN())),OFFSET($BN$2,0,0,ROW()-1,60),ROW()-1,FALSE))</f>
        <v>58.088756019999998</v>
      </c>
      <c r="L204">
        <f ca="1">IF(AND(ISNUMBER($L$653),$B$419=1),$L$653,HLOOKUP(INDIRECT(ADDRESS(2,COLUMN())),OFFSET($BN$2,0,0,ROW()-1,60),ROW()-1,FALSE))</f>
        <v>62.346826559999997</v>
      </c>
      <c r="M204">
        <f ca="1">IF(AND(ISNUMBER($M$653),$B$419=1),$M$653,HLOOKUP(INDIRECT(ADDRESS(2,COLUMN())),OFFSET($BN$2,0,0,ROW()-1,60),ROW()-1,FALSE))</f>
        <v>61.11329817</v>
      </c>
      <c r="N204">
        <f ca="1">IF(AND(ISNUMBER($N$653),$B$419=1),$N$653,HLOOKUP(INDIRECT(ADDRESS(2,COLUMN())),OFFSET($BN$2,0,0,ROW()-1,60),ROW()-1,FALSE))</f>
        <v>61.798593850000003</v>
      </c>
      <c r="O204">
        <f ca="1">IF(AND(ISNUMBER($O$653),$B$419=1),$O$653,HLOOKUP(INDIRECT(ADDRESS(2,COLUMN())),OFFSET($BN$2,0,0,ROW()-1,60),ROW()-1,FALSE))</f>
        <v>59.458978709999997</v>
      </c>
      <c r="P204">
        <f ca="1">IF(AND(ISNUMBER($P$653),$B$419=1),$P$653,HLOOKUP(INDIRECT(ADDRESS(2,COLUMN())),OFFSET($BN$2,0,0,ROW()-1,60),ROW()-1,FALSE))</f>
        <v>63.090914210000001</v>
      </c>
      <c r="Q204">
        <f ca="1">IF(AND(ISNUMBER($Q$653),$B$419=1),$Q$653,HLOOKUP(INDIRECT(ADDRESS(2,COLUMN())),OFFSET($BN$2,0,0,ROW()-1,60),ROW()-1,FALSE))</f>
        <v>62.637728600000003</v>
      </c>
      <c r="R204">
        <f ca="1">IF(AND(ISNUMBER($R$653),$B$419=1),$R$653,HLOOKUP(INDIRECT(ADDRESS(2,COLUMN())),OFFSET($BN$2,0,0,ROW()-1,60),ROW()-1,FALSE))</f>
        <v>61.647162729999998</v>
      </c>
      <c r="S204">
        <f ca="1">IF(AND(ISNUMBER($S$653),$B$419=1),$S$653,HLOOKUP(INDIRECT(ADDRESS(2,COLUMN())),OFFSET($BN$2,0,0,ROW()-1,60),ROW()-1,FALSE))</f>
        <v>60.827672309999997</v>
      </c>
      <c r="T204">
        <f ca="1">IF(AND(ISNUMBER($T$653),$B$419=1),$T$653,HLOOKUP(INDIRECT(ADDRESS(2,COLUMN())),OFFSET($BN$2,0,0,ROW()-1,60),ROW()-1,FALSE))</f>
        <v>62.940722829999999</v>
      </c>
      <c r="U204">
        <f ca="1">IF(AND(ISNUMBER($U$653),$B$419=1),$U$653,HLOOKUP(INDIRECT(ADDRESS(2,COLUMN())),OFFSET($BN$2,0,0,ROW()-1,60),ROW()-1,FALSE))</f>
        <v>61.885063610000003</v>
      </c>
      <c r="V204">
        <f ca="1">IF(AND(ISNUMBER($V$653),$B$419=1),$V$653,HLOOKUP(INDIRECT(ADDRESS(2,COLUMN())),OFFSET($BN$2,0,0,ROW()-1,60),ROW()-1,FALSE))</f>
        <v>61.228241300000001</v>
      </c>
      <c r="W204">
        <f ca="1">IF(AND(ISNUMBER($W$653),$B$419=1),$W$653,HLOOKUP(INDIRECT(ADDRESS(2,COLUMN())),OFFSET($BN$2,0,0,ROW()-1,60),ROW()-1,FALSE))</f>
        <v>60.13094718</v>
      </c>
      <c r="X204">
        <f ca="1">IF(AND(ISNUMBER($X$653),$B$419=1),$X$653,HLOOKUP(INDIRECT(ADDRESS(2,COLUMN())),OFFSET($BN$2,0,0,ROW()-1,60),ROW()-1,FALSE))</f>
        <v>57.340547549999997</v>
      </c>
      <c r="Y204">
        <f ca="1">IF(AND(ISNUMBER($Y$653),$B$419=1),$Y$653,HLOOKUP(INDIRECT(ADDRESS(2,COLUMN())),OFFSET($BN$2,0,0,ROW()-1,60),ROW()-1,FALSE))</f>
        <v>62.020162380000002</v>
      </c>
      <c r="Z204">
        <f ca="1">IF(AND(ISNUMBER($Z$653),$B$419=1),$Z$653,HLOOKUP(INDIRECT(ADDRESS(2,COLUMN())),OFFSET($BN$2,0,0,ROW()-1,60),ROW()-1,FALSE))</f>
        <v>59.944508130000003</v>
      </c>
      <c r="AA204">
        <f ca="1">IF(AND(ISNUMBER($AA$653),$B$419=1),$AA$653,HLOOKUP(INDIRECT(ADDRESS(2,COLUMN())),OFFSET($BN$2,0,0,ROW()-1,60),ROW()-1,FALSE))</f>
        <v>60.203045690000003</v>
      </c>
      <c r="AB204">
        <f ca="1">IF(AND(ISNUMBER($AB$653),$B$419=1),$AB$653,HLOOKUP(INDIRECT(ADDRESS(2,COLUMN())),OFFSET($BN$2,0,0,ROW()-1,60),ROW()-1,FALSE))</f>
        <v>62.057808270000002</v>
      </c>
      <c r="AC204">
        <f ca="1">IF(AND(ISNUMBER($AC$653),$B$419=1),$AC$653,HLOOKUP(INDIRECT(ADDRESS(2,COLUMN())),OFFSET($BN$2,0,0,ROW()-1,60),ROW()-1,FALSE))</f>
        <v>64.536741210000002</v>
      </c>
      <c r="AD204">
        <f ca="1">IF(AND(ISNUMBER($AD$653),$B$419=1),$AD$653,HLOOKUP(INDIRECT(ADDRESS(2,COLUMN())),OFFSET($BN$2,0,0,ROW()-1,60),ROW()-1,FALSE))</f>
        <v>59.871042350000003</v>
      </c>
      <c r="AE204">
        <f ca="1">IF(AND(ISNUMBER($AE$653),$B$419=1),$AE$653,HLOOKUP(INDIRECT(ADDRESS(2,COLUMN())),OFFSET($BN$2,0,0,ROW()-1,60),ROW()-1,FALSE))</f>
        <v>60.365542849999997</v>
      </c>
      <c r="AF204">
        <f ca="1">IF(AND(ISNUMBER($AF$653),$B$419=1),$AF$653,HLOOKUP(INDIRECT(ADDRESS(2,COLUMN())),OFFSET($BN$2,0,0,ROW()-1,60),ROW()-1,FALSE))</f>
        <v>64.261908629999994</v>
      </c>
      <c r="AG204">
        <f ca="1">IF(AND(ISNUMBER($AG$653),$B$419=1),$AG$653,HLOOKUP(INDIRECT(ADDRESS(2,COLUMN())),OFFSET($BN$2,0,0,ROW()-1,60),ROW()-1,FALSE))</f>
        <v>61.860674090000003</v>
      </c>
      <c r="AH204">
        <f ca="1">IF(AND(ISNUMBER($AH$653),$B$419=1),$AH$653,HLOOKUP(INDIRECT(ADDRESS(2,COLUMN())),OFFSET($BN$2,0,0,ROW()-1,60),ROW()-1,FALSE))</f>
        <v>60.361302360000003</v>
      </c>
      <c r="AI204">
        <f ca="1">IF(AND(ISNUMBER($AI$653),$B$419=1),$AI$653,HLOOKUP(INDIRECT(ADDRESS(2,COLUMN())),OFFSET($BN$2,0,0,ROW()-1,60),ROW()-1,FALSE))</f>
        <v>62.967090829999997</v>
      </c>
      <c r="AJ204">
        <f ca="1">IF(AND(ISNUMBER($AJ$653),$B$419=1),$AJ$653,HLOOKUP(INDIRECT(ADDRESS(2,COLUMN())),OFFSET($BN$2,0,0,ROW()-1,60),ROW()-1,FALSE))</f>
        <v>57.75583022</v>
      </c>
      <c r="AK204">
        <f ca="1">IF(AND(ISNUMBER($AK$653),$B$419=1),$AK$653,HLOOKUP(INDIRECT(ADDRESS(2,COLUMN())),OFFSET($BN$2,0,0,ROW()-1,60),ROW()-1,FALSE))</f>
        <v>61.829593160000002</v>
      </c>
      <c r="AL204">
        <f ca="1">IF(AND(ISNUMBER($AL$653),$B$419=1),$AL$653,HLOOKUP(INDIRECT(ADDRESS(2,COLUMN())),OFFSET($BN$2,0,0,ROW()-1,60),ROW()-1,FALSE))</f>
        <v>59.50128145</v>
      </c>
      <c r="AM204">
        <f ca="1">IF(AND(ISNUMBER($AM$653),$B$419=1),$AM$653,HLOOKUP(INDIRECT(ADDRESS(2,COLUMN())),OFFSET($BN$2,0,0,ROW()-1,60),ROW()-1,FALSE))</f>
        <v>57.923760399999999</v>
      </c>
      <c r="AN204">
        <f ca="1">IF(AND(ISNUMBER($AN$653),$B$419=1),$AN$653,HLOOKUP(INDIRECT(ADDRESS(2,COLUMN())),OFFSET($BN$2,0,0,ROW()-1,60),ROW()-1,FALSE))</f>
        <v>63.667898520000001</v>
      </c>
      <c r="AO204">
        <f ca="1">IF(AND(ISNUMBER($AO$653),$B$419=1),$AO$653,HLOOKUP(INDIRECT(ADDRESS(2,COLUMN())),OFFSET($BN$2,0,0,ROW()-1,60),ROW()-1,FALSE))</f>
        <v>61.751695660000003</v>
      </c>
      <c r="AP204">
        <f ca="1">IF(AND(ISNUMBER($AP$653),$B$419=1),$AP$653,HLOOKUP(INDIRECT(ADDRESS(2,COLUMN())),OFFSET($BN$2,0,0,ROW()-1,60),ROW()-1,FALSE))</f>
        <v>61.254322799999997</v>
      </c>
      <c r="AQ204">
        <f ca="1">IF(AND(ISNUMBER($AQ$653),$B$419=1),$AQ$653,HLOOKUP(INDIRECT(ADDRESS(2,COLUMN())),OFFSET($BN$2,0,0,ROW()-1,60),ROW()-1,FALSE))</f>
        <v>65.486486850000006</v>
      </c>
      <c r="AR204">
        <f ca="1">IF(AND(ISNUMBER($AR$653),$B$419=1),$AR$653,HLOOKUP(INDIRECT(ADDRESS(2,COLUMN())),OFFSET($BN$2,0,0,ROW()-1,60),ROW()-1,FALSE))</f>
        <v>65.321417089999997</v>
      </c>
      <c r="AS204">
        <f ca="1">IF(AND(ISNUMBER($AS$653),$B$419=1),$AS$653,HLOOKUP(INDIRECT(ADDRESS(2,COLUMN())),OFFSET($BN$2,0,0,ROW()-1,60),ROW()-1,FALSE))</f>
        <v>67.138604040000004</v>
      </c>
      <c r="AT204">
        <f ca="1">IF(AND(ISNUMBER($AT$653),$B$419=1),$AT$653,HLOOKUP(INDIRECT(ADDRESS(2,COLUMN())),OFFSET($BN$2,0,0,ROW()-1,60),ROW()-1,FALSE))</f>
        <v>63.970390889999997</v>
      </c>
      <c r="AU204">
        <f ca="1">IF(AND(ISNUMBER($AU$653),$B$419=1),$AU$653,HLOOKUP(INDIRECT(ADDRESS(2,COLUMN())),OFFSET($BN$2,0,0,ROW()-1,60),ROW()-1,FALSE))</f>
        <v>62.250301960000002</v>
      </c>
      <c r="AV204">
        <f ca="1">IF(AND(ISNUMBER($AV$653),$B$419=1),$AV$653,HLOOKUP(INDIRECT(ADDRESS(2,COLUMN())),OFFSET($BN$2,0,0,ROW()-1,60),ROW()-1,FALSE))</f>
        <v>66.868352220000006</v>
      </c>
      <c r="AW204">
        <f ca="1">IF(AND(ISNUMBER($AW$653),$B$419=1),$AW$653,HLOOKUP(INDIRECT(ADDRESS(2,COLUMN())),OFFSET($BN$2,0,0,ROW()-1,60),ROW()-1,FALSE))</f>
        <v>64.149333729999995</v>
      </c>
      <c r="AX204">
        <f ca="1">IF(AND(ISNUMBER($AX$653),$B$419=1),$AX$653,HLOOKUP(INDIRECT(ADDRESS(2,COLUMN())),OFFSET($BN$2,0,0,ROW()-1,60),ROW()-1,FALSE))</f>
        <v>65.197861160000002</v>
      </c>
      <c r="AY204">
        <f ca="1">IF(AND(ISNUMBER($AY$653),$B$419=1),$AY$653,HLOOKUP(INDIRECT(ADDRESS(2,COLUMN())),OFFSET($BN$2,0,0,ROW()-1,60),ROW()-1,FALSE))</f>
        <v>54.044767780000001</v>
      </c>
      <c r="AZ204">
        <f ca="1">IF(AND(ISNUMBER($AZ$653),$B$419=1),$AZ$653,HLOOKUP(INDIRECT(ADDRESS(2,COLUMN())),OFFSET($BN$2,0,0,ROW()-1,60),ROW()-1,FALSE))</f>
        <v>68.936920779999994</v>
      </c>
      <c r="BA204">
        <f ca="1">IF(AND(ISNUMBER($BA$653),$B$419=1),$BA$653,HLOOKUP(INDIRECT(ADDRESS(2,COLUMN())),OFFSET($BN$2,0,0,ROW()-1,60),ROW()-1,FALSE))</f>
        <v>67.421252370000005</v>
      </c>
      <c r="BB204">
        <f ca="1">IF(AND(ISNUMBER($BB$653),$B$419=1),$BB$653,HLOOKUP(INDIRECT(ADDRESS(2,COLUMN())),OFFSET($BN$2,0,0,ROW()-1,60),ROW()-1,FALSE))</f>
        <v>64.355275019999993</v>
      </c>
      <c r="BC204">
        <f ca="1">IF(AND(ISNUMBER($BC$653),$B$419=1),$BC$653,HLOOKUP(INDIRECT(ADDRESS(2,COLUMN())),OFFSET($BN$2,0,0,ROW()-1,60),ROW()-1,FALSE))</f>
        <v>68.27472874</v>
      </c>
      <c r="BD204">
        <f ca="1">IF(AND(ISNUMBER($BD$653),$B$419=1),$BD$653,HLOOKUP(INDIRECT(ADDRESS(2,COLUMN())),OFFSET($BN$2,0,0,ROW()-1,60),ROW()-1,FALSE))</f>
        <v>65.559738679999995</v>
      </c>
      <c r="BE204">
        <f ca="1">IF(AND(ISNUMBER($BE$653),$B$419=1),$BE$653,HLOOKUP(INDIRECT(ADDRESS(2,COLUMN())),OFFSET($BN$2,0,0,ROW()-1,60),ROW()-1,FALSE))</f>
        <v>70.240812809999994</v>
      </c>
      <c r="BF204">
        <f ca="1">IF(AND(ISNUMBER($BF$653),$B$419=1),$BF$653,HLOOKUP(INDIRECT(ADDRESS(2,COLUMN())),OFFSET($BN$2,0,0,ROW()-1,60),ROW()-1,FALSE))</f>
        <v>68.716906399999999</v>
      </c>
      <c r="BG204">
        <f ca="1">IF(AND(ISNUMBER($BG$653),$B$419=1),$BG$653,HLOOKUP(INDIRECT(ADDRESS(2,COLUMN())),OFFSET($BN$2,0,0,ROW()-1,60),ROW()-1,FALSE))</f>
        <v>61.446793739999997</v>
      </c>
      <c r="BH204">
        <f ca="1">IF(AND(ISNUMBER($BH$653),$B$419=1),$BH$653,HLOOKUP(INDIRECT(ADDRESS(2,COLUMN())),OFFSET($BN$2,0,0,ROW()-1,60),ROW()-1,FALSE))</f>
        <v>66.698739430000003</v>
      </c>
      <c r="BI204">
        <f ca="1">IF(AND(ISNUMBER($BI$653),$B$419=1),$BI$653,HLOOKUP(INDIRECT(ADDRESS(2,COLUMN())),OFFSET($BN$2,0,0,ROW()-1,60),ROW()-1,FALSE))</f>
        <v>66.508498680000002</v>
      </c>
      <c r="BJ204">
        <f ca="1">IF(AND(ISNUMBER($BJ$653),$B$419=1),$BJ$653,HLOOKUP(INDIRECT(ADDRESS(2,COLUMN())),OFFSET($BN$2,0,0,ROW()-1,60),ROW()-1,FALSE))</f>
        <v>68.561490280000001</v>
      </c>
      <c r="BK204">
        <f ca="1">IF(AND(ISNUMBER($BK$653),$B$419=1),$BK$653,HLOOKUP(INDIRECT(ADDRESS(2,COLUMN())),OFFSET($BN$2,0,0,ROW()-1,60),ROW()-1,FALSE))</f>
        <v>62.414407259999997</v>
      </c>
      <c r="BL204">
        <f ca="1">IF(AND(ISNUMBER($BL$653),$B$419=1),$BL$653,HLOOKUP(INDIRECT(ADDRESS(2,COLUMN())),OFFSET($BN$2,0,0,ROW()-1,60),ROW()-1,FALSE))</f>
        <v>68.138169680000004</v>
      </c>
      <c r="BM204">
        <f ca="1">IF(AND(ISNUMBER($BM$653),$B$419=1),$BM$653,HLOOKUP(INDIRECT(ADDRESS(2,COLUMN())),OFFSET($BN$2,0,0,ROW()-1,60),ROW()-1,FALSE))</f>
        <v>68.012867979999996</v>
      </c>
      <c r="BN204" t="str">
        <f>""</f>
        <v/>
      </c>
      <c r="BO204">
        <f>63.81543412</f>
        <v>63.815434119999999</v>
      </c>
      <c r="BP204">
        <f>67.29622608</f>
        <v>67.296226079999997</v>
      </c>
      <c r="BQ204">
        <f>66.19391133</f>
        <v>66.193911330000006</v>
      </c>
      <c r="BR204">
        <f>28.41621161</f>
        <v>28.416211610000001</v>
      </c>
      <c r="BS204">
        <f>58.08875602</f>
        <v>58.088756019999998</v>
      </c>
      <c r="BT204">
        <f>62.34682656</f>
        <v>62.346826559999997</v>
      </c>
      <c r="BU204">
        <f>61.11329817</f>
        <v>61.11329817</v>
      </c>
      <c r="BV204">
        <f>61.79859385</f>
        <v>61.798593850000003</v>
      </c>
      <c r="BW204">
        <f>59.45897871</f>
        <v>59.458978709999997</v>
      </c>
      <c r="BX204">
        <f>63.09091421</f>
        <v>63.090914210000001</v>
      </c>
      <c r="BY204">
        <f>62.6377286</f>
        <v>62.637728600000003</v>
      </c>
      <c r="BZ204">
        <f>61.64716273</f>
        <v>61.647162729999998</v>
      </c>
      <c r="CA204">
        <f>60.82767231</f>
        <v>60.827672309999997</v>
      </c>
      <c r="CB204">
        <f>62.94072283</f>
        <v>62.940722829999999</v>
      </c>
      <c r="CC204">
        <f>61.88506361</f>
        <v>61.885063610000003</v>
      </c>
      <c r="CD204">
        <f>61.2282413</f>
        <v>61.228241300000001</v>
      </c>
      <c r="CE204">
        <f>60.13094718</f>
        <v>60.13094718</v>
      </c>
      <c r="CF204">
        <f>57.34054755</f>
        <v>57.340547549999997</v>
      </c>
      <c r="CG204">
        <f>62.02016238</f>
        <v>62.020162380000002</v>
      </c>
      <c r="CH204">
        <f>59.94450813</f>
        <v>59.944508130000003</v>
      </c>
      <c r="CI204">
        <f>60.20304569</f>
        <v>60.203045690000003</v>
      </c>
      <c r="CJ204">
        <f>62.05780827</f>
        <v>62.057808270000002</v>
      </c>
      <c r="CK204">
        <f>64.53674121</f>
        <v>64.536741210000002</v>
      </c>
      <c r="CL204">
        <f>59.87104235</f>
        <v>59.871042350000003</v>
      </c>
      <c r="CM204">
        <f>60.36554285</f>
        <v>60.365542849999997</v>
      </c>
      <c r="CN204">
        <f>64.26190863</f>
        <v>64.261908629999994</v>
      </c>
      <c r="CO204">
        <f>61.86067409</f>
        <v>61.860674090000003</v>
      </c>
      <c r="CP204">
        <f>60.36130236</f>
        <v>60.361302360000003</v>
      </c>
      <c r="CQ204">
        <f>62.96709083</f>
        <v>62.967090829999997</v>
      </c>
      <c r="CR204">
        <f>57.75583022</f>
        <v>57.75583022</v>
      </c>
      <c r="CS204">
        <f>61.82959316</f>
        <v>61.829593160000002</v>
      </c>
      <c r="CT204">
        <f>59.50128145</f>
        <v>59.50128145</v>
      </c>
      <c r="CU204">
        <f>57.9237604</f>
        <v>57.923760399999999</v>
      </c>
      <c r="CV204">
        <f>63.66789852</f>
        <v>63.667898520000001</v>
      </c>
      <c r="CW204">
        <f>61.75169566</f>
        <v>61.751695660000003</v>
      </c>
      <c r="CX204">
        <f>61.2543228</f>
        <v>61.254322799999997</v>
      </c>
      <c r="CY204">
        <f>65.48648685</f>
        <v>65.486486850000006</v>
      </c>
      <c r="CZ204">
        <f>65.32141709</f>
        <v>65.321417089999997</v>
      </c>
      <c r="DA204">
        <f>67.13860404</f>
        <v>67.138604040000004</v>
      </c>
      <c r="DB204">
        <f>63.97039089</f>
        <v>63.970390889999997</v>
      </c>
      <c r="DC204">
        <f>62.25030196</f>
        <v>62.250301960000002</v>
      </c>
      <c r="DD204">
        <f>66.86835222</f>
        <v>66.868352220000006</v>
      </c>
      <c r="DE204">
        <f>64.14933373</f>
        <v>64.149333729999995</v>
      </c>
      <c r="DF204">
        <f>65.19786116</f>
        <v>65.197861160000002</v>
      </c>
      <c r="DG204">
        <f>54.04476778</f>
        <v>54.044767780000001</v>
      </c>
      <c r="DH204">
        <f>68.93692078</f>
        <v>68.936920779999994</v>
      </c>
      <c r="DI204">
        <f>67.42125237</f>
        <v>67.421252370000005</v>
      </c>
      <c r="DJ204">
        <f>64.35527502</f>
        <v>64.355275019999993</v>
      </c>
      <c r="DK204">
        <f>68.27472874</f>
        <v>68.27472874</v>
      </c>
      <c r="DL204">
        <f>65.55973868</f>
        <v>65.559738679999995</v>
      </c>
      <c r="DM204">
        <f>70.24081281</f>
        <v>70.240812809999994</v>
      </c>
      <c r="DN204">
        <f>68.7169064</f>
        <v>68.716906399999999</v>
      </c>
      <c r="DO204">
        <f>61.44679374</f>
        <v>61.446793739999997</v>
      </c>
      <c r="DP204">
        <f>66.69873943</f>
        <v>66.698739430000003</v>
      </c>
      <c r="DQ204">
        <f>66.50849868</f>
        <v>66.508498680000002</v>
      </c>
      <c r="DR204">
        <f>68.56149028</f>
        <v>68.561490280000001</v>
      </c>
      <c r="DS204">
        <f>62.41440726</f>
        <v>62.414407259999997</v>
      </c>
      <c r="DT204">
        <f>68.13816968</f>
        <v>68.138169680000004</v>
      </c>
      <c r="DU204">
        <f>68.01286798</f>
        <v>68.012867979999996</v>
      </c>
    </row>
    <row r="205" spans="1:125">
      <c r="A205" t="str">
        <f>"    Retail Opportunity Investments"</f>
        <v xml:space="preserve">    Retail Opportunity Investments</v>
      </c>
      <c r="B205" t="str">
        <f>"ROIC US Equity"</f>
        <v>ROIC US Equity</v>
      </c>
      <c r="C205" t="str">
        <f t="shared" si="36"/>
        <v>RX225</v>
      </c>
      <c r="D205" t="str">
        <f t="shared" si="37"/>
        <v>EBITDA_TO_REVENUE</v>
      </c>
      <c r="E205" t="str">
        <f t="shared" si="38"/>
        <v>动态</v>
      </c>
      <c r="F205" t="str">
        <f ca="1">IF(AND(ISNUMBER($F$654),$B$419=1),$F$654,HLOOKUP(INDIRECT(ADDRESS(2,COLUMN())),OFFSET($BN$2,0,0,ROW()-1,60),ROW()-1,FALSE))</f>
        <v/>
      </c>
      <c r="G205">
        <f ca="1">IF(AND(ISNUMBER($G$654),$B$419=1),$G$654,HLOOKUP(INDIRECT(ADDRESS(2,COLUMN())),OFFSET($BN$2,0,0,ROW()-1,60),ROW()-1,FALSE))</f>
        <v>70.038760760000002</v>
      </c>
      <c r="H205">
        <f ca="1">IF(AND(ISNUMBER($H$654),$B$419=1),$H$654,HLOOKUP(INDIRECT(ADDRESS(2,COLUMN())),OFFSET($BN$2,0,0,ROW()-1,60),ROW()-1,FALSE))</f>
        <v>70.126239589999997</v>
      </c>
      <c r="I205">
        <f ca="1">IF(AND(ISNUMBER($I$654),$B$419=1),$I$654,HLOOKUP(INDIRECT(ADDRESS(2,COLUMN())),OFFSET($BN$2,0,0,ROW()-1,60),ROW()-1,FALSE))</f>
        <v>68.005702279999994</v>
      </c>
      <c r="J205">
        <f ca="1">IF(AND(ISNUMBER($J$654),$B$419=1),$J$654,HLOOKUP(INDIRECT(ADDRESS(2,COLUMN())),OFFSET($BN$2,0,0,ROW()-1,60),ROW()-1,FALSE))</f>
        <v>69.778452200000004</v>
      </c>
      <c r="K205">
        <f ca="1">IF(AND(ISNUMBER($K$654),$B$419=1),$K$654,HLOOKUP(INDIRECT(ADDRESS(2,COLUMN())),OFFSET($BN$2,0,0,ROW()-1,60),ROW()-1,FALSE))</f>
        <v>70.561281120000004</v>
      </c>
      <c r="L205">
        <f ca="1">IF(AND(ISNUMBER($L$654),$B$419=1),$L$654,HLOOKUP(INDIRECT(ADDRESS(2,COLUMN())),OFFSET($BN$2,0,0,ROW()-1,60),ROW()-1,FALSE))</f>
        <v>69.612831490000005</v>
      </c>
      <c r="M205">
        <f ca="1">IF(AND(ISNUMBER($M$654),$B$419=1),$M$654,HLOOKUP(INDIRECT(ADDRESS(2,COLUMN())),OFFSET($BN$2,0,0,ROW()-1,60),ROW()-1,FALSE))</f>
        <v>68.819348570000002</v>
      </c>
      <c r="N205">
        <f ca="1">IF(AND(ISNUMBER($N$654),$B$419=1),$N$654,HLOOKUP(INDIRECT(ADDRESS(2,COLUMN())),OFFSET($BN$2,0,0,ROW()-1,60),ROW()-1,FALSE))</f>
        <v>70.118016190000006</v>
      </c>
      <c r="O205">
        <f ca="1">IF(AND(ISNUMBER($O$654),$B$419=1),$O$654,HLOOKUP(INDIRECT(ADDRESS(2,COLUMN())),OFFSET($BN$2,0,0,ROW()-1,60),ROW()-1,FALSE))</f>
        <v>67.649410160000002</v>
      </c>
      <c r="P205">
        <f ca="1">IF(AND(ISNUMBER($P$654),$B$419=1),$P$654,HLOOKUP(INDIRECT(ADDRESS(2,COLUMN())),OFFSET($BN$2,0,0,ROW()-1,60),ROW()-1,FALSE))</f>
        <v>68.738143260000001</v>
      </c>
      <c r="Q205">
        <f ca="1">IF(AND(ISNUMBER($Q$654),$B$419=1),$Q$654,HLOOKUP(INDIRECT(ADDRESS(2,COLUMN())),OFFSET($BN$2,0,0,ROW()-1,60),ROW()-1,FALSE))</f>
        <v>66.368062320000007</v>
      </c>
      <c r="R205">
        <f ca="1">IF(AND(ISNUMBER($R$654),$B$419=1),$R$654,HLOOKUP(INDIRECT(ADDRESS(2,COLUMN())),OFFSET($BN$2,0,0,ROW()-1,60),ROW()-1,FALSE))</f>
        <v>67.603386369999996</v>
      </c>
      <c r="S205">
        <f ca="1">IF(AND(ISNUMBER($S$654),$B$419=1),$S$654,HLOOKUP(INDIRECT(ADDRESS(2,COLUMN())),OFFSET($BN$2,0,0,ROW()-1,60),ROW()-1,FALSE))</f>
        <v>64.919040879999997</v>
      </c>
      <c r="T205">
        <f ca="1">IF(AND(ISNUMBER($T$654),$B$419=1),$T$654,HLOOKUP(INDIRECT(ADDRESS(2,COLUMN())),OFFSET($BN$2,0,0,ROW()-1,60),ROW()-1,FALSE))</f>
        <v>67.701824299999998</v>
      </c>
      <c r="U205">
        <f ca="1">IF(AND(ISNUMBER($U$654),$B$419=1),$U$654,HLOOKUP(INDIRECT(ADDRESS(2,COLUMN())),OFFSET($BN$2,0,0,ROW()-1,60),ROW()-1,FALSE))</f>
        <v>64.866310929999997</v>
      </c>
      <c r="V205">
        <f ca="1">IF(AND(ISNUMBER($V$654),$B$419=1),$V$654,HLOOKUP(INDIRECT(ADDRESS(2,COLUMN())),OFFSET($BN$2,0,0,ROW()-1,60),ROW()-1,FALSE))</f>
        <v>64.660247589999997</v>
      </c>
      <c r="W205">
        <f ca="1">IF(AND(ISNUMBER($W$654),$B$419=1),$W$654,HLOOKUP(INDIRECT(ADDRESS(2,COLUMN())),OFFSET($BN$2,0,0,ROW()-1,60),ROW()-1,FALSE))</f>
        <v>63.683458600000002</v>
      </c>
      <c r="X205">
        <f ca="1">IF(AND(ISNUMBER($X$654),$B$419=1),$X$654,HLOOKUP(INDIRECT(ADDRESS(2,COLUMN())),OFFSET($BN$2,0,0,ROW()-1,60),ROW()-1,FALSE))</f>
        <v>59.75039958</v>
      </c>
      <c r="Y205">
        <f ca="1">IF(AND(ISNUMBER($Y$654),$B$419=1),$Y$654,HLOOKUP(INDIRECT(ADDRESS(2,COLUMN())),OFFSET($BN$2,0,0,ROW()-1,60),ROW()-1,FALSE))</f>
        <v>60.492342039999997</v>
      </c>
      <c r="Z205">
        <f ca="1">IF(AND(ISNUMBER($Z$654),$B$419=1),$Z$654,HLOOKUP(INDIRECT(ADDRESS(2,COLUMN())),OFFSET($BN$2,0,0,ROW()-1,60),ROW()-1,FALSE))</f>
        <v>60.550775620000003</v>
      </c>
      <c r="AA205">
        <f ca="1">IF(AND(ISNUMBER($AA$654),$B$419=1),$AA$654,HLOOKUP(INDIRECT(ADDRESS(2,COLUMN())),OFFSET($BN$2,0,0,ROW()-1,60),ROW()-1,FALSE))</f>
        <v>51.661686420000002</v>
      </c>
      <c r="AB205">
        <f ca="1">IF(AND(ISNUMBER($AB$654),$B$419=1),$AB$654,HLOOKUP(INDIRECT(ADDRESS(2,COLUMN())),OFFSET($BN$2,0,0,ROW()-1,60),ROW()-1,FALSE))</f>
        <v>53.68613955</v>
      </c>
      <c r="AC205">
        <f ca="1">IF(AND(ISNUMBER($AC$654),$B$419=1),$AC$654,HLOOKUP(INDIRECT(ADDRESS(2,COLUMN())),OFFSET($BN$2,0,0,ROW()-1,60),ROW()-1,FALSE))</f>
        <v>54.500652709999997</v>
      </c>
      <c r="AD205">
        <f ca="1">IF(AND(ISNUMBER($AD$654),$B$419=1),$AD$654,HLOOKUP(INDIRECT(ADDRESS(2,COLUMN())),OFFSET($BN$2,0,0,ROW()-1,60),ROW()-1,FALSE))</f>
        <v>57.284220439999999</v>
      </c>
      <c r="AE205">
        <f ca="1">IF(AND(ISNUMBER($AE$654),$B$419=1),$AE$654,HLOOKUP(INDIRECT(ADDRESS(2,COLUMN())),OFFSET($BN$2,0,0,ROW()-1,60),ROW()-1,FALSE))</f>
        <v>54.083461290000002</v>
      </c>
      <c r="AF205">
        <f ca="1">IF(AND(ISNUMBER($AF$654),$B$419=1),$AF$654,HLOOKUP(INDIRECT(ADDRESS(2,COLUMN())),OFFSET($BN$2,0,0,ROW()-1,60),ROW()-1,FALSE))</f>
        <v>46.670572620000002</v>
      </c>
      <c r="AG205">
        <f ca="1">IF(AND(ISNUMBER($AG$654),$B$419=1),$AG$654,HLOOKUP(INDIRECT(ADDRESS(2,COLUMN())),OFFSET($BN$2,0,0,ROW()-1,60),ROW()-1,FALSE))</f>
        <v>48.542689889999998</v>
      </c>
      <c r="AH205">
        <f ca="1">IF(AND(ISNUMBER($AH$654),$B$419=1),$AH$654,HLOOKUP(INDIRECT(ADDRESS(2,COLUMN())),OFFSET($BN$2,0,0,ROW()-1,60),ROW()-1,FALSE))</f>
        <v>52.882220660000002</v>
      </c>
      <c r="AI205">
        <f ca="1">IF(AND(ISNUMBER($AI$654),$B$419=1),$AI$654,HLOOKUP(INDIRECT(ADDRESS(2,COLUMN())),OFFSET($BN$2,0,0,ROW()-1,60),ROW()-1,FALSE))</f>
        <v>22.090935340000001</v>
      </c>
      <c r="AJ205">
        <f ca="1">IF(AND(ISNUMBER($AJ$654),$B$419=1),$AJ$654,HLOOKUP(INDIRECT(ADDRESS(2,COLUMN())),OFFSET($BN$2,0,0,ROW()-1,60),ROW()-1,FALSE))</f>
        <v>23.630513310000001</v>
      </c>
      <c r="AK205">
        <f ca="1">IF(AND(ISNUMBER($AK$654),$B$419=1),$AK$654,HLOOKUP(INDIRECT(ADDRESS(2,COLUMN())),OFFSET($BN$2,0,0,ROW()-1,60),ROW()-1,FALSE))</f>
        <v>-19.292963459999999</v>
      </c>
      <c r="AL205">
        <f ca="1">IF(AND(ISNUMBER($AL$654),$B$419=1),$AL$654,HLOOKUP(INDIRECT(ADDRESS(2,COLUMN())),OFFSET($BN$2,0,0,ROW()-1,60),ROW()-1,FALSE))</f>
        <v>-117.6475829</v>
      </c>
      <c r="AM205" t="str">
        <f ca="1">IF(AND(ISNUMBER($AM$654),$B$419=1),$AM$654,HLOOKUP(INDIRECT(ADDRESS(2,COLUMN())),OFFSET($BN$2,0,0,ROW()-1,60),ROW()-1,FALSE))</f>
        <v/>
      </c>
      <c r="AN205" t="str">
        <f ca="1">IF(AND(ISNUMBER($AN$654),$B$419=1),$AN$654,HLOOKUP(INDIRECT(ADDRESS(2,COLUMN())),OFFSET($BN$2,0,0,ROW()-1,60),ROW()-1,FALSE))</f>
        <v/>
      </c>
      <c r="AO205" t="str">
        <f ca="1">IF(AND(ISNUMBER($AO$654),$B$419=1),$AO$654,HLOOKUP(INDIRECT(ADDRESS(2,COLUMN())),OFFSET($BN$2,0,0,ROW()-1,60),ROW()-1,FALSE))</f>
        <v/>
      </c>
      <c r="AP205" t="str">
        <f ca="1">IF(AND(ISNUMBER($AP$654),$B$419=1),$AP$654,HLOOKUP(INDIRECT(ADDRESS(2,COLUMN())),OFFSET($BN$2,0,0,ROW()-1,60),ROW()-1,FALSE))</f>
        <v/>
      </c>
      <c r="AQ205" t="str">
        <f ca="1">IF(AND(ISNUMBER($AQ$654),$B$419=1),$AQ$654,HLOOKUP(INDIRECT(ADDRESS(2,COLUMN())),OFFSET($BN$2,0,0,ROW()-1,60),ROW()-1,FALSE))</f>
        <v/>
      </c>
      <c r="AR205" t="str">
        <f ca="1">IF(AND(ISNUMBER($AR$654),$B$419=1),$AR$654,HLOOKUP(INDIRECT(ADDRESS(2,COLUMN())),OFFSET($BN$2,0,0,ROW()-1,60),ROW()-1,FALSE))</f>
        <v/>
      </c>
      <c r="AS205" t="str">
        <f ca="1">IF(AND(ISNUMBER($AS$654),$B$419=1),$AS$654,HLOOKUP(INDIRECT(ADDRESS(2,COLUMN())),OFFSET($BN$2,0,0,ROW()-1,60),ROW()-1,FALSE))</f>
        <v/>
      </c>
      <c r="AT205" t="str">
        <f ca="1">IF(AND(ISNUMBER($AT$654),$B$419=1),$AT$654,HLOOKUP(INDIRECT(ADDRESS(2,COLUMN())),OFFSET($BN$2,0,0,ROW()-1,60),ROW()-1,FALSE))</f>
        <v/>
      </c>
      <c r="AU205" t="str">
        <f ca="1">IF(AND(ISNUMBER($AU$654),$B$419=1),$AU$654,HLOOKUP(INDIRECT(ADDRESS(2,COLUMN())),OFFSET($BN$2,0,0,ROW()-1,60),ROW()-1,FALSE))</f>
        <v/>
      </c>
      <c r="AV205" t="str">
        <f ca="1">IF(AND(ISNUMBER($AV$654),$B$419=1),$AV$654,HLOOKUP(INDIRECT(ADDRESS(2,COLUMN())),OFFSET($BN$2,0,0,ROW()-1,60),ROW()-1,FALSE))</f>
        <v/>
      </c>
      <c r="AW205" t="str">
        <f ca="1">IF(AND(ISNUMBER($AW$654),$B$419=1),$AW$654,HLOOKUP(INDIRECT(ADDRESS(2,COLUMN())),OFFSET($BN$2,0,0,ROW()-1,60),ROW()-1,FALSE))</f>
        <v/>
      </c>
      <c r="AX205" t="str">
        <f ca="1">IF(AND(ISNUMBER($AX$654),$B$419=1),$AX$654,HLOOKUP(INDIRECT(ADDRESS(2,COLUMN())),OFFSET($BN$2,0,0,ROW()-1,60),ROW()-1,FALSE))</f>
        <v/>
      </c>
      <c r="AY205" t="str">
        <f ca="1">IF(AND(ISNUMBER($AY$654),$B$419=1),$AY$654,HLOOKUP(INDIRECT(ADDRESS(2,COLUMN())),OFFSET($BN$2,0,0,ROW()-1,60),ROW()-1,FALSE))</f>
        <v/>
      </c>
      <c r="AZ205" t="str">
        <f ca="1">IF(AND(ISNUMBER($AZ$654),$B$419=1),$AZ$654,HLOOKUP(INDIRECT(ADDRESS(2,COLUMN())),OFFSET($BN$2,0,0,ROW()-1,60),ROW()-1,FALSE))</f>
        <v/>
      </c>
      <c r="BA205" t="str">
        <f ca="1">IF(AND(ISNUMBER($BA$654),$B$419=1),$BA$654,HLOOKUP(INDIRECT(ADDRESS(2,COLUMN())),OFFSET($BN$2,0,0,ROW()-1,60),ROW()-1,FALSE))</f>
        <v/>
      </c>
      <c r="BB205" t="str">
        <f ca="1">IF(AND(ISNUMBER($BB$654),$B$419=1),$BB$654,HLOOKUP(INDIRECT(ADDRESS(2,COLUMN())),OFFSET($BN$2,0,0,ROW()-1,60),ROW()-1,FALSE))</f>
        <v/>
      </c>
      <c r="BC205" t="str">
        <f ca="1">IF(AND(ISNUMBER($BC$654),$B$419=1),$BC$654,HLOOKUP(INDIRECT(ADDRESS(2,COLUMN())),OFFSET($BN$2,0,0,ROW()-1,60),ROW()-1,FALSE))</f>
        <v/>
      </c>
      <c r="BD205" t="str">
        <f ca="1">IF(AND(ISNUMBER($BD$654),$B$419=1),$BD$654,HLOOKUP(INDIRECT(ADDRESS(2,COLUMN())),OFFSET($BN$2,0,0,ROW()-1,60),ROW()-1,FALSE))</f>
        <v/>
      </c>
      <c r="BE205" t="str">
        <f ca="1">IF(AND(ISNUMBER($BE$654),$B$419=1),$BE$654,HLOOKUP(INDIRECT(ADDRESS(2,COLUMN())),OFFSET($BN$2,0,0,ROW()-1,60),ROW()-1,FALSE))</f>
        <v/>
      </c>
      <c r="BF205" t="str">
        <f ca="1">IF(AND(ISNUMBER($BF$654),$B$419=1),$BF$654,HLOOKUP(INDIRECT(ADDRESS(2,COLUMN())),OFFSET($BN$2,0,0,ROW()-1,60),ROW()-1,FALSE))</f>
        <v/>
      </c>
      <c r="BG205" t="str">
        <f ca="1">IF(AND(ISNUMBER($BG$654),$B$419=1),$BG$654,HLOOKUP(INDIRECT(ADDRESS(2,COLUMN())),OFFSET($BN$2,0,0,ROW()-1,60),ROW()-1,FALSE))</f>
        <v/>
      </c>
      <c r="BH205" t="str">
        <f ca="1">IF(AND(ISNUMBER($BH$654),$B$419=1),$BH$654,HLOOKUP(INDIRECT(ADDRESS(2,COLUMN())),OFFSET($BN$2,0,0,ROW()-1,60),ROW()-1,FALSE))</f>
        <v/>
      </c>
      <c r="BI205" t="str">
        <f ca="1">IF(AND(ISNUMBER($BI$654),$B$419=1),$BI$654,HLOOKUP(INDIRECT(ADDRESS(2,COLUMN())),OFFSET($BN$2,0,0,ROW()-1,60),ROW()-1,FALSE))</f>
        <v/>
      </c>
      <c r="BJ205" t="str">
        <f ca="1">IF(AND(ISNUMBER($BJ$654),$B$419=1),$BJ$654,HLOOKUP(INDIRECT(ADDRESS(2,COLUMN())),OFFSET($BN$2,0,0,ROW()-1,60),ROW()-1,FALSE))</f>
        <v/>
      </c>
      <c r="BK205" t="str">
        <f ca="1">IF(AND(ISNUMBER($BK$654),$B$419=1),$BK$654,HLOOKUP(INDIRECT(ADDRESS(2,COLUMN())),OFFSET($BN$2,0,0,ROW()-1,60),ROW()-1,FALSE))</f>
        <v/>
      </c>
      <c r="BL205" t="str">
        <f ca="1">IF(AND(ISNUMBER($BL$654),$B$419=1),$BL$654,HLOOKUP(INDIRECT(ADDRESS(2,COLUMN())),OFFSET($BN$2,0,0,ROW()-1,60),ROW()-1,FALSE))</f>
        <v/>
      </c>
      <c r="BM205" t="str">
        <f ca="1">IF(AND(ISNUMBER($BM$654),$B$419=1),$BM$654,HLOOKUP(INDIRECT(ADDRESS(2,COLUMN())),OFFSET($BN$2,0,0,ROW()-1,60),ROW()-1,FALSE))</f>
        <v/>
      </c>
      <c r="BN205" t="str">
        <f>""</f>
        <v/>
      </c>
      <c r="BO205">
        <f>70.03876076</f>
        <v>70.038760760000002</v>
      </c>
      <c r="BP205">
        <f>70.12623959</f>
        <v>70.126239589999997</v>
      </c>
      <c r="BQ205">
        <f>68.00570228</f>
        <v>68.005702279999994</v>
      </c>
      <c r="BR205">
        <f>69.7784522</f>
        <v>69.778452200000004</v>
      </c>
      <c r="BS205">
        <f>70.56128112</f>
        <v>70.561281120000004</v>
      </c>
      <c r="BT205">
        <f>69.61283149</f>
        <v>69.612831490000005</v>
      </c>
      <c r="BU205">
        <f>68.81934857</f>
        <v>68.819348570000002</v>
      </c>
      <c r="BV205">
        <f>70.11801619</f>
        <v>70.118016190000006</v>
      </c>
      <c r="BW205">
        <f>67.64941016</f>
        <v>67.649410160000002</v>
      </c>
      <c r="BX205">
        <f>68.73814326</f>
        <v>68.738143260000001</v>
      </c>
      <c r="BY205">
        <f>66.36806232</f>
        <v>66.368062320000007</v>
      </c>
      <c r="BZ205">
        <f>67.60338637</f>
        <v>67.603386369999996</v>
      </c>
      <c r="CA205">
        <f>64.91904088</f>
        <v>64.919040879999997</v>
      </c>
      <c r="CB205">
        <f>67.7018243</f>
        <v>67.701824299999998</v>
      </c>
      <c r="CC205">
        <f>64.86631093</f>
        <v>64.866310929999997</v>
      </c>
      <c r="CD205">
        <f>64.66024759</f>
        <v>64.660247589999997</v>
      </c>
      <c r="CE205">
        <f>63.6834586</f>
        <v>63.683458600000002</v>
      </c>
      <c r="CF205">
        <f>59.75039958</f>
        <v>59.75039958</v>
      </c>
      <c r="CG205">
        <f>60.49234204</f>
        <v>60.492342039999997</v>
      </c>
      <c r="CH205">
        <f>60.55077562</f>
        <v>60.550775620000003</v>
      </c>
      <c r="CI205">
        <f>51.66168642</f>
        <v>51.661686420000002</v>
      </c>
      <c r="CJ205">
        <f>53.68613955</f>
        <v>53.68613955</v>
      </c>
      <c r="CK205">
        <f>54.50065271</f>
        <v>54.500652709999997</v>
      </c>
      <c r="CL205">
        <f>57.28422044</f>
        <v>57.284220439999999</v>
      </c>
      <c r="CM205">
        <f>54.08346129</f>
        <v>54.083461290000002</v>
      </c>
      <c r="CN205">
        <f>46.67057262</f>
        <v>46.670572620000002</v>
      </c>
      <c r="CO205">
        <f>48.54268989</f>
        <v>48.542689889999998</v>
      </c>
      <c r="CP205">
        <f>52.88222066</f>
        <v>52.882220660000002</v>
      </c>
      <c r="CQ205">
        <f>22.09093534</f>
        <v>22.090935340000001</v>
      </c>
      <c r="CR205">
        <f>23.63051331</f>
        <v>23.630513310000001</v>
      </c>
      <c r="CS205">
        <f>-19.29296346</f>
        <v>-19.292963459999999</v>
      </c>
      <c r="CT205">
        <f>-117.6475829</f>
        <v>-117.6475829</v>
      </c>
      <c r="CU205" t="str">
        <f>""</f>
        <v/>
      </c>
      <c r="CV205" t="str">
        <f>""</f>
        <v/>
      </c>
      <c r="CW205" t="str">
        <f>""</f>
        <v/>
      </c>
      <c r="CX205" t="str">
        <f>""</f>
        <v/>
      </c>
      <c r="CY205" t="str">
        <f>""</f>
        <v/>
      </c>
      <c r="CZ205" t="str">
        <f>""</f>
        <v/>
      </c>
      <c r="DA205" t="str">
        <f>""</f>
        <v/>
      </c>
      <c r="DB205" t="str">
        <f>""</f>
        <v/>
      </c>
      <c r="DC205" t="str">
        <f>""</f>
        <v/>
      </c>
      <c r="DD205" t="str">
        <f>""</f>
        <v/>
      </c>
      <c r="DE205" t="str">
        <f>""</f>
        <v/>
      </c>
      <c r="DF205" t="str">
        <f>""</f>
        <v/>
      </c>
      <c r="DG205" t="str">
        <f>""</f>
        <v/>
      </c>
      <c r="DH205" t="str">
        <f>""</f>
        <v/>
      </c>
      <c r="DI205" t="str">
        <f>""</f>
        <v/>
      </c>
      <c r="DJ205" t="str">
        <f>""</f>
        <v/>
      </c>
      <c r="DK205" t="str">
        <f>""</f>
        <v/>
      </c>
      <c r="DL205" t="str">
        <f>""</f>
        <v/>
      </c>
      <c r="DM205" t="str">
        <f>""</f>
        <v/>
      </c>
      <c r="DN205" t="str">
        <f>""</f>
        <v/>
      </c>
      <c r="DO205" t="str">
        <f>""</f>
        <v/>
      </c>
      <c r="DP205" t="str">
        <f>""</f>
        <v/>
      </c>
      <c r="DQ205" t="str">
        <f>""</f>
        <v/>
      </c>
      <c r="DR205" t="str">
        <f>""</f>
        <v/>
      </c>
      <c r="DS205" t="str">
        <f>""</f>
        <v/>
      </c>
      <c r="DT205" t="str">
        <f>""</f>
        <v/>
      </c>
      <c r="DU205" t="str">
        <f>""</f>
        <v/>
      </c>
    </row>
    <row r="206" spans="1:125">
      <c r="A206" t="str">
        <f>"    Retail Properties of America I"</f>
        <v xml:space="preserve">    Retail Properties of America I</v>
      </c>
      <c r="B206" t="str">
        <f>"RPAI US Equity"</f>
        <v>RPAI US Equity</v>
      </c>
      <c r="C206" t="str">
        <f t="shared" si="36"/>
        <v>RX225</v>
      </c>
      <c r="D206" t="str">
        <f t="shared" si="37"/>
        <v>EBITDA_TO_REVENUE</v>
      </c>
      <c r="E206" t="str">
        <f t="shared" si="38"/>
        <v>动态</v>
      </c>
      <c r="F206" t="str">
        <f ca="1">IF(AND(ISNUMBER($F$655),$B$419=1),$F$655,HLOOKUP(INDIRECT(ADDRESS(2,COLUMN())),OFFSET($BN$2,0,0,ROW()-1,60),ROW()-1,FALSE))</f>
        <v/>
      </c>
      <c r="G206">
        <f ca="1">IF(AND(ISNUMBER($G$655),$B$419=1),$G$655,HLOOKUP(INDIRECT(ADDRESS(2,COLUMN())),OFFSET($BN$2,0,0,ROW()-1,60),ROW()-1,FALSE))</f>
        <v>53.277561849999998</v>
      </c>
      <c r="H206">
        <f ca="1">IF(AND(ISNUMBER($H$655),$B$419=1),$H$655,HLOOKUP(INDIRECT(ADDRESS(2,COLUMN())),OFFSET($BN$2,0,0,ROW()-1,60),ROW()-1,FALSE))</f>
        <v>27.181483159999999</v>
      </c>
      <c r="I206">
        <f ca="1">IF(AND(ISNUMBER($I$655),$B$419=1),$I$655,HLOOKUP(INDIRECT(ADDRESS(2,COLUMN())),OFFSET($BN$2,0,0,ROW()-1,60),ROW()-1,FALSE))</f>
        <v>52.020183629999998</v>
      </c>
      <c r="J206">
        <f ca="1">IF(AND(ISNUMBER($J$655),$B$419=1),$J$655,HLOOKUP(INDIRECT(ADDRESS(2,COLUMN())),OFFSET($BN$2,0,0,ROW()-1,60),ROW()-1,FALSE))</f>
        <v>61.754573989999997</v>
      </c>
      <c r="K206">
        <f ca="1">IF(AND(ISNUMBER($K$655),$B$419=1),$K$655,HLOOKUP(INDIRECT(ADDRESS(2,COLUMN())),OFFSET($BN$2,0,0,ROW()-1,60),ROW()-1,FALSE))</f>
        <v>55.288892619999999</v>
      </c>
      <c r="L206">
        <f ca="1">IF(AND(ISNUMBER($L$655),$B$419=1),$L$655,HLOOKUP(INDIRECT(ADDRESS(2,COLUMN())),OFFSET($BN$2,0,0,ROW()-1,60),ROW()-1,FALSE))</f>
        <v>61.201444719999998</v>
      </c>
      <c r="M206">
        <f ca="1">IF(AND(ISNUMBER($M$655),$B$419=1),$M$655,HLOOKUP(INDIRECT(ADDRESS(2,COLUMN())),OFFSET($BN$2,0,0,ROW()-1,60),ROW()-1,FALSE))</f>
        <v>61.897355089999998</v>
      </c>
      <c r="N206">
        <f ca="1">IF(AND(ISNUMBER($N$655),$B$419=1),$N$655,HLOOKUP(INDIRECT(ADDRESS(2,COLUMN())),OFFSET($BN$2,0,0,ROW()-1,60),ROW()-1,FALSE))</f>
        <v>61.941347829999998</v>
      </c>
      <c r="O206">
        <f ca="1">IF(AND(ISNUMBER($O$655),$B$419=1),$O$655,HLOOKUP(INDIRECT(ADDRESS(2,COLUMN())),OFFSET($BN$2,0,0,ROW()-1,60),ROW()-1,FALSE))</f>
        <v>49.92210583</v>
      </c>
      <c r="P206">
        <f ca="1">IF(AND(ISNUMBER($P$655),$B$419=1),$P$655,HLOOKUP(INDIRECT(ADDRESS(2,COLUMN())),OFFSET($BN$2,0,0,ROW()-1,60),ROW()-1,FALSE))</f>
        <v>63.691166240000001</v>
      </c>
      <c r="Q206">
        <f ca="1">IF(AND(ISNUMBER($Q$655),$B$419=1),$Q$655,HLOOKUP(INDIRECT(ADDRESS(2,COLUMN())),OFFSET($BN$2,0,0,ROW()-1,60),ROW()-1,FALSE))</f>
        <v>59.174354489999999</v>
      </c>
      <c r="R206">
        <f ca="1">IF(AND(ISNUMBER($R$655),$B$419=1),$R$655,HLOOKUP(INDIRECT(ADDRESS(2,COLUMN())),OFFSET($BN$2,0,0,ROW()-1,60),ROW()-1,FALSE))</f>
        <v>62.664412489999997</v>
      </c>
      <c r="S206">
        <f ca="1">IF(AND(ISNUMBER($S$655),$B$419=1),$S$655,HLOOKUP(INDIRECT(ADDRESS(2,COLUMN())),OFFSET($BN$2,0,0,ROW()-1,60),ROW()-1,FALSE))</f>
        <v>56.572288329999999</v>
      </c>
      <c r="T206">
        <f ca="1">IF(AND(ISNUMBER($T$655),$B$419=1),$T$655,HLOOKUP(INDIRECT(ADDRESS(2,COLUMN())),OFFSET($BN$2,0,0,ROW()-1,60),ROW()-1,FALSE))</f>
        <v>29.76222705</v>
      </c>
      <c r="U206">
        <f ca="1">IF(AND(ISNUMBER($U$655),$B$419=1),$U$655,HLOOKUP(INDIRECT(ADDRESS(2,COLUMN())),OFFSET($BN$2,0,0,ROW()-1,60),ROW()-1,FALSE))</f>
        <v>62.48583095</v>
      </c>
      <c r="V206">
        <f ca="1">IF(AND(ISNUMBER($V$655),$B$419=1),$V$655,HLOOKUP(INDIRECT(ADDRESS(2,COLUMN())),OFFSET($BN$2,0,0,ROW()-1,60),ROW()-1,FALSE))</f>
        <v>63.792722079999997</v>
      </c>
      <c r="W206">
        <f ca="1">IF(AND(ISNUMBER($W$655),$B$419=1),$W$655,HLOOKUP(INDIRECT(ADDRESS(2,COLUMN())),OFFSET($BN$2,0,0,ROW()-1,60),ROW()-1,FALSE))</f>
        <v>44.524816010000002</v>
      </c>
      <c r="X206">
        <f ca="1">IF(AND(ISNUMBER($X$655),$B$419=1),$X$655,HLOOKUP(INDIRECT(ADDRESS(2,COLUMN())),OFFSET($BN$2,0,0,ROW()-1,60),ROW()-1,FALSE))</f>
        <v>47.507805329999997</v>
      </c>
      <c r="Y206">
        <f ca="1">IF(AND(ISNUMBER($Y$655),$B$419=1),$Y$655,HLOOKUP(INDIRECT(ADDRESS(2,COLUMN())),OFFSET($BN$2,0,0,ROW()-1,60),ROW()-1,FALSE))</f>
        <v>66.943772670000001</v>
      </c>
      <c r="Z206">
        <f ca="1">IF(AND(ISNUMBER($Z$655),$B$419=1),$Z$655,HLOOKUP(INDIRECT(ADDRESS(2,COLUMN())),OFFSET($BN$2,0,0,ROW()-1,60),ROW()-1,FALSE))</f>
        <v>66.527589520000006</v>
      </c>
      <c r="AA206">
        <f ca="1">IF(AND(ISNUMBER($AA$655),$B$419=1),$AA$655,HLOOKUP(INDIRECT(ADDRESS(2,COLUMN())),OFFSET($BN$2,0,0,ROW()-1,60),ROW()-1,FALSE))</f>
        <v>66.003749290000002</v>
      </c>
      <c r="AB206">
        <f ca="1">IF(AND(ISNUMBER($AB$655),$B$419=1),$AB$655,HLOOKUP(INDIRECT(ADDRESS(2,COLUMN())),OFFSET($BN$2,0,0,ROW()-1,60),ROW()-1,FALSE))</f>
        <v>66.628015840000003</v>
      </c>
      <c r="AC206">
        <f ca="1">IF(AND(ISNUMBER($AC$655),$B$419=1),$AC$655,HLOOKUP(INDIRECT(ADDRESS(2,COLUMN())),OFFSET($BN$2,0,0,ROW()-1,60),ROW()-1,FALSE))</f>
        <v>66.511256450000005</v>
      </c>
      <c r="AD206">
        <f ca="1">IF(AND(ISNUMBER($AD$655),$B$419=1),$AD$655,HLOOKUP(INDIRECT(ADDRESS(2,COLUMN())),OFFSET($BN$2,0,0,ROW()-1,60),ROW()-1,FALSE))</f>
        <v>66.521562639999999</v>
      </c>
      <c r="AE206">
        <f ca="1">IF(AND(ISNUMBER($AE$655),$B$419=1),$AE$655,HLOOKUP(INDIRECT(ADDRESS(2,COLUMN())),OFFSET($BN$2,0,0,ROW()-1,60),ROW()-1,FALSE))</f>
        <v>62.557301330000001</v>
      </c>
      <c r="AF206">
        <f ca="1">IF(AND(ISNUMBER($AF$655),$B$419=1),$AF$655,HLOOKUP(INDIRECT(ADDRESS(2,COLUMN())),OFFSET($BN$2,0,0,ROW()-1,60),ROW()-1,FALSE))</f>
        <v>68.128316609999999</v>
      </c>
      <c r="AG206">
        <f ca="1">IF(AND(ISNUMBER($AG$655),$B$419=1),$AG$655,HLOOKUP(INDIRECT(ADDRESS(2,COLUMN())),OFFSET($BN$2,0,0,ROW()-1,60),ROW()-1,FALSE))</f>
        <v>64.954770940000003</v>
      </c>
      <c r="AH206">
        <f ca="1">IF(AND(ISNUMBER($AH$655),$B$419=1),$AH$655,HLOOKUP(INDIRECT(ADDRESS(2,COLUMN())),OFFSET($BN$2,0,0,ROW()-1,60),ROW()-1,FALSE))</f>
        <v>43.408415009999999</v>
      </c>
      <c r="AI206">
        <f ca="1">IF(AND(ISNUMBER($AI$655),$B$419=1),$AI$655,HLOOKUP(INDIRECT(ADDRESS(2,COLUMN())),OFFSET($BN$2,0,0,ROW()-1,60),ROW()-1,FALSE))</f>
        <v>77.062876399999993</v>
      </c>
      <c r="AJ206">
        <f ca="1">IF(AND(ISNUMBER($AJ$655),$B$419=1),$AJ$655,HLOOKUP(INDIRECT(ADDRESS(2,COLUMN())),OFFSET($BN$2,0,0,ROW()-1,60),ROW()-1,FALSE))</f>
        <v>62.49749388</v>
      </c>
      <c r="AK206" t="str">
        <f ca="1">IF(AND(ISNUMBER($AK$655),$B$419=1),$AK$655,HLOOKUP(INDIRECT(ADDRESS(2,COLUMN())),OFFSET($BN$2,0,0,ROW()-1,60),ROW()-1,FALSE))</f>
        <v/>
      </c>
      <c r="AL206" t="str">
        <f ca="1">IF(AND(ISNUMBER($AL$655),$B$419=1),$AL$655,HLOOKUP(INDIRECT(ADDRESS(2,COLUMN())),OFFSET($BN$2,0,0,ROW()-1,60),ROW()-1,FALSE))</f>
        <v/>
      </c>
      <c r="AM206" t="str">
        <f ca="1">IF(AND(ISNUMBER($AM$655),$B$419=1),$AM$655,HLOOKUP(INDIRECT(ADDRESS(2,COLUMN())),OFFSET($BN$2,0,0,ROW()-1,60),ROW()-1,FALSE))</f>
        <v/>
      </c>
      <c r="AN206">
        <f ca="1">IF(AND(ISNUMBER($AN$655),$B$419=1),$AN$655,HLOOKUP(INDIRECT(ADDRESS(2,COLUMN())),OFFSET($BN$2,0,0,ROW()-1,60),ROW()-1,FALSE))</f>
        <v>58.27566496</v>
      </c>
      <c r="AO206" t="str">
        <f ca="1">IF(AND(ISNUMBER($AO$655),$B$419=1),$AO$655,HLOOKUP(INDIRECT(ADDRESS(2,COLUMN())),OFFSET($BN$2,0,0,ROW()-1,60),ROW()-1,FALSE))</f>
        <v/>
      </c>
      <c r="AP206" t="str">
        <f ca="1">IF(AND(ISNUMBER($AP$655),$B$419=1),$AP$655,HLOOKUP(INDIRECT(ADDRESS(2,COLUMN())),OFFSET($BN$2,0,0,ROW()-1,60),ROW()-1,FALSE))</f>
        <v/>
      </c>
      <c r="AQ206" t="str">
        <f ca="1">IF(AND(ISNUMBER($AQ$655),$B$419=1),$AQ$655,HLOOKUP(INDIRECT(ADDRESS(2,COLUMN())),OFFSET($BN$2,0,0,ROW()-1,60),ROW()-1,FALSE))</f>
        <v/>
      </c>
      <c r="AR206" t="str">
        <f ca="1">IF(AND(ISNUMBER($AR$655),$B$419=1),$AR$655,HLOOKUP(INDIRECT(ADDRESS(2,COLUMN())),OFFSET($BN$2,0,0,ROW()-1,60),ROW()-1,FALSE))</f>
        <v/>
      </c>
      <c r="AS206" t="str">
        <f ca="1">IF(AND(ISNUMBER($AS$655),$B$419=1),$AS$655,HLOOKUP(INDIRECT(ADDRESS(2,COLUMN())),OFFSET($BN$2,0,0,ROW()-1,60),ROW()-1,FALSE))</f>
        <v/>
      </c>
      <c r="AT206" t="str">
        <f ca="1">IF(AND(ISNUMBER($AT$655),$B$419=1),$AT$655,HLOOKUP(INDIRECT(ADDRESS(2,COLUMN())),OFFSET($BN$2,0,0,ROW()-1,60),ROW()-1,FALSE))</f>
        <v/>
      </c>
      <c r="AU206" t="str">
        <f ca="1">IF(AND(ISNUMBER($AU$655),$B$419=1),$AU$655,HLOOKUP(INDIRECT(ADDRESS(2,COLUMN())),OFFSET($BN$2,0,0,ROW()-1,60),ROW()-1,FALSE))</f>
        <v/>
      </c>
      <c r="AV206" t="str">
        <f ca="1">IF(AND(ISNUMBER($AV$655),$B$419=1),$AV$655,HLOOKUP(INDIRECT(ADDRESS(2,COLUMN())),OFFSET($BN$2,0,0,ROW()-1,60),ROW()-1,FALSE))</f>
        <v/>
      </c>
      <c r="AW206" t="str">
        <f ca="1">IF(AND(ISNUMBER($AW$655),$B$419=1),$AW$655,HLOOKUP(INDIRECT(ADDRESS(2,COLUMN())),OFFSET($BN$2,0,0,ROW()-1,60),ROW()-1,FALSE))</f>
        <v/>
      </c>
      <c r="AX206" t="str">
        <f ca="1">IF(AND(ISNUMBER($AX$655),$B$419=1),$AX$655,HLOOKUP(INDIRECT(ADDRESS(2,COLUMN())),OFFSET($BN$2,0,0,ROW()-1,60),ROW()-1,FALSE))</f>
        <v/>
      </c>
      <c r="AY206" t="str">
        <f ca="1">IF(AND(ISNUMBER($AY$655),$B$419=1),$AY$655,HLOOKUP(INDIRECT(ADDRESS(2,COLUMN())),OFFSET($BN$2,0,0,ROW()-1,60),ROW()-1,FALSE))</f>
        <v/>
      </c>
      <c r="AZ206" t="str">
        <f ca="1">IF(AND(ISNUMBER($AZ$655),$B$419=1),$AZ$655,HLOOKUP(INDIRECT(ADDRESS(2,COLUMN())),OFFSET($BN$2,0,0,ROW()-1,60),ROW()-1,FALSE))</f>
        <v/>
      </c>
      <c r="BA206" t="str">
        <f ca="1">IF(AND(ISNUMBER($BA$655),$B$419=1),$BA$655,HLOOKUP(INDIRECT(ADDRESS(2,COLUMN())),OFFSET($BN$2,0,0,ROW()-1,60),ROW()-1,FALSE))</f>
        <v/>
      </c>
      <c r="BB206" t="str">
        <f ca="1">IF(AND(ISNUMBER($BB$655),$B$419=1),$BB$655,HLOOKUP(INDIRECT(ADDRESS(2,COLUMN())),OFFSET($BN$2,0,0,ROW()-1,60),ROW()-1,FALSE))</f>
        <v/>
      </c>
      <c r="BC206" t="str">
        <f ca="1">IF(AND(ISNUMBER($BC$655),$B$419=1),$BC$655,HLOOKUP(INDIRECT(ADDRESS(2,COLUMN())),OFFSET($BN$2,0,0,ROW()-1,60),ROW()-1,FALSE))</f>
        <v/>
      </c>
      <c r="BD206" t="str">
        <f ca="1">IF(AND(ISNUMBER($BD$655),$B$419=1),$BD$655,HLOOKUP(INDIRECT(ADDRESS(2,COLUMN())),OFFSET($BN$2,0,0,ROW()-1,60),ROW()-1,FALSE))</f>
        <v/>
      </c>
      <c r="BE206" t="str">
        <f ca="1">IF(AND(ISNUMBER($BE$655),$B$419=1),$BE$655,HLOOKUP(INDIRECT(ADDRESS(2,COLUMN())),OFFSET($BN$2,0,0,ROW()-1,60),ROW()-1,FALSE))</f>
        <v/>
      </c>
      <c r="BF206" t="str">
        <f ca="1">IF(AND(ISNUMBER($BF$655),$B$419=1),$BF$655,HLOOKUP(INDIRECT(ADDRESS(2,COLUMN())),OFFSET($BN$2,0,0,ROW()-1,60),ROW()-1,FALSE))</f>
        <v/>
      </c>
      <c r="BG206" t="str">
        <f ca="1">IF(AND(ISNUMBER($BG$655),$B$419=1),$BG$655,HLOOKUP(INDIRECT(ADDRESS(2,COLUMN())),OFFSET($BN$2,0,0,ROW()-1,60),ROW()-1,FALSE))</f>
        <v/>
      </c>
      <c r="BH206" t="str">
        <f ca="1">IF(AND(ISNUMBER($BH$655),$B$419=1),$BH$655,HLOOKUP(INDIRECT(ADDRESS(2,COLUMN())),OFFSET($BN$2,0,0,ROW()-1,60),ROW()-1,FALSE))</f>
        <v/>
      </c>
      <c r="BI206" t="str">
        <f ca="1">IF(AND(ISNUMBER($BI$655),$B$419=1),$BI$655,HLOOKUP(INDIRECT(ADDRESS(2,COLUMN())),OFFSET($BN$2,0,0,ROW()-1,60),ROW()-1,FALSE))</f>
        <v/>
      </c>
      <c r="BJ206" t="str">
        <f ca="1">IF(AND(ISNUMBER($BJ$655),$B$419=1),$BJ$655,HLOOKUP(INDIRECT(ADDRESS(2,COLUMN())),OFFSET($BN$2,0,0,ROW()-1,60),ROW()-1,FALSE))</f>
        <v/>
      </c>
      <c r="BK206" t="str">
        <f ca="1">IF(AND(ISNUMBER($BK$655),$B$419=1),$BK$655,HLOOKUP(INDIRECT(ADDRESS(2,COLUMN())),OFFSET($BN$2,0,0,ROW()-1,60),ROW()-1,FALSE))</f>
        <v/>
      </c>
      <c r="BL206" t="str">
        <f ca="1">IF(AND(ISNUMBER($BL$655),$B$419=1),$BL$655,HLOOKUP(INDIRECT(ADDRESS(2,COLUMN())),OFFSET($BN$2,0,0,ROW()-1,60),ROW()-1,FALSE))</f>
        <v/>
      </c>
      <c r="BM206" t="str">
        <f ca="1">IF(AND(ISNUMBER($BM$655),$B$419=1),$BM$655,HLOOKUP(INDIRECT(ADDRESS(2,COLUMN())),OFFSET($BN$2,0,0,ROW()-1,60),ROW()-1,FALSE))</f>
        <v/>
      </c>
      <c r="BN206" t="str">
        <f>""</f>
        <v/>
      </c>
      <c r="BO206">
        <f>53.27756185</f>
        <v>53.277561849999998</v>
      </c>
      <c r="BP206">
        <f>27.18148316</f>
        <v>27.181483159999999</v>
      </c>
      <c r="BQ206">
        <f>52.02018363</f>
        <v>52.020183629999998</v>
      </c>
      <c r="BR206">
        <f>61.75457399</f>
        <v>61.754573989999997</v>
      </c>
      <c r="BS206">
        <f>55.28889262</f>
        <v>55.288892619999999</v>
      </c>
      <c r="BT206">
        <f>61.20144472</f>
        <v>61.201444719999998</v>
      </c>
      <c r="BU206">
        <f>61.89735509</f>
        <v>61.897355089999998</v>
      </c>
      <c r="BV206">
        <f>61.94134783</f>
        <v>61.941347829999998</v>
      </c>
      <c r="BW206">
        <f>49.92210583</f>
        <v>49.92210583</v>
      </c>
      <c r="BX206">
        <f>63.69116624</f>
        <v>63.691166240000001</v>
      </c>
      <c r="BY206">
        <f>59.17435449</f>
        <v>59.174354489999999</v>
      </c>
      <c r="BZ206">
        <f>62.66441249</f>
        <v>62.664412489999997</v>
      </c>
      <c r="CA206">
        <f>56.57228833</f>
        <v>56.572288329999999</v>
      </c>
      <c r="CB206">
        <f>29.76222705</f>
        <v>29.76222705</v>
      </c>
      <c r="CC206">
        <f>62.48583095</f>
        <v>62.48583095</v>
      </c>
      <c r="CD206">
        <f>63.79272208</f>
        <v>63.792722079999997</v>
      </c>
      <c r="CE206">
        <f>44.52481601</f>
        <v>44.524816010000002</v>
      </c>
      <c r="CF206">
        <f>47.50780533</f>
        <v>47.507805329999997</v>
      </c>
      <c r="CG206">
        <f>66.94377267</f>
        <v>66.943772670000001</v>
      </c>
      <c r="CH206">
        <f>66.52758952</f>
        <v>66.527589520000006</v>
      </c>
      <c r="CI206">
        <f>66.00374929</f>
        <v>66.003749290000002</v>
      </c>
      <c r="CJ206">
        <f>66.62801584</f>
        <v>66.628015840000003</v>
      </c>
      <c r="CK206">
        <f>66.51125645</f>
        <v>66.511256450000005</v>
      </c>
      <c r="CL206">
        <f>66.52156264</f>
        <v>66.521562639999999</v>
      </c>
      <c r="CM206">
        <f>62.55730133</f>
        <v>62.557301330000001</v>
      </c>
      <c r="CN206">
        <f>68.12831661</f>
        <v>68.128316609999999</v>
      </c>
      <c r="CO206">
        <f>64.95477094</f>
        <v>64.954770940000003</v>
      </c>
      <c r="CP206">
        <f>43.40841501</f>
        <v>43.408415009999999</v>
      </c>
      <c r="CQ206">
        <f>77.0628764</f>
        <v>77.062876399999993</v>
      </c>
      <c r="CR206">
        <f>62.49749388</f>
        <v>62.49749388</v>
      </c>
      <c r="CS206" t="str">
        <f>""</f>
        <v/>
      </c>
      <c r="CT206" t="str">
        <f>""</f>
        <v/>
      </c>
      <c r="CU206" t="str">
        <f>""</f>
        <v/>
      </c>
      <c r="CV206">
        <f>58.27566496</f>
        <v>58.27566496</v>
      </c>
      <c r="CW206" t="str">
        <f>""</f>
        <v/>
      </c>
      <c r="CX206" t="str">
        <f>""</f>
        <v/>
      </c>
      <c r="CY206" t="str">
        <f>""</f>
        <v/>
      </c>
      <c r="CZ206" t="str">
        <f>""</f>
        <v/>
      </c>
      <c r="DA206" t="str">
        <f>""</f>
        <v/>
      </c>
      <c r="DB206" t="str">
        <f>""</f>
        <v/>
      </c>
      <c r="DC206" t="str">
        <f>""</f>
        <v/>
      </c>
      <c r="DD206" t="str">
        <f>""</f>
        <v/>
      </c>
      <c r="DE206" t="str">
        <f>""</f>
        <v/>
      </c>
      <c r="DF206" t="str">
        <f>""</f>
        <v/>
      </c>
      <c r="DG206" t="str">
        <f>""</f>
        <v/>
      </c>
      <c r="DH206" t="str">
        <f>""</f>
        <v/>
      </c>
      <c r="DI206" t="str">
        <f>""</f>
        <v/>
      </c>
      <c r="DJ206" t="str">
        <f>""</f>
        <v/>
      </c>
      <c r="DK206" t="str">
        <f>""</f>
        <v/>
      </c>
      <c r="DL206" t="str">
        <f>""</f>
        <v/>
      </c>
      <c r="DM206" t="str">
        <f>""</f>
        <v/>
      </c>
      <c r="DN206" t="str">
        <f>""</f>
        <v/>
      </c>
      <c r="DO206" t="str">
        <f>""</f>
        <v/>
      </c>
      <c r="DP206" t="str">
        <f>""</f>
        <v/>
      </c>
      <c r="DQ206" t="str">
        <f>""</f>
        <v/>
      </c>
      <c r="DR206" t="str">
        <f>""</f>
        <v/>
      </c>
      <c r="DS206" t="str">
        <f>""</f>
        <v/>
      </c>
      <c r="DT206" t="str">
        <f>""</f>
        <v/>
      </c>
      <c r="DU206" t="str">
        <f>""</f>
        <v/>
      </c>
    </row>
    <row r="207" spans="1:125">
      <c r="A207" t="str">
        <f>"    Simon Property Group Inc"</f>
        <v xml:space="preserve">    Simon Property Group Inc</v>
      </c>
      <c r="B207" t="str">
        <f>"SPG US Equity"</f>
        <v>SPG US Equity</v>
      </c>
      <c r="C207" t="str">
        <f t="shared" si="36"/>
        <v>RX225</v>
      </c>
      <c r="D207" t="str">
        <f t="shared" si="37"/>
        <v>EBITDA_TO_REVENUE</v>
      </c>
      <c r="E207" t="str">
        <f t="shared" si="38"/>
        <v>动态</v>
      </c>
      <c r="F207" t="str">
        <f ca="1">IF(AND(ISNUMBER($F$656),$B$419=1),$F$656,HLOOKUP(INDIRECT(ADDRESS(2,COLUMN())),OFFSET($BN$2,0,0,ROW()-1,60),ROW()-1,FALSE))</f>
        <v/>
      </c>
      <c r="G207">
        <f ca="1">IF(AND(ISNUMBER($G$656),$B$419=1),$G$656,HLOOKUP(INDIRECT(ADDRESS(2,COLUMN())),OFFSET($BN$2,0,0,ROW()-1,60),ROW()-1,FALSE))</f>
        <v>76.65995187</v>
      </c>
      <c r="H207">
        <f ca="1">IF(AND(ISNUMBER($H$656),$B$419=1),$H$656,HLOOKUP(INDIRECT(ADDRESS(2,COLUMN())),OFFSET($BN$2,0,0,ROW()-1,60),ROW()-1,FALSE))</f>
        <v>73.15240824</v>
      </c>
      <c r="I207">
        <f ca="1">IF(AND(ISNUMBER($I$656),$B$419=1),$I$656,HLOOKUP(INDIRECT(ADDRESS(2,COLUMN())),OFFSET($BN$2,0,0,ROW()-1,60),ROW()-1,FALSE))</f>
        <v>75.355991860000003</v>
      </c>
      <c r="J207">
        <f ca="1">IF(AND(ISNUMBER($J$656),$B$419=1),$J$656,HLOOKUP(INDIRECT(ADDRESS(2,COLUMN())),OFFSET($BN$2,0,0,ROW()-1,60),ROW()-1,FALSE))</f>
        <v>75.230185399999996</v>
      </c>
      <c r="K207">
        <f ca="1">IF(AND(ISNUMBER($K$656),$B$419=1),$K$656,HLOOKUP(INDIRECT(ADDRESS(2,COLUMN())),OFFSET($BN$2,0,0,ROW()-1,60),ROW()-1,FALSE))</f>
        <v>74.083182910000005</v>
      </c>
      <c r="L207">
        <f ca="1">IF(AND(ISNUMBER($L$656),$B$419=1),$L$656,HLOOKUP(INDIRECT(ADDRESS(2,COLUMN())),OFFSET($BN$2,0,0,ROW()-1,60),ROW()-1,FALSE))</f>
        <v>74.094806239999997</v>
      </c>
      <c r="M207">
        <f ca="1">IF(AND(ISNUMBER($M$656),$B$419=1),$M$656,HLOOKUP(INDIRECT(ADDRESS(2,COLUMN())),OFFSET($BN$2,0,0,ROW()-1,60),ROW()-1,FALSE))</f>
        <v>74.813589989999997</v>
      </c>
      <c r="N207">
        <f ca="1">IF(AND(ISNUMBER($N$656),$B$419=1),$N$656,HLOOKUP(INDIRECT(ADDRESS(2,COLUMN())),OFFSET($BN$2,0,0,ROW()-1,60),ROW()-1,FALSE))</f>
        <v>75.012250179999995</v>
      </c>
      <c r="O207">
        <f ca="1">IF(AND(ISNUMBER($O$656),$B$419=1),$O$656,HLOOKUP(INDIRECT(ADDRESS(2,COLUMN())),OFFSET($BN$2,0,0,ROW()-1,60),ROW()-1,FALSE))</f>
        <v>74.477716909999998</v>
      </c>
      <c r="P207">
        <f ca="1">IF(AND(ISNUMBER($P$656),$B$419=1),$P$656,HLOOKUP(INDIRECT(ADDRESS(2,COLUMN())),OFFSET($BN$2,0,0,ROW()-1,60),ROW()-1,FALSE))</f>
        <v>72.94901969</v>
      </c>
      <c r="Q207">
        <f ca="1">IF(AND(ISNUMBER($Q$656),$B$419=1),$Q$656,HLOOKUP(INDIRECT(ADDRESS(2,COLUMN())),OFFSET($BN$2,0,0,ROW()-1,60),ROW()-1,FALSE))</f>
        <v>75.23233836</v>
      </c>
      <c r="R207">
        <f ca="1">IF(AND(ISNUMBER($R$656),$B$419=1),$R$656,HLOOKUP(INDIRECT(ADDRESS(2,COLUMN())),OFFSET($BN$2,0,0,ROW()-1,60),ROW()-1,FALSE))</f>
        <v>74.149979239999993</v>
      </c>
      <c r="S207">
        <f ca="1">IF(AND(ISNUMBER($S$656),$B$419=1),$S$656,HLOOKUP(INDIRECT(ADDRESS(2,COLUMN())),OFFSET($BN$2,0,0,ROW()-1,60),ROW()-1,FALSE))</f>
        <v>74.583538919999995</v>
      </c>
      <c r="T207">
        <f ca="1">IF(AND(ISNUMBER($T$656),$B$419=1),$T$656,HLOOKUP(INDIRECT(ADDRESS(2,COLUMN())),OFFSET($BN$2,0,0,ROW()-1,60),ROW()-1,FALSE))</f>
        <v>73.741105079999997</v>
      </c>
      <c r="U207">
        <f ca="1">IF(AND(ISNUMBER($U$656),$B$419=1),$U$656,HLOOKUP(INDIRECT(ADDRESS(2,COLUMN())),OFFSET($BN$2,0,0,ROW()-1,60),ROW()-1,FALSE))</f>
        <v>76.285679479999999</v>
      </c>
      <c r="V207">
        <f ca="1">IF(AND(ISNUMBER($V$656),$B$419=1),$V$656,HLOOKUP(INDIRECT(ADDRESS(2,COLUMN())),OFFSET($BN$2,0,0,ROW()-1,60),ROW()-1,FALSE))</f>
        <v>77.053591030000007</v>
      </c>
      <c r="W207">
        <f ca="1">IF(AND(ISNUMBER($W$656),$B$419=1),$W$656,HLOOKUP(INDIRECT(ADDRESS(2,COLUMN())),OFFSET($BN$2,0,0,ROW()-1,60),ROW()-1,FALSE))</f>
        <v>77.448757349999994</v>
      </c>
      <c r="X207">
        <f ca="1">IF(AND(ISNUMBER($X$656),$B$419=1),$X$656,HLOOKUP(INDIRECT(ADDRESS(2,COLUMN())),OFFSET($BN$2,0,0,ROW()-1,60),ROW()-1,FALSE))</f>
        <v>77.326426459999993</v>
      </c>
      <c r="Y207">
        <f ca="1">IF(AND(ISNUMBER($Y$656),$B$419=1),$Y$656,HLOOKUP(INDIRECT(ADDRESS(2,COLUMN())),OFFSET($BN$2,0,0,ROW()-1,60),ROW()-1,FALSE))</f>
        <v>77.541421929999998</v>
      </c>
      <c r="Z207">
        <f ca="1">IF(AND(ISNUMBER($Z$656),$B$419=1),$Z$656,HLOOKUP(INDIRECT(ADDRESS(2,COLUMN())),OFFSET($BN$2,0,0,ROW()-1,60),ROW()-1,FALSE))</f>
        <v>72.396790940000002</v>
      </c>
      <c r="AA207">
        <f ca="1">IF(AND(ISNUMBER($AA$656),$B$419=1),$AA$656,HLOOKUP(INDIRECT(ADDRESS(2,COLUMN())),OFFSET($BN$2,0,0,ROW()-1,60),ROW()-1,FALSE))</f>
        <v>72.565419869999999</v>
      </c>
      <c r="AB207">
        <f ca="1">IF(AND(ISNUMBER($AB$656),$B$419=1),$AB$656,HLOOKUP(INDIRECT(ADDRESS(2,COLUMN())),OFFSET($BN$2,0,0,ROW()-1,60),ROW()-1,FALSE))</f>
        <v>72.038234860000003</v>
      </c>
      <c r="AC207">
        <f ca="1">IF(AND(ISNUMBER($AC$656),$B$419=1),$AC$656,HLOOKUP(INDIRECT(ADDRESS(2,COLUMN())),OFFSET($BN$2,0,0,ROW()-1,60),ROW()-1,FALSE))</f>
        <v>71.209343590000003</v>
      </c>
      <c r="AD207">
        <f ca="1">IF(AND(ISNUMBER($AD$656),$B$419=1),$AD$656,HLOOKUP(INDIRECT(ADDRESS(2,COLUMN())),OFFSET($BN$2,0,0,ROW()-1,60),ROW()-1,FALSE))</f>
        <v>72.854833330000005</v>
      </c>
      <c r="AE207">
        <f ca="1">IF(AND(ISNUMBER($AE$656),$B$419=1),$AE$656,HLOOKUP(INDIRECT(ADDRESS(2,COLUMN())),OFFSET($BN$2,0,0,ROW()-1,60),ROW()-1,FALSE))</f>
        <v>70.839903460000002</v>
      </c>
      <c r="AF207">
        <f ca="1">IF(AND(ISNUMBER($AF$656),$B$419=1),$AF$656,HLOOKUP(INDIRECT(ADDRESS(2,COLUMN())),OFFSET($BN$2,0,0,ROW()-1,60),ROW()-1,FALSE))</f>
        <v>70.575598499999998</v>
      </c>
      <c r="AG207">
        <f ca="1">IF(AND(ISNUMBER($AG$656),$B$419=1),$AG$656,HLOOKUP(INDIRECT(ADDRESS(2,COLUMN())),OFFSET($BN$2,0,0,ROW()-1,60),ROW()-1,FALSE))</f>
        <v>70.87478539</v>
      </c>
      <c r="AH207">
        <f ca="1">IF(AND(ISNUMBER($AH$656),$B$419=1),$AH$656,HLOOKUP(INDIRECT(ADDRESS(2,COLUMN())),OFFSET($BN$2,0,0,ROW()-1,60),ROW()-1,FALSE))</f>
        <v>71.103783410000005</v>
      </c>
      <c r="AI207">
        <f ca="1">IF(AND(ISNUMBER($AI$656),$B$419=1),$AI$656,HLOOKUP(INDIRECT(ADDRESS(2,COLUMN())),OFFSET($BN$2,0,0,ROW()-1,60),ROW()-1,FALSE))</f>
        <v>71.010200780000005</v>
      </c>
      <c r="AJ207">
        <f ca="1">IF(AND(ISNUMBER($AJ$656),$B$419=1),$AJ$656,HLOOKUP(INDIRECT(ADDRESS(2,COLUMN())),OFFSET($BN$2,0,0,ROW()-1,60),ROW()-1,FALSE))</f>
        <v>71.756452479999993</v>
      </c>
      <c r="AK207">
        <f ca="1">IF(AND(ISNUMBER($AK$656),$B$419=1),$AK$656,HLOOKUP(INDIRECT(ADDRESS(2,COLUMN())),OFFSET($BN$2,0,0,ROW()-1,60),ROW()-1,FALSE))</f>
        <v>70.23499142</v>
      </c>
      <c r="AL207">
        <f ca="1">IF(AND(ISNUMBER($AL$656),$B$419=1),$AL$656,HLOOKUP(INDIRECT(ADDRESS(2,COLUMN())),OFFSET($BN$2,0,0,ROW()-1,60),ROW()-1,FALSE))</f>
        <v>71.829297429999997</v>
      </c>
      <c r="AM207">
        <f ca="1">IF(AND(ISNUMBER($AM$656),$B$419=1),$AM$656,HLOOKUP(INDIRECT(ADDRESS(2,COLUMN())),OFFSET($BN$2,0,0,ROW()-1,60),ROW()-1,FALSE))</f>
        <v>65.695500789999997</v>
      </c>
      <c r="AN207">
        <f ca="1">IF(AND(ISNUMBER($AN$656),$B$419=1),$AN$656,HLOOKUP(INDIRECT(ADDRESS(2,COLUMN())),OFFSET($BN$2,0,0,ROW()-1,60),ROW()-1,FALSE))</f>
        <v>69.807293939999994</v>
      </c>
      <c r="AO207">
        <f ca="1">IF(AND(ISNUMBER($AO$656),$B$419=1),$AO$656,HLOOKUP(INDIRECT(ADDRESS(2,COLUMN())),OFFSET($BN$2,0,0,ROW()-1,60),ROW()-1,FALSE))</f>
        <v>53.001177499999997</v>
      </c>
      <c r="AP207">
        <f ca="1">IF(AND(ISNUMBER($AP$656),$B$419=1),$AP$656,HLOOKUP(INDIRECT(ADDRESS(2,COLUMN())),OFFSET($BN$2,0,0,ROW()-1,60),ROW()-1,FALSE))</f>
        <v>67.700208599999996</v>
      </c>
      <c r="AQ207">
        <f ca="1">IF(AND(ISNUMBER($AQ$656),$B$419=1),$AQ$656,HLOOKUP(INDIRECT(ADDRESS(2,COLUMN())),OFFSET($BN$2,0,0,ROW()-1,60),ROW()-1,FALSE))</f>
        <v>91.357464570000005</v>
      </c>
      <c r="AR207">
        <f ca="1">IF(AND(ISNUMBER($AR$656),$B$419=1),$AR$656,HLOOKUP(INDIRECT(ADDRESS(2,COLUMN())),OFFSET($BN$2,0,0,ROW()-1,60),ROW()-1,FALSE))</f>
        <v>42.184857960000002</v>
      </c>
      <c r="AS207">
        <f ca="1">IF(AND(ISNUMBER($AS$656),$B$419=1),$AS$656,HLOOKUP(INDIRECT(ADDRESS(2,COLUMN())),OFFSET($BN$2,0,0,ROW()-1,60),ROW()-1,FALSE))</f>
        <v>65.501377649999995</v>
      </c>
      <c r="AT207">
        <f ca="1">IF(AND(ISNUMBER($AT$656),$B$419=1),$AT$656,HLOOKUP(INDIRECT(ADDRESS(2,COLUMN())),OFFSET($BN$2,0,0,ROW()-1,60),ROW()-1,FALSE))</f>
        <v>64.444240910000005</v>
      </c>
      <c r="AU207">
        <f ca="1">IF(AND(ISNUMBER($AU$656),$B$419=1),$AU$656,HLOOKUP(INDIRECT(ADDRESS(2,COLUMN())),OFFSET($BN$2,0,0,ROW()-1,60),ROW()-1,FALSE))</f>
        <v>67.798849149999995</v>
      </c>
      <c r="AV207">
        <f ca="1">IF(AND(ISNUMBER($AV$656),$B$419=1),$AV$656,HLOOKUP(INDIRECT(ADDRESS(2,COLUMN())),OFFSET($BN$2,0,0,ROW()-1,60),ROW()-1,FALSE))</f>
        <v>65.722458919999994</v>
      </c>
      <c r="AW207">
        <f ca="1">IF(AND(ISNUMBER($AW$656),$B$419=1),$AW$656,HLOOKUP(INDIRECT(ADDRESS(2,COLUMN())),OFFSET($BN$2,0,0,ROW()-1,60),ROW()-1,FALSE))</f>
        <v>64.899197599999994</v>
      </c>
      <c r="AX207">
        <f ca="1">IF(AND(ISNUMBER($AX$656),$B$419=1),$AX$656,HLOOKUP(INDIRECT(ADDRESS(2,COLUMN())),OFFSET($BN$2,0,0,ROW()-1,60),ROW()-1,FALSE))</f>
        <v>65.311491880000005</v>
      </c>
      <c r="AY207">
        <f ca="1">IF(AND(ISNUMBER($AY$656),$B$419=1),$AY$656,HLOOKUP(INDIRECT(ADDRESS(2,COLUMN())),OFFSET($BN$2,0,0,ROW()-1,60),ROW()-1,FALSE))</f>
        <v>64.980027640000003</v>
      </c>
      <c r="AZ207">
        <f ca="1">IF(AND(ISNUMBER($AZ$656),$B$419=1),$AZ$656,HLOOKUP(INDIRECT(ADDRESS(2,COLUMN())),OFFSET($BN$2,0,0,ROW()-1,60),ROW()-1,FALSE))</f>
        <v>63.526704580000001</v>
      </c>
      <c r="BA207">
        <f ca="1">IF(AND(ISNUMBER($BA$656),$B$419=1),$BA$656,HLOOKUP(INDIRECT(ADDRESS(2,COLUMN())),OFFSET($BN$2,0,0,ROW()-1,60),ROW()-1,FALSE))</f>
        <v>64.037894780000002</v>
      </c>
      <c r="BB207">
        <f ca="1">IF(AND(ISNUMBER($BB$656),$B$419=1),$BB$656,HLOOKUP(INDIRECT(ADDRESS(2,COLUMN())),OFFSET($BN$2,0,0,ROW()-1,60),ROW()-1,FALSE))</f>
        <v>63.34687151</v>
      </c>
      <c r="BC207">
        <f ca="1">IF(AND(ISNUMBER($BC$656),$B$419=1),$BC$656,HLOOKUP(INDIRECT(ADDRESS(2,COLUMN())),OFFSET($BN$2,0,0,ROW()-1,60),ROW()-1,FALSE))</f>
        <v>63.43361917</v>
      </c>
      <c r="BD207">
        <f ca="1">IF(AND(ISNUMBER($BD$656),$B$419=1),$BD$656,HLOOKUP(INDIRECT(ADDRESS(2,COLUMN())),OFFSET($BN$2,0,0,ROW()-1,60),ROW()-1,FALSE))</f>
        <v>63.298889279999997</v>
      </c>
      <c r="BE207">
        <f ca="1">IF(AND(ISNUMBER($BE$656),$B$419=1),$BE$656,HLOOKUP(INDIRECT(ADDRESS(2,COLUMN())),OFFSET($BN$2,0,0,ROW()-1,60),ROW()-1,FALSE))</f>
        <v>64.907909219999993</v>
      </c>
      <c r="BF207">
        <f ca="1">IF(AND(ISNUMBER($BF$656),$B$419=1),$BF$656,HLOOKUP(INDIRECT(ADDRESS(2,COLUMN())),OFFSET($BN$2,0,0,ROW()-1,60),ROW()-1,FALSE))</f>
        <v>64.108656679999996</v>
      </c>
      <c r="BG207">
        <f ca="1">IF(AND(ISNUMBER($BG$656),$B$419=1),$BG$656,HLOOKUP(INDIRECT(ADDRESS(2,COLUMN())),OFFSET($BN$2,0,0,ROW()-1,60),ROW()-1,FALSE))</f>
        <v>63.386849159999997</v>
      </c>
      <c r="BH207">
        <f ca="1">IF(AND(ISNUMBER($BH$656),$B$419=1),$BH$656,HLOOKUP(INDIRECT(ADDRESS(2,COLUMN())),OFFSET($BN$2,0,0,ROW()-1,60),ROW()-1,FALSE))</f>
        <v>64.391693810000007</v>
      </c>
      <c r="BI207">
        <f ca="1">IF(AND(ISNUMBER($BI$656),$B$419=1),$BI$656,HLOOKUP(INDIRECT(ADDRESS(2,COLUMN())),OFFSET($BN$2,0,0,ROW()-1,60),ROW()-1,FALSE))</f>
        <v>64.705950799999997</v>
      </c>
      <c r="BJ207">
        <f ca="1">IF(AND(ISNUMBER($BJ$656),$B$419=1),$BJ$656,HLOOKUP(INDIRECT(ADDRESS(2,COLUMN())),OFFSET($BN$2,0,0,ROW()-1,60),ROW()-1,FALSE))</f>
        <v>63.26420942</v>
      </c>
      <c r="BK207">
        <f ca="1">IF(AND(ISNUMBER($BK$656),$B$419=1),$BK$656,HLOOKUP(INDIRECT(ADDRESS(2,COLUMN())),OFFSET($BN$2,0,0,ROW()-1,60),ROW()-1,FALSE))</f>
        <v>68.261328410000004</v>
      </c>
      <c r="BL207">
        <f ca="1">IF(AND(ISNUMBER($BL$656),$B$419=1),$BL$656,HLOOKUP(INDIRECT(ADDRESS(2,COLUMN())),OFFSET($BN$2,0,0,ROW()-1,60),ROW()-1,FALSE))</f>
        <v>65.532370420000007</v>
      </c>
      <c r="BM207">
        <f ca="1">IF(AND(ISNUMBER($BM$656),$B$419=1),$BM$656,HLOOKUP(INDIRECT(ADDRESS(2,COLUMN())),OFFSET($BN$2,0,0,ROW()-1,60),ROW()-1,FALSE))</f>
        <v>63.375744079999997</v>
      </c>
      <c r="BN207" t="str">
        <f>""</f>
        <v/>
      </c>
      <c r="BO207">
        <f>76.65995187</f>
        <v>76.65995187</v>
      </c>
      <c r="BP207">
        <f>73.15240824</f>
        <v>73.15240824</v>
      </c>
      <c r="BQ207">
        <f>75.35599186</f>
        <v>75.355991860000003</v>
      </c>
      <c r="BR207">
        <f>75.2301854</f>
        <v>75.230185399999996</v>
      </c>
      <c r="BS207">
        <f>74.08318291</f>
        <v>74.083182910000005</v>
      </c>
      <c r="BT207">
        <f>74.09480624</f>
        <v>74.094806239999997</v>
      </c>
      <c r="BU207">
        <f>74.81358999</f>
        <v>74.813589989999997</v>
      </c>
      <c r="BV207">
        <f>75.01225018</f>
        <v>75.012250179999995</v>
      </c>
      <c r="BW207">
        <f>74.47771691</f>
        <v>74.477716909999998</v>
      </c>
      <c r="BX207">
        <f>72.94901969</f>
        <v>72.94901969</v>
      </c>
      <c r="BY207">
        <f>75.23233836</f>
        <v>75.23233836</v>
      </c>
      <c r="BZ207">
        <f>74.14997924</f>
        <v>74.149979239999993</v>
      </c>
      <c r="CA207">
        <f>74.58353892</f>
        <v>74.583538919999995</v>
      </c>
      <c r="CB207">
        <f>73.74110508</f>
        <v>73.741105079999997</v>
      </c>
      <c r="CC207">
        <f>76.28567948</f>
        <v>76.285679479999999</v>
      </c>
      <c r="CD207">
        <f>77.05359103</f>
        <v>77.053591030000007</v>
      </c>
      <c r="CE207">
        <f>77.44875735</f>
        <v>77.448757349999994</v>
      </c>
      <c r="CF207">
        <f>77.32642646</f>
        <v>77.326426459999993</v>
      </c>
      <c r="CG207">
        <f>77.54142193</f>
        <v>77.541421929999998</v>
      </c>
      <c r="CH207">
        <f>72.39679094</f>
        <v>72.396790940000002</v>
      </c>
      <c r="CI207">
        <f>72.56541987</f>
        <v>72.565419869999999</v>
      </c>
      <c r="CJ207">
        <f>72.03823486</f>
        <v>72.038234860000003</v>
      </c>
      <c r="CK207">
        <f>71.20934359</f>
        <v>71.209343590000003</v>
      </c>
      <c r="CL207">
        <f>72.85483333</f>
        <v>72.854833330000005</v>
      </c>
      <c r="CM207">
        <f>70.83990346</f>
        <v>70.839903460000002</v>
      </c>
      <c r="CN207">
        <f>70.5755985</f>
        <v>70.575598499999998</v>
      </c>
      <c r="CO207">
        <f>70.87478539</f>
        <v>70.87478539</v>
      </c>
      <c r="CP207">
        <f>71.10378341</f>
        <v>71.103783410000005</v>
      </c>
      <c r="CQ207">
        <f>71.01020078</f>
        <v>71.010200780000005</v>
      </c>
      <c r="CR207">
        <f>71.75645248</f>
        <v>71.756452479999993</v>
      </c>
      <c r="CS207">
        <f>70.23499142</f>
        <v>70.23499142</v>
      </c>
      <c r="CT207">
        <f>71.82929743</f>
        <v>71.829297429999997</v>
      </c>
      <c r="CU207">
        <f>65.69550079</f>
        <v>65.695500789999997</v>
      </c>
      <c r="CV207">
        <f>69.80729394</f>
        <v>69.807293939999994</v>
      </c>
      <c r="CW207">
        <f>53.0011775</f>
        <v>53.001177499999997</v>
      </c>
      <c r="CX207">
        <f>67.7002086</f>
        <v>67.700208599999996</v>
      </c>
      <c r="CY207">
        <f>91.35746457</f>
        <v>91.357464570000005</v>
      </c>
      <c r="CZ207">
        <f>42.18485796</f>
        <v>42.184857960000002</v>
      </c>
      <c r="DA207">
        <f>65.50137765</f>
        <v>65.501377649999995</v>
      </c>
      <c r="DB207">
        <f>64.44424091</f>
        <v>64.444240910000005</v>
      </c>
      <c r="DC207">
        <f>67.79884915</f>
        <v>67.798849149999995</v>
      </c>
      <c r="DD207">
        <f>65.72245892</f>
        <v>65.722458919999994</v>
      </c>
      <c r="DE207">
        <f>64.8991976</f>
        <v>64.899197599999994</v>
      </c>
      <c r="DF207">
        <f>65.31149188</f>
        <v>65.311491880000005</v>
      </c>
      <c r="DG207">
        <f>64.98002764</f>
        <v>64.980027640000003</v>
      </c>
      <c r="DH207">
        <f>63.52670458</f>
        <v>63.526704580000001</v>
      </c>
      <c r="DI207">
        <f>64.03789478</f>
        <v>64.037894780000002</v>
      </c>
      <c r="DJ207">
        <f>63.34687151</f>
        <v>63.34687151</v>
      </c>
      <c r="DK207">
        <f>63.43361917</f>
        <v>63.43361917</v>
      </c>
      <c r="DL207">
        <f>63.29888928</f>
        <v>63.298889279999997</v>
      </c>
      <c r="DM207">
        <f>64.90790922</f>
        <v>64.907909219999993</v>
      </c>
      <c r="DN207">
        <f>64.10865668</f>
        <v>64.108656679999996</v>
      </c>
      <c r="DO207">
        <f>63.38684916</f>
        <v>63.386849159999997</v>
      </c>
      <c r="DP207">
        <f>64.39169381</f>
        <v>64.391693810000007</v>
      </c>
      <c r="DQ207">
        <f>64.7059508</f>
        <v>64.705950799999997</v>
      </c>
      <c r="DR207">
        <f>63.26420942</f>
        <v>63.26420942</v>
      </c>
      <c r="DS207">
        <f>68.26132841</f>
        <v>68.261328410000004</v>
      </c>
      <c r="DT207">
        <f>65.53237042</f>
        <v>65.532370420000007</v>
      </c>
      <c r="DU207">
        <f>63.37574408</f>
        <v>63.375744079999997</v>
      </c>
    </row>
    <row r="208" spans="1:125">
      <c r="A208" t="str">
        <f>"    Tanger Factory Outlet Centers"</f>
        <v xml:space="preserve">    Tanger Factory Outlet Centers</v>
      </c>
      <c r="B208" t="str">
        <f>"SKT US Equity"</f>
        <v>SKT US Equity</v>
      </c>
      <c r="C208" t="str">
        <f t="shared" si="36"/>
        <v>RX225</v>
      </c>
      <c r="D208" t="str">
        <f t="shared" si="37"/>
        <v>EBITDA_TO_REVENUE</v>
      </c>
      <c r="E208" t="str">
        <f t="shared" si="38"/>
        <v>动态</v>
      </c>
      <c r="F208" t="str">
        <f ca="1">IF(AND(ISNUMBER($F$657),$B$419=1),$F$657,HLOOKUP(INDIRECT(ADDRESS(2,COLUMN())),OFFSET($BN$2,0,0,ROW()-1,60),ROW()-1,FALSE))</f>
        <v/>
      </c>
      <c r="G208">
        <f ca="1">IF(AND(ISNUMBER($G$657),$B$419=1),$G$657,HLOOKUP(INDIRECT(ADDRESS(2,COLUMN())),OFFSET($BN$2,0,0,ROW()-1,60),ROW()-1,FALSE))</f>
        <v>60.218046119999997</v>
      </c>
      <c r="H208">
        <f ca="1">IF(AND(ISNUMBER($H$657),$B$419=1),$H$657,HLOOKUP(INDIRECT(ADDRESS(2,COLUMN())),OFFSET($BN$2,0,0,ROW()-1,60),ROW()-1,FALSE))</f>
        <v>59.917194549999998</v>
      </c>
      <c r="I208">
        <f ca="1">IF(AND(ISNUMBER($I$657),$B$419=1),$I$657,HLOOKUP(INDIRECT(ADDRESS(2,COLUMN())),OFFSET($BN$2,0,0,ROW()-1,60),ROW()-1,FALSE))</f>
        <v>59.355928239999997</v>
      </c>
      <c r="J208">
        <f ca="1">IF(AND(ISNUMBER($J$657),$B$419=1),$J$657,HLOOKUP(INDIRECT(ADDRESS(2,COLUMN())),OFFSET($BN$2,0,0,ROW()-1,60),ROW()-1,FALSE))</f>
        <v>56.80409993</v>
      </c>
      <c r="K208">
        <f ca="1">IF(AND(ISNUMBER($K$657),$B$419=1),$K$657,HLOOKUP(INDIRECT(ADDRESS(2,COLUMN())),OFFSET($BN$2,0,0,ROW()-1,60),ROW()-1,FALSE))</f>
        <v>57.43623504</v>
      </c>
      <c r="L208">
        <f ca="1">IF(AND(ISNUMBER($L$657),$B$419=1),$L$657,HLOOKUP(INDIRECT(ADDRESS(2,COLUMN())),OFFSET($BN$2,0,0,ROW()-1,60),ROW()-1,FALSE))</f>
        <v>57.983665860000002</v>
      </c>
      <c r="M208">
        <f ca="1">IF(AND(ISNUMBER($M$657),$B$419=1),$M$657,HLOOKUP(INDIRECT(ADDRESS(2,COLUMN())),OFFSET($BN$2,0,0,ROW()-1,60),ROW()-1,FALSE))</f>
        <v>58.065443309999999</v>
      </c>
      <c r="N208">
        <f ca="1">IF(AND(ISNUMBER($N$657),$B$419=1),$N$657,HLOOKUP(INDIRECT(ADDRESS(2,COLUMN())),OFFSET($BN$2,0,0,ROW()-1,60),ROW()-1,FALSE))</f>
        <v>55.38197735</v>
      </c>
      <c r="O208">
        <f ca="1">IF(AND(ISNUMBER($O$657),$B$419=1),$O$657,HLOOKUP(INDIRECT(ADDRESS(2,COLUMN())),OFFSET($BN$2,0,0,ROW()-1,60),ROW()-1,FALSE))</f>
        <v>57.784062200000001</v>
      </c>
      <c r="P208">
        <f ca="1">IF(AND(ISNUMBER($P$657),$B$419=1),$P$657,HLOOKUP(INDIRECT(ADDRESS(2,COLUMN())),OFFSET($BN$2,0,0,ROW()-1,60),ROW()-1,FALSE))</f>
        <v>57.712610490000003</v>
      </c>
      <c r="Q208">
        <f ca="1">IF(AND(ISNUMBER($Q$657),$B$419=1),$Q$657,HLOOKUP(INDIRECT(ADDRESS(2,COLUMN())),OFFSET($BN$2,0,0,ROW()-1,60),ROW()-1,FALSE))</f>
        <v>56.773965990000001</v>
      </c>
      <c r="R208">
        <f ca="1">IF(AND(ISNUMBER($R$657),$B$419=1),$R$657,HLOOKUP(INDIRECT(ADDRESS(2,COLUMN())),OFFSET($BN$2,0,0,ROW()-1,60),ROW()-1,FALSE))</f>
        <v>53.706361039999997</v>
      </c>
      <c r="S208">
        <f ca="1">IF(AND(ISNUMBER($S$657),$B$419=1),$S$657,HLOOKUP(INDIRECT(ADDRESS(2,COLUMN())),OFFSET($BN$2,0,0,ROW()-1,60),ROW()-1,FALSE))</f>
        <v>56.27272224</v>
      </c>
      <c r="T208">
        <f ca="1">IF(AND(ISNUMBER($T$657),$B$419=1),$T$657,HLOOKUP(INDIRECT(ADDRESS(2,COLUMN())),OFFSET($BN$2,0,0,ROW()-1,60),ROW()-1,FALSE))</f>
        <v>58.045042729999999</v>
      </c>
      <c r="U208">
        <f ca="1">IF(AND(ISNUMBER($U$657),$B$419=1),$U$657,HLOOKUP(INDIRECT(ADDRESS(2,COLUMN())),OFFSET($BN$2,0,0,ROW()-1,60),ROW()-1,FALSE))</f>
        <v>56.570657070000003</v>
      </c>
      <c r="V208">
        <f ca="1">IF(AND(ISNUMBER($V$657),$B$419=1),$V$657,HLOOKUP(INDIRECT(ADDRESS(2,COLUMN())),OFFSET($BN$2,0,0,ROW()-1,60),ROW()-1,FALSE))</f>
        <v>52.956743400000001</v>
      </c>
      <c r="W208">
        <f ca="1">IF(AND(ISNUMBER($W$657),$B$419=1),$W$657,HLOOKUP(INDIRECT(ADDRESS(2,COLUMN())),OFFSET($BN$2,0,0,ROW()-1,60),ROW()-1,FALSE))</f>
        <v>58.680642910000003</v>
      </c>
      <c r="X208">
        <f ca="1">IF(AND(ISNUMBER($X$657),$B$419=1),$X$657,HLOOKUP(INDIRECT(ADDRESS(2,COLUMN())),OFFSET($BN$2,0,0,ROW()-1,60),ROW()-1,FALSE))</f>
        <v>58.991042149999998</v>
      </c>
      <c r="Y208">
        <f ca="1">IF(AND(ISNUMBER($Y$657),$B$419=1),$Y$657,HLOOKUP(INDIRECT(ADDRESS(2,COLUMN())),OFFSET($BN$2,0,0,ROW()-1,60),ROW()-1,FALSE))</f>
        <v>57.164203700000002</v>
      </c>
      <c r="Z208">
        <f ca="1">IF(AND(ISNUMBER($Z$657),$B$419=1),$Z$657,HLOOKUP(INDIRECT(ADDRESS(2,COLUMN())),OFFSET($BN$2,0,0,ROW()-1,60),ROW()-1,FALSE))</f>
        <v>57.282188320000003</v>
      </c>
      <c r="AA208">
        <f ca="1">IF(AND(ISNUMBER($AA$657),$B$419=1),$AA$657,HLOOKUP(INDIRECT(ADDRESS(2,COLUMN())),OFFSET($BN$2,0,0,ROW()-1,60),ROW()-1,FALSE))</f>
        <v>58.58999747</v>
      </c>
      <c r="AB208">
        <f ca="1">IF(AND(ISNUMBER($AB$657),$B$419=1),$AB$657,HLOOKUP(INDIRECT(ADDRESS(2,COLUMN())),OFFSET($BN$2,0,0,ROW()-1,60),ROW()-1,FALSE))</f>
        <v>59.515047029999998</v>
      </c>
      <c r="AC208">
        <f ca="1">IF(AND(ISNUMBER($AC$657),$B$419=1),$AC$657,HLOOKUP(INDIRECT(ADDRESS(2,COLUMN())),OFFSET($BN$2,0,0,ROW()-1,60),ROW()-1,FALSE))</f>
        <v>58.005381579999998</v>
      </c>
      <c r="AD208">
        <f ca="1">IF(AND(ISNUMBER($AD$657),$B$419=1),$AD$657,HLOOKUP(INDIRECT(ADDRESS(2,COLUMN())),OFFSET($BN$2,0,0,ROW()-1,60),ROW()-1,FALSE))</f>
        <v>57.138278550000003</v>
      </c>
      <c r="AE208">
        <f ca="1">IF(AND(ISNUMBER($AE$657),$B$419=1),$AE$657,HLOOKUP(INDIRECT(ADDRESS(2,COLUMN())),OFFSET($BN$2,0,0,ROW()-1,60),ROW()-1,FALSE))</f>
        <v>60.011218309999997</v>
      </c>
      <c r="AF208">
        <f ca="1">IF(AND(ISNUMBER($AF$657),$B$419=1),$AF$657,HLOOKUP(INDIRECT(ADDRESS(2,COLUMN())),OFFSET($BN$2,0,0,ROW()-1,60),ROW()-1,FALSE))</f>
        <v>59.033191979999998</v>
      </c>
      <c r="AG208">
        <f ca="1">IF(AND(ISNUMBER($AG$657),$B$419=1),$AG$657,HLOOKUP(INDIRECT(ADDRESS(2,COLUMN())),OFFSET($BN$2,0,0,ROW()-1,60),ROW()-1,FALSE))</f>
        <v>55.723221590000001</v>
      </c>
      <c r="AH208">
        <f ca="1">IF(AND(ISNUMBER($AH$657),$B$419=1),$AH$657,HLOOKUP(INDIRECT(ADDRESS(2,COLUMN())),OFFSET($BN$2,0,0,ROW()-1,60),ROW()-1,FALSE))</f>
        <v>55.328743690000003</v>
      </c>
      <c r="AI208">
        <f ca="1">IF(AND(ISNUMBER($AI$657),$B$419=1),$AI$657,HLOOKUP(INDIRECT(ADDRESS(2,COLUMN())),OFFSET($BN$2,0,0,ROW()-1,60),ROW()-1,FALSE))</f>
        <v>56.25157299</v>
      </c>
      <c r="AJ208">
        <f ca="1">IF(AND(ISNUMBER($AJ$657),$B$419=1),$AJ$657,HLOOKUP(INDIRECT(ADDRESS(2,COLUMN())),OFFSET($BN$2,0,0,ROW()-1,60),ROW()-1,FALSE))</f>
        <v>58.300346900000001</v>
      </c>
      <c r="AK208">
        <f ca="1">IF(AND(ISNUMBER($AK$657),$B$419=1),$AK$657,HLOOKUP(INDIRECT(ADDRESS(2,COLUMN())),OFFSET($BN$2,0,0,ROW()-1,60),ROW()-1,FALSE))</f>
        <v>57.038058040000003</v>
      </c>
      <c r="AL208">
        <f ca="1">IF(AND(ISNUMBER($AL$657),$B$419=1),$AL$657,HLOOKUP(INDIRECT(ADDRESS(2,COLUMN())),OFFSET($BN$2,0,0,ROW()-1,60),ROW()-1,FALSE))</f>
        <v>56.85018625</v>
      </c>
      <c r="AM208">
        <f ca="1">IF(AND(ISNUMBER($AM$657),$B$419=1),$AM$657,HLOOKUP(INDIRECT(ADDRESS(2,COLUMN())),OFFSET($BN$2,0,0,ROW()-1,60),ROW()-1,FALSE))</f>
        <v>58.397385550000003</v>
      </c>
      <c r="AN208">
        <f ca="1">IF(AND(ISNUMBER($AN$657),$B$419=1),$AN$657,HLOOKUP(INDIRECT(ADDRESS(2,COLUMN())),OFFSET($BN$2,0,0,ROW()-1,60),ROW()-1,FALSE))</f>
        <v>47.276153489999999</v>
      </c>
      <c r="AO208">
        <f ca="1">IF(AND(ISNUMBER($AO$657),$B$419=1),$AO$657,HLOOKUP(INDIRECT(ADDRESS(2,COLUMN())),OFFSET($BN$2,0,0,ROW()-1,60),ROW()-1,FALSE))</f>
        <v>59.194099379999997</v>
      </c>
      <c r="AP208">
        <f ca="1">IF(AND(ISNUMBER($AP$657),$B$419=1),$AP$657,HLOOKUP(INDIRECT(ADDRESS(2,COLUMN())),OFFSET($BN$2,0,0,ROW()-1,60),ROW()-1,FALSE))</f>
        <v>57.563154179999998</v>
      </c>
      <c r="AQ208">
        <f ca="1">IF(AND(ISNUMBER($AQ$657),$B$419=1),$AQ$657,HLOOKUP(INDIRECT(ADDRESS(2,COLUMN())),OFFSET($BN$2,0,0,ROW()-1,60),ROW()-1,FALSE))</f>
        <v>56.762807850000002</v>
      </c>
      <c r="AR208">
        <f ca="1">IF(AND(ISNUMBER($AR$657),$B$419=1),$AR$657,HLOOKUP(INDIRECT(ADDRESS(2,COLUMN())),OFFSET($BN$2,0,0,ROW()-1,60),ROW()-1,FALSE))</f>
        <v>57.19815844</v>
      </c>
      <c r="AS208">
        <f ca="1">IF(AND(ISNUMBER($AS$657),$B$419=1),$AS$657,HLOOKUP(INDIRECT(ADDRESS(2,COLUMN())),OFFSET($BN$2,0,0,ROW()-1,60),ROW()-1,FALSE))</f>
        <v>59.298307170000001</v>
      </c>
      <c r="AT208">
        <f ca="1">IF(AND(ISNUMBER($AT$657),$B$419=1),$AT$657,HLOOKUP(INDIRECT(ADDRESS(2,COLUMN())),OFFSET($BN$2,0,0,ROW()-1,60),ROW()-1,FALSE))</f>
        <v>57.242125850000001</v>
      </c>
      <c r="AU208">
        <f ca="1">IF(AND(ISNUMBER($AU$657),$B$419=1),$AU$657,HLOOKUP(INDIRECT(ADDRESS(2,COLUMN())),OFFSET($BN$2,0,0,ROW()-1,60),ROW()-1,FALSE))</f>
        <v>59.014489009999998</v>
      </c>
      <c r="AV208">
        <f ca="1">IF(AND(ISNUMBER($AV$657),$B$419=1),$AV$657,HLOOKUP(INDIRECT(ADDRESS(2,COLUMN())),OFFSET($BN$2,0,0,ROW()-1,60),ROW()-1,FALSE))</f>
        <v>58.849724250000001</v>
      </c>
      <c r="AW208">
        <f ca="1">IF(AND(ISNUMBER($AW$657),$B$419=1),$AW$657,HLOOKUP(INDIRECT(ADDRESS(2,COLUMN())),OFFSET($BN$2,0,0,ROW()-1,60),ROW()-1,FALSE))</f>
        <v>59.01977085</v>
      </c>
      <c r="AX208">
        <f ca="1">IF(AND(ISNUMBER($AX$657),$B$419=1),$AX$657,HLOOKUP(INDIRECT(ADDRESS(2,COLUMN())),OFFSET($BN$2,0,0,ROW()-1,60),ROW()-1,FALSE))</f>
        <v>60.159797990000001</v>
      </c>
      <c r="AY208">
        <f ca="1">IF(AND(ISNUMBER($AY$657),$B$419=1),$AY$657,HLOOKUP(INDIRECT(ADDRESS(2,COLUMN())),OFFSET($BN$2,0,0,ROW()-1,60),ROW()-1,FALSE))</f>
        <v>58.047484359999999</v>
      </c>
      <c r="AZ208">
        <f ca="1">IF(AND(ISNUMBER($AZ$657),$B$419=1),$AZ$657,HLOOKUP(INDIRECT(ADDRESS(2,COLUMN())),OFFSET($BN$2,0,0,ROW()-1,60),ROW()-1,FALSE))</f>
        <v>59.9793594</v>
      </c>
      <c r="BA208">
        <f ca="1">IF(AND(ISNUMBER($BA$657),$B$419=1),$BA$657,HLOOKUP(INDIRECT(ADDRESS(2,COLUMN())),OFFSET($BN$2,0,0,ROW()-1,60),ROW()-1,FALSE))</f>
        <v>60.275490820000002</v>
      </c>
      <c r="BB208">
        <f ca="1">IF(AND(ISNUMBER($BB$657),$B$419=1),$BB$657,HLOOKUP(INDIRECT(ADDRESS(2,COLUMN())),OFFSET($BN$2,0,0,ROW()-1,60),ROW()-1,FALSE))</f>
        <v>61.139466370000001</v>
      </c>
      <c r="BC208">
        <f ca="1">IF(AND(ISNUMBER($BC$657),$B$419=1),$BC$657,HLOOKUP(INDIRECT(ADDRESS(2,COLUMN())),OFFSET($BN$2,0,0,ROW()-1,60),ROW()-1,FALSE))</f>
        <v>61.451534700000003</v>
      </c>
      <c r="BD208">
        <f ca="1">IF(AND(ISNUMBER($BD$657),$B$419=1),$BD$657,HLOOKUP(INDIRECT(ADDRESS(2,COLUMN())),OFFSET($BN$2,0,0,ROW()-1,60),ROW()-1,FALSE))</f>
        <v>62.550155160000003</v>
      </c>
      <c r="BE208">
        <f ca="1">IF(AND(ISNUMBER($BE$657),$B$419=1),$BE$657,HLOOKUP(INDIRECT(ADDRESS(2,COLUMN())),OFFSET($BN$2,0,0,ROW()-1,60),ROW()-1,FALSE))</f>
        <v>62.845492569999998</v>
      </c>
      <c r="BF208">
        <f ca="1">IF(AND(ISNUMBER($BF$657),$B$419=1),$BF$657,HLOOKUP(INDIRECT(ADDRESS(2,COLUMN())),OFFSET($BN$2,0,0,ROW()-1,60),ROW()-1,FALSE))</f>
        <v>60.468433939999997</v>
      </c>
      <c r="BG208">
        <f ca="1">IF(AND(ISNUMBER($BG$657),$B$419=1),$BG$657,HLOOKUP(INDIRECT(ADDRESS(2,COLUMN())),OFFSET($BN$2,0,0,ROW()-1,60),ROW()-1,FALSE))</f>
        <v>62.400833859999999</v>
      </c>
      <c r="BH208">
        <f ca="1">IF(AND(ISNUMBER($BH$657),$B$419=1),$BH$657,HLOOKUP(INDIRECT(ADDRESS(2,COLUMN())),OFFSET($BN$2,0,0,ROW()-1,60),ROW()-1,FALSE))</f>
        <v>62.90269962</v>
      </c>
      <c r="BI208">
        <f ca="1">IF(AND(ISNUMBER($BI$657),$B$419=1),$BI$657,HLOOKUP(INDIRECT(ADDRESS(2,COLUMN())),OFFSET($BN$2,0,0,ROW()-1,60),ROW()-1,FALSE))</f>
        <v>63.00622894</v>
      </c>
      <c r="BJ208">
        <f ca="1">IF(AND(ISNUMBER($BJ$657),$B$419=1),$BJ$657,HLOOKUP(INDIRECT(ADDRESS(2,COLUMN())),OFFSET($BN$2,0,0,ROW()-1,60),ROW()-1,FALSE))</f>
        <v>63.151226540000003</v>
      </c>
      <c r="BK208">
        <f ca="1">IF(AND(ISNUMBER($BK$657),$B$419=1),$BK$657,HLOOKUP(INDIRECT(ADDRESS(2,COLUMN())),OFFSET($BN$2,0,0,ROW()-1,60),ROW()-1,FALSE))</f>
        <v>62.106712270000003</v>
      </c>
      <c r="BL208">
        <f ca="1">IF(AND(ISNUMBER($BL$657),$B$419=1),$BL$657,HLOOKUP(INDIRECT(ADDRESS(2,COLUMN())),OFFSET($BN$2,0,0,ROW()-1,60),ROW()-1,FALSE))</f>
        <v>59.725195059999997</v>
      </c>
      <c r="BM208">
        <f ca="1">IF(AND(ISNUMBER($BM$657),$B$419=1),$BM$657,HLOOKUP(INDIRECT(ADDRESS(2,COLUMN())),OFFSET($BN$2,0,0,ROW()-1,60),ROW()-1,FALSE))</f>
        <v>58.641590469999997</v>
      </c>
      <c r="BN208" t="str">
        <f>""</f>
        <v/>
      </c>
      <c r="BO208">
        <f>60.21804612</f>
        <v>60.218046119999997</v>
      </c>
      <c r="BP208">
        <f>59.91719455</f>
        <v>59.917194549999998</v>
      </c>
      <c r="BQ208">
        <f>59.35592824</f>
        <v>59.355928239999997</v>
      </c>
      <c r="BR208">
        <f>56.80409993</f>
        <v>56.80409993</v>
      </c>
      <c r="BS208">
        <f>57.43623504</f>
        <v>57.43623504</v>
      </c>
      <c r="BT208">
        <f>57.98366586</f>
        <v>57.983665860000002</v>
      </c>
      <c r="BU208">
        <f>58.06544331</f>
        <v>58.065443309999999</v>
      </c>
      <c r="BV208">
        <f>55.38197735</f>
        <v>55.38197735</v>
      </c>
      <c r="BW208">
        <f>57.7840622</f>
        <v>57.784062200000001</v>
      </c>
      <c r="BX208">
        <f>57.71261049</f>
        <v>57.712610490000003</v>
      </c>
      <c r="BY208">
        <f>56.77396599</f>
        <v>56.773965990000001</v>
      </c>
      <c r="BZ208">
        <f>53.70636104</f>
        <v>53.706361039999997</v>
      </c>
      <c r="CA208">
        <f>56.27272224</f>
        <v>56.27272224</v>
      </c>
      <c r="CB208">
        <f>58.04504273</f>
        <v>58.045042729999999</v>
      </c>
      <c r="CC208">
        <f>56.57065707</f>
        <v>56.570657070000003</v>
      </c>
      <c r="CD208">
        <f>52.9567434</f>
        <v>52.956743400000001</v>
      </c>
      <c r="CE208">
        <f>58.68064291</f>
        <v>58.680642910000003</v>
      </c>
      <c r="CF208">
        <f>58.99104215</f>
        <v>58.991042149999998</v>
      </c>
      <c r="CG208">
        <f>57.1642037</f>
        <v>57.164203700000002</v>
      </c>
      <c r="CH208">
        <f>57.28218832</f>
        <v>57.282188320000003</v>
      </c>
      <c r="CI208">
        <f>58.58999747</f>
        <v>58.58999747</v>
      </c>
      <c r="CJ208">
        <f>59.51504703</f>
        <v>59.515047029999998</v>
      </c>
      <c r="CK208">
        <f>58.00538158</f>
        <v>58.005381579999998</v>
      </c>
      <c r="CL208">
        <f>57.13827855</f>
        <v>57.138278550000003</v>
      </c>
      <c r="CM208">
        <f>60.01121831</f>
        <v>60.011218309999997</v>
      </c>
      <c r="CN208">
        <f>59.03319198</f>
        <v>59.033191979999998</v>
      </c>
      <c r="CO208">
        <f>55.72322159</f>
        <v>55.723221590000001</v>
      </c>
      <c r="CP208">
        <f>55.32874369</f>
        <v>55.328743690000003</v>
      </c>
      <c r="CQ208">
        <f>56.25157299</f>
        <v>56.25157299</v>
      </c>
      <c r="CR208">
        <f>58.3003469</f>
        <v>58.300346900000001</v>
      </c>
      <c r="CS208">
        <f>57.03805804</f>
        <v>57.038058040000003</v>
      </c>
      <c r="CT208">
        <f>56.85018625</f>
        <v>56.85018625</v>
      </c>
      <c r="CU208">
        <f>58.39738555</f>
        <v>58.397385550000003</v>
      </c>
      <c r="CV208">
        <f>47.27615349</f>
        <v>47.276153489999999</v>
      </c>
      <c r="CW208">
        <f>59.19409938</f>
        <v>59.194099379999997</v>
      </c>
      <c r="CX208">
        <f>57.56315418</f>
        <v>57.563154179999998</v>
      </c>
      <c r="CY208">
        <f>56.76280785</f>
        <v>56.762807850000002</v>
      </c>
      <c r="CZ208">
        <f>57.19815844</f>
        <v>57.19815844</v>
      </c>
      <c r="DA208">
        <f>59.29830717</f>
        <v>59.298307170000001</v>
      </c>
      <c r="DB208">
        <f>57.24212585</f>
        <v>57.242125850000001</v>
      </c>
      <c r="DC208">
        <f>59.01448901</f>
        <v>59.014489009999998</v>
      </c>
      <c r="DD208">
        <f>58.84972425</f>
        <v>58.849724250000001</v>
      </c>
      <c r="DE208">
        <f>59.01977085</f>
        <v>59.01977085</v>
      </c>
      <c r="DF208">
        <f>60.15979799</f>
        <v>60.159797990000001</v>
      </c>
      <c r="DG208">
        <f>58.04748436</f>
        <v>58.047484359999999</v>
      </c>
      <c r="DH208">
        <f>59.9793594</f>
        <v>59.9793594</v>
      </c>
      <c r="DI208">
        <f>60.27549082</f>
        <v>60.275490820000002</v>
      </c>
      <c r="DJ208">
        <f>61.13946637</f>
        <v>61.139466370000001</v>
      </c>
      <c r="DK208">
        <f>61.4515347</f>
        <v>61.451534700000003</v>
      </c>
      <c r="DL208">
        <f>62.55015516</f>
        <v>62.550155160000003</v>
      </c>
      <c r="DM208">
        <f>62.84549257</f>
        <v>62.845492569999998</v>
      </c>
      <c r="DN208">
        <f>60.46843394</f>
        <v>60.468433939999997</v>
      </c>
      <c r="DO208">
        <f>62.40083386</f>
        <v>62.400833859999999</v>
      </c>
      <c r="DP208">
        <f>62.90269962</f>
        <v>62.90269962</v>
      </c>
      <c r="DQ208">
        <f>63.00622894</f>
        <v>63.00622894</v>
      </c>
      <c r="DR208">
        <f>63.15122654</f>
        <v>63.151226540000003</v>
      </c>
      <c r="DS208">
        <f>62.10671227</f>
        <v>62.106712270000003</v>
      </c>
      <c r="DT208">
        <f>59.72519506</f>
        <v>59.725195059999997</v>
      </c>
      <c r="DU208">
        <f>58.64159047</f>
        <v>58.641590469999997</v>
      </c>
    </row>
    <row r="209" spans="1:125">
      <c r="A209" t="str">
        <f>"    VEREIT Inc"</f>
        <v xml:space="preserve">    VEREIT Inc</v>
      </c>
      <c r="B209" t="str">
        <f>"VER US Equity"</f>
        <v>VER US Equity</v>
      </c>
      <c r="C209" t="str">
        <f t="shared" si="36"/>
        <v>RX225</v>
      </c>
      <c r="D209" t="str">
        <f t="shared" si="37"/>
        <v>EBITDA_TO_REVENUE</v>
      </c>
      <c r="E209" t="str">
        <f t="shared" si="38"/>
        <v>动态</v>
      </c>
      <c r="F209" t="str">
        <f ca="1">IF(AND(ISNUMBER($F$658),$B$419=1),$F$658,HLOOKUP(INDIRECT(ADDRESS(2,COLUMN())),OFFSET($BN$2,0,0,ROW()-1,60),ROW()-1,FALSE))</f>
        <v/>
      </c>
      <c r="G209">
        <f ca="1">IF(AND(ISNUMBER($G$658),$B$419=1),$G$658,HLOOKUP(INDIRECT(ADDRESS(2,COLUMN())),OFFSET($BN$2,0,0,ROW()-1,60),ROW()-1,FALSE))</f>
        <v>73.884630079999994</v>
      </c>
      <c r="H209">
        <f ca="1">IF(AND(ISNUMBER($H$658),$B$419=1),$H$658,HLOOKUP(INDIRECT(ADDRESS(2,COLUMN())),OFFSET($BN$2,0,0,ROW()-1,60),ROW()-1,FALSE))</f>
        <v>76.150338000000005</v>
      </c>
      <c r="I209">
        <f ca="1">IF(AND(ISNUMBER($I$658),$B$419=1),$I$658,HLOOKUP(INDIRECT(ADDRESS(2,COLUMN())),OFFSET($BN$2,0,0,ROW()-1,60),ROW()-1,FALSE))</f>
        <v>73.110141569999996</v>
      </c>
      <c r="J209">
        <f ca="1">IF(AND(ISNUMBER($J$658),$B$419=1),$J$658,HLOOKUP(INDIRECT(ADDRESS(2,COLUMN())),OFFSET($BN$2,0,0,ROW()-1,60),ROW()-1,FALSE))</f>
        <v>77.210807149999994</v>
      </c>
      <c r="K209">
        <f ca="1">IF(AND(ISNUMBER($K$658),$B$419=1),$K$658,HLOOKUP(INDIRECT(ADDRESS(2,COLUMN())),OFFSET($BN$2,0,0,ROW()-1,60),ROW()-1,FALSE))</f>
        <v>40.806663839999999</v>
      </c>
      <c r="L209">
        <f ca="1">IF(AND(ISNUMBER($L$658),$B$419=1),$L$658,HLOOKUP(INDIRECT(ADDRESS(2,COLUMN())),OFFSET($BN$2,0,0,ROW()-1,60),ROW()-1,FALSE))</f>
        <v>78.722290340000001</v>
      </c>
      <c r="M209">
        <f ca="1">IF(AND(ISNUMBER($M$658),$B$419=1),$M$658,HLOOKUP(INDIRECT(ADDRESS(2,COLUMN())),OFFSET($BN$2,0,0,ROW()-1,60),ROW()-1,FALSE))</f>
        <v>76.958053359999994</v>
      </c>
      <c r="N209">
        <f ca="1">IF(AND(ISNUMBER($N$658),$B$419=1),$N$658,HLOOKUP(INDIRECT(ADDRESS(2,COLUMN())),OFFSET($BN$2,0,0,ROW()-1,60),ROW()-1,FALSE))</f>
        <v>39.349899729999997</v>
      </c>
      <c r="O209">
        <f ca="1">IF(AND(ISNUMBER($O$658),$B$419=1),$O$658,HLOOKUP(INDIRECT(ADDRESS(2,COLUMN())),OFFSET($BN$2,0,0,ROW()-1,60),ROW()-1,FALSE))</f>
        <v>21.64231273</v>
      </c>
      <c r="P209">
        <f ca="1">IF(AND(ISNUMBER($P$658),$B$419=1),$P$658,HLOOKUP(INDIRECT(ADDRESS(2,COLUMN())),OFFSET($BN$2,0,0,ROW()-1,60),ROW()-1,FALSE))</f>
        <v>81.550003380000007</v>
      </c>
      <c r="Q209">
        <f ca="1">IF(AND(ISNUMBER($Q$658),$B$419=1),$Q$658,HLOOKUP(INDIRECT(ADDRESS(2,COLUMN())),OFFSET($BN$2,0,0,ROW()-1,60),ROW()-1,FALSE))</f>
        <v>56.582199070000001</v>
      </c>
      <c r="R209">
        <f ca="1">IF(AND(ISNUMBER($R$658),$B$419=1),$R$658,HLOOKUP(INDIRECT(ADDRESS(2,COLUMN())),OFFSET($BN$2,0,0,ROW()-1,60),ROW()-1,FALSE))</f>
        <v>79.751908779999994</v>
      </c>
      <c r="S209">
        <f ca="1">IF(AND(ISNUMBER($S$658),$B$419=1),$S$658,HLOOKUP(INDIRECT(ADDRESS(2,COLUMN())),OFFSET($BN$2,0,0,ROW()-1,60),ROW()-1,FALSE))</f>
        <v>-14.63920135</v>
      </c>
      <c r="T209">
        <f ca="1">IF(AND(ISNUMBER($T$658),$B$419=1),$T$658,HLOOKUP(INDIRECT(ADDRESS(2,COLUMN())),OFFSET($BN$2,0,0,ROW()-1,60),ROW()-1,FALSE))</f>
        <v>77.181821760000005</v>
      </c>
      <c r="U209">
        <f ca="1">IF(AND(ISNUMBER($U$658),$B$419=1),$U$658,HLOOKUP(INDIRECT(ADDRESS(2,COLUMN())),OFFSET($BN$2,0,0,ROW()-1,60),ROW()-1,FALSE))</f>
        <v>83.742915600000003</v>
      </c>
      <c r="V209">
        <f ca="1">IF(AND(ISNUMBER($V$658),$B$419=1),$V$658,HLOOKUP(INDIRECT(ADDRESS(2,COLUMN())),OFFSET($BN$2,0,0,ROW()-1,60),ROW()-1,FALSE))</f>
        <v>16.87321347</v>
      </c>
      <c r="W209">
        <f ca="1">IF(AND(ISNUMBER($W$658),$B$419=1),$W$658,HLOOKUP(INDIRECT(ADDRESS(2,COLUMN())),OFFSET($BN$2,0,0,ROW()-1,60),ROW()-1,FALSE))</f>
        <v>-19.207352709999999</v>
      </c>
      <c r="X209">
        <f ca="1">IF(AND(ISNUMBER($X$658),$B$419=1),$X$658,HLOOKUP(INDIRECT(ADDRESS(2,COLUMN())),OFFSET($BN$2,0,0,ROW()-1,60),ROW()-1,FALSE))</f>
        <v>54.445435940000003</v>
      </c>
      <c r="Y209">
        <f ca="1">IF(AND(ISNUMBER($Y$658),$B$419=1),$Y$658,HLOOKUP(INDIRECT(ADDRESS(2,COLUMN())),OFFSET($BN$2,0,0,ROW()-1,60),ROW()-1,FALSE))</f>
        <v>8.8706888710000005</v>
      </c>
      <c r="Z209">
        <f ca="1">IF(AND(ISNUMBER($Z$658),$B$419=1),$Z$658,HLOOKUP(INDIRECT(ADDRESS(2,COLUMN())),OFFSET($BN$2,0,0,ROW()-1,60),ROW()-1,FALSE))</f>
        <v>-253.77299110000001</v>
      </c>
      <c r="AA209">
        <f ca="1">IF(AND(ISNUMBER($AA$658),$B$419=1),$AA$658,HLOOKUP(INDIRECT(ADDRESS(2,COLUMN())),OFFSET($BN$2,0,0,ROW()-1,60),ROW()-1,FALSE))</f>
        <v>27.621866059999999</v>
      </c>
      <c r="AB209">
        <f ca="1">IF(AND(ISNUMBER($AB$658),$B$419=1),$AB$658,HLOOKUP(INDIRECT(ADDRESS(2,COLUMN())),OFFSET($BN$2,0,0,ROW()-1,60),ROW()-1,FALSE))</f>
        <v>14.997874149999999</v>
      </c>
      <c r="AC209">
        <f ca="1">IF(AND(ISNUMBER($AC$658),$B$419=1),$AC$658,HLOOKUP(INDIRECT(ADDRESS(2,COLUMN())),OFFSET($BN$2,0,0,ROW()-1,60),ROW()-1,FALSE))</f>
        <v>26.96412948</v>
      </c>
      <c r="AD209">
        <f ca="1">IF(AND(ISNUMBER($AD$658),$B$419=1),$AD$658,HLOOKUP(INDIRECT(ADDRESS(2,COLUMN())),OFFSET($BN$2,0,0,ROW()-1,60),ROW()-1,FALSE))</f>
        <v>8.0448717950000006</v>
      </c>
      <c r="AE209">
        <f ca="1">IF(AND(ISNUMBER($AE$658),$B$419=1),$AE$658,HLOOKUP(INDIRECT(ADDRESS(2,COLUMN())),OFFSET($BN$2,0,0,ROW()-1,60),ROW()-1,FALSE))</f>
        <v>-103.2611005</v>
      </c>
      <c r="AF209">
        <f ca="1">IF(AND(ISNUMBER($AF$658),$B$419=1),$AF$658,HLOOKUP(INDIRECT(ADDRESS(2,COLUMN())),OFFSET($BN$2,0,0,ROW()-1,60),ROW()-1,FALSE))</f>
        <v>-19.444444440000002</v>
      </c>
      <c r="AG209" t="str">
        <f ca="1">IF(AND(ISNUMBER($AG$658),$B$419=1),$AG$658,HLOOKUP(INDIRECT(ADDRESS(2,COLUMN())),OFFSET($BN$2,0,0,ROW()-1,60),ROW()-1,FALSE))</f>
        <v/>
      </c>
      <c r="AH209">
        <f ca="1">IF(AND(ISNUMBER($AH$658),$B$419=1),$AH$658,HLOOKUP(INDIRECT(ADDRESS(2,COLUMN())),OFFSET($BN$2,0,0,ROW()-1,60),ROW()-1,FALSE))</f>
        <v>115.6109969</v>
      </c>
      <c r="AI209" t="str">
        <f ca="1">IF(AND(ISNUMBER($AI$658),$B$419=1),$AI$658,HLOOKUP(INDIRECT(ADDRESS(2,COLUMN())),OFFSET($BN$2,0,0,ROW()-1,60),ROW()-1,FALSE))</f>
        <v/>
      </c>
      <c r="AJ209" t="str">
        <f ca="1">IF(AND(ISNUMBER($AJ$658),$B$419=1),$AJ$658,HLOOKUP(INDIRECT(ADDRESS(2,COLUMN())),OFFSET($BN$2,0,0,ROW()-1,60),ROW()-1,FALSE))</f>
        <v/>
      </c>
      <c r="AK209" t="str">
        <f ca="1">IF(AND(ISNUMBER($AK$658),$B$419=1),$AK$658,HLOOKUP(INDIRECT(ADDRESS(2,COLUMN())),OFFSET($BN$2,0,0,ROW()-1,60),ROW()-1,FALSE))</f>
        <v/>
      </c>
      <c r="AL209">
        <f ca="1">IF(AND(ISNUMBER($AL$658),$B$419=1),$AL$658,HLOOKUP(INDIRECT(ADDRESS(2,COLUMN())),OFFSET($BN$2,0,0,ROW()-1,60),ROW()-1,FALSE))</f>
        <v>116.4971872</v>
      </c>
      <c r="AM209" t="str">
        <f ca="1">IF(AND(ISNUMBER($AM$658),$B$419=1),$AM$658,HLOOKUP(INDIRECT(ADDRESS(2,COLUMN())),OFFSET($BN$2,0,0,ROW()-1,60),ROW()-1,FALSE))</f>
        <v/>
      </c>
      <c r="AN209" t="str">
        <f ca="1">IF(AND(ISNUMBER($AN$658),$B$419=1),$AN$658,HLOOKUP(INDIRECT(ADDRESS(2,COLUMN())),OFFSET($BN$2,0,0,ROW()-1,60),ROW()-1,FALSE))</f>
        <v/>
      </c>
      <c r="AO209" t="str">
        <f ca="1">IF(AND(ISNUMBER($AO$658),$B$419=1),$AO$658,HLOOKUP(INDIRECT(ADDRESS(2,COLUMN())),OFFSET($BN$2,0,0,ROW()-1,60),ROW()-1,FALSE))</f>
        <v/>
      </c>
      <c r="AP209" t="str">
        <f ca="1">IF(AND(ISNUMBER($AP$658),$B$419=1),$AP$658,HLOOKUP(INDIRECT(ADDRESS(2,COLUMN())),OFFSET($BN$2,0,0,ROW()-1,60),ROW()-1,FALSE))</f>
        <v/>
      </c>
      <c r="AQ209" t="str">
        <f ca="1">IF(AND(ISNUMBER($AQ$658),$B$419=1),$AQ$658,HLOOKUP(INDIRECT(ADDRESS(2,COLUMN())),OFFSET($BN$2,0,0,ROW()-1,60),ROW()-1,FALSE))</f>
        <v/>
      </c>
      <c r="AR209" t="str">
        <f ca="1">IF(AND(ISNUMBER($AR$658),$B$419=1),$AR$658,HLOOKUP(INDIRECT(ADDRESS(2,COLUMN())),OFFSET($BN$2,0,0,ROW()-1,60),ROW()-1,FALSE))</f>
        <v/>
      </c>
      <c r="AS209" t="str">
        <f ca="1">IF(AND(ISNUMBER($AS$658),$B$419=1),$AS$658,HLOOKUP(INDIRECT(ADDRESS(2,COLUMN())),OFFSET($BN$2,0,0,ROW()-1,60),ROW()-1,FALSE))</f>
        <v/>
      </c>
      <c r="AT209" t="str">
        <f ca="1">IF(AND(ISNUMBER($AT$658),$B$419=1),$AT$658,HLOOKUP(INDIRECT(ADDRESS(2,COLUMN())),OFFSET($BN$2,0,0,ROW()-1,60),ROW()-1,FALSE))</f>
        <v/>
      </c>
      <c r="AU209" t="str">
        <f ca="1">IF(AND(ISNUMBER($AU$658),$B$419=1),$AU$658,HLOOKUP(INDIRECT(ADDRESS(2,COLUMN())),OFFSET($BN$2,0,0,ROW()-1,60),ROW()-1,FALSE))</f>
        <v/>
      </c>
      <c r="AV209" t="str">
        <f ca="1">IF(AND(ISNUMBER($AV$658),$B$419=1),$AV$658,HLOOKUP(INDIRECT(ADDRESS(2,COLUMN())),OFFSET($BN$2,0,0,ROW()-1,60),ROW()-1,FALSE))</f>
        <v/>
      </c>
      <c r="AW209" t="str">
        <f ca="1">IF(AND(ISNUMBER($AW$658),$B$419=1),$AW$658,HLOOKUP(INDIRECT(ADDRESS(2,COLUMN())),OFFSET($BN$2,0,0,ROW()-1,60),ROW()-1,FALSE))</f>
        <v/>
      </c>
      <c r="AX209" t="str">
        <f ca="1">IF(AND(ISNUMBER($AX$658),$B$419=1),$AX$658,HLOOKUP(INDIRECT(ADDRESS(2,COLUMN())),OFFSET($BN$2,0,0,ROW()-1,60),ROW()-1,FALSE))</f>
        <v/>
      </c>
      <c r="AY209" t="str">
        <f ca="1">IF(AND(ISNUMBER($AY$658),$B$419=1),$AY$658,HLOOKUP(INDIRECT(ADDRESS(2,COLUMN())),OFFSET($BN$2,0,0,ROW()-1,60),ROW()-1,FALSE))</f>
        <v/>
      </c>
      <c r="AZ209" t="str">
        <f ca="1">IF(AND(ISNUMBER($AZ$658),$B$419=1),$AZ$658,HLOOKUP(INDIRECT(ADDRESS(2,COLUMN())),OFFSET($BN$2,0,0,ROW()-1,60),ROW()-1,FALSE))</f>
        <v/>
      </c>
      <c r="BA209" t="str">
        <f ca="1">IF(AND(ISNUMBER($BA$658),$B$419=1),$BA$658,HLOOKUP(INDIRECT(ADDRESS(2,COLUMN())),OFFSET($BN$2,0,0,ROW()-1,60),ROW()-1,FALSE))</f>
        <v/>
      </c>
      <c r="BB209" t="str">
        <f ca="1">IF(AND(ISNUMBER($BB$658),$B$419=1),$BB$658,HLOOKUP(INDIRECT(ADDRESS(2,COLUMN())),OFFSET($BN$2,0,0,ROW()-1,60),ROW()-1,FALSE))</f>
        <v/>
      </c>
      <c r="BC209" t="str">
        <f ca="1">IF(AND(ISNUMBER($BC$658),$B$419=1),$BC$658,HLOOKUP(INDIRECT(ADDRESS(2,COLUMN())),OFFSET($BN$2,0,0,ROW()-1,60),ROW()-1,FALSE))</f>
        <v/>
      </c>
      <c r="BD209" t="str">
        <f ca="1">IF(AND(ISNUMBER($BD$658),$B$419=1),$BD$658,HLOOKUP(INDIRECT(ADDRESS(2,COLUMN())),OFFSET($BN$2,0,0,ROW()-1,60),ROW()-1,FALSE))</f>
        <v/>
      </c>
      <c r="BE209" t="str">
        <f ca="1">IF(AND(ISNUMBER($BE$658),$B$419=1),$BE$658,HLOOKUP(INDIRECT(ADDRESS(2,COLUMN())),OFFSET($BN$2,0,0,ROW()-1,60),ROW()-1,FALSE))</f>
        <v/>
      </c>
      <c r="BF209" t="str">
        <f ca="1">IF(AND(ISNUMBER($BF$658),$B$419=1),$BF$658,HLOOKUP(INDIRECT(ADDRESS(2,COLUMN())),OFFSET($BN$2,0,0,ROW()-1,60),ROW()-1,FALSE))</f>
        <v/>
      </c>
      <c r="BG209" t="str">
        <f ca="1">IF(AND(ISNUMBER($BG$658),$B$419=1),$BG$658,HLOOKUP(INDIRECT(ADDRESS(2,COLUMN())),OFFSET($BN$2,0,0,ROW()-1,60),ROW()-1,FALSE))</f>
        <v/>
      </c>
      <c r="BH209" t="str">
        <f ca="1">IF(AND(ISNUMBER($BH$658),$B$419=1),$BH$658,HLOOKUP(INDIRECT(ADDRESS(2,COLUMN())),OFFSET($BN$2,0,0,ROW()-1,60),ROW()-1,FALSE))</f>
        <v/>
      </c>
      <c r="BI209" t="str">
        <f ca="1">IF(AND(ISNUMBER($BI$658),$B$419=1),$BI$658,HLOOKUP(INDIRECT(ADDRESS(2,COLUMN())),OFFSET($BN$2,0,0,ROW()-1,60),ROW()-1,FALSE))</f>
        <v/>
      </c>
      <c r="BJ209" t="str">
        <f ca="1">IF(AND(ISNUMBER($BJ$658),$B$419=1),$BJ$658,HLOOKUP(INDIRECT(ADDRESS(2,COLUMN())),OFFSET($BN$2,0,0,ROW()-1,60),ROW()-1,FALSE))</f>
        <v/>
      </c>
      <c r="BK209" t="str">
        <f ca="1">IF(AND(ISNUMBER($BK$658),$B$419=1),$BK$658,HLOOKUP(INDIRECT(ADDRESS(2,COLUMN())),OFFSET($BN$2,0,0,ROW()-1,60),ROW()-1,FALSE))</f>
        <v/>
      </c>
      <c r="BL209" t="str">
        <f ca="1">IF(AND(ISNUMBER($BL$658),$B$419=1),$BL$658,HLOOKUP(INDIRECT(ADDRESS(2,COLUMN())),OFFSET($BN$2,0,0,ROW()-1,60),ROW()-1,FALSE))</f>
        <v/>
      </c>
      <c r="BM209" t="str">
        <f ca="1">IF(AND(ISNUMBER($BM$658),$B$419=1),$BM$658,HLOOKUP(INDIRECT(ADDRESS(2,COLUMN())),OFFSET($BN$2,0,0,ROW()-1,60),ROW()-1,FALSE))</f>
        <v/>
      </c>
      <c r="BN209" t="str">
        <f>""</f>
        <v/>
      </c>
      <c r="BO209">
        <f>73.88463008</f>
        <v>73.884630079999994</v>
      </c>
      <c r="BP209">
        <f>76.150338</f>
        <v>76.150338000000005</v>
      </c>
      <c r="BQ209">
        <f>73.11014157</f>
        <v>73.110141569999996</v>
      </c>
      <c r="BR209">
        <f>77.21080715</f>
        <v>77.210807149999994</v>
      </c>
      <c r="BS209">
        <f>40.80666384</f>
        <v>40.806663839999999</v>
      </c>
      <c r="BT209">
        <f>78.72229034</f>
        <v>78.722290340000001</v>
      </c>
      <c r="BU209">
        <f>76.95805336</f>
        <v>76.958053359999994</v>
      </c>
      <c r="BV209">
        <f>39.34989973</f>
        <v>39.349899729999997</v>
      </c>
      <c r="BW209">
        <f>21.64231273</f>
        <v>21.64231273</v>
      </c>
      <c r="BX209">
        <f>81.55000338</f>
        <v>81.550003380000007</v>
      </c>
      <c r="BY209">
        <f>56.58219907</f>
        <v>56.582199070000001</v>
      </c>
      <c r="BZ209">
        <f>79.75190878</f>
        <v>79.751908779999994</v>
      </c>
      <c r="CA209">
        <f>-14.63920135</f>
        <v>-14.63920135</v>
      </c>
      <c r="CB209">
        <f>77.18182176</f>
        <v>77.181821760000005</v>
      </c>
      <c r="CC209">
        <f>83.7429156</f>
        <v>83.742915600000003</v>
      </c>
      <c r="CD209">
        <f>16.87321347</f>
        <v>16.87321347</v>
      </c>
      <c r="CE209">
        <f>-19.20735271</f>
        <v>-19.207352709999999</v>
      </c>
      <c r="CF209">
        <f>54.44543594</f>
        <v>54.445435940000003</v>
      </c>
      <c r="CG209">
        <f>8.870688871</f>
        <v>8.8706888710000005</v>
      </c>
      <c r="CH209">
        <f>-253.7729911</f>
        <v>-253.77299110000001</v>
      </c>
      <c r="CI209">
        <f>27.62186606</f>
        <v>27.621866059999999</v>
      </c>
      <c r="CJ209">
        <f>14.99787415</f>
        <v>14.997874149999999</v>
      </c>
      <c r="CK209">
        <f>26.96412948</f>
        <v>26.96412948</v>
      </c>
      <c r="CL209">
        <f>8.044871795</f>
        <v>8.0448717950000006</v>
      </c>
      <c r="CM209">
        <f>-103.2611005</f>
        <v>-103.2611005</v>
      </c>
      <c r="CN209">
        <f>-19.44444444</f>
        <v>-19.444444440000002</v>
      </c>
      <c r="CO209" t="str">
        <f>""</f>
        <v/>
      </c>
      <c r="CP209">
        <f>115.6109969</f>
        <v>115.6109969</v>
      </c>
      <c r="CQ209" t="str">
        <f>""</f>
        <v/>
      </c>
      <c r="CR209" t="str">
        <f>""</f>
        <v/>
      </c>
      <c r="CS209" t="str">
        <f>""</f>
        <v/>
      </c>
      <c r="CT209">
        <f>116.4971872</f>
        <v>116.4971872</v>
      </c>
      <c r="CU209" t="str">
        <f>""</f>
        <v/>
      </c>
      <c r="CV209" t="str">
        <f>""</f>
        <v/>
      </c>
      <c r="CW209" t="str">
        <f>""</f>
        <v/>
      </c>
      <c r="CX209" t="str">
        <f>""</f>
        <v/>
      </c>
      <c r="CY209" t="str">
        <f>""</f>
        <v/>
      </c>
      <c r="CZ209" t="str">
        <f>""</f>
        <v/>
      </c>
      <c r="DA209" t="str">
        <f>""</f>
        <v/>
      </c>
      <c r="DB209" t="str">
        <f>""</f>
        <v/>
      </c>
      <c r="DC209" t="str">
        <f>""</f>
        <v/>
      </c>
      <c r="DD209" t="str">
        <f>""</f>
        <v/>
      </c>
      <c r="DE209" t="str">
        <f>""</f>
        <v/>
      </c>
      <c r="DF209" t="str">
        <f>""</f>
        <v/>
      </c>
      <c r="DG209" t="str">
        <f>""</f>
        <v/>
      </c>
      <c r="DH209" t="str">
        <f>""</f>
        <v/>
      </c>
      <c r="DI209" t="str">
        <f>""</f>
        <v/>
      </c>
      <c r="DJ209" t="str">
        <f>""</f>
        <v/>
      </c>
      <c r="DK209" t="str">
        <f>""</f>
        <v/>
      </c>
      <c r="DL209" t="str">
        <f>""</f>
        <v/>
      </c>
      <c r="DM209" t="str">
        <f>""</f>
        <v/>
      </c>
      <c r="DN209" t="str">
        <f>""</f>
        <v/>
      </c>
      <c r="DO209" t="str">
        <f>""</f>
        <v/>
      </c>
      <c r="DP209" t="str">
        <f>""</f>
        <v/>
      </c>
      <c r="DQ209" t="str">
        <f>""</f>
        <v/>
      </c>
      <c r="DR209" t="str">
        <f>""</f>
        <v/>
      </c>
      <c r="DS209" t="str">
        <f>""</f>
        <v/>
      </c>
      <c r="DT209" t="str">
        <f>""</f>
        <v/>
      </c>
      <c r="DU209" t="str">
        <f>""</f>
        <v/>
      </c>
    </row>
    <row r="210" spans="1:125">
      <c r="A210" t="str">
        <f>"    Washington Prime Group Inc"</f>
        <v xml:space="preserve">    Washington Prime Group Inc</v>
      </c>
      <c r="B210" t="str">
        <f>"WPG US Equity"</f>
        <v>WPG US Equity</v>
      </c>
      <c r="C210" t="str">
        <f t="shared" si="36"/>
        <v>RX225</v>
      </c>
      <c r="D210" t="str">
        <f t="shared" si="37"/>
        <v>EBITDA_TO_REVENUE</v>
      </c>
      <c r="E210" t="str">
        <f t="shared" si="38"/>
        <v>动态</v>
      </c>
      <c r="F210" t="str">
        <f ca="1">IF(AND(ISNUMBER($F$659),$B$419=1),$F$659,HLOOKUP(INDIRECT(ADDRESS(2,COLUMN())),OFFSET($BN$2,0,0,ROW()-1,60),ROW()-1,FALSE))</f>
        <v/>
      </c>
      <c r="G210">
        <f ca="1">IF(AND(ISNUMBER($G$659),$B$419=1),$G$659,HLOOKUP(INDIRECT(ADDRESS(2,COLUMN())),OFFSET($BN$2,0,0,ROW()-1,60),ROW()-1,FALSE))</f>
        <v>43.815592000000002</v>
      </c>
      <c r="H210">
        <f ca="1">IF(AND(ISNUMBER($H$659),$B$419=1),$H$659,HLOOKUP(INDIRECT(ADDRESS(2,COLUMN())),OFFSET($BN$2,0,0,ROW()-1,60),ROW()-1,FALSE))</f>
        <v>50.96531341</v>
      </c>
      <c r="I210">
        <f ca="1">IF(AND(ISNUMBER($I$659),$B$419=1),$I$659,HLOOKUP(INDIRECT(ADDRESS(2,COLUMN())),OFFSET($BN$2,0,0,ROW()-1,60),ROW()-1,FALSE))</f>
        <v>61.192783249999998</v>
      </c>
      <c r="J210">
        <f ca="1">IF(AND(ISNUMBER($J$659),$B$419=1),$J$659,HLOOKUP(INDIRECT(ADDRESS(2,COLUMN())),OFFSET($BN$2,0,0,ROW()-1,60),ROW()-1,FALSE))</f>
        <v>57.573347040000002</v>
      </c>
      <c r="K210">
        <f ca="1">IF(AND(ISNUMBER($K$659),$B$419=1),$K$659,HLOOKUP(INDIRECT(ADDRESS(2,COLUMN())),OFFSET($BN$2,0,0,ROW()-1,60),ROW()-1,FALSE))</f>
        <v>61.557499370000002</v>
      </c>
      <c r="L210">
        <f ca="1">IF(AND(ISNUMBER($L$659),$B$419=1),$L$659,HLOOKUP(INDIRECT(ADDRESS(2,COLUMN())),OFFSET($BN$2,0,0,ROW()-1,60),ROW()-1,FALSE))</f>
        <v>50.911290860000001</v>
      </c>
      <c r="M210">
        <f ca="1">IF(AND(ISNUMBER($M$659),$B$419=1),$M$659,HLOOKUP(INDIRECT(ADDRESS(2,COLUMN())),OFFSET($BN$2,0,0,ROW()-1,60),ROW()-1,FALSE))</f>
        <v>50.517162599999999</v>
      </c>
      <c r="N210">
        <f ca="1">IF(AND(ISNUMBER($N$659),$B$419=1),$N$659,HLOOKUP(INDIRECT(ADDRESS(2,COLUMN())),OFFSET($BN$2,0,0,ROW()-1,60),ROW()-1,FALSE))</f>
        <v>59.874494720000001</v>
      </c>
      <c r="O210">
        <f ca="1">IF(AND(ISNUMBER($O$659),$B$419=1),$O$659,HLOOKUP(INDIRECT(ADDRESS(2,COLUMN())),OFFSET($BN$2,0,0,ROW()-1,60),ROW()-1,FALSE))</f>
        <v>-1.510177568</v>
      </c>
      <c r="P210">
        <f ca="1">IF(AND(ISNUMBER($P$659),$B$419=1),$P$659,HLOOKUP(INDIRECT(ADDRESS(2,COLUMN())),OFFSET($BN$2,0,0,ROW()-1,60),ROW()-1,FALSE))</f>
        <v>53.227614780000003</v>
      </c>
      <c r="Q210">
        <f ca="1">IF(AND(ISNUMBER($Q$659),$B$419=1),$Q$659,HLOOKUP(INDIRECT(ADDRESS(2,COLUMN())),OFFSET($BN$2,0,0,ROW()-1,60),ROW()-1,FALSE))</f>
        <v>56.16137887</v>
      </c>
      <c r="R210">
        <f ca="1">IF(AND(ISNUMBER($R$659),$B$419=1),$R$659,HLOOKUP(INDIRECT(ADDRESS(2,COLUMN())),OFFSET($BN$2,0,0,ROW()-1,60),ROW()-1,FALSE))</f>
        <v>49.777046749999997</v>
      </c>
      <c r="S210">
        <f ca="1">IF(AND(ISNUMBER($S$659),$B$419=1),$S$659,HLOOKUP(INDIRECT(ADDRESS(2,COLUMN())),OFFSET($BN$2,0,0,ROW()-1,60),ROW()-1,FALSE))</f>
        <v>61.455853990000001</v>
      </c>
      <c r="T210">
        <f ca="1">IF(AND(ISNUMBER($T$659),$B$419=1),$T$659,HLOOKUP(INDIRECT(ADDRESS(2,COLUMN())),OFFSET($BN$2,0,0,ROW()-1,60),ROW()-1,FALSE))</f>
        <v>61.499606399999998</v>
      </c>
      <c r="U210">
        <f ca="1">IF(AND(ISNUMBER($U$659),$B$419=1),$U$659,HLOOKUP(INDIRECT(ADDRESS(2,COLUMN())),OFFSET($BN$2,0,0,ROW()-1,60),ROW()-1,FALSE))</f>
        <v>39.651019439999999</v>
      </c>
      <c r="V210">
        <f ca="1">IF(AND(ISNUMBER($V$659),$B$419=1),$V$659,HLOOKUP(INDIRECT(ADDRESS(2,COLUMN())),OFFSET($BN$2,0,0,ROW()-1,60),ROW()-1,FALSE))</f>
        <v>64.12144155</v>
      </c>
      <c r="W210" t="str">
        <f ca="1">IF(AND(ISNUMBER($W$659),$B$419=1),$W$659,HLOOKUP(INDIRECT(ADDRESS(2,COLUMN())),OFFSET($BN$2,0,0,ROW()-1,60),ROW()-1,FALSE))</f>
        <v/>
      </c>
      <c r="X210" t="str">
        <f ca="1">IF(AND(ISNUMBER($X$659),$B$419=1),$X$659,HLOOKUP(INDIRECT(ADDRESS(2,COLUMN())),OFFSET($BN$2,0,0,ROW()-1,60),ROW()-1,FALSE))</f>
        <v/>
      </c>
      <c r="Y210" t="str">
        <f ca="1">IF(AND(ISNUMBER($Y$659),$B$419=1),$Y$659,HLOOKUP(INDIRECT(ADDRESS(2,COLUMN())),OFFSET($BN$2,0,0,ROW()-1,60),ROW()-1,FALSE))</f>
        <v/>
      </c>
      <c r="Z210" t="str">
        <f ca="1">IF(AND(ISNUMBER($Z$659),$B$419=1),$Z$659,HLOOKUP(INDIRECT(ADDRESS(2,COLUMN())),OFFSET($BN$2,0,0,ROW()-1,60),ROW()-1,FALSE))</f>
        <v/>
      </c>
      <c r="AA210" t="str">
        <f ca="1">IF(AND(ISNUMBER($AA$659),$B$419=1),$AA$659,HLOOKUP(INDIRECT(ADDRESS(2,COLUMN())),OFFSET($BN$2,0,0,ROW()-1,60),ROW()-1,FALSE))</f>
        <v/>
      </c>
      <c r="AB210" t="str">
        <f ca="1">IF(AND(ISNUMBER($AB$659),$B$419=1),$AB$659,HLOOKUP(INDIRECT(ADDRESS(2,COLUMN())),OFFSET($BN$2,0,0,ROW()-1,60),ROW()-1,FALSE))</f>
        <v/>
      </c>
      <c r="AC210" t="str">
        <f ca="1">IF(AND(ISNUMBER($AC$659),$B$419=1),$AC$659,HLOOKUP(INDIRECT(ADDRESS(2,COLUMN())),OFFSET($BN$2,0,0,ROW()-1,60),ROW()-1,FALSE))</f>
        <v/>
      </c>
      <c r="AD210" t="str">
        <f ca="1">IF(AND(ISNUMBER($AD$659),$B$419=1),$AD$659,HLOOKUP(INDIRECT(ADDRESS(2,COLUMN())),OFFSET($BN$2,0,0,ROW()-1,60),ROW()-1,FALSE))</f>
        <v/>
      </c>
      <c r="AE210" t="str">
        <f ca="1">IF(AND(ISNUMBER($AE$659),$B$419=1),$AE$659,HLOOKUP(INDIRECT(ADDRESS(2,COLUMN())),OFFSET($BN$2,0,0,ROW()-1,60),ROW()-1,FALSE))</f>
        <v/>
      </c>
      <c r="AF210" t="str">
        <f ca="1">IF(AND(ISNUMBER($AF$659),$B$419=1),$AF$659,HLOOKUP(INDIRECT(ADDRESS(2,COLUMN())),OFFSET($BN$2,0,0,ROW()-1,60),ROW()-1,FALSE))</f>
        <v/>
      </c>
      <c r="AG210" t="str">
        <f ca="1">IF(AND(ISNUMBER($AG$659),$B$419=1),$AG$659,HLOOKUP(INDIRECT(ADDRESS(2,COLUMN())),OFFSET($BN$2,0,0,ROW()-1,60),ROW()-1,FALSE))</f>
        <v/>
      </c>
      <c r="AH210" t="str">
        <f ca="1">IF(AND(ISNUMBER($AH$659),$B$419=1),$AH$659,HLOOKUP(INDIRECT(ADDRESS(2,COLUMN())),OFFSET($BN$2,0,0,ROW()-1,60),ROW()-1,FALSE))</f>
        <v/>
      </c>
      <c r="AI210" t="str">
        <f ca="1">IF(AND(ISNUMBER($AI$659),$B$419=1),$AI$659,HLOOKUP(INDIRECT(ADDRESS(2,COLUMN())),OFFSET($BN$2,0,0,ROW()-1,60),ROW()-1,FALSE))</f>
        <v/>
      </c>
      <c r="AJ210" t="str">
        <f ca="1">IF(AND(ISNUMBER($AJ$659),$B$419=1),$AJ$659,HLOOKUP(INDIRECT(ADDRESS(2,COLUMN())),OFFSET($BN$2,0,0,ROW()-1,60),ROW()-1,FALSE))</f>
        <v/>
      </c>
      <c r="AK210" t="str">
        <f ca="1">IF(AND(ISNUMBER($AK$659),$B$419=1),$AK$659,HLOOKUP(INDIRECT(ADDRESS(2,COLUMN())),OFFSET($BN$2,0,0,ROW()-1,60),ROW()-1,FALSE))</f>
        <v/>
      </c>
      <c r="AL210" t="str">
        <f ca="1">IF(AND(ISNUMBER($AL$659),$B$419=1),$AL$659,HLOOKUP(INDIRECT(ADDRESS(2,COLUMN())),OFFSET($BN$2,0,0,ROW()-1,60),ROW()-1,FALSE))</f>
        <v/>
      </c>
      <c r="AM210" t="str">
        <f ca="1">IF(AND(ISNUMBER($AM$659),$B$419=1),$AM$659,HLOOKUP(INDIRECT(ADDRESS(2,COLUMN())),OFFSET($BN$2,0,0,ROW()-1,60),ROW()-1,FALSE))</f>
        <v/>
      </c>
      <c r="AN210" t="str">
        <f ca="1">IF(AND(ISNUMBER($AN$659),$B$419=1),$AN$659,HLOOKUP(INDIRECT(ADDRESS(2,COLUMN())),OFFSET($BN$2,0,0,ROW()-1,60),ROW()-1,FALSE))</f>
        <v/>
      </c>
      <c r="AO210" t="str">
        <f ca="1">IF(AND(ISNUMBER($AO$659),$B$419=1),$AO$659,HLOOKUP(INDIRECT(ADDRESS(2,COLUMN())),OFFSET($BN$2,0,0,ROW()-1,60),ROW()-1,FALSE))</f>
        <v/>
      </c>
      <c r="AP210" t="str">
        <f ca="1">IF(AND(ISNUMBER($AP$659),$B$419=1),$AP$659,HLOOKUP(INDIRECT(ADDRESS(2,COLUMN())),OFFSET($BN$2,0,0,ROW()-1,60),ROW()-1,FALSE))</f>
        <v/>
      </c>
      <c r="AQ210" t="str">
        <f ca="1">IF(AND(ISNUMBER($AQ$659),$B$419=1),$AQ$659,HLOOKUP(INDIRECT(ADDRESS(2,COLUMN())),OFFSET($BN$2,0,0,ROW()-1,60),ROW()-1,FALSE))</f>
        <v/>
      </c>
      <c r="AR210" t="str">
        <f ca="1">IF(AND(ISNUMBER($AR$659),$B$419=1),$AR$659,HLOOKUP(INDIRECT(ADDRESS(2,COLUMN())),OFFSET($BN$2,0,0,ROW()-1,60),ROW()-1,FALSE))</f>
        <v/>
      </c>
      <c r="AS210" t="str">
        <f ca="1">IF(AND(ISNUMBER($AS$659),$B$419=1),$AS$659,HLOOKUP(INDIRECT(ADDRESS(2,COLUMN())),OFFSET($BN$2,0,0,ROW()-1,60),ROW()-1,FALSE))</f>
        <v/>
      </c>
      <c r="AT210" t="str">
        <f ca="1">IF(AND(ISNUMBER($AT$659),$B$419=1),$AT$659,HLOOKUP(INDIRECT(ADDRESS(2,COLUMN())),OFFSET($BN$2,0,0,ROW()-1,60),ROW()-1,FALSE))</f>
        <v/>
      </c>
      <c r="AU210" t="str">
        <f ca="1">IF(AND(ISNUMBER($AU$659),$B$419=1),$AU$659,HLOOKUP(INDIRECT(ADDRESS(2,COLUMN())),OFFSET($BN$2,0,0,ROW()-1,60),ROW()-1,FALSE))</f>
        <v/>
      </c>
      <c r="AV210" t="str">
        <f ca="1">IF(AND(ISNUMBER($AV$659),$B$419=1),$AV$659,HLOOKUP(INDIRECT(ADDRESS(2,COLUMN())),OFFSET($BN$2,0,0,ROW()-1,60),ROW()-1,FALSE))</f>
        <v/>
      </c>
      <c r="AW210" t="str">
        <f ca="1">IF(AND(ISNUMBER($AW$659),$B$419=1),$AW$659,HLOOKUP(INDIRECT(ADDRESS(2,COLUMN())),OFFSET($BN$2,0,0,ROW()-1,60),ROW()-1,FALSE))</f>
        <v/>
      </c>
      <c r="AX210" t="str">
        <f ca="1">IF(AND(ISNUMBER($AX$659),$B$419=1),$AX$659,HLOOKUP(INDIRECT(ADDRESS(2,COLUMN())),OFFSET($BN$2,0,0,ROW()-1,60),ROW()-1,FALSE))</f>
        <v/>
      </c>
      <c r="AY210" t="str">
        <f ca="1">IF(AND(ISNUMBER($AY$659),$B$419=1),$AY$659,HLOOKUP(INDIRECT(ADDRESS(2,COLUMN())),OFFSET($BN$2,0,0,ROW()-1,60),ROW()-1,FALSE))</f>
        <v/>
      </c>
      <c r="AZ210" t="str">
        <f ca="1">IF(AND(ISNUMBER($AZ$659),$B$419=1),$AZ$659,HLOOKUP(INDIRECT(ADDRESS(2,COLUMN())),OFFSET($BN$2,0,0,ROW()-1,60),ROW()-1,FALSE))</f>
        <v/>
      </c>
      <c r="BA210" t="str">
        <f ca="1">IF(AND(ISNUMBER($BA$659),$B$419=1),$BA$659,HLOOKUP(INDIRECT(ADDRESS(2,COLUMN())),OFFSET($BN$2,0,0,ROW()-1,60),ROW()-1,FALSE))</f>
        <v/>
      </c>
      <c r="BB210" t="str">
        <f ca="1">IF(AND(ISNUMBER($BB$659),$B$419=1),$BB$659,HLOOKUP(INDIRECT(ADDRESS(2,COLUMN())),OFFSET($BN$2,0,0,ROW()-1,60),ROW()-1,FALSE))</f>
        <v/>
      </c>
      <c r="BC210" t="str">
        <f ca="1">IF(AND(ISNUMBER($BC$659),$B$419=1),$BC$659,HLOOKUP(INDIRECT(ADDRESS(2,COLUMN())),OFFSET($BN$2,0,0,ROW()-1,60),ROW()-1,FALSE))</f>
        <v/>
      </c>
      <c r="BD210" t="str">
        <f ca="1">IF(AND(ISNUMBER($BD$659),$B$419=1),$BD$659,HLOOKUP(INDIRECT(ADDRESS(2,COLUMN())),OFFSET($BN$2,0,0,ROW()-1,60),ROW()-1,FALSE))</f>
        <v/>
      </c>
      <c r="BE210" t="str">
        <f ca="1">IF(AND(ISNUMBER($BE$659),$B$419=1),$BE$659,HLOOKUP(INDIRECT(ADDRESS(2,COLUMN())),OFFSET($BN$2,0,0,ROW()-1,60),ROW()-1,FALSE))</f>
        <v/>
      </c>
      <c r="BF210" t="str">
        <f ca="1">IF(AND(ISNUMBER($BF$659),$B$419=1),$BF$659,HLOOKUP(INDIRECT(ADDRESS(2,COLUMN())),OFFSET($BN$2,0,0,ROW()-1,60),ROW()-1,FALSE))</f>
        <v/>
      </c>
      <c r="BG210" t="str">
        <f ca="1">IF(AND(ISNUMBER($BG$659),$B$419=1),$BG$659,HLOOKUP(INDIRECT(ADDRESS(2,COLUMN())),OFFSET($BN$2,0,0,ROW()-1,60),ROW()-1,FALSE))</f>
        <v/>
      </c>
      <c r="BH210" t="str">
        <f ca="1">IF(AND(ISNUMBER($BH$659),$B$419=1),$BH$659,HLOOKUP(INDIRECT(ADDRESS(2,COLUMN())),OFFSET($BN$2,0,0,ROW()-1,60),ROW()-1,FALSE))</f>
        <v/>
      </c>
      <c r="BI210" t="str">
        <f ca="1">IF(AND(ISNUMBER($BI$659),$B$419=1),$BI$659,HLOOKUP(INDIRECT(ADDRESS(2,COLUMN())),OFFSET($BN$2,0,0,ROW()-1,60),ROW()-1,FALSE))</f>
        <v/>
      </c>
      <c r="BJ210" t="str">
        <f ca="1">IF(AND(ISNUMBER($BJ$659),$B$419=1),$BJ$659,HLOOKUP(INDIRECT(ADDRESS(2,COLUMN())),OFFSET($BN$2,0,0,ROW()-1,60),ROW()-1,FALSE))</f>
        <v/>
      </c>
      <c r="BK210" t="str">
        <f ca="1">IF(AND(ISNUMBER($BK$659),$B$419=1),$BK$659,HLOOKUP(INDIRECT(ADDRESS(2,COLUMN())),OFFSET($BN$2,0,0,ROW()-1,60),ROW()-1,FALSE))</f>
        <v/>
      </c>
      <c r="BL210" t="str">
        <f ca="1">IF(AND(ISNUMBER($BL$659),$B$419=1),$BL$659,HLOOKUP(INDIRECT(ADDRESS(2,COLUMN())),OFFSET($BN$2,0,0,ROW()-1,60),ROW()-1,FALSE))</f>
        <v/>
      </c>
      <c r="BM210" t="str">
        <f ca="1">IF(AND(ISNUMBER($BM$659),$B$419=1),$BM$659,HLOOKUP(INDIRECT(ADDRESS(2,COLUMN())),OFFSET($BN$2,0,0,ROW()-1,60),ROW()-1,FALSE))</f>
        <v/>
      </c>
      <c r="BN210" t="str">
        <f>""</f>
        <v/>
      </c>
      <c r="BO210">
        <f>43.815592</f>
        <v>43.815592000000002</v>
      </c>
      <c r="BP210">
        <f>50.96531341</f>
        <v>50.96531341</v>
      </c>
      <c r="BQ210">
        <f>61.19278325</f>
        <v>61.192783249999998</v>
      </c>
      <c r="BR210">
        <f>57.57334704</f>
        <v>57.573347040000002</v>
      </c>
      <c r="BS210">
        <f>61.55749937</f>
        <v>61.557499370000002</v>
      </c>
      <c r="BT210">
        <f>50.91129086</f>
        <v>50.911290860000001</v>
      </c>
      <c r="BU210">
        <f>50.5171626</f>
        <v>50.517162599999999</v>
      </c>
      <c r="BV210">
        <f>59.87449472</f>
        <v>59.874494720000001</v>
      </c>
      <c r="BW210">
        <f>-1.510177568</f>
        <v>-1.510177568</v>
      </c>
      <c r="BX210">
        <f>53.22761478</f>
        <v>53.227614780000003</v>
      </c>
      <c r="BY210">
        <f>56.16137887</f>
        <v>56.16137887</v>
      </c>
      <c r="BZ210">
        <f>49.77704675</f>
        <v>49.777046749999997</v>
      </c>
      <c r="CA210">
        <f>61.45585399</f>
        <v>61.455853990000001</v>
      </c>
      <c r="CB210">
        <f>61.4996064</f>
        <v>61.499606399999998</v>
      </c>
      <c r="CC210">
        <f>39.65101944</f>
        <v>39.651019439999999</v>
      </c>
      <c r="CD210">
        <f>64.12144155</f>
        <v>64.12144155</v>
      </c>
      <c r="CE210" t="str">
        <f>""</f>
        <v/>
      </c>
      <c r="CF210" t="str">
        <f>""</f>
        <v/>
      </c>
      <c r="CG210" t="str">
        <f>""</f>
        <v/>
      </c>
      <c r="CH210" t="str">
        <f>""</f>
        <v/>
      </c>
      <c r="CI210" t="str">
        <f>""</f>
        <v/>
      </c>
      <c r="CJ210" t="str">
        <f>""</f>
        <v/>
      </c>
      <c r="CK210" t="str">
        <f>""</f>
        <v/>
      </c>
      <c r="CL210" t="str">
        <f>""</f>
        <v/>
      </c>
      <c r="CM210" t="str">
        <f>""</f>
        <v/>
      </c>
      <c r="CN210" t="str">
        <f>""</f>
        <v/>
      </c>
      <c r="CO210" t="str">
        <f>""</f>
        <v/>
      </c>
      <c r="CP210" t="str">
        <f>""</f>
        <v/>
      </c>
      <c r="CQ210" t="str">
        <f>""</f>
        <v/>
      </c>
      <c r="CR210" t="str">
        <f>""</f>
        <v/>
      </c>
      <c r="CS210" t="str">
        <f>""</f>
        <v/>
      </c>
      <c r="CT210" t="str">
        <f>""</f>
        <v/>
      </c>
      <c r="CU210" t="str">
        <f>""</f>
        <v/>
      </c>
      <c r="CV210" t="str">
        <f>""</f>
        <v/>
      </c>
      <c r="CW210" t="str">
        <f>""</f>
        <v/>
      </c>
      <c r="CX210" t="str">
        <f>""</f>
        <v/>
      </c>
      <c r="CY210" t="str">
        <f>""</f>
        <v/>
      </c>
      <c r="CZ210" t="str">
        <f>""</f>
        <v/>
      </c>
      <c r="DA210" t="str">
        <f>""</f>
        <v/>
      </c>
      <c r="DB210" t="str">
        <f>""</f>
        <v/>
      </c>
      <c r="DC210" t="str">
        <f>""</f>
        <v/>
      </c>
      <c r="DD210" t="str">
        <f>""</f>
        <v/>
      </c>
      <c r="DE210" t="str">
        <f>""</f>
        <v/>
      </c>
      <c r="DF210" t="str">
        <f>""</f>
        <v/>
      </c>
      <c r="DG210" t="str">
        <f>""</f>
        <v/>
      </c>
      <c r="DH210" t="str">
        <f>""</f>
        <v/>
      </c>
      <c r="DI210" t="str">
        <f>""</f>
        <v/>
      </c>
      <c r="DJ210" t="str">
        <f>""</f>
        <v/>
      </c>
      <c r="DK210" t="str">
        <f>""</f>
        <v/>
      </c>
      <c r="DL210" t="str">
        <f>""</f>
        <v/>
      </c>
      <c r="DM210" t="str">
        <f>""</f>
        <v/>
      </c>
      <c r="DN210" t="str">
        <f>""</f>
        <v/>
      </c>
      <c r="DO210" t="str">
        <f>""</f>
        <v/>
      </c>
      <c r="DP210" t="str">
        <f>""</f>
        <v/>
      </c>
      <c r="DQ210" t="str">
        <f>""</f>
        <v/>
      </c>
      <c r="DR210" t="str">
        <f>""</f>
        <v/>
      </c>
      <c r="DS210" t="str">
        <f>""</f>
        <v/>
      </c>
      <c r="DT210" t="str">
        <f>""</f>
        <v/>
      </c>
      <c r="DU210" t="str">
        <f>""</f>
        <v/>
      </c>
    </row>
    <row r="211" spans="1:125">
      <c r="A211" t="str">
        <f>"    Weingarten Realty Investors"</f>
        <v xml:space="preserve">    Weingarten Realty Investors</v>
      </c>
      <c r="B211" t="str">
        <f>"WRI US Equity"</f>
        <v>WRI US Equity</v>
      </c>
      <c r="C211" t="str">
        <f t="shared" si="36"/>
        <v>RX225</v>
      </c>
      <c r="D211" t="str">
        <f t="shared" si="37"/>
        <v>EBITDA_TO_REVENUE</v>
      </c>
      <c r="E211" t="str">
        <f t="shared" si="38"/>
        <v>动态</v>
      </c>
      <c r="F211" t="str">
        <f ca="1">IF(AND(ISNUMBER($F$660),$B$419=1),$F$660,HLOOKUP(INDIRECT(ADDRESS(2,COLUMN())),OFFSET($BN$2,0,0,ROW()-1,60),ROW()-1,FALSE))</f>
        <v/>
      </c>
      <c r="G211">
        <f ca="1">IF(AND(ISNUMBER($G$660),$B$419=1),$G$660,HLOOKUP(INDIRECT(ADDRESS(2,COLUMN())),OFFSET($BN$2,0,0,ROW()-1,60),ROW()-1,FALSE))</f>
        <v>63.167751330000002</v>
      </c>
      <c r="H211">
        <f ca="1">IF(AND(ISNUMBER($H$660),$B$419=1),$H$660,HLOOKUP(INDIRECT(ADDRESS(2,COLUMN())),OFFSET($BN$2,0,0,ROW()-1,60),ROW()-1,FALSE))</f>
        <v>63.233640970000003</v>
      </c>
      <c r="I211">
        <f ca="1">IF(AND(ISNUMBER($I$660),$B$419=1),$I$660,HLOOKUP(INDIRECT(ADDRESS(2,COLUMN())),OFFSET($BN$2,0,0,ROW()-1,60),ROW()-1,FALSE))</f>
        <v>62.750388639999997</v>
      </c>
      <c r="J211">
        <f ca="1">IF(AND(ISNUMBER($J$660),$B$419=1),$J$660,HLOOKUP(INDIRECT(ADDRESS(2,COLUMN())),OFFSET($BN$2,0,0,ROW()-1,60),ROW()-1,FALSE))</f>
        <v>51.324279740000001</v>
      </c>
      <c r="K211">
        <f ca="1">IF(AND(ISNUMBER($K$660),$B$419=1),$K$660,HLOOKUP(INDIRECT(ADDRESS(2,COLUMN())),OFFSET($BN$2,0,0,ROW()-1,60),ROW()-1,FALSE))</f>
        <v>65.451516490000003</v>
      </c>
      <c r="L211">
        <f ca="1">IF(AND(ISNUMBER($L$660),$B$419=1),$L$660,HLOOKUP(INDIRECT(ADDRESS(2,COLUMN())),OFFSET($BN$2,0,0,ROW()-1,60),ROW()-1,FALSE))</f>
        <v>64.636108489999998</v>
      </c>
      <c r="M211">
        <f ca="1">IF(AND(ISNUMBER($M$660),$B$419=1),$M$660,HLOOKUP(INDIRECT(ADDRESS(2,COLUMN())),OFFSET($BN$2,0,0,ROW()-1,60),ROW()-1,FALSE))</f>
        <v>64.421120909999999</v>
      </c>
      <c r="N211">
        <f ca="1">IF(AND(ISNUMBER($N$660),$B$419=1),$N$660,HLOOKUP(INDIRECT(ADDRESS(2,COLUMN())),OFFSET($BN$2,0,0,ROW()-1,60),ROW()-1,FALSE))</f>
        <v>65.311100539999998</v>
      </c>
      <c r="O211">
        <f ca="1">IF(AND(ISNUMBER($O$660),$B$419=1),$O$660,HLOOKUP(INDIRECT(ADDRESS(2,COLUMN())),OFFSET($BN$2,0,0,ROW()-1,60),ROW()-1,FALSE))</f>
        <v>63.699538769999997</v>
      </c>
      <c r="P211">
        <f ca="1">IF(AND(ISNUMBER($P$660),$B$419=1),$P$660,HLOOKUP(INDIRECT(ADDRESS(2,COLUMN())),OFFSET($BN$2,0,0,ROW()-1,60),ROW()-1,FALSE))</f>
        <v>64.63792273</v>
      </c>
      <c r="Q211">
        <f ca="1">IF(AND(ISNUMBER($Q$660),$B$419=1),$Q$660,HLOOKUP(INDIRECT(ADDRESS(2,COLUMN())),OFFSET($BN$2,0,0,ROW()-1,60),ROW()-1,FALSE))</f>
        <v>65.054730129999996</v>
      </c>
      <c r="R211">
        <f ca="1">IF(AND(ISNUMBER($R$660),$B$419=1),$R$660,HLOOKUP(INDIRECT(ADDRESS(2,COLUMN())),OFFSET($BN$2,0,0,ROW()-1,60),ROW()-1,FALSE))</f>
        <v>64.502902090000006</v>
      </c>
      <c r="S211">
        <f ca="1">IF(AND(ISNUMBER($S$660),$B$419=1),$S$660,HLOOKUP(INDIRECT(ADDRESS(2,COLUMN())),OFFSET($BN$2,0,0,ROW()-1,60),ROW()-1,FALSE))</f>
        <v>63.739671059999999</v>
      </c>
      <c r="T211">
        <f ca="1">IF(AND(ISNUMBER($T$660),$B$419=1),$T$660,HLOOKUP(INDIRECT(ADDRESS(2,COLUMN())),OFFSET($BN$2,0,0,ROW()-1,60),ROW()-1,FALSE))</f>
        <v>65.513595510000002</v>
      </c>
      <c r="U211">
        <f ca="1">IF(AND(ISNUMBER($U$660),$B$419=1),$U$660,HLOOKUP(INDIRECT(ADDRESS(2,COLUMN())),OFFSET($BN$2,0,0,ROW()-1,60),ROW()-1,FALSE))</f>
        <v>64.592022490000005</v>
      </c>
      <c r="V211">
        <f ca="1">IF(AND(ISNUMBER($V$660),$B$419=1),$V$660,HLOOKUP(INDIRECT(ADDRESS(2,COLUMN())),OFFSET($BN$2,0,0,ROW()-1,60),ROW()-1,FALSE))</f>
        <v>64.796382219999998</v>
      </c>
      <c r="W211">
        <f ca="1">IF(AND(ISNUMBER($W$660),$B$419=1),$W$660,HLOOKUP(INDIRECT(ADDRESS(2,COLUMN())),OFFSET($BN$2,0,0,ROW()-1,60),ROW()-1,FALSE))</f>
        <v>63.679196640000001</v>
      </c>
      <c r="X211">
        <f ca="1">IF(AND(ISNUMBER($X$660),$B$419=1),$X$660,HLOOKUP(INDIRECT(ADDRESS(2,COLUMN())),OFFSET($BN$2,0,0,ROW()-1,60),ROW()-1,FALSE))</f>
        <v>63.33555011</v>
      </c>
      <c r="Y211">
        <f ca="1">IF(AND(ISNUMBER($Y$660),$B$419=1),$Y$660,HLOOKUP(INDIRECT(ADDRESS(2,COLUMN())),OFFSET($BN$2,0,0,ROW()-1,60),ROW()-1,FALSE))</f>
        <v>66.506824050000006</v>
      </c>
      <c r="Z211">
        <f ca="1">IF(AND(ISNUMBER($Z$660),$B$419=1),$Z$660,HLOOKUP(INDIRECT(ADDRESS(2,COLUMN())),OFFSET($BN$2,0,0,ROW()-1,60),ROW()-1,FALSE))</f>
        <v>66.218269160000006</v>
      </c>
      <c r="AA211">
        <f ca="1">IF(AND(ISNUMBER($AA$660),$B$419=1),$AA$660,HLOOKUP(INDIRECT(ADDRESS(2,COLUMN())),OFFSET($BN$2,0,0,ROW()-1,60),ROW()-1,FALSE))</f>
        <v>66.103708159999996</v>
      </c>
      <c r="AB211">
        <f ca="1">IF(AND(ISNUMBER($AB$660),$B$419=1),$AB$660,HLOOKUP(INDIRECT(ADDRESS(2,COLUMN())),OFFSET($BN$2,0,0,ROW()-1,60),ROW()-1,FALSE))</f>
        <v>64.066089489999996</v>
      </c>
      <c r="AC211">
        <f ca="1">IF(AND(ISNUMBER($AC$660),$B$419=1),$AC$660,HLOOKUP(INDIRECT(ADDRESS(2,COLUMN())),OFFSET($BN$2,0,0,ROW()-1,60),ROW()-1,FALSE))</f>
        <v>63.10867897</v>
      </c>
      <c r="AD211">
        <f ca="1">IF(AND(ISNUMBER($AD$660),$B$419=1),$AD$660,HLOOKUP(INDIRECT(ADDRESS(2,COLUMN())),OFFSET($BN$2,0,0,ROW()-1,60),ROW()-1,FALSE))</f>
        <v>61.474554300000001</v>
      </c>
      <c r="AE211">
        <f ca="1">IF(AND(ISNUMBER($AE$660),$B$419=1),$AE$660,HLOOKUP(INDIRECT(ADDRESS(2,COLUMN())),OFFSET($BN$2,0,0,ROW()-1,60),ROW()-1,FALSE))</f>
        <v>65.876270579999996</v>
      </c>
      <c r="AF211">
        <f ca="1">IF(AND(ISNUMBER($AF$660),$B$419=1),$AF$660,HLOOKUP(INDIRECT(ADDRESS(2,COLUMN())),OFFSET($BN$2,0,0,ROW()-1,60),ROW()-1,FALSE))</f>
        <v>44.829045569999998</v>
      </c>
      <c r="AG211">
        <f ca="1">IF(AND(ISNUMBER($AG$660),$B$419=1),$AG$660,HLOOKUP(INDIRECT(ADDRESS(2,COLUMN())),OFFSET($BN$2,0,0,ROW()-1,60),ROW()-1,FALSE))</f>
        <v>54.172308940000001</v>
      </c>
      <c r="AH211">
        <f ca="1">IF(AND(ISNUMBER($AH$660),$B$419=1),$AH$660,HLOOKUP(INDIRECT(ADDRESS(2,COLUMN())),OFFSET($BN$2,0,0,ROW()-1,60),ROW()-1,FALSE))</f>
        <v>68.402380890000003</v>
      </c>
      <c r="AI211">
        <f ca="1">IF(AND(ISNUMBER($AI$660),$B$419=1),$AI$660,HLOOKUP(INDIRECT(ADDRESS(2,COLUMN())),OFFSET($BN$2,0,0,ROW()-1,60),ROW()-1,FALSE))</f>
        <v>55.725071939999999</v>
      </c>
      <c r="AJ211">
        <f ca="1">IF(AND(ISNUMBER($AJ$660),$B$419=1),$AJ$660,HLOOKUP(INDIRECT(ADDRESS(2,COLUMN())),OFFSET($BN$2,0,0,ROW()-1,60),ROW()-1,FALSE))</f>
        <v>63.120535650000001</v>
      </c>
      <c r="AK211">
        <f ca="1">IF(AND(ISNUMBER($AK$660),$B$419=1),$AK$660,HLOOKUP(INDIRECT(ADDRESS(2,COLUMN())),OFFSET($BN$2,0,0,ROW()-1,60),ROW()-1,FALSE))</f>
        <v>54.001349869999999</v>
      </c>
      <c r="AL211">
        <f ca="1">IF(AND(ISNUMBER($AL$660),$B$419=1),$AL$660,HLOOKUP(INDIRECT(ADDRESS(2,COLUMN())),OFFSET($BN$2,0,0,ROW()-1,60),ROW()-1,FALSE))</f>
        <v>63.739469749999998</v>
      </c>
      <c r="AM211">
        <f ca="1">IF(AND(ISNUMBER($AM$660),$B$419=1),$AM$660,HLOOKUP(INDIRECT(ADDRESS(2,COLUMN())),OFFSET($BN$2,0,0,ROW()-1,60),ROW()-1,FALSE))</f>
        <v>63.030541759999998</v>
      </c>
      <c r="AN211">
        <f ca="1">IF(AND(ISNUMBER($AN$660),$B$419=1),$AN$660,HLOOKUP(INDIRECT(ADDRESS(2,COLUMN())),OFFSET($BN$2,0,0,ROW()-1,60),ROW()-1,FALSE))</f>
        <v>43.054943979999997</v>
      </c>
      <c r="AO211">
        <f ca="1">IF(AND(ISNUMBER($AO$660),$B$419=1),$AO$660,HLOOKUP(INDIRECT(ADDRESS(2,COLUMN())),OFFSET($BN$2,0,0,ROW()-1,60),ROW()-1,FALSE))</f>
        <v>64.297300140000004</v>
      </c>
      <c r="AP211">
        <f ca="1">IF(AND(ISNUMBER($AP$660),$B$419=1),$AP$660,HLOOKUP(INDIRECT(ADDRESS(2,COLUMN())),OFFSET($BN$2,0,0,ROW()-1,60),ROW()-1,FALSE))</f>
        <v>68.384563170000007</v>
      </c>
      <c r="AQ211">
        <f ca="1">IF(AND(ISNUMBER($AQ$660),$B$419=1),$AQ$660,HLOOKUP(INDIRECT(ADDRESS(2,COLUMN())),OFFSET($BN$2,0,0,ROW()-1,60),ROW()-1,FALSE))</f>
        <v>60.023204399999997</v>
      </c>
      <c r="AR211">
        <f ca="1">IF(AND(ISNUMBER($AR$660),$B$419=1),$AR$660,HLOOKUP(INDIRECT(ADDRESS(2,COLUMN())),OFFSET($BN$2,0,0,ROW()-1,60),ROW()-1,FALSE))</f>
        <v>67.146856139999997</v>
      </c>
      <c r="AS211">
        <f ca="1">IF(AND(ISNUMBER($AS$660),$B$419=1),$AS$660,HLOOKUP(INDIRECT(ADDRESS(2,COLUMN())),OFFSET($BN$2,0,0,ROW()-1,60),ROW()-1,FALSE))</f>
        <v>67.402353500000004</v>
      </c>
      <c r="AT211">
        <f ca="1">IF(AND(ISNUMBER($AT$660),$B$419=1),$AT$660,HLOOKUP(INDIRECT(ADDRESS(2,COLUMN())),OFFSET($BN$2,0,0,ROW()-1,60),ROW()-1,FALSE))</f>
        <v>67.124526410000001</v>
      </c>
      <c r="AU211">
        <f ca="1">IF(AND(ISNUMBER($AU$660),$B$419=1),$AU$660,HLOOKUP(INDIRECT(ADDRESS(2,COLUMN())),OFFSET($BN$2,0,0,ROW()-1,60),ROW()-1,FALSE))</f>
        <v>66.227414390000007</v>
      </c>
      <c r="AV211">
        <f ca="1">IF(AND(ISNUMBER($AV$660),$B$419=1),$AV$660,HLOOKUP(INDIRECT(ADDRESS(2,COLUMN())),OFFSET($BN$2,0,0,ROW()-1,60),ROW()-1,FALSE))</f>
        <v>65.682767819999995</v>
      </c>
      <c r="AW211">
        <f ca="1">IF(AND(ISNUMBER($AW$660),$B$419=1),$AW$660,HLOOKUP(INDIRECT(ADDRESS(2,COLUMN())),OFFSET($BN$2,0,0,ROW()-1,60),ROW()-1,FALSE))</f>
        <v>67.864375319999994</v>
      </c>
      <c r="AX211">
        <f ca="1">IF(AND(ISNUMBER($AX$660),$B$419=1),$AX$660,HLOOKUP(INDIRECT(ADDRESS(2,COLUMN())),OFFSET($BN$2,0,0,ROW()-1,60),ROW()-1,FALSE))</f>
        <v>69.434903050000003</v>
      </c>
      <c r="AY211">
        <f ca="1">IF(AND(ISNUMBER($AY$660),$B$419=1),$AY$660,HLOOKUP(INDIRECT(ADDRESS(2,COLUMN())),OFFSET($BN$2,0,0,ROW()-1,60),ROW()-1,FALSE))</f>
        <v>68.447378950000001</v>
      </c>
      <c r="AZ211">
        <f ca="1">IF(AND(ISNUMBER($AZ$660),$B$419=1),$AZ$660,HLOOKUP(INDIRECT(ADDRESS(2,COLUMN())),OFFSET($BN$2,0,0,ROW()-1,60),ROW()-1,FALSE))</f>
        <v>67.320900730000005</v>
      </c>
      <c r="BA211">
        <f ca="1">IF(AND(ISNUMBER($BA$660),$B$419=1),$BA$660,HLOOKUP(INDIRECT(ADDRESS(2,COLUMN())),OFFSET($BN$2,0,0,ROW()-1,60),ROW()-1,FALSE))</f>
        <v>70.573144600000006</v>
      </c>
      <c r="BB211">
        <f ca="1">IF(AND(ISNUMBER($BB$660),$B$419=1),$BB$660,HLOOKUP(INDIRECT(ADDRESS(2,COLUMN())),OFFSET($BN$2,0,0,ROW()-1,60),ROW()-1,FALSE))</f>
        <v>72.382387280000003</v>
      </c>
      <c r="BC211">
        <f ca="1">IF(AND(ISNUMBER($BC$660),$B$419=1),$BC$660,HLOOKUP(INDIRECT(ADDRESS(2,COLUMN())),OFFSET($BN$2,0,0,ROW()-1,60),ROW()-1,FALSE))</f>
        <v>74.747986800000007</v>
      </c>
      <c r="BD211">
        <f ca="1">IF(AND(ISNUMBER($BD$660),$B$419=1),$BD$660,HLOOKUP(INDIRECT(ADDRESS(2,COLUMN())),OFFSET($BN$2,0,0,ROW()-1,60),ROW()-1,FALSE))</f>
        <v>71.511042849999995</v>
      </c>
      <c r="BE211">
        <f ca="1">IF(AND(ISNUMBER($BE$660),$B$419=1),$BE$660,HLOOKUP(INDIRECT(ADDRESS(2,COLUMN())),OFFSET($BN$2,0,0,ROW()-1,60),ROW()-1,FALSE))</f>
        <v>72.544825320000001</v>
      </c>
      <c r="BF211">
        <f ca="1">IF(AND(ISNUMBER($BF$660),$B$419=1),$BF$660,HLOOKUP(INDIRECT(ADDRESS(2,COLUMN())),OFFSET($BN$2,0,0,ROW()-1,60),ROW()-1,FALSE))</f>
        <v>71.168757170000006</v>
      </c>
      <c r="BG211">
        <f ca="1">IF(AND(ISNUMBER($BG$660),$B$419=1),$BG$660,HLOOKUP(INDIRECT(ADDRESS(2,COLUMN())),OFFSET($BN$2,0,0,ROW()-1,60),ROW()-1,FALSE))</f>
        <v>71.238857139999993</v>
      </c>
      <c r="BH211">
        <f ca="1">IF(AND(ISNUMBER($BH$660),$B$419=1),$BH$660,HLOOKUP(INDIRECT(ADDRESS(2,COLUMN())),OFFSET($BN$2,0,0,ROW()-1,60),ROW()-1,FALSE))</f>
        <v>70.184135979999994</v>
      </c>
      <c r="BI211">
        <f ca="1">IF(AND(ISNUMBER($BI$660),$B$419=1),$BI$660,HLOOKUP(INDIRECT(ADDRESS(2,COLUMN())),OFFSET($BN$2,0,0,ROW()-1,60),ROW()-1,FALSE))</f>
        <v>70.339785399999997</v>
      </c>
      <c r="BJ211">
        <f ca="1">IF(AND(ISNUMBER($BJ$660),$B$419=1),$BJ$660,HLOOKUP(INDIRECT(ADDRESS(2,COLUMN())),OFFSET($BN$2,0,0,ROW()-1,60),ROW()-1,FALSE))</f>
        <v>70.011034859999995</v>
      </c>
      <c r="BK211">
        <f ca="1">IF(AND(ISNUMBER($BK$660),$B$419=1),$BK$660,HLOOKUP(INDIRECT(ADDRESS(2,COLUMN())),OFFSET($BN$2,0,0,ROW()-1,60),ROW()-1,FALSE))</f>
        <v>69.975898860000001</v>
      </c>
      <c r="BL211">
        <f ca="1">IF(AND(ISNUMBER($BL$660),$B$419=1),$BL$660,HLOOKUP(INDIRECT(ADDRESS(2,COLUMN())),OFFSET($BN$2,0,0,ROW()-1,60),ROW()-1,FALSE))</f>
        <v>69.485519120000006</v>
      </c>
      <c r="BM211">
        <f ca="1">IF(AND(ISNUMBER($BM$660),$B$419=1),$BM$660,HLOOKUP(INDIRECT(ADDRESS(2,COLUMN())),OFFSET($BN$2,0,0,ROW()-1,60),ROW()-1,FALSE))</f>
        <v>70.144319170000003</v>
      </c>
      <c r="BN211" t="str">
        <f>""</f>
        <v/>
      </c>
      <c r="BO211">
        <f>63.16775133</f>
        <v>63.167751330000002</v>
      </c>
      <c r="BP211">
        <f>63.23364097</f>
        <v>63.233640970000003</v>
      </c>
      <c r="BQ211">
        <f>62.75038864</f>
        <v>62.750388639999997</v>
      </c>
      <c r="BR211">
        <f>51.32427974</f>
        <v>51.324279740000001</v>
      </c>
      <c r="BS211">
        <f>65.45151649</f>
        <v>65.451516490000003</v>
      </c>
      <c r="BT211">
        <f>64.63610849</f>
        <v>64.636108489999998</v>
      </c>
      <c r="BU211">
        <f>64.42112091</f>
        <v>64.421120909999999</v>
      </c>
      <c r="BV211">
        <f>65.31110054</f>
        <v>65.311100539999998</v>
      </c>
      <c r="BW211">
        <f>63.69953877</f>
        <v>63.699538769999997</v>
      </c>
      <c r="BX211">
        <f>64.63792273</f>
        <v>64.63792273</v>
      </c>
      <c r="BY211">
        <f>65.05473013</f>
        <v>65.054730129999996</v>
      </c>
      <c r="BZ211">
        <f>64.50290209</f>
        <v>64.502902090000006</v>
      </c>
      <c r="CA211">
        <f>63.73967106</f>
        <v>63.739671059999999</v>
      </c>
      <c r="CB211">
        <f>65.51359551</f>
        <v>65.513595510000002</v>
      </c>
      <c r="CC211">
        <f>64.59202249</f>
        <v>64.592022490000005</v>
      </c>
      <c r="CD211">
        <f>64.79638222</f>
        <v>64.796382219999998</v>
      </c>
      <c r="CE211">
        <f>63.67919664</f>
        <v>63.679196640000001</v>
      </c>
      <c r="CF211">
        <f>63.33555011</f>
        <v>63.33555011</v>
      </c>
      <c r="CG211">
        <f>66.50682405</f>
        <v>66.506824050000006</v>
      </c>
      <c r="CH211">
        <f>66.21826916</f>
        <v>66.218269160000006</v>
      </c>
      <c r="CI211">
        <f>66.10370816</f>
        <v>66.103708159999996</v>
      </c>
      <c r="CJ211">
        <f>64.06608949</f>
        <v>64.066089489999996</v>
      </c>
      <c r="CK211">
        <f>63.10867897</f>
        <v>63.10867897</v>
      </c>
      <c r="CL211">
        <f>61.4745543</f>
        <v>61.474554300000001</v>
      </c>
      <c r="CM211">
        <f>65.87627058</f>
        <v>65.876270579999996</v>
      </c>
      <c r="CN211">
        <f>44.82904557</f>
        <v>44.829045569999998</v>
      </c>
      <c r="CO211">
        <f>54.17230894</f>
        <v>54.172308940000001</v>
      </c>
      <c r="CP211">
        <f>68.40238089</f>
        <v>68.402380890000003</v>
      </c>
      <c r="CQ211">
        <f>55.72507194</f>
        <v>55.725071939999999</v>
      </c>
      <c r="CR211">
        <f>63.12053565</f>
        <v>63.120535650000001</v>
      </c>
      <c r="CS211">
        <f>54.00134987</f>
        <v>54.001349869999999</v>
      </c>
      <c r="CT211">
        <f>63.73946975</f>
        <v>63.739469749999998</v>
      </c>
      <c r="CU211">
        <f>63.03054176</f>
        <v>63.030541759999998</v>
      </c>
      <c r="CV211">
        <f>43.05494398</f>
        <v>43.054943979999997</v>
      </c>
      <c r="CW211">
        <f>64.29730014</f>
        <v>64.297300140000004</v>
      </c>
      <c r="CX211">
        <f>68.38456317</f>
        <v>68.384563170000007</v>
      </c>
      <c r="CY211">
        <f>60.0232044</f>
        <v>60.023204399999997</v>
      </c>
      <c r="CZ211">
        <f>67.14685614</f>
        <v>67.146856139999997</v>
      </c>
      <c r="DA211">
        <f>67.4023535</f>
        <v>67.402353500000004</v>
      </c>
      <c r="DB211">
        <f>67.12452641</f>
        <v>67.124526410000001</v>
      </c>
      <c r="DC211">
        <f>66.22741439</f>
        <v>66.227414390000007</v>
      </c>
      <c r="DD211">
        <f>65.68276782</f>
        <v>65.682767819999995</v>
      </c>
      <c r="DE211">
        <f>67.86437532</f>
        <v>67.864375319999994</v>
      </c>
      <c r="DF211">
        <f>69.43490305</f>
        <v>69.434903050000003</v>
      </c>
      <c r="DG211">
        <f>68.44737895</f>
        <v>68.447378950000001</v>
      </c>
      <c r="DH211">
        <f>67.32090073</f>
        <v>67.320900730000005</v>
      </c>
      <c r="DI211">
        <f>70.5731446</f>
        <v>70.573144600000006</v>
      </c>
      <c r="DJ211">
        <f>72.38238728</f>
        <v>72.382387280000003</v>
      </c>
      <c r="DK211">
        <f>74.7479868</f>
        <v>74.747986800000007</v>
      </c>
      <c r="DL211">
        <f>71.51104285</f>
        <v>71.511042849999995</v>
      </c>
      <c r="DM211">
        <f>72.54482532</f>
        <v>72.544825320000001</v>
      </c>
      <c r="DN211">
        <f>71.16875717</f>
        <v>71.168757170000006</v>
      </c>
      <c r="DO211">
        <f>71.23885714</f>
        <v>71.238857139999993</v>
      </c>
      <c r="DP211">
        <f>70.18413598</f>
        <v>70.184135979999994</v>
      </c>
      <c r="DQ211">
        <f>70.3397854</f>
        <v>70.339785399999997</v>
      </c>
      <c r="DR211">
        <f>70.01103486</f>
        <v>70.011034859999995</v>
      </c>
      <c r="DS211">
        <f>69.97589886</f>
        <v>69.975898860000001</v>
      </c>
      <c r="DT211">
        <f>69.48551912</f>
        <v>69.485519120000006</v>
      </c>
      <c r="DU211">
        <f>70.14431917</f>
        <v>70.144319170000003</v>
      </c>
    </row>
    <row r="212" spans="1:125">
      <c r="A212" t="str">
        <f>"资产回报率(NOI/总资产)(%)"</f>
        <v>资产回报率(NOI/总资产)(%)</v>
      </c>
      <c r="B212" t="str">
        <f>""</f>
        <v/>
      </c>
      <c r="E212" t="str">
        <f>"Median"</f>
        <v>Median</v>
      </c>
      <c r="F212" t="str">
        <f ca="1">IF(ISERROR(IF(MEDIAN($F$213:$F$227) = 0, "", MEDIAN($F$213:$F$227))), "", (IF(MEDIAN($F$213:$F$227) = 0, "", MEDIAN($F$213:$F$227))))</f>
        <v/>
      </c>
      <c r="G212">
        <f ca="1">IF(ISERROR(IF(MEDIAN($G$213:$G$227) = 0, "", MEDIAN($G$213:$G$227))), "", (IF(MEDIAN($G$213:$G$227) = 0, "", MEDIAN($G$213:$G$227))))</f>
        <v>7.7094562335000001</v>
      </c>
      <c r="H212">
        <f ca="1">IF(ISERROR(IF(MEDIAN($H$213:$H$227) = 0, "", MEDIAN($H$213:$H$227))), "", (IF(MEDIAN($H$213:$H$227) = 0, "", MEDIAN($H$213:$H$227))))</f>
        <v>7.4705304804999999</v>
      </c>
      <c r="I212">
        <f ca="1">IF(ISERROR(IF(MEDIAN($I$213:$I$227) = 0, "", MEDIAN($I$213:$I$227))), "", (IF(MEDIAN($I$213:$I$227) = 0, "", MEDIAN($I$213:$I$227))))</f>
        <v>7.4206035900000007</v>
      </c>
      <c r="J212">
        <f ca="1">IF(ISERROR(IF(MEDIAN($J$213:$J$227) = 0, "", MEDIAN($J$213:$J$227))), "", (IF(MEDIAN($J$213:$J$227) = 0, "", MEDIAN($J$213:$J$227))))</f>
        <v>7.6370532950000003</v>
      </c>
      <c r="K212">
        <f ca="1">IF(ISERROR(IF(MEDIAN($K$213:$K$227) = 0, "", MEDIAN($K$213:$K$227))), "", (IF(MEDIAN($K$213:$K$227) = 0, "", MEDIAN($K$213:$K$227))))</f>
        <v>7.9248416865000006</v>
      </c>
      <c r="L212">
        <f ca="1">IF(ISERROR(IF(MEDIAN($L$213:$L$227) = 0, "", MEDIAN($L$213:$L$227))), "", (IF(MEDIAN($L$213:$L$227) = 0, "", MEDIAN($L$213:$L$227))))</f>
        <v>7.7311807224999995</v>
      </c>
      <c r="M212">
        <f ca="1">IF(ISERROR(IF(MEDIAN($M$213:$M$227) = 0, "", MEDIAN($M$213:$M$227))), "", (IF(MEDIAN($M$213:$M$227) = 0, "", MEDIAN($M$213:$M$227))))</f>
        <v>7.5932344064999997</v>
      </c>
      <c r="N212">
        <f ca="1">IF(ISERROR(IF(MEDIAN($N$213:$N$227) = 0, "", MEDIAN($N$213:$N$227))), "", (IF(MEDIAN($N$213:$N$227) = 0, "", MEDIAN($N$213:$N$227))))</f>
        <v>7.711974616</v>
      </c>
      <c r="O212">
        <f ca="1">IF(ISERROR(IF(MEDIAN($O$213:$O$227) = 0, "", MEDIAN($O$213:$O$227))), "", (IF(MEDIAN($O$213:$O$227) = 0, "", MEDIAN($O$213:$O$227))))</f>
        <v>7.9911087545000008</v>
      </c>
      <c r="P212">
        <f ca="1">IF(ISERROR(IF(MEDIAN($P$213:$P$227) = 0, "", MEDIAN($P$213:$P$227))), "", (IF(MEDIAN($P$213:$P$227) = 0, "", MEDIAN($P$213:$P$227))))</f>
        <v>7.9059446179999995</v>
      </c>
      <c r="Q212">
        <f ca="1">IF(ISERROR(IF(MEDIAN($Q$213:$Q$227) = 0, "", MEDIAN($Q$213:$Q$227))), "", (IF(MEDIAN($Q$213:$Q$227) = 0, "", MEDIAN($Q$213:$Q$227))))</f>
        <v>7.5750969495000007</v>
      </c>
      <c r="R212">
        <f ca="1">IF(ISERROR(IF(MEDIAN($R$213:$R$227) = 0, "", MEDIAN($R$213:$R$227))), "", (IF(MEDIAN($R$213:$R$227) = 0, "", MEDIAN($R$213:$R$227))))</f>
        <v>7.8621513270000003</v>
      </c>
      <c r="S212">
        <f ca="1">IF(ISERROR(IF(MEDIAN($S$213:$S$227) = 0, "", MEDIAN($S$213:$S$227))), "", (IF(MEDIAN($S$213:$S$227) = 0, "", MEDIAN($S$213:$S$227))))</f>
        <v>8.5357285409999992</v>
      </c>
      <c r="T212">
        <f ca="1">IF(ISERROR(IF(MEDIAN($T$213:$T$227) = 0, "", MEDIAN($T$213:$T$227))), "", (IF(MEDIAN($T$213:$T$227) = 0, "", MEDIAN($T$213:$T$227))))</f>
        <v>8.6125152059999994</v>
      </c>
      <c r="U212">
        <f ca="1">IF(ISERROR(IF(MEDIAN($U$213:$U$227) = 0, "", MEDIAN($U$213:$U$227))), "", (IF(MEDIAN($U$213:$U$227) = 0, "", MEDIAN($U$213:$U$227))))</f>
        <v>8.1927451760000007</v>
      </c>
      <c r="V212">
        <f ca="1">IF(ISERROR(IF(MEDIAN($V$213:$V$227) = 0, "", MEDIAN($V$213:$V$227))), "", (IF(MEDIAN($V$213:$V$227) = 0, "", MEDIAN($V$213:$V$227))))</f>
        <v>7.8303229950000004</v>
      </c>
      <c r="W212">
        <f ca="1">IF(ISERROR(IF(MEDIAN($W$213:$W$227) = 0, "", MEDIAN($W$213:$W$227))), "", (IF(MEDIAN($W$213:$W$227) = 0, "", MEDIAN($W$213:$W$227))))</f>
        <v>8.4204920715</v>
      </c>
      <c r="X212">
        <f ca="1">IF(ISERROR(IF(MEDIAN($X$213:$X$227) = 0, "", MEDIAN($X$213:$X$227))), "", (IF(MEDIAN($X$213:$X$227) = 0, "", MEDIAN($X$213:$X$227))))</f>
        <v>8.470736411499999</v>
      </c>
      <c r="Y212">
        <f ca="1">IF(ISERROR(IF(MEDIAN($Y$213:$Y$227) = 0, "", MEDIAN($Y$213:$Y$227))), "", (IF(MEDIAN($Y$213:$Y$227) = 0, "", MEDIAN($Y$213:$Y$227))))</f>
        <v>8.2135654314999993</v>
      </c>
      <c r="Z212">
        <f ca="1">IF(ISERROR(IF(MEDIAN($Z$213:$Z$227) = 0, "", MEDIAN($Z$213:$Z$227))), "", (IF(MEDIAN($Z$213:$Z$227) = 0, "", MEDIAN($Z$213:$Z$227))))</f>
        <v>7.6823785559999997</v>
      </c>
      <c r="AA212">
        <f ca="1">IF(ISERROR(IF(MEDIAN($AA$213:$AA$227) = 0, "", MEDIAN($AA$213:$AA$227))), "", (IF(MEDIAN($AA$213:$AA$227) = 0, "", MEDIAN($AA$213:$AA$227))))</f>
        <v>8.9740010370000007</v>
      </c>
      <c r="AB212">
        <f ca="1">IF(ISERROR(IF(MEDIAN($AB$213:$AB$227) = 0, "", MEDIAN($AB$213:$AB$227))), "", (IF(MEDIAN($AB$213:$AB$227) = 0, "", MEDIAN($AB$213:$AB$227))))</f>
        <v>8.5339314650000002</v>
      </c>
      <c r="AC212">
        <f ca="1">IF(ISERROR(IF(MEDIAN($AC$213:$AC$227) = 0, "", MEDIAN($AC$213:$AC$227))), "", (IF(MEDIAN($AC$213:$AC$227) = 0, "", MEDIAN($AC$213:$AC$227))))</f>
        <v>8.2488643679999996</v>
      </c>
      <c r="AD212">
        <f ca="1">IF(ISERROR(IF(MEDIAN($AD$213:$AD$227) = 0, "", MEDIAN($AD$213:$AD$227))), "", (IF(MEDIAN($AD$213:$AD$227) = 0, "", MEDIAN($AD$213:$AD$227))))</f>
        <v>7.846643684</v>
      </c>
      <c r="AE212">
        <f ca="1">IF(ISERROR(IF(MEDIAN($AE$213:$AE$227) = 0, "", MEDIAN($AE$213:$AE$227))), "", (IF(MEDIAN($AE$213:$AE$227) = 0, "", MEDIAN($AE$213:$AE$227))))</f>
        <v>8.2894315130000003</v>
      </c>
      <c r="AF212">
        <f ca="1">IF(ISERROR(IF(MEDIAN($AF$213:$AF$227) = 0, "", MEDIAN($AF$213:$AF$227))), "", (IF(MEDIAN($AF$213:$AF$227) = 0, "", MEDIAN($AF$213:$AF$227))))</f>
        <v>8.813714118</v>
      </c>
      <c r="AG212">
        <f ca="1">IF(ISERROR(IF(MEDIAN($AG$213:$AG$227) = 0, "", MEDIAN($AG$213:$AG$227))), "", (IF(MEDIAN($AG$213:$AG$227) = 0, "", MEDIAN($AG$213:$AG$227))))</f>
        <v>7.8656965579999998</v>
      </c>
      <c r="AH212">
        <f ca="1">IF(ISERROR(IF(MEDIAN($AH$213:$AH$227) = 0, "", MEDIAN($AH$213:$AH$227))), "", (IF(MEDIAN($AH$213:$AH$227) = 0, "", MEDIAN($AH$213:$AH$227))))</f>
        <v>8.0251082329999992</v>
      </c>
      <c r="AI212">
        <f ca="1">IF(ISERROR(IF(MEDIAN($AI$213:$AI$227) = 0, "", MEDIAN($AI$213:$AI$227))), "", (IF(MEDIAN($AI$213:$AI$227) = 0, "", MEDIAN($AI$213:$AI$227))))</f>
        <v>8.8439067014999999</v>
      </c>
      <c r="AJ212">
        <f ca="1">IF(ISERROR(IF(MEDIAN($AJ$213:$AJ$227) = 0, "", MEDIAN($AJ$213:$AJ$227))), "", (IF(MEDIAN($AJ$213:$AJ$227) = 0, "", MEDIAN($AJ$213:$AJ$227))))</f>
        <v>8.082598076</v>
      </c>
      <c r="AK212">
        <f ca="1">IF(ISERROR(IF(MEDIAN($AK$213:$AK$227) = 0, "", MEDIAN($AK$213:$AK$227))), "", (IF(MEDIAN($AK$213:$AK$227) = 0, "", MEDIAN($AK$213:$AK$227))))</f>
        <v>8.1878033240000008</v>
      </c>
      <c r="AL212">
        <f ca="1">IF(ISERROR(IF(MEDIAN($AL$213:$AL$227) = 0, "", MEDIAN($AL$213:$AL$227))), "", (IF(MEDIAN($AL$213:$AL$227) = 0, "", MEDIAN($AL$213:$AL$227))))</f>
        <v>8.2125881105000005</v>
      </c>
      <c r="AM212">
        <f ca="1">IF(ISERROR(IF(MEDIAN($AM$213:$AM$227) = 0, "", MEDIAN($AM$213:$AM$227))), "", (IF(MEDIAN($AM$213:$AM$227) = 0, "", MEDIAN($AM$213:$AM$227))))</f>
        <v>8.8357118650000004</v>
      </c>
      <c r="AN212">
        <f ca="1">IF(ISERROR(IF(MEDIAN($AN$213:$AN$227) = 0, "", MEDIAN($AN$213:$AN$227))), "", (IF(MEDIAN($AN$213:$AN$227) = 0, "", MEDIAN($AN$213:$AN$227))))</f>
        <v>8.1655100565000005</v>
      </c>
      <c r="AO212">
        <f ca="1">IF(ISERROR(IF(MEDIAN($AO$213:$AO$227) = 0, "", MEDIAN($AO$213:$AO$227))), "", (IF(MEDIAN($AO$213:$AO$227) = 0, "", MEDIAN($AO$213:$AO$227))))</f>
        <v>8.0185433785000004</v>
      </c>
      <c r="AP212">
        <f ca="1">IF(ISERROR(IF(MEDIAN($AP$213:$AP$227) = 0, "", MEDIAN($AP$213:$AP$227))), "", (IF(MEDIAN($AP$213:$AP$227) = 0, "", MEDIAN($AP$213:$AP$227))))</f>
        <v>8.3748015245000005</v>
      </c>
      <c r="AQ212">
        <f ca="1">IF(ISERROR(IF(MEDIAN($AQ$213:$AQ$227) = 0, "", MEDIAN($AQ$213:$AQ$227))), "", (IF(MEDIAN($AQ$213:$AQ$227) = 0, "", MEDIAN($AQ$213:$AQ$227))))</f>
        <v>9.387794864</v>
      </c>
      <c r="AR212">
        <f ca="1">IF(ISERROR(IF(MEDIAN($AR$213:$AR$227) = 0, "", MEDIAN($AR$213:$AR$227))), "", (IF(MEDIAN($AR$213:$AR$227) = 0, "", MEDIAN($AR$213:$AR$227))))</f>
        <v>8.7471882329999993</v>
      </c>
      <c r="AS212">
        <f ca="1">IF(ISERROR(IF(MEDIAN($AS$213:$AS$227) = 0, "", MEDIAN($AS$213:$AS$227))), "", (IF(MEDIAN($AS$213:$AS$227) = 0, "", MEDIAN($AS$213:$AS$227))))</f>
        <v>8.4683699919999995</v>
      </c>
      <c r="AT212">
        <f ca="1">IF(ISERROR(IF(MEDIAN($AT$213:$AT$227) = 0, "", MEDIAN($AT$213:$AT$227))), "", (IF(MEDIAN($AT$213:$AT$227) = 0, "", MEDIAN($AT$213:$AT$227))))</f>
        <v>8.6077044869999995</v>
      </c>
      <c r="AU212">
        <f ca="1">IF(ISERROR(IF(MEDIAN($AU$213:$AU$227) = 0, "", MEDIAN($AU$213:$AU$227))), "", (IF(MEDIAN($AU$213:$AU$227) = 0, "", MEDIAN($AU$213:$AU$227))))</f>
        <v>9.1521323460000001</v>
      </c>
      <c r="AV212">
        <f ca="1">IF(ISERROR(IF(MEDIAN($AV$213:$AV$227) = 0, "", MEDIAN($AV$213:$AV$227))), "", (IF(MEDIAN($AV$213:$AV$227) = 0, "", MEDIAN($AV$213:$AV$227))))</f>
        <v>8.6819920275000015</v>
      </c>
      <c r="AW212">
        <f ca="1">IF(ISERROR(IF(MEDIAN($AW$213:$AW$227) = 0, "", MEDIAN($AW$213:$AW$227))), "", (IF(MEDIAN($AW$213:$AW$227) = 0, "", MEDIAN($AW$213:$AW$227))))</f>
        <v>8.4648888575000001</v>
      </c>
      <c r="AX212">
        <f ca="1">IF(ISERROR(IF(MEDIAN($AX$213:$AX$227) = 0, "", MEDIAN($AX$213:$AX$227))), "", (IF(MEDIAN($AX$213:$AX$227) = 0, "", MEDIAN($AX$213:$AX$227))))</f>
        <v>8.6367264924999994</v>
      </c>
      <c r="AY212">
        <f ca="1">IF(ISERROR(IF(MEDIAN($AY$213:$AY$227) = 0, "", MEDIAN($AY$213:$AY$227))), "", (IF(MEDIAN($AY$213:$AY$227) = 0, "", MEDIAN($AY$213:$AY$227))))</f>
        <v>9.0470858420000013</v>
      </c>
      <c r="AZ212">
        <f ca="1">IF(ISERROR(IF(MEDIAN($AZ$213:$AZ$227) = 0, "", MEDIAN($AZ$213:$AZ$227))), "", (IF(MEDIAN($AZ$213:$AZ$227) = 0, "", MEDIAN($AZ$213:$AZ$227))))</f>
        <v>9.0438769294999997</v>
      </c>
      <c r="BA212">
        <f ca="1">IF(ISERROR(IF(MEDIAN($BA$213:$BA$227) = 0, "", MEDIAN($BA$213:$BA$227))), "", (IF(MEDIAN($BA$213:$BA$227) = 0, "", MEDIAN($BA$213:$BA$227))))</f>
        <v>8.8815446320000007</v>
      </c>
      <c r="BB212">
        <f ca="1">IF(ISERROR(IF(MEDIAN($BB$213:$BB$227) = 0, "", MEDIAN($BB$213:$BB$227))), "", (IF(MEDIAN($BB$213:$BB$227) = 0, "", MEDIAN($BB$213:$BB$227))))</f>
        <v>9.0980668969999989</v>
      </c>
      <c r="BC212" t="str">
        <f ca="1">IF(ISERROR(IF(MEDIAN($BC$213:$BC$227) = 0, "", MEDIAN($BC$213:$BC$227))), "", (IF(MEDIAN($BC$213:$BC$227) = 0, "", MEDIAN($BC$213:$BC$227))))</f>
        <v/>
      </c>
      <c r="BD212">
        <f ca="1">IF(ISERROR(IF(MEDIAN($BD$213:$BD$227) = 0, "", MEDIAN($BD$213:$BD$227))), "", (IF(MEDIAN($BD$213:$BD$227) = 0, "", MEDIAN($BD$213:$BD$227))))</f>
        <v>8.7999489999999996E-3</v>
      </c>
      <c r="BE212">
        <f ca="1">IF(ISERROR(IF(MEDIAN($BE$213:$BE$227) = 0, "", MEDIAN($BE$213:$BE$227))), "", (IF(MEDIAN($BE$213:$BE$227) = 0, "", MEDIAN($BE$213:$BE$227))))</f>
        <v>9.1004724140000004</v>
      </c>
      <c r="BF212">
        <f ca="1">IF(ISERROR(IF(MEDIAN($BF$213:$BF$227) = 0, "", MEDIAN($BF$213:$BF$227))), "", (IF(MEDIAN($BF$213:$BF$227) = 0, "", MEDIAN($BF$213:$BF$227))))</f>
        <v>9.2516844000000003</v>
      </c>
      <c r="BG212" t="str">
        <f ca="1">IF(ISERROR(IF(MEDIAN($BG$213:$BG$227) = 0, "", MEDIAN($BG$213:$BG$227))), "", (IF(MEDIAN($BG$213:$BG$227) = 0, "", MEDIAN($BG$213:$BG$227))))</f>
        <v/>
      </c>
      <c r="BH212">
        <f ca="1">IF(ISERROR(IF(MEDIAN($BH$213:$BH$227) = 0, "", MEDIAN($BH$213:$BH$227))), "", (IF(MEDIAN($BH$213:$BH$227) = 0, "", MEDIAN($BH$213:$BH$227))))</f>
        <v>9.2914502169999995</v>
      </c>
      <c r="BI212" t="str">
        <f ca="1">IF(ISERROR(IF(MEDIAN($BI$213:$BI$227) = 0, "", MEDIAN($BI$213:$BI$227))), "", (IF(MEDIAN($BI$213:$BI$227) = 0, "", MEDIAN($BI$213:$BI$227))))</f>
        <v/>
      </c>
      <c r="BJ212" t="str">
        <f ca="1">IF(ISERROR(IF(MEDIAN($BJ$213:$BJ$227) = 0, "", MEDIAN($BJ$213:$BJ$227))), "", (IF(MEDIAN($BJ$213:$BJ$227) = 0, "", MEDIAN($BJ$213:$BJ$227))))</f>
        <v/>
      </c>
      <c r="BK212" t="str">
        <f ca="1">IF(ISERROR(IF(MEDIAN($BK$213:$BK$227) = 0, "", MEDIAN($BK$213:$BK$227))), "", (IF(MEDIAN($BK$213:$BK$227) = 0, "", MEDIAN($BK$213:$BK$227))))</f>
        <v/>
      </c>
      <c r="BL212" t="str">
        <f ca="1">IF(ISERROR(IF(MEDIAN($BL$213:$BL$227) = 0, "", MEDIAN($BL$213:$BL$227))), "", (IF(MEDIAN($BL$213:$BL$227) = 0, "", MEDIAN($BL$213:$BL$227))))</f>
        <v/>
      </c>
      <c r="BM212" t="str">
        <f ca="1">IF(ISERROR(IF(MEDIAN($BM$213:$BM$227) = 0, "", MEDIAN($BM$213:$BM$227))), "", (IF(MEDIAN($BM$213:$BM$227) = 0, "", MEDIAN($BM$213:$BM$227))))</f>
        <v/>
      </c>
      <c r="BN212" t="str">
        <f>""</f>
        <v/>
      </c>
      <c r="BO212">
        <f>7.709456234</f>
        <v>7.7094562340000001</v>
      </c>
      <c r="BP212">
        <f>7.470530481</f>
        <v>7.4705304809999999</v>
      </c>
      <c r="BQ212">
        <f>7.42060359</f>
        <v>7.4206035899999998</v>
      </c>
      <c r="BR212">
        <f>7.637053295</f>
        <v>7.6370532950000003</v>
      </c>
      <c r="BS212">
        <f>7.924841687</f>
        <v>7.9248416869999998</v>
      </c>
      <c r="BT212">
        <f>7.731180722</f>
        <v>7.7311807220000004</v>
      </c>
      <c r="BU212">
        <f>7.593234407</f>
        <v>7.5932344069999997</v>
      </c>
      <c r="BV212">
        <f>7.711974616</f>
        <v>7.711974616</v>
      </c>
      <c r="BW212">
        <f>7.991108754</f>
        <v>7.9911087539999999</v>
      </c>
      <c r="BX212">
        <f>7.905944618</f>
        <v>7.9059446180000004</v>
      </c>
      <c r="BY212">
        <f>7.575096949</f>
        <v>7.5750969489999997</v>
      </c>
      <c r="BZ212">
        <f>7.862151327</f>
        <v>7.8621513270000003</v>
      </c>
      <c r="CA212">
        <f>8.535728541</f>
        <v>8.5357285409999992</v>
      </c>
      <c r="CB212">
        <f>8.612515206</f>
        <v>8.6125152059999994</v>
      </c>
      <c r="CC212">
        <f>8.192745176</f>
        <v>8.1927451760000007</v>
      </c>
      <c r="CD212">
        <f>7.830322995</f>
        <v>7.8303229950000004</v>
      </c>
      <c r="CE212">
        <f>8.420492071</f>
        <v>8.420492071</v>
      </c>
      <c r="CF212">
        <f>8.470736411</f>
        <v>8.4707364110000007</v>
      </c>
      <c r="CG212">
        <f>8.213565431</f>
        <v>8.2135654309999993</v>
      </c>
      <c r="CH212">
        <f>7.682378556</f>
        <v>7.6823785559999997</v>
      </c>
      <c r="CI212">
        <f>8.974001037</f>
        <v>8.9740010370000007</v>
      </c>
      <c r="CJ212">
        <f>8.533931465</f>
        <v>8.5339314650000002</v>
      </c>
      <c r="CK212">
        <f>8.248864368</f>
        <v>8.2488643679999996</v>
      </c>
      <c r="CL212">
        <f>7.846643684</f>
        <v>7.846643684</v>
      </c>
      <c r="CM212">
        <f>8.289431513</f>
        <v>8.2894315130000003</v>
      </c>
      <c r="CN212">
        <f>8.813714118</f>
        <v>8.813714118</v>
      </c>
      <c r="CO212">
        <f>7.865696558</f>
        <v>7.8656965579999998</v>
      </c>
      <c r="CP212">
        <f>8.025108233</f>
        <v>8.0251082329999992</v>
      </c>
      <c r="CQ212">
        <f>8.843906702</f>
        <v>8.843906702</v>
      </c>
      <c r="CR212">
        <f>8.082598076</f>
        <v>8.082598076</v>
      </c>
      <c r="CS212">
        <f>8.187803324</f>
        <v>8.1878033240000008</v>
      </c>
      <c r="CT212">
        <f>8.212588111</f>
        <v>8.2125881110000005</v>
      </c>
      <c r="CU212">
        <f>8.835711865</f>
        <v>8.8357118650000004</v>
      </c>
      <c r="CV212">
        <f>8.165510056</f>
        <v>8.1655100560000005</v>
      </c>
      <c r="CW212">
        <f>8.018543379</f>
        <v>8.0185433790000005</v>
      </c>
      <c r="CX212">
        <f>8.374801525</f>
        <v>8.3748015250000005</v>
      </c>
      <c r="CY212">
        <f>9.387794864</f>
        <v>9.387794864</v>
      </c>
      <c r="CZ212">
        <f>8.747188233</f>
        <v>8.7471882329999993</v>
      </c>
      <c r="DA212">
        <f>8.468369992</f>
        <v>8.4683699919999995</v>
      </c>
      <c r="DB212">
        <f>8.607704487</f>
        <v>8.6077044869999995</v>
      </c>
      <c r="DC212">
        <f>9.152132346</f>
        <v>9.1521323460000001</v>
      </c>
      <c r="DD212">
        <f>8.681992028</f>
        <v>8.6819920279999998</v>
      </c>
      <c r="DE212">
        <f>8.464888858</f>
        <v>8.4648888580000001</v>
      </c>
      <c r="DF212">
        <f>8.636726492</f>
        <v>8.6367264919999993</v>
      </c>
      <c r="DG212">
        <f>9.047085842</f>
        <v>9.0470858419999995</v>
      </c>
      <c r="DH212">
        <f>9.04387693</f>
        <v>9.0438769299999997</v>
      </c>
      <c r="DI212">
        <f>8.881544632</f>
        <v>8.8815446320000007</v>
      </c>
      <c r="DJ212">
        <f>9.098066897</f>
        <v>9.0980668970000007</v>
      </c>
      <c r="DK212" t="str">
        <f>""</f>
        <v/>
      </c>
      <c r="DL212">
        <f>0.008799949</f>
        <v>8.7999489999999996E-3</v>
      </c>
      <c r="DM212">
        <f>9.100472414</f>
        <v>9.1004724140000004</v>
      </c>
      <c r="DN212">
        <f>9.2516844</f>
        <v>9.2516844000000003</v>
      </c>
      <c r="DO212" t="str">
        <f>""</f>
        <v/>
      </c>
      <c r="DP212">
        <f>9.291450217</f>
        <v>9.2914502169999995</v>
      </c>
      <c r="DQ212" t="str">
        <f>""</f>
        <v/>
      </c>
      <c r="DR212" t="str">
        <f>""</f>
        <v/>
      </c>
      <c r="DS212" t="str">
        <f>""</f>
        <v/>
      </c>
      <c r="DT212" t="str">
        <f>""</f>
        <v/>
      </c>
      <c r="DU212" t="str">
        <f>""</f>
        <v/>
      </c>
    </row>
    <row r="213" spans="1:125">
      <c r="A213" t="str">
        <f>"    Brixmor Property Group Inc"</f>
        <v xml:space="preserve">    Brixmor Property Group Inc</v>
      </c>
      <c r="B213" t="str">
        <f>"BRX US Equity"</f>
        <v>BRX US Equity</v>
      </c>
      <c r="C213" t="str">
        <f t="shared" ref="C213:C227" si="39">"RX902"</f>
        <v>RX902</v>
      </c>
      <c r="D213" t="str">
        <f t="shared" ref="D213:D227" si="40">"ANN_NOI_GR_AST_NET_RTL_DEV_CTD_%"</f>
        <v>ANN_NOI_GR_AST_NET_RTL_DEV_CTD_%</v>
      </c>
      <c r="E213" t="str">
        <f t="shared" ref="E213:E227" si="41">"动态"</f>
        <v>动态</v>
      </c>
      <c r="F213" t="str">
        <f ca="1">IF(AND(ISNUMBER($F$661),$B$419=1),$F$661,HLOOKUP(INDIRECT(ADDRESS(2,COLUMN())),OFFSET($BN$2,0,0,ROW()-1,60),ROW()-1,FALSE))</f>
        <v/>
      </c>
      <c r="G213">
        <f ca="1">IF(AND(ISNUMBER($G$661),$B$419=1),$G$661,HLOOKUP(INDIRECT(ADDRESS(2,COLUMN())),OFFSET($BN$2,0,0,ROW()-1,60),ROW()-1,FALSE))</f>
        <v>7.963630641</v>
      </c>
      <c r="H213">
        <f ca="1">IF(AND(ISNUMBER($H$661),$B$419=1),$H$661,HLOOKUP(INDIRECT(ADDRESS(2,COLUMN())),OFFSET($BN$2,0,0,ROW()-1,60),ROW()-1,FALSE))</f>
        <v>7.8524170829999997</v>
      </c>
      <c r="I213">
        <f ca="1">IF(AND(ISNUMBER($I$661),$B$419=1),$I$661,HLOOKUP(INDIRECT(ADDRESS(2,COLUMN())),OFFSET($BN$2,0,0,ROW()-1,60),ROW()-1,FALSE))</f>
        <v>7.8641333590000002</v>
      </c>
      <c r="J213">
        <f ca="1">IF(AND(ISNUMBER($J$661),$B$419=1),$J$661,HLOOKUP(INDIRECT(ADDRESS(2,COLUMN())),OFFSET($BN$2,0,0,ROW()-1,60),ROW()-1,FALSE))</f>
        <v>7.8560697990000001</v>
      </c>
      <c r="K213">
        <f ca="1">IF(AND(ISNUMBER($K$661),$B$419=1),$K$661,HLOOKUP(INDIRECT(ADDRESS(2,COLUMN())),OFFSET($BN$2,0,0,ROW()-1,60),ROW()-1,FALSE))</f>
        <v>7.797028257</v>
      </c>
      <c r="L213">
        <f ca="1">IF(AND(ISNUMBER($L$661),$B$419=1),$L$661,HLOOKUP(INDIRECT(ADDRESS(2,COLUMN())),OFFSET($BN$2,0,0,ROW()-1,60),ROW()-1,FALSE))</f>
        <v>7.8476745460000004</v>
      </c>
      <c r="M213">
        <f ca="1">IF(AND(ISNUMBER($M$661),$B$419=1),$M$661,HLOOKUP(INDIRECT(ADDRESS(2,COLUMN())),OFFSET($BN$2,0,0,ROW()-1,60),ROW()-1,FALSE))</f>
        <v>7.8754822500000001</v>
      </c>
      <c r="N213">
        <f ca="1">IF(AND(ISNUMBER($N$661),$B$419=1),$N$661,HLOOKUP(INDIRECT(ADDRESS(2,COLUMN())),OFFSET($BN$2,0,0,ROW()-1,60),ROW()-1,FALSE))</f>
        <v>7.7537336139999997</v>
      </c>
      <c r="O213">
        <f ca="1">IF(AND(ISNUMBER($O$661),$B$419=1),$O$661,HLOOKUP(INDIRECT(ADDRESS(2,COLUMN())),OFFSET($BN$2,0,0,ROW()-1,60),ROW()-1,FALSE))</f>
        <v>8.4218704750000004</v>
      </c>
      <c r="P213">
        <f ca="1">IF(AND(ISNUMBER($P$661),$B$419=1),$P$661,HLOOKUP(INDIRECT(ADDRESS(2,COLUMN())),OFFSET($BN$2,0,0,ROW()-1,60),ROW()-1,FALSE))</f>
        <v>8.3801072179999991</v>
      </c>
      <c r="Q213">
        <f ca="1">IF(AND(ISNUMBER($Q$661),$B$419=1),$Q$661,HLOOKUP(INDIRECT(ADDRESS(2,COLUMN())),OFFSET($BN$2,0,0,ROW()-1,60),ROW()-1,FALSE))</f>
        <v>8.3055660010000008</v>
      </c>
      <c r="R213">
        <f ca="1">IF(AND(ISNUMBER($R$661),$B$419=1),$R$661,HLOOKUP(INDIRECT(ADDRESS(2,COLUMN())),OFFSET($BN$2,0,0,ROW()-1,60),ROW()-1,FALSE))</f>
        <v>8.2702581619999993</v>
      </c>
      <c r="S213">
        <f ca="1">IF(AND(ISNUMBER($S$661),$B$419=1),$S$661,HLOOKUP(INDIRECT(ADDRESS(2,COLUMN())),OFFSET($BN$2,0,0,ROW()-1,60),ROW()-1,FALSE))</f>
        <v>8.2213508560000008</v>
      </c>
      <c r="T213">
        <f ca="1">IF(AND(ISNUMBER($T$661),$B$419=1),$T$661,HLOOKUP(INDIRECT(ADDRESS(2,COLUMN())),OFFSET($BN$2,0,0,ROW()-1,60),ROW()-1,FALSE))</f>
        <v>8.1923082199999993</v>
      </c>
      <c r="U213">
        <f ca="1">IF(AND(ISNUMBER($U$661),$B$419=1),$U$661,HLOOKUP(INDIRECT(ADDRESS(2,COLUMN())),OFFSET($BN$2,0,0,ROW()-1,60),ROW()-1,FALSE))</f>
        <v>8.1927451760000007</v>
      </c>
      <c r="V213">
        <f ca="1">IF(AND(ISNUMBER($V$661),$B$419=1),$V$661,HLOOKUP(INDIRECT(ADDRESS(2,COLUMN())),OFFSET($BN$2,0,0,ROW()-1,60),ROW()-1,FALSE))</f>
        <v>8.0992774470000004</v>
      </c>
      <c r="W213">
        <f ca="1">IF(AND(ISNUMBER($W$661),$B$419=1),$W$661,HLOOKUP(INDIRECT(ADDRESS(2,COLUMN())),OFFSET($BN$2,0,0,ROW()-1,60),ROW()-1,FALSE))</f>
        <v>7.7672356999999996</v>
      </c>
      <c r="X213">
        <f ca="1">IF(AND(ISNUMBER($X$661),$B$419=1),$X$661,HLOOKUP(INDIRECT(ADDRESS(2,COLUMN())),OFFSET($BN$2,0,0,ROW()-1,60),ROW()-1,FALSE))</f>
        <v>8.2422783329999998</v>
      </c>
      <c r="Y213">
        <f ca="1">IF(AND(ISNUMBER($Y$661),$B$419=1),$Y$661,HLOOKUP(INDIRECT(ADDRESS(2,COLUMN())),OFFSET($BN$2,0,0,ROW()-1,60),ROW()-1,FALSE))</f>
        <v>7.8839397900000003</v>
      </c>
      <c r="Z213">
        <f ca="1">IF(AND(ISNUMBER($Z$661),$B$419=1),$Z$661,HLOOKUP(INDIRECT(ADDRESS(2,COLUMN())),OFFSET($BN$2,0,0,ROW()-1,60),ROW()-1,FALSE))</f>
        <v>7.7497233679999997</v>
      </c>
      <c r="AA213" t="str">
        <f ca="1">IF(AND(ISNUMBER($AA$661),$B$419=1),$AA$661,HLOOKUP(INDIRECT(ADDRESS(2,COLUMN())),OFFSET($BN$2,0,0,ROW()-1,60),ROW()-1,FALSE))</f>
        <v/>
      </c>
      <c r="AB213" t="str">
        <f ca="1">IF(AND(ISNUMBER($AB$661),$B$419=1),$AB$661,HLOOKUP(INDIRECT(ADDRESS(2,COLUMN())),OFFSET($BN$2,0,0,ROW()-1,60),ROW()-1,FALSE))</f>
        <v/>
      </c>
      <c r="AC213" t="str">
        <f ca="1">IF(AND(ISNUMBER($AC$661),$B$419=1),$AC$661,HLOOKUP(INDIRECT(ADDRESS(2,COLUMN())),OFFSET($BN$2,0,0,ROW()-1,60),ROW()-1,FALSE))</f>
        <v/>
      </c>
      <c r="AD213" t="str">
        <f ca="1">IF(AND(ISNUMBER($AD$661),$B$419=1),$AD$661,HLOOKUP(INDIRECT(ADDRESS(2,COLUMN())),OFFSET($BN$2,0,0,ROW()-1,60),ROW()-1,FALSE))</f>
        <v/>
      </c>
      <c r="AE213" t="str">
        <f ca="1">IF(AND(ISNUMBER($AE$661),$B$419=1),$AE$661,HLOOKUP(INDIRECT(ADDRESS(2,COLUMN())),OFFSET($BN$2,0,0,ROW()-1,60),ROW()-1,FALSE))</f>
        <v/>
      </c>
      <c r="AF213" t="str">
        <f ca="1">IF(AND(ISNUMBER($AF$661),$B$419=1),$AF$661,HLOOKUP(INDIRECT(ADDRESS(2,COLUMN())),OFFSET($BN$2,0,0,ROW()-1,60),ROW()-1,FALSE))</f>
        <v/>
      </c>
      <c r="AG213" t="str">
        <f ca="1">IF(AND(ISNUMBER($AG$661),$B$419=1),$AG$661,HLOOKUP(INDIRECT(ADDRESS(2,COLUMN())),OFFSET($BN$2,0,0,ROW()-1,60),ROW()-1,FALSE))</f>
        <v/>
      </c>
      <c r="AH213" t="str">
        <f ca="1">IF(AND(ISNUMBER($AH$661),$B$419=1),$AH$661,HLOOKUP(INDIRECT(ADDRESS(2,COLUMN())),OFFSET($BN$2,0,0,ROW()-1,60),ROW()-1,FALSE))</f>
        <v/>
      </c>
      <c r="AI213" t="str">
        <f ca="1">IF(AND(ISNUMBER($AI$661),$B$419=1),$AI$661,HLOOKUP(INDIRECT(ADDRESS(2,COLUMN())),OFFSET($BN$2,0,0,ROW()-1,60),ROW()-1,FALSE))</f>
        <v/>
      </c>
      <c r="AJ213" t="str">
        <f ca="1">IF(AND(ISNUMBER($AJ$661),$B$419=1),$AJ$661,HLOOKUP(INDIRECT(ADDRESS(2,COLUMN())),OFFSET($BN$2,0,0,ROW()-1,60),ROW()-1,FALSE))</f>
        <v/>
      </c>
      <c r="AK213" t="str">
        <f ca="1">IF(AND(ISNUMBER($AK$661),$B$419=1),$AK$661,HLOOKUP(INDIRECT(ADDRESS(2,COLUMN())),OFFSET($BN$2,0,0,ROW()-1,60),ROW()-1,FALSE))</f>
        <v/>
      </c>
      <c r="AL213" t="str">
        <f ca="1">IF(AND(ISNUMBER($AL$661),$B$419=1),$AL$661,HLOOKUP(INDIRECT(ADDRESS(2,COLUMN())),OFFSET($BN$2,0,0,ROW()-1,60),ROW()-1,FALSE))</f>
        <v/>
      </c>
      <c r="AM213" t="str">
        <f ca="1">IF(AND(ISNUMBER($AM$661),$B$419=1),$AM$661,HLOOKUP(INDIRECT(ADDRESS(2,COLUMN())),OFFSET($BN$2,0,0,ROW()-1,60),ROW()-1,FALSE))</f>
        <v/>
      </c>
      <c r="AN213" t="str">
        <f ca="1">IF(AND(ISNUMBER($AN$661),$B$419=1),$AN$661,HLOOKUP(INDIRECT(ADDRESS(2,COLUMN())),OFFSET($BN$2,0,0,ROW()-1,60),ROW()-1,FALSE))</f>
        <v/>
      </c>
      <c r="AO213" t="str">
        <f ca="1">IF(AND(ISNUMBER($AO$661),$B$419=1),$AO$661,HLOOKUP(INDIRECT(ADDRESS(2,COLUMN())),OFFSET($BN$2,0,0,ROW()-1,60),ROW()-1,FALSE))</f>
        <v/>
      </c>
      <c r="AP213" t="str">
        <f ca="1">IF(AND(ISNUMBER($AP$661),$B$419=1),$AP$661,HLOOKUP(INDIRECT(ADDRESS(2,COLUMN())),OFFSET($BN$2,0,0,ROW()-1,60),ROW()-1,FALSE))</f>
        <v/>
      </c>
      <c r="AQ213" t="str">
        <f ca="1">IF(AND(ISNUMBER($AQ$661),$B$419=1),$AQ$661,HLOOKUP(INDIRECT(ADDRESS(2,COLUMN())),OFFSET($BN$2,0,0,ROW()-1,60),ROW()-1,FALSE))</f>
        <v/>
      </c>
      <c r="AR213" t="str">
        <f ca="1">IF(AND(ISNUMBER($AR$661),$B$419=1),$AR$661,HLOOKUP(INDIRECT(ADDRESS(2,COLUMN())),OFFSET($BN$2,0,0,ROW()-1,60),ROW()-1,FALSE))</f>
        <v/>
      </c>
      <c r="AS213" t="str">
        <f ca="1">IF(AND(ISNUMBER($AS$661),$B$419=1),$AS$661,HLOOKUP(INDIRECT(ADDRESS(2,COLUMN())),OFFSET($BN$2,0,0,ROW()-1,60),ROW()-1,FALSE))</f>
        <v/>
      </c>
      <c r="AT213" t="str">
        <f ca="1">IF(AND(ISNUMBER($AT$661),$B$419=1),$AT$661,HLOOKUP(INDIRECT(ADDRESS(2,COLUMN())),OFFSET($BN$2,0,0,ROW()-1,60),ROW()-1,FALSE))</f>
        <v/>
      </c>
      <c r="AU213" t="str">
        <f ca="1">IF(AND(ISNUMBER($AU$661),$B$419=1),$AU$661,HLOOKUP(INDIRECT(ADDRESS(2,COLUMN())),OFFSET($BN$2,0,0,ROW()-1,60),ROW()-1,FALSE))</f>
        <v/>
      </c>
      <c r="AV213" t="str">
        <f ca="1">IF(AND(ISNUMBER($AV$661),$B$419=1),$AV$661,HLOOKUP(INDIRECT(ADDRESS(2,COLUMN())),OFFSET($BN$2,0,0,ROW()-1,60),ROW()-1,FALSE))</f>
        <v/>
      </c>
      <c r="AW213" t="str">
        <f ca="1">IF(AND(ISNUMBER($AW$661),$B$419=1),$AW$661,HLOOKUP(INDIRECT(ADDRESS(2,COLUMN())),OFFSET($BN$2,0,0,ROW()-1,60),ROW()-1,FALSE))</f>
        <v/>
      </c>
      <c r="AX213" t="str">
        <f ca="1">IF(AND(ISNUMBER($AX$661),$B$419=1),$AX$661,HLOOKUP(INDIRECT(ADDRESS(2,COLUMN())),OFFSET($BN$2,0,0,ROW()-1,60),ROW()-1,FALSE))</f>
        <v/>
      </c>
      <c r="AY213" t="str">
        <f ca="1">IF(AND(ISNUMBER($AY$661),$B$419=1),$AY$661,HLOOKUP(INDIRECT(ADDRESS(2,COLUMN())),OFFSET($BN$2,0,0,ROW()-1,60),ROW()-1,FALSE))</f>
        <v/>
      </c>
      <c r="AZ213" t="str">
        <f ca="1">IF(AND(ISNUMBER($AZ$661),$B$419=1),$AZ$661,HLOOKUP(INDIRECT(ADDRESS(2,COLUMN())),OFFSET($BN$2,0,0,ROW()-1,60),ROW()-1,FALSE))</f>
        <v/>
      </c>
      <c r="BA213" t="str">
        <f ca="1">IF(AND(ISNUMBER($BA$661),$B$419=1),$BA$661,HLOOKUP(INDIRECT(ADDRESS(2,COLUMN())),OFFSET($BN$2,0,0,ROW()-1,60),ROW()-1,FALSE))</f>
        <v/>
      </c>
      <c r="BB213" t="str">
        <f ca="1">IF(AND(ISNUMBER($BB$661),$B$419=1),$BB$661,HLOOKUP(INDIRECT(ADDRESS(2,COLUMN())),OFFSET($BN$2,0,0,ROW()-1,60),ROW()-1,FALSE))</f>
        <v/>
      </c>
      <c r="BC213" t="str">
        <f ca="1">IF(AND(ISNUMBER($BC$661),$B$419=1),$BC$661,HLOOKUP(INDIRECT(ADDRESS(2,COLUMN())),OFFSET($BN$2,0,0,ROW()-1,60),ROW()-1,FALSE))</f>
        <v/>
      </c>
      <c r="BD213" t="str">
        <f ca="1">IF(AND(ISNUMBER($BD$661),$B$419=1),$BD$661,HLOOKUP(INDIRECT(ADDRESS(2,COLUMN())),OFFSET($BN$2,0,0,ROW()-1,60),ROW()-1,FALSE))</f>
        <v/>
      </c>
      <c r="BE213" t="str">
        <f ca="1">IF(AND(ISNUMBER($BE$661),$B$419=1),$BE$661,HLOOKUP(INDIRECT(ADDRESS(2,COLUMN())),OFFSET($BN$2,0,0,ROW()-1,60),ROW()-1,FALSE))</f>
        <v/>
      </c>
      <c r="BF213" t="str">
        <f ca="1">IF(AND(ISNUMBER($BF$661),$B$419=1),$BF$661,HLOOKUP(INDIRECT(ADDRESS(2,COLUMN())),OFFSET($BN$2,0,0,ROW()-1,60),ROW()-1,FALSE))</f>
        <v/>
      </c>
      <c r="BG213" t="str">
        <f ca="1">IF(AND(ISNUMBER($BG$661),$B$419=1),$BG$661,HLOOKUP(INDIRECT(ADDRESS(2,COLUMN())),OFFSET($BN$2,0,0,ROW()-1,60),ROW()-1,FALSE))</f>
        <v/>
      </c>
      <c r="BH213" t="str">
        <f ca="1">IF(AND(ISNUMBER($BH$661),$B$419=1),$BH$661,HLOOKUP(INDIRECT(ADDRESS(2,COLUMN())),OFFSET($BN$2,0,0,ROW()-1,60),ROW()-1,FALSE))</f>
        <v/>
      </c>
      <c r="BI213" t="str">
        <f ca="1">IF(AND(ISNUMBER($BI$661),$B$419=1),$BI$661,HLOOKUP(INDIRECT(ADDRESS(2,COLUMN())),OFFSET($BN$2,0,0,ROW()-1,60),ROW()-1,FALSE))</f>
        <v/>
      </c>
      <c r="BJ213" t="str">
        <f ca="1">IF(AND(ISNUMBER($BJ$661),$B$419=1),$BJ$661,HLOOKUP(INDIRECT(ADDRESS(2,COLUMN())),OFFSET($BN$2,0,0,ROW()-1,60),ROW()-1,FALSE))</f>
        <v/>
      </c>
      <c r="BK213" t="str">
        <f ca="1">IF(AND(ISNUMBER($BK$661),$B$419=1),$BK$661,HLOOKUP(INDIRECT(ADDRESS(2,COLUMN())),OFFSET($BN$2,0,0,ROW()-1,60),ROW()-1,FALSE))</f>
        <v/>
      </c>
      <c r="BL213" t="str">
        <f ca="1">IF(AND(ISNUMBER($BL$661),$B$419=1),$BL$661,HLOOKUP(INDIRECT(ADDRESS(2,COLUMN())),OFFSET($BN$2,0,0,ROW()-1,60),ROW()-1,FALSE))</f>
        <v/>
      </c>
      <c r="BM213" t="str">
        <f ca="1">IF(AND(ISNUMBER($BM$661),$B$419=1),$BM$661,HLOOKUP(INDIRECT(ADDRESS(2,COLUMN())),OFFSET($BN$2,0,0,ROW()-1,60),ROW()-1,FALSE))</f>
        <v/>
      </c>
      <c r="BN213" t="str">
        <f>""</f>
        <v/>
      </c>
      <c r="BO213">
        <f>7.963630641</f>
        <v>7.963630641</v>
      </c>
      <c r="BP213">
        <f>7.852417083</f>
        <v>7.8524170829999997</v>
      </c>
      <c r="BQ213">
        <f>7.864133359</f>
        <v>7.8641333590000002</v>
      </c>
      <c r="BR213">
        <f>7.856069799</f>
        <v>7.8560697990000001</v>
      </c>
      <c r="BS213">
        <f>7.797028257</f>
        <v>7.797028257</v>
      </c>
      <c r="BT213">
        <f>7.847674546</f>
        <v>7.8476745460000004</v>
      </c>
      <c r="BU213">
        <f>7.87548225</f>
        <v>7.8754822500000001</v>
      </c>
      <c r="BV213">
        <f>7.753733614</f>
        <v>7.7537336139999997</v>
      </c>
      <c r="BW213">
        <f>8.421870475</f>
        <v>8.4218704750000004</v>
      </c>
      <c r="BX213">
        <f>8.380107218</f>
        <v>8.3801072179999991</v>
      </c>
      <c r="BY213">
        <f>8.305566001</f>
        <v>8.3055660010000008</v>
      </c>
      <c r="BZ213">
        <f>8.270258162</f>
        <v>8.2702581619999993</v>
      </c>
      <c r="CA213">
        <f>8.221350856</f>
        <v>8.2213508560000008</v>
      </c>
      <c r="CB213">
        <f>8.19230822</f>
        <v>8.1923082199999993</v>
      </c>
      <c r="CC213">
        <f>8.192745176</f>
        <v>8.1927451760000007</v>
      </c>
      <c r="CD213">
        <f>8.099277447</f>
        <v>8.0992774470000004</v>
      </c>
      <c r="CE213">
        <f>7.7672357</f>
        <v>7.7672356999999996</v>
      </c>
      <c r="CF213">
        <f>8.242278333</f>
        <v>8.2422783329999998</v>
      </c>
      <c r="CG213">
        <f>7.88393979</f>
        <v>7.8839397900000003</v>
      </c>
      <c r="CH213">
        <f>7.749723368</f>
        <v>7.7497233679999997</v>
      </c>
      <c r="CI213" t="str">
        <f>""</f>
        <v/>
      </c>
      <c r="CJ213" t="str">
        <f>""</f>
        <v/>
      </c>
      <c r="CK213" t="str">
        <f>""</f>
        <v/>
      </c>
      <c r="CL213" t="str">
        <f>""</f>
        <v/>
      </c>
      <c r="CM213" t="str">
        <f>""</f>
        <v/>
      </c>
      <c r="CN213" t="str">
        <f>""</f>
        <v/>
      </c>
      <c r="CO213" t="str">
        <f>""</f>
        <v/>
      </c>
      <c r="CP213" t="str">
        <f>""</f>
        <v/>
      </c>
      <c r="CQ213" t="str">
        <f>""</f>
        <v/>
      </c>
      <c r="CR213" t="str">
        <f>""</f>
        <v/>
      </c>
      <c r="CS213" t="str">
        <f>""</f>
        <v/>
      </c>
      <c r="CT213" t="str">
        <f>""</f>
        <v/>
      </c>
      <c r="CU213" t="str">
        <f>""</f>
        <v/>
      </c>
      <c r="CV213" t="str">
        <f>""</f>
        <v/>
      </c>
      <c r="CW213" t="str">
        <f>""</f>
        <v/>
      </c>
      <c r="CX213" t="str">
        <f>""</f>
        <v/>
      </c>
      <c r="CY213" t="str">
        <f>""</f>
        <v/>
      </c>
      <c r="CZ213" t="str">
        <f>""</f>
        <v/>
      </c>
      <c r="DA213" t="str">
        <f>""</f>
        <v/>
      </c>
      <c r="DB213" t="str">
        <f>""</f>
        <v/>
      </c>
      <c r="DC213" t="str">
        <f>""</f>
        <v/>
      </c>
      <c r="DD213" t="str">
        <f>""</f>
        <v/>
      </c>
      <c r="DE213" t="str">
        <f>""</f>
        <v/>
      </c>
      <c r="DF213" t="str">
        <f>""</f>
        <v/>
      </c>
      <c r="DG213" t="str">
        <f>""</f>
        <v/>
      </c>
      <c r="DH213" t="str">
        <f>""</f>
        <v/>
      </c>
      <c r="DI213" t="str">
        <f>""</f>
        <v/>
      </c>
      <c r="DJ213" t="str">
        <f>""</f>
        <v/>
      </c>
      <c r="DK213" t="str">
        <f>""</f>
        <v/>
      </c>
      <c r="DL213" t="str">
        <f>""</f>
        <v/>
      </c>
      <c r="DM213" t="str">
        <f>""</f>
        <v/>
      </c>
      <c r="DN213" t="str">
        <f>""</f>
        <v/>
      </c>
      <c r="DO213" t="str">
        <f>""</f>
        <v/>
      </c>
      <c r="DP213" t="str">
        <f>""</f>
        <v/>
      </c>
      <c r="DQ213" t="str">
        <f>""</f>
        <v/>
      </c>
      <c r="DR213" t="str">
        <f>""</f>
        <v/>
      </c>
      <c r="DS213" t="str">
        <f>""</f>
        <v/>
      </c>
      <c r="DT213" t="str">
        <f>""</f>
        <v/>
      </c>
      <c r="DU213" t="str">
        <f>""</f>
        <v/>
      </c>
    </row>
    <row r="214" spans="1:125">
      <c r="A214" t="str">
        <f>"    CBL &amp; Associates Properties In"</f>
        <v xml:space="preserve">    CBL &amp; Associates Properties In</v>
      </c>
      <c r="B214" t="str">
        <f>"CBL US Equity"</f>
        <v>CBL US Equity</v>
      </c>
      <c r="C214" t="str">
        <f t="shared" si="39"/>
        <v>RX902</v>
      </c>
      <c r="D214" t="str">
        <f t="shared" si="40"/>
        <v>ANN_NOI_GR_AST_NET_RTL_DEV_CTD_%</v>
      </c>
      <c r="E214" t="str">
        <f t="shared" si="41"/>
        <v>动态</v>
      </c>
      <c r="F214" t="str">
        <f ca="1">IF(AND(ISNUMBER($F$662),$B$419=1),$F$662,HLOOKUP(INDIRECT(ADDRESS(2,COLUMN())),OFFSET($BN$2,0,0,ROW()-1,60),ROW()-1,FALSE))</f>
        <v/>
      </c>
      <c r="G214">
        <f ca="1">IF(AND(ISNUMBER($G$662),$B$419=1),$G$662,HLOOKUP(INDIRECT(ADDRESS(2,COLUMN())),OFFSET($BN$2,0,0,ROW()-1,60),ROW()-1,FALSE))</f>
        <v>8.9921797600000009</v>
      </c>
      <c r="H214">
        <f ca="1">IF(AND(ISNUMBER($H$662),$B$419=1),$H$662,HLOOKUP(INDIRECT(ADDRESS(2,COLUMN())),OFFSET($BN$2,0,0,ROW()-1,60),ROW()-1,FALSE))</f>
        <v>8.4598050950000001</v>
      </c>
      <c r="I214">
        <f ca="1">IF(AND(ISNUMBER($I$662),$B$419=1),$I$662,HLOOKUP(INDIRECT(ADDRESS(2,COLUMN())),OFFSET($BN$2,0,0,ROW()-1,60),ROW()-1,FALSE))</f>
        <v>8.9314746219999996</v>
      </c>
      <c r="J214">
        <f ca="1">IF(AND(ISNUMBER($J$662),$B$419=1),$J$662,HLOOKUP(INDIRECT(ADDRESS(2,COLUMN())),OFFSET($BN$2,0,0,ROW()-1,60),ROW()-1,FALSE))</f>
        <v>8.3832981800000006</v>
      </c>
      <c r="K214">
        <f ca="1">IF(AND(ISNUMBER($K$662),$B$419=1),$K$662,HLOOKUP(INDIRECT(ADDRESS(2,COLUMN())),OFFSET($BN$2,0,0,ROW()-1,60),ROW()-1,FALSE))</f>
        <v>9.6553152250000007</v>
      </c>
      <c r="L214">
        <f ca="1">IF(AND(ISNUMBER($L$662),$B$419=1),$L$662,HLOOKUP(INDIRECT(ADDRESS(2,COLUMN())),OFFSET($BN$2,0,0,ROW()-1,60),ROW()-1,FALSE))</f>
        <v>8.8093711710000004</v>
      </c>
      <c r="M214">
        <f ca="1">IF(AND(ISNUMBER($M$662),$B$419=1),$M$662,HLOOKUP(INDIRECT(ADDRESS(2,COLUMN())),OFFSET($BN$2,0,0,ROW()-1,60),ROW()-1,FALSE))</f>
        <v>8.8900541329999996</v>
      </c>
      <c r="N214">
        <f ca="1">IF(AND(ISNUMBER($N$662),$B$419=1),$N$662,HLOOKUP(INDIRECT(ADDRESS(2,COLUMN())),OFFSET($BN$2,0,0,ROW()-1,60),ROW()-1,FALSE))</f>
        <v>8.7631906710000003</v>
      </c>
      <c r="O214">
        <f ca="1">IF(AND(ISNUMBER($O$662),$B$419=1),$O$662,HLOOKUP(INDIRECT(ADDRESS(2,COLUMN())),OFFSET($BN$2,0,0,ROW()-1,60),ROW()-1,FALSE))</f>
        <v>9.8005934089999993</v>
      </c>
      <c r="P214">
        <f ca="1">IF(AND(ISNUMBER($P$662),$B$419=1),$P$662,HLOOKUP(INDIRECT(ADDRESS(2,COLUMN())),OFFSET($BN$2,0,0,ROW()-1,60),ROW()-1,FALSE))</f>
        <v>8.5046989610000008</v>
      </c>
      <c r="Q214">
        <f ca="1">IF(AND(ISNUMBER($Q$662),$B$419=1),$Q$662,HLOOKUP(INDIRECT(ADDRESS(2,COLUMN())),OFFSET($BN$2,0,0,ROW()-1,60),ROW()-1,FALSE))</f>
        <v>8.6054513529999994</v>
      </c>
      <c r="R214">
        <f ca="1">IF(AND(ISNUMBER($R$662),$B$419=1),$R$662,HLOOKUP(INDIRECT(ADDRESS(2,COLUMN())),OFFSET($BN$2,0,0,ROW()-1,60),ROW()-1,FALSE))</f>
        <v>8.5510605599999998</v>
      </c>
      <c r="S214">
        <f ca="1">IF(AND(ISNUMBER($S$662),$B$419=1),$S$662,HLOOKUP(INDIRECT(ADDRESS(2,COLUMN())),OFFSET($BN$2,0,0,ROW()-1,60),ROW()-1,FALSE))</f>
        <v>9.6189187280000006</v>
      </c>
      <c r="T214">
        <f ca="1">IF(AND(ISNUMBER($T$662),$B$419=1),$T$662,HLOOKUP(INDIRECT(ADDRESS(2,COLUMN())),OFFSET($BN$2,0,0,ROW()-1,60),ROW()-1,FALSE))</f>
        <v>8.7704132470000005</v>
      </c>
      <c r="U214">
        <f ca="1">IF(AND(ISNUMBER($U$662),$B$419=1),$U$662,HLOOKUP(INDIRECT(ADDRESS(2,COLUMN())),OFFSET($BN$2,0,0,ROW()-1,60),ROW()-1,FALSE))</f>
        <v>8.7486489810000005</v>
      </c>
      <c r="V214">
        <f ca="1">IF(AND(ISNUMBER($V$662),$B$419=1),$V$662,HLOOKUP(INDIRECT(ADDRESS(2,COLUMN())),OFFSET($BN$2,0,0,ROW()-1,60),ROW()-1,FALSE))</f>
        <v>8.6702049970000008</v>
      </c>
      <c r="W214">
        <f ca="1">IF(AND(ISNUMBER($W$662),$B$419=1),$W$662,HLOOKUP(INDIRECT(ADDRESS(2,COLUMN())),OFFSET($BN$2,0,0,ROW()-1,60),ROW()-1,FALSE))</f>
        <v>9.522481677</v>
      </c>
      <c r="X214">
        <f ca="1">IF(AND(ISNUMBER($X$662),$B$419=1),$X$662,HLOOKUP(INDIRECT(ADDRESS(2,COLUMN())),OFFSET($BN$2,0,0,ROW()-1,60),ROW()-1,FALSE))</f>
        <v>8.5228765410000005</v>
      </c>
      <c r="Y214">
        <f ca="1">IF(AND(ISNUMBER($Y$662),$B$419=1),$Y$662,HLOOKUP(INDIRECT(ADDRESS(2,COLUMN())),OFFSET($BN$2,0,0,ROW()-1,60),ROW()-1,FALSE))</f>
        <v>8.6006854510000004</v>
      </c>
      <c r="Z214">
        <f ca="1">IF(AND(ISNUMBER($Z$662),$B$419=1),$Z$662,HLOOKUP(INDIRECT(ADDRESS(2,COLUMN())),OFFSET($BN$2,0,0,ROW()-1,60),ROW()-1,FALSE))</f>
        <v>8.3071497159999996</v>
      </c>
      <c r="AA214">
        <f ca="1">IF(AND(ISNUMBER($AA$662),$B$419=1),$AA$662,HLOOKUP(INDIRECT(ADDRESS(2,COLUMN())),OFFSET($BN$2,0,0,ROW()-1,60),ROW()-1,FALSE))</f>
        <v>9.1308592019999999</v>
      </c>
      <c r="AB214">
        <f ca="1">IF(AND(ISNUMBER($AB$662),$B$419=1),$AB$662,HLOOKUP(INDIRECT(ADDRESS(2,COLUMN())),OFFSET($BN$2,0,0,ROW()-1,60),ROW()-1,FALSE))</f>
        <v>8.4157135519999997</v>
      </c>
      <c r="AC214">
        <f ca="1">IF(AND(ISNUMBER($AC$662),$B$419=1),$AC$662,HLOOKUP(INDIRECT(ADDRESS(2,COLUMN())),OFFSET($BN$2,0,0,ROW()-1,60),ROW()-1,FALSE))</f>
        <v>8.2488643679999996</v>
      </c>
      <c r="AD214">
        <f ca="1">IF(AND(ISNUMBER($AD$662),$B$419=1),$AD$662,HLOOKUP(INDIRECT(ADDRESS(2,COLUMN())),OFFSET($BN$2,0,0,ROW()-1,60),ROW()-1,FALSE))</f>
        <v>8.5791333810000001</v>
      </c>
      <c r="AE214">
        <f ca="1">IF(AND(ISNUMBER($AE$662),$B$419=1),$AE$662,HLOOKUP(INDIRECT(ADDRESS(2,COLUMN())),OFFSET($BN$2,0,0,ROW()-1,60),ROW()-1,FALSE))</f>
        <v>9.3247156520000001</v>
      </c>
      <c r="AF214">
        <f ca="1">IF(AND(ISNUMBER($AF$662),$B$419=1),$AF$662,HLOOKUP(INDIRECT(ADDRESS(2,COLUMN())),OFFSET($BN$2,0,0,ROW()-1,60),ROW()-1,FALSE))</f>
        <v>7.9568671279999998</v>
      </c>
      <c r="AG214">
        <f ca="1">IF(AND(ISNUMBER($AG$662),$B$419=1),$AG$662,HLOOKUP(INDIRECT(ADDRESS(2,COLUMN())),OFFSET($BN$2,0,0,ROW()-1,60),ROW()-1,FALSE))</f>
        <v>7.8656965579999998</v>
      </c>
      <c r="AH214">
        <f ca="1">IF(AND(ISNUMBER($AH$662),$B$419=1),$AH$662,HLOOKUP(INDIRECT(ADDRESS(2,COLUMN())),OFFSET($BN$2,0,0,ROW()-1,60),ROW()-1,FALSE))</f>
        <v>7.6187088799999998</v>
      </c>
      <c r="AI214">
        <f ca="1">IF(AND(ISNUMBER($AI$662),$B$419=1),$AI$662,HLOOKUP(INDIRECT(ADDRESS(2,COLUMN())),OFFSET($BN$2,0,0,ROW()-1,60),ROW()-1,FALSE))</f>
        <v>9.0875136249999997</v>
      </c>
      <c r="AJ214">
        <f ca="1">IF(AND(ISNUMBER($AJ$662),$B$419=1),$AJ$662,HLOOKUP(INDIRECT(ADDRESS(2,COLUMN())),OFFSET($BN$2,0,0,ROW()-1,60),ROW()-1,FALSE))</f>
        <v>8.0339241060000006</v>
      </c>
      <c r="AK214">
        <f ca="1">IF(AND(ISNUMBER($AK$662),$B$419=1),$AK$662,HLOOKUP(INDIRECT(ADDRESS(2,COLUMN())),OFFSET($BN$2,0,0,ROW()-1,60),ROW()-1,FALSE))</f>
        <v>8.0380999539999998</v>
      </c>
      <c r="AL214">
        <f ca="1">IF(AND(ISNUMBER($AL$662),$B$419=1),$AL$662,HLOOKUP(INDIRECT(ADDRESS(2,COLUMN())),OFFSET($BN$2,0,0,ROW()-1,60),ROW()-1,FALSE))</f>
        <v>8.0060479600000001</v>
      </c>
      <c r="AM214">
        <f ca="1">IF(AND(ISNUMBER($AM$662),$B$419=1),$AM$662,HLOOKUP(INDIRECT(ADDRESS(2,COLUMN())),OFFSET($BN$2,0,0,ROW()-1,60),ROW()-1,FALSE))</f>
        <v>9.1534159380000002</v>
      </c>
      <c r="AN214">
        <f ca="1">IF(AND(ISNUMBER($AN$662),$B$419=1),$AN$662,HLOOKUP(INDIRECT(ADDRESS(2,COLUMN())),OFFSET($BN$2,0,0,ROW()-1,60),ROW()-1,FALSE))</f>
        <v>7.9436461420000004</v>
      </c>
      <c r="AO214">
        <f ca="1">IF(AND(ISNUMBER($AO$662),$B$419=1),$AO$662,HLOOKUP(INDIRECT(ADDRESS(2,COLUMN())),OFFSET($BN$2,0,0,ROW()-1,60),ROW()-1,FALSE))</f>
        <v>8.2144364000000003</v>
      </c>
      <c r="AP214">
        <f ca="1">IF(AND(ISNUMBER($AP$662),$B$419=1),$AP$662,HLOOKUP(INDIRECT(ADDRESS(2,COLUMN())),OFFSET($BN$2,0,0,ROW()-1,60),ROW()-1,FALSE))</f>
        <v>8.1932732640000001</v>
      </c>
      <c r="AQ214">
        <f ca="1">IF(AND(ISNUMBER($AQ$662),$B$419=1),$AQ$662,HLOOKUP(INDIRECT(ADDRESS(2,COLUMN())),OFFSET($BN$2,0,0,ROW()-1,60),ROW()-1,FALSE))</f>
        <v>9.2138453699999996</v>
      </c>
      <c r="AR214">
        <f ca="1">IF(AND(ISNUMBER($AR$662),$B$419=1),$AR$662,HLOOKUP(INDIRECT(ADDRESS(2,COLUMN())),OFFSET($BN$2,0,0,ROW()-1,60),ROW()-1,FALSE))</f>
        <v>8.1242050179999996</v>
      </c>
      <c r="AS214">
        <f ca="1">IF(AND(ISNUMBER($AS$662),$B$419=1),$AS$662,HLOOKUP(INDIRECT(ADDRESS(2,COLUMN())),OFFSET($BN$2,0,0,ROW()-1,60),ROW()-1,FALSE))</f>
        <v>8.3987461050000007</v>
      </c>
      <c r="AT214">
        <f ca="1">IF(AND(ISNUMBER($AT$662),$B$419=1),$AT$662,HLOOKUP(INDIRECT(ADDRESS(2,COLUMN())),OFFSET($BN$2,0,0,ROW()-1,60),ROW()-1,FALSE))</f>
        <v>8.4457897620000004</v>
      </c>
      <c r="AU214">
        <f ca="1">IF(AND(ISNUMBER($AU$662),$B$419=1),$AU$662,HLOOKUP(INDIRECT(ADDRESS(2,COLUMN())),OFFSET($BN$2,0,0,ROW()-1,60),ROW()-1,FALSE))</f>
        <v>9.1299988079999999</v>
      </c>
      <c r="AV214">
        <f ca="1">IF(AND(ISNUMBER($AV$662),$B$419=1),$AV$662,HLOOKUP(INDIRECT(ADDRESS(2,COLUMN())),OFFSET($BN$2,0,0,ROW()-1,60),ROW()-1,FALSE))</f>
        <v>8.8780351750000008</v>
      </c>
      <c r="AW214">
        <f ca="1">IF(AND(ISNUMBER($AW$662),$B$419=1),$AW$662,HLOOKUP(INDIRECT(ADDRESS(2,COLUMN())),OFFSET($BN$2,0,0,ROW()-1,60),ROW()-1,FALSE))</f>
        <v>8.8191486609999998</v>
      </c>
      <c r="AX214">
        <f ca="1">IF(AND(ISNUMBER($AX$662),$B$419=1),$AX$662,HLOOKUP(INDIRECT(ADDRESS(2,COLUMN())),OFFSET($BN$2,0,0,ROW()-1,60),ROW()-1,FALSE))</f>
        <v>8.993830999</v>
      </c>
      <c r="AY214">
        <f ca="1">IF(AND(ISNUMBER($AY$662),$B$419=1),$AY$662,HLOOKUP(INDIRECT(ADDRESS(2,COLUMN())),OFFSET($BN$2,0,0,ROW()-1,60),ROW()-1,FALSE))</f>
        <v>10.52983893</v>
      </c>
      <c r="AZ214">
        <f ca="1">IF(AND(ISNUMBER($AZ$662),$B$419=1),$AZ$662,HLOOKUP(INDIRECT(ADDRESS(2,COLUMN())),OFFSET($BN$2,0,0,ROW()-1,60),ROW()-1,FALSE))</f>
        <v>9.4713715169999997</v>
      </c>
      <c r="BA214">
        <f ca="1">IF(AND(ISNUMBER($BA$662),$B$419=1),$BA$662,HLOOKUP(INDIRECT(ADDRESS(2,COLUMN())),OFFSET($BN$2,0,0,ROW()-1,60),ROW()-1,FALSE))</f>
        <v>9.3261090539999998</v>
      </c>
      <c r="BB214">
        <f ca="1">IF(AND(ISNUMBER($BB$662),$B$419=1),$BB$662,HLOOKUP(INDIRECT(ADDRESS(2,COLUMN())),OFFSET($BN$2,0,0,ROW()-1,60),ROW()-1,FALSE))</f>
        <v>9.9485228960000001</v>
      </c>
      <c r="BC214" t="str">
        <f ca="1">IF(AND(ISNUMBER($BC$662),$B$419=1),$BC$662,HLOOKUP(INDIRECT(ADDRESS(2,COLUMN())),OFFSET($BN$2,0,0,ROW()-1,60),ROW()-1,FALSE))</f>
        <v/>
      </c>
      <c r="BD214" t="str">
        <f ca="1">IF(AND(ISNUMBER($BD$662),$B$419=1),$BD$662,HLOOKUP(INDIRECT(ADDRESS(2,COLUMN())),OFFSET($BN$2,0,0,ROW()-1,60),ROW()-1,FALSE))</f>
        <v/>
      </c>
      <c r="BE214" t="str">
        <f ca="1">IF(AND(ISNUMBER($BE$662),$B$419=1),$BE$662,HLOOKUP(INDIRECT(ADDRESS(2,COLUMN())),OFFSET($BN$2,0,0,ROW()-1,60),ROW()-1,FALSE))</f>
        <v/>
      </c>
      <c r="BF214" t="str">
        <f ca="1">IF(AND(ISNUMBER($BF$662),$B$419=1),$BF$662,HLOOKUP(INDIRECT(ADDRESS(2,COLUMN())),OFFSET($BN$2,0,0,ROW()-1,60),ROW()-1,FALSE))</f>
        <v/>
      </c>
      <c r="BG214" t="str">
        <f ca="1">IF(AND(ISNUMBER($BG$662),$B$419=1),$BG$662,HLOOKUP(INDIRECT(ADDRESS(2,COLUMN())),OFFSET($BN$2,0,0,ROW()-1,60),ROW()-1,FALSE))</f>
        <v/>
      </c>
      <c r="BH214" t="str">
        <f ca="1">IF(AND(ISNUMBER($BH$662),$B$419=1),$BH$662,HLOOKUP(INDIRECT(ADDRESS(2,COLUMN())),OFFSET($BN$2,0,0,ROW()-1,60),ROW()-1,FALSE))</f>
        <v/>
      </c>
      <c r="BI214" t="str">
        <f ca="1">IF(AND(ISNUMBER($BI$662),$B$419=1),$BI$662,HLOOKUP(INDIRECT(ADDRESS(2,COLUMN())),OFFSET($BN$2,0,0,ROW()-1,60),ROW()-1,FALSE))</f>
        <v/>
      </c>
      <c r="BJ214" t="str">
        <f ca="1">IF(AND(ISNUMBER($BJ$662),$B$419=1),$BJ$662,HLOOKUP(INDIRECT(ADDRESS(2,COLUMN())),OFFSET($BN$2,0,0,ROW()-1,60),ROW()-1,FALSE))</f>
        <v/>
      </c>
      <c r="BK214" t="str">
        <f ca="1">IF(AND(ISNUMBER($BK$662),$B$419=1),$BK$662,HLOOKUP(INDIRECT(ADDRESS(2,COLUMN())),OFFSET($BN$2,0,0,ROW()-1,60),ROW()-1,FALSE))</f>
        <v/>
      </c>
      <c r="BL214" t="str">
        <f ca="1">IF(AND(ISNUMBER($BL$662),$B$419=1),$BL$662,HLOOKUP(INDIRECT(ADDRESS(2,COLUMN())),OFFSET($BN$2,0,0,ROW()-1,60),ROW()-1,FALSE))</f>
        <v/>
      </c>
      <c r="BM214" t="str">
        <f ca="1">IF(AND(ISNUMBER($BM$662),$B$419=1),$BM$662,HLOOKUP(INDIRECT(ADDRESS(2,COLUMN())),OFFSET($BN$2,0,0,ROW()-1,60),ROW()-1,FALSE))</f>
        <v/>
      </c>
      <c r="BN214" t="str">
        <f>""</f>
        <v/>
      </c>
      <c r="BO214">
        <f>8.99217976</f>
        <v>8.9921797600000009</v>
      </c>
      <c r="BP214">
        <f>8.459805095</f>
        <v>8.4598050950000001</v>
      </c>
      <c r="BQ214">
        <f>8.931474622</f>
        <v>8.9314746219999996</v>
      </c>
      <c r="BR214">
        <f>8.38329818</f>
        <v>8.3832981800000006</v>
      </c>
      <c r="BS214">
        <f>9.655315225</f>
        <v>9.6553152250000007</v>
      </c>
      <c r="BT214">
        <f>8.809371171</f>
        <v>8.8093711710000004</v>
      </c>
      <c r="BU214">
        <f>8.890054133</f>
        <v>8.8900541329999996</v>
      </c>
      <c r="BV214">
        <f>8.763190671</f>
        <v>8.7631906710000003</v>
      </c>
      <c r="BW214">
        <f>9.800593409</f>
        <v>9.8005934089999993</v>
      </c>
      <c r="BX214">
        <f>8.504698961</f>
        <v>8.5046989610000008</v>
      </c>
      <c r="BY214">
        <f>8.605451353</f>
        <v>8.6054513529999994</v>
      </c>
      <c r="BZ214">
        <f>8.55106056</f>
        <v>8.5510605599999998</v>
      </c>
      <c r="CA214">
        <f>9.618918728</f>
        <v>9.6189187280000006</v>
      </c>
      <c r="CB214">
        <f>8.770413247</f>
        <v>8.7704132470000005</v>
      </c>
      <c r="CC214">
        <f>8.748648981</f>
        <v>8.7486489810000005</v>
      </c>
      <c r="CD214">
        <f>8.670204997</f>
        <v>8.6702049970000008</v>
      </c>
      <c r="CE214">
        <f>9.522481677</f>
        <v>9.522481677</v>
      </c>
      <c r="CF214">
        <f>8.522876541</f>
        <v>8.5228765410000005</v>
      </c>
      <c r="CG214">
        <f>8.600685451</f>
        <v>8.6006854510000004</v>
      </c>
      <c r="CH214">
        <f>8.307149716</f>
        <v>8.3071497159999996</v>
      </c>
      <c r="CI214">
        <f>9.130859202</f>
        <v>9.1308592019999999</v>
      </c>
      <c r="CJ214">
        <f>8.415713552</f>
        <v>8.4157135519999997</v>
      </c>
      <c r="CK214">
        <f>8.248864368</f>
        <v>8.2488643679999996</v>
      </c>
      <c r="CL214">
        <f>8.579133381</f>
        <v>8.5791333810000001</v>
      </c>
      <c r="CM214">
        <f>9.324715652</f>
        <v>9.3247156520000001</v>
      </c>
      <c r="CN214">
        <f>7.956867128</f>
        <v>7.9568671279999998</v>
      </c>
      <c r="CO214">
        <f>7.865696558</f>
        <v>7.8656965579999998</v>
      </c>
      <c r="CP214">
        <f>7.61870888</f>
        <v>7.6187088799999998</v>
      </c>
      <c r="CQ214">
        <f>9.087513625</f>
        <v>9.0875136249999997</v>
      </c>
      <c r="CR214">
        <f>8.033924106</f>
        <v>8.0339241060000006</v>
      </c>
      <c r="CS214">
        <f>8.038099954</f>
        <v>8.0380999539999998</v>
      </c>
      <c r="CT214">
        <f>8.00604796</f>
        <v>8.0060479600000001</v>
      </c>
      <c r="CU214">
        <f>9.153415938</f>
        <v>9.1534159380000002</v>
      </c>
      <c r="CV214">
        <f>7.943646142</f>
        <v>7.9436461420000004</v>
      </c>
      <c r="CW214">
        <f>8.2144364</f>
        <v>8.2144364000000003</v>
      </c>
      <c r="CX214">
        <f>8.193273264</f>
        <v>8.1932732640000001</v>
      </c>
      <c r="CY214">
        <f>9.21384537</f>
        <v>9.2138453699999996</v>
      </c>
      <c r="CZ214">
        <f>8.124205018</f>
        <v>8.1242050179999996</v>
      </c>
      <c r="DA214">
        <f>8.398746105</f>
        <v>8.3987461050000007</v>
      </c>
      <c r="DB214">
        <f>8.445789762</f>
        <v>8.4457897620000004</v>
      </c>
      <c r="DC214">
        <f>9.129998808</f>
        <v>9.1299988079999999</v>
      </c>
      <c r="DD214">
        <f>8.878035175</f>
        <v>8.8780351750000008</v>
      </c>
      <c r="DE214">
        <f>8.819148661</f>
        <v>8.8191486609999998</v>
      </c>
      <c r="DF214">
        <f>8.993830999</f>
        <v>8.993830999</v>
      </c>
      <c r="DG214">
        <f>10.52983893</f>
        <v>10.52983893</v>
      </c>
      <c r="DH214">
        <f>9.471371517</f>
        <v>9.4713715169999997</v>
      </c>
      <c r="DI214">
        <f>9.326109054</f>
        <v>9.3261090539999998</v>
      </c>
      <c r="DJ214">
        <f>9.948522896</f>
        <v>9.9485228960000001</v>
      </c>
      <c r="DK214" t="str">
        <f>""</f>
        <v/>
      </c>
      <c r="DL214" t="str">
        <f>""</f>
        <v/>
      </c>
      <c r="DM214" t="str">
        <f>""</f>
        <v/>
      </c>
      <c r="DN214" t="str">
        <f>""</f>
        <v/>
      </c>
      <c r="DO214" t="str">
        <f>""</f>
        <v/>
      </c>
      <c r="DP214" t="str">
        <f>""</f>
        <v/>
      </c>
      <c r="DQ214" t="str">
        <f>""</f>
        <v/>
      </c>
      <c r="DR214" t="str">
        <f>""</f>
        <v/>
      </c>
      <c r="DS214" t="str">
        <f>""</f>
        <v/>
      </c>
      <c r="DT214" t="str">
        <f>""</f>
        <v/>
      </c>
      <c r="DU214" t="str">
        <f>""</f>
        <v/>
      </c>
    </row>
    <row r="215" spans="1:125">
      <c r="A215" t="str">
        <f>"    DDR Corp"</f>
        <v xml:space="preserve">    DDR Corp</v>
      </c>
      <c r="B215" t="str">
        <f>"DDR US Equity"</f>
        <v>DDR US Equity</v>
      </c>
      <c r="C215" t="str">
        <f t="shared" si="39"/>
        <v>RX902</v>
      </c>
      <c r="D215" t="str">
        <f t="shared" si="40"/>
        <v>ANN_NOI_GR_AST_NET_RTL_DEV_CTD_%</v>
      </c>
      <c r="E215" t="str">
        <f t="shared" si="41"/>
        <v>动态</v>
      </c>
      <c r="F215" t="str">
        <f ca="1">IF(AND(ISNUMBER($F$663),$B$419=1),$F$663,HLOOKUP(INDIRECT(ADDRESS(2,COLUMN())),OFFSET($BN$2,0,0,ROW()-1,60),ROW()-1,FALSE))</f>
        <v/>
      </c>
      <c r="G215">
        <f ca="1">IF(AND(ISNUMBER($G$663),$B$419=1),$G$663,HLOOKUP(INDIRECT(ADDRESS(2,COLUMN())),OFFSET($BN$2,0,0,ROW()-1,60),ROW()-1,FALSE))</f>
        <v>6.633249857</v>
      </c>
      <c r="H215">
        <f ca="1">IF(AND(ISNUMBER($H$663),$B$419=1),$H$663,HLOOKUP(INDIRECT(ADDRESS(2,COLUMN())),OFFSET($BN$2,0,0,ROW()-1,60),ROW()-1,FALSE))</f>
        <v>6.7022528399999999</v>
      </c>
      <c r="I215">
        <f ca="1">IF(AND(ISNUMBER($I$663),$B$419=1),$I$663,HLOOKUP(INDIRECT(ADDRESS(2,COLUMN())),OFFSET($BN$2,0,0,ROW()-1,60),ROW()-1,FALSE))</f>
        <v>6.289533262</v>
      </c>
      <c r="J215">
        <f ca="1">IF(AND(ISNUMBER($J$663),$B$419=1),$J$663,HLOOKUP(INDIRECT(ADDRESS(2,COLUMN())),OFFSET($BN$2,0,0,ROW()-1,60),ROW()-1,FALSE))</f>
        <v>6.4833062119999996</v>
      </c>
      <c r="K215">
        <f ca="1">IF(AND(ISNUMBER($K$663),$B$419=1),$K$663,HLOOKUP(INDIRECT(ADDRESS(2,COLUMN())),OFFSET($BN$2,0,0,ROW()-1,60),ROW()-1,FALSE))</f>
        <v>6.6428631950000003</v>
      </c>
      <c r="L215">
        <f ca="1">IF(AND(ISNUMBER($L$663),$B$419=1),$L$663,HLOOKUP(INDIRECT(ADDRESS(2,COLUMN())),OFFSET($BN$2,0,0,ROW()-1,60),ROW()-1,FALSE))</f>
        <v>6.5415851290000004</v>
      </c>
      <c r="M215">
        <f ca="1">IF(AND(ISNUMBER($M$663),$B$419=1),$M$663,HLOOKUP(INDIRECT(ADDRESS(2,COLUMN())),OFFSET($BN$2,0,0,ROW()-1,60),ROW()-1,FALSE))</f>
        <v>6.4028438769999996</v>
      </c>
      <c r="N215">
        <f ca="1">IF(AND(ISNUMBER($N$663),$B$419=1),$N$663,HLOOKUP(INDIRECT(ADDRESS(2,COLUMN())),OFFSET($BN$2,0,0,ROW()-1,60),ROW()-1,FALSE))</f>
        <v>6.3750042330000003</v>
      </c>
      <c r="O215">
        <f ca="1">IF(AND(ISNUMBER($O$663),$B$419=1),$O$663,HLOOKUP(INDIRECT(ADDRESS(2,COLUMN())),OFFSET($BN$2,0,0,ROW()-1,60),ROW()-1,FALSE))</f>
        <v>6.4279256089999999</v>
      </c>
      <c r="P215">
        <f ca="1">IF(AND(ISNUMBER($P$663),$B$419=1),$P$663,HLOOKUP(INDIRECT(ADDRESS(2,COLUMN())),OFFSET($BN$2,0,0,ROW()-1,60),ROW()-1,FALSE))</f>
        <v>6.4199385690000002</v>
      </c>
      <c r="Q215">
        <f ca="1">IF(AND(ISNUMBER($Q$663),$B$419=1),$Q$663,HLOOKUP(INDIRECT(ADDRESS(2,COLUMN())),OFFSET($BN$2,0,0,ROW()-1,60),ROW()-1,FALSE))</f>
        <v>6.3817936690000003</v>
      </c>
      <c r="R215">
        <f ca="1">IF(AND(ISNUMBER($R$663),$B$419=1),$R$663,HLOOKUP(INDIRECT(ADDRESS(2,COLUMN())),OFFSET($BN$2,0,0,ROW()-1,60),ROW()-1,FALSE))</f>
        <v>6.3791391510000004</v>
      </c>
      <c r="S215">
        <f ca="1">IF(AND(ISNUMBER($S$663),$B$419=1),$S$663,HLOOKUP(INDIRECT(ADDRESS(2,COLUMN())),OFFSET($BN$2,0,0,ROW()-1,60),ROW()-1,FALSE))</f>
        <v>6.7813468959999996</v>
      </c>
      <c r="T215">
        <f ca="1">IF(AND(ISNUMBER($T$663),$B$419=1),$T$663,HLOOKUP(INDIRECT(ADDRESS(2,COLUMN())),OFFSET($BN$2,0,0,ROW()-1,60),ROW()-1,FALSE))</f>
        <v>5.9118044029999997</v>
      </c>
      <c r="U215">
        <f ca="1">IF(AND(ISNUMBER($U$663),$B$419=1),$U$663,HLOOKUP(INDIRECT(ADDRESS(2,COLUMN())),OFFSET($BN$2,0,0,ROW()-1,60),ROW()-1,FALSE))</f>
        <v>5.7906615820000003</v>
      </c>
      <c r="V215">
        <f ca="1">IF(AND(ISNUMBER($V$663),$B$419=1),$V$663,HLOOKUP(INDIRECT(ADDRESS(2,COLUMN())),OFFSET($BN$2,0,0,ROW()-1,60),ROW()-1,FALSE))</f>
        <v>5.7369619549999999</v>
      </c>
      <c r="W215">
        <f ca="1">IF(AND(ISNUMBER($W$663),$B$419=1),$W$663,HLOOKUP(INDIRECT(ADDRESS(2,COLUMN())),OFFSET($BN$2,0,0,ROW()-1,60),ROW()-1,FALSE))</f>
        <v>6.635567172</v>
      </c>
      <c r="X215">
        <f ca="1">IF(AND(ISNUMBER($X$663),$B$419=1),$X$663,HLOOKUP(INDIRECT(ADDRESS(2,COLUMN())),OFFSET($BN$2,0,0,ROW()-1,60),ROW()-1,FALSE))</f>
        <v>6.4053939480000004</v>
      </c>
      <c r="Y215">
        <f ca="1">IF(AND(ISNUMBER($Y$663),$B$419=1),$Y$663,HLOOKUP(INDIRECT(ADDRESS(2,COLUMN())),OFFSET($BN$2,0,0,ROW()-1,60),ROW()-1,FALSE))</f>
        <v>6.6123549830000004</v>
      </c>
      <c r="Z215">
        <f ca="1">IF(AND(ISNUMBER($Z$663),$B$419=1),$Z$663,HLOOKUP(INDIRECT(ADDRESS(2,COLUMN())),OFFSET($BN$2,0,0,ROW()-1,60),ROW()-1,FALSE))</f>
        <v>6.4398420449999998</v>
      </c>
      <c r="AA215">
        <f ca="1">IF(AND(ISNUMBER($AA$663),$B$419=1),$AA$663,HLOOKUP(INDIRECT(ADDRESS(2,COLUMN())),OFFSET($BN$2,0,0,ROW()-1,60),ROW()-1,FALSE))</f>
        <v>6.5815147410000003</v>
      </c>
      <c r="AB215">
        <f ca="1">IF(AND(ISNUMBER($AB$663),$B$419=1),$AB$663,HLOOKUP(INDIRECT(ADDRESS(2,COLUMN())),OFFSET($BN$2,0,0,ROW()-1,60),ROW()-1,FALSE))</f>
        <v>6.3810012330000001</v>
      </c>
      <c r="AC215">
        <f ca="1">IF(AND(ISNUMBER($AC$663),$B$419=1),$AC$663,HLOOKUP(INDIRECT(ADDRESS(2,COLUMN())),OFFSET($BN$2,0,0,ROW()-1,60),ROW()-1,FALSE))</f>
        <v>6.5470725940000003</v>
      </c>
      <c r="AD215">
        <f ca="1">IF(AND(ISNUMBER($AD$663),$B$419=1),$AD$663,HLOOKUP(INDIRECT(ADDRESS(2,COLUMN())),OFFSET($BN$2,0,0,ROW()-1,60),ROW()-1,FALSE))</f>
        <v>6.5355683549999997</v>
      </c>
      <c r="AE215">
        <f ca="1">IF(AND(ISNUMBER($AE$663),$B$419=1),$AE$663,HLOOKUP(INDIRECT(ADDRESS(2,COLUMN())),OFFSET($BN$2,0,0,ROW()-1,60),ROW()-1,FALSE))</f>
        <v>6.8188112009999999</v>
      </c>
      <c r="AF215">
        <f ca="1">IF(AND(ISNUMBER($AF$663),$B$419=1),$AF$663,HLOOKUP(INDIRECT(ADDRESS(2,COLUMN())),OFFSET($BN$2,0,0,ROW()-1,60),ROW()-1,FALSE))</f>
        <v>6.4384219119999999</v>
      </c>
      <c r="AG215">
        <f ca="1">IF(AND(ISNUMBER($AG$663),$B$419=1),$AG$663,HLOOKUP(INDIRECT(ADDRESS(2,COLUMN())),OFFSET($BN$2,0,0,ROW()-1,60),ROW()-1,FALSE))</f>
        <v>6.3513386729999999</v>
      </c>
      <c r="AH215">
        <f ca="1">IF(AND(ISNUMBER($AH$663),$B$419=1),$AH$663,HLOOKUP(INDIRECT(ADDRESS(2,COLUMN())),OFFSET($BN$2,0,0,ROW()-1,60),ROW()-1,FALSE))</f>
        <v>6.9337981170000003</v>
      </c>
      <c r="AI215">
        <f ca="1">IF(AND(ISNUMBER($AI$663),$B$419=1),$AI$663,HLOOKUP(INDIRECT(ADDRESS(2,COLUMN())),OFFSET($BN$2,0,0,ROW()-1,60),ROW()-1,FALSE))</f>
        <v>4.5244151070000003</v>
      </c>
      <c r="AJ215">
        <f ca="1">IF(AND(ISNUMBER($AJ$663),$B$419=1),$AJ$663,HLOOKUP(INDIRECT(ADDRESS(2,COLUMN())),OFFSET($BN$2,0,0,ROW()-1,60),ROW()-1,FALSE))</f>
        <v>5.7616306420000001</v>
      </c>
      <c r="AK215">
        <f ca="1">IF(AND(ISNUMBER($AK$663),$B$419=1),$AK$663,HLOOKUP(INDIRECT(ADDRESS(2,COLUMN())),OFFSET($BN$2,0,0,ROW()-1,60),ROW()-1,FALSE))</f>
        <v>2.632140326</v>
      </c>
      <c r="AL215">
        <f ca="1">IF(AND(ISNUMBER($AL$663),$B$419=1),$AL$663,HLOOKUP(INDIRECT(ADDRESS(2,COLUMN())),OFFSET($BN$2,0,0,ROW()-1,60),ROW()-1,FALSE))</f>
        <v>5.8611679680000002</v>
      </c>
      <c r="AM215">
        <f ca="1">IF(AND(ISNUMBER($AM$663),$B$419=1),$AM$663,HLOOKUP(INDIRECT(ADDRESS(2,COLUMN())),OFFSET($BN$2,0,0,ROW()-1,60),ROW()-1,FALSE))</f>
        <v>6.0052997890000004</v>
      </c>
      <c r="AN215">
        <f ca="1">IF(AND(ISNUMBER($AN$663),$B$419=1),$AN$663,HLOOKUP(INDIRECT(ADDRESS(2,COLUMN())),OFFSET($BN$2,0,0,ROW()-1,60),ROW()-1,FALSE))</f>
        <v>5.812548005</v>
      </c>
      <c r="AO215">
        <f ca="1">IF(AND(ISNUMBER($AO$663),$B$419=1),$AO$663,HLOOKUP(INDIRECT(ADDRESS(2,COLUMN())),OFFSET($BN$2,0,0,ROW()-1,60),ROW()-1,FALSE))</f>
        <v>6.0620119040000002</v>
      </c>
      <c r="AP215">
        <f ca="1">IF(AND(ISNUMBER($AP$663),$B$419=1),$AP$663,HLOOKUP(INDIRECT(ADDRESS(2,COLUMN())),OFFSET($BN$2,0,0,ROW()-1,60),ROW()-1,FALSE))</f>
        <v>6.2661138330000004</v>
      </c>
      <c r="AQ215">
        <f ca="1">IF(AND(ISNUMBER($AQ$663),$B$419=1),$AQ$663,HLOOKUP(INDIRECT(ADDRESS(2,COLUMN())),OFFSET($BN$2,0,0,ROW()-1,60),ROW()-1,FALSE))</f>
        <v>12.965522229999999</v>
      </c>
      <c r="AR215">
        <f ca="1">IF(AND(ISNUMBER($AR$663),$B$419=1),$AR$663,HLOOKUP(INDIRECT(ADDRESS(2,COLUMN())),OFFSET($BN$2,0,0,ROW()-1,60),ROW()-1,FALSE))</f>
        <v>13.10789486</v>
      </c>
      <c r="AS215">
        <f ca="1">IF(AND(ISNUMBER($AS$663),$B$419=1),$AS$663,HLOOKUP(INDIRECT(ADDRESS(2,COLUMN())),OFFSET($BN$2,0,0,ROW()-1,60),ROW()-1,FALSE))</f>
        <v>13.17022249</v>
      </c>
      <c r="AT215">
        <f ca="1">IF(AND(ISNUMBER($AT$663),$B$419=1),$AT$663,HLOOKUP(INDIRECT(ADDRESS(2,COLUMN())),OFFSET($BN$2,0,0,ROW()-1,60),ROW()-1,FALSE))</f>
        <v>13.72232277</v>
      </c>
      <c r="AU215">
        <f ca="1">IF(AND(ISNUMBER($AU$663),$B$419=1),$AU$663,HLOOKUP(INDIRECT(ADDRESS(2,COLUMN())),OFFSET($BN$2,0,0,ROW()-1,60),ROW()-1,FALSE))</f>
        <v>13.31953841</v>
      </c>
      <c r="AV215">
        <f ca="1">IF(AND(ISNUMBER($AV$663),$B$419=1),$AV$663,HLOOKUP(INDIRECT(ADDRESS(2,COLUMN())),OFFSET($BN$2,0,0,ROW()-1,60),ROW()-1,FALSE))</f>
        <v>13.26601921</v>
      </c>
      <c r="AW215">
        <f ca="1">IF(AND(ISNUMBER($AW$663),$B$419=1),$AW$663,HLOOKUP(INDIRECT(ADDRESS(2,COLUMN())),OFFSET($BN$2,0,0,ROW()-1,60),ROW()-1,FALSE))</f>
        <v>13.51988755</v>
      </c>
      <c r="AX215">
        <f ca="1">IF(AND(ISNUMBER($AX$663),$B$419=1),$AX$663,HLOOKUP(INDIRECT(ADDRESS(2,COLUMN())),OFFSET($BN$2,0,0,ROW()-1,60),ROW()-1,FALSE))</f>
        <v>9.3948224299999996</v>
      </c>
      <c r="AY215">
        <f ca="1">IF(AND(ISNUMBER($AY$663),$B$419=1),$AY$663,HLOOKUP(INDIRECT(ADDRESS(2,COLUMN())),OFFSET($BN$2,0,0,ROW()-1,60),ROW()-1,FALSE))</f>
        <v>11.83770365</v>
      </c>
      <c r="AZ215">
        <f ca="1">IF(AND(ISNUMBER($AZ$663),$B$419=1),$AZ$663,HLOOKUP(INDIRECT(ADDRESS(2,COLUMN())),OFFSET($BN$2,0,0,ROW()-1,60),ROW()-1,FALSE))</f>
        <v>11.38800513</v>
      </c>
      <c r="BA215">
        <f ca="1">IF(AND(ISNUMBER($BA$663),$B$419=1),$BA$663,HLOOKUP(INDIRECT(ADDRESS(2,COLUMN())),OFFSET($BN$2,0,0,ROW()-1,60),ROW()-1,FALSE))</f>
        <v>11.1568112</v>
      </c>
      <c r="BB215">
        <f ca="1">IF(AND(ISNUMBER($BB$663),$B$419=1),$BB$663,HLOOKUP(INDIRECT(ADDRESS(2,COLUMN())),OFFSET($BN$2,0,0,ROW()-1,60),ROW()-1,FALSE))</f>
        <v>11.480443129999999</v>
      </c>
      <c r="BC215" t="str">
        <f ca="1">IF(AND(ISNUMBER($BC$663),$B$419=1),$BC$663,HLOOKUP(INDIRECT(ADDRESS(2,COLUMN())),OFFSET($BN$2,0,0,ROW()-1,60),ROW()-1,FALSE))</f>
        <v/>
      </c>
      <c r="BD215" t="str">
        <f ca="1">IF(AND(ISNUMBER($BD$663),$B$419=1),$BD$663,HLOOKUP(INDIRECT(ADDRESS(2,COLUMN())),OFFSET($BN$2,0,0,ROW()-1,60),ROW()-1,FALSE))</f>
        <v/>
      </c>
      <c r="BE215" t="str">
        <f ca="1">IF(AND(ISNUMBER($BE$663),$B$419=1),$BE$663,HLOOKUP(INDIRECT(ADDRESS(2,COLUMN())),OFFSET($BN$2,0,0,ROW()-1,60),ROW()-1,FALSE))</f>
        <v/>
      </c>
      <c r="BF215" t="str">
        <f ca="1">IF(AND(ISNUMBER($BF$663),$B$419=1),$BF$663,HLOOKUP(INDIRECT(ADDRESS(2,COLUMN())),OFFSET($BN$2,0,0,ROW()-1,60),ROW()-1,FALSE))</f>
        <v/>
      </c>
      <c r="BG215" t="str">
        <f ca="1">IF(AND(ISNUMBER($BG$663),$B$419=1),$BG$663,HLOOKUP(INDIRECT(ADDRESS(2,COLUMN())),OFFSET($BN$2,0,0,ROW()-1,60),ROW()-1,FALSE))</f>
        <v/>
      </c>
      <c r="BH215" t="str">
        <f ca="1">IF(AND(ISNUMBER($BH$663),$B$419=1),$BH$663,HLOOKUP(INDIRECT(ADDRESS(2,COLUMN())),OFFSET($BN$2,0,0,ROW()-1,60),ROW()-1,FALSE))</f>
        <v/>
      </c>
      <c r="BI215" t="str">
        <f ca="1">IF(AND(ISNUMBER($BI$663),$B$419=1),$BI$663,HLOOKUP(INDIRECT(ADDRESS(2,COLUMN())),OFFSET($BN$2,0,0,ROW()-1,60),ROW()-1,FALSE))</f>
        <v/>
      </c>
      <c r="BJ215" t="str">
        <f ca="1">IF(AND(ISNUMBER($BJ$663),$B$419=1),$BJ$663,HLOOKUP(INDIRECT(ADDRESS(2,COLUMN())),OFFSET($BN$2,0,0,ROW()-1,60),ROW()-1,FALSE))</f>
        <v/>
      </c>
      <c r="BK215" t="str">
        <f ca="1">IF(AND(ISNUMBER($BK$663),$B$419=1),$BK$663,HLOOKUP(INDIRECT(ADDRESS(2,COLUMN())),OFFSET($BN$2,0,0,ROW()-1,60),ROW()-1,FALSE))</f>
        <v/>
      </c>
      <c r="BL215" t="str">
        <f ca="1">IF(AND(ISNUMBER($BL$663),$B$419=1),$BL$663,HLOOKUP(INDIRECT(ADDRESS(2,COLUMN())),OFFSET($BN$2,0,0,ROW()-1,60),ROW()-1,FALSE))</f>
        <v/>
      </c>
      <c r="BM215" t="str">
        <f ca="1">IF(AND(ISNUMBER($BM$663),$B$419=1),$BM$663,HLOOKUP(INDIRECT(ADDRESS(2,COLUMN())),OFFSET($BN$2,0,0,ROW()-1,60),ROW()-1,FALSE))</f>
        <v/>
      </c>
      <c r="BN215" t="str">
        <f>""</f>
        <v/>
      </c>
      <c r="BO215">
        <f>6.633249857</f>
        <v>6.633249857</v>
      </c>
      <c r="BP215">
        <f>6.70225284</f>
        <v>6.7022528399999999</v>
      </c>
      <c r="BQ215">
        <f>6.289533262</f>
        <v>6.289533262</v>
      </c>
      <c r="BR215">
        <f>6.483306212</f>
        <v>6.4833062119999996</v>
      </c>
      <c r="BS215">
        <f>6.642863195</f>
        <v>6.6428631950000003</v>
      </c>
      <c r="BT215">
        <f>6.541585129</f>
        <v>6.5415851290000004</v>
      </c>
      <c r="BU215">
        <f>6.402843877</f>
        <v>6.4028438769999996</v>
      </c>
      <c r="BV215">
        <f>6.375004233</f>
        <v>6.3750042330000003</v>
      </c>
      <c r="BW215">
        <f>6.427925609</f>
        <v>6.4279256089999999</v>
      </c>
      <c r="BX215">
        <f>6.419938569</f>
        <v>6.4199385690000002</v>
      </c>
      <c r="BY215">
        <f>6.381793669</f>
        <v>6.3817936690000003</v>
      </c>
      <c r="BZ215">
        <f>6.379139151</f>
        <v>6.3791391510000004</v>
      </c>
      <c r="CA215">
        <f>6.781346896</f>
        <v>6.7813468959999996</v>
      </c>
      <c r="CB215">
        <f>5.911804403</f>
        <v>5.9118044029999997</v>
      </c>
      <c r="CC215">
        <f>5.790661582</f>
        <v>5.7906615820000003</v>
      </c>
      <c r="CD215">
        <f>5.736961955</f>
        <v>5.7369619549999999</v>
      </c>
      <c r="CE215">
        <f>6.635567172</f>
        <v>6.635567172</v>
      </c>
      <c r="CF215">
        <f>6.405393948</f>
        <v>6.4053939480000004</v>
      </c>
      <c r="CG215">
        <f>6.612354983</f>
        <v>6.6123549830000004</v>
      </c>
      <c r="CH215">
        <f>6.439842045</f>
        <v>6.4398420449999998</v>
      </c>
      <c r="CI215">
        <f>6.581514741</f>
        <v>6.5815147410000003</v>
      </c>
      <c r="CJ215">
        <f>6.381001233</f>
        <v>6.3810012330000001</v>
      </c>
      <c r="CK215">
        <f>6.547072594</f>
        <v>6.5470725940000003</v>
      </c>
      <c r="CL215">
        <f>6.535568355</f>
        <v>6.5355683549999997</v>
      </c>
      <c r="CM215">
        <f>6.818811201</f>
        <v>6.8188112009999999</v>
      </c>
      <c r="CN215">
        <f>6.438421912</f>
        <v>6.4384219119999999</v>
      </c>
      <c r="CO215">
        <f>6.351338673</f>
        <v>6.3513386729999999</v>
      </c>
      <c r="CP215">
        <f>6.933798117</f>
        <v>6.9337981170000003</v>
      </c>
      <c r="CQ215">
        <f>4.524415107</f>
        <v>4.5244151070000003</v>
      </c>
      <c r="CR215">
        <f>5.761630642</f>
        <v>5.7616306420000001</v>
      </c>
      <c r="CS215">
        <f>2.632140326</f>
        <v>2.632140326</v>
      </c>
      <c r="CT215">
        <f>5.861167968</f>
        <v>5.8611679680000002</v>
      </c>
      <c r="CU215">
        <f>6.005299789</f>
        <v>6.0052997890000004</v>
      </c>
      <c r="CV215">
        <f>5.812548005</f>
        <v>5.812548005</v>
      </c>
      <c r="CW215">
        <f>6.062011904</f>
        <v>6.0620119040000002</v>
      </c>
      <c r="CX215">
        <f>6.266113833</f>
        <v>6.2661138330000004</v>
      </c>
      <c r="CY215">
        <f>12.96552223</f>
        <v>12.965522229999999</v>
      </c>
      <c r="CZ215">
        <f>13.10789486</f>
        <v>13.10789486</v>
      </c>
      <c r="DA215">
        <f>13.17022249</f>
        <v>13.17022249</v>
      </c>
      <c r="DB215">
        <f>13.72232277</f>
        <v>13.72232277</v>
      </c>
      <c r="DC215">
        <f>13.31953841</f>
        <v>13.31953841</v>
      </c>
      <c r="DD215">
        <f>13.26601921</f>
        <v>13.26601921</v>
      </c>
      <c r="DE215">
        <f>13.51988755</f>
        <v>13.51988755</v>
      </c>
      <c r="DF215">
        <f>9.39482243</f>
        <v>9.3948224299999996</v>
      </c>
      <c r="DG215">
        <f>11.83770365</f>
        <v>11.83770365</v>
      </c>
      <c r="DH215">
        <f>11.38800513</f>
        <v>11.38800513</v>
      </c>
      <c r="DI215">
        <f>11.1568112</f>
        <v>11.1568112</v>
      </c>
      <c r="DJ215">
        <f>11.48044313</f>
        <v>11.480443129999999</v>
      </c>
      <c r="DK215" t="str">
        <f>""</f>
        <v/>
      </c>
      <c r="DL215" t="str">
        <f>""</f>
        <v/>
      </c>
      <c r="DM215" t="str">
        <f>""</f>
        <v/>
      </c>
      <c r="DN215" t="str">
        <f>""</f>
        <v/>
      </c>
      <c r="DO215" t="str">
        <f>""</f>
        <v/>
      </c>
      <c r="DP215" t="str">
        <f>""</f>
        <v/>
      </c>
      <c r="DQ215" t="str">
        <f>""</f>
        <v/>
      </c>
      <c r="DR215" t="str">
        <f>""</f>
        <v/>
      </c>
      <c r="DS215" t="str">
        <f>""</f>
        <v/>
      </c>
      <c r="DT215" t="str">
        <f>""</f>
        <v/>
      </c>
      <c r="DU215" t="str">
        <f>""</f>
        <v/>
      </c>
    </row>
    <row r="216" spans="1:125">
      <c r="A216" t="str">
        <f>"    Federal Realty Investment Trus"</f>
        <v xml:space="preserve">    Federal Realty Investment Trus</v>
      </c>
      <c r="B216" t="str">
        <f>"FRT US Equity"</f>
        <v>FRT US Equity</v>
      </c>
      <c r="C216" t="str">
        <f t="shared" si="39"/>
        <v>RX902</v>
      </c>
      <c r="D216" t="str">
        <f t="shared" si="40"/>
        <v>ANN_NOI_GR_AST_NET_RTL_DEV_CTD_%</v>
      </c>
      <c r="E216" t="str">
        <f t="shared" si="41"/>
        <v>动态</v>
      </c>
      <c r="F216" t="str">
        <f ca="1">IF(AND(ISNUMBER($F$664),$B$419=1),$F$664,HLOOKUP(INDIRECT(ADDRESS(2,COLUMN())),OFFSET($BN$2,0,0,ROW()-1,60),ROW()-1,FALSE))</f>
        <v/>
      </c>
      <c r="G216">
        <f ca="1">IF(AND(ISNUMBER($G$664),$B$419=1),$G$664,HLOOKUP(INDIRECT(ADDRESS(2,COLUMN())),OFFSET($BN$2,0,0,ROW()-1,60),ROW()-1,FALSE))</f>
        <v>21.889976730000001</v>
      </c>
      <c r="H216">
        <f ca="1">IF(AND(ISNUMBER($H$664),$B$419=1),$H$664,HLOOKUP(INDIRECT(ADDRESS(2,COLUMN())),OFFSET($BN$2,0,0,ROW()-1,60),ROW()-1,FALSE))</f>
        <v>7.7081930449999998</v>
      </c>
      <c r="I216">
        <f ca="1">IF(AND(ISNUMBER($I$664),$B$419=1),$I$664,HLOOKUP(INDIRECT(ADDRESS(2,COLUMN())),OFFSET($BN$2,0,0,ROW()-1,60),ROW()-1,FALSE))</f>
        <v>7.8704109329999996</v>
      </c>
      <c r="J216">
        <f ca="1">IF(AND(ISNUMBER($J$664),$B$419=1),$J$664,HLOOKUP(INDIRECT(ADDRESS(2,COLUMN())),OFFSET($BN$2,0,0,ROW()-1,60),ROW()-1,FALSE))</f>
        <v>7.8982563170000004</v>
      </c>
      <c r="K216">
        <f ca="1">IF(AND(ISNUMBER($K$664),$B$419=1),$K$664,HLOOKUP(INDIRECT(ADDRESS(2,COLUMN())),OFFSET($BN$2,0,0,ROW()-1,60),ROW()-1,FALSE))</f>
        <v>8.0526551160000004</v>
      </c>
      <c r="L216">
        <f ca="1">IF(AND(ISNUMBER($L$664),$B$419=1),$L$664,HLOOKUP(INDIRECT(ADDRESS(2,COLUMN())),OFFSET($BN$2,0,0,ROW()-1,60),ROW()-1,FALSE))</f>
        <v>7.988334139</v>
      </c>
      <c r="M216">
        <f ca="1">IF(AND(ISNUMBER($M$664),$B$419=1),$M$664,HLOOKUP(INDIRECT(ADDRESS(2,COLUMN())),OFFSET($BN$2,0,0,ROW()-1,60),ROW()-1,FALSE))</f>
        <v>8.6219068649999997</v>
      </c>
      <c r="N216">
        <f ca="1">IF(AND(ISNUMBER($N$664),$B$419=1),$N$664,HLOOKUP(INDIRECT(ADDRESS(2,COLUMN())),OFFSET($BN$2,0,0,ROW()-1,60),ROW()-1,FALSE))</f>
        <v>8.4544246059999999</v>
      </c>
      <c r="O216">
        <f ca="1">IF(AND(ISNUMBER($O$664),$B$419=1),$O$664,HLOOKUP(INDIRECT(ADDRESS(2,COLUMN())),OFFSET($BN$2,0,0,ROW()-1,60),ROW()-1,FALSE))</f>
        <v>8.6701890810000002</v>
      </c>
      <c r="P216">
        <f ca="1">IF(AND(ISNUMBER($P$664),$B$419=1),$P$664,HLOOKUP(INDIRECT(ADDRESS(2,COLUMN())),OFFSET($BN$2,0,0,ROW()-1,60),ROW()-1,FALSE))</f>
        <v>8.762741385</v>
      </c>
      <c r="Q216">
        <f ca="1">IF(AND(ISNUMBER($Q$664),$B$419=1),$Q$664,HLOOKUP(INDIRECT(ADDRESS(2,COLUMN())),OFFSET($BN$2,0,0,ROW()-1,60),ROW()-1,FALSE))</f>
        <v>8.8268467099999999</v>
      </c>
      <c r="R216">
        <f ca="1">IF(AND(ISNUMBER($R$664),$B$419=1),$R$664,HLOOKUP(INDIRECT(ADDRESS(2,COLUMN())),OFFSET($BN$2,0,0,ROW()-1,60),ROW()-1,FALSE))</f>
        <v>8.4035370870000001</v>
      </c>
      <c r="S216">
        <f ca="1">IF(AND(ISNUMBER($S$664),$B$419=1),$S$664,HLOOKUP(INDIRECT(ADDRESS(2,COLUMN())),OFFSET($BN$2,0,0,ROW()-1,60),ROW()-1,FALSE))</f>
        <v>8.8206851099999994</v>
      </c>
      <c r="T216">
        <f ca="1">IF(AND(ISNUMBER($T$664),$B$419=1),$T$664,HLOOKUP(INDIRECT(ADDRESS(2,COLUMN())),OFFSET($BN$2,0,0,ROW()-1,60),ROW()-1,FALSE))</f>
        <v>8.6125152059999994</v>
      </c>
      <c r="U216">
        <f ca="1">IF(AND(ISNUMBER($U$664),$B$419=1),$U$664,HLOOKUP(INDIRECT(ADDRESS(2,COLUMN())),OFFSET($BN$2,0,0,ROW()-1,60),ROW()-1,FALSE))</f>
        <v>8.5305933419999995</v>
      </c>
      <c r="V216">
        <f ca="1">IF(AND(ISNUMBER($V$664),$B$419=1),$V$664,HLOOKUP(INDIRECT(ADDRESS(2,COLUMN())),OFFSET($BN$2,0,0,ROW()-1,60),ROW()-1,FALSE))</f>
        <v>8.3632369709999992</v>
      </c>
      <c r="W216">
        <f ca="1">IF(AND(ISNUMBER($W$664),$B$419=1),$W$664,HLOOKUP(INDIRECT(ADDRESS(2,COLUMN())),OFFSET($BN$2,0,0,ROW()-1,60),ROW()-1,FALSE))</f>
        <v>8.4296094519999993</v>
      </c>
      <c r="X216">
        <f ca="1">IF(AND(ISNUMBER($X$664),$B$419=1),$X$664,HLOOKUP(INDIRECT(ADDRESS(2,COLUMN())),OFFSET($BN$2,0,0,ROW()-1,60),ROW()-1,FALSE))</f>
        <v>8.4185962819999993</v>
      </c>
      <c r="Y216">
        <f ca="1">IF(AND(ISNUMBER($Y$664),$B$419=1),$Y$664,HLOOKUP(INDIRECT(ADDRESS(2,COLUMN())),OFFSET($BN$2,0,0,ROW()-1,60),ROW()-1,FALSE))</f>
        <v>8.5431910729999991</v>
      </c>
      <c r="Z216">
        <f ca="1">IF(AND(ISNUMBER($Z$664),$B$419=1),$Z$664,HLOOKUP(INDIRECT(ADDRESS(2,COLUMN())),OFFSET($BN$2,0,0,ROW()-1,60),ROW()-1,FALSE))</f>
        <v>8.6713292769999999</v>
      </c>
      <c r="AA216">
        <f ca="1">IF(AND(ISNUMBER($AA$664),$B$419=1),$AA$664,HLOOKUP(INDIRECT(ADDRESS(2,COLUMN())),OFFSET($BN$2,0,0,ROW()-1,60),ROW()-1,FALSE))</f>
        <v>8.6649798249999996</v>
      </c>
      <c r="AB216">
        <f ca="1">IF(AND(ISNUMBER($AB$664),$B$419=1),$AB$664,HLOOKUP(INDIRECT(ADDRESS(2,COLUMN())),OFFSET($BN$2,0,0,ROW()-1,60),ROW()-1,FALSE))</f>
        <v>8.9672899800000003</v>
      </c>
      <c r="AC216">
        <f ca="1">IF(AND(ISNUMBER($AC$664),$B$419=1),$AC$664,HLOOKUP(INDIRECT(ADDRESS(2,COLUMN())),OFFSET($BN$2,0,0,ROW()-1,60),ROW()-1,FALSE))</f>
        <v>8.6724291559999998</v>
      </c>
      <c r="AD216">
        <f ca="1">IF(AND(ISNUMBER($AD$664),$B$419=1),$AD$664,HLOOKUP(INDIRECT(ADDRESS(2,COLUMN())),OFFSET($BN$2,0,0,ROW()-1,60),ROW()-1,FALSE))</f>
        <v>8.7108674179999994</v>
      </c>
      <c r="AE216">
        <f ca="1">IF(AND(ISNUMBER($AE$664),$B$419=1),$AE$664,HLOOKUP(INDIRECT(ADDRESS(2,COLUMN())),OFFSET($BN$2,0,0,ROW()-1,60),ROW()-1,FALSE))</f>
        <v>8.2894315130000003</v>
      </c>
      <c r="AF216">
        <f ca="1">IF(AND(ISNUMBER($AF$664),$B$419=1),$AF$664,HLOOKUP(INDIRECT(ADDRESS(2,COLUMN())),OFFSET($BN$2,0,0,ROW()-1,60),ROW()-1,FALSE))</f>
        <v>8.813714118</v>
      </c>
      <c r="AG216">
        <f ca="1">IF(AND(ISNUMBER($AG$664),$B$419=1),$AG$664,HLOOKUP(INDIRECT(ADDRESS(2,COLUMN())),OFFSET($BN$2,0,0,ROW()-1,60),ROW()-1,FALSE))</f>
        <v>8.8817166239999992</v>
      </c>
      <c r="AH216">
        <f ca="1">IF(AND(ISNUMBER($AH$664),$B$419=1),$AH$664,HLOOKUP(INDIRECT(ADDRESS(2,COLUMN())),OFFSET($BN$2,0,0,ROW()-1,60),ROW()-1,FALSE))</f>
        <v>8.6813433169999996</v>
      </c>
      <c r="AI216">
        <f ca="1">IF(AND(ISNUMBER($AI$664),$B$419=1),$AI$664,HLOOKUP(INDIRECT(ADDRESS(2,COLUMN())),OFFSET($BN$2,0,0,ROW()-1,60),ROW()-1,FALSE))</f>
        <v>9.0756151070000008</v>
      </c>
      <c r="AJ216">
        <f ca="1">IF(AND(ISNUMBER($AJ$664),$B$419=1),$AJ$664,HLOOKUP(INDIRECT(ADDRESS(2,COLUMN())),OFFSET($BN$2,0,0,ROW()-1,60),ROW()-1,FALSE))</f>
        <v>8.8164335820000002</v>
      </c>
      <c r="AK216">
        <f ca="1">IF(AND(ISNUMBER($AK$664),$B$419=1),$AK$664,HLOOKUP(INDIRECT(ADDRESS(2,COLUMN())),OFFSET($BN$2,0,0,ROW()-1,60),ROW()-1,FALSE))</f>
        <v>9.0811869969999996</v>
      </c>
      <c r="AL216">
        <f ca="1">IF(AND(ISNUMBER($AL$664),$B$419=1),$AL$664,HLOOKUP(INDIRECT(ADDRESS(2,COLUMN())),OFFSET($BN$2,0,0,ROW()-1,60),ROW()-1,FALSE))</f>
        <v>9.1963649860000007</v>
      </c>
      <c r="AM216">
        <f ca="1">IF(AND(ISNUMBER($AM$664),$B$419=1),$AM$664,HLOOKUP(INDIRECT(ADDRESS(2,COLUMN())),OFFSET($BN$2,0,0,ROW()-1,60),ROW()-1,FALSE))</f>
        <v>8.9085750489999995</v>
      </c>
      <c r="AN216">
        <f ca="1">IF(AND(ISNUMBER($AN$664),$B$419=1),$AN$664,HLOOKUP(INDIRECT(ADDRESS(2,COLUMN())),OFFSET($BN$2,0,0,ROW()-1,60),ROW()-1,FALSE))</f>
        <v>8.3873739710000006</v>
      </c>
      <c r="AO216">
        <f ca="1">IF(AND(ISNUMBER($AO$664),$B$419=1),$AO$664,HLOOKUP(INDIRECT(ADDRESS(2,COLUMN())),OFFSET($BN$2,0,0,ROW()-1,60),ROW()-1,FALSE))</f>
        <v>8.7656682200000002</v>
      </c>
      <c r="AP216">
        <f ca="1">IF(AND(ISNUMBER($AP$664),$B$419=1),$AP$664,HLOOKUP(INDIRECT(ADDRESS(2,COLUMN())),OFFSET($BN$2,0,0,ROW()-1,60),ROW()-1,FALSE))</f>
        <v>8.9510377820000002</v>
      </c>
      <c r="AQ216">
        <f ca="1">IF(AND(ISNUMBER($AQ$664),$B$419=1),$AQ$664,HLOOKUP(INDIRECT(ADDRESS(2,COLUMN())),OFFSET($BN$2,0,0,ROW()-1,60),ROW()-1,FALSE))</f>
        <v>9.1852977150000008</v>
      </c>
      <c r="AR216">
        <f ca="1">IF(AND(ISNUMBER($AR$664),$B$419=1),$AR$664,HLOOKUP(INDIRECT(ADDRESS(2,COLUMN())),OFFSET($BN$2,0,0,ROW()-1,60),ROW()-1,FALSE))</f>
        <v>9.0972850140000006</v>
      </c>
      <c r="AS216">
        <f ca="1">IF(AND(ISNUMBER($AS$664),$B$419=1),$AS$664,HLOOKUP(INDIRECT(ADDRESS(2,COLUMN())),OFFSET($BN$2,0,0,ROW()-1,60),ROW()-1,FALSE))</f>
        <v>9.2312538810000007</v>
      </c>
      <c r="AT216">
        <f ca="1">IF(AND(ISNUMBER($AT$664),$B$419=1),$AT$664,HLOOKUP(INDIRECT(ADDRESS(2,COLUMN())),OFFSET($BN$2,0,0,ROW()-1,60),ROW()-1,FALSE))</f>
        <v>9.2303884979999999</v>
      </c>
      <c r="AU216">
        <f ca="1">IF(AND(ISNUMBER($AU$664),$B$419=1),$AU$664,HLOOKUP(INDIRECT(ADDRESS(2,COLUMN())),OFFSET($BN$2,0,0,ROW()-1,60),ROW()-1,FALSE))</f>
        <v>9.1742658840000004</v>
      </c>
      <c r="AV216">
        <f ca="1">IF(AND(ISNUMBER($AV$664),$B$419=1),$AV$664,HLOOKUP(INDIRECT(ADDRESS(2,COLUMN())),OFFSET($BN$2,0,0,ROW()-1,60),ROW()-1,FALSE))</f>
        <v>9.2421058770000002</v>
      </c>
      <c r="AW216">
        <f ca="1">IF(AND(ISNUMBER($AW$664),$B$419=1),$AW$664,HLOOKUP(INDIRECT(ADDRESS(2,COLUMN())),OFFSET($BN$2,0,0,ROW()-1,60),ROW()-1,FALSE))</f>
        <v>8.6205521520000001</v>
      </c>
      <c r="AX216">
        <f ca="1">IF(AND(ISNUMBER($AX$664),$B$419=1),$AX$664,HLOOKUP(INDIRECT(ADDRESS(2,COLUMN())),OFFSET($BN$2,0,0,ROW()-1,60),ROW()-1,FALSE))</f>
        <v>8.7081884400000007</v>
      </c>
      <c r="AY216">
        <f ca="1">IF(AND(ISNUMBER($AY$664),$B$419=1),$AY$664,HLOOKUP(INDIRECT(ADDRESS(2,COLUMN())),OFFSET($BN$2,0,0,ROW()-1,60),ROW()-1,FALSE))</f>
        <v>7.9634587720000001</v>
      </c>
      <c r="AZ216">
        <f ca="1">IF(AND(ISNUMBER($AZ$664),$B$419=1),$AZ$664,HLOOKUP(INDIRECT(ADDRESS(2,COLUMN())),OFFSET($BN$2,0,0,ROW()-1,60),ROW()-1,FALSE))</f>
        <v>9.5164925220000001</v>
      </c>
      <c r="BA216">
        <f ca="1">IF(AND(ISNUMBER($BA$664),$B$419=1),$BA$664,HLOOKUP(INDIRECT(ADDRESS(2,COLUMN())),OFFSET($BN$2,0,0,ROW()-1,60),ROW()-1,FALSE))</f>
        <v>10.199398390000001</v>
      </c>
      <c r="BB216">
        <f ca="1">IF(AND(ISNUMBER($BB$664),$B$419=1),$BB$664,HLOOKUP(INDIRECT(ADDRESS(2,COLUMN())),OFFSET($BN$2,0,0,ROW()-1,60),ROW()-1,FALSE))</f>
        <v>10.00211887</v>
      </c>
      <c r="BC216" t="str">
        <f ca="1">IF(AND(ISNUMBER($BC$664),$B$419=1),$BC$664,HLOOKUP(INDIRECT(ADDRESS(2,COLUMN())),OFFSET($BN$2,0,0,ROW()-1,60),ROW()-1,FALSE))</f>
        <v/>
      </c>
      <c r="BD216" t="str">
        <f ca="1">IF(AND(ISNUMBER($BD$664),$B$419=1),$BD$664,HLOOKUP(INDIRECT(ADDRESS(2,COLUMN())),OFFSET($BN$2,0,0,ROW()-1,60),ROW()-1,FALSE))</f>
        <v/>
      </c>
      <c r="BE216" t="str">
        <f ca="1">IF(AND(ISNUMBER($BE$664),$B$419=1),$BE$664,HLOOKUP(INDIRECT(ADDRESS(2,COLUMN())),OFFSET($BN$2,0,0,ROW()-1,60),ROW()-1,FALSE))</f>
        <v/>
      </c>
      <c r="BF216" t="str">
        <f ca="1">IF(AND(ISNUMBER($BF$664),$B$419=1),$BF$664,HLOOKUP(INDIRECT(ADDRESS(2,COLUMN())),OFFSET($BN$2,0,0,ROW()-1,60),ROW()-1,FALSE))</f>
        <v/>
      </c>
      <c r="BG216" t="str">
        <f ca="1">IF(AND(ISNUMBER($BG$664),$B$419=1),$BG$664,HLOOKUP(INDIRECT(ADDRESS(2,COLUMN())),OFFSET($BN$2,0,0,ROW()-1,60),ROW()-1,FALSE))</f>
        <v/>
      </c>
      <c r="BH216" t="str">
        <f ca="1">IF(AND(ISNUMBER($BH$664),$B$419=1),$BH$664,HLOOKUP(INDIRECT(ADDRESS(2,COLUMN())),OFFSET($BN$2,0,0,ROW()-1,60),ROW()-1,FALSE))</f>
        <v/>
      </c>
      <c r="BI216" t="str">
        <f ca="1">IF(AND(ISNUMBER($BI$664),$B$419=1),$BI$664,HLOOKUP(INDIRECT(ADDRESS(2,COLUMN())),OFFSET($BN$2,0,0,ROW()-1,60),ROW()-1,FALSE))</f>
        <v/>
      </c>
      <c r="BJ216" t="str">
        <f ca="1">IF(AND(ISNUMBER($BJ$664),$B$419=1),$BJ$664,HLOOKUP(INDIRECT(ADDRESS(2,COLUMN())),OFFSET($BN$2,0,0,ROW()-1,60),ROW()-1,FALSE))</f>
        <v/>
      </c>
      <c r="BK216" t="str">
        <f ca="1">IF(AND(ISNUMBER($BK$664),$B$419=1),$BK$664,HLOOKUP(INDIRECT(ADDRESS(2,COLUMN())),OFFSET($BN$2,0,0,ROW()-1,60),ROW()-1,FALSE))</f>
        <v/>
      </c>
      <c r="BL216" t="str">
        <f ca="1">IF(AND(ISNUMBER($BL$664),$B$419=1),$BL$664,HLOOKUP(INDIRECT(ADDRESS(2,COLUMN())),OFFSET($BN$2,0,0,ROW()-1,60),ROW()-1,FALSE))</f>
        <v/>
      </c>
      <c r="BM216" t="str">
        <f ca="1">IF(AND(ISNUMBER($BM$664),$B$419=1),$BM$664,HLOOKUP(INDIRECT(ADDRESS(2,COLUMN())),OFFSET($BN$2,0,0,ROW()-1,60),ROW()-1,FALSE))</f>
        <v/>
      </c>
      <c r="BN216" t="str">
        <f>""</f>
        <v/>
      </c>
      <c r="BO216">
        <f>21.88997673</f>
        <v>21.889976730000001</v>
      </c>
      <c r="BP216">
        <f>7.708193045</f>
        <v>7.7081930449999998</v>
      </c>
      <c r="BQ216">
        <f>7.870410933</f>
        <v>7.8704109329999996</v>
      </c>
      <c r="BR216">
        <f>7.898256317</f>
        <v>7.8982563170000004</v>
      </c>
      <c r="BS216">
        <f>8.052655116</f>
        <v>8.0526551160000004</v>
      </c>
      <c r="BT216">
        <f>7.988334139</f>
        <v>7.988334139</v>
      </c>
      <c r="BU216">
        <f>8.621906865</f>
        <v>8.6219068649999997</v>
      </c>
      <c r="BV216">
        <f>8.454424606</f>
        <v>8.4544246059999999</v>
      </c>
      <c r="BW216">
        <f>8.670189081</f>
        <v>8.6701890810000002</v>
      </c>
      <c r="BX216">
        <f>8.762741385</f>
        <v>8.762741385</v>
      </c>
      <c r="BY216">
        <f>8.82684671</f>
        <v>8.8268467099999999</v>
      </c>
      <c r="BZ216">
        <f>8.403537087</f>
        <v>8.4035370870000001</v>
      </c>
      <c r="CA216">
        <f>8.82068511</f>
        <v>8.8206851099999994</v>
      </c>
      <c r="CB216">
        <f>8.612515206</f>
        <v>8.6125152059999994</v>
      </c>
      <c r="CC216">
        <f>8.530593342</f>
        <v>8.5305933419999995</v>
      </c>
      <c r="CD216">
        <f>8.363236971</f>
        <v>8.3632369709999992</v>
      </c>
      <c r="CE216">
        <f>8.429609452</f>
        <v>8.4296094519999993</v>
      </c>
      <c r="CF216">
        <f>8.418596282</f>
        <v>8.4185962819999993</v>
      </c>
      <c r="CG216">
        <f>8.543191073</f>
        <v>8.5431910729999991</v>
      </c>
      <c r="CH216">
        <f>8.671329277</f>
        <v>8.6713292769999999</v>
      </c>
      <c r="CI216">
        <f>8.664979825</f>
        <v>8.6649798249999996</v>
      </c>
      <c r="CJ216">
        <f>8.96728998</f>
        <v>8.9672899800000003</v>
      </c>
      <c r="CK216">
        <f>8.672429156</f>
        <v>8.6724291559999998</v>
      </c>
      <c r="CL216">
        <f>8.710867418</f>
        <v>8.7108674179999994</v>
      </c>
      <c r="CM216">
        <f>8.289431513</f>
        <v>8.2894315130000003</v>
      </c>
      <c r="CN216">
        <f>8.813714118</f>
        <v>8.813714118</v>
      </c>
      <c r="CO216">
        <f>8.881716624</f>
        <v>8.8817166239999992</v>
      </c>
      <c r="CP216">
        <f>8.681343317</f>
        <v>8.6813433169999996</v>
      </c>
      <c r="CQ216">
        <f>9.075615107</f>
        <v>9.0756151070000008</v>
      </c>
      <c r="CR216">
        <f>8.816433582</f>
        <v>8.8164335820000002</v>
      </c>
      <c r="CS216">
        <f>9.081186997</f>
        <v>9.0811869969999996</v>
      </c>
      <c r="CT216">
        <f>9.196364986</f>
        <v>9.1963649860000007</v>
      </c>
      <c r="CU216">
        <f>8.908575049</f>
        <v>8.9085750489999995</v>
      </c>
      <c r="CV216">
        <f>8.387373971</f>
        <v>8.3873739710000006</v>
      </c>
      <c r="CW216">
        <f>8.76566822</f>
        <v>8.7656682200000002</v>
      </c>
      <c r="CX216">
        <f>8.951037782</f>
        <v>8.9510377820000002</v>
      </c>
      <c r="CY216">
        <f>9.185297715</f>
        <v>9.1852977150000008</v>
      </c>
      <c r="CZ216">
        <f>9.097285014</f>
        <v>9.0972850140000006</v>
      </c>
      <c r="DA216">
        <f>9.231253881</f>
        <v>9.2312538810000007</v>
      </c>
      <c r="DB216">
        <f>9.230388498</f>
        <v>9.2303884979999999</v>
      </c>
      <c r="DC216">
        <f>9.174265884</f>
        <v>9.1742658840000004</v>
      </c>
      <c r="DD216">
        <f>9.242105877</f>
        <v>9.2421058770000002</v>
      </c>
      <c r="DE216">
        <f>8.620552152</f>
        <v>8.6205521520000001</v>
      </c>
      <c r="DF216">
        <f>8.70818844</f>
        <v>8.7081884400000007</v>
      </c>
      <c r="DG216">
        <f>7.963458772</f>
        <v>7.9634587720000001</v>
      </c>
      <c r="DH216">
        <f>9.516492522</f>
        <v>9.5164925220000001</v>
      </c>
      <c r="DI216">
        <f>10.19939839</f>
        <v>10.199398390000001</v>
      </c>
      <c r="DJ216">
        <f>10.00211887</f>
        <v>10.00211887</v>
      </c>
      <c r="DK216" t="str">
        <f>""</f>
        <v/>
      </c>
      <c r="DL216" t="str">
        <f>""</f>
        <v/>
      </c>
      <c r="DM216" t="str">
        <f>""</f>
        <v/>
      </c>
      <c r="DN216" t="str">
        <f>""</f>
        <v/>
      </c>
      <c r="DO216" t="str">
        <f>""</f>
        <v/>
      </c>
      <c r="DP216" t="str">
        <f>""</f>
        <v/>
      </c>
      <c r="DQ216" t="str">
        <f>""</f>
        <v/>
      </c>
      <c r="DR216" t="str">
        <f>""</f>
        <v/>
      </c>
      <c r="DS216" t="str">
        <f>""</f>
        <v/>
      </c>
      <c r="DT216" t="str">
        <f>""</f>
        <v/>
      </c>
      <c r="DU216" t="str">
        <f>""</f>
        <v/>
      </c>
    </row>
    <row r="217" spans="1:125">
      <c r="A217" t="str">
        <f>"    Kimco Realty Corp"</f>
        <v xml:space="preserve">    Kimco Realty Corp</v>
      </c>
      <c r="B217" t="str">
        <f>"KIM US Equity"</f>
        <v>KIM US Equity</v>
      </c>
      <c r="C217" t="str">
        <f t="shared" si="39"/>
        <v>RX902</v>
      </c>
      <c r="D217" t="str">
        <f t="shared" si="40"/>
        <v>ANN_NOI_GR_AST_NET_RTL_DEV_CTD_%</v>
      </c>
      <c r="E217" t="str">
        <f t="shared" si="41"/>
        <v>动态</v>
      </c>
      <c r="F217" t="str">
        <f ca="1">IF(AND(ISNUMBER($F$665),$B$419=1),$F$665,HLOOKUP(INDIRECT(ADDRESS(2,COLUMN())),OFFSET($BN$2,0,0,ROW()-1,60),ROW()-1,FALSE))</f>
        <v/>
      </c>
      <c r="G217">
        <f ca="1">IF(AND(ISNUMBER($G$665),$B$419=1),$G$665,HLOOKUP(INDIRECT(ADDRESS(2,COLUMN())),OFFSET($BN$2,0,0,ROW()-1,60),ROW()-1,FALSE))</f>
        <v>7.4552818260000002</v>
      </c>
      <c r="H217">
        <f ca="1">IF(AND(ISNUMBER($H$665),$B$419=1),$H$665,HLOOKUP(INDIRECT(ADDRESS(2,COLUMN())),OFFSET($BN$2,0,0,ROW()-1,60),ROW()-1,FALSE))</f>
        <v>7.232867916</v>
      </c>
      <c r="I217">
        <f ca="1">IF(AND(ISNUMBER($I$665),$B$419=1),$I$665,HLOOKUP(INDIRECT(ADDRESS(2,COLUMN())),OFFSET($BN$2,0,0,ROW()-1,60),ROW()-1,FALSE))</f>
        <v>6.3105966149999997</v>
      </c>
      <c r="J217">
        <f ca="1">IF(AND(ISNUMBER($J$665),$B$419=1),$J$665,HLOOKUP(INDIRECT(ADDRESS(2,COLUMN())),OFFSET($BN$2,0,0,ROW()-1,60),ROW()-1,FALSE))</f>
        <v>7.5054029690000004</v>
      </c>
      <c r="K217">
        <f ca="1">IF(AND(ISNUMBER($K$665),$B$419=1),$K$665,HLOOKUP(INDIRECT(ADDRESS(2,COLUMN())),OFFSET($BN$2,0,0,ROW()-1,60),ROW()-1,FALSE))</f>
        <v>6.4148564099999996</v>
      </c>
      <c r="L217">
        <f ca="1">IF(AND(ISNUMBER($L$665),$B$419=1),$L$665,HLOOKUP(INDIRECT(ADDRESS(2,COLUMN())),OFFSET($BN$2,0,0,ROW()-1,60),ROW()-1,FALSE))</f>
        <v>7.3785290229999996</v>
      </c>
      <c r="M217">
        <f ca="1">IF(AND(ISNUMBER($M$665),$B$419=1),$M$665,HLOOKUP(INDIRECT(ADDRESS(2,COLUMN())),OFFSET($BN$2,0,0,ROW()-1,60),ROW()-1,FALSE))</f>
        <v>6.4448427309999996</v>
      </c>
      <c r="N217">
        <f ca="1">IF(AND(ISNUMBER($N$665),$B$419=1),$N$665,HLOOKUP(INDIRECT(ADDRESS(2,COLUMN())),OFFSET($BN$2,0,0,ROW()-1,60),ROW()-1,FALSE))</f>
        <v>6.6171209580000001</v>
      </c>
      <c r="O217">
        <f ca="1">IF(AND(ISNUMBER($O$665),$B$419=1),$O$665,HLOOKUP(INDIRECT(ADDRESS(2,COLUMN())),OFFSET($BN$2,0,0,ROW()-1,60),ROW()-1,FALSE))</f>
        <v>6.5134593169999997</v>
      </c>
      <c r="P217">
        <f ca="1">IF(AND(ISNUMBER($P$665),$B$419=1),$P$665,HLOOKUP(INDIRECT(ADDRESS(2,COLUMN())),OFFSET($BN$2,0,0,ROW()-1,60),ROW()-1,FALSE))</f>
        <v>7.9878095099999999</v>
      </c>
      <c r="Q217">
        <f ca="1">IF(AND(ISNUMBER($Q$665),$B$419=1),$Q$665,HLOOKUP(INDIRECT(ADDRESS(2,COLUMN())),OFFSET($BN$2,0,0,ROW()-1,60),ROW()-1,FALSE))</f>
        <v>6.358262141</v>
      </c>
      <c r="R217">
        <f ca="1">IF(AND(ISNUMBER($R$665),$B$419=1),$R$665,HLOOKUP(INDIRECT(ADDRESS(2,COLUMN())),OFFSET($BN$2,0,0,ROW()-1,60),ROW()-1,FALSE))</f>
        <v>5.8866284799999997</v>
      </c>
      <c r="S217">
        <f ca="1">IF(AND(ISNUMBER($S$665),$B$419=1),$S$665,HLOOKUP(INDIRECT(ADDRESS(2,COLUMN())),OFFSET($BN$2,0,0,ROW()-1,60),ROW()-1,FALSE))</f>
        <v>8.6882381750000004</v>
      </c>
      <c r="T217">
        <f ca="1">IF(AND(ISNUMBER($T$665),$B$419=1),$T$665,HLOOKUP(INDIRECT(ADDRESS(2,COLUMN())),OFFSET($BN$2,0,0,ROW()-1,60),ROW()-1,FALSE))</f>
        <v>8.7951949759999994</v>
      </c>
      <c r="U217">
        <f ca="1">IF(AND(ISNUMBER($U$665),$B$419=1),$U$665,HLOOKUP(INDIRECT(ADDRESS(2,COLUMN())),OFFSET($BN$2,0,0,ROW()-1,60),ROW()-1,FALSE))</f>
        <v>6.1587464970000001</v>
      </c>
      <c r="V217">
        <f ca="1">IF(AND(ISNUMBER($V$665),$B$419=1),$V$665,HLOOKUP(INDIRECT(ADDRESS(2,COLUMN())),OFFSET($BN$2,0,0,ROW()-1,60),ROW()-1,FALSE))</f>
        <v>6.2066913350000004</v>
      </c>
      <c r="W217">
        <f ca="1">IF(AND(ISNUMBER($W$665),$B$419=1),$W$665,HLOOKUP(INDIRECT(ADDRESS(2,COLUMN())),OFFSET($BN$2,0,0,ROW()-1,60),ROW()-1,FALSE))</f>
        <v>8.8662465919999995</v>
      </c>
      <c r="X217">
        <f ca="1">IF(AND(ISNUMBER($X$665),$B$419=1),$X$665,HLOOKUP(INDIRECT(ADDRESS(2,COLUMN())),OFFSET($BN$2,0,0,ROW()-1,60),ROW()-1,FALSE))</f>
        <v>8.8920676610000005</v>
      </c>
      <c r="Y217">
        <f ca="1">IF(AND(ISNUMBER($Y$665),$B$419=1),$Y$665,HLOOKUP(INDIRECT(ADDRESS(2,COLUMN())),OFFSET($BN$2,0,0,ROW()-1,60),ROW()-1,FALSE))</f>
        <v>9.2723692599999996</v>
      </c>
      <c r="Z217">
        <f ca="1">IF(AND(ISNUMBER($Z$665),$B$419=1),$Z$665,HLOOKUP(INDIRECT(ADDRESS(2,COLUMN())),OFFSET($BN$2,0,0,ROW()-1,60),ROW()-1,FALSE))</f>
        <v>5.7046626810000003</v>
      </c>
      <c r="AA217">
        <f ca="1">IF(AND(ISNUMBER($AA$665),$B$419=1),$AA$665,HLOOKUP(INDIRECT(ADDRESS(2,COLUMN())),OFFSET($BN$2,0,0,ROW()-1,60),ROW()-1,FALSE))</f>
        <v>8.9740010370000007</v>
      </c>
      <c r="AB217">
        <f ca="1">IF(AND(ISNUMBER($AB$665),$B$419=1),$AB$665,HLOOKUP(INDIRECT(ADDRESS(2,COLUMN())),OFFSET($BN$2,0,0,ROW()-1,60),ROW()-1,FALSE))</f>
        <v>8.9799154550000004</v>
      </c>
      <c r="AC217">
        <f ca="1">IF(AND(ISNUMBER($AC$665),$B$419=1),$AC$665,HLOOKUP(INDIRECT(ADDRESS(2,COLUMN())),OFFSET($BN$2,0,0,ROW()-1,60),ROW()-1,FALSE))</f>
        <v>8.9475503720000003</v>
      </c>
      <c r="AD217">
        <f ca="1">IF(AND(ISNUMBER($AD$665),$B$419=1),$AD$665,HLOOKUP(INDIRECT(ADDRESS(2,COLUMN())),OFFSET($BN$2,0,0,ROW()-1,60),ROW()-1,FALSE))</f>
        <v>5.5791316899999996</v>
      </c>
      <c r="AE217">
        <f ca="1">IF(AND(ISNUMBER($AE$665),$B$419=1),$AE$665,HLOOKUP(INDIRECT(ADDRESS(2,COLUMN())),OFFSET($BN$2,0,0,ROW()-1,60),ROW()-1,FALSE))</f>
        <v>8.9746411580000007</v>
      </c>
      <c r="AF217">
        <f ca="1">IF(AND(ISNUMBER($AF$665),$B$419=1),$AF$665,HLOOKUP(INDIRECT(ADDRESS(2,COLUMN())),OFFSET($BN$2,0,0,ROW()-1,60),ROW()-1,FALSE))</f>
        <v>9.0371652670000007</v>
      </c>
      <c r="AG217">
        <f ca="1">IF(AND(ISNUMBER($AG$665),$B$419=1),$AG$665,HLOOKUP(INDIRECT(ADDRESS(2,COLUMN())),OFFSET($BN$2,0,0,ROW()-1,60),ROW()-1,FALSE))</f>
        <v>8.9103125760000008</v>
      </c>
      <c r="AH217">
        <f ca="1">IF(AND(ISNUMBER($AH$665),$B$419=1),$AH$665,HLOOKUP(INDIRECT(ADDRESS(2,COLUMN())),OFFSET($BN$2,0,0,ROW()-1,60),ROW()-1,FALSE))</f>
        <v>8.7894100040000005</v>
      </c>
      <c r="AI217">
        <f ca="1">IF(AND(ISNUMBER($AI$665),$B$419=1),$AI$665,HLOOKUP(INDIRECT(ADDRESS(2,COLUMN())),OFFSET($BN$2,0,0,ROW()-1,60),ROW()-1,FALSE))</f>
        <v>8.6121982960000008</v>
      </c>
      <c r="AJ217">
        <f ca="1">IF(AND(ISNUMBER($AJ$665),$B$419=1),$AJ$665,HLOOKUP(INDIRECT(ADDRESS(2,COLUMN())),OFFSET($BN$2,0,0,ROW()-1,60),ROW()-1,FALSE))</f>
        <v>8.5509154429999992</v>
      </c>
      <c r="AK217">
        <f ca="1">IF(AND(ISNUMBER($AK$665),$B$419=1),$AK$665,HLOOKUP(INDIRECT(ADDRESS(2,COLUMN())),OFFSET($BN$2,0,0,ROW()-1,60),ROW()-1,FALSE))</f>
        <v>8.4511800600000004</v>
      </c>
      <c r="AL217">
        <f ca="1">IF(AND(ISNUMBER($AL$665),$B$419=1),$AL$665,HLOOKUP(INDIRECT(ADDRESS(2,COLUMN())),OFFSET($BN$2,0,0,ROW()-1,60),ROW()-1,FALSE))</f>
        <v>8.2284193099999996</v>
      </c>
      <c r="AM217">
        <f ca="1">IF(AND(ISNUMBER($AM$665),$B$419=1),$AM$665,HLOOKUP(INDIRECT(ADDRESS(2,COLUMN())),OFFSET($BN$2,0,0,ROW()-1,60),ROW()-1,FALSE))</f>
        <v>7.9671376650000001</v>
      </c>
      <c r="AN217">
        <f ca="1">IF(AND(ISNUMBER($AN$665),$B$419=1),$AN$665,HLOOKUP(INDIRECT(ADDRESS(2,COLUMN())),OFFSET($BN$2,0,0,ROW()-1,60),ROW()-1,FALSE))</f>
        <v>8.3949083420000008</v>
      </c>
      <c r="AO217">
        <f ca="1">IF(AND(ISNUMBER($AO$665),$B$419=1),$AO$665,HLOOKUP(INDIRECT(ADDRESS(2,COLUMN())),OFFSET($BN$2,0,0,ROW()-1,60),ROW()-1,FALSE))</f>
        <v>8.7049538749999993</v>
      </c>
      <c r="AP217">
        <f ca="1">IF(AND(ISNUMBER($AP$665),$B$419=1),$AP$665,HLOOKUP(INDIRECT(ADDRESS(2,COLUMN())),OFFSET($BN$2,0,0,ROW()-1,60),ROW()-1,FALSE))</f>
        <v>8.3645542259999992</v>
      </c>
      <c r="AQ217">
        <f ca="1">IF(AND(ISNUMBER($AQ$665),$B$419=1),$AQ$665,HLOOKUP(INDIRECT(ADDRESS(2,COLUMN())),OFFSET($BN$2,0,0,ROW()-1,60),ROW()-1,FALSE))</f>
        <v>8.7783265529999994</v>
      </c>
      <c r="AR217">
        <f ca="1">IF(AND(ISNUMBER($AR$665),$B$419=1),$AR$665,HLOOKUP(INDIRECT(ADDRESS(2,COLUMN())),OFFSET($BN$2,0,0,ROW()-1,60),ROW()-1,FALSE))</f>
        <v>5.3129088700000002</v>
      </c>
      <c r="AS217">
        <f ca="1">IF(AND(ISNUMBER($AS$665),$B$419=1),$AS$665,HLOOKUP(INDIRECT(ADDRESS(2,COLUMN())),OFFSET($BN$2,0,0,ROW()-1,60),ROW()-1,FALSE))</f>
        <v>5.4047607009999998</v>
      </c>
      <c r="AT217">
        <f ca="1">IF(AND(ISNUMBER($AT$665),$B$419=1),$AT$665,HLOOKUP(INDIRECT(ADDRESS(2,COLUMN())),OFFSET($BN$2,0,0,ROW()-1,60),ROW()-1,FALSE))</f>
        <v>8.7696192120000003</v>
      </c>
      <c r="AU217">
        <f ca="1">IF(AND(ISNUMBER($AU$665),$B$419=1),$AU$665,HLOOKUP(INDIRECT(ADDRESS(2,COLUMN())),OFFSET($BN$2,0,0,ROW()-1,60),ROW()-1,FALSE))</f>
        <v>5.8754302569999997</v>
      </c>
      <c r="AV217">
        <f ca="1">IF(AND(ISNUMBER($AV$665),$B$419=1),$AV$665,HLOOKUP(INDIRECT(ADDRESS(2,COLUMN())),OFFSET($BN$2,0,0,ROW()-1,60),ROW()-1,FALSE))</f>
        <v>5.7871532930000003</v>
      </c>
      <c r="AW217">
        <f ca="1">IF(AND(ISNUMBER($AW$665),$B$419=1),$AW$665,HLOOKUP(INDIRECT(ADDRESS(2,COLUMN())),OFFSET($BN$2,0,0,ROW()-1,60),ROW()-1,FALSE))</f>
        <v>5.9583916620000004</v>
      </c>
      <c r="AX217">
        <f ca="1">IF(AND(ISNUMBER($AX$665),$B$419=1),$AX$665,HLOOKUP(INDIRECT(ADDRESS(2,COLUMN())),OFFSET($BN$2,0,0,ROW()-1,60),ROW()-1,FALSE))</f>
        <v>5.8993328869999999</v>
      </c>
      <c r="AY217">
        <f ca="1">IF(AND(ISNUMBER($AY$665),$B$419=1),$AY$665,HLOOKUP(INDIRECT(ADDRESS(2,COLUMN())),OFFSET($BN$2,0,0,ROW()-1,60),ROW()-1,FALSE))</f>
        <v>6.0498556140000002</v>
      </c>
      <c r="AZ217">
        <f ca="1">IF(AND(ISNUMBER($AZ$665),$B$419=1),$AZ$665,HLOOKUP(INDIRECT(ADDRESS(2,COLUMN())),OFFSET($BN$2,0,0,ROW()-1,60),ROW()-1,FALSE))</f>
        <v>6.1353945110000003</v>
      </c>
      <c r="BA217">
        <f ca="1">IF(AND(ISNUMBER($BA$665),$B$419=1),$BA$665,HLOOKUP(INDIRECT(ADDRESS(2,COLUMN())),OFFSET($BN$2,0,0,ROW()-1,60),ROW()-1,FALSE))</f>
        <v>6.25804078</v>
      </c>
      <c r="BB217">
        <f ca="1">IF(AND(ISNUMBER($BB$665),$B$419=1),$BB$665,HLOOKUP(INDIRECT(ADDRESS(2,COLUMN())),OFFSET($BN$2,0,0,ROW()-1,60),ROW()-1,FALSE))</f>
        <v>6.1923227499999998</v>
      </c>
      <c r="BC217" t="str">
        <f ca="1">IF(AND(ISNUMBER($BC$665),$B$419=1),$BC$665,HLOOKUP(INDIRECT(ADDRESS(2,COLUMN())),OFFSET($BN$2,0,0,ROW()-1,60),ROW()-1,FALSE))</f>
        <v/>
      </c>
      <c r="BD217" t="str">
        <f ca="1">IF(AND(ISNUMBER($BD$665),$B$419=1),$BD$665,HLOOKUP(INDIRECT(ADDRESS(2,COLUMN())),OFFSET($BN$2,0,0,ROW()-1,60),ROW()-1,FALSE))</f>
        <v/>
      </c>
      <c r="BE217" t="str">
        <f ca="1">IF(AND(ISNUMBER($BE$665),$B$419=1),$BE$665,HLOOKUP(INDIRECT(ADDRESS(2,COLUMN())),OFFSET($BN$2,0,0,ROW()-1,60),ROW()-1,FALSE))</f>
        <v/>
      </c>
      <c r="BF217" t="str">
        <f ca="1">IF(AND(ISNUMBER($BF$665),$B$419=1),$BF$665,HLOOKUP(INDIRECT(ADDRESS(2,COLUMN())),OFFSET($BN$2,0,0,ROW()-1,60),ROW()-1,FALSE))</f>
        <v/>
      </c>
      <c r="BG217" t="str">
        <f ca="1">IF(AND(ISNUMBER($BG$665),$B$419=1),$BG$665,HLOOKUP(INDIRECT(ADDRESS(2,COLUMN())),OFFSET($BN$2,0,0,ROW()-1,60),ROW()-1,FALSE))</f>
        <v/>
      </c>
      <c r="BH217" t="str">
        <f ca="1">IF(AND(ISNUMBER($BH$665),$B$419=1),$BH$665,HLOOKUP(INDIRECT(ADDRESS(2,COLUMN())),OFFSET($BN$2,0,0,ROW()-1,60),ROW()-1,FALSE))</f>
        <v/>
      </c>
      <c r="BI217" t="str">
        <f ca="1">IF(AND(ISNUMBER($BI$665),$B$419=1),$BI$665,HLOOKUP(INDIRECT(ADDRESS(2,COLUMN())),OFFSET($BN$2,0,0,ROW()-1,60),ROW()-1,FALSE))</f>
        <v/>
      </c>
      <c r="BJ217" t="str">
        <f ca="1">IF(AND(ISNUMBER($BJ$665),$B$419=1),$BJ$665,HLOOKUP(INDIRECT(ADDRESS(2,COLUMN())),OFFSET($BN$2,0,0,ROW()-1,60),ROW()-1,FALSE))</f>
        <v/>
      </c>
      <c r="BK217" t="str">
        <f ca="1">IF(AND(ISNUMBER($BK$665),$B$419=1),$BK$665,HLOOKUP(INDIRECT(ADDRESS(2,COLUMN())),OFFSET($BN$2,0,0,ROW()-1,60),ROW()-1,FALSE))</f>
        <v/>
      </c>
      <c r="BL217" t="str">
        <f ca="1">IF(AND(ISNUMBER($BL$665),$B$419=1),$BL$665,HLOOKUP(INDIRECT(ADDRESS(2,COLUMN())),OFFSET($BN$2,0,0,ROW()-1,60),ROW()-1,FALSE))</f>
        <v/>
      </c>
      <c r="BM217" t="str">
        <f ca="1">IF(AND(ISNUMBER($BM$665),$B$419=1),$BM$665,HLOOKUP(INDIRECT(ADDRESS(2,COLUMN())),OFFSET($BN$2,0,0,ROW()-1,60),ROW()-1,FALSE))</f>
        <v/>
      </c>
      <c r="BN217" t="str">
        <f>""</f>
        <v/>
      </c>
      <c r="BO217">
        <f>7.455281826</f>
        <v>7.4552818260000002</v>
      </c>
      <c r="BP217">
        <f>7.232867916</f>
        <v>7.232867916</v>
      </c>
      <c r="BQ217">
        <f>6.310596615</f>
        <v>6.3105966149999997</v>
      </c>
      <c r="BR217">
        <f>7.505402969</f>
        <v>7.5054029690000004</v>
      </c>
      <c r="BS217">
        <f>6.41485641</f>
        <v>6.4148564099999996</v>
      </c>
      <c r="BT217">
        <f>7.378529023</f>
        <v>7.3785290229999996</v>
      </c>
      <c r="BU217">
        <f>6.444842731</f>
        <v>6.4448427309999996</v>
      </c>
      <c r="BV217">
        <f>6.617120958</f>
        <v>6.6171209580000001</v>
      </c>
      <c r="BW217">
        <f>6.513459317</f>
        <v>6.5134593169999997</v>
      </c>
      <c r="BX217">
        <f>7.98780951</f>
        <v>7.9878095099999999</v>
      </c>
      <c r="BY217">
        <f>6.358262141</f>
        <v>6.358262141</v>
      </c>
      <c r="BZ217">
        <f>5.88662848</f>
        <v>5.8866284799999997</v>
      </c>
      <c r="CA217">
        <f>8.688238175</f>
        <v>8.6882381750000004</v>
      </c>
      <c r="CB217">
        <f>8.795194976</f>
        <v>8.7951949759999994</v>
      </c>
      <c r="CC217">
        <f>6.158746497</f>
        <v>6.1587464970000001</v>
      </c>
      <c r="CD217">
        <f>6.206691335</f>
        <v>6.2066913350000004</v>
      </c>
      <c r="CE217">
        <f>8.866246592</f>
        <v>8.8662465919999995</v>
      </c>
      <c r="CF217">
        <f>8.892067661</f>
        <v>8.8920676610000005</v>
      </c>
      <c r="CG217">
        <f>9.27236926</f>
        <v>9.2723692599999996</v>
      </c>
      <c r="CH217">
        <f>5.704662681</f>
        <v>5.7046626810000003</v>
      </c>
      <c r="CI217">
        <f>8.974001037</f>
        <v>8.9740010370000007</v>
      </c>
      <c r="CJ217">
        <f>8.979915455</f>
        <v>8.9799154550000004</v>
      </c>
      <c r="CK217">
        <f>8.947550372</f>
        <v>8.9475503720000003</v>
      </c>
      <c r="CL217">
        <f>5.57913169</f>
        <v>5.5791316899999996</v>
      </c>
      <c r="CM217">
        <f>8.974641158</f>
        <v>8.9746411580000007</v>
      </c>
      <c r="CN217">
        <f>9.037165267</f>
        <v>9.0371652670000007</v>
      </c>
      <c r="CO217">
        <f>8.910312576</f>
        <v>8.9103125760000008</v>
      </c>
      <c r="CP217">
        <f>8.789410004</f>
        <v>8.7894100040000005</v>
      </c>
      <c r="CQ217">
        <f>8.612198296</f>
        <v>8.6121982960000008</v>
      </c>
      <c r="CR217">
        <f>8.550915443</f>
        <v>8.5509154429999992</v>
      </c>
      <c r="CS217">
        <f>8.45118006</f>
        <v>8.4511800600000004</v>
      </c>
      <c r="CT217">
        <f>8.22841931</f>
        <v>8.2284193099999996</v>
      </c>
      <c r="CU217">
        <f>7.967137665</f>
        <v>7.9671376650000001</v>
      </c>
      <c r="CV217">
        <f>8.394908342</f>
        <v>8.3949083420000008</v>
      </c>
      <c r="CW217">
        <f>8.704953875</f>
        <v>8.7049538749999993</v>
      </c>
      <c r="CX217">
        <f>8.364554226</f>
        <v>8.3645542259999992</v>
      </c>
      <c r="CY217">
        <f>8.778326553</f>
        <v>8.7783265529999994</v>
      </c>
      <c r="CZ217">
        <f>5.31290887</f>
        <v>5.3129088700000002</v>
      </c>
      <c r="DA217">
        <f>5.404760701</f>
        <v>5.4047607009999998</v>
      </c>
      <c r="DB217">
        <f>8.769619212</f>
        <v>8.7696192120000003</v>
      </c>
      <c r="DC217">
        <f>5.875430257</f>
        <v>5.8754302569999997</v>
      </c>
      <c r="DD217">
        <f>5.787153293</f>
        <v>5.7871532930000003</v>
      </c>
      <c r="DE217">
        <f>5.958391662</f>
        <v>5.9583916620000004</v>
      </c>
      <c r="DF217">
        <f>5.899332887</f>
        <v>5.8993328869999999</v>
      </c>
      <c r="DG217">
        <f>6.049855614</f>
        <v>6.0498556140000002</v>
      </c>
      <c r="DH217">
        <f>6.135394511</f>
        <v>6.1353945110000003</v>
      </c>
      <c r="DI217">
        <f>6.25804078</f>
        <v>6.25804078</v>
      </c>
      <c r="DJ217">
        <f>6.19232275</f>
        <v>6.1923227499999998</v>
      </c>
      <c r="DK217" t="str">
        <f>""</f>
        <v/>
      </c>
      <c r="DL217" t="str">
        <f>""</f>
        <v/>
      </c>
      <c r="DM217" t="str">
        <f>""</f>
        <v/>
      </c>
      <c r="DN217" t="str">
        <f>""</f>
        <v/>
      </c>
      <c r="DO217" t="str">
        <f>""</f>
        <v/>
      </c>
      <c r="DP217" t="str">
        <f>""</f>
        <v/>
      </c>
      <c r="DQ217" t="str">
        <f>""</f>
        <v/>
      </c>
      <c r="DR217" t="str">
        <f>""</f>
        <v/>
      </c>
      <c r="DS217" t="str">
        <f>""</f>
        <v/>
      </c>
      <c r="DT217" t="str">
        <f>""</f>
        <v/>
      </c>
      <c r="DU217" t="str">
        <f>""</f>
        <v/>
      </c>
    </row>
    <row r="218" spans="1:125">
      <c r="A218" t="str">
        <f>"    National Retail Properties Inc"</f>
        <v xml:space="preserve">    National Retail Properties Inc</v>
      </c>
      <c r="B218" t="str">
        <f>"NNN US Equity"</f>
        <v>NNN US Equity</v>
      </c>
      <c r="C218" t="str">
        <f t="shared" si="39"/>
        <v>RX902</v>
      </c>
      <c r="D218" t="str">
        <f t="shared" si="40"/>
        <v>ANN_NOI_GR_AST_NET_RTL_DEV_CTD_%</v>
      </c>
      <c r="E218" t="str">
        <f t="shared" si="41"/>
        <v>动态</v>
      </c>
      <c r="F218" t="str">
        <f ca="1">IF(AND(ISNUMBER($F$666),$B$419=1),$F$666,HLOOKUP(INDIRECT(ADDRESS(2,COLUMN())),OFFSET($BN$2,0,0,ROW()-1,60),ROW()-1,FALSE))</f>
        <v/>
      </c>
      <c r="G218" t="str">
        <f ca="1">IF(AND(ISNUMBER($G$666),$B$419=1),$G$666,HLOOKUP(INDIRECT(ADDRESS(2,COLUMN())),OFFSET($BN$2,0,0,ROW()-1,60),ROW()-1,FALSE))</f>
        <v/>
      </c>
      <c r="H218" t="str">
        <f ca="1">IF(AND(ISNUMBER($H$666),$B$419=1),$H$666,HLOOKUP(INDIRECT(ADDRESS(2,COLUMN())),OFFSET($BN$2,0,0,ROW()-1,60),ROW()-1,FALSE))</f>
        <v/>
      </c>
      <c r="I218" t="str">
        <f ca="1">IF(AND(ISNUMBER($I$666),$B$419=1),$I$666,HLOOKUP(INDIRECT(ADDRESS(2,COLUMN())),OFFSET($BN$2,0,0,ROW()-1,60),ROW()-1,FALSE))</f>
        <v/>
      </c>
      <c r="J218" t="str">
        <f ca="1">IF(AND(ISNUMBER($J$666),$B$419=1),$J$666,HLOOKUP(INDIRECT(ADDRESS(2,COLUMN())),OFFSET($BN$2,0,0,ROW()-1,60),ROW()-1,FALSE))</f>
        <v/>
      </c>
      <c r="K218" t="str">
        <f ca="1">IF(AND(ISNUMBER($K$666),$B$419=1),$K$666,HLOOKUP(INDIRECT(ADDRESS(2,COLUMN())),OFFSET($BN$2,0,0,ROW()-1,60),ROW()-1,FALSE))</f>
        <v/>
      </c>
      <c r="L218" t="str">
        <f ca="1">IF(AND(ISNUMBER($L$666),$B$419=1),$L$666,HLOOKUP(INDIRECT(ADDRESS(2,COLUMN())),OFFSET($BN$2,0,0,ROW()-1,60),ROW()-1,FALSE))</f>
        <v/>
      </c>
      <c r="M218" t="str">
        <f ca="1">IF(AND(ISNUMBER($M$666),$B$419=1),$M$666,HLOOKUP(INDIRECT(ADDRESS(2,COLUMN())),OFFSET($BN$2,0,0,ROW()-1,60),ROW()-1,FALSE))</f>
        <v/>
      </c>
      <c r="N218" t="str">
        <f ca="1">IF(AND(ISNUMBER($N$666),$B$419=1),$N$666,HLOOKUP(INDIRECT(ADDRESS(2,COLUMN())),OFFSET($BN$2,0,0,ROW()-1,60),ROW()-1,FALSE))</f>
        <v/>
      </c>
      <c r="O218" t="str">
        <f ca="1">IF(AND(ISNUMBER($O$666),$B$419=1),$O$666,HLOOKUP(INDIRECT(ADDRESS(2,COLUMN())),OFFSET($BN$2,0,0,ROW()-1,60),ROW()-1,FALSE))</f>
        <v/>
      </c>
      <c r="P218" t="str">
        <f ca="1">IF(AND(ISNUMBER($P$666),$B$419=1),$P$666,HLOOKUP(INDIRECT(ADDRESS(2,COLUMN())),OFFSET($BN$2,0,0,ROW()-1,60),ROW()-1,FALSE))</f>
        <v/>
      </c>
      <c r="Q218" t="str">
        <f ca="1">IF(AND(ISNUMBER($Q$666),$B$419=1),$Q$666,HLOOKUP(INDIRECT(ADDRESS(2,COLUMN())),OFFSET($BN$2,0,0,ROW()-1,60),ROW()-1,FALSE))</f>
        <v/>
      </c>
      <c r="R218" t="str">
        <f ca="1">IF(AND(ISNUMBER($R$666),$B$419=1),$R$666,HLOOKUP(INDIRECT(ADDRESS(2,COLUMN())),OFFSET($BN$2,0,0,ROW()-1,60),ROW()-1,FALSE))</f>
        <v/>
      </c>
      <c r="S218" t="str">
        <f ca="1">IF(AND(ISNUMBER($S$666),$B$419=1),$S$666,HLOOKUP(INDIRECT(ADDRESS(2,COLUMN())),OFFSET($BN$2,0,0,ROW()-1,60),ROW()-1,FALSE))</f>
        <v/>
      </c>
      <c r="T218" t="str">
        <f ca="1">IF(AND(ISNUMBER($T$666),$B$419=1),$T$666,HLOOKUP(INDIRECT(ADDRESS(2,COLUMN())),OFFSET($BN$2,0,0,ROW()-1,60),ROW()-1,FALSE))</f>
        <v/>
      </c>
      <c r="U218" t="str">
        <f ca="1">IF(AND(ISNUMBER($U$666),$B$419=1),$U$666,HLOOKUP(INDIRECT(ADDRESS(2,COLUMN())),OFFSET($BN$2,0,0,ROW()-1,60),ROW()-1,FALSE))</f>
        <v/>
      </c>
      <c r="V218" t="str">
        <f ca="1">IF(AND(ISNUMBER($V$666),$B$419=1),$V$666,HLOOKUP(INDIRECT(ADDRESS(2,COLUMN())),OFFSET($BN$2,0,0,ROW()-1,60),ROW()-1,FALSE))</f>
        <v/>
      </c>
      <c r="W218" t="str">
        <f ca="1">IF(AND(ISNUMBER($W$666),$B$419=1),$W$666,HLOOKUP(INDIRECT(ADDRESS(2,COLUMN())),OFFSET($BN$2,0,0,ROW()-1,60),ROW()-1,FALSE))</f>
        <v/>
      </c>
      <c r="X218" t="str">
        <f ca="1">IF(AND(ISNUMBER($X$666),$B$419=1),$X$666,HLOOKUP(INDIRECT(ADDRESS(2,COLUMN())),OFFSET($BN$2,0,0,ROW()-1,60),ROW()-1,FALSE))</f>
        <v/>
      </c>
      <c r="Y218" t="str">
        <f ca="1">IF(AND(ISNUMBER($Y$666),$B$419=1),$Y$666,HLOOKUP(INDIRECT(ADDRESS(2,COLUMN())),OFFSET($BN$2,0,0,ROW()-1,60),ROW()-1,FALSE))</f>
        <v/>
      </c>
      <c r="Z218" t="str">
        <f ca="1">IF(AND(ISNUMBER($Z$666),$B$419=1),$Z$666,HLOOKUP(INDIRECT(ADDRESS(2,COLUMN())),OFFSET($BN$2,0,0,ROW()-1,60),ROW()-1,FALSE))</f>
        <v/>
      </c>
      <c r="AA218" t="str">
        <f ca="1">IF(AND(ISNUMBER($AA$666),$B$419=1),$AA$666,HLOOKUP(INDIRECT(ADDRESS(2,COLUMN())),OFFSET($BN$2,0,0,ROW()-1,60),ROW()-1,FALSE))</f>
        <v/>
      </c>
      <c r="AB218" t="str">
        <f ca="1">IF(AND(ISNUMBER($AB$666),$B$419=1),$AB$666,HLOOKUP(INDIRECT(ADDRESS(2,COLUMN())),OFFSET($BN$2,0,0,ROW()-1,60),ROW()-1,FALSE))</f>
        <v/>
      </c>
      <c r="AC218" t="str">
        <f ca="1">IF(AND(ISNUMBER($AC$666),$B$419=1),$AC$666,HLOOKUP(INDIRECT(ADDRESS(2,COLUMN())),OFFSET($BN$2,0,0,ROW()-1,60),ROW()-1,FALSE))</f>
        <v/>
      </c>
      <c r="AD218" t="str">
        <f ca="1">IF(AND(ISNUMBER($AD$666),$B$419=1),$AD$666,HLOOKUP(INDIRECT(ADDRESS(2,COLUMN())),OFFSET($BN$2,0,0,ROW()-1,60),ROW()-1,FALSE))</f>
        <v/>
      </c>
      <c r="AE218" t="str">
        <f ca="1">IF(AND(ISNUMBER($AE$666),$B$419=1),$AE$666,HLOOKUP(INDIRECT(ADDRESS(2,COLUMN())),OFFSET($BN$2,0,0,ROW()-1,60),ROW()-1,FALSE))</f>
        <v/>
      </c>
      <c r="AF218" t="str">
        <f ca="1">IF(AND(ISNUMBER($AF$666),$B$419=1),$AF$666,HLOOKUP(INDIRECT(ADDRESS(2,COLUMN())),OFFSET($BN$2,0,0,ROW()-1,60),ROW()-1,FALSE))</f>
        <v/>
      </c>
      <c r="AG218" t="str">
        <f ca="1">IF(AND(ISNUMBER($AG$666),$B$419=1),$AG$666,HLOOKUP(INDIRECT(ADDRESS(2,COLUMN())),OFFSET($BN$2,0,0,ROW()-1,60),ROW()-1,FALSE))</f>
        <v/>
      </c>
      <c r="AH218" t="str">
        <f ca="1">IF(AND(ISNUMBER($AH$666),$B$419=1),$AH$666,HLOOKUP(INDIRECT(ADDRESS(2,COLUMN())),OFFSET($BN$2,0,0,ROW()-1,60),ROW()-1,FALSE))</f>
        <v/>
      </c>
      <c r="AI218" t="str">
        <f ca="1">IF(AND(ISNUMBER($AI$666),$B$419=1),$AI$666,HLOOKUP(INDIRECT(ADDRESS(2,COLUMN())),OFFSET($BN$2,0,0,ROW()-1,60),ROW()-1,FALSE))</f>
        <v/>
      </c>
      <c r="AJ218" t="str">
        <f ca="1">IF(AND(ISNUMBER($AJ$666),$B$419=1),$AJ$666,HLOOKUP(INDIRECT(ADDRESS(2,COLUMN())),OFFSET($BN$2,0,0,ROW()-1,60),ROW()-1,FALSE))</f>
        <v/>
      </c>
      <c r="AK218" t="str">
        <f ca="1">IF(AND(ISNUMBER($AK$666),$B$419=1),$AK$666,HLOOKUP(INDIRECT(ADDRESS(2,COLUMN())),OFFSET($BN$2,0,0,ROW()-1,60),ROW()-1,FALSE))</f>
        <v/>
      </c>
      <c r="AL218" t="str">
        <f ca="1">IF(AND(ISNUMBER($AL$666),$B$419=1),$AL$666,HLOOKUP(INDIRECT(ADDRESS(2,COLUMN())),OFFSET($BN$2,0,0,ROW()-1,60),ROW()-1,FALSE))</f>
        <v/>
      </c>
      <c r="AM218" t="str">
        <f ca="1">IF(AND(ISNUMBER($AM$666),$B$419=1),$AM$666,HLOOKUP(INDIRECT(ADDRESS(2,COLUMN())),OFFSET($BN$2,0,0,ROW()-1,60),ROW()-1,FALSE))</f>
        <v/>
      </c>
      <c r="AN218" t="str">
        <f ca="1">IF(AND(ISNUMBER($AN$666),$B$419=1),$AN$666,HLOOKUP(INDIRECT(ADDRESS(2,COLUMN())),OFFSET($BN$2,0,0,ROW()-1,60),ROW()-1,FALSE))</f>
        <v/>
      </c>
      <c r="AO218" t="str">
        <f ca="1">IF(AND(ISNUMBER($AO$666),$B$419=1),$AO$666,HLOOKUP(INDIRECT(ADDRESS(2,COLUMN())),OFFSET($BN$2,0,0,ROW()-1,60),ROW()-1,FALSE))</f>
        <v/>
      </c>
      <c r="AP218" t="str">
        <f ca="1">IF(AND(ISNUMBER($AP$666),$B$419=1),$AP$666,HLOOKUP(INDIRECT(ADDRESS(2,COLUMN())),OFFSET($BN$2,0,0,ROW()-1,60),ROW()-1,FALSE))</f>
        <v/>
      </c>
      <c r="AQ218" t="str">
        <f ca="1">IF(AND(ISNUMBER($AQ$666),$B$419=1),$AQ$666,HLOOKUP(INDIRECT(ADDRESS(2,COLUMN())),OFFSET($BN$2,0,0,ROW()-1,60),ROW()-1,FALSE))</f>
        <v/>
      </c>
      <c r="AR218" t="str">
        <f ca="1">IF(AND(ISNUMBER($AR$666),$B$419=1),$AR$666,HLOOKUP(INDIRECT(ADDRESS(2,COLUMN())),OFFSET($BN$2,0,0,ROW()-1,60),ROW()-1,FALSE))</f>
        <v/>
      </c>
      <c r="AS218" t="str">
        <f ca="1">IF(AND(ISNUMBER($AS$666),$B$419=1),$AS$666,HLOOKUP(INDIRECT(ADDRESS(2,COLUMN())),OFFSET($BN$2,0,0,ROW()-1,60),ROW()-1,FALSE))</f>
        <v/>
      </c>
      <c r="AT218" t="str">
        <f ca="1">IF(AND(ISNUMBER($AT$666),$B$419=1),$AT$666,HLOOKUP(INDIRECT(ADDRESS(2,COLUMN())),OFFSET($BN$2,0,0,ROW()-1,60),ROW()-1,FALSE))</f>
        <v/>
      </c>
      <c r="AU218" t="str">
        <f ca="1">IF(AND(ISNUMBER($AU$666),$B$419=1),$AU$666,HLOOKUP(INDIRECT(ADDRESS(2,COLUMN())),OFFSET($BN$2,0,0,ROW()-1,60),ROW()-1,FALSE))</f>
        <v/>
      </c>
      <c r="AV218" t="str">
        <f ca="1">IF(AND(ISNUMBER($AV$666),$B$419=1),$AV$666,HLOOKUP(INDIRECT(ADDRESS(2,COLUMN())),OFFSET($BN$2,0,0,ROW()-1,60),ROW()-1,FALSE))</f>
        <v/>
      </c>
      <c r="AW218" t="str">
        <f ca="1">IF(AND(ISNUMBER($AW$666),$B$419=1),$AW$666,HLOOKUP(INDIRECT(ADDRESS(2,COLUMN())),OFFSET($BN$2,0,0,ROW()-1,60),ROW()-1,FALSE))</f>
        <v/>
      </c>
      <c r="AX218" t="str">
        <f ca="1">IF(AND(ISNUMBER($AX$666),$B$419=1),$AX$666,HLOOKUP(INDIRECT(ADDRESS(2,COLUMN())),OFFSET($BN$2,0,0,ROW()-1,60),ROW()-1,FALSE))</f>
        <v/>
      </c>
      <c r="AY218" t="str">
        <f ca="1">IF(AND(ISNUMBER($AY$666),$B$419=1),$AY$666,HLOOKUP(INDIRECT(ADDRESS(2,COLUMN())),OFFSET($BN$2,0,0,ROW()-1,60),ROW()-1,FALSE))</f>
        <v/>
      </c>
      <c r="AZ218" t="str">
        <f ca="1">IF(AND(ISNUMBER($AZ$666),$B$419=1),$AZ$666,HLOOKUP(INDIRECT(ADDRESS(2,COLUMN())),OFFSET($BN$2,0,0,ROW()-1,60),ROW()-1,FALSE))</f>
        <v/>
      </c>
      <c r="BA218" t="str">
        <f ca="1">IF(AND(ISNUMBER($BA$666),$B$419=1),$BA$666,HLOOKUP(INDIRECT(ADDRESS(2,COLUMN())),OFFSET($BN$2,0,0,ROW()-1,60),ROW()-1,FALSE))</f>
        <v/>
      </c>
      <c r="BB218" t="str">
        <f ca="1">IF(AND(ISNUMBER($BB$666),$B$419=1),$BB$666,HLOOKUP(INDIRECT(ADDRESS(2,COLUMN())),OFFSET($BN$2,0,0,ROW()-1,60),ROW()-1,FALSE))</f>
        <v/>
      </c>
      <c r="BC218" t="str">
        <f ca="1">IF(AND(ISNUMBER($BC$666),$B$419=1),$BC$666,HLOOKUP(INDIRECT(ADDRESS(2,COLUMN())),OFFSET($BN$2,0,0,ROW()-1,60),ROW()-1,FALSE))</f>
        <v/>
      </c>
      <c r="BD218" t="str">
        <f ca="1">IF(AND(ISNUMBER($BD$666),$B$419=1),$BD$666,HLOOKUP(INDIRECT(ADDRESS(2,COLUMN())),OFFSET($BN$2,0,0,ROW()-1,60),ROW()-1,FALSE))</f>
        <v/>
      </c>
      <c r="BE218" t="str">
        <f ca="1">IF(AND(ISNUMBER($BE$666),$B$419=1),$BE$666,HLOOKUP(INDIRECT(ADDRESS(2,COLUMN())),OFFSET($BN$2,0,0,ROW()-1,60),ROW()-1,FALSE))</f>
        <v/>
      </c>
      <c r="BF218" t="str">
        <f ca="1">IF(AND(ISNUMBER($BF$666),$B$419=1),$BF$666,HLOOKUP(INDIRECT(ADDRESS(2,COLUMN())),OFFSET($BN$2,0,0,ROW()-1,60),ROW()-1,FALSE))</f>
        <v/>
      </c>
      <c r="BG218" t="str">
        <f ca="1">IF(AND(ISNUMBER($BG$666),$B$419=1),$BG$666,HLOOKUP(INDIRECT(ADDRESS(2,COLUMN())),OFFSET($BN$2,0,0,ROW()-1,60),ROW()-1,FALSE))</f>
        <v/>
      </c>
      <c r="BH218" t="str">
        <f ca="1">IF(AND(ISNUMBER($BH$666),$B$419=1),$BH$666,HLOOKUP(INDIRECT(ADDRESS(2,COLUMN())),OFFSET($BN$2,0,0,ROW()-1,60),ROW()-1,FALSE))</f>
        <v/>
      </c>
      <c r="BI218" t="str">
        <f ca="1">IF(AND(ISNUMBER($BI$666),$B$419=1),$BI$666,HLOOKUP(INDIRECT(ADDRESS(2,COLUMN())),OFFSET($BN$2,0,0,ROW()-1,60),ROW()-1,FALSE))</f>
        <v/>
      </c>
      <c r="BJ218" t="str">
        <f ca="1">IF(AND(ISNUMBER($BJ$666),$B$419=1),$BJ$666,HLOOKUP(INDIRECT(ADDRESS(2,COLUMN())),OFFSET($BN$2,0,0,ROW()-1,60),ROW()-1,FALSE))</f>
        <v/>
      </c>
      <c r="BK218" t="str">
        <f ca="1">IF(AND(ISNUMBER($BK$666),$B$419=1),$BK$666,HLOOKUP(INDIRECT(ADDRESS(2,COLUMN())),OFFSET($BN$2,0,0,ROW()-1,60),ROW()-1,FALSE))</f>
        <v/>
      </c>
      <c r="BL218" t="str">
        <f ca="1">IF(AND(ISNUMBER($BL$666),$B$419=1),$BL$666,HLOOKUP(INDIRECT(ADDRESS(2,COLUMN())),OFFSET($BN$2,0,0,ROW()-1,60),ROW()-1,FALSE))</f>
        <v/>
      </c>
      <c r="BM218" t="str">
        <f ca="1">IF(AND(ISNUMBER($BM$666),$B$419=1),$BM$666,HLOOKUP(INDIRECT(ADDRESS(2,COLUMN())),OFFSET($BN$2,0,0,ROW()-1,60),ROW()-1,FALSE))</f>
        <v/>
      </c>
      <c r="BN218" t="str">
        <f>""</f>
        <v/>
      </c>
      <c r="BO218" t="str">
        <f>""</f>
        <v/>
      </c>
      <c r="BP218" t="str">
        <f>""</f>
        <v/>
      </c>
      <c r="BQ218" t="str">
        <f>""</f>
        <v/>
      </c>
      <c r="BR218" t="str">
        <f>""</f>
        <v/>
      </c>
      <c r="BS218" t="str">
        <f>""</f>
        <v/>
      </c>
      <c r="BT218" t="str">
        <f>""</f>
        <v/>
      </c>
      <c r="BU218" t="str">
        <f>""</f>
        <v/>
      </c>
      <c r="BV218" t="str">
        <f>""</f>
        <v/>
      </c>
      <c r="BW218" t="str">
        <f>""</f>
        <v/>
      </c>
      <c r="BX218" t="str">
        <f>""</f>
        <v/>
      </c>
      <c r="BY218" t="str">
        <f>""</f>
        <v/>
      </c>
      <c r="BZ218" t="str">
        <f>""</f>
        <v/>
      </c>
      <c r="CA218" t="str">
        <f>""</f>
        <v/>
      </c>
      <c r="CB218" t="str">
        <f>""</f>
        <v/>
      </c>
      <c r="CC218" t="str">
        <f>""</f>
        <v/>
      </c>
      <c r="CD218" t="str">
        <f>""</f>
        <v/>
      </c>
      <c r="CE218" t="str">
        <f>""</f>
        <v/>
      </c>
      <c r="CF218" t="str">
        <f>""</f>
        <v/>
      </c>
      <c r="CG218" t="str">
        <f>""</f>
        <v/>
      </c>
      <c r="CH218" t="str">
        <f>""</f>
        <v/>
      </c>
      <c r="CI218" t="str">
        <f>""</f>
        <v/>
      </c>
      <c r="CJ218" t="str">
        <f>""</f>
        <v/>
      </c>
      <c r="CK218" t="str">
        <f>""</f>
        <v/>
      </c>
      <c r="CL218" t="str">
        <f>""</f>
        <v/>
      </c>
      <c r="CM218" t="str">
        <f>""</f>
        <v/>
      </c>
      <c r="CN218" t="str">
        <f>""</f>
        <v/>
      </c>
      <c r="CO218" t="str">
        <f>""</f>
        <v/>
      </c>
      <c r="CP218" t="str">
        <f>""</f>
        <v/>
      </c>
      <c r="CQ218" t="str">
        <f>""</f>
        <v/>
      </c>
      <c r="CR218" t="str">
        <f>""</f>
        <v/>
      </c>
      <c r="CS218" t="str">
        <f>""</f>
        <v/>
      </c>
      <c r="CT218" t="str">
        <f>""</f>
        <v/>
      </c>
      <c r="CU218" t="str">
        <f>""</f>
        <v/>
      </c>
      <c r="CV218" t="str">
        <f>""</f>
        <v/>
      </c>
      <c r="CW218" t="str">
        <f>""</f>
        <v/>
      </c>
      <c r="CX218" t="str">
        <f>""</f>
        <v/>
      </c>
      <c r="CY218" t="str">
        <f>""</f>
        <v/>
      </c>
      <c r="CZ218" t="str">
        <f>""</f>
        <v/>
      </c>
      <c r="DA218" t="str">
        <f>""</f>
        <v/>
      </c>
      <c r="DB218" t="str">
        <f>""</f>
        <v/>
      </c>
      <c r="DC218" t="str">
        <f>""</f>
        <v/>
      </c>
      <c r="DD218" t="str">
        <f>""</f>
        <v/>
      </c>
      <c r="DE218" t="str">
        <f>""</f>
        <v/>
      </c>
      <c r="DF218" t="str">
        <f>""</f>
        <v/>
      </c>
      <c r="DG218" t="str">
        <f>""</f>
        <v/>
      </c>
      <c r="DH218" t="str">
        <f>""</f>
        <v/>
      </c>
      <c r="DI218" t="str">
        <f>""</f>
        <v/>
      </c>
      <c r="DJ218" t="str">
        <f>""</f>
        <v/>
      </c>
      <c r="DK218" t="str">
        <f>""</f>
        <v/>
      </c>
      <c r="DL218" t="str">
        <f>""</f>
        <v/>
      </c>
      <c r="DM218" t="str">
        <f>""</f>
        <v/>
      </c>
      <c r="DN218" t="str">
        <f>""</f>
        <v/>
      </c>
      <c r="DO218" t="str">
        <f>""</f>
        <v/>
      </c>
      <c r="DP218" t="str">
        <f>""</f>
        <v/>
      </c>
      <c r="DQ218" t="str">
        <f>""</f>
        <v/>
      </c>
      <c r="DR218" t="str">
        <f>""</f>
        <v/>
      </c>
      <c r="DS218" t="str">
        <f>""</f>
        <v/>
      </c>
      <c r="DT218" t="str">
        <f>""</f>
        <v/>
      </c>
      <c r="DU218" t="str">
        <f>""</f>
        <v/>
      </c>
    </row>
    <row r="219" spans="1:125">
      <c r="A219" t="str">
        <f>"    Realty Income Corp"</f>
        <v xml:space="preserve">    Realty Income Corp</v>
      </c>
      <c r="B219" t="str">
        <f>"O US Equity"</f>
        <v>O US Equity</v>
      </c>
      <c r="C219" t="str">
        <f t="shared" si="39"/>
        <v>RX902</v>
      </c>
      <c r="D219" t="str">
        <f t="shared" si="40"/>
        <v>ANN_NOI_GR_AST_NET_RTL_DEV_CTD_%</v>
      </c>
      <c r="E219" t="str">
        <f t="shared" si="41"/>
        <v>动态</v>
      </c>
      <c r="F219" t="str">
        <f ca="1">IF(AND(ISNUMBER($F$667),$B$419=1),$F$667,HLOOKUP(INDIRECT(ADDRESS(2,COLUMN())),OFFSET($BN$2,0,0,ROW()-1,60),ROW()-1,FALSE))</f>
        <v/>
      </c>
      <c r="G219" t="str">
        <f ca="1">IF(AND(ISNUMBER($G$667),$B$419=1),$G$667,HLOOKUP(INDIRECT(ADDRESS(2,COLUMN())),OFFSET($BN$2,0,0,ROW()-1,60),ROW()-1,FALSE))</f>
        <v/>
      </c>
      <c r="H219" t="str">
        <f ca="1">IF(AND(ISNUMBER($H$667),$B$419=1),$H$667,HLOOKUP(INDIRECT(ADDRESS(2,COLUMN())),OFFSET($BN$2,0,0,ROW()-1,60),ROW()-1,FALSE))</f>
        <v/>
      </c>
      <c r="I219" t="str">
        <f ca="1">IF(AND(ISNUMBER($I$667),$B$419=1),$I$667,HLOOKUP(INDIRECT(ADDRESS(2,COLUMN())),OFFSET($BN$2,0,0,ROW()-1,60),ROW()-1,FALSE))</f>
        <v/>
      </c>
      <c r="J219" t="str">
        <f ca="1">IF(AND(ISNUMBER($J$667),$B$419=1),$J$667,HLOOKUP(INDIRECT(ADDRESS(2,COLUMN())),OFFSET($BN$2,0,0,ROW()-1,60),ROW()-1,FALSE))</f>
        <v/>
      </c>
      <c r="K219" t="str">
        <f ca="1">IF(AND(ISNUMBER($K$667),$B$419=1),$K$667,HLOOKUP(INDIRECT(ADDRESS(2,COLUMN())),OFFSET($BN$2,0,0,ROW()-1,60),ROW()-1,FALSE))</f>
        <v/>
      </c>
      <c r="L219" t="str">
        <f ca="1">IF(AND(ISNUMBER($L$667),$B$419=1),$L$667,HLOOKUP(INDIRECT(ADDRESS(2,COLUMN())),OFFSET($BN$2,0,0,ROW()-1,60),ROW()-1,FALSE))</f>
        <v/>
      </c>
      <c r="M219" t="str">
        <f ca="1">IF(AND(ISNUMBER($M$667),$B$419=1),$M$667,HLOOKUP(INDIRECT(ADDRESS(2,COLUMN())),OFFSET($BN$2,0,0,ROW()-1,60),ROW()-1,FALSE))</f>
        <v/>
      </c>
      <c r="N219" t="str">
        <f ca="1">IF(AND(ISNUMBER($N$667),$B$419=1),$N$667,HLOOKUP(INDIRECT(ADDRESS(2,COLUMN())),OFFSET($BN$2,0,0,ROW()-1,60),ROW()-1,FALSE))</f>
        <v/>
      </c>
      <c r="O219" t="str">
        <f ca="1">IF(AND(ISNUMBER($O$667),$B$419=1),$O$667,HLOOKUP(INDIRECT(ADDRESS(2,COLUMN())),OFFSET($BN$2,0,0,ROW()-1,60),ROW()-1,FALSE))</f>
        <v/>
      </c>
      <c r="P219" t="str">
        <f ca="1">IF(AND(ISNUMBER($P$667),$B$419=1),$P$667,HLOOKUP(INDIRECT(ADDRESS(2,COLUMN())),OFFSET($BN$2,0,0,ROW()-1,60),ROW()-1,FALSE))</f>
        <v/>
      </c>
      <c r="Q219" t="str">
        <f ca="1">IF(AND(ISNUMBER($Q$667),$B$419=1),$Q$667,HLOOKUP(INDIRECT(ADDRESS(2,COLUMN())),OFFSET($BN$2,0,0,ROW()-1,60),ROW()-1,FALSE))</f>
        <v/>
      </c>
      <c r="R219" t="str">
        <f ca="1">IF(AND(ISNUMBER($R$667),$B$419=1),$R$667,HLOOKUP(INDIRECT(ADDRESS(2,COLUMN())),OFFSET($BN$2,0,0,ROW()-1,60),ROW()-1,FALSE))</f>
        <v/>
      </c>
      <c r="S219" t="str">
        <f ca="1">IF(AND(ISNUMBER($S$667),$B$419=1),$S$667,HLOOKUP(INDIRECT(ADDRESS(2,COLUMN())),OFFSET($BN$2,0,0,ROW()-1,60),ROW()-1,FALSE))</f>
        <v/>
      </c>
      <c r="T219" t="str">
        <f ca="1">IF(AND(ISNUMBER($T$667),$B$419=1),$T$667,HLOOKUP(INDIRECT(ADDRESS(2,COLUMN())),OFFSET($BN$2,0,0,ROW()-1,60),ROW()-1,FALSE))</f>
        <v/>
      </c>
      <c r="U219" t="str">
        <f ca="1">IF(AND(ISNUMBER($U$667),$B$419=1),$U$667,HLOOKUP(INDIRECT(ADDRESS(2,COLUMN())),OFFSET($BN$2,0,0,ROW()-1,60),ROW()-1,FALSE))</f>
        <v/>
      </c>
      <c r="V219" t="str">
        <f ca="1">IF(AND(ISNUMBER($V$667),$B$419=1),$V$667,HLOOKUP(INDIRECT(ADDRESS(2,COLUMN())),OFFSET($BN$2,0,0,ROW()-1,60),ROW()-1,FALSE))</f>
        <v/>
      </c>
      <c r="W219" t="str">
        <f ca="1">IF(AND(ISNUMBER($W$667),$B$419=1),$W$667,HLOOKUP(INDIRECT(ADDRESS(2,COLUMN())),OFFSET($BN$2,0,0,ROW()-1,60),ROW()-1,FALSE))</f>
        <v/>
      </c>
      <c r="X219" t="str">
        <f ca="1">IF(AND(ISNUMBER($X$667),$B$419=1),$X$667,HLOOKUP(INDIRECT(ADDRESS(2,COLUMN())),OFFSET($BN$2,0,0,ROW()-1,60),ROW()-1,FALSE))</f>
        <v/>
      </c>
      <c r="Y219" t="str">
        <f ca="1">IF(AND(ISNUMBER($Y$667),$B$419=1),$Y$667,HLOOKUP(INDIRECT(ADDRESS(2,COLUMN())),OFFSET($BN$2,0,0,ROW()-1,60),ROW()-1,FALSE))</f>
        <v/>
      </c>
      <c r="Z219" t="str">
        <f ca="1">IF(AND(ISNUMBER($Z$667),$B$419=1),$Z$667,HLOOKUP(INDIRECT(ADDRESS(2,COLUMN())),OFFSET($BN$2,0,0,ROW()-1,60),ROW()-1,FALSE))</f>
        <v/>
      </c>
      <c r="AA219" t="str">
        <f ca="1">IF(AND(ISNUMBER($AA$667),$B$419=1),$AA$667,HLOOKUP(INDIRECT(ADDRESS(2,COLUMN())),OFFSET($BN$2,0,0,ROW()-1,60),ROW()-1,FALSE))</f>
        <v/>
      </c>
      <c r="AB219" t="str">
        <f ca="1">IF(AND(ISNUMBER($AB$667),$B$419=1),$AB$667,HLOOKUP(INDIRECT(ADDRESS(2,COLUMN())),OFFSET($BN$2,0,0,ROW()-1,60),ROW()-1,FALSE))</f>
        <v/>
      </c>
      <c r="AC219" t="str">
        <f ca="1">IF(AND(ISNUMBER($AC$667),$B$419=1),$AC$667,HLOOKUP(INDIRECT(ADDRESS(2,COLUMN())),OFFSET($BN$2,0,0,ROW()-1,60),ROW()-1,FALSE))</f>
        <v/>
      </c>
      <c r="AD219" t="str">
        <f ca="1">IF(AND(ISNUMBER($AD$667),$B$419=1),$AD$667,HLOOKUP(INDIRECT(ADDRESS(2,COLUMN())),OFFSET($BN$2,0,0,ROW()-1,60),ROW()-1,FALSE))</f>
        <v/>
      </c>
      <c r="AE219" t="str">
        <f ca="1">IF(AND(ISNUMBER($AE$667),$B$419=1),$AE$667,HLOOKUP(INDIRECT(ADDRESS(2,COLUMN())),OFFSET($BN$2,0,0,ROW()-1,60),ROW()-1,FALSE))</f>
        <v/>
      </c>
      <c r="AF219" t="str">
        <f ca="1">IF(AND(ISNUMBER($AF$667),$B$419=1),$AF$667,HLOOKUP(INDIRECT(ADDRESS(2,COLUMN())),OFFSET($BN$2,0,0,ROW()-1,60),ROW()-1,FALSE))</f>
        <v/>
      </c>
      <c r="AG219" t="str">
        <f ca="1">IF(AND(ISNUMBER($AG$667),$B$419=1),$AG$667,HLOOKUP(INDIRECT(ADDRESS(2,COLUMN())),OFFSET($BN$2,0,0,ROW()-1,60),ROW()-1,FALSE))</f>
        <v/>
      </c>
      <c r="AH219" t="str">
        <f ca="1">IF(AND(ISNUMBER($AH$667),$B$419=1),$AH$667,HLOOKUP(INDIRECT(ADDRESS(2,COLUMN())),OFFSET($BN$2,0,0,ROW()-1,60),ROW()-1,FALSE))</f>
        <v/>
      </c>
      <c r="AI219" t="str">
        <f ca="1">IF(AND(ISNUMBER($AI$667),$B$419=1),$AI$667,HLOOKUP(INDIRECT(ADDRESS(2,COLUMN())),OFFSET($BN$2,0,0,ROW()-1,60),ROW()-1,FALSE))</f>
        <v/>
      </c>
      <c r="AJ219" t="str">
        <f ca="1">IF(AND(ISNUMBER($AJ$667),$B$419=1),$AJ$667,HLOOKUP(INDIRECT(ADDRESS(2,COLUMN())),OFFSET($BN$2,0,0,ROW()-1,60),ROW()-1,FALSE))</f>
        <v/>
      </c>
      <c r="AK219" t="str">
        <f ca="1">IF(AND(ISNUMBER($AK$667),$B$419=1),$AK$667,HLOOKUP(INDIRECT(ADDRESS(2,COLUMN())),OFFSET($BN$2,0,0,ROW()-1,60),ROW()-1,FALSE))</f>
        <v/>
      </c>
      <c r="AL219" t="str">
        <f ca="1">IF(AND(ISNUMBER($AL$667),$B$419=1),$AL$667,HLOOKUP(INDIRECT(ADDRESS(2,COLUMN())),OFFSET($BN$2,0,0,ROW()-1,60),ROW()-1,FALSE))</f>
        <v/>
      </c>
      <c r="AM219" t="str">
        <f ca="1">IF(AND(ISNUMBER($AM$667),$B$419=1),$AM$667,HLOOKUP(INDIRECT(ADDRESS(2,COLUMN())),OFFSET($BN$2,0,0,ROW()-1,60),ROW()-1,FALSE))</f>
        <v/>
      </c>
      <c r="AN219" t="str">
        <f ca="1">IF(AND(ISNUMBER($AN$667),$B$419=1),$AN$667,HLOOKUP(INDIRECT(ADDRESS(2,COLUMN())),OFFSET($BN$2,0,0,ROW()-1,60),ROW()-1,FALSE))</f>
        <v/>
      </c>
      <c r="AO219" t="str">
        <f ca="1">IF(AND(ISNUMBER($AO$667),$B$419=1),$AO$667,HLOOKUP(INDIRECT(ADDRESS(2,COLUMN())),OFFSET($BN$2,0,0,ROW()-1,60),ROW()-1,FALSE))</f>
        <v/>
      </c>
      <c r="AP219" t="str">
        <f ca="1">IF(AND(ISNUMBER($AP$667),$B$419=1),$AP$667,HLOOKUP(INDIRECT(ADDRESS(2,COLUMN())),OFFSET($BN$2,0,0,ROW()-1,60),ROW()-1,FALSE))</f>
        <v/>
      </c>
      <c r="AQ219" t="str">
        <f ca="1">IF(AND(ISNUMBER($AQ$667),$B$419=1),$AQ$667,HLOOKUP(INDIRECT(ADDRESS(2,COLUMN())),OFFSET($BN$2,0,0,ROW()-1,60),ROW()-1,FALSE))</f>
        <v/>
      </c>
      <c r="AR219" t="str">
        <f ca="1">IF(AND(ISNUMBER($AR$667),$B$419=1),$AR$667,HLOOKUP(INDIRECT(ADDRESS(2,COLUMN())),OFFSET($BN$2,0,0,ROW()-1,60),ROW()-1,FALSE))</f>
        <v/>
      </c>
      <c r="AS219" t="str">
        <f ca="1">IF(AND(ISNUMBER($AS$667),$B$419=1),$AS$667,HLOOKUP(INDIRECT(ADDRESS(2,COLUMN())),OFFSET($BN$2,0,0,ROW()-1,60),ROW()-1,FALSE))</f>
        <v/>
      </c>
      <c r="AT219" t="str">
        <f ca="1">IF(AND(ISNUMBER($AT$667),$B$419=1),$AT$667,HLOOKUP(INDIRECT(ADDRESS(2,COLUMN())),OFFSET($BN$2,0,0,ROW()-1,60),ROW()-1,FALSE))</f>
        <v/>
      </c>
      <c r="AU219" t="str">
        <f ca="1">IF(AND(ISNUMBER($AU$667),$B$419=1),$AU$667,HLOOKUP(INDIRECT(ADDRESS(2,COLUMN())),OFFSET($BN$2,0,0,ROW()-1,60),ROW()-1,FALSE))</f>
        <v/>
      </c>
      <c r="AV219" t="str">
        <f ca="1">IF(AND(ISNUMBER($AV$667),$B$419=1),$AV$667,HLOOKUP(INDIRECT(ADDRESS(2,COLUMN())),OFFSET($BN$2,0,0,ROW()-1,60),ROW()-1,FALSE))</f>
        <v/>
      </c>
      <c r="AW219" t="str">
        <f ca="1">IF(AND(ISNUMBER($AW$667),$B$419=1),$AW$667,HLOOKUP(INDIRECT(ADDRESS(2,COLUMN())),OFFSET($BN$2,0,0,ROW()-1,60),ROW()-1,FALSE))</f>
        <v/>
      </c>
      <c r="AX219" t="str">
        <f ca="1">IF(AND(ISNUMBER($AX$667),$B$419=1),$AX$667,HLOOKUP(INDIRECT(ADDRESS(2,COLUMN())),OFFSET($BN$2,0,0,ROW()-1,60),ROW()-1,FALSE))</f>
        <v/>
      </c>
      <c r="AY219" t="str">
        <f ca="1">IF(AND(ISNUMBER($AY$667),$B$419=1),$AY$667,HLOOKUP(INDIRECT(ADDRESS(2,COLUMN())),OFFSET($BN$2,0,0,ROW()-1,60),ROW()-1,FALSE))</f>
        <v/>
      </c>
      <c r="AZ219" t="str">
        <f ca="1">IF(AND(ISNUMBER($AZ$667),$B$419=1),$AZ$667,HLOOKUP(INDIRECT(ADDRESS(2,COLUMN())),OFFSET($BN$2,0,0,ROW()-1,60),ROW()-1,FALSE))</f>
        <v/>
      </c>
      <c r="BA219" t="str">
        <f ca="1">IF(AND(ISNUMBER($BA$667),$B$419=1),$BA$667,HLOOKUP(INDIRECT(ADDRESS(2,COLUMN())),OFFSET($BN$2,0,0,ROW()-1,60),ROW()-1,FALSE))</f>
        <v/>
      </c>
      <c r="BB219" t="str">
        <f ca="1">IF(AND(ISNUMBER($BB$667),$B$419=1),$BB$667,HLOOKUP(INDIRECT(ADDRESS(2,COLUMN())),OFFSET($BN$2,0,0,ROW()-1,60),ROW()-1,FALSE))</f>
        <v/>
      </c>
      <c r="BC219" t="str">
        <f ca="1">IF(AND(ISNUMBER($BC$667),$B$419=1),$BC$667,HLOOKUP(INDIRECT(ADDRESS(2,COLUMN())),OFFSET($BN$2,0,0,ROW()-1,60),ROW()-1,FALSE))</f>
        <v/>
      </c>
      <c r="BD219" t="str">
        <f ca="1">IF(AND(ISNUMBER($BD$667),$B$419=1),$BD$667,HLOOKUP(INDIRECT(ADDRESS(2,COLUMN())),OFFSET($BN$2,0,0,ROW()-1,60),ROW()-1,FALSE))</f>
        <v/>
      </c>
      <c r="BE219" t="str">
        <f ca="1">IF(AND(ISNUMBER($BE$667),$B$419=1),$BE$667,HLOOKUP(INDIRECT(ADDRESS(2,COLUMN())),OFFSET($BN$2,0,0,ROW()-1,60),ROW()-1,FALSE))</f>
        <v/>
      </c>
      <c r="BF219" t="str">
        <f ca="1">IF(AND(ISNUMBER($BF$667),$B$419=1),$BF$667,HLOOKUP(INDIRECT(ADDRESS(2,COLUMN())),OFFSET($BN$2,0,0,ROW()-1,60),ROW()-1,FALSE))</f>
        <v/>
      </c>
      <c r="BG219" t="str">
        <f ca="1">IF(AND(ISNUMBER($BG$667),$B$419=1),$BG$667,HLOOKUP(INDIRECT(ADDRESS(2,COLUMN())),OFFSET($BN$2,0,0,ROW()-1,60),ROW()-1,FALSE))</f>
        <v/>
      </c>
      <c r="BH219" t="str">
        <f ca="1">IF(AND(ISNUMBER($BH$667),$B$419=1),$BH$667,HLOOKUP(INDIRECT(ADDRESS(2,COLUMN())),OFFSET($BN$2,0,0,ROW()-1,60),ROW()-1,FALSE))</f>
        <v/>
      </c>
      <c r="BI219" t="str">
        <f ca="1">IF(AND(ISNUMBER($BI$667),$B$419=1),$BI$667,HLOOKUP(INDIRECT(ADDRESS(2,COLUMN())),OFFSET($BN$2,0,0,ROW()-1,60),ROW()-1,FALSE))</f>
        <v/>
      </c>
      <c r="BJ219" t="str">
        <f ca="1">IF(AND(ISNUMBER($BJ$667),$B$419=1),$BJ$667,HLOOKUP(INDIRECT(ADDRESS(2,COLUMN())),OFFSET($BN$2,0,0,ROW()-1,60),ROW()-1,FALSE))</f>
        <v/>
      </c>
      <c r="BK219" t="str">
        <f ca="1">IF(AND(ISNUMBER($BK$667),$B$419=1),$BK$667,HLOOKUP(INDIRECT(ADDRESS(2,COLUMN())),OFFSET($BN$2,0,0,ROW()-1,60),ROW()-1,FALSE))</f>
        <v/>
      </c>
      <c r="BL219" t="str">
        <f ca="1">IF(AND(ISNUMBER($BL$667),$B$419=1),$BL$667,HLOOKUP(INDIRECT(ADDRESS(2,COLUMN())),OFFSET($BN$2,0,0,ROW()-1,60),ROW()-1,FALSE))</f>
        <v/>
      </c>
      <c r="BM219" t="str">
        <f ca="1">IF(AND(ISNUMBER($BM$667),$B$419=1),$BM$667,HLOOKUP(INDIRECT(ADDRESS(2,COLUMN())),OFFSET($BN$2,0,0,ROW()-1,60),ROW()-1,FALSE))</f>
        <v/>
      </c>
      <c r="BN219" t="str">
        <f>""</f>
        <v/>
      </c>
      <c r="BO219" t="str">
        <f>""</f>
        <v/>
      </c>
      <c r="BP219" t="str">
        <f>""</f>
        <v/>
      </c>
      <c r="BQ219" t="str">
        <f>""</f>
        <v/>
      </c>
      <c r="BR219" t="str">
        <f>""</f>
        <v/>
      </c>
      <c r="BS219" t="str">
        <f>""</f>
        <v/>
      </c>
      <c r="BT219" t="str">
        <f>""</f>
        <v/>
      </c>
      <c r="BU219" t="str">
        <f>""</f>
        <v/>
      </c>
      <c r="BV219" t="str">
        <f>""</f>
        <v/>
      </c>
      <c r="BW219" t="str">
        <f>""</f>
        <v/>
      </c>
      <c r="BX219" t="str">
        <f>""</f>
        <v/>
      </c>
      <c r="BY219" t="str">
        <f>""</f>
        <v/>
      </c>
      <c r="BZ219" t="str">
        <f>""</f>
        <v/>
      </c>
      <c r="CA219" t="str">
        <f>""</f>
        <v/>
      </c>
      <c r="CB219" t="str">
        <f>""</f>
        <v/>
      </c>
      <c r="CC219" t="str">
        <f>""</f>
        <v/>
      </c>
      <c r="CD219" t="str">
        <f>""</f>
        <v/>
      </c>
      <c r="CE219" t="str">
        <f>""</f>
        <v/>
      </c>
      <c r="CF219" t="str">
        <f>""</f>
        <v/>
      </c>
      <c r="CG219" t="str">
        <f>""</f>
        <v/>
      </c>
      <c r="CH219" t="str">
        <f>""</f>
        <v/>
      </c>
      <c r="CI219" t="str">
        <f>""</f>
        <v/>
      </c>
      <c r="CJ219" t="str">
        <f>""</f>
        <v/>
      </c>
      <c r="CK219" t="str">
        <f>""</f>
        <v/>
      </c>
      <c r="CL219" t="str">
        <f>""</f>
        <v/>
      </c>
      <c r="CM219" t="str">
        <f>""</f>
        <v/>
      </c>
      <c r="CN219" t="str">
        <f>""</f>
        <v/>
      </c>
      <c r="CO219" t="str">
        <f>""</f>
        <v/>
      </c>
      <c r="CP219" t="str">
        <f>""</f>
        <v/>
      </c>
      <c r="CQ219" t="str">
        <f>""</f>
        <v/>
      </c>
      <c r="CR219" t="str">
        <f>""</f>
        <v/>
      </c>
      <c r="CS219" t="str">
        <f>""</f>
        <v/>
      </c>
      <c r="CT219" t="str">
        <f>""</f>
        <v/>
      </c>
      <c r="CU219" t="str">
        <f>""</f>
        <v/>
      </c>
      <c r="CV219" t="str">
        <f>""</f>
        <v/>
      </c>
      <c r="CW219" t="str">
        <f>""</f>
        <v/>
      </c>
      <c r="CX219" t="str">
        <f>""</f>
        <v/>
      </c>
      <c r="CY219" t="str">
        <f>""</f>
        <v/>
      </c>
      <c r="CZ219" t="str">
        <f>""</f>
        <v/>
      </c>
      <c r="DA219" t="str">
        <f>""</f>
        <v/>
      </c>
      <c r="DB219" t="str">
        <f>""</f>
        <v/>
      </c>
      <c r="DC219" t="str">
        <f>""</f>
        <v/>
      </c>
      <c r="DD219" t="str">
        <f>""</f>
        <v/>
      </c>
      <c r="DE219" t="str">
        <f>""</f>
        <v/>
      </c>
      <c r="DF219" t="str">
        <f>""</f>
        <v/>
      </c>
      <c r="DG219" t="str">
        <f>""</f>
        <v/>
      </c>
      <c r="DH219" t="str">
        <f>""</f>
        <v/>
      </c>
      <c r="DI219" t="str">
        <f>""</f>
        <v/>
      </c>
      <c r="DJ219" t="str">
        <f>""</f>
        <v/>
      </c>
      <c r="DK219" t="str">
        <f>""</f>
        <v/>
      </c>
      <c r="DL219" t="str">
        <f>""</f>
        <v/>
      </c>
      <c r="DM219" t="str">
        <f>""</f>
        <v/>
      </c>
      <c r="DN219" t="str">
        <f>""</f>
        <v/>
      </c>
      <c r="DO219" t="str">
        <f>""</f>
        <v/>
      </c>
      <c r="DP219" t="str">
        <f>""</f>
        <v/>
      </c>
      <c r="DQ219" t="str">
        <f>""</f>
        <v/>
      </c>
      <c r="DR219" t="str">
        <f>""</f>
        <v/>
      </c>
      <c r="DS219" t="str">
        <f>""</f>
        <v/>
      </c>
      <c r="DT219" t="str">
        <f>""</f>
        <v/>
      </c>
      <c r="DU219" t="str">
        <f>""</f>
        <v/>
      </c>
    </row>
    <row r="220" spans="1:125">
      <c r="A220" t="str">
        <f>"    Regency Centers Corp"</f>
        <v xml:space="preserve">    Regency Centers Corp</v>
      </c>
      <c r="B220" t="str">
        <f>"REG US Equity"</f>
        <v>REG US Equity</v>
      </c>
      <c r="C220" t="str">
        <f t="shared" si="39"/>
        <v>RX902</v>
      </c>
      <c r="D220" t="str">
        <f t="shared" si="40"/>
        <v>ANN_NOI_GR_AST_NET_RTL_DEV_CTD_%</v>
      </c>
      <c r="E220" t="str">
        <f t="shared" si="41"/>
        <v>动态</v>
      </c>
      <c r="F220" t="str">
        <f ca="1">IF(AND(ISNUMBER($F$668),$B$419=1),$F$668,HLOOKUP(INDIRECT(ADDRESS(2,COLUMN())),OFFSET($BN$2,0,0,ROW()-1,60),ROW()-1,FALSE))</f>
        <v/>
      </c>
      <c r="G220">
        <f ca="1">IF(AND(ISNUMBER($G$668),$B$419=1),$G$668,HLOOKUP(INDIRECT(ADDRESS(2,COLUMN())),OFFSET($BN$2,0,0,ROW()-1,60),ROW()-1,FALSE))</f>
        <v>6.5180043259999998</v>
      </c>
      <c r="H220">
        <f ca="1">IF(AND(ISNUMBER($H$668),$B$419=1),$H$668,HLOOKUP(INDIRECT(ADDRESS(2,COLUMN())),OFFSET($BN$2,0,0,ROW()-1,60),ROW()-1,FALSE))</f>
        <v>6.5016482719999997</v>
      </c>
      <c r="I220">
        <f ca="1">IF(AND(ISNUMBER($I$668),$B$419=1),$I$668,HLOOKUP(INDIRECT(ADDRESS(2,COLUMN())),OFFSET($BN$2,0,0,ROW()-1,60),ROW()-1,FALSE))</f>
        <v>6.46820182</v>
      </c>
      <c r="J220">
        <f ca="1">IF(AND(ISNUMBER($J$668),$B$419=1),$J$668,HLOOKUP(INDIRECT(ADDRESS(2,COLUMN())),OFFSET($BN$2,0,0,ROW()-1,60),ROW()-1,FALSE))</f>
        <v>5.0250976999999999</v>
      </c>
      <c r="K220">
        <f ca="1">IF(AND(ISNUMBER($K$668),$B$419=1),$K$668,HLOOKUP(INDIRECT(ADDRESS(2,COLUMN())),OFFSET($BN$2,0,0,ROW()-1,60),ROW()-1,FALSE))</f>
        <v>9.3013385809999996</v>
      </c>
      <c r="L220">
        <f ca="1">IF(AND(ISNUMBER($L$668),$B$419=1),$L$668,HLOOKUP(INDIRECT(ADDRESS(2,COLUMN())),OFFSET($BN$2,0,0,ROW()-1,60),ROW()-1,FALSE))</f>
        <v>9.0782770589999995</v>
      </c>
      <c r="M220">
        <f ca="1">IF(AND(ISNUMBER($M$668),$B$419=1),$M$668,HLOOKUP(INDIRECT(ADDRESS(2,COLUMN())),OFFSET($BN$2,0,0,ROW()-1,60),ROW()-1,FALSE))</f>
        <v>7.5557325559999997</v>
      </c>
      <c r="N220">
        <f ca="1">IF(AND(ISNUMBER($N$668),$B$419=1),$N$668,HLOOKUP(INDIRECT(ADDRESS(2,COLUMN())),OFFSET($BN$2,0,0,ROW()-1,60),ROW()-1,FALSE))</f>
        <v>8.0895782730000008</v>
      </c>
      <c r="O220">
        <f ca="1">IF(AND(ISNUMBER($O$668),$B$419=1),$O$668,HLOOKUP(INDIRECT(ADDRESS(2,COLUMN())),OFFSET($BN$2,0,0,ROW()-1,60),ROW()-1,FALSE))</f>
        <v>7.9188856589999999</v>
      </c>
      <c r="P220">
        <f ca="1">IF(AND(ISNUMBER($P$668),$B$419=1),$P$668,HLOOKUP(INDIRECT(ADDRESS(2,COLUMN())),OFFSET($BN$2,0,0,ROW()-1,60),ROW()-1,FALSE))</f>
        <v>7.8240797259999999</v>
      </c>
      <c r="Q220">
        <f ca="1">IF(AND(ISNUMBER($Q$668),$B$419=1),$Q$668,HLOOKUP(INDIRECT(ADDRESS(2,COLUMN())),OFFSET($BN$2,0,0,ROW()-1,60),ROW()-1,FALSE))</f>
        <v>7.9367241310000001</v>
      </c>
      <c r="R220">
        <f ca="1">IF(AND(ISNUMBER($R$668),$B$419=1),$R$668,HLOOKUP(INDIRECT(ADDRESS(2,COLUMN())),OFFSET($BN$2,0,0,ROW()-1,60),ROW()-1,FALSE))</f>
        <v>7.8621513270000003</v>
      </c>
      <c r="S220">
        <f ca="1">IF(AND(ISNUMBER($S$668),$B$419=1),$S$668,HLOOKUP(INDIRECT(ADDRESS(2,COLUMN())),OFFSET($BN$2,0,0,ROW()-1,60),ROW()-1,FALSE))</f>
        <v>7.6279447630000003</v>
      </c>
      <c r="T220">
        <f ca="1">IF(AND(ISNUMBER($T$668),$B$419=1),$T$668,HLOOKUP(INDIRECT(ADDRESS(2,COLUMN())),OFFSET($BN$2,0,0,ROW()-1,60),ROW()-1,FALSE))</f>
        <v>9.3269954229999996</v>
      </c>
      <c r="U220">
        <f ca="1">IF(AND(ISNUMBER($U$668),$B$419=1),$U$668,HLOOKUP(INDIRECT(ADDRESS(2,COLUMN())),OFFSET($BN$2,0,0,ROW()-1,60),ROW()-1,FALSE))</f>
        <v>9.4789692779999992</v>
      </c>
      <c r="V220">
        <f ca="1">IF(AND(ISNUMBER($V$668),$B$419=1),$V$668,HLOOKUP(INDIRECT(ADDRESS(2,COLUMN())),OFFSET($BN$2,0,0,ROW()-1,60),ROW()-1,FALSE))</f>
        <v>7.622969908</v>
      </c>
      <c r="W220">
        <f ca="1">IF(AND(ISNUMBER($W$668),$B$419=1),$W$668,HLOOKUP(INDIRECT(ADDRESS(2,COLUMN())),OFFSET($BN$2,0,0,ROW()-1,60),ROW()-1,FALSE))</f>
        <v>9.1341490699999994</v>
      </c>
      <c r="X220">
        <f ca="1">IF(AND(ISNUMBER($X$668),$B$419=1),$X$668,HLOOKUP(INDIRECT(ADDRESS(2,COLUMN())),OFFSET($BN$2,0,0,ROW()-1,60),ROW()-1,FALSE))</f>
        <v>9.4373627839999994</v>
      </c>
      <c r="Y220">
        <f ca="1">IF(AND(ISNUMBER($Y$668),$B$419=1),$Y$668,HLOOKUP(INDIRECT(ADDRESS(2,COLUMN())),OFFSET($BN$2,0,0,ROW()-1,60),ROW()-1,FALSE))</f>
        <v>9.5893269730000004</v>
      </c>
      <c r="Z220">
        <f ca="1">IF(AND(ISNUMBER($Z$668),$B$419=1),$Z$668,HLOOKUP(INDIRECT(ADDRESS(2,COLUMN())),OFFSET($BN$2,0,0,ROW()-1,60),ROW()-1,FALSE))</f>
        <v>7.6150337439999998</v>
      </c>
      <c r="AA220">
        <f ca="1">IF(AND(ISNUMBER($AA$668),$B$419=1),$AA$668,HLOOKUP(INDIRECT(ADDRESS(2,COLUMN())),OFFSET($BN$2,0,0,ROW()-1,60),ROW()-1,FALSE))</f>
        <v>9.229287974</v>
      </c>
      <c r="AB220">
        <f ca="1">IF(AND(ISNUMBER($AB$668),$B$419=1),$AB$668,HLOOKUP(INDIRECT(ADDRESS(2,COLUMN())),OFFSET($BN$2,0,0,ROW()-1,60),ROW()-1,FALSE))</f>
        <v>9.4074689829999993</v>
      </c>
      <c r="AC220">
        <f ca="1">IF(AND(ISNUMBER($AC$668),$B$419=1),$AC$668,HLOOKUP(INDIRECT(ADDRESS(2,COLUMN())),OFFSET($BN$2,0,0,ROW()-1,60),ROW()-1,FALSE))</f>
        <v>9.4624960110000007</v>
      </c>
      <c r="AD220">
        <f ca="1">IF(AND(ISNUMBER($AD$668),$B$419=1),$AD$668,HLOOKUP(INDIRECT(ADDRESS(2,COLUMN())),OFFSET($BN$2,0,0,ROW()-1,60),ROW()-1,FALSE))</f>
        <v>9.1354424979999997</v>
      </c>
      <c r="AE220">
        <f ca="1">IF(AND(ISNUMBER($AE$668),$B$419=1),$AE$668,HLOOKUP(INDIRECT(ADDRESS(2,COLUMN())),OFFSET($BN$2,0,0,ROW()-1,60),ROW()-1,FALSE))</f>
        <v>7.3526597359999997</v>
      </c>
      <c r="AF220">
        <f ca="1">IF(AND(ISNUMBER($AF$668),$B$419=1),$AF$668,HLOOKUP(INDIRECT(ADDRESS(2,COLUMN())),OFFSET($BN$2,0,0,ROW()-1,60),ROW()-1,FALSE))</f>
        <v>9.8105989620000003</v>
      </c>
      <c r="AG220">
        <f ca="1">IF(AND(ISNUMBER($AG$668),$B$419=1),$AG$668,HLOOKUP(INDIRECT(ADDRESS(2,COLUMN())),OFFSET($BN$2,0,0,ROW()-1,60),ROW()-1,FALSE))</f>
        <v>7.5305909379999996</v>
      </c>
      <c r="AH220">
        <f ca="1">IF(AND(ISNUMBER($AH$668),$B$419=1),$AH$668,HLOOKUP(INDIRECT(ADDRESS(2,COLUMN())),OFFSET($BN$2,0,0,ROW()-1,60),ROW()-1,FALSE))</f>
        <v>8.0251082329999992</v>
      </c>
      <c r="AI220">
        <f ca="1">IF(AND(ISNUMBER($AI$668),$B$419=1),$AI$668,HLOOKUP(INDIRECT(ADDRESS(2,COLUMN())),OFFSET($BN$2,0,0,ROW()-1,60),ROW()-1,FALSE))</f>
        <v>7.7920030059999998</v>
      </c>
      <c r="AJ220">
        <f ca="1">IF(AND(ISNUMBER($AJ$668),$B$419=1),$AJ$668,HLOOKUP(INDIRECT(ADDRESS(2,COLUMN())),OFFSET($BN$2,0,0,ROW()-1,60),ROW()-1,FALSE))</f>
        <v>8.1312720459999994</v>
      </c>
      <c r="AK220">
        <f ca="1">IF(AND(ISNUMBER($AK$668),$B$419=1),$AK$668,HLOOKUP(INDIRECT(ADDRESS(2,COLUMN())),OFFSET($BN$2,0,0,ROW()-1,60),ROW()-1,FALSE))</f>
        <v>7.8028360780000003</v>
      </c>
      <c r="AL220">
        <f ca="1">IF(AND(ISNUMBER($AL$668),$B$419=1),$AL$668,HLOOKUP(INDIRECT(ADDRESS(2,COLUMN())),OFFSET($BN$2,0,0,ROW()-1,60),ROW()-1,FALSE))</f>
        <v>8.5297463909999998</v>
      </c>
      <c r="AM220">
        <f ca="1">IF(AND(ISNUMBER($AM$668),$B$419=1),$AM$668,HLOOKUP(INDIRECT(ADDRESS(2,COLUMN())),OFFSET($BN$2,0,0,ROW()-1,60),ROW()-1,FALSE))</f>
        <v>9.1935623490000005</v>
      </c>
      <c r="AN220">
        <f ca="1">IF(AND(ISNUMBER($AN$668),$B$419=1),$AN$668,HLOOKUP(INDIRECT(ADDRESS(2,COLUMN())),OFFSET($BN$2,0,0,ROW()-1,60),ROW()-1,FALSE))</f>
        <v>8.9457650730000005</v>
      </c>
      <c r="AO220">
        <f ca="1">IF(AND(ISNUMBER($AO$668),$B$419=1),$AO$668,HLOOKUP(INDIRECT(ADDRESS(2,COLUMN())),OFFSET($BN$2,0,0,ROW()-1,60),ROW()-1,FALSE))</f>
        <v>7.7382460399999999</v>
      </c>
      <c r="AP220">
        <f ca="1">IF(AND(ISNUMBER($AP$668),$B$419=1),$AP$668,HLOOKUP(INDIRECT(ADDRESS(2,COLUMN())),OFFSET($BN$2,0,0,ROW()-1,60),ROW()-1,FALSE))</f>
        <v>8.7370584979999997</v>
      </c>
      <c r="AQ220">
        <f ca="1">IF(AND(ISNUMBER($AQ$668),$B$419=1),$AQ$668,HLOOKUP(INDIRECT(ADDRESS(2,COLUMN())),OFFSET($BN$2,0,0,ROW()-1,60),ROW()-1,FALSE))</f>
        <v>9.387794864</v>
      </c>
      <c r="AR220">
        <f ca="1">IF(AND(ISNUMBER($AR$668),$B$419=1),$AR$668,HLOOKUP(INDIRECT(ADDRESS(2,COLUMN())),OFFSET($BN$2,0,0,ROW()-1,60),ROW()-1,FALSE))</f>
        <v>9.2862522129999991</v>
      </c>
      <c r="AS220">
        <f ca="1">IF(AND(ISNUMBER($AS$668),$B$419=1),$AS$668,HLOOKUP(INDIRECT(ADDRESS(2,COLUMN())),OFFSET($BN$2,0,0,ROW()-1,60),ROW()-1,FALSE))</f>
        <v>8.5222729309999998</v>
      </c>
      <c r="AT220">
        <f ca="1">IF(AND(ISNUMBER($AT$668),$B$419=1),$AT$668,HLOOKUP(INDIRECT(ADDRESS(2,COLUMN())),OFFSET($BN$2,0,0,ROW()-1,60),ROW()-1,FALSE))</f>
        <v>8.3686100809999999</v>
      </c>
      <c r="AU220">
        <f ca="1">IF(AND(ISNUMBER($AU$668),$B$419=1),$AU$668,HLOOKUP(INDIRECT(ADDRESS(2,COLUMN())),OFFSET($BN$2,0,0,ROW()-1,60),ROW()-1,FALSE))</f>
        <v>8.5712873359999993</v>
      </c>
      <c r="AV220">
        <f ca="1">IF(AND(ISNUMBER($AV$668),$B$419=1),$AV$668,HLOOKUP(INDIRECT(ADDRESS(2,COLUMN())),OFFSET($BN$2,0,0,ROW()-1,60),ROW()-1,FALSE))</f>
        <v>8.3666456490000005</v>
      </c>
      <c r="AW220">
        <f ca="1">IF(AND(ISNUMBER($AW$668),$B$419=1),$AW$668,HLOOKUP(INDIRECT(ADDRESS(2,COLUMN())),OFFSET($BN$2,0,0,ROW()-1,60),ROW()-1,FALSE))</f>
        <v>8.309225563</v>
      </c>
      <c r="AX220">
        <f ca="1">IF(AND(ISNUMBER($AX$668),$B$419=1),$AX$668,HLOOKUP(INDIRECT(ADDRESS(2,COLUMN())),OFFSET($BN$2,0,0,ROW()-1,60),ROW()-1,FALSE))</f>
        <v>8.5652645449999998</v>
      </c>
      <c r="AY220">
        <f ca="1">IF(AND(ISNUMBER($AY$668),$B$419=1),$AY$668,HLOOKUP(INDIRECT(ADDRESS(2,COLUMN())),OFFSET($BN$2,0,0,ROW()-1,60),ROW()-1,FALSE))</f>
        <v>8.7932429800000005</v>
      </c>
      <c r="AZ220">
        <f ca="1">IF(AND(ISNUMBER($AZ$668),$B$419=1),$AZ$668,HLOOKUP(INDIRECT(ADDRESS(2,COLUMN())),OFFSET($BN$2,0,0,ROW()-1,60),ROW()-1,FALSE))</f>
        <v>8.6163823419999996</v>
      </c>
      <c r="BA220">
        <f ca="1">IF(AND(ISNUMBER($BA$668),$B$419=1),$BA$668,HLOOKUP(INDIRECT(ADDRESS(2,COLUMN())),OFFSET($BN$2,0,0,ROW()-1,60),ROW()-1,FALSE))</f>
        <v>7.9963521120000003</v>
      </c>
      <c r="BB220">
        <f ca="1">IF(AND(ISNUMBER($BB$668),$B$419=1),$BB$668,HLOOKUP(INDIRECT(ADDRESS(2,COLUMN())),OFFSET($BN$2,0,0,ROW()-1,60),ROW()-1,FALSE))</f>
        <v>8.2476108979999996</v>
      </c>
      <c r="BC220" t="str">
        <f ca="1">IF(AND(ISNUMBER($BC$668),$B$419=1),$BC$668,HLOOKUP(INDIRECT(ADDRESS(2,COLUMN())),OFFSET($BN$2,0,0,ROW()-1,60),ROW()-1,FALSE))</f>
        <v/>
      </c>
      <c r="BD220" t="str">
        <f ca="1">IF(AND(ISNUMBER($BD$668),$B$419=1),$BD$668,HLOOKUP(INDIRECT(ADDRESS(2,COLUMN())),OFFSET($BN$2,0,0,ROW()-1,60),ROW()-1,FALSE))</f>
        <v/>
      </c>
      <c r="BE220" t="str">
        <f ca="1">IF(AND(ISNUMBER($BE$668),$B$419=1),$BE$668,HLOOKUP(INDIRECT(ADDRESS(2,COLUMN())),OFFSET($BN$2,0,0,ROW()-1,60),ROW()-1,FALSE))</f>
        <v/>
      </c>
      <c r="BF220" t="str">
        <f ca="1">IF(AND(ISNUMBER($BF$668),$B$419=1),$BF$668,HLOOKUP(INDIRECT(ADDRESS(2,COLUMN())),OFFSET($BN$2,0,0,ROW()-1,60),ROW()-1,FALSE))</f>
        <v/>
      </c>
      <c r="BG220" t="str">
        <f ca="1">IF(AND(ISNUMBER($BG$668),$B$419=1),$BG$668,HLOOKUP(INDIRECT(ADDRESS(2,COLUMN())),OFFSET($BN$2,0,0,ROW()-1,60),ROW()-1,FALSE))</f>
        <v/>
      </c>
      <c r="BH220" t="str">
        <f ca="1">IF(AND(ISNUMBER($BH$668),$B$419=1),$BH$668,HLOOKUP(INDIRECT(ADDRESS(2,COLUMN())),OFFSET($BN$2,0,0,ROW()-1,60),ROW()-1,FALSE))</f>
        <v/>
      </c>
      <c r="BI220" t="str">
        <f ca="1">IF(AND(ISNUMBER($BI$668),$B$419=1),$BI$668,HLOOKUP(INDIRECT(ADDRESS(2,COLUMN())),OFFSET($BN$2,0,0,ROW()-1,60),ROW()-1,FALSE))</f>
        <v/>
      </c>
      <c r="BJ220" t="str">
        <f ca="1">IF(AND(ISNUMBER($BJ$668),$B$419=1),$BJ$668,HLOOKUP(INDIRECT(ADDRESS(2,COLUMN())),OFFSET($BN$2,0,0,ROW()-1,60),ROW()-1,FALSE))</f>
        <v/>
      </c>
      <c r="BK220" t="str">
        <f ca="1">IF(AND(ISNUMBER($BK$668),$B$419=1),$BK$668,HLOOKUP(INDIRECT(ADDRESS(2,COLUMN())),OFFSET($BN$2,0,0,ROW()-1,60),ROW()-1,FALSE))</f>
        <v/>
      </c>
      <c r="BL220" t="str">
        <f ca="1">IF(AND(ISNUMBER($BL$668),$B$419=1),$BL$668,HLOOKUP(INDIRECT(ADDRESS(2,COLUMN())),OFFSET($BN$2,0,0,ROW()-1,60),ROW()-1,FALSE))</f>
        <v/>
      </c>
      <c r="BM220" t="str">
        <f ca="1">IF(AND(ISNUMBER($BM$668),$B$419=1),$BM$668,HLOOKUP(INDIRECT(ADDRESS(2,COLUMN())),OFFSET($BN$2,0,0,ROW()-1,60),ROW()-1,FALSE))</f>
        <v/>
      </c>
      <c r="BN220" t="str">
        <f>""</f>
        <v/>
      </c>
      <c r="BO220">
        <f>6.518004326</f>
        <v>6.5180043259999998</v>
      </c>
      <c r="BP220">
        <f>6.501648272</f>
        <v>6.5016482719999997</v>
      </c>
      <c r="BQ220">
        <f>6.46820182</f>
        <v>6.46820182</v>
      </c>
      <c r="BR220">
        <f>5.0250977</f>
        <v>5.0250976999999999</v>
      </c>
      <c r="BS220">
        <f>9.301338581</f>
        <v>9.3013385809999996</v>
      </c>
      <c r="BT220">
        <f>9.078277059</f>
        <v>9.0782770589999995</v>
      </c>
      <c r="BU220">
        <f>7.555732556</f>
        <v>7.5557325559999997</v>
      </c>
      <c r="BV220">
        <f>8.089578273</f>
        <v>8.0895782730000008</v>
      </c>
      <c r="BW220">
        <f>7.918885659</f>
        <v>7.9188856589999999</v>
      </c>
      <c r="BX220">
        <f>7.824079726</f>
        <v>7.8240797259999999</v>
      </c>
      <c r="BY220">
        <f>7.936724131</f>
        <v>7.9367241310000001</v>
      </c>
      <c r="BZ220">
        <f>7.862151327</f>
        <v>7.8621513270000003</v>
      </c>
      <c r="CA220">
        <f>7.627944763</f>
        <v>7.6279447630000003</v>
      </c>
      <c r="CB220">
        <f>9.326995423</f>
        <v>9.3269954229999996</v>
      </c>
      <c r="CC220">
        <f>9.478969278</f>
        <v>9.4789692779999992</v>
      </c>
      <c r="CD220">
        <f>7.622969908</f>
        <v>7.622969908</v>
      </c>
      <c r="CE220">
        <f>9.13414907</f>
        <v>9.1341490699999994</v>
      </c>
      <c r="CF220">
        <f>9.437362784</f>
        <v>9.4373627839999994</v>
      </c>
      <c r="CG220">
        <f>9.589326973</f>
        <v>9.5893269730000004</v>
      </c>
      <c r="CH220">
        <f>7.615033744</f>
        <v>7.6150337439999998</v>
      </c>
      <c r="CI220">
        <f>9.229287974</f>
        <v>9.229287974</v>
      </c>
      <c r="CJ220">
        <f>9.407468983</f>
        <v>9.4074689829999993</v>
      </c>
      <c r="CK220">
        <f>9.462496011</f>
        <v>9.4624960110000007</v>
      </c>
      <c r="CL220">
        <f>9.135442498</f>
        <v>9.1354424979999997</v>
      </c>
      <c r="CM220">
        <f>7.352659736</f>
        <v>7.3526597359999997</v>
      </c>
      <c r="CN220">
        <f>9.810598962</f>
        <v>9.8105989620000003</v>
      </c>
      <c r="CO220">
        <f>7.530590938</f>
        <v>7.5305909379999996</v>
      </c>
      <c r="CP220">
        <f>8.025108233</f>
        <v>8.0251082329999992</v>
      </c>
      <c r="CQ220">
        <f>7.792003006</f>
        <v>7.7920030059999998</v>
      </c>
      <c r="CR220">
        <f>8.131272046</f>
        <v>8.1312720459999994</v>
      </c>
      <c r="CS220">
        <f>7.802836078</f>
        <v>7.8028360780000003</v>
      </c>
      <c r="CT220">
        <f>8.529746391</f>
        <v>8.5297463909999998</v>
      </c>
      <c r="CU220">
        <f>9.193562349</f>
        <v>9.1935623490000005</v>
      </c>
      <c r="CV220">
        <f>8.945765073</f>
        <v>8.9457650730000005</v>
      </c>
      <c r="CW220">
        <f>7.73824604</f>
        <v>7.7382460399999999</v>
      </c>
      <c r="CX220">
        <f>8.737058498</f>
        <v>8.7370584979999997</v>
      </c>
      <c r="CY220">
        <f>9.387794864</f>
        <v>9.387794864</v>
      </c>
      <c r="CZ220">
        <f>9.286252213</f>
        <v>9.2862522129999991</v>
      </c>
      <c r="DA220">
        <f>8.522272931</f>
        <v>8.5222729309999998</v>
      </c>
      <c r="DB220">
        <f>8.368610081</f>
        <v>8.3686100809999999</v>
      </c>
      <c r="DC220">
        <f>8.571287336</f>
        <v>8.5712873359999993</v>
      </c>
      <c r="DD220">
        <f>8.366645649</f>
        <v>8.3666456490000005</v>
      </c>
      <c r="DE220">
        <f>8.309225563</f>
        <v>8.309225563</v>
      </c>
      <c r="DF220">
        <f>8.565264545</f>
        <v>8.5652645449999998</v>
      </c>
      <c r="DG220">
        <f>8.79324298</f>
        <v>8.7932429800000005</v>
      </c>
      <c r="DH220">
        <f>8.616382342</f>
        <v>8.6163823419999996</v>
      </c>
      <c r="DI220">
        <f>7.996352112</f>
        <v>7.9963521120000003</v>
      </c>
      <c r="DJ220">
        <f>8.247610898</f>
        <v>8.2476108979999996</v>
      </c>
      <c r="DK220" t="str">
        <f>""</f>
        <v/>
      </c>
      <c r="DL220" t="str">
        <f>""</f>
        <v/>
      </c>
      <c r="DM220" t="str">
        <f>""</f>
        <v/>
      </c>
      <c r="DN220" t="str">
        <f>""</f>
        <v/>
      </c>
      <c r="DO220" t="str">
        <f>""</f>
        <v/>
      </c>
      <c r="DP220" t="str">
        <f>""</f>
        <v/>
      </c>
      <c r="DQ220" t="str">
        <f>""</f>
        <v/>
      </c>
      <c r="DR220" t="str">
        <f>""</f>
        <v/>
      </c>
      <c r="DS220" t="str">
        <f>""</f>
        <v/>
      </c>
      <c r="DT220" t="str">
        <f>""</f>
        <v/>
      </c>
      <c r="DU220" t="str">
        <f>""</f>
        <v/>
      </c>
    </row>
    <row r="221" spans="1:125">
      <c r="A221" t="str">
        <f>"    Retail Opportunity Investments"</f>
        <v xml:space="preserve">    Retail Opportunity Investments</v>
      </c>
      <c r="B221" t="str">
        <f>"ROIC US Equity"</f>
        <v>ROIC US Equity</v>
      </c>
      <c r="C221" t="str">
        <f t="shared" si="39"/>
        <v>RX902</v>
      </c>
      <c r="D221" t="str">
        <f t="shared" si="40"/>
        <v>ANN_NOI_GR_AST_NET_RTL_DEV_CTD_%</v>
      </c>
      <c r="E221" t="str">
        <f t="shared" si="41"/>
        <v>动态</v>
      </c>
      <c r="F221" t="str">
        <f ca="1">IF(AND(ISNUMBER($F$669),$B$419=1),$F$669,HLOOKUP(INDIRECT(ADDRESS(2,COLUMN())),OFFSET($BN$2,0,0,ROW()-1,60),ROW()-1,FALSE))</f>
        <v/>
      </c>
      <c r="G221">
        <f ca="1">IF(AND(ISNUMBER($G$669),$B$419=1),$G$669,HLOOKUP(INDIRECT(ADDRESS(2,COLUMN())),OFFSET($BN$2,0,0,ROW()-1,60),ROW()-1,FALSE))</f>
        <v>5.9249910510000001</v>
      </c>
      <c r="H221">
        <f ca="1">IF(AND(ISNUMBER($H$669),$B$419=1),$H$669,HLOOKUP(INDIRECT(ADDRESS(2,COLUMN())),OFFSET($BN$2,0,0,ROW()-1,60),ROW()-1,FALSE))</f>
        <v>5.8542283980000001</v>
      </c>
      <c r="I221">
        <f ca="1">IF(AND(ISNUMBER($I$669),$B$419=1),$I$669,HLOOKUP(INDIRECT(ADDRESS(2,COLUMN())),OFFSET($BN$2,0,0,ROW()-1,60),ROW()-1,FALSE))</f>
        <v>5.9108786579999997</v>
      </c>
      <c r="J221">
        <f ca="1">IF(AND(ISNUMBER($J$669),$B$419=1),$J$669,HLOOKUP(INDIRECT(ADDRESS(2,COLUMN())),OFFSET($BN$2,0,0,ROW()-1,60),ROW()-1,FALSE))</f>
        <v>5.7743298850000002</v>
      </c>
      <c r="K221">
        <f ca="1">IF(AND(ISNUMBER($K$669),$B$419=1),$K$669,HLOOKUP(INDIRECT(ADDRESS(2,COLUMN())),OFFSET($BN$2,0,0,ROW()-1,60),ROW()-1,FALSE))</f>
        <v>6.071589887</v>
      </c>
      <c r="L221">
        <f ca="1">IF(AND(ISNUMBER($L$669),$B$419=1),$L$669,HLOOKUP(INDIRECT(ADDRESS(2,COLUMN())),OFFSET($BN$2,0,0,ROW()-1,60),ROW()-1,FALSE))</f>
        <v>5.9921119090000001</v>
      </c>
      <c r="M221">
        <f ca="1">IF(AND(ISNUMBER($M$669),$B$419=1),$M$669,HLOOKUP(INDIRECT(ADDRESS(2,COLUMN())),OFFSET($BN$2,0,0,ROW()-1,60),ROW()-1,FALSE))</f>
        <v>5.6835447810000002</v>
      </c>
      <c r="N221">
        <f ca="1">IF(AND(ISNUMBER($N$669),$B$419=1),$N$669,HLOOKUP(INDIRECT(ADDRESS(2,COLUMN())),OFFSET($BN$2,0,0,ROW()-1,60),ROW()-1,FALSE))</f>
        <v>5.9887348380000001</v>
      </c>
      <c r="O221">
        <f ca="1">IF(AND(ISNUMBER($O$669),$B$419=1),$O$669,HLOOKUP(INDIRECT(ADDRESS(2,COLUMN())),OFFSET($BN$2,0,0,ROW()-1,60),ROW()-1,FALSE))</f>
        <v>5.7117309220000001</v>
      </c>
      <c r="P221">
        <f ca="1">IF(AND(ISNUMBER($P$669),$B$419=1),$P$669,HLOOKUP(INDIRECT(ADDRESS(2,COLUMN())),OFFSET($BN$2,0,0,ROW()-1,60),ROW()-1,FALSE))</f>
        <v>5.9082358289999997</v>
      </c>
      <c r="Q221">
        <f ca="1">IF(AND(ISNUMBER($Q$669),$B$419=1),$Q$669,HLOOKUP(INDIRECT(ADDRESS(2,COLUMN())),OFFSET($BN$2,0,0,ROW()-1,60),ROW()-1,FALSE))</f>
        <v>5.987530896</v>
      </c>
      <c r="R221" t="str">
        <f ca="1">IF(AND(ISNUMBER($R$669),$B$419=1),$R$669,HLOOKUP(INDIRECT(ADDRESS(2,COLUMN())),OFFSET($BN$2,0,0,ROW()-1,60),ROW()-1,FALSE))</f>
        <v/>
      </c>
      <c r="S221" t="str">
        <f ca="1">IF(AND(ISNUMBER($S$669),$B$419=1),$S$669,HLOOKUP(INDIRECT(ADDRESS(2,COLUMN())),OFFSET($BN$2,0,0,ROW()-1,60),ROW()-1,FALSE))</f>
        <v/>
      </c>
      <c r="T221" t="str">
        <f ca="1">IF(AND(ISNUMBER($T$669),$B$419=1),$T$669,HLOOKUP(INDIRECT(ADDRESS(2,COLUMN())),OFFSET($BN$2,0,0,ROW()-1,60),ROW()-1,FALSE))</f>
        <v/>
      </c>
      <c r="U221" t="str">
        <f ca="1">IF(AND(ISNUMBER($U$669),$B$419=1),$U$669,HLOOKUP(INDIRECT(ADDRESS(2,COLUMN())),OFFSET($BN$2,0,0,ROW()-1,60),ROW()-1,FALSE))</f>
        <v/>
      </c>
      <c r="V221" t="str">
        <f ca="1">IF(AND(ISNUMBER($V$669),$B$419=1),$V$669,HLOOKUP(INDIRECT(ADDRESS(2,COLUMN())),OFFSET($BN$2,0,0,ROW()-1,60),ROW()-1,FALSE))</f>
        <v/>
      </c>
      <c r="W221" t="str">
        <f ca="1">IF(AND(ISNUMBER($W$669),$B$419=1),$W$669,HLOOKUP(INDIRECT(ADDRESS(2,COLUMN())),OFFSET($BN$2,0,0,ROW()-1,60),ROW()-1,FALSE))</f>
        <v/>
      </c>
      <c r="X221" t="str">
        <f ca="1">IF(AND(ISNUMBER($X$669),$B$419=1),$X$669,HLOOKUP(INDIRECT(ADDRESS(2,COLUMN())),OFFSET($BN$2,0,0,ROW()-1,60),ROW()-1,FALSE))</f>
        <v/>
      </c>
      <c r="Y221" t="str">
        <f ca="1">IF(AND(ISNUMBER($Y$669),$B$419=1),$Y$669,HLOOKUP(INDIRECT(ADDRESS(2,COLUMN())),OFFSET($BN$2,0,0,ROW()-1,60),ROW()-1,FALSE))</f>
        <v/>
      </c>
      <c r="Z221" t="str">
        <f ca="1">IF(AND(ISNUMBER($Z$669),$B$419=1),$Z$669,HLOOKUP(INDIRECT(ADDRESS(2,COLUMN())),OFFSET($BN$2,0,0,ROW()-1,60),ROW()-1,FALSE))</f>
        <v/>
      </c>
      <c r="AA221" t="str">
        <f ca="1">IF(AND(ISNUMBER($AA$669),$B$419=1),$AA$669,HLOOKUP(INDIRECT(ADDRESS(2,COLUMN())),OFFSET($BN$2,0,0,ROW()-1,60),ROW()-1,FALSE))</f>
        <v/>
      </c>
      <c r="AB221" t="str">
        <f ca="1">IF(AND(ISNUMBER($AB$669),$B$419=1),$AB$669,HLOOKUP(INDIRECT(ADDRESS(2,COLUMN())),OFFSET($BN$2,0,0,ROW()-1,60),ROW()-1,FALSE))</f>
        <v/>
      </c>
      <c r="AC221" t="str">
        <f ca="1">IF(AND(ISNUMBER($AC$669),$B$419=1),$AC$669,HLOOKUP(INDIRECT(ADDRESS(2,COLUMN())),OFFSET($BN$2,0,0,ROW()-1,60),ROW()-1,FALSE))</f>
        <v/>
      </c>
      <c r="AD221" t="str">
        <f ca="1">IF(AND(ISNUMBER($AD$669),$B$419=1),$AD$669,HLOOKUP(INDIRECT(ADDRESS(2,COLUMN())),OFFSET($BN$2,0,0,ROW()-1,60),ROW()-1,FALSE))</f>
        <v/>
      </c>
      <c r="AE221" t="str">
        <f ca="1">IF(AND(ISNUMBER($AE$669),$B$419=1),$AE$669,HLOOKUP(INDIRECT(ADDRESS(2,COLUMN())),OFFSET($BN$2,0,0,ROW()-1,60),ROW()-1,FALSE))</f>
        <v/>
      </c>
      <c r="AF221" t="str">
        <f ca="1">IF(AND(ISNUMBER($AF$669),$B$419=1),$AF$669,HLOOKUP(INDIRECT(ADDRESS(2,COLUMN())),OFFSET($BN$2,0,0,ROW()-1,60),ROW()-1,FALSE))</f>
        <v/>
      </c>
      <c r="AG221" t="str">
        <f ca="1">IF(AND(ISNUMBER($AG$669),$B$419=1),$AG$669,HLOOKUP(INDIRECT(ADDRESS(2,COLUMN())),OFFSET($BN$2,0,0,ROW()-1,60),ROW()-1,FALSE))</f>
        <v/>
      </c>
      <c r="AH221" t="str">
        <f ca="1">IF(AND(ISNUMBER($AH$669),$B$419=1),$AH$669,HLOOKUP(INDIRECT(ADDRESS(2,COLUMN())),OFFSET($BN$2,0,0,ROW()-1,60),ROW()-1,FALSE))</f>
        <v/>
      </c>
      <c r="AI221" t="str">
        <f ca="1">IF(AND(ISNUMBER($AI$669),$B$419=1),$AI$669,HLOOKUP(INDIRECT(ADDRESS(2,COLUMN())),OFFSET($BN$2,0,0,ROW()-1,60),ROW()-1,FALSE))</f>
        <v/>
      </c>
      <c r="AJ221" t="str">
        <f ca="1">IF(AND(ISNUMBER($AJ$669),$B$419=1),$AJ$669,HLOOKUP(INDIRECT(ADDRESS(2,COLUMN())),OFFSET($BN$2,0,0,ROW()-1,60),ROW()-1,FALSE))</f>
        <v/>
      </c>
      <c r="AK221" t="str">
        <f ca="1">IF(AND(ISNUMBER($AK$669),$B$419=1),$AK$669,HLOOKUP(INDIRECT(ADDRESS(2,COLUMN())),OFFSET($BN$2,0,0,ROW()-1,60),ROW()-1,FALSE))</f>
        <v/>
      </c>
      <c r="AL221" t="str">
        <f ca="1">IF(AND(ISNUMBER($AL$669),$B$419=1),$AL$669,HLOOKUP(INDIRECT(ADDRESS(2,COLUMN())),OFFSET($BN$2,0,0,ROW()-1,60),ROW()-1,FALSE))</f>
        <v/>
      </c>
      <c r="AM221" t="str">
        <f ca="1">IF(AND(ISNUMBER($AM$669),$B$419=1),$AM$669,HLOOKUP(INDIRECT(ADDRESS(2,COLUMN())),OFFSET($BN$2,0,0,ROW()-1,60),ROW()-1,FALSE))</f>
        <v/>
      </c>
      <c r="AN221" t="str">
        <f ca="1">IF(AND(ISNUMBER($AN$669),$B$419=1),$AN$669,HLOOKUP(INDIRECT(ADDRESS(2,COLUMN())),OFFSET($BN$2,0,0,ROW()-1,60),ROW()-1,FALSE))</f>
        <v/>
      </c>
      <c r="AO221" t="str">
        <f ca="1">IF(AND(ISNUMBER($AO$669),$B$419=1),$AO$669,HLOOKUP(INDIRECT(ADDRESS(2,COLUMN())),OFFSET($BN$2,0,0,ROW()-1,60),ROW()-1,FALSE))</f>
        <v/>
      </c>
      <c r="AP221" t="str">
        <f ca="1">IF(AND(ISNUMBER($AP$669),$B$419=1),$AP$669,HLOOKUP(INDIRECT(ADDRESS(2,COLUMN())),OFFSET($BN$2,0,0,ROW()-1,60),ROW()-1,FALSE))</f>
        <v/>
      </c>
      <c r="AQ221" t="str">
        <f ca="1">IF(AND(ISNUMBER($AQ$669),$B$419=1),$AQ$669,HLOOKUP(INDIRECT(ADDRESS(2,COLUMN())),OFFSET($BN$2,0,0,ROW()-1,60),ROW()-1,FALSE))</f>
        <v/>
      </c>
      <c r="AR221" t="str">
        <f ca="1">IF(AND(ISNUMBER($AR$669),$B$419=1),$AR$669,HLOOKUP(INDIRECT(ADDRESS(2,COLUMN())),OFFSET($BN$2,0,0,ROW()-1,60),ROW()-1,FALSE))</f>
        <v/>
      </c>
      <c r="AS221" t="str">
        <f ca="1">IF(AND(ISNUMBER($AS$669),$B$419=1),$AS$669,HLOOKUP(INDIRECT(ADDRESS(2,COLUMN())),OFFSET($BN$2,0,0,ROW()-1,60),ROW()-1,FALSE))</f>
        <v/>
      </c>
      <c r="AT221" t="str">
        <f ca="1">IF(AND(ISNUMBER($AT$669),$B$419=1),$AT$669,HLOOKUP(INDIRECT(ADDRESS(2,COLUMN())),OFFSET($BN$2,0,0,ROW()-1,60),ROW()-1,FALSE))</f>
        <v/>
      </c>
      <c r="AU221" t="str">
        <f ca="1">IF(AND(ISNUMBER($AU$669),$B$419=1),$AU$669,HLOOKUP(INDIRECT(ADDRESS(2,COLUMN())),OFFSET($BN$2,0,0,ROW()-1,60),ROW()-1,FALSE))</f>
        <v/>
      </c>
      <c r="AV221" t="str">
        <f ca="1">IF(AND(ISNUMBER($AV$669),$B$419=1),$AV$669,HLOOKUP(INDIRECT(ADDRESS(2,COLUMN())),OFFSET($BN$2,0,0,ROW()-1,60),ROW()-1,FALSE))</f>
        <v/>
      </c>
      <c r="AW221" t="str">
        <f ca="1">IF(AND(ISNUMBER($AW$669),$B$419=1),$AW$669,HLOOKUP(INDIRECT(ADDRESS(2,COLUMN())),OFFSET($BN$2,0,0,ROW()-1,60),ROW()-1,FALSE))</f>
        <v/>
      </c>
      <c r="AX221" t="str">
        <f ca="1">IF(AND(ISNUMBER($AX$669),$B$419=1),$AX$669,HLOOKUP(INDIRECT(ADDRESS(2,COLUMN())),OFFSET($BN$2,0,0,ROW()-1,60),ROW()-1,FALSE))</f>
        <v/>
      </c>
      <c r="AY221" t="str">
        <f ca="1">IF(AND(ISNUMBER($AY$669),$B$419=1),$AY$669,HLOOKUP(INDIRECT(ADDRESS(2,COLUMN())),OFFSET($BN$2,0,0,ROW()-1,60),ROW()-1,FALSE))</f>
        <v/>
      </c>
      <c r="AZ221" t="str">
        <f ca="1">IF(AND(ISNUMBER($AZ$669),$B$419=1),$AZ$669,HLOOKUP(INDIRECT(ADDRESS(2,COLUMN())),OFFSET($BN$2,0,0,ROW()-1,60),ROW()-1,FALSE))</f>
        <v/>
      </c>
      <c r="BA221" t="str">
        <f ca="1">IF(AND(ISNUMBER($BA$669),$B$419=1),$BA$669,HLOOKUP(INDIRECT(ADDRESS(2,COLUMN())),OFFSET($BN$2,0,0,ROW()-1,60),ROW()-1,FALSE))</f>
        <v/>
      </c>
      <c r="BB221" t="str">
        <f ca="1">IF(AND(ISNUMBER($BB$669),$B$419=1),$BB$669,HLOOKUP(INDIRECT(ADDRESS(2,COLUMN())),OFFSET($BN$2,0,0,ROW()-1,60),ROW()-1,FALSE))</f>
        <v/>
      </c>
      <c r="BC221" t="str">
        <f ca="1">IF(AND(ISNUMBER($BC$669),$B$419=1),$BC$669,HLOOKUP(INDIRECT(ADDRESS(2,COLUMN())),OFFSET($BN$2,0,0,ROW()-1,60),ROW()-1,FALSE))</f>
        <v/>
      </c>
      <c r="BD221" t="str">
        <f ca="1">IF(AND(ISNUMBER($BD$669),$B$419=1),$BD$669,HLOOKUP(INDIRECT(ADDRESS(2,COLUMN())),OFFSET($BN$2,0,0,ROW()-1,60),ROW()-1,FALSE))</f>
        <v/>
      </c>
      <c r="BE221" t="str">
        <f ca="1">IF(AND(ISNUMBER($BE$669),$B$419=1),$BE$669,HLOOKUP(INDIRECT(ADDRESS(2,COLUMN())),OFFSET($BN$2,0,0,ROW()-1,60),ROW()-1,FALSE))</f>
        <v/>
      </c>
      <c r="BF221" t="str">
        <f ca="1">IF(AND(ISNUMBER($BF$669),$B$419=1),$BF$669,HLOOKUP(INDIRECT(ADDRESS(2,COLUMN())),OFFSET($BN$2,0,0,ROW()-1,60),ROW()-1,FALSE))</f>
        <v/>
      </c>
      <c r="BG221" t="str">
        <f ca="1">IF(AND(ISNUMBER($BG$669),$B$419=1),$BG$669,HLOOKUP(INDIRECT(ADDRESS(2,COLUMN())),OFFSET($BN$2,0,0,ROW()-1,60),ROW()-1,FALSE))</f>
        <v/>
      </c>
      <c r="BH221" t="str">
        <f ca="1">IF(AND(ISNUMBER($BH$669),$B$419=1),$BH$669,HLOOKUP(INDIRECT(ADDRESS(2,COLUMN())),OFFSET($BN$2,0,0,ROW()-1,60),ROW()-1,FALSE))</f>
        <v/>
      </c>
      <c r="BI221" t="str">
        <f ca="1">IF(AND(ISNUMBER($BI$669),$B$419=1),$BI$669,HLOOKUP(INDIRECT(ADDRESS(2,COLUMN())),OFFSET($BN$2,0,0,ROW()-1,60),ROW()-1,FALSE))</f>
        <v/>
      </c>
      <c r="BJ221" t="str">
        <f ca="1">IF(AND(ISNUMBER($BJ$669),$B$419=1),$BJ$669,HLOOKUP(INDIRECT(ADDRESS(2,COLUMN())),OFFSET($BN$2,0,0,ROW()-1,60),ROW()-1,FALSE))</f>
        <v/>
      </c>
      <c r="BK221" t="str">
        <f ca="1">IF(AND(ISNUMBER($BK$669),$B$419=1),$BK$669,HLOOKUP(INDIRECT(ADDRESS(2,COLUMN())),OFFSET($BN$2,0,0,ROW()-1,60),ROW()-1,FALSE))</f>
        <v/>
      </c>
      <c r="BL221" t="str">
        <f ca="1">IF(AND(ISNUMBER($BL$669),$B$419=1),$BL$669,HLOOKUP(INDIRECT(ADDRESS(2,COLUMN())),OFFSET($BN$2,0,0,ROW()-1,60),ROW()-1,FALSE))</f>
        <v/>
      </c>
      <c r="BM221" t="str">
        <f ca="1">IF(AND(ISNUMBER($BM$669),$B$419=1),$BM$669,HLOOKUP(INDIRECT(ADDRESS(2,COLUMN())),OFFSET($BN$2,0,0,ROW()-1,60),ROW()-1,FALSE))</f>
        <v/>
      </c>
      <c r="BN221" t="str">
        <f>""</f>
        <v/>
      </c>
      <c r="BO221">
        <f>5.924991051</f>
        <v>5.9249910510000001</v>
      </c>
      <c r="BP221">
        <f>5.854228398</f>
        <v>5.8542283980000001</v>
      </c>
      <c r="BQ221">
        <f>5.910878658</f>
        <v>5.9108786579999997</v>
      </c>
      <c r="BR221">
        <f>5.774329885</f>
        <v>5.7743298850000002</v>
      </c>
      <c r="BS221">
        <f>6.071589887</f>
        <v>6.071589887</v>
      </c>
      <c r="BT221">
        <f>5.992111909</f>
        <v>5.9921119090000001</v>
      </c>
      <c r="BU221">
        <f>5.683544781</f>
        <v>5.6835447810000002</v>
      </c>
      <c r="BV221">
        <f>5.988734838</f>
        <v>5.9887348380000001</v>
      </c>
      <c r="BW221">
        <f>5.711730922</f>
        <v>5.7117309220000001</v>
      </c>
      <c r="BX221">
        <f>5.908235829</f>
        <v>5.9082358289999997</v>
      </c>
      <c r="BY221">
        <f>5.987530896</f>
        <v>5.987530896</v>
      </c>
      <c r="BZ221" t="str">
        <f>""</f>
        <v/>
      </c>
      <c r="CA221" t="str">
        <f>""</f>
        <v/>
      </c>
      <c r="CB221" t="str">
        <f>""</f>
        <v/>
      </c>
      <c r="CC221" t="str">
        <f>""</f>
        <v/>
      </c>
      <c r="CD221" t="str">
        <f>""</f>
        <v/>
      </c>
      <c r="CE221" t="str">
        <f>""</f>
        <v/>
      </c>
      <c r="CF221" t="str">
        <f>""</f>
        <v/>
      </c>
      <c r="CG221" t="str">
        <f>""</f>
        <v/>
      </c>
      <c r="CH221" t="str">
        <f>""</f>
        <v/>
      </c>
      <c r="CI221" t="str">
        <f>""</f>
        <v/>
      </c>
      <c r="CJ221" t="str">
        <f>""</f>
        <v/>
      </c>
      <c r="CK221" t="str">
        <f>""</f>
        <v/>
      </c>
      <c r="CL221" t="str">
        <f>""</f>
        <v/>
      </c>
      <c r="CM221" t="str">
        <f>""</f>
        <v/>
      </c>
      <c r="CN221" t="str">
        <f>""</f>
        <v/>
      </c>
      <c r="CO221" t="str">
        <f>""</f>
        <v/>
      </c>
      <c r="CP221" t="str">
        <f>""</f>
        <v/>
      </c>
      <c r="CQ221" t="str">
        <f>""</f>
        <v/>
      </c>
      <c r="CR221" t="str">
        <f>""</f>
        <v/>
      </c>
      <c r="CS221" t="str">
        <f>""</f>
        <v/>
      </c>
      <c r="CT221" t="str">
        <f>""</f>
        <v/>
      </c>
      <c r="CU221" t="str">
        <f>""</f>
        <v/>
      </c>
      <c r="CV221" t="str">
        <f>""</f>
        <v/>
      </c>
      <c r="CW221" t="str">
        <f>""</f>
        <v/>
      </c>
      <c r="CX221" t="str">
        <f>""</f>
        <v/>
      </c>
      <c r="CY221" t="str">
        <f>""</f>
        <v/>
      </c>
      <c r="CZ221" t="str">
        <f>""</f>
        <v/>
      </c>
      <c r="DA221" t="str">
        <f>""</f>
        <v/>
      </c>
      <c r="DB221" t="str">
        <f>""</f>
        <v/>
      </c>
      <c r="DC221" t="str">
        <f>""</f>
        <v/>
      </c>
      <c r="DD221" t="str">
        <f>""</f>
        <v/>
      </c>
      <c r="DE221" t="str">
        <f>""</f>
        <v/>
      </c>
      <c r="DF221" t="str">
        <f>""</f>
        <v/>
      </c>
      <c r="DG221" t="str">
        <f>""</f>
        <v/>
      </c>
      <c r="DH221" t="str">
        <f>""</f>
        <v/>
      </c>
      <c r="DI221" t="str">
        <f>""</f>
        <v/>
      </c>
      <c r="DJ221" t="str">
        <f>""</f>
        <v/>
      </c>
      <c r="DK221" t="str">
        <f>""</f>
        <v/>
      </c>
      <c r="DL221" t="str">
        <f>""</f>
        <v/>
      </c>
      <c r="DM221" t="str">
        <f>""</f>
        <v/>
      </c>
      <c r="DN221" t="str">
        <f>""</f>
        <v/>
      </c>
      <c r="DO221" t="str">
        <f>""</f>
        <v/>
      </c>
      <c r="DP221" t="str">
        <f>""</f>
        <v/>
      </c>
      <c r="DQ221" t="str">
        <f>""</f>
        <v/>
      </c>
      <c r="DR221" t="str">
        <f>""</f>
        <v/>
      </c>
      <c r="DS221" t="str">
        <f>""</f>
        <v/>
      </c>
      <c r="DT221" t="str">
        <f>""</f>
        <v/>
      </c>
      <c r="DU221" t="str">
        <f>""</f>
        <v/>
      </c>
    </row>
    <row r="222" spans="1:125">
      <c r="A222" t="str">
        <f>"    Retail Properties of America I"</f>
        <v xml:space="preserve">    Retail Properties of America I</v>
      </c>
      <c r="B222" t="str">
        <f>"RPAI US Equity"</f>
        <v>RPAI US Equity</v>
      </c>
      <c r="C222" t="str">
        <f t="shared" si="39"/>
        <v>RX902</v>
      </c>
      <c r="D222" t="str">
        <f t="shared" si="40"/>
        <v>ANN_NOI_GR_AST_NET_RTL_DEV_CTD_%</v>
      </c>
      <c r="E222" t="str">
        <f t="shared" si="41"/>
        <v>动态</v>
      </c>
      <c r="F222" t="str">
        <f ca="1">IF(AND(ISNUMBER($F$670),$B$419=1),$F$670,HLOOKUP(INDIRECT(ADDRESS(2,COLUMN())),OFFSET($BN$2,0,0,ROW()-1,60),ROW()-1,FALSE))</f>
        <v/>
      </c>
      <c r="G222">
        <f ca="1">IF(AND(ISNUMBER($G$670),$B$419=1),$G$670,HLOOKUP(INDIRECT(ADDRESS(2,COLUMN())),OFFSET($BN$2,0,0,ROW()-1,60),ROW()-1,FALSE))</f>
        <v>6.6160341889999996</v>
      </c>
      <c r="H222">
        <f ca="1">IF(AND(ISNUMBER($H$670),$B$419=1),$H$670,HLOOKUP(INDIRECT(ADDRESS(2,COLUMN())),OFFSET($BN$2,0,0,ROW()-1,60),ROW()-1,FALSE))</f>
        <v>6.5673480069999997</v>
      </c>
      <c r="I222">
        <f ca="1">IF(AND(ISNUMBER($I$670),$B$419=1),$I$670,HLOOKUP(INDIRECT(ADDRESS(2,COLUMN())),OFFSET($BN$2,0,0,ROW()-1,60),ROW()-1,FALSE))</f>
        <v>6.6572292070000003</v>
      </c>
      <c r="J222">
        <f ca="1">IF(AND(ISNUMBER($J$670),$B$419=1),$J$670,HLOOKUP(INDIRECT(ADDRESS(2,COLUMN())),OFFSET($BN$2,0,0,ROW()-1,60),ROW()-1,FALSE))</f>
        <v>6.6456668069999996</v>
      </c>
      <c r="K222">
        <f ca="1">IF(AND(ISNUMBER($K$670),$B$419=1),$K$670,HLOOKUP(INDIRECT(ADDRESS(2,COLUMN())),OFFSET($BN$2,0,0,ROW()-1,60),ROW()-1,FALSE))</f>
        <v>6.6515543800000003</v>
      </c>
      <c r="L222">
        <f ca="1">IF(AND(ISNUMBER($L$670),$B$419=1),$L$670,HLOOKUP(INDIRECT(ADDRESS(2,COLUMN())),OFFSET($BN$2,0,0,ROW()-1,60),ROW()-1,FALSE))</f>
        <v>6.834443738</v>
      </c>
      <c r="M222">
        <f ca="1">IF(AND(ISNUMBER($M$670),$B$419=1),$M$670,HLOOKUP(INDIRECT(ADDRESS(2,COLUMN())),OFFSET($BN$2,0,0,ROW()-1,60),ROW()-1,FALSE))</f>
        <v>6.7752185579999997</v>
      </c>
      <c r="N222">
        <f ca="1">IF(AND(ISNUMBER($N$670),$B$419=1),$N$670,HLOOKUP(INDIRECT(ADDRESS(2,COLUMN())),OFFSET($BN$2,0,0,ROW()-1,60),ROW()-1,FALSE))</f>
        <v>6.7278262590000004</v>
      </c>
      <c r="O222">
        <f ca="1">IF(AND(ISNUMBER($O$670),$B$419=1),$O$670,HLOOKUP(INDIRECT(ADDRESS(2,COLUMN())),OFFSET($BN$2,0,0,ROW()-1,60),ROW()-1,FALSE))</f>
        <v>6.762039004</v>
      </c>
      <c r="P222">
        <f ca="1">IF(AND(ISNUMBER($P$670),$B$419=1),$P$670,HLOOKUP(INDIRECT(ADDRESS(2,COLUMN())),OFFSET($BN$2,0,0,ROW()-1,60),ROW()-1,FALSE))</f>
        <v>6.6983526680000001</v>
      </c>
      <c r="Q222">
        <f ca="1">IF(AND(ISNUMBER($Q$670),$B$419=1),$Q$670,HLOOKUP(INDIRECT(ADDRESS(2,COLUMN())),OFFSET($BN$2,0,0,ROW()-1,60),ROW()-1,FALSE))</f>
        <v>6.7184985319999999</v>
      </c>
      <c r="R222">
        <f ca="1">IF(AND(ISNUMBER($R$670),$B$419=1),$R$670,HLOOKUP(INDIRECT(ADDRESS(2,COLUMN())),OFFSET($BN$2,0,0,ROW()-1,60),ROW()-1,FALSE))</f>
        <v>6.6438154999999997</v>
      </c>
      <c r="S222">
        <f ca="1">IF(AND(ISNUMBER($S$670),$B$419=1),$S$670,HLOOKUP(INDIRECT(ADDRESS(2,COLUMN())),OFFSET($BN$2,0,0,ROW()-1,60),ROW()-1,FALSE))</f>
        <v>6.8246621879999996</v>
      </c>
      <c r="T222">
        <f ca="1">IF(AND(ISNUMBER($T$670),$B$419=1),$T$670,HLOOKUP(INDIRECT(ADDRESS(2,COLUMN())),OFFSET($BN$2,0,0,ROW()-1,60),ROW()-1,FALSE))</f>
        <v>6.8355786910000003</v>
      </c>
      <c r="U222">
        <f ca="1">IF(AND(ISNUMBER($U$670),$B$419=1),$U$670,HLOOKUP(INDIRECT(ADDRESS(2,COLUMN())),OFFSET($BN$2,0,0,ROW()-1,60),ROW()-1,FALSE))</f>
        <v>6.5081815389999997</v>
      </c>
      <c r="V222">
        <f ca="1">IF(AND(ISNUMBER($V$670),$B$419=1),$V$670,HLOOKUP(INDIRECT(ADDRESS(2,COLUMN())),OFFSET($BN$2,0,0,ROW()-1,60),ROW()-1,FALSE))</f>
        <v>6.6186279089999998</v>
      </c>
      <c r="W222">
        <f ca="1">IF(AND(ISNUMBER($W$670),$B$419=1),$W$670,HLOOKUP(INDIRECT(ADDRESS(2,COLUMN())),OFFSET($BN$2,0,0,ROW()-1,60),ROW()-1,FALSE))</f>
        <v>6.5667641210000003</v>
      </c>
      <c r="X222">
        <f ca="1">IF(AND(ISNUMBER($X$670),$B$419=1),$X$670,HLOOKUP(INDIRECT(ADDRESS(2,COLUMN())),OFFSET($BN$2,0,0,ROW()-1,60),ROW()-1,FALSE))</f>
        <v>6.154345781</v>
      </c>
      <c r="Y222">
        <f ca="1">IF(AND(ISNUMBER($Y$670),$B$419=1),$Y$670,HLOOKUP(INDIRECT(ADDRESS(2,COLUMN())),OFFSET($BN$2,0,0,ROW()-1,60),ROW()-1,FALSE))</f>
        <v>5.9149333869999996</v>
      </c>
      <c r="Z222">
        <f ca="1">IF(AND(ISNUMBER($Z$670),$B$419=1),$Z$670,HLOOKUP(INDIRECT(ADDRESS(2,COLUMN())),OFFSET($BN$2,0,0,ROW()-1,60),ROW()-1,FALSE))</f>
        <v>6.2079352429999997</v>
      </c>
      <c r="AA222">
        <f ca="1">IF(AND(ISNUMBER($AA$670),$B$419=1),$AA$670,HLOOKUP(INDIRECT(ADDRESS(2,COLUMN())),OFFSET($BN$2,0,0,ROW()-1,60),ROW()-1,FALSE))</f>
        <v>5.7144138059999996</v>
      </c>
      <c r="AB222">
        <f ca="1">IF(AND(ISNUMBER($AB$670),$B$419=1),$AB$670,HLOOKUP(INDIRECT(ADDRESS(2,COLUMN())),OFFSET($BN$2,0,0,ROW()-1,60),ROW()-1,FALSE))</f>
        <v>5.7492418369999996</v>
      </c>
      <c r="AC222">
        <f ca="1">IF(AND(ISNUMBER($AC$670),$B$419=1),$AC$670,HLOOKUP(INDIRECT(ADDRESS(2,COLUMN())),OFFSET($BN$2,0,0,ROW()-1,60),ROW()-1,FALSE))</f>
        <v>5.5544158250000004</v>
      </c>
      <c r="AD222">
        <f ca="1">IF(AND(ISNUMBER($AD$670),$B$419=1),$AD$670,HLOOKUP(INDIRECT(ADDRESS(2,COLUMN())),OFFSET($BN$2,0,0,ROW()-1,60),ROW()-1,FALSE))</f>
        <v>5.624871068</v>
      </c>
      <c r="AE222">
        <f ca="1">IF(AND(ISNUMBER($AE$670),$B$419=1),$AE$670,HLOOKUP(INDIRECT(ADDRESS(2,COLUMN())),OFFSET($BN$2,0,0,ROW()-1,60),ROW()-1,FALSE))</f>
        <v>5.4926662940000002</v>
      </c>
      <c r="AF222">
        <f ca="1">IF(AND(ISNUMBER($AF$670),$B$419=1),$AF$670,HLOOKUP(INDIRECT(ADDRESS(2,COLUMN())),OFFSET($BN$2,0,0,ROW()-1,60),ROW()-1,FALSE))</f>
        <v>5.8383539400000002</v>
      </c>
      <c r="AG222">
        <f ca="1">IF(AND(ISNUMBER($AG$670),$B$419=1),$AG$670,HLOOKUP(INDIRECT(ADDRESS(2,COLUMN())),OFFSET($BN$2,0,0,ROW()-1,60),ROW()-1,FALSE))</f>
        <v>5.7118159950000003</v>
      </c>
      <c r="AH222">
        <f ca="1">IF(AND(ISNUMBER($AH$670),$B$419=1),$AH$670,HLOOKUP(INDIRECT(ADDRESS(2,COLUMN())),OFFSET($BN$2,0,0,ROW()-1,60),ROW()-1,FALSE))</f>
        <v>5.778174484</v>
      </c>
      <c r="AI222" t="str">
        <f ca="1">IF(AND(ISNUMBER($AI$670),$B$419=1),$AI$670,HLOOKUP(INDIRECT(ADDRESS(2,COLUMN())),OFFSET($BN$2,0,0,ROW()-1,60),ROW()-1,FALSE))</f>
        <v/>
      </c>
      <c r="AJ222" t="str">
        <f ca="1">IF(AND(ISNUMBER($AJ$670),$B$419=1),$AJ$670,HLOOKUP(INDIRECT(ADDRESS(2,COLUMN())),OFFSET($BN$2,0,0,ROW()-1,60),ROW()-1,FALSE))</f>
        <v/>
      </c>
      <c r="AK222" t="str">
        <f ca="1">IF(AND(ISNUMBER($AK$670),$B$419=1),$AK$670,HLOOKUP(INDIRECT(ADDRESS(2,COLUMN())),OFFSET($BN$2,0,0,ROW()-1,60),ROW()-1,FALSE))</f>
        <v/>
      </c>
      <c r="AL222" t="str">
        <f ca="1">IF(AND(ISNUMBER($AL$670),$B$419=1),$AL$670,HLOOKUP(INDIRECT(ADDRESS(2,COLUMN())),OFFSET($BN$2,0,0,ROW()-1,60),ROW()-1,FALSE))</f>
        <v/>
      </c>
      <c r="AM222" t="str">
        <f ca="1">IF(AND(ISNUMBER($AM$670),$B$419=1),$AM$670,HLOOKUP(INDIRECT(ADDRESS(2,COLUMN())),OFFSET($BN$2,0,0,ROW()-1,60),ROW()-1,FALSE))</f>
        <v/>
      </c>
      <c r="AN222" t="str">
        <f ca="1">IF(AND(ISNUMBER($AN$670),$B$419=1),$AN$670,HLOOKUP(INDIRECT(ADDRESS(2,COLUMN())),OFFSET($BN$2,0,0,ROW()-1,60),ROW()-1,FALSE))</f>
        <v/>
      </c>
      <c r="AO222" t="str">
        <f ca="1">IF(AND(ISNUMBER($AO$670),$B$419=1),$AO$670,HLOOKUP(INDIRECT(ADDRESS(2,COLUMN())),OFFSET($BN$2,0,0,ROW()-1,60),ROW()-1,FALSE))</f>
        <v/>
      </c>
      <c r="AP222" t="str">
        <f ca="1">IF(AND(ISNUMBER($AP$670),$B$419=1),$AP$670,HLOOKUP(INDIRECT(ADDRESS(2,COLUMN())),OFFSET($BN$2,0,0,ROW()-1,60),ROW()-1,FALSE))</f>
        <v/>
      </c>
      <c r="AQ222" t="str">
        <f ca="1">IF(AND(ISNUMBER($AQ$670),$B$419=1),$AQ$670,HLOOKUP(INDIRECT(ADDRESS(2,COLUMN())),OFFSET($BN$2,0,0,ROW()-1,60),ROW()-1,FALSE))</f>
        <v/>
      </c>
      <c r="AR222" t="str">
        <f ca="1">IF(AND(ISNUMBER($AR$670),$B$419=1),$AR$670,HLOOKUP(INDIRECT(ADDRESS(2,COLUMN())),OFFSET($BN$2,0,0,ROW()-1,60),ROW()-1,FALSE))</f>
        <v/>
      </c>
      <c r="AS222" t="str">
        <f ca="1">IF(AND(ISNUMBER($AS$670),$B$419=1),$AS$670,HLOOKUP(INDIRECT(ADDRESS(2,COLUMN())),OFFSET($BN$2,0,0,ROW()-1,60),ROW()-1,FALSE))</f>
        <v/>
      </c>
      <c r="AT222" t="str">
        <f ca="1">IF(AND(ISNUMBER($AT$670),$B$419=1),$AT$670,HLOOKUP(INDIRECT(ADDRESS(2,COLUMN())),OFFSET($BN$2,0,0,ROW()-1,60),ROW()-1,FALSE))</f>
        <v/>
      </c>
      <c r="AU222" t="str">
        <f ca="1">IF(AND(ISNUMBER($AU$670),$B$419=1),$AU$670,HLOOKUP(INDIRECT(ADDRESS(2,COLUMN())),OFFSET($BN$2,0,0,ROW()-1,60),ROW()-1,FALSE))</f>
        <v/>
      </c>
      <c r="AV222" t="str">
        <f ca="1">IF(AND(ISNUMBER($AV$670),$B$419=1),$AV$670,HLOOKUP(INDIRECT(ADDRESS(2,COLUMN())),OFFSET($BN$2,0,0,ROW()-1,60),ROW()-1,FALSE))</f>
        <v/>
      </c>
      <c r="AW222" t="str">
        <f ca="1">IF(AND(ISNUMBER($AW$670),$B$419=1),$AW$670,HLOOKUP(INDIRECT(ADDRESS(2,COLUMN())),OFFSET($BN$2,0,0,ROW()-1,60),ROW()-1,FALSE))</f>
        <v/>
      </c>
      <c r="AX222" t="str">
        <f ca="1">IF(AND(ISNUMBER($AX$670),$B$419=1),$AX$670,HLOOKUP(INDIRECT(ADDRESS(2,COLUMN())),OFFSET($BN$2,0,0,ROW()-1,60),ROW()-1,FALSE))</f>
        <v/>
      </c>
      <c r="AY222" t="str">
        <f ca="1">IF(AND(ISNUMBER($AY$670),$B$419=1),$AY$670,HLOOKUP(INDIRECT(ADDRESS(2,COLUMN())),OFFSET($BN$2,0,0,ROW()-1,60),ROW()-1,FALSE))</f>
        <v/>
      </c>
      <c r="AZ222" t="str">
        <f ca="1">IF(AND(ISNUMBER($AZ$670),$B$419=1),$AZ$670,HLOOKUP(INDIRECT(ADDRESS(2,COLUMN())),OFFSET($BN$2,0,0,ROW()-1,60),ROW()-1,FALSE))</f>
        <v/>
      </c>
      <c r="BA222" t="str">
        <f ca="1">IF(AND(ISNUMBER($BA$670),$B$419=1),$BA$670,HLOOKUP(INDIRECT(ADDRESS(2,COLUMN())),OFFSET($BN$2,0,0,ROW()-1,60),ROW()-1,FALSE))</f>
        <v/>
      </c>
      <c r="BB222" t="str">
        <f ca="1">IF(AND(ISNUMBER($BB$670),$B$419=1),$BB$670,HLOOKUP(INDIRECT(ADDRESS(2,COLUMN())),OFFSET($BN$2,0,0,ROW()-1,60),ROW()-1,FALSE))</f>
        <v/>
      </c>
      <c r="BC222" t="str">
        <f ca="1">IF(AND(ISNUMBER($BC$670),$B$419=1),$BC$670,HLOOKUP(INDIRECT(ADDRESS(2,COLUMN())),OFFSET($BN$2,0,0,ROW()-1,60),ROW()-1,FALSE))</f>
        <v/>
      </c>
      <c r="BD222" t="str">
        <f ca="1">IF(AND(ISNUMBER($BD$670),$B$419=1),$BD$670,HLOOKUP(INDIRECT(ADDRESS(2,COLUMN())),OFFSET($BN$2,0,0,ROW()-1,60),ROW()-1,FALSE))</f>
        <v/>
      </c>
      <c r="BE222" t="str">
        <f ca="1">IF(AND(ISNUMBER($BE$670),$B$419=1),$BE$670,HLOOKUP(INDIRECT(ADDRESS(2,COLUMN())),OFFSET($BN$2,0,0,ROW()-1,60),ROW()-1,FALSE))</f>
        <v/>
      </c>
      <c r="BF222" t="str">
        <f ca="1">IF(AND(ISNUMBER($BF$670),$B$419=1),$BF$670,HLOOKUP(INDIRECT(ADDRESS(2,COLUMN())),OFFSET($BN$2,0,0,ROW()-1,60),ROW()-1,FALSE))</f>
        <v/>
      </c>
      <c r="BG222" t="str">
        <f ca="1">IF(AND(ISNUMBER($BG$670),$B$419=1),$BG$670,HLOOKUP(INDIRECT(ADDRESS(2,COLUMN())),OFFSET($BN$2,0,0,ROW()-1,60),ROW()-1,FALSE))</f>
        <v/>
      </c>
      <c r="BH222" t="str">
        <f ca="1">IF(AND(ISNUMBER($BH$670),$B$419=1),$BH$670,HLOOKUP(INDIRECT(ADDRESS(2,COLUMN())),OFFSET($BN$2,0,0,ROW()-1,60),ROW()-1,FALSE))</f>
        <v/>
      </c>
      <c r="BI222" t="str">
        <f ca="1">IF(AND(ISNUMBER($BI$670),$B$419=1),$BI$670,HLOOKUP(INDIRECT(ADDRESS(2,COLUMN())),OFFSET($BN$2,0,0,ROW()-1,60),ROW()-1,FALSE))</f>
        <v/>
      </c>
      <c r="BJ222" t="str">
        <f ca="1">IF(AND(ISNUMBER($BJ$670),$B$419=1),$BJ$670,HLOOKUP(INDIRECT(ADDRESS(2,COLUMN())),OFFSET($BN$2,0,0,ROW()-1,60),ROW()-1,FALSE))</f>
        <v/>
      </c>
      <c r="BK222" t="str">
        <f ca="1">IF(AND(ISNUMBER($BK$670),$B$419=1),$BK$670,HLOOKUP(INDIRECT(ADDRESS(2,COLUMN())),OFFSET($BN$2,0,0,ROW()-1,60),ROW()-1,FALSE))</f>
        <v/>
      </c>
      <c r="BL222" t="str">
        <f ca="1">IF(AND(ISNUMBER($BL$670),$B$419=1),$BL$670,HLOOKUP(INDIRECT(ADDRESS(2,COLUMN())),OFFSET($BN$2,0,0,ROW()-1,60),ROW()-1,FALSE))</f>
        <v/>
      </c>
      <c r="BM222" t="str">
        <f ca="1">IF(AND(ISNUMBER($BM$670),$B$419=1),$BM$670,HLOOKUP(INDIRECT(ADDRESS(2,COLUMN())),OFFSET($BN$2,0,0,ROW()-1,60),ROW()-1,FALSE))</f>
        <v/>
      </c>
      <c r="BN222" t="str">
        <f>""</f>
        <v/>
      </c>
      <c r="BO222">
        <f>6.616034189</f>
        <v>6.6160341889999996</v>
      </c>
      <c r="BP222">
        <f>6.567348007</f>
        <v>6.5673480069999997</v>
      </c>
      <c r="BQ222">
        <f>6.657229207</f>
        <v>6.6572292070000003</v>
      </c>
      <c r="BR222">
        <f>6.645666807</f>
        <v>6.6456668069999996</v>
      </c>
      <c r="BS222">
        <f>6.65155438</f>
        <v>6.6515543800000003</v>
      </c>
      <c r="BT222">
        <f>6.834443738</f>
        <v>6.834443738</v>
      </c>
      <c r="BU222">
        <f>6.775218558</f>
        <v>6.7752185579999997</v>
      </c>
      <c r="BV222">
        <f>6.727826259</f>
        <v>6.7278262590000004</v>
      </c>
      <c r="BW222">
        <f>6.762039004</f>
        <v>6.762039004</v>
      </c>
      <c r="BX222">
        <f>6.698352668</f>
        <v>6.6983526680000001</v>
      </c>
      <c r="BY222">
        <f>6.718498532</f>
        <v>6.7184985319999999</v>
      </c>
      <c r="BZ222">
        <f>6.6438155</f>
        <v>6.6438154999999997</v>
      </c>
      <c r="CA222">
        <f>6.824662188</f>
        <v>6.8246621879999996</v>
      </c>
      <c r="CB222">
        <f>6.835578691</f>
        <v>6.8355786910000003</v>
      </c>
      <c r="CC222">
        <f>6.508181539</f>
        <v>6.5081815389999997</v>
      </c>
      <c r="CD222">
        <f>6.618627909</f>
        <v>6.6186279089999998</v>
      </c>
      <c r="CE222">
        <f>6.566764121</f>
        <v>6.5667641210000003</v>
      </c>
      <c r="CF222">
        <f>6.154345781</f>
        <v>6.154345781</v>
      </c>
      <c r="CG222">
        <f>5.914933387</f>
        <v>5.9149333869999996</v>
      </c>
      <c r="CH222">
        <f>6.207935243</f>
        <v>6.2079352429999997</v>
      </c>
      <c r="CI222">
        <f>5.714413806</f>
        <v>5.7144138059999996</v>
      </c>
      <c r="CJ222">
        <f>5.749241837</f>
        <v>5.7492418369999996</v>
      </c>
      <c r="CK222">
        <f>5.554415825</f>
        <v>5.5544158250000004</v>
      </c>
      <c r="CL222">
        <f>5.624871068</f>
        <v>5.624871068</v>
      </c>
      <c r="CM222">
        <f>5.492666294</f>
        <v>5.4926662940000002</v>
      </c>
      <c r="CN222">
        <f>5.83835394</f>
        <v>5.8383539400000002</v>
      </c>
      <c r="CO222">
        <f>5.711815995</f>
        <v>5.7118159950000003</v>
      </c>
      <c r="CP222">
        <f>5.778174484</f>
        <v>5.778174484</v>
      </c>
      <c r="CQ222" t="str">
        <f>""</f>
        <v/>
      </c>
      <c r="CR222" t="str">
        <f>""</f>
        <v/>
      </c>
      <c r="CS222" t="str">
        <f>""</f>
        <v/>
      </c>
      <c r="CT222" t="str">
        <f>""</f>
        <v/>
      </c>
      <c r="CU222" t="str">
        <f>""</f>
        <v/>
      </c>
      <c r="CV222" t="str">
        <f>""</f>
        <v/>
      </c>
      <c r="CW222" t="str">
        <f>""</f>
        <v/>
      </c>
      <c r="CX222" t="str">
        <f>""</f>
        <v/>
      </c>
      <c r="CY222" t="str">
        <f>""</f>
        <v/>
      </c>
      <c r="CZ222" t="str">
        <f>""</f>
        <v/>
      </c>
      <c r="DA222" t="str">
        <f>""</f>
        <v/>
      </c>
      <c r="DB222" t="str">
        <f>""</f>
        <v/>
      </c>
      <c r="DC222" t="str">
        <f>""</f>
        <v/>
      </c>
      <c r="DD222" t="str">
        <f>""</f>
        <v/>
      </c>
      <c r="DE222" t="str">
        <f>""</f>
        <v/>
      </c>
      <c r="DF222" t="str">
        <f>""</f>
        <v/>
      </c>
      <c r="DG222" t="str">
        <f>""</f>
        <v/>
      </c>
      <c r="DH222" t="str">
        <f>""</f>
        <v/>
      </c>
      <c r="DI222" t="str">
        <f>""</f>
        <v/>
      </c>
      <c r="DJ222" t="str">
        <f>""</f>
        <v/>
      </c>
      <c r="DK222" t="str">
        <f>""</f>
        <v/>
      </c>
      <c r="DL222" t="str">
        <f>""</f>
        <v/>
      </c>
      <c r="DM222" t="str">
        <f>""</f>
        <v/>
      </c>
      <c r="DN222" t="str">
        <f>""</f>
        <v/>
      </c>
      <c r="DO222" t="str">
        <f>""</f>
        <v/>
      </c>
      <c r="DP222" t="str">
        <f>""</f>
        <v/>
      </c>
      <c r="DQ222" t="str">
        <f>""</f>
        <v/>
      </c>
      <c r="DR222" t="str">
        <f>""</f>
        <v/>
      </c>
      <c r="DS222" t="str">
        <f>""</f>
        <v/>
      </c>
      <c r="DT222" t="str">
        <f>""</f>
        <v/>
      </c>
      <c r="DU222" t="str">
        <f>""</f>
        <v/>
      </c>
    </row>
    <row r="223" spans="1:125">
      <c r="A223" t="str">
        <f>"    Simon Property Group Inc"</f>
        <v xml:space="preserve">    Simon Property Group Inc</v>
      </c>
      <c r="B223" t="str">
        <f>"SPG US Equity"</f>
        <v>SPG US Equity</v>
      </c>
      <c r="C223" t="str">
        <f t="shared" si="39"/>
        <v>RX902</v>
      </c>
      <c r="D223" t="str">
        <f t="shared" si="40"/>
        <v>ANN_NOI_GR_AST_NET_RTL_DEV_CTD_%</v>
      </c>
      <c r="E223" t="str">
        <f t="shared" si="41"/>
        <v>动态</v>
      </c>
      <c r="F223" t="str">
        <f ca="1">IF(AND(ISNUMBER($F$671),$B$419=1),$F$671,HLOOKUP(INDIRECT(ADDRESS(2,COLUMN())),OFFSET($BN$2,0,0,ROW()-1,60),ROW()-1,FALSE))</f>
        <v/>
      </c>
      <c r="G223">
        <f ca="1">IF(AND(ISNUMBER($G$671),$B$419=1),$G$671,HLOOKUP(INDIRECT(ADDRESS(2,COLUMN())),OFFSET($BN$2,0,0,ROW()-1,60),ROW()-1,FALSE))</f>
        <v>9.7735354569999995</v>
      </c>
      <c r="H223">
        <f ca="1">IF(AND(ISNUMBER($H$671),$B$419=1),$H$671,HLOOKUP(INDIRECT(ADDRESS(2,COLUMN())),OFFSET($BN$2,0,0,ROW()-1,60),ROW()-1,FALSE))</f>
        <v>9.5479781030000002</v>
      </c>
      <c r="I223">
        <f ca="1">IF(AND(ISNUMBER($I$671),$B$419=1),$I$671,HLOOKUP(INDIRECT(ADDRESS(2,COLUMN())),OFFSET($BN$2,0,0,ROW()-1,60),ROW()-1,FALSE))</f>
        <v>9.5645840349999993</v>
      </c>
      <c r="J223">
        <f ca="1">IF(AND(ISNUMBER($J$671),$B$419=1),$J$671,HLOOKUP(INDIRECT(ADDRESS(2,COLUMN())),OFFSET($BN$2,0,0,ROW()-1,60),ROW()-1,FALSE))</f>
        <v>9.4781147519999998</v>
      </c>
      <c r="K223">
        <f ca="1">IF(AND(ISNUMBER($K$671),$B$419=1),$K$671,HLOOKUP(INDIRECT(ADDRESS(2,COLUMN())),OFFSET($BN$2,0,0,ROW()-1,60),ROW()-1,FALSE))</f>
        <v>9.9518792959999995</v>
      </c>
      <c r="L223">
        <f ca="1">IF(AND(ISNUMBER($L$671),$B$419=1),$L$671,HLOOKUP(INDIRECT(ADDRESS(2,COLUMN())),OFFSET($BN$2,0,0,ROW()-1,60),ROW()-1,FALSE))</f>
        <v>9.4394530519999993</v>
      </c>
      <c r="M223">
        <f ca="1">IF(AND(ISNUMBER($M$671),$B$419=1),$M$671,HLOOKUP(INDIRECT(ADDRESS(2,COLUMN())),OFFSET($BN$2,0,0,ROW()-1,60),ROW()-1,FALSE))</f>
        <v>9.3105066510000007</v>
      </c>
      <c r="N223">
        <f ca="1">IF(AND(ISNUMBER($N$671),$B$419=1),$N$671,HLOOKUP(INDIRECT(ADDRESS(2,COLUMN())),OFFSET($BN$2,0,0,ROW()-1,60),ROW()-1,FALSE))</f>
        <v>9.5692613790000003</v>
      </c>
      <c r="O223">
        <f ca="1">IF(AND(ISNUMBER($O$671),$B$419=1),$O$671,HLOOKUP(INDIRECT(ADDRESS(2,COLUMN())),OFFSET($BN$2,0,0,ROW()-1,60),ROW()-1,FALSE))</f>
        <v>10.08845122</v>
      </c>
      <c r="P223">
        <f ca="1">IF(AND(ISNUMBER($P$671),$B$419=1),$P$671,HLOOKUP(INDIRECT(ADDRESS(2,COLUMN())),OFFSET($BN$2,0,0,ROW()-1,60),ROW()-1,FALSE))</f>
        <v>9.4803216500000005</v>
      </c>
      <c r="Q223">
        <f ca="1">IF(AND(ISNUMBER($Q$671),$B$419=1),$Q$671,HLOOKUP(INDIRECT(ADDRESS(2,COLUMN())),OFFSET($BN$2,0,0,ROW()-1,60),ROW()-1,FALSE))</f>
        <v>10.19011179</v>
      </c>
      <c r="R223">
        <f ca="1">IF(AND(ISNUMBER($R$671),$B$419=1),$R$671,HLOOKUP(INDIRECT(ADDRESS(2,COLUMN())),OFFSET($BN$2,0,0,ROW()-1,60),ROW()-1,FALSE))</f>
        <v>9.0368749039999994</v>
      </c>
      <c r="S223">
        <f ca="1">IF(AND(ISNUMBER($S$671),$B$419=1),$S$671,HLOOKUP(INDIRECT(ADDRESS(2,COLUMN())),OFFSET($BN$2,0,0,ROW()-1,60),ROW()-1,FALSE))</f>
        <v>9.8962602369999999</v>
      </c>
      <c r="T223">
        <f ca="1">IF(AND(ISNUMBER($T$671),$B$419=1),$T$671,HLOOKUP(INDIRECT(ADDRESS(2,COLUMN())),OFFSET($BN$2,0,0,ROW()-1,60),ROW()-1,FALSE))</f>
        <v>9.2878076329999999</v>
      </c>
      <c r="U223">
        <f ca="1">IF(AND(ISNUMBER($U$671),$B$419=1),$U$671,HLOOKUP(INDIRECT(ADDRESS(2,COLUMN())),OFFSET($BN$2,0,0,ROW()-1,60),ROW()-1,FALSE))</f>
        <v>8.6965841509999997</v>
      </c>
      <c r="V223">
        <f ca="1">IF(AND(ISNUMBER($V$671),$B$419=1),$V$671,HLOOKUP(INDIRECT(ADDRESS(2,COLUMN())),OFFSET($BN$2,0,0,ROW()-1,60),ROW()-1,FALSE))</f>
        <v>7.8303229950000004</v>
      </c>
      <c r="W223">
        <f ca="1">IF(AND(ISNUMBER($W$671),$B$419=1),$W$671,HLOOKUP(INDIRECT(ADDRESS(2,COLUMN())),OFFSET($BN$2,0,0,ROW()-1,60),ROW()-1,FALSE))</f>
        <v>8.4113746910000007</v>
      </c>
      <c r="X223">
        <f ca="1">IF(AND(ISNUMBER($X$671),$B$419=1),$X$671,HLOOKUP(INDIRECT(ADDRESS(2,COLUMN())),OFFSET($BN$2,0,0,ROW()-1,60),ROW()-1,FALSE))</f>
        <v>8.8492531949999993</v>
      </c>
      <c r="Y223">
        <f ca="1">IF(AND(ISNUMBER($Y$671),$B$419=1),$Y$671,HLOOKUP(INDIRECT(ADDRESS(2,COLUMN())),OFFSET($BN$2,0,0,ROW()-1,60),ROW()-1,FALSE))</f>
        <v>7.567791036</v>
      </c>
      <c r="Z223">
        <f ca="1">IF(AND(ISNUMBER($Z$671),$B$419=1),$Z$671,HLOOKUP(INDIRECT(ADDRESS(2,COLUMN())),OFFSET($BN$2,0,0,ROW()-1,60),ROW()-1,FALSE))</f>
        <v>8.5129750959999999</v>
      </c>
      <c r="AA223">
        <f ca="1">IF(AND(ISNUMBER($AA$671),$B$419=1),$AA$671,HLOOKUP(INDIRECT(ADDRESS(2,COLUMN())),OFFSET($BN$2,0,0,ROW()-1,60),ROW()-1,FALSE))</f>
        <v>9.2790455000000005</v>
      </c>
      <c r="AB223">
        <f ca="1">IF(AND(ISNUMBER($AB$671),$B$419=1),$AB$671,HLOOKUP(INDIRECT(ADDRESS(2,COLUMN())),OFFSET($BN$2,0,0,ROW()-1,60),ROW()-1,FALSE))</f>
        <v>8.5339314650000002</v>
      </c>
      <c r="AC223">
        <f ca="1">IF(AND(ISNUMBER($AC$671),$B$419=1),$AC$671,HLOOKUP(INDIRECT(ADDRESS(2,COLUMN())),OFFSET($BN$2,0,0,ROW()-1,60),ROW()-1,FALSE))</f>
        <v>8.2003956670000004</v>
      </c>
      <c r="AD223">
        <f ca="1">IF(AND(ISNUMBER($AD$671),$B$419=1),$AD$671,HLOOKUP(INDIRECT(ADDRESS(2,COLUMN())),OFFSET($BN$2,0,0,ROW()-1,60),ROW()-1,FALSE))</f>
        <v>7.846643684</v>
      </c>
      <c r="AE223">
        <f ca="1">IF(AND(ISNUMBER($AE$671),$B$419=1),$AE$671,HLOOKUP(INDIRECT(ADDRESS(2,COLUMN())),OFFSET($BN$2,0,0,ROW()-1,60),ROW()-1,FALSE))</f>
        <v>9.4378907959999996</v>
      </c>
      <c r="AF223">
        <f ca="1">IF(AND(ISNUMBER($AF$671),$B$419=1),$AF$671,HLOOKUP(INDIRECT(ADDRESS(2,COLUMN())),OFFSET($BN$2,0,0,ROW()-1,60),ROW()-1,FALSE))</f>
        <v>8.8274069399999995</v>
      </c>
      <c r="AG223">
        <f ca="1">IF(AND(ISNUMBER($AG$671),$B$419=1),$AG$671,HLOOKUP(INDIRECT(ADDRESS(2,COLUMN())),OFFSET($BN$2,0,0,ROW()-1,60),ROW()-1,FALSE))</f>
        <v>8.9522385359999994</v>
      </c>
      <c r="AH223">
        <f ca="1">IF(AND(ISNUMBER($AH$671),$B$419=1),$AH$671,HLOOKUP(INDIRECT(ADDRESS(2,COLUMN())),OFFSET($BN$2,0,0,ROW()-1,60),ROW()-1,FALSE))</f>
        <v>8.8554732919999992</v>
      </c>
      <c r="AI223">
        <f ca="1">IF(AND(ISNUMBER($AI$671),$B$419=1),$AI$671,HLOOKUP(INDIRECT(ADDRESS(2,COLUMN())),OFFSET($BN$2,0,0,ROW()-1,60),ROW()-1,FALSE))</f>
        <v>9.5967146299999992</v>
      </c>
      <c r="AJ223">
        <f ca="1">IF(AND(ISNUMBER($AJ$671),$B$419=1),$AJ$671,HLOOKUP(INDIRECT(ADDRESS(2,COLUMN())),OFFSET($BN$2,0,0,ROW()-1,60),ROW()-1,FALSE))</f>
        <v>7.9569552889999997</v>
      </c>
      <c r="AK223">
        <f ca="1">IF(AND(ISNUMBER($AK$671),$B$419=1),$AK$671,HLOOKUP(INDIRECT(ADDRESS(2,COLUMN())),OFFSET($BN$2,0,0,ROW()-1,60),ROW()-1,FALSE))</f>
        <v>8.337506694</v>
      </c>
      <c r="AL223">
        <f ca="1">IF(AND(ISNUMBER($AL$671),$B$419=1),$AL$671,HLOOKUP(INDIRECT(ADDRESS(2,COLUMN())),OFFSET($BN$2,0,0,ROW()-1,60),ROW()-1,FALSE))</f>
        <v>8.1967569109999996</v>
      </c>
      <c r="AM223">
        <f ca="1">IF(AND(ISNUMBER($AM$671),$B$419=1),$AM$671,HLOOKUP(INDIRECT(ADDRESS(2,COLUMN())),OFFSET($BN$2,0,0,ROW()-1,60),ROW()-1,FALSE))</f>
        <v>8.7628486809999995</v>
      </c>
      <c r="AN223">
        <f ca="1">IF(AND(ISNUMBER($AN$671),$B$419=1),$AN$671,HLOOKUP(INDIRECT(ADDRESS(2,COLUMN())),OFFSET($BN$2,0,0,ROW()-1,60),ROW()-1,FALSE))</f>
        <v>7.8298291359999999</v>
      </c>
      <c r="AO223">
        <f ca="1">IF(AND(ISNUMBER($AO$671),$B$419=1),$AO$671,HLOOKUP(INDIRECT(ADDRESS(2,COLUMN())),OFFSET($BN$2,0,0,ROW()-1,60),ROW()-1,FALSE))</f>
        <v>7.8226503569999997</v>
      </c>
      <c r="AP223">
        <f ca="1">IF(AND(ISNUMBER($AP$671),$B$419=1),$AP$671,HLOOKUP(INDIRECT(ADDRESS(2,COLUMN())),OFFSET($BN$2,0,0,ROW()-1,60),ROW()-1,FALSE))</f>
        <v>8.385048823</v>
      </c>
      <c r="AQ223">
        <f ca="1">IF(AND(ISNUMBER($AQ$671),$B$419=1),$AQ$671,HLOOKUP(INDIRECT(ADDRESS(2,COLUMN())),OFFSET($BN$2,0,0,ROW()-1,60),ROW()-1,FALSE))</f>
        <v>9.6888041680000008</v>
      </c>
      <c r="AR223">
        <f ca="1">IF(AND(ISNUMBER($AR$671),$B$419=1),$AR$671,HLOOKUP(INDIRECT(ADDRESS(2,COLUMN())),OFFSET($BN$2,0,0,ROW()-1,60),ROW()-1,FALSE))</f>
        <v>8.3970914519999997</v>
      </c>
      <c r="AS223">
        <f ca="1">IF(AND(ISNUMBER($AS$671),$B$419=1),$AS$671,HLOOKUP(INDIRECT(ADDRESS(2,COLUMN())),OFFSET($BN$2,0,0,ROW()-1,60),ROW()-1,FALSE))</f>
        <v>8.4144670529999992</v>
      </c>
      <c r="AT223">
        <f ca="1">IF(AND(ISNUMBER($AT$671),$B$419=1),$AT$671,HLOOKUP(INDIRECT(ADDRESS(2,COLUMN())),OFFSET($BN$2,0,0,ROW()-1,60),ROW()-1,FALSE))</f>
        <v>8.0562220539999991</v>
      </c>
      <c r="AU223">
        <f ca="1">IF(AND(ISNUMBER($AU$671),$B$419=1),$AU$671,HLOOKUP(INDIRECT(ADDRESS(2,COLUMN())),OFFSET($BN$2,0,0,ROW()-1,60),ROW()-1,FALSE))</f>
        <v>9.9020823930000006</v>
      </c>
      <c r="AV223">
        <f ca="1">IF(AND(ISNUMBER($AV$671),$B$419=1),$AV$671,HLOOKUP(INDIRECT(ADDRESS(2,COLUMN())),OFFSET($BN$2,0,0,ROW()-1,60),ROW()-1,FALSE))</f>
        <v>8.4859488800000005</v>
      </c>
      <c r="AW223">
        <f ca="1">IF(AND(ISNUMBER($AW$671),$B$419=1),$AW$671,HLOOKUP(INDIRECT(ADDRESS(2,COLUMN())),OFFSET($BN$2,0,0,ROW()-1,60),ROW()-1,FALSE))</f>
        <v>8.1688062420000005</v>
      </c>
      <c r="AX223">
        <f ca="1">IF(AND(ISNUMBER($AX$671),$B$419=1),$AX$671,HLOOKUP(INDIRECT(ADDRESS(2,COLUMN())),OFFSET($BN$2,0,0,ROW()-1,60),ROW()-1,FALSE))</f>
        <v>7.9546944860000002</v>
      </c>
      <c r="AY223">
        <f ca="1">IF(AND(ISNUMBER($AY$671),$B$419=1),$AY$671,HLOOKUP(INDIRECT(ADDRESS(2,COLUMN())),OFFSET($BN$2,0,0,ROW()-1,60),ROW()-1,FALSE))</f>
        <v>9.3009287040000004</v>
      </c>
      <c r="AZ223">
        <f ca="1">IF(AND(ISNUMBER($AZ$671),$B$419=1),$AZ$671,HLOOKUP(INDIRECT(ADDRESS(2,COLUMN())),OFFSET($BN$2,0,0,ROW()-1,60),ROW()-1,FALSE))</f>
        <v>8.5514405720000006</v>
      </c>
      <c r="BA223">
        <f ca="1">IF(AND(ISNUMBER($BA$671),$B$419=1),$BA$671,HLOOKUP(INDIRECT(ADDRESS(2,COLUMN())),OFFSET($BN$2,0,0,ROW()-1,60),ROW()-1,FALSE))</f>
        <v>8.4369802099999998</v>
      </c>
      <c r="BB223">
        <f ca="1">IF(AND(ISNUMBER($BB$671),$B$419=1),$BB$671,HLOOKUP(INDIRECT(ADDRESS(2,COLUMN())),OFFSET($BN$2,0,0,ROW()-1,60),ROW()-1,FALSE))</f>
        <v>8.2307688480000003</v>
      </c>
      <c r="BC223" t="str">
        <f ca="1">IF(AND(ISNUMBER($BC$671),$B$419=1),$BC$671,HLOOKUP(INDIRECT(ADDRESS(2,COLUMN())),OFFSET($BN$2,0,0,ROW()-1,60),ROW()-1,FALSE))</f>
        <v/>
      </c>
      <c r="BD223" t="str">
        <f ca="1">IF(AND(ISNUMBER($BD$671),$B$419=1),$BD$671,HLOOKUP(INDIRECT(ADDRESS(2,COLUMN())),OFFSET($BN$2,0,0,ROW()-1,60),ROW()-1,FALSE))</f>
        <v/>
      </c>
      <c r="BE223" t="str">
        <f ca="1">IF(AND(ISNUMBER($BE$671),$B$419=1),$BE$671,HLOOKUP(INDIRECT(ADDRESS(2,COLUMN())),OFFSET($BN$2,0,0,ROW()-1,60),ROW()-1,FALSE))</f>
        <v/>
      </c>
      <c r="BF223" t="str">
        <f ca="1">IF(AND(ISNUMBER($BF$671),$B$419=1),$BF$671,HLOOKUP(INDIRECT(ADDRESS(2,COLUMN())),OFFSET($BN$2,0,0,ROW()-1,60),ROW()-1,FALSE))</f>
        <v/>
      </c>
      <c r="BG223" t="str">
        <f ca="1">IF(AND(ISNUMBER($BG$671),$B$419=1),$BG$671,HLOOKUP(INDIRECT(ADDRESS(2,COLUMN())),OFFSET($BN$2,0,0,ROW()-1,60),ROW()-1,FALSE))</f>
        <v/>
      </c>
      <c r="BH223" t="str">
        <f ca="1">IF(AND(ISNUMBER($BH$671),$B$419=1),$BH$671,HLOOKUP(INDIRECT(ADDRESS(2,COLUMN())),OFFSET($BN$2,0,0,ROW()-1,60),ROW()-1,FALSE))</f>
        <v/>
      </c>
      <c r="BI223" t="str">
        <f ca="1">IF(AND(ISNUMBER($BI$671),$B$419=1),$BI$671,HLOOKUP(INDIRECT(ADDRESS(2,COLUMN())),OFFSET($BN$2,0,0,ROW()-1,60),ROW()-1,FALSE))</f>
        <v/>
      </c>
      <c r="BJ223" t="str">
        <f ca="1">IF(AND(ISNUMBER($BJ$671),$B$419=1),$BJ$671,HLOOKUP(INDIRECT(ADDRESS(2,COLUMN())),OFFSET($BN$2,0,0,ROW()-1,60),ROW()-1,FALSE))</f>
        <v/>
      </c>
      <c r="BK223" t="str">
        <f ca="1">IF(AND(ISNUMBER($BK$671),$B$419=1),$BK$671,HLOOKUP(INDIRECT(ADDRESS(2,COLUMN())),OFFSET($BN$2,0,0,ROW()-1,60),ROW()-1,FALSE))</f>
        <v/>
      </c>
      <c r="BL223" t="str">
        <f ca="1">IF(AND(ISNUMBER($BL$671),$B$419=1),$BL$671,HLOOKUP(INDIRECT(ADDRESS(2,COLUMN())),OFFSET($BN$2,0,0,ROW()-1,60),ROW()-1,FALSE))</f>
        <v/>
      </c>
      <c r="BM223" t="str">
        <f ca="1">IF(AND(ISNUMBER($BM$671),$B$419=1),$BM$671,HLOOKUP(INDIRECT(ADDRESS(2,COLUMN())),OFFSET($BN$2,0,0,ROW()-1,60),ROW()-1,FALSE))</f>
        <v/>
      </c>
      <c r="BN223" t="str">
        <f>""</f>
        <v/>
      </c>
      <c r="BO223">
        <f>9.773535457</f>
        <v>9.7735354569999995</v>
      </c>
      <c r="BP223">
        <f>9.547978103</f>
        <v>9.5479781030000002</v>
      </c>
      <c r="BQ223">
        <f>9.564584035</f>
        <v>9.5645840349999993</v>
      </c>
      <c r="BR223">
        <f>9.478114752</f>
        <v>9.4781147519999998</v>
      </c>
      <c r="BS223">
        <f>9.951879296</f>
        <v>9.9518792959999995</v>
      </c>
      <c r="BT223">
        <f>9.439453052</f>
        <v>9.4394530519999993</v>
      </c>
      <c r="BU223">
        <f>9.310506651</f>
        <v>9.3105066510000007</v>
      </c>
      <c r="BV223">
        <f>9.569261379</f>
        <v>9.5692613790000003</v>
      </c>
      <c r="BW223">
        <f>10.08845122</f>
        <v>10.08845122</v>
      </c>
      <c r="BX223">
        <f>9.48032165</f>
        <v>9.4803216500000005</v>
      </c>
      <c r="BY223">
        <f>10.19011179</f>
        <v>10.19011179</v>
      </c>
      <c r="BZ223">
        <f>9.036874904</f>
        <v>9.0368749039999994</v>
      </c>
      <c r="CA223">
        <f>9.896260237</f>
        <v>9.8962602369999999</v>
      </c>
      <c r="CB223">
        <f>9.287807633</f>
        <v>9.2878076329999999</v>
      </c>
      <c r="CC223">
        <f>8.696584151</f>
        <v>8.6965841509999997</v>
      </c>
      <c r="CD223">
        <f>7.830322995</f>
        <v>7.8303229950000004</v>
      </c>
      <c r="CE223">
        <f>8.411374691</f>
        <v>8.4113746910000007</v>
      </c>
      <c r="CF223">
        <f>8.849253195</f>
        <v>8.8492531949999993</v>
      </c>
      <c r="CG223">
        <f>7.567791036</f>
        <v>7.567791036</v>
      </c>
      <c r="CH223">
        <f>8.512975096</f>
        <v>8.5129750959999999</v>
      </c>
      <c r="CI223">
        <f>9.2790455</f>
        <v>9.2790455000000005</v>
      </c>
      <c r="CJ223">
        <f>8.533931465</f>
        <v>8.5339314650000002</v>
      </c>
      <c r="CK223">
        <f>8.200395667</f>
        <v>8.2003956670000004</v>
      </c>
      <c r="CL223">
        <f>7.846643684</f>
        <v>7.846643684</v>
      </c>
      <c r="CM223">
        <f>9.437890796</f>
        <v>9.4378907959999996</v>
      </c>
      <c r="CN223">
        <f>8.82740694</f>
        <v>8.8274069399999995</v>
      </c>
      <c r="CO223">
        <f>8.952238536</f>
        <v>8.9522385359999994</v>
      </c>
      <c r="CP223">
        <f>8.855473292</f>
        <v>8.8554732919999992</v>
      </c>
      <c r="CQ223">
        <f>9.59671463</f>
        <v>9.5967146299999992</v>
      </c>
      <c r="CR223">
        <f>7.956955289</f>
        <v>7.9569552889999997</v>
      </c>
      <c r="CS223">
        <f>8.337506694</f>
        <v>8.337506694</v>
      </c>
      <c r="CT223">
        <f>8.196756911</f>
        <v>8.1967569109999996</v>
      </c>
      <c r="CU223">
        <f>8.762848681</f>
        <v>8.7628486809999995</v>
      </c>
      <c r="CV223">
        <f>7.829829136</f>
        <v>7.8298291359999999</v>
      </c>
      <c r="CW223">
        <f>7.822650357</f>
        <v>7.8226503569999997</v>
      </c>
      <c r="CX223">
        <f>8.385048823</f>
        <v>8.385048823</v>
      </c>
      <c r="CY223">
        <f>9.688804168</f>
        <v>9.6888041680000008</v>
      </c>
      <c r="CZ223">
        <f>8.397091452</f>
        <v>8.3970914519999997</v>
      </c>
      <c r="DA223">
        <f>8.414467053</f>
        <v>8.4144670529999992</v>
      </c>
      <c r="DB223">
        <f>8.056222054</f>
        <v>8.0562220539999991</v>
      </c>
      <c r="DC223">
        <f>9.902082393</f>
        <v>9.9020823930000006</v>
      </c>
      <c r="DD223">
        <f>8.48594888</f>
        <v>8.4859488800000005</v>
      </c>
      <c r="DE223">
        <f>8.168806242</f>
        <v>8.1688062420000005</v>
      </c>
      <c r="DF223">
        <f>7.954694486</f>
        <v>7.9546944860000002</v>
      </c>
      <c r="DG223">
        <f>9.300928704</f>
        <v>9.3009287040000004</v>
      </c>
      <c r="DH223">
        <f>8.551440572</f>
        <v>8.5514405720000006</v>
      </c>
      <c r="DI223">
        <f>8.43698021</f>
        <v>8.4369802099999998</v>
      </c>
      <c r="DJ223">
        <f>8.230768848</f>
        <v>8.2307688480000003</v>
      </c>
      <c r="DK223" t="str">
        <f>""</f>
        <v/>
      </c>
      <c r="DL223" t="str">
        <f>""</f>
        <v/>
      </c>
      <c r="DM223" t="str">
        <f>""</f>
        <v/>
      </c>
      <c r="DN223" t="str">
        <f>""</f>
        <v/>
      </c>
      <c r="DO223" t="str">
        <f>""</f>
        <v/>
      </c>
      <c r="DP223" t="str">
        <f>""</f>
        <v/>
      </c>
      <c r="DQ223" t="str">
        <f>""</f>
        <v/>
      </c>
      <c r="DR223" t="str">
        <f>""</f>
        <v/>
      </c>
      <c r="DS223" t="str">
        <f>""</f>
        <v/>
      </c>
      <c r="DT223" t="str">
        <f>""</f>
        <v/>
      </c>
      <c r="DU223" t="str">
        <f>""</f>
        <v/>
      </c>
    </row>
    <row r="224" spans="1:125">
      <c r="A224" t="str">
        <f>"    Tanger Factory Outlet Centers"</f>
        <v xml:space="preserve">    Tanger Factory Outlet Centers</v>
      </c>
      <c r="B224" t="str">
        <f>"SKT US Equity"</f>
        <v>SKT US Equity</v>
      </c>
      <c r="C224" t="str">
        <f t="shared" si="39"/>
        <v>RX902</v>
      </c>
      <c r="D224" t="str">
        <f t="shared" si="40"/>
        <v>ANN_NOI_GR_AST_NET_RTL_DEV_CTD_%</v>
      </c>
      <c r="E224" t="str">
        <f t="shared" si="41"/>
        <v>动态</v>
      </c>
      <c r="F224" t="str">
        <f ca="1">IF(AND(ISNUMBER($F$672),$B$419=1),$F$672,HLOOKUP(INDIRECT(ADDRESS(2,COLUMN())),OFFSET($BN$2,0,0,ROW()-1,60),ROW()-1,FALSE))</f>
        <v/>
      </c>
      <c r="G224">
        <f ca="1">IF(AND(ISNUMBER($G$672),$B$419=1),$G$672,HLOOKUP(INDIRECT(ADDRESS(2,COLUMN())),OFFSET($BN$2,0,0,ROW()-1,60),ROW()-1,FALSE))</f>
        <v>9.9587690210000002</v>
      </c>
      <c r="H224">
        <f ca="1">IF(AND(ISNUMBER($H$672),$B$419=1),$H$672,HLOOKUP(INDIRECT(ADDRESS(2,COLUMN())),OFFSET($BN$2,0,0,ROW()-1,60),ROW()-1,FALSE))</f>
        <v>9.8384505420000004</v>
      </c>
      <c r="I224">
        <f ca="1">IF(AND(ISNUMBER($I$672),$B$419=1),$I$672,HLOOKUP(INDIRECT(ADDRESS(2,COLUMN())),OFFSET($BN$2,0,0,ROW()-1,60),ROW()-1,FALSE))</f>
        <v>9.618758863</v>
      </c>
      <c r="J224">
        <f ca="1">IF(AND(ISNUMBER($J$672),$B$419=1),$J$672,HLOOKUP(INDIRECT(ADDRESS(2,COLUMN())),OFFSET($BN$2,0,0,ROW()-1,60),ROW()-1,FALSE))</f>
        <v>9.4337116390000002</v>
      </c>
      <c r="K224">
        <f ca="1">IF(AND(ISNUMBER($K$672),$B$419=1),$K$672,HLOOKUP(INDIRECT(ADDRESS(2,COLUMN())),OFFSET($BN$2,0,0,ROW()-1,60),ROW()-1,FALSE))</f>
        <v>9.9315706489999993</v>
      </c>
      <c r="L224">
        <f ca="1">IF(AND(ISNUMBER($L$672),$B$419=1),$L$672,HLOOKUP(INDIRECT(ADDRESS(2,COLUMN())),OFFSET($BN$2,0,0,ROW()-1,60),ROW()-1,FALSE))</f>
        <v>9.9613137179999995</v>
      </c>
      <c r="M224">
        <f ca="1">IF(AND(ISNUMBER($M$672),$B$419=1),$M$672,HLOOKUP(INDIRECT(ADDRESS(2,COLUMN())),OFFSET($BN$2,0,0,ROW()-1,60),ROW()-1,FALSE))</f>
        <v>9.8249597949999998</v>
      </c>
      <c r="N224">
        <f ca="1">IF(AND(ISNUMBER($N$672),$B$419=1),$N$672,HLOOKUP(INDIRECT(ADDRESS(2,COLUMN())),OFFSET($BN$2,0,0,ROW()-1,60),ROW()-1,FALSE))</f>
        <v>10.22290548</v>
      </c>
      <c r="O224">
        <f ca="1">IF(AND(ISNUMBER($O$672),$B$419=1),$O$672,HLOOKUP(INDIRECT(ADDRESS(2,COLUMN())),OFFSET($BN$2,0,0,ROW()-1,60),ROW()-1,FALSE))</f>
        <v>10.00463529</v>
      </c>
      <c r="P224">
        <f ca="1">IF(AND(ISNUMBER($P$672),$B$419=1),$P$672,HLOOKUP(INDIRECT(ADDRESS(2,COLUMN())),OFFSET($BN$2,0,0,ROW()-1,60),ROW()-1,FALSE))</f>
        <v>10.60687804</v>
      </c>
      <c r="Q224">
        <f ca="1">IF(AND(ISNUMBER($Q$672),$B$419=1),$Q$672,HLOOKUP(INDIRECT(ADDRESS(2,COLUMN())),OFFSET($BN$2,0,0,ROW()-1,60),ROW()-1,FALSE))</f>
        <v>10.399174670000001</v>
      </c>
      <c r="R224">
        <f ca="1">IF(AND(ISNUMBER($R$672),$B$419=1),$R$672,HLOOKUP(INDIRECT(ADDRESS(2,COLUMN())),OFFSET($BN$2,0,0,ROW()-1,60),ROW()-1,FALSE))</f>
        <v>10.56167664</v>
      </c>
      <c r="S224">
        <f ca="1">IF(AND(ISNUMBER($S$672),$B$419=1),$S$672,HLOOKUP(INDIRECT(ADDRESS(2,COLUMN())),OFFSET($BN$2,0,0,ROW()-1,60),ROW()-1,FALSE))</f>
        <v>10.638951609999999</v>
      </c>
      <c r="T224">
        <f ca="1">IF(AND(ISNUMBER($T$672),$B$419=1),$T$672,HLOOKUP(INDIRECT(ADDRESS(2,COLUMN())),OFFSET($BN$2,0,0,ROW()-1,60),ROW()-1,FALSE))</f>
        <v>10.165019559999999</v>
      </c>
      <c r="U224">
        <f ca="1">IF(AND(ISNUMBER($U$672),$B$419=1),$U$672,HLOOKUP(INDIRECT(ADDRESS(2,COLUMN())),OFFSET($BN$2,0,0,ROW()-1,60),ROW()-1,FALSE))</f>
        <v>9.9490027919999999</v>
      </c>
      <c r="V224">
        <f ca="1">IF(AND(ISNUMBER($V$672),$B$419=1),$V$672,HLOOKUP(INDIRECT(ADDRESS(2,COLUMN())),OFFSET($BN$2,0,0,ROW()-1,60),ROW()-1,FALSE))</f>
        <v>9.8834067440000002</v>
      </c>
      <c r="W224">
        <f ca="1">IF(AND(ISNUMBER($W$672),$B$419=1),$W$672,HLOOKUP(INDIRECT(ADDRESS(2,COLUMN())),OFFSET($BN$2,0,0,ROW()-1,60),ROW()-1,FALSE))</f>
        <v>10.987690369999999</v>
      </c>
      <c r="X224">
        <f ca="1">IF(AND(ISNUMBER($X$672),$B$419=1),$X$672,HLOOKUP(INDIRECT(ADDRESS(2,COLUMN())),OFFSET($BN$2,0,0,ROW()-1,60),ROW()-1,FALSE))</f>
        <v>10.31691457</v>
      </c>
      <c r="Y224">
        <f ca="1">IF(AND(ISNUMBER($Y$672),$B$419=1),$Y$672,HLOOKUP(INDIRECT(ADDRESS(2,COLUMN())),OFFSET($BN$2,0,0,ROW()-1,60),ROW()-1,FALSE))</f>
        <v>11.29271248</v>
      </c>
      <c r="Z224">
        <f ca="1">IF(AND(ISNUMBER($Z$672),$B$419=1),$Z$672,HLOOKUP(INDIRECT(ADDRESS(2,COLUMN())),OFFSET($BN$2,0,0,ROW()-1,60),ROW()-1,FALSE))</f>
        <v>10.4616984</v>
      </c>
      <c r="AA224">
        <f ca="1">IF(AND(ISNUMBER($AA$672),$B$419=1),$AA$672,HLOOKUP(INDIRECT(ADDRESS(2,COLUMN())),OFFSET($BN$2,0,0,ROW()-1,60),ROW()-1,FALSE))</f>
        <v>11.576457810000001</v>
      </c>
      <c r="AB224">
        <f ca="1">IF(AND(ISNUMBER($AB$672),$B$419=1),$AB$672,HLOOKUP(INDIRECT(ADDRESS(2,COLUMN())),OFFSET($BN$2,0,0,ROW()-1,60),ROW()-1,FALSE))</f>
        <v>11.40750781</v>
      </c>
      <c r="AC224">
        <f ca="1">IF(AND(ISNUMBER($AC$672),$B$419=1),$AC$672,HLOOKUP(INDIRECT(ADDRESS(2,COLUMN())),OFFSET($BN$2,0,0,ROW()-1,60),ROW()-1,FALSE))</f>
        <v>10.886660320000001</v>
      </c>
      <c r="AD224">
        <f ca="1">IF(AND(ISNUMBER($AD$672),$B$419=1),$AD$672,HLOOKUP(INDIRECT(ADDRESS(2,COLUMN())),OFFSET($BN$2,0,0,ROW()-1,60),ROW()-1,FALSE))</f>
        <v>10.95101829</v>
      </c>
      <c r="AE224">
        <f ca="1">IF(AND(ISNUMBER($AE$672),$B$419=1),$AE$672,HLOOKUP(INDIRECT(ADDRESS(2,COLUMN())),OFFSET($BN$2,0,0,ROW()-1,60),ROW()-1,FALSE))</f>
        <v>11.609989219999999</v>
      </c>
      <c r="AF224">
        <f ca="1">IF(AND(ISNUMBER($AF$672),$B$419=1),$AF$672,HLOOKUP(INDIRECT(ADDRESS(2,COLUMN())),OFFSET($BN$2,0,0,ROW()-1,60),ROW()-1,FALSE))</f>
        <v>11.14322563</v>
      </c>
      <c r="AG224">
        <f ca="1">IF(AND(ISNUMBER($AG$672),$B$419=1),$AG$672,HLOOKUP(INDIRECT(ADDRESS(2,COLUMN())),OFFSET($BN$2,0,0,ROW()-1,60),ROW()-1,FALSE))</f>
        <v>10.48406851</v>
      </c>
      <c r="AH224">
        <f ca="1">IF(AND(ISNUMBER($AH$672),$B$419=1),$AH$672,HLOOKUP(INDIRECT(ADDRESS(2,COLUMN())),OFFSET($BN$2,0,0,ROW()-1,60),ROW()-1,FALSE))</f>
        <v>11.09193153</v>
      </c>
      <c r="AI224">
        <f ca="1">IF(AND(ISNUMBER($AI$672),$B$419=1),$AI$672,HLOOKUP(INDIRECT(ADDRESS(2,COLUMN())),OFFSET($BN$2,0,0,ROW()-1,60),ROW()-1,FALSE))</f>
        <v>11.547956709999999</v>
      </c>
      <c r="AJ224">
        <f ca="1">IF(AND(ISNUMBER($AJ$672),$B$419=1),$AJ$672,HLOOKUP(INDIRECT(ADDRESS(2,COLUMN())),OFFSET($BN$2,0,0,ROW()-1,60),ROW()-1,FALSE))</f>
        <v>11.28765168</v>
      </c>
      <c r="AK224">
        <f ca="1">IF(AND(ISNUMBER($AK$672),$B$419=1),$AK$672,HLOOKUP(INDIRECT(ADDRESS(2,COLUMN())),OFFSET($BN$2,0,0,ROW()-1,60),ROW()-1,FALSE))</f>
        <v>10.853028220000001</v>
      </c>
      <c r="AL224">
        <f ca="1">IF(AND(ISNUMBER($AL$672),$B$419=1),$AL$672,HLOOKUP(INDIRECT(ADDRESS(2,COLUMN())),OFFSET($BN$2,0,0,ROW()-1,60),ROW()-1,FALSE))</f>
        <v>10.932680319999999</v>
      </c>
      <c r="AM224">
        <f ca="1">IF(AND(ISNUMBER($AM$672),$B$419=1),$AM$672,HLOOKUP(INDIRECT(ADDRESS(2,COLUMN())),OFFSET($BN$2,0,0,ROW()-1,60),ROW()-1,FALSE))</f>
        <v>11.62756356</v>
      </c>
      <c r="AN224">
        <f ca="1">IF(AND(ISNUMBER($AN$672),$B$419=1),$AN$672,HLOOKUP(INDIRECT(ADDRESS(2,COLUMN())),OFFSET($BN$2,0,0,ROW()-1,60),ROW()-1,FALSE))</f>
        <v>11.45176126</v>
      </c>
      <c r="AO224">
        <f ca="1">IF(AND(ISNUMBER($AO$672),$B$419=1),$AO$672,HLOOKUP(INDIRECT(ADDRESS(2,COLUMN())),OFFSET($BN$2,0,0,ROW()-1,60),ROW()-1,FALSE))</f>
        <v>11.100375339999999</v>
      </c>
      <c r="AP224">
        <f ca="1">IF(AND(ISNUMBER($AP$672),$B$419=1),$AP$672,HLOOKUP(INDIRECT(ADDRESS(2,COLUMN())),OFFSET($BN$2,0,0,ROW()-1,60),ROW()-1,FALSE))</f>
        <v>10.91985373</v>
      </c>
      <c r="AQ224">
        <f ca="1">IF(AND(ISNUMBER($AQ$672),$B$419=1),$AQ$672,HLOOKUP(INDIRECT(ADDRESS(2,COLUMN())),OFFSET($BN$2,0,0,ROW()-1,60),ROW()-1,FALSE))</f>
        <v>12.68956405</v>
      </c>
      <c r="AR224">
        <f ca="1">IF(AND(ISNUMBER($AR$672),$B$419=1),$AR$672,HLOOKUP(INDIRECT(ADDRESS(2,COLUMN())),OFFSET($BN$2,0,0,ROW()-1,60),ROW()-1,FALSE))</f>
        <v>12.2467425</v>
      </c>
      <c r="AS224">
        <f ca="1">IF(AND(ISNUMBER($AS$672),$B$419=1),$AS$672,HLOOKUP(INDIRECT(ADDRESS(2,COLUMN())),OFFSET($BN$2,0,0,ROW()-1,60),ROW()-1,FALSE))</f>
        <v>12.324543930000001</v>
      </c>
      <c r="AT224">
        <f ca="1">IF(AND(ISNUMBER($AT$672),$B$419=1),$AT$672,HLOOKUP(INDIRECT(ADDRESS(2,COLUMN())),OFFSET($BN$2,0,0,ROW()-1,60),ROW()-1,FALSE))</f>
        <v>11.74641482</v>
      </c>
      <c r="AU224">
        <f ca="1">IF(AND(ISNUMBER($AU$672),$B$419=1),$AU$672,HLOOKUP(INDIRECT(ADDRESS(2,COLUMN())),OFFSET($BN$2,0,0,ROW()-1,60),ROW()-1,FALSE))</f>
        <v>12.78216072</v>
      </c>
      <c r="AV224">
        <f ca="1">IF(AND(ISNUMBER($AV$672),$B$419=1),$AV$672,HLOOKUP(INDIRECT(ADDRESS(2,COLUMN())),OFFSET($BN$2,0,0,ROW()-1,60),ROW()-1,FALSE))</f>
        <v>12.21449702</v>
      </c>
      <c r="AW224">
        <f ca="1">IF(AND(ISNUMBER($AW$672),$B$419=1),$AW$672,HLOOKUP(INDIRECT(ADDRESS(2,COLUMN())),OFFSET($BN$2,0,0,ROW()-1,60),ROW()-1,FALSE))</f>
        <v>11.706771399999999</v>
      </c>
      <c r="AX224">
        <f ca="1">IF(AND(ISNUMBER($AX$672),$B$419=1),$AX$672,HLOOKUP(INDIRECT(ADDRESS(2,COLUMN())),OFFSET($BN$2,0,0,ROW()-1,60),ROW()-1,FALSE))</f>
        <v>11.291063449999999</v>
      </c>
      <c r="AY224">
        <f ca="1">IF(AND(ISNUMBER($AY$672),$B$419=1),$AY$672,HLOOKUP(INDIRECT(ADDRESS(2,COLUMN())),OFFSET($BN$2,0,0,ROW()-1,60),ROW()-1,FALSE))</f>
        <v>11.264694</v>
      </c>
      <c r="AZ224">
        <f ca="1">IF(AND(ISNUMBER($AZ$672),$B$419=1),$AZ$672,HLOOKUP(INDIRECT(ADDRESS(2,COLUMN())),OFFSET($BN$2,0,0,ROW()-1,60),ROW()-1,FALSE))</f>
        <v>10.972927800000001</v>
      </c>
      <c r="BA224">
        <f ca="1">IF(AND(ISNUMBER($BA$672),$B$419=1),$BA$672,HLOOKUP(INDIRECT(ADDRESS(2,COLUMN())),OFFSET($BN$2,0,0,ROW()-1,60),ROW()-1,FALSE))</f>
        <v>11.23449331</v>
      </c>
      <c r="BB224">
        <f ca="1">IF(AND(ISNUMBER($BB$672),$B$419=1),$BB$672,HLOOKUP(INDIRECT(ADDRESS(2,COLUMN())),OFFSET($BN$2,0,0,ROW()-1,60),ROW()-1,FALSE))</f>
        <v>10.723654290000001</v>
      </c>
      <c r="BC224" t="str">
        <f ca="1">IF(AND(ISNUMBER($BC$672),$B$419=1),$BC$672,HLOOKUP(INDIRECT(ADDRESS(2,COLUMN())),OFFSET($BN$2,0,0,ROW()-1,60),ROW()-1,FALSE))</f>
        <v/>
      </c>
      <c r="BD224" t="str">
        <f ca="1">IF(AND(ISNUMBER($BD$672),$B$419=1),$BD$672,HLOOKUP(INDIRECT(ADDRESS(2,COLUMN())),OFFSET($BN$2,0,0,ROW()-1,60),ROW()-1,FALSE))</f>
        <v/>
      </c>
      <c r="BE224" t="str">
        <f ca="1">IF(AND(ISNUMBER($BE$672),$B$419=1),$BE$672,HLOOKUP(INDIRECT(ADDRESS(2,COLUMN())),OFFSET($BN$2,0,0,ROW()-1,60),ROW()-1,FALSE))</f>
        <v/>
      </c>
      <c r="BF224" t="str">
        <f ca="1">IF(AND(ISNUMBER($BF$672),$B$419=1),$BF$672,HLOOKUP(INDIRECT(ADDRESS(2,COLUMN())),OFFSET($BN$2,0,0,ROW()-1,60),ROW()-1,FALSE))</f>
        <v/>
      </c>
      <c r="BG224" t="str">
        <f ca="1">IF(AND(ISNUMBER($BG$672),$B$419=1),$BG$672,HLOOKUP(INDIRECT(ADDRESS(2,COLUMN())),OFFSET($BN$2,0,0,ROW()-1,60),ROW()-1,FALSE))</f>
        <v/>
      </c>
      <c r="BH224" t="str">
        <f ca="1">IF(AND(ISNUMBER($BH$672),$B$419=1),$BH$672,HLOOKUP(INDIRECT(ADDRESS(2,COLUMN())),OFFSET($BN$2,0,0,ROW()-1,60),ROW()-1,FALSE))</f>
        <v/>
      </c>
      <c r="BI224" t="str">
        <f ca="1">IF(AND(ISNUMBER($BI$672),$B$419=1),$BI$672,HLOOKUP(INDIRECT(ADDRESS(2,COLUMN())),OFFSET($BN$2,0,0,ROW()-1,60),ROW()-1,FALSE))</f>
        <v/>
      </c>
      <c r="BJ224" t="str">
        <f ca="1">IF(AND(ISNUMBER($BJ$672),$B$419=1),$BJ$672,HLOOKUP(INDIRECT(ADDRESS(2,COLUMN())),OFFSET($BN$2,0,0,ROW()-1,60),ROW()-1,FALSE))</f>
        <v/>
      </c>
      <c r="BK224" t="str">
        <f ca="1">IF(AND(ISNUMBER($BK$672),$B$419=1),$BK$672,HLOOKUP(INDIRECT(ADDRESS(2,COLUMN())),OFFSET($BN$2,0,0,ROW()-1,60),ROW()-1,FALSE))</f>
        <v/>
      </c>
      <c r="BL224" t="str">
        <f ca="1">IF(AND(ISNUMBER($BL$672),$B$419=1),$BL$672,HLOOKUP(INDIRECT(ADDRESS(2,COLUMN())),OFFSET($BN$2,0,0,ROW()-1,60),ROW()-1,FALSE))</f>
        <v/>
      </c>
      <c r="BM224" t="str">
        <f ca="1">IF(AND(ISNUMBER($BM$672),$B$419=1),$BM$672,HLOOKUP(INDIRECT(ADDRESS(2,COLUMN())),OFFSET($BN$2,0,0,ROW()-1,60),ROW()-1,FALSE))</f>
        <v/>
      </c>
      <c r="BN224" t="str">
        <f>""</f>
        <v/>
      </c>
      <c r="BO224">
        <f>9.958769021</f>
        <v>9.9587690210000002</v>
      </c>
      <c r="BP224">
        <f>9.838450542</f>
        <v>9.8384505420000004</v>
      </c>
      <c r="BQ224">
        <f>9.618758863</f>
        <v>9.618758863</v>
      </c>
      <c r="BR224">
        <f>9.433711639</f>
        <v>9.4337116390000002</v>
      </c>
      <c r="BS224">
        <f>9.931570649</f>
        <v>9.9315706489999993</v>
      </c>
      <c r="BT224">
        <f>9.961313718</f>
        <v>9.9613137179999995</v>
      </c>
      <c r="BU224">
        <f>9.824959795</f>
        <v>9.8249597949999998</v>
      </c>
      <c r="BV224">
        <f>10.22290548</f>
        <v>10.22290548</v>
      </c>
      <c r="BW224">
        <f>10.00463529</f>
        <v>10.00463529</v>
      </c>
      <c r="BX224">
        <f>10.60687804</f>
        <v>10.60687804</v>
      </c>
      <c r="BY224">
        <f>10.39917467</f>
        <v>10.399174670000001</v>
      </c>
      <c r="BZ224">
        <f>10.56167664</f>
        <v>10.56167664</v>
      </c>
      <c r="CA224">
        <f>10.63895161</f>
        <v>10.638951609999999</v>
      </c>
      <c r="CB224">
        <f>10.16501956</f>
        <v>10.165019559999999</v>
      </c>
      <c r="CC224">
        <f>9.949002792</f>
        <v>9.9490027919999999</v>
      </c>
      <c r="CD224">
        <f>9.883406744</f>
        <v>9.8834067440000002</v>
      </c>
      <c r="CE224">
        <f>10.98769037</f>
        <v>10.987690369999999</v>
      </c>
      <c r="CF224">
        <f>10.31691457</f>
        <v>10.31691457</v>
      </c>
      <c r="CG224">
        <f>11.29271248</f>
        <v>11.29271248</v>
      </c>
      <c r="CH224">
        <f>10.4616984</f>
        <v>10.4616984</v>
      </c>
      <c r="CI224">
        <f>11.57645781</f>
        <v>11.576457810000001</v>
      </c>
      <c r="CJ224">
        <f>11.40750781</f>
        <v>11.40750781</v>
      </c>
      <c r="CK224">
        <f>10.88666032</f>
        <v>10.886660320000001</v>
      </c>
      <c r="CL224">
        <f>10.95101829</f>
        <v>10.95101829</v>
      </c>
      <c r="CM224">
        <f>11.60998922</f>
        <v>11.609989219999999</v>
      </c>
      <c r="CN224">
        <f>11.14322563</f>
        <v>11.14322563</v>
      </c>
      <c r="CO224">
        <f>10.48406851</f>
        <v>10.48406851</v>
      </c>
      <c r="CP224">
        <f>11.09193153</f>
        <v>11.09193153</v>
      </c>
      <c r="CQ224">
        <f>11.54795671</f>
        <v>11.547956709999999</v>
      </c>
      <c r="CR224">
        <f>11.28765168</f>
        <v>11.28765168</v>
      </c>
      <c r="CS224">
        <f>10.85302822</f>
        <v>10.853028220000001</v>
      </c>
      <c r="CT224">
        <f>10.93268032</f>
        <v>10.932680319999999</v>
      </c>
      <c r="CU224">
        <f>11.62756356</f>
        <v>11.62756356</v>
      </c>
      <c r="CV224">
        <f>11.45176126</f>
        <v>11.45176126</v>
      </c>
      <c r="CW224">
        <f>11.10037534</f>
        <v>11.100375339999999</v>
      </c>
      <c r="CX224">
        <f>10.91985373</f>
        <v>10.91985373</v>
      </c>
      <c r="CY224">
        <f>12.68956405</f>
        <v>12.68956405</v>
      </c>
      <c r="CZ224">
        <f>12.2467425</f>
        <v>12.2467425</v>
      </c>
      <c r="DA224">
        <f>12.32454393</f>
        <v>12.324543930000001</v>
      </c>
      <c r="DB224">
        <f>11.74641482</f>
        <v>11.74641482</v>
      </c>
      <c r="DC224">
        <f>12.78216072</f>
        <v>12.78216072</v>
      </c>
      <c r="DD224">
        <f>12.21449702</f>
        <v>12.21449702</v>
      </c>
      <c r="DE224">
        <f>11.7067714</f>
        <v>11.706771399999999</v>
      </c>
      <c r="DF224">
        <f>11.29106345</f>
        <v>11.291063449999999</v>
      </c>
      <c r="DG224">
        <f>11.264694</f>
        <v>11.264694</v>
      </c>
      <c r="DH224">
        <f>10.9729278</f>
        <v>10.972927800000001</v>
      </c>
      <c r="DI224">
        <f>11.23449331</f>
        <v>11.23449331</v>
      </c>
      <c r="DJ224">
        <f>10.72365429</f>
        <v>10.723654290000001</v>
      </c>
      <c r="DK224" t="str">
        <f>""</f>
        <v/>
      </c>
      <c r="DL224" t="str">
        <f>""</f>
        <v/>
      </c>
      <c r="DM224" t="str">
        <f>""</f>
        <v/>
      </c>
      <c r="DN224" t="str">
        <f>""</f>
        <v/>
      </c>
      <c r="DO224" t="str">
        <f>""</f>
        <v/>
      </c>
      <c r="DP224" t="str">
        <f>""</f>
        <v/>
      </c>
      <c r="DQ224" t="str">
        <f>""</f>
        <v/>
      </c>
      <c r="DR224" t="str">
        <f>""</f>
        <v/>
      </c>
      <c r="DS224" t="str">
        <f>""</f>
        <v/>
      </c>
      <c r="DT224" t="str">
        <f>""</f>
        <v/>
      </c>
      <c r="DU224" t="str">
        <f>""</f>
        <v/>
      </c>
    </row>
    <row r="225" spans="1:125">
      <c r="A225" t="str">
        <f>"    VEREIT Inc"</f>
        <v xml:space="preserve">    VEREIT Inc</v>
      </c>
      <c r="B225" t="str">
        <f>"VER US Equity"</f>
        <v>VER US Equity</v>
      </c>
      <c r="C225" t="str">
        <f t="shared" si="39"/>
        <v>RX902</v>
      </c>
      <c r="D225" t="str">
        <f t="shared" si="40"/>
        <v>ANN_NOI_GR_AST_NET_RTL_DEV_CTD_%</v>
      </c>
      <c r="E225" t="str">
        <f t="shared" si="41"/>
        <v>动态</v>
      </c>
      <c r="F225" t="str">
        <f ca="1">IF(AND(ISNUMBER($F$673),$B$419=1),$F$673,HLOOKUP(INDIRECT(ADDRESS(2,COLUMN())),OFFSET($BN$2,0,0,ROW()-1,60),ROW()-1,FALSE))</f>
        <v/>
      </c>
      <c r="G225" t="str">
        <f ca="1">IF(AND(ISNUMBER($G$673),$B$419=1),$G$673,HLOOKUP(INDIRECT(ADDRESS(2,COLUMN())),OFFSET($BN$2,0,0,ROW()-1,60),ROW()-1,FALSE))</f>
        <v/>
      </c>
      <c r="H225" t="str">
        <f ca="1">IF(AND(ISNUMBER($H$673),$B$419=1),$H$673,HLOOKUP(INDIRECT(ADDRESS(2,COLUMN())),OFFSET($BN$2,0,0,ROW()-1,60),ROW()-1,FALSE))</f>
        <v/>
      </c>
      <c r="I225" t="str">
        <f ca="1">IF(AND(ISNUMBER($I$673),$B$419=1),$I$673,HLOOKUP(INDIRECT(ADDRESS(2,COLUMN())),OFFSET($BN$2,0,0,ROW()-1,60),ROW()-1,FALSE))</f>
        <v/>
      </c>
      <c r="J225" t="str">
        <f ca="1">IF(AND(ISNUMBER($J$673),$B$419=1),$J$673,HLOOKUP(INDIRECT(ADDRESS(2,COLUMN())),OFFSET($BN$2,0,0,ROW()-1,60),ROW()-1,FALSE))</f>
        <v/>
      </c>
      <c r="K225" t="str">
        <f ca="1">IF(AND(ISNUMBER($K$673),$B$419=1),$K$673,HLOOKUP(INDIRECT(ADDRESS(2,COLUMN())),OFFSET($BN$2,0,0,ROW()-1,60),ROW()-1,FALSE))</f>
        <v/>
      </c>
      <c r="L225" t="str">
        <f ca="1">IF(AND(ISNUMBER($L$673),$B$419=1),$L$673,HLOOKUP(INDIRECT(ADDRESS(2,COLUMN())),OFFSET($BN$2,0,0,ROW()-1,60),ROW()-1,FALSE))</f>
        <v/>
      </c>
      <c r="M225" t="str">
        <f ca="1">IF(AND(ISNUMBER($M$673),$B$419=1),$M$673,HLOOKUP(INDIRECT(ADDRESS(2,COLUMN())),OFFSET($BN$2,0,0,ROW()-1,60),ROW()-1,FALSE))</f>
        <v/>
      </c>
      <c r="N225" t="str">
        <f ca="1">IF(AND(ISNUMBER($N$673),$B$419=1),$N$673,HLOOKUP(INDIRECT(ADDRESS(2,COLUMN())),OFFSET($BN$2,0,0,ROW()-1,60),ROW()-1,FALSE))</f>
        <v/>
      </c>
      <c r="O225" t="str">
        <f ca="1">IF(AND(ISNUMBER($O$673),$B$419=1),$O$673,HLOOKUP(INDIRECT(ADDRESS(2,COLUMN())),OFFSET($BN$2,0,0,ROW()-1,60),ROW()-1,FALSE))</f>
        <v/>
      </c>
      <c r="P225" t="str">
        <f ca="1">IF(AND(ISNUMBER($P$673),$B$419=1),$P$673,HLOOKUP(INDIRECT(ADDRESS(2,COLUMN())),OFFSET($BN$2,0,0,ROW()-1,60),ROW()-1,FALSE))</f>
        <v/>
      </c>
      <c r="Q225" t="str">
        <f ca="1">IF(AND(ISNUMBER($Q$673),$B$419=1),$Q$673,HLOOKUP(INDIRECT(ADDRESS(2,COLUMN())),OFFSET($BN$2,0,0,ROW()-1,60),ROW()-1,FALSE))</f>
        <v/>
      </c>
      <c r="R225" t="str">
        <f ca="1">IF(AND(ISNUMBER($R$673),$B$419=1),$R$673,HLOOKUP(INDIRECT(ADDRESS(2,COLUMN())),OFFSET($BN$2,0,0,ROW()-1,60),ROW()-1,FALSE))</f>
        <v/>
      </c>
      <c r="S225" t="str">
        <f ca="1">IF(AND(ISNUMBER($S$673),$B$419=1),$S$673,HLOOKUP(INDIRECT(ADDRESS(2,COLUMN())),OFFSET($BN$2,0,0,ROW()-1,60),ROW()-1,FALSE))</f>
        <v/>
      </c>
      <c r="T225" t="str">
        <f ca="1">IF(AND(ISNUMBER($T$673),$B$419=1),$T$673,HLOOKUP(INDIRECT(ADDRESS(2,COLUMN())),OFFSET($BN$2,0,0,ROW()-1,60),ROW()-1,FALSE))</f>
        <v/>
      </c>
      <c r="U225" t="str">
        <f ca="1">IF(AND(ISNUMBER($U$673),$B$419=1),$U$673,HLOOKUP(INDIRECT(ADDRESS(2,COLUMN())),OFFSET($BN$2,0,0,ROW()-1,60),ROW()-1,FALSE))</f>
        <v/>
      </c>
      <c r="V225" t="str">
        <f ca="1">IF(AND(ISNUMBER($V$673),$B$419=1),$V$673,HLOOKUP(INDIRECT(ADDRESS(2,COLUMN())),OFFSET($BN$2,0,0,ROW()-1,60),ROW()-1,FALSE))</f>
        <v/>
      </c>
      <c r="W225" t="str">
        <f ca="1">IF(AND(ISNUMBER($W$673),$B$419=1),$W$673,HLOOKUP(INDIRECT(ADDRESS(2,COLUMN())),OFFSET($BN$2,0,0,ROW()-1,60),ROW()-1,FALSE))</f>
        <v/>
      </c>
      <c r="X225" t="str">
        <f ca="1">IF(AND(ISNUMBER($X$673),$B$419=1),$X$673,HLOOKUP(INDIRECT(ADDRESS(2,COLUMN())),OFFSET($BN$2,0,0,ROW()-1,60),ROW()-1,FALSE))</f>
        <v/>
      </c>
      <c r="Y225" t="str">
        <f ca="1">IF(AND(ISNUMBER($Y$673),$B$419=1),$Y$673,HLOOKUP(INDIRECT(ADDRESS(2,COLUMN())),OFFSET($BN$2,0,0,ROW()-1,60),ROW()-1,FALSE))</f>
        <v/>
      </c>
      <c r="Z225" t="str">
        <f ca="1">IF(AND(ISNUMBER($Z$673),$B$419=1),$Z$673,HLOOKUP(INDIRECT(ADDRESS(2,COLUMN())),OFFSET($BN$2,0,0,ROW()-1,60),ROW()-1,FALSE))</f>
        <v/>
      </c>
      <c r="AA225" t="str">
        <f ca="1">IF(AND(ISNUMBER($AA$673),$B$419=1),$AA$673,HLOOKUP(INDIRECT(ADDRESS(2,COLUMN())),OFFSET($BN$2,0,0,ROW()-1,60),ROW()-1,FALSE))</f>
        <v/>
      </c>
      <c r="AB225" t="str">
        <f ca="1">IF(AND(ISNUMBER($AB$673),$B$419=1),$AB$673,HLOOKUP(INDIRECT(ADDRESS(2,COLUMN())),OFFSET($BN$2,0,0,ROW()-1,60),ROW()-1,FALSE))</f>
        <v/>
      </c>
      <c r="AC225" t="str">
        <f ca="1">IF(AND(ISNUMBER($AC$673),$B$419=1),$AC$673,HLOOKUP(INDIRECT(ADDRESS(2,COLUMN())),OFFSET($BN$2,0,0,ROW()-1,60),ROW()-1,FALSE))</f>
        <v/>
      </c>
      <c r="AD225" t="str">
        <f ca="1">IF(AND(ISNUMBER($AD$673),$B$419=1),$AD$673,HLOOKUP(INDIRECT(ADDRESS(2,COLUMN())),OFFSET($BN$2,0,0,ROW()-1,60),ROW()-1,FALSE))</f>
        <v/>
      </c>
      <c r="AE225" t="str">
        <f ca="1">IF(AND(ISNUMBER($AE$673),$B$419=1),$AE$673,HLOOKUP(INDIRECT(ADDRESS(2,COLUMN())),OFFSET($BN$2,0,0,ROW()-1,60),ROW()-1,FALSE))</f>
        <v/>
      </c>
      <c r="AF225" t="str">
        <f ca="1">IF(AND(ISNUMBER($AF$673),$B$419=1),$AF$673,HLOOKUP(INDIRECT(ADDRESS(2,COLUMN())),OFFSET($BN$2,0,0,ROW()-1,60),ROW()-1,FALSE))</f>
        <v/>
      </c>
      <c r="AG225" t="str">
        <f ca="1">IF(AND(ISNUMBER($AG$673),$B$419=1),$AG$673,HLOOKUP(INDIRECT(ADDRESS(2,COLUMN())),OFFSET($BN$2,0,0,ROW()-1,60),ROW()-1,FALSE))</f>
        <v/>
      </c>
      <c r="AH225" t="str">
        <f ca="1">IF(AND(ISNUMBER($AH$673),$B$419=1),$AH$673,HLOOKUP(INDIRECT(ADDRESS(2,COLUMN())),OFFSET($BN$2,0,0,ROW()-1,60),ROW()-1,FALSE))</f>
        <v/>
      </c>
      <c r="AI225" t="str">
        <f ca="1">IF(AND(ISNUMBER($AI$673),$B$419=1),$AI$673,HLOOKUP(INDIRECT(ADDRESS(2,COLUMN())),OFFSET($BN$2,0,0,ROW()-1,60),ROW()-1,FALSE))</f>
        <v/>
      </c>
      <c r="AJ225" t="str">
        <f ca="1">IF(AND(ISNUMBER($AJ$673),$B$419=1),$AJ$673,HLOOKUP(INDIRECT(ADDRESS(2,COLUMN())),OFFSET($BN$2,0,0,ROW()-1,60),ROW()-1,FALSE))</f>
        <v/>
      </c>
      <c r="AK225" t="str">
        <f ca="1">IF(AND(ISNUMBER($AK$673),$B$419=1),$AK$673,HLOOKUP(INDIRECT(ADDRESS(2,COLUMN())),OFFSET($BN$2,0,0,ROW()-1,60),ROW()-1,FALSE))</f>
        <v/>
      </c>
      <c r="AL225" t="str">
        <f ca="1">IF(AND(ISNUMBER($AL$673),$B$419=1),$AL$673,HLOOKUP(INDIRECT(ADDRESS(2,COLUMN())),OFFSET($BN$2,0,0,ROW()-1,60),ROW()-1,FALSE))</f>
        <v/>
      </c>
      <c r="AM225" t="str">
        <f ca="1">IF(AND(ISNUMBER($AM$673),$B$419=1),$AM$673,HLOOKUP(INDIRECT(ADDRESS(2,COLUMN())),OFFSET($BN$2,0,0,ROW()-1,60),ROW()-1,FALSE))</f>
        <v/>
      </c>
      <c r="AN225" t="str">
        <f ca="1">IF(AND(ISNUMBER($AN$673),$B$419=1),$AN$673,HLOOKUP(INDIRECT(ADDRESS(2,COLUMN())),OFFSET($BN$2,0,0,ROW()-1,60),ROW()-1,FALSE))</f>
        <v/>
      </c>
      <c r="AO225" t="str">
        <f ca="1">IF(AND(ISNUMBER($AO$673),$B$419=1),$AO$673,HLOOKUP(INDIRECT(ADDRESS(2,COLUMN())),OFFSET($BN$2,0,0,ROW()-1,60),ROW()-1,FALSE))</f>
        <v/>
      </c>
      <c r="AP225" t="str">
        <f ca="1">IF(AND(ISNUMBER($AP$673),$B$419=1),$AP$673,HLOOKUP(INDIRECT(ADDRESS(2,COLUMN())),OFFSET($BN$2,0,0,ROW()-1,60),ROW()-1,FALSE))</f>
        <v/>
      </c>
      <c r="AQ225" t="str">
        <f ca="1">IF(AND(ISNUMBER($AQ$673),$B$419=1),$AQ$673,HLOOKUP(INDIRECT(ADDRESS(2,COLUMN())),OFFSET($BN$2,0,0,ROW()-1,60),ROW()-1,FALSE))</f>
        <v/>
      </c>
      <c r="AR225" t="str">
        <f ca="1">IF(AND(ISNUMBER($AR$673),$B$419=1),$AR$673,HLOOKUP(INDIRECT(ADDRESS(2,COLUMN())),OFFSET($BN$2,0,0,ROW()-1,60),ROW()-1,FALSE))</f>
        <v/>
      </c>
      <c r="AS225" t="str">
        <f ca="1">IF(AND(ISNUMBER($AS$673),$B$419=1),$AS$673,HLOOKUP(INDIRECT(ADDRESS(2,COLUMN())),OFFSET($BN$2,0,0,ROW()-1,60),ROW()-1,FALSE))</f>
        <v/>
      </c>
      <c r="AT225" t="str">
        <f ca="1">IF(AND(ISNUMBER($AT$673),$B$419=1),$AT$673,HLOOKUP(INDIRECT(ADDRESS(2,COLUMN())),OFFSET($BN$2,0,0,ROW()-1,60),ROW()-1,FALSE))</f>
        <v/>
      </c>
      <c r="AU225" t="str">
        <f ca="1">IF(AND(ISNUMBER($AU$673),$B$419=1),$AU$673,HLOOKUP(INDIRECT(ADDRESS(2,COLUMN())),OFFSET($BN$2,0,0,ROW()-1,60),ROW()-1,FALSE))</f>
        <v/>
      </c>
      <c r="AV225" t="str">
        <f ca="1">IF(AND(ISNUMBER($AV$673),$B$419=1),$AV$673,HLOOKUP(INDIRECT(ADDRESS(2,COLUMN())),OFFSET($BN$2,0,0,ROW()-1,60),ROW()-1,FALSE))</f>
        <v/>
      </c>
      <c r="AW225" t="str">
        <f ca="1">IF(AND(ISNUMBER($AW$673),$B$419=1),$AW$673,HLOOKUP(INDIRECT(ADDRESS(2,COLUMN())),OFFSET($BN$2,0,0,ROW()-1,60),ROW()-1,FALSE))</f>
        <v/>
      </c>
      <c r="AX225" t="str">
        <f ca="1">IF(AND(ISNUMBER($AX$673),$B$419=1),$AX$673,HLOOKUP(INDIRECT(ADDRESS(2,COLUMN())),OFFSET($BN$2,0,0,ROW()-1,60),ROW()-1,FALSE))</f>
        <v/>
      </c>
      <c r="AY225" t="str">
        <f ca="1">IF(AND(ISNUMBER($AY$673),$B$419=1),$AY$673,HLOOKUP(INDIRECT(ADDRESS(2,COLUMN())),OFFSET($BN$2,0,0,ROW()-1,60),ROW()-1,FALSE))</f>
        <v/>
      </c>
      <c r="AZ225" t="str">
        <f ca="1">IF(AND(ISNUMBER($AZ$673),$B$419=1),$AZ$673,HLOOKUP(INDIRECT(ADDRESS(2,COLUMN())),OFFSET($BN$2,0,0,ROW()-1,60),ROW()-1,FALSE))</f>
        <v/>
      </c>
      <c r="BA225" t="str">
        <f ca="1">IF(AND(ISNUMBER($BA$673),$B$419=1),$BA$673,HLOOKUP(INDIRECT(ADDRESS(2,COLUMN())),OFFSET($BN$2,0,0,ROW()-1,60),ROW()-1,FALSE))</f>
        <v/>
      </c>
      <c r="BB225" t="str">
        <f ca="1">IF(AND(ISNUMBER($BB$673),$B$419=1),$BB$673,HLOOKUP(INDIRECT(ADDRESS(2,COLUMN())),OFFSET($BN$2,0,0,ROW()-1,60),ROW()-1,FALSE))</f>
        <v/>
      </c>
      <c r="BC225" t="str">
        <f ca="1">IF(AND(ISNUMBER($BC$673),$B$419=1),$BC$673,HLOOKUP(INDIRECT(ADDRESS(2,COLUMN())),OFFSET($BN$2,0,0,ROW()-1,60),ROW()-1,FALSE))</f>
        <v/>
      </c>
      <c r="BD225" t="str">
        <f ca="1">IF(AND(ISNUMBER($BD$673),$B$419=1),$BD$673,HLOOKUP(INDIRECT(ADDRESS(2,COLUMN())),OFFSET($BN$2,0,0,ROW()-1,60),ROW()-1,FALSE))</f>
        <v/>
      </c>
      <c r="BE225" t="str">
        <f ca="1">IF(AND(ISNUMBER($BE$673),$B$419=1),$BE$673,HLOOKUP(INDIRECT(ADDRESS(2,COLUMN())),OFFSET($BN$2,0,0,ROW()-1,60),ROW()-1,FALSE))</f>
        <v/>
      </c>
      <c r="BF225" t="str">
        <f ca="1">IF(AND(ISNUMBER($BF$673),$B$419=1),$BF$673,HLOOKUP(INDIRECT(ADDRESS(2,COLUMN())),OFFSET($BN$2,0,0,ROW()-1,60),ROW()-1,FALSE))</f>
        <v/>
      </c>
      <c r="BG225" t="str">
        <f ca="1">IF(AND(ISNUMBER($BG$673),$B$419=1),$BG$673,HLOOKUP(INDIRECT(ADDRESS(2,COLUMN())),OFFSET($BN$2,0,0,ROW()-1,60),ROW()-1,FALSE))</f>
        <v/>
      </c>
      <c r="BH225" t="str">
        <f ca="1">IF(AND(ISNUMBER($BH$673),$B$419=1),$BH$673,HLOOKUP(INDIRECT(ADDRESS(2,COLUMN())),OFFSET($BN$2,0,0,ROW()-1,60),ROW()-1,FALSE))</f>
        <v/>
      </c>
      <c r="BI225" t="str">
        <f ca="1">IF(AND(ISNUMBER($BI$673),$B$419=1),$BI$673,HLOOKUP(INDIRECT(ADDRESS(2,COLUMN())),OFFSET($BN$2,0,0,ROW()-1,60),ROW()-1,FALSE))</f>
        <v/>
      </c>
      <c r="BJ225" t="str">
        <f ca="1">IF(AND(ISNUMBER($BJ$673),$B$419=1),$BJ$673,HLOOKUP(INDIRECT(ADDRESS(2,COLUMN())),OFFSET($BN$2,0,0,ROW()-1,60),ROW()-1,FALSE))</f>
        <v/>
      </c>
      <c r="BK225" t="str">
        <f ca="1">IF(AND(ISNUMBER($BK$673),$B$419=1),$BK$673,HLOOKUP(INDIRECT(ADDRESS(2,COLUMN())),OFFSET($BN$2,0,0,ROW()-1,60),ROW()-1,FALSE))</f>
        <v/>
      </c>
      <c r="BL225" t="str">
        <f ca="1">IF(AND(ISNUMBER($BL$673),$B$419=1),$BL$673,HLOOKUP(INDIRECT(ADDRESS(2,COLUMN())),OFFSET($BN$2,0,0,ROW()-1,60),ROW()-1,FALSE))</f>
        <v/>
      </c>
      <c r="BM225" t="str">
        <f ca="1">IF(AND(ISNUMBER($BM$673),$B$419=1),$BM$673,HLOOKUP(INDIRECT(ADDRESS(2,COLUMN())),OFFSET($BN$2,0,0,ROW()-1,60),ROW()-1,FALSE))</f>
        <v/>
      </c>
      <c r="BN225" t="str">
        <f>""</f>
        <v/>
      </c>
      <c r="BO225" t="str">
        <f>""</f>
        <v/>
      </c>
      <c r="BP225" t="str">
        <f>""</f>
        <v/>
      </c>
      <c r="BQ225" t="str">
        <f>""</f>
        <v/>
      </c>
      <c r="BR225" t="str">
        <f>""</f>
        <v/>
      </c>
      <c r="BS225" t="str">
        <f>""</f>
        <v/>
      </c>
      <c r="BT225" t="str">
        <f>""</f>
        <v/>
      </c>
      <c r="BU225" t="str">
        <f>""</f>
        <v/>
      </c>
      <c r="BV225" t="str">
        <f>""</f>
        <v/>
      </c>
      <c r="BW225" t="str">
        <f>""</f>
        <v/>
      </c>
      <c r="BX225" t="str">
        <f>""</f>
        <v/>
      </c>
      <c r="BY225" t="str">
        <f>""</f>
        <v/>
      </c>
      <c r="BZ225" t="str">
        <f>""</f>
        <v/>
      </c>
      <c r="CA225" t="str">
        <f>""</f>
        <v/>
      </c>
      <c r="CB225" t="str">
        <f>""</f>
        <v/>
      </c>
      <c r="CC225" t="str">
        <f>""</f>
        <v/>
      </c>
      <c r="CD225" t="str">
        <f>""</f>
        <v/>
      </c>
      <c r="CE225" t="str">
        <f>""</f>
        <v/>
      </c>
      <c r="CF225" t="str">
        <f>""</f>
        <v/>
      </c>
      <c r="CG225" t="str">
        <f>""</f>
        <v/>
      </c>
      <c r="CH225" t="str">
        <f>""</f>
        <v/>
      </c>
      <c r="CI225" t="str">
        <f>""</f>
        <v/>
      </c>
      <c r="CJ225" t="str">
        <f>""</f>
        <v/>
      </c>
      <c r="CK225" t="str">
        <f>""</f>
        <v/>
      </c>
      <c r="CL225" t="str">
        <f>""</f>
        <v/>
      </c>
      <c r="CM225" t="str">
        <f>""</f>
        <v/>
      </c>
      <c r="CN225" t="str">
        <f>""</f>
        <v/>
      </c>
      <c r="CO225" t="str">
        <f>""</f>
        <v/>
      </c>
      <c r="CP225" t="str">
        <f>""</f>
        <v/>
      </c>
      <c r="CQ225" t="str">
        <f>""</f>
        <v/>
      </c>
      <c r="CR225" t="str">
        <f>""</f>
        <v/>
      </c>
      <c r="CS225" t="str">
        <f>""</f>
        <v/>
      </c>
      <c r="CT225" t="str">
        <f>""</f>
        <v/>
      </c>
      <c r="CU225" t="str">
        <f>""</f>
        <v/>
      </c>
      <c r="CV225" t="str">
        <f>""</f>
        <v/>
      </c>
      <c r="CW225" t="str">
        <f>""</f>
        <v/>
      </c>
      <c r="CX225" t="str">
        <f>""</f>
        <v/>
      </c>
      <c r="CY225" t="str">
        <f>""</f>
        <v/>
      </c>
      <c r="CZ225" t="str">
        <f>""</f>
        <v/>
      </c>
      <c r="DA225" t="str">
        <f>""</f>
        <v/>
      </c>
      <c r="DB225" t="str">
        <f>""</f>
        <v/>
      </c>
      <c r="DC225" t="str">
        <f>""</f>
        <v/>
      </c>
      <c r="DD225" t="str">
        <f>""</f>
        <v/>
      </c>
      <c r="DE225" t="str">
        <f>""</f>
        <v/>
      </c>
      <c r="DF225" t="str">
        <f>""</f>
        <v/>
      </c>
      <c r="DG225" t="str">
        <f>""</f>
        <v/>
      </c>
      <c r="DH225" t="str">
        <f>""</f>
        <v/>
      </c>
      <c r="DI225" t="str">
        <f>""</f>
        <v/>
      </c>
      <c r="DJ225" t="str">
        <f>""</f>
        <v/>
      </c>
      <c r="DK225" t="str">
        <f>""</f>
        <v/>
      </c>
      <c r="DL225" t="str">
        <f>""</f>
        <v/>
      </c>
      <c r="DM225" t="str">
        <f>""</f>
        <v/>
      </c>
      <c r="DN225" t="str">
        <f>""</f>
        <v/>
      </c>
      <c r="DO225" t="str">
        <f>""</f>
        <v/>
      </c>
      <c r="DP225" t="str">
        <f>""</f>
        <v/>
      </c>
      <c r="DQ225" t="str">
        <f>""</f>
        <v/>
      </c>
      <c r="DR225" t="str">
        <f>""</f>
        <v/>
      </c>
      <c r="DS225" t="str">
        <f>""</f>
        <v/>
      </c>
      <c r="DT225" t="str">
        <f>""</f>
        <v/>
      </c>
      <c r="DU225" t="str">
        <f>""</f>
        <v/>
      </c>
    </row>
    <row r="226" spans="1:125">
      <c r="A226" t="str">
        <f>"    Washington Prime Group Inc"</f>
        <v xml:space="preserve">    Washington Prime Group Inc</v>
      </c>
      <c r="B226" t="str">
        <f>"WPG US Equity"</f>
        <v>WPG US Equity</v>
      </c>
      <c r="C226" t="str">
        <f t="shared" si="39"/>
        <v>RX902</v>
      </c>
      <c r="D226" t="str">
        <f t="shared" si="40"/>
        <v>ANN_NOI_GR_AST_NET_RTL_DEV_CTD_%</v>
      </c>
      <c r="E226" t="str">
        <f t="shared" si="41"/>
        <v>动态</v>
      </c>
      <c r="F226" t="str">
        <f ca="1">IF(AND(ISNUMBER($F$674),$B$419=1),$F$674,HLOOKUP(INDIRECT(ADDRESS(2,COLUMN())),OFFSET($BN$2,0,0,ROW()-1,60),ROW()-1,FALSE))</f>
        <v/>
      </c>
      <c r="G226">
        <f ca="1">IF(AND(ISNUMBER($G$674),$B$419=1),$G$674,HLOOKUP(INDIRECT(ADDRESS(2,COLUMN())),OFFSET($BN$2,0,0,ROW()-1,60),ROW()-1,FALSE))</f>
        <v>8.5968393089999999</v>
      </c>
      <c r="H226">
        <f ca="1">IF(AND(ISNUMBER($H$674),$B$419=1),$H$674,HLOOKUP(INDIRECT(ADDRESS(2,COLUMN())),OFFSET($BN$2,0,0,ROW()-1,60),ROW()-1,FALSE))</f>
        <v>7.9294078060000004</v>
      </c>
      <c r="I226">
        <f ca="1">IF(AND(ISNUMBER($I$674),$B$419=1),$I$674,HLOOKUP(INDIRECT(ADDRESS(2,COLUMN())),OFFSET($BN$2,0,0,ROW()-1,60),ROW()-1,FALSE))</f>
        <v>7.9943908629999996</v>
      </c>
      <c r="J226">
        <f ca="1">IF(AND(ISNUMBER($J$674),$B$419=1),$J$674,HLOOKUP(INDIRECT(ADDRESS(2,COLUMN())),OFFSET($BN$2,0,0,ROW()-1,60),ROW()-1,FALSE))</f>
        <v>7.7687036210000002</v>
      </c>
      <c r="K226">
        <f ca="1">IF(AND(ISNUMBER($K$674),$B$419=1),$K$674,HLOOKUP(INDIRECT(ADDRESS(2,COLUMN())),OFFSET($BN$2,0,0,ROW()-1,60),ROW()-1,FALSE))</f>
        <v>8.2484767019999996</v>
      </c>
      <c r="L226">
        <f ca="1">IF(AND(ISNUMBER($L$674),$B$419=1),$L$674,HLOOKUP(INDIRECT(ADDRESS(2,COLUMN())),OFFSET($BN$2,0,0,ROW()-1,60),ROW()-1,FALSE))</f>
        <v>7.6146868989999996</v>
      </c>
      <c r="M226">
        <f ca="1">IF(AND(ISNUMBER($M$674),$B$419=1),$M$674,HLOOKUP(INDIRECT(ADDRESS(2,COLUMN())),OFFSET($BN$2,0,0,ROW()-1,60),ROW()-1,FALSE))</f>
        <v>7.6307362569999997</v>
      </c>
      <c r="N226">
        <f ca="1">IF(AND(ISNUMBER($N$674),$B$419=1),$N$674,HLOOKUP(INDIRECT(ADDRESS(2,COLUMN())),OFFSET($BN$2,0,0,ROW()-1,60),ROW()-1,FALSE))</f>
        <v>7.6702156180000003</v>
      </c>
      <c r="O226">
        <f ca="1">IF(AND(ISNUMBER($O$674),$B$419=1),$O$674,HLOOKUP(INDIRECT(ADDRESS(2,COLUMN())),OFFSET($BN$2,0,0,ROW()-1,60),ROW()-1,FALSE))</f>
        <v>8.0633318500000009</v>
      </c>
      <c r="P226">
        <f ca="1">IF(AND(ISNUMBER($P$674),$B$419=1),$P$674,HLOOKUP(INDIRECT(ADDRESS(2,COLUMN())),OFFSET($BN$2,0,0,ROW()-1,60),ROW()-1,FALSE))</f>
        <v>7.1638181779999996</v>
      </c>
      <c r="Q226">
        <f ca="1">IF(AND(ISNUMBER($Q$674),$B$419=1),$Q$674,HLOOKUP(INDIRECT(ADDRESS(2,COLUMN())),OFFSET($BN$2,0,0,ROW()-1,60),ROW()-1,FALSE))</f>
        <v>7.0671246679999999</v>
      </c>
      <c r="R226">
        <f ca="1">IF(AND(ISNUMBER($R$674),$B$419=1),$R$674,HLOOKUP(INDIRECT(ADDRESS(2,COLUMN())),OFFSET($BN$2,0,0,ROW()-1,60),ROW()-1,FALSE))</f>
        <v>6.0952079570000004</v>
      </c>
      <c r="S226">
        <f ca="1">IF(AND(ISNUMBER($S$674),$B$419=1),$S$674,HLOOKUP(INDIRECT(ADDRESS(2,COLUMN())),OFFSET($BN$2,0,0,ROW()-1,60),ROW()-1,FALSE))</f>
        <v>8.5357285409999992</v>
      </c>
      <c r="T226">
        <f ca="1">IF(AND(ISNUMBER($T$674),$B$419=1),$T$674,HLOOKUP(INDIRECT(ADDRESS(2,COLUMN())),OFFSET($BN$2,0,0,ROW()-1,60),ROW()-1,FALSE))</f>
        <v>7.8520912210000002</v>
      </c>
      <c r="U226">
        <f ca="1">IF(AND(ISNUMBER($U$674),$B$419=1),$U$674,HLOOKUP(INDIRECT(ADDRESS(2,COLUMN())),OFFSET($BN$2,0,0,ROW()-1,60),ROW()-1,FALSE))</f>
        <v>7.5480098099999999</v>
      </c>
      <c r="V226">
        <f ca="1">IF(AND(ISNUMBER($V$674),$B$419=1),$V$674,HLOOKUP(INDIRECT(ADDRESS(2,COLUMN())),OFFSET($BN$2,0,0,ROW()-1,60),ROW()-1,FALSE))</f>
        <v>8.0881287319999995</v>
      </c>
      <c r="W226" t="str">
        <f ca="1">IF(AND(ISNUMBER($W$674),$B$419=1),$W$674,HLOOKUP(INDIRECT(ADDRESS(2,COLUMN())),OFFSET($BN$2,0,0,ROW()-1,60),ROW()-1,FALSE))</f>
        <v/>
      </c>
      <c r="X226" t="str">
        <f ca="1">IF(AND(ISNUMBER($X$674),$B$419=1),$X$674,HLOOKUP(INDIRECT(ADDRESS(2,COLUMN())),OFFSET($BN$2,0,0,ROW()-1,60),ROW()-1,FALSE))</f>
        <v/>
      </c>
      <c r="Y226" t="str">
        <f ca="1">IF(AND(ISNUMBER($Y$674),$B$419=1),$Y$674,HLOOKUP(INDIRECT(ADDRESS(2,COLUMN())),OFFSET($BN$2,0,0,ROW()-1,60),ROW()-1,FALSE))</f>
        <v/>
      </c>
      <c r="Z226" t="str">
        <f ca="1">IF(AND(ISNUMBER($Z$674),$B$419=1),$Z$674,HLOOKUP(INDIRECT(ADDRESS(2,COLUMN())),OFFSET($BN$2,0,0,ROW()-1,60),ROW()-1,FALSE))</f>
        <v/>
      </c>
      <c r="AA226" t="str">
        <f ca="1">IF(AND(ISNUMBER($AA$674),$B$419=1),$AA$674,HLOOKUP(INDIRECT(ADDRESS(2,COLUMN())),OFFSET($BN$2,0,0,ROW()-1,60),ROW()-1,FALSE))</f>
        <v/>
      </c>
      <c r="AB226" t="str">
        <f ca="1">IF(AND(ISNUMBER($AB$674),$B$419=1),$AB$674,HLOOKUP(INDIRECT(ADDRESS(2,COLUMN())),OFFSET($BN$2,0,0,ROW()-1,60),ROW()-1,FALSE))</f>
        <v/>
      </c>
      <c r="AC226" t="str">
        <f ca="1">IF(AND(ISNUMBER($AC$674),$B$419=1),$AC$674,HLOOKUP(INDIRECT(ADDRESS(2,COLUMN())),OFFSET($BN$2,0,0,ROW()-1,60),ROW()-1,FALSE))</f>
        <v/>
      </c>
      <c r="AD226" t="str">
        <f ca="1">IF(AND(ISNUMBER($AD$674),$B$419=1),$AD$674,HLOOKUP(INDIRECT(ADDRESS(2,COLUMN())),OFFSET($BN$2,0,0,ROW()-1,60),ROW()-1,FALSE))</f>
        <v/>
      </c>
      <c r="AE226" t="str">
        <f ca="1">IF(AND(ISNUMBER($AE$674),$B$419=1),$AE$674,HLOOKUP(INDIRECT(ADDRESS(2,COLUMN())),OFFSET($BN$2,0,0,ROW()-1,60),ROW()-1,FALSE))</f>
        <v/>
      </c>
      <c r="AF226" t="str">
        <f ca="1">IF(AND(ISNUMBER($AF$674),$B$419=1),$AF$674,HLOOKUP(INDIRECT(ADDRESS(2,COLUMN())),OFFSET($BN$2,0,0,ROW()-1,60),ROW()-1,FALSE))</f>
        <v/>
      </c>
      <c r="AG226" t="str">
        <f ca="1">IF(AND(ISNUMBER($AG$674),$B$419=1),$AG$674,HLOOKUP(INDIRECT(ADDRESS(2,COLUMN())),OFFSET($BN$2,0,0,ROW()-1,60),ROW()-1,FALSE))</f>
        <v/>
      </c>
      <c r="AH226" t="str">
        <f ca="1">IF(AND(ISNUMBER($AH$674),$B$419=1),$AH$674,HLOOKUP(INDIRECT(ADDRESS(2,COLUMN())),OFFSET($BN$2,0,0,ROW()-1,60),ROW()-1,FALSE))</f>
        <v/>
      </c>
      <c r="AI226" t="str">
        <f ca="1">IF(AND(ISNUMBER($AI$674),$B$419=1),$AI$674,HLOOKUP(INDIRECT(ADDRESS(2,COLUMN())),OFFSET($BN$2,0,0,ROW()-1,60),ROW()-1,FALSE))</f>
        <v/>
      </c>
      <c r="AJ226" t="str">
        <f ca="1">IF(AND(ISNUMBER($AJ$674),$B$419=1),$AJ$674,HLOOKUP(INDIRECT(ADDRESS(2,COLUMN())),OFFSET($BN$2,0,0,ROW()-1,60),ROW()-1,FALSE))</f>
        <v/>
      </c>
      <c r="AK226" t="str">
        <f ca="1">IF(AND(ISNUMBER($AK$674),$B$419=1),$AK$674,HLOOKUP(INDIRECT(ADDRESS(2,COLUMN())),OFFSET($BN$2,0,0,ROW()-1,60),ROW()-1,FALSE))</f>
        <v/>
      </c>
      <c r="AL226" t="str">
        <f ca="1">IF(AND(ISNUMBER($AL$674),$B$419=1),$AL$674,HLOOKUP(INDIRECT(ADDRESS(2,COLUMN())),OFFSET($BN$2,0,0,ROW()-1,60),ROW()-1,FALSE))</f>
        <v/>
      </c>
      <c r="AM226" t="str">
        <f ca="1">IF(AND(ISNUMBER($AM$674),$B$419=1),$AM$674,HLOOKUP(INDIRECT(ADDRESS(2,COLUMN())),OFFSET($BN$2,0,0,ROW()-1,60),ROW()-1,FALSE))</f>
        <v/>
      </c>
      <c r="AN226" t="str">
        <f ca="1">IF(AND(ISNUMBER($AN$674),$B$419=1),$AN$674,HLOOKUP(INDIRECT(ADDRESS(2,COLUMN())),OFFSET($BN$2,0,0,ROW()-1,60),ROW()-1,FALSE))</f>
        <v/>
      </c>
      <c r="AO226" t="str">
        <f ca="1">IF(AND(ISNUMBER($AO$674),$B$419=1),$AO$674,HLOOKUP(INDIRECT(ADDRESS(2,COLUMN())),OFFSET($BN$2,0,0,ROW()-1,60),ROW()-1,FALSE))</f>
        <v/>
      </c>
      <c r="AP226" t="str">
        <f ca="1">IF(AND(ISNUMBER($AP$674),$B$419=1),$AP$674,HLOOKUP(INDIRECT(ADDRESS(2,COLUMN())),OFFSET($BN$2,0,0,ROW()-1,60),ROW()-1,FALSE))</f>
        <v/>
      </c>
      <c r="AQ226" t="str">
        <f ca="1">IF(AND(ISNUMBER($AQ$674),$B$419=1),$AQ$674,HLOOKUP(INDIRECT(ADDRESS(2,COLUMN())),OFFSET($BN$2,0,0,ROW()-1,60),ROW()-1,FALSE))</f>
        <v/>
      </c>
      <c r="AR226" t="str">
        <f ca="1">IF(AND(ISNUMBER($AR$674),$B$419=1),$AR$674,HLOOKUP(INDIRECT(ADDRESS(2,COLUMN())),OFFSET($BN$2,0,0,ROW()-1,60),ROW()-1,FALSE))</f>
        <v/>
      </c>
      <c r="AS226" t="str">
        <f ca="1">IF(AND(ISNUMBER($AS$674),$B$419=1),$AS$674,HLOOKUP(INDIRECT(ADDRESS(2,COLUMN())),OFFSET($BN$2,0,0,ROW()-1,60),ROW()-1,FALSE))</f>
        <v/>
      </c>
      <c r="AT226" t="str">
        <f ca="1">IF(AND(ISNUMBER($AT$674),$B$419=1),$AT$674,HLOOKUP(INDIRECT(ADDRESS(2,COLUMN())),OFFSET($BN$2,0,0,ROW()-1,60),ROW()-1,FALSE))</f>
        <v/>
      </c>
      <c r="AU226" t="str">
        <f ca="1">IF(AND(ISNUMBER($AU$674),$B$419=1),$AU$674,HLOOKUP(INDIRECT(ADDRESS(2,COLUMN())),OFFSET($BN$2,0,0,ROW()-1,60),ROW()-1,FALSE))</f>
        <v/>
      </c>
      <c r="AV226" t="str">
        <f ca="1">IF(AND(ISNUMBER($AV$674),$B$419=1),$AV$674,HLOOKUP(INDIRECT(ADDRESS(2,COLUMN())),OFFSET($BN$2,0,0,ROW()-1,60),ROW()-1,FALSE))</f>
        <v/>
      </c>
      <c r="AW226" t="str">
        <f ca="1">IF(AND(ISNUMBER($AW$674),$B$419=1),$AW$674,HLOOKUP(INDIRECT(ADDRESS(2,COLUMN())),OFFSET($BN$2,0,0,ROW()-1,60),ROW()-1,FALSE))</f>
        <v/>
      </c>
      <c r="AX226" t="str">
        <f ca="1">IF(AND(ISNUMBER($AX$674),$B$419=1),$AX$674,HLOOKUP(INDIRECT(ADDRESS(2,COLUMN())),OFFSET($BN$2,0,0,ROW()-1,60),ROW()-1,FALSE))</f>
        <v/>
      </c>
      <c r="AY226" t="str">
        <f ca="1">IF(AND(ISNUMBER($AY$674),$B$419=1),$AY$674,HLOOKUP(INDIRECT(ADDRESS(2,COLUMN())),OFFSET($BN$2,0,0,ROW()-1,60),ROW()-1,FALSE))</f>
        <v/>
      </c>
      <c r="AZ226" t="str">
        <f ca="1">IF(AND(ISNUMBER($AZ$674),$B$419=1),$AZ$674,HLOOKUP(INDIRECT(ADDRESS(2,COLUMN())),OFFSET($BN$2,0,0,ROW()-1,60),ROW()-1,FALSE))</f>
        <v/>
      </c>
      <c r="BA226" t="str">
        <f ca="1">IF(AND(ISNUMBER($BA$674),$B$419=1),$BA$674,HLOOKUP(INDIRECT(ADDRESS(2,COLUMN())),OFFSET($BN$2,0,0,ROW()-1,60),ROW()-1,FALSE))</f>
        <v/>
      </c>
      <c r="BB226" t="str">
        <f ca="1">IF(AND(ISNUMBER($BB$674),$B$419=1),$BB$674,HLOOKUP(INDIRECT(ADDRESS(2,COLUMN())),OFFSET($BN$2,0,0,ROW()-1,60),ROW()-1,FALSE))</f>
        <v/>
      </c>
      <c r="BC226" t="str">
        <f ca="1">IF(AND(ISNUMBER($BC$674),$B$419=1),$BC$674,HLOOKUP(INDIRECT(ADDRESS(2,COLUMN())),OFFSET($BN$2,0,0,ROW()-1,60),ROW()-1,FALSE))</f>
        <v/>
      </c>
      <c r="BD226" t="str">
        <f ca="1">IF(AND(ISNUMBER($BD$674),$B$419=1),$BD$674,HLOOKUP(INDIRECT(ADDRESS(2,COLUMN())),OFFSET($BN$2,0,0,ROW()-1,60),ROW()-1,FALSE))</f>
        <v/>
      </c>
      <c r="BE226" t="str">
        <f ca="1">IF(AND(ISNUMBER($BE$674),$B$419=1),$BE$674,HLOOKUP(INDIRECT(ADDRESS(2,COLUMN())),OFFSET($BN$2,0,0,ROW()-1,60),ROW()-1,FALSE))</f>
        <v/>
      </c>
      <c r="BF226" t="str">
        <f ca="1">IF(AND(ISNUMBER($BF$674),$B$419=1),$BF$674,HLOOKUP(INDIRECT(ADDRESS(2,COLUMN())),OFFSET($BN$2,0,0,ROW()-1,60),ROW()-1,FALSE))</f>
        <v/>
      </c>
      <c r="BG226" t="str">
        <f ca="1">IF(AND(ISNUMBER($BG$674),$B$419=1),$BG$674,HLOOKUP(INDIRECT(ADDRESS(2,COLUMN())),OFFSET($BN$2,0,0,ROW()-1,60),ROW()-1,FALSE))</f>
        <v/>
      </c>
      <c r="BH226" t="str">
        <f ca="1">IF(AND(ISNUMBER($BH$674),$B$419=1),$BH$674,HLOOKUP(INDIRECT(ADDRESS(2,COLUMN())),OFFSET($BN$2,0,0,ROW()-1,60),ROW()-1,FALSE))</f>
        <v/>
      </c>
      <c r="BI226" t="str">
        <f ca="1">IF(AND(ISNUMBER($BI$674),$B$419=1),$BI$674,HLOOKUP(INDIRECT(ADDRESS(2,COLUMN())),OFFSET($BN$2,0,0,ROW()-1,60),ROW()-1,FALSE))</f>
        <v/>
      </c>
      <c r="BJ226" t="str">
        <f ca="1">IF(AND(ISNUMBER($BJ$674),$B$419=1),$BJ$674,HLOOKUP(INDIRECT(ADDRESS(2,COLUMN())),OFFSET($BN$2,0,0,ROW()-1,60),ROW()-1,FALSE))</f>
        <v/>
      </c>
      <c r="BK226" t="str">
        <f ca="1">IF(AND(ISNUMBER($BK$674),$B$419=1),$BK$674,HLOOKUP(INDIRECT(ADDRESS(2,COLUMN())),OFFSET($BN$2,0,0,ROW()-1,60),ROW()-1,FALSE))</f>
        <v/>
      </c>
      <c r="BL226" t="str">
        <f ca="1">IF(AND(ISNUMBER($BL$674),$B$419=1),$BL$674,HLOOKUP(INDIRECT(ADDRESS(2,COLUMN())),OFFSET($BN$2,0,0,ROW()-1,60),ROW()-1,FALSE))</f>
        <v/>
      </c>
      <c r="BM226" t="str">
        <f ca="1">IF(AND(ISNUMBER($BM$674),$B$419=1),$BM$674,HLOOKUP(INDIRECT(ADDRESS(2,COLUMN())),OFFSET($BN$2,0,0,ROW()-1,60),ROW()-1,FALSE))</f>
        <v/>
      </c>
      <c r="BN226" t="str">
        <f>""</f>
        <v/>
      </c>
      <c r="BO226">
        <f>8.596839309</f>
        <v>8.5968393089999999</v>
      </c>
      <c r="BP226">
        <f>7.929407806</f>
        <v>7.9294078060000004</v>
      </c>
      <c r="BQ226">
        <f>7.994390863</f>
        <v>7.9943908629999996</v>
      </c>
      <c r="BR226">
        <f>7.768703621</f>
        <v>7.7687036210000002</v>
      </c>
      <c r="BS226">
        <f>8.248476702</f>
        <v>8.2484767019999996</v>
      </c>
      <c r="BT226">
        <f>7.614686899</f>
        <v>7.6146868989999996</v>
      </c>
      <c r="BU226">
        <f>7.630736257</f>
        <v>7.6307362569999997</v>
      </c>
      <c r="BV226">
        <f>7.670215618</f>
        <v>7.6702156180000003</v>
      </c>
      <c r="BW226">
        <f>8.06333185</f>
        <v>8.0633318500000009</v>
      </c>
      <c r="BX226">
        <f>7.163818178</f>
        <v>7.1638181779999996</v>
      </c>
      <c r="BY226">
        <f>7.067124668</f>
        <v>7.0671246679999999</v>
      </c>
      <c r="BZ226">
        <f>6.095207957</f>
        <v>6.0952079570000004</v>
      </c>
      <c r="CA226">
        <f>8.535728541</f>
        <v>8.5357285409999992</v>
      </c>
      <c r="CB226">
        <f>7.852091221</f>
        <v>7.8520912210000002</v>
      </c>
      <c r="CC226">
        <f>7.54800981</f>
        <v>7.5480098099999999</v>
      </c>
      <c r="CD226">
        <f>8.088128732</f>
        <v>8.0881287319999995</v>
      </c>
      <c r="CE226" t="str">
        <f>""</f>
        <v/>
      </c>
      <c r="CF226" t="str">
        <f>""</f>
        <v/>
      </c>
      <c r="CG226" t="str">
        <f>""</f>
        <v/>
      </c>
      <c r="CH226" t="str">
        <f>""</f>
        <v/>
      </c>
      <c r="CI226" t="str">
        <f>""</f>
        <v/>
      </c>
      <c r="CJ226" t="str">
        <f>""</f>
        <v/>
      </c>
      <c r="CK226" t="str">
        <f>""</f>
        <v/>
      </c>
      <c r="CL226" t="str">
        <f>""</f>
        <v/>
      </c>
      <c r="CM226" t="str">
        <f>""</f>
        <v/>
      </c>
      <c r="CN226" t="str">
        <f>""</f>
        <v/>
      </c>
      <c r="CO226" t="str">
        <f>""</f>
        <v/>
      </c>
      <c r="CP226" t="str">
        <f>""</f>
        <v/>
      </c>
      <c r="CQ226" t="str">
        <f>""</f>
        <v/>
      </c>
      <c r="CR226" t="str">
        <f>""</f>
        <v/>
      </c>
      <c r="CS226" t="str">
        <f>""</f>
        <v/>
      </c>
      <c r="CT226" t="str">
        <f>""</f>
        <v/>
      </c>
      <c r="CU226" t="str">
        <f>""</f>
        <v/>
      </c>
      <c r="CV226" t="str">
        <f>""</f>
        <v/>
      </c>
      <c r="CW226" t="str">
        <f>""</f>
        <v/>
      </c>
      <c r="CX226" t="str">
        <f>""</f>
        <v/>
      </c>
      <c r="CY226" t="str">
        <f>""</f>
        <v/>
      </c>
      <c r="CZ226" t="str">
        <f>""</f>
        <v/>
      </c>
      <c r="DA226" t="str">
        <f>""</f>
        <v/>
      </c>
      <c r="DB226" t="str">
        <f>""</f>
        <v/>
      </c>
      <c r="DC226" t="str">
        <f>""</f>
        <v/>
      </c>
      <c r="DD226" t="str">
        <f>""</f>
        <v/>
      </c>
      <c r="DE226" t="str">
        <f>""</f>
        <v/>
      </c>
      <c r="DF226" t="str">
        <f>""</f>
        <v/>
      </c>
      <c r="DG226" t="str">
        <f>""</f>
        <v/>
      </c>
      <c r="DH226" t="str">
        <f>""</f>
        <v/>
      </c>
      <c r="DI226" t="str">
        <f>""</f>
        <v/>
      </c>
      <c r="DJ226" t="str">
        <f>""</f>
        <v/>
      </c>
      <c r="DK226" t="str">
        <f>""</f>
        <v/>
      </c>
      <c r="DL226" t="str">
        <f>""</f>
        <v/>
      </c>
      <c r="DM226" t="str">
        <f>""</f>
        <v/>
      </c>
      <c r="DN226" t="str">
        <f>""</f>
        <v/>
      </c>
      <c r="DO226" t="str">
        <f>""</f>
        <v/>
      </c>
      <c r="DP226" t="str">
        <f>""</f>
        <v/>
      </c>
      <c r="DQ226" t="str">
        <f>""</f>
        <v/>
      </c>
      <c r="DR226" t="str">
        <f>""</f>
        <v/>
      </c>
      <c r="DS226" t="str">
        <f>""</f>
        <v/>
      </c>
      <c r="DT226" t="str">
        <f>""</f>
        <v/>
      </c>
      <c r="DU226" t="str">
        <f>""</f>
        <v/>
      </c>
    </row>
    <row r="227" spans="1:125">
      <c r="A227" t="str">
        <f>"    Weingarten Realty Investors"</f>
        <v xml:space="preserve">    Weingarten Realty Investors</v>
      </c>
      <c r="B227" t="str">
        <f>"WRI US Equity"</f>
        <v>WRI US Equity</v>
      </c>
      <c r="C227" t="str">
        <f t="shared" si="39"/>
        <v>RX902</v>
      </c>
      <c r="D227" t="str">
        <f t="shared" si="40"/>
        <v>ANN_NOI_GR_AST_NET_RTL_DEV_CTD_%</v>
      </c>
      <c r="E227" t="str">
        <f t="shared" si="41"/>
        <v>动态</v>
      </c>
      <c r="F227" t="str">
        <f ca="1">IF(AND(ISNUMBER($F$675),$B$419=1),$F$675,HLOOKUP(INDIRECT(ADDRESS(2,COLUMN())),OFFSET($BN$2,0,0,ROW()-1,60),ROW()-1,FALSE))</f>
        <v/>
      </c>
      <c r="G227">
        <f ca="1">IF(AND(ISNUMBER($G$675),$B$419=1),$G$675,HLOOKUP(INDIRECT(ADDRESS(2,COLUMN())),OFFSET($BN$2,0,0,ROW()-1,60),ROW()-1,FALSE))</f>
        <v>7.0229968280000001</v>
      </c>
      <c r="H227">
        <f ca="1">IF(AND(ISNUMBER($H$675),$B$419=1),$H$675,HLOOKUP(INDIRECT(ADDRESS(2,COLUMN())),OFFSET($BN$2,0,0,ROW()-1,60),ROW()-1,FALSE))</f>
        <v>7.040986652</v>
      </c>
      <c r="I227">
        <f ca="1">IF(AND(ISNUMBER($I$675),$B$419=1),$I$675,HLOOKUP(INDIRECT(ADDRESS(2,COLUMN())),OFFSET($BN$2,0,0,ROW()-1,60),ROW()-1,FALSE))</f>
        <v>6.9770738210000003</v>
      </c>
      <c r="J227">
        <f ca="1">IF(AND(ISNUMBER($J$675),$B$419=1),$J$675,HLOOKUP(INDIRECT(ADDRESS(2,COLUMN())),OFFSET($BN$2,0,0,ROW()-1,60),ROW()-1,FALSE))</f>
        <v>7.0407413600000002</v>
      </c>
      <c r="K227">
        <f ca="1">IF(AND(ISNUMBER($K$675),$B$419=1),$K$675,HLOOKUP(INDIRECT(ADDRESS(2,COLUMN())),OFFSET($BN$2,0,0,ROW()-1,60),ROW()-1,FALSE))</f>
        <v>7.0174675840000003</v>
      </c>
      <c r="L227">
        <f ca="1">IF(AND(ISNUMBER($L$675),$B$419=1),$L$675,HLOOKUP(INDIRECT(ADDRESS(2,COLUMN())),OFFSET($BN$2,0,0,ROW()-1,60),ROW()-1,FALSE))</f>
        <v>6.8291318460000001</v>
      </c>
      <c r="M227">
        <f ca="1">IF(AND(ISNUMBER($M$675),$B$419=1),$M$675,HLOOKUP(INDIRECT(ADDRESS(2,COLUMN())),OFFSET($BN$2,0,0,ROW()-1,60),ROW()-1,FALSE))</f>
        <v>7.107660053</v>
      </c>
      <c r="N227">
        <f ca="1">IF(AND(ISNUMBER($N$675),$B$419=1),$N$675,HLOOKUP(INDIRECT(ADDRESS(2,COLUMN())),OFFSET($BN$2,0,0,ROW()-1,60),ROW()-1,FALSE))</f>
        <v>7.1004811659999998</v>
      </c>
      <c r="O227">
        <f ca="1">IF(AND(ISNUMBER($O$675),$B$419=1),$O$675,HLOOKUP(INDIRECT(ADDRESS(2,COLUMN())),OFFSET($BN$2,0,0,ROW()-1,60),ROW()-1,FALSE))</f>
        <v>7.2451569259999999</v>
      </c>
      <c r="P227">
        <f ca="1">IF(AND(ISNUMBER($P$675),$B$419=1),$P$675,HLOOKUP(INDIRECT(ADDRESS(2,COLUMN())),OFFSET($BN$2,0,0,ROW()-1,60),ROW()-1,FALSE))</f>
        <v>7.2566379599999999</v>
      </c>
      <c r="Q227">
        <f ca="1">IF(AND(ISNUMBER($Q$675),$B$419=1),$Q$675,HLOOKUP(INDIRECT(ADDRESS(2,COLUMN())),OFFSET($BN$2,0,0,ROW()-1,60),ROW()-1,FALSE))</f>
        <v>7.2134697680000004</v>
      </c>
      <c r="R227">
        <f ca="1">IF(AND(ISNUMBER($R$675),$B$419=1),$R$675,HLOOKUP(INDIRECT(ADDRESS(2,COLUMN())),OFFSET($BN$2,0,0,ROW()-1,60),ROW()-1,FALSE))</f>
        <v>7.1959227139999999</v>
      </c>
      <c r="S227">
        <f ca="1">IF(AND(ISNUMBER($S$675),$B$419=1),$S$675,HLOOKUP(INDIRECT(ADDRESS(2,COLUMN())),OFFSET($BN$2,0,0,ROW()-1,60),ROW()-1,FALSE))</f>
        <v>7.3329606939999996</v>
      </c>
      <c r="T227">
        <f ca="1">IF(AND(ISNUMBER($T$675),$B$419=1),$T$675,HLOOKUP(INDIRECT(ADDRESS(2,COLUMN())),OFFSET($BN$2,0,0,ROW()-1,60),ROW()-1,FALSE))</f>
        <v>7.4962739589999998</v>
      </c>
      <c r="U227">
        <f ca="1">IF(AND(ISNUMBER($U$675),$B$419=1),$U$675,HLOOKUP(INDIRECT(ADDRESS(2,COLUMN())),OFFSET($BN$2,0,0,ROW()-1,60),ROW()-1,FALSE))</f>
        <v>7.2312867460000003</v>
      </c>
      <c r="V227">
        <f ca="1">IF(AND(ISNUMBER($V$675),$B$419=1),$V$675,HLOOKUP(INDIRECT(ADDRESS(2,COLUMN())),OFFSET($BN$2,0,0,ROW()-1,60),ROW()-1,FALSE))</f>
        <v>7.2189880110000004</v>
      </c>
      <c r="W227">
        <f ca="1">IF(AND(ISNUMBER($W$675),$B$419=1),$W$675,HLOOKUP(INDIRECT(ADDRESS(2,COLUMN())),OFFSET($BN$2,0,0,ROW()-1,60),ROW()-1,FALSE))</f>
        <v>6.4290059900000003</v>
      </c>
      <c r="X227">
        <f ca="1">IF(AND(ISNUMBER($X$675),$B$419=1),$X$675,HLOOKUP(INDIRECT(ADDRESS(2,COLUMN())),OFFSET($BN$2,0,0,ROW()-1,60),ROW()-1,FALSE))</f>
        <v>6.4900528279999996</v>
      </c>
      <c r="Y227">
        <f ca="1">IF(AND(ISNUMBER($Y$675),$B$419=1),$Y$675,HLOOKUP(INDIRECT(ADDRESS(2,COLUMN())),OFFSET($BN$2,0,0,ROW()-1,60),ROW()-1,FALSE))</f>
        <v>6.3426238660000003</v>
      </c>
      <c r="Z227">
        <f ca="1">IF(AND(ISNUMBER($Z$675),$B$419=1),$Z$675,HLOOKUP(INDIRECT(ADDRESS(2,COLUMN())),OFFSET($BN$2,0,0,ROW()-1,60),ROW()-1,FALSE))</f>
        <v>7.0475734660000002</v>
      </c>
      <c r="AA227">
        <f ca="1">IF(AND(ISNUMBER($AA$675),$B$419=1),$AA$675,HLOOKUP(INDIRECT(ADDRESS(2,COLUMN())),OFFSET($BN$2,0,0,ROW()-1,60),ROW()-1,FALSE))</f>
        <v>6.3176872250000002</v>
      </c>
      <c r="AB227">
        <f ca="1">IF(AND(ISNUMBER($AB$675),$B$419=1),$AB$675,HLOOKUP(INDIRECT(ADDRESS(2,COLUMN())),OFFSET($BN$2,0,0,ROW()-1,60),ROW()-1,FALSE))</f>
        <v>6.34168866</v>
      </c>
      <c r="AC227">
        <f ca="1">IF(AND(ISNUMBER($AC$675),$B$419=1),$AC$675,HLOOKUP(INDIRECT(ADDRESS(2,COLUMN())),OFFSET($BN$2,0,0,ROW()-1,60),ROW()-1,FALSE))</f>
        <v>6.3376359410000003</v>
      </c>
      <c r="AD227">
        <f ca="1">IF(AND(ISNUMBER($AD$675),$B$419=1),$AD$675,HLOOKUP(INDIRECT(ADDRESS(2,COLUMN())),OFFSET($BN$2,0,0,ROW()-1,60),ROW()-1,FALSE))</f>
        <v>6.2233343970000004</v>
      </c>
      <c r="AE227">
        <f ca="1">IF(AND(ISNUMBER($AE$675),$B$419=1),$AE$675,HLOOKUP(INDIRECT(ADDRESS(2,COLUMN())),OFFSET($BN$2,0,0,ROW()-1,60),ROW()-1,FALSE))</f>
        <v>5.9356860759999996</v>
      </c>
      <c r="AF227">
        <f ca="1">IF(AND(ISNUMBER($AF$675),$B$419=1),$AF$675,HLOOKUP(INDIRECT(ADDRESS(2,COLUMN())),OFFSET($BN$2,0,0,ROW()-1,60),ROW()-1,FALSE))</f>
        <v>6.099512013</v>
      </c>
      <c r="AG227">
        <f ca="1">IF(AND(ISNUMBER($AG$675),$B$419=1),$AG$675,HLOOKUP(INDIRECT(ADDRESS(2,COLUMN())),OFFSET($BN$2,0,0,ROW()-1,60),ROW()-1,FALSE))</f>
        <v>5.9549818070000002</v>
      </c>
      <c r="AH227">
        <f ca="1">IF(AND(ISNUMBER($AH$675),$B$419=1),$AH$675,HLOOKUP(INDIRECT(ADDRESS(2,COLUMN())),OFFSET($BN$2,0,0,ROW()-1,60),ROW()-1,FALSE))</f>
        <v>5.8303818390000002</v>
      </c>
      <c r="AI227">
        <f ca="1">IF(AND(ISNUMBER($AI$675),$B$419=1),$AI$675,HLOOKUP(INDIRECT(ADDRESS(2,COLUMN())),OFFSET($BN$2,0,0,ROW()-1,60),ROW()-1,FALSE))</f>
        <v>6.5470620769999996</v>
      </c>
      <c r="AJ227">
        <f ca="1">IF(AND(ISNUMBER($AJ$675),$B$419=1),$AJ$675,HLOOKUP(INDIRECT(ADDRESS(2,COLUMN())),OFFSET($BN$2,0,0,ROW()-1,60),ROW()-1,FALSE))</f>
        <v>6.8139296720000004</v>
      </c>
      <c r="AK227">
        <f ca="1">IF(AND(ISNUMBER($AK$675),$B$419=1),$AK$675,HLOOKUP(INDIRECT(ADDRESS(2,COLUMN())),OFFSET($BN$2,0,0,ROW()-1,60),ROW()-1,FALSE))</f>
        <v>6.9555463690000003</v>
      </c>
      <c r="AL227">
        <f ca="1">IF(AND(ISNUMBER($AL$675),$B$419=1),$AL$675,HLOOKUP(INDIRECT(ADDRESS(2,COLUMN())),OFFSET($BN$2,0,0,ROW()-1,60),ROW()-1,FALSE))</f>
        <v>6.8952368130000004</v>
      </c>
      <c r="AM227">
        <f ca="1">IF(AND(ISNUMBER($AM$675),$B$419=1),$AM$675,HLOOKUP(INDIRECT(ADDRESS(2,COLUMN())),OFFSET($BN$2,0,0,ROW()-1,60),ROW()-1,FALSE))</f>
        <v>7.1546272200000001</v>
      </c>
      <c r="AN227">
        <f ca="1">IF(AND(ISNUMBER($AN$675),$B$419=1),$AN$675,HLOOKUP(INDIRECT(ADDRESS(2,COLUMN())),OFFSET($BN$2,0,0,ROW()-1,60),ROW()-1,FALSE))</f>
        <v>7.0272587370000004</v>
      </c>
      <c r="AO227">
        <f ca="1">IF(AND(ISNUMBER($AO$675),$B$419=1),$AO$675,HLOOKUP(INDIRECT(ADDRESS(2,COLUMN())),OFFSET($BN$2,0,0,ROW()-1,60),ROW()-1,FALSE))</f>
        <v>7.0099593889999996</v>
      </c>
      <c r="AP227">
        <f ca="1">IF(AND(ISNUMBER($AP$675),$B$419=1),$AP$675,HLOOKUP(INDIRECT(ADDRESS(2,COLUMN())),OFFSET($BN$2,0,0,ROW()-1,60),ROW()-1,FALSE))</f>
        <v>7.4204300160000001</v>
      </c>
      <c r="AQ227" t="str">
        <f ca="1">IF(AND(ISNUMBER($AQ$675),$B$419=1),$AQ$675,HLOOKUP(INDIRECT(ADDRESS(2,COLUMN())),OFFSET($BN$2,0,0,ROW()-1,60),ROW()-1,FALSE))</f>
        <v/>
      </c>
      <c r="AR227">
        <f ca="1">IF(AND(ISNUMBER($AR$675),$B$419=1),$AR$675,HLOOKUP(INDIRECT(ADDRESS(2,COLUMN())),OFFSET($BN$2,0,0,ROW()-1,60),ROW()-1,FALSE))</f>
        <v>7.8572556699999998</v>
      </c>
      <c r="AS227">
        <f ca="1">IF(AND(ISNUMBER($AS$675),$B$419=1),$AS$675,HLOOKUP(INDIRECT(ADDRESS(2,COLUMN())),OFFSET($BN$2,0,0,ROW()-1,60),ROW()-1,FALSE))</f>
        <v>8.0043135210000003</v>
      </c>
      <c r="AT227">
        <f ca="1">IF(AND(ISNUMBER($AT$675),$B$419=1),$AT$675,HLOOKUP(INDIRECT(ADDRESS(2,COLUMN())),OFFSET($BN$2,0,0,ROW()-1,60),ROW()-1,FALSE))</f>
        <v>7.8869363840000002</v>
      </c>
      <c r="AU227">
        <f ca="1">IF(AND(ISNUMBER($AU$675),$B$419=1),$AU$675,HLOOKUP(INDIRECT(ADDRESS(2,COLUMN())),OFFSET($BN$2,0,0,ROW()-1,60),ROW()-1,FALSE))</f>
        <v>6.7355735120000002</v>
      </c>
      <c r="AV227">
        <f ca="1">IF(AND(ISNUMBER($AV$675),$B$419=1),$AV$675,HLOOKUP(INDIRECT(ADDRESS(2,COLUMN())),OFFSET($BN$2,0,0,ROW()-1,60),ROW()-1,FALSE))</f>
        <v>7.1984665889999997</v>
      </c>
      <c r="AW227">
        <f ca="1">IF(AND(ISNUMBER($AW$675),$B$419=1),$AW$675,HLOOKUP(INDIRECT(ADDRESS(2,COLUMN())),OFFSET($BN$2,0,0,ROW()-1,60),ROW()-1,FALSE))</f>
        <v>7.2857566570000003</v>
      </c>
      <c r="AX227">
        <f ca="1">IF(AND(ISNUMBER($AX$675),$B$419=1),$AX$675,HLOOKUP(INDIRECT(ADDRESS(2,COLUMN())),OFFSET($BN$2,0,0,ROW()-1,60),ROW()-1,FALSE))</f>
        <v>7.5503159860000002</v>
      </c>
      <c r="AY227">
        <f ca="1">IF(AND(ISNUMBER($AY$675),$B$419=1),$AY$675,HLOOKUP(INDIRECT(ADDRESS(2,COLUMN())),OFFSET($BN$2,0,0,ROW()-1,60),ROW()-1,FALSE))</f>
        <v>7.3699149290000001</v>
      </c>
      <c r="AZ227">
        <f ca="1">IF(AND(ISNUMBER($AZ$675),$B$419=1),$AZ$675,HLOOKUP(INDIRECT(ADDRESS(2,COLUMN())),OFFSET($BN$2,0,0,ROW()-1,60),ROW()-1,FALSE))</f>
        <v>7.0605217409999996</v>
      </c>
      <c r="BA227">
        <f ca="1">IF(AND(ISNUMBER($BA$675),$B$419=1),$BA$675,HLOOKUP(INDIRECT(ADDRESS(2,COLUMN())),OFFSET($BN$2,0,0,ROW()-1,60),ROW()-1,FALSE))</f>
        <v>7.5367131790000004</v>
      </c>
      <c r="BB227">
        <f ca="1">IF(AND(ISNUMBER($BB$675),$B$419=1),$BB$675,HLOOKUP(INDIRECT(ADDRESS(2,COLUMN())),OFFSET($BN$2,0,0,ROW()-1,60),ROW()-1,FALSE))</f>
        <v>7.8773666210000002</v>
      </c>
      <c r="BC227" t="str">
        <f ca="1">IF(AND(ISNUMBER($BC$675),$B$419=1),$BC$675,HLOOKUP(INDIRECT(ADDRESS(2,COLUMN())),OFFSET($BN$2,0,0,ROW()-1,60),ROW()-1,FALSE))</f>
        <v/>
      </c>
      <c r="BD227">
        <f ca="1">IF(AND(ISNUMBER($BD$675),$B$419=1),$BD$675,HLOOKUP(INDIRECT(ADDRESS(2,COLUMN())),OFFSET($BN$2,0,0,ROW()-1,60),ROW()-1,FALSE))</f>
        <v>8.7999489999999996E-3</v>
      </c>
      <c r="BE227">
        <f ca="1">IF(AND(ISNUMBER($BE$675),$B$419=1),$BE$675,HLOOKUP(INDIRECT(ADDRESS(2,COLUMN())),OFFSET($BN$2,0,0,ROW()-1,60),ROW()-1,FALSE))</f>
        <v>9.1004724140000004</v>
      </c>
      <c r="BF227">
        <f ca="1">IF(AND(ISNUMBER($BF$675),$B$419=1),$BF$675,HLOOKUP(INDIRECT(ADDRESS(2,COLUMN())),OFFSET($BN$2,0,0,ROW()-1,60),ROW()-1,FALSE))</f>
        <v>9.2516844000000003</v>
      </c>
      <c r="BG227" t="str">
        <f ca="1">IF(AND(ISNUMBER($BG$675),$B$419=1),$BG$675,HLOOKUP(INDIRECT(ADDRESS(2,COLUMN())),OFFSET($BN$2,0,0,ROW()-1,60),ROW()-1,FALSE))</f>
        <v/>
      </c>
      <c r="BH227">
        <f ca="1">IF(AND(ISNUMBER($BH$675),$B$419=1),$BH$675,HLOOKUP(INDIRECT(ADDRESS(2,COLUMN())),OFFSET($BN$2,0,0,ROW()-1,60),ROW()-1,FALSE))</f>
        <v>9.2914502169999995</v>
      </c>
      <c r="BI227" t="str">
        <f ca="1">IF(AND(ISNUMBER($BI$675),$B$419=1),$BI$675,HLOOKUP(INDIRECT(ADDRESS(2,COLUMN())),OFFSET($BN$2,0,0,ROW()-1,60),ROW()-1,FALSE))</f>
        <v/>
      </c>
      <c r="BJ227" t="str">
        <f ca="1">IF(AND(ISNUMBER($BJ$675),$B$419=1),$BJ$675,HLOOKUP(INDIRECT(ADDRESS(2,COLUMN())),OFFSET($BN$2,0,0,ROW()-1,60),ROW()-1,FALSE))</f>
        <v/>
      </c>
      <c r="BK227" t="str">
        <f ca="1">IF(AND(ISNUMBER($BK$675),$B$419=1),$BK$675,HLOOKUP(INDIRECT(ADDRESS(2,COLUMN())),OFFSET($BN$2,0,0,ROW()-1,60),ROW()-1,FALSE))</f>
        <v/>
      </c>
      <c r="BL227" t="str">
        <f ca="1">IF(AND(ISNUMBER($BL$675),$B$419=1),$BL$675,HLOOKUP(INDIRECT(ADDRESS(2,COLUMN())),OFFSET($BN$2,0,0,ROW()-1,60),ROW()-1,FALSE))</f>
        <v/>
      </c>
      <c r="BM227" t="str">
        <f ca="1">IF(AND(ISNUMBER($BM$675),$B$419=1),$BM$675,HLOOKUP(INDIRECT(ADDRESS(2,COLUMN())),OFFSET($BN$2,0,0,ROW()-1,60),ROW()-1,FALSE))</f>
        <v/>
      </c>
      <c r="BN227" t="str">
        <f>""</f>
        <v/>
      </c>
      <c r="BO227">
        <f>7.022996828</f>
        <v>7.0229968280000001</v>
      </c>
      <c r="BP227">
        <f>7.040986652</f>
        <v>7.040986652</v>
      </c>
      <c r="BQ227">
        <f>6.977073821</f>
        <v>6.9770738210000003</v>
      </c>
      <c r="BR227">
        <f>7.04074136</f>
        <v>7.0407413600000002</v>
      </c>
      <c r="BS227">
        <f>7.017467584</f>
        <v>7.0174675840000003</v>
      </c>
      <c r="BT227">
        <f>6.829131846</f>
        <v>6.8291318460000001</v>
      </c>
      <c r="BU227">
        <f>7.107660053</f>
        <v>7.107660053</v>
      </c>
      <c r="BV227">
        <f>7.100481166</f>
        <v>7.1004811659999998</v>
      </c>
      <c r="BW227">
        <f>7.245156926</f>
        <v>7.2451569259999999</v>
      </c>
      <c r="BX227">
        <f>7.25663796</f>
        <v>7.2566379599999999</v>
      </c>
      <c r="BY227">
        <f>7.213469768</f>
        <v>7.2134697680000004</v>
      </c>
      <c r="BZ227">
        <f>7.195922714</f>
        <v>7.1959227139999999</v>
      </c>
      <c r="CA227">
        <f>7.332960694</f>
        <v>7.3329606939999996</v>
      </c>
      <c r="CB227">
        <f>7.496273959</f>
        <v>7.4962739589999998</v>
      </c>
      <c r="CC227">
        <f>7.231286746</f>
        <v>7.2312867460000003</v>
      </c>
      <c r="CD227">
        <f>7.218988011</f>
        <v>7.2189880110000004</v>
      </c>
      <c r="CE227">
        <f>6.42900599</f>
        <v>6.4290059900000003</v>
      </c>
      <c r="CF227">
        <f>6.490052828</f>
        <v>6.4900528279999996</v>
      </c>
      <c r="CG227">
        <f>6.342623866</f>
        <v>6.3426238660000003</v>
      </c>
      <c r="CH227">
        <f>7.047573466</f>
        <v>7.0475734660000002</v>
      </c>
      <c r="CI227">
        <f>6.317687225</f>
        <v>6.3176872250000002</v>
      </c>
      <c r="CJ227">
        <f>6.34168866</f>
        <v>6.34168866</v>
      </c>
      <c r="CK227">
        <f>6.337635941</f>
        <v>6.3376359410000003</v>
      </c>
      <c r="CL227">
        <f>6.223334397</f>
        <v>6.2233343970000004</v>
      </c>
      <c r="CM227">
        <f>5.935686076</f>
        <v>5.9356860759999996</v>
      </c>
      <c r="CN227">
        <f>6.099512013</f>
        <v>6.099512013</v>
      </c>
      <c r="CO227">
        <f>5.954981807</f>
        <v>5.9549818070000002</v>
      </c>
      <c r="CP227">
        <f>5.830381839</f>
        <v>5.8303818390000002</v>
      </c>
      <c r="CQ227">
        <f>6.547062077</f>
        <v>6.5470620769999996</v>
      </c>
      <c r="CR227">
        <f>6.813929672</f>
        <v>6.8139296720000004</v>
      </c>
      <c r="CS227">
        <f>6.955546369</f>
        <v>6.9555463690000003</v>
      </c>
      <c r="CT227">
        <f>6.895236813</f>
        <v>6.8952368130000004</v>
      </c>
      <c r="CU227">
        <f>7.15462722</f>
        <v>7.1546272200000001</v>
      </c>
      <c r="CV227">
        <f>7.027258737</f>
        <v>7.0272587370000004</v>
      </c>
      <c r="CW227">
        <f>7.009959389</f>
        <v>7.0099593889999996</v>
      </c>
      <c r="CX227">
        <f>7.420430016</f>
        <v>7.4204300160000001</v>
      </c>
      <c r="CY227" t="str">
        <f>""</f>
        <v/>
      </c>
      <c r="CZ227">
        <f>7.85725567</f>
        <v>7.8572556699999998</v>
      </c>
      <c r="DA227">
        <f>8.004313521</f>
        <v>8.0043135210000003</v>
      </c>
      <c r="DB227">
        <f>7.886936384</f>
        <v>7.8869363840000002</v>
      </c>
      <c r="DC227">
        <f>6.735573512</f>
        <v>6.7355735120000002</v>
      </c>
      <c r="DD227">
        <f>7.198466589</f>
        <v>7.1984665889999997</v>
      </c>
      <c r="DE227">
        <f>7.285756657</f>
        <v>7.2857566570000003</v>
      </c>
      <c r="DF227">
        <f>7.550315986</f>
        <v>7.5503159860000002</v>
      </c>
      <c r="DG227">
        <f>7.369914929</f>
        <v>7.3699149290000001</v>
      </c>
      <c r="DH227">
        <f>7.060521741</f>
        <v>7.0605217409999996</v>
      </c>
      <c r="DI227">
        <f>7.536713179</f>
        <v>7.5367131790000004</v>
      </c>
      <c r="DJ227">
        <f>7.877366621</f>
        <v>7.8773666210000002</v>
      </c>
      <c r="DK227" t="str">
        <f>""</f>
        <v/>
      </c>
      <c r="DL227">
        <f>0.008799949</f>
        <v>8.7999489999999996E-3</v>
      </c>
      <c r="DM227">
        <f>9.100472414</f>
        <v>9.1004724140000004</v>
      </c>
      <c r="DN227">
        <f>9.2516844</f>
        <v>9.2516844000000003</v>
      </c>
      <c r="DO227" t="str">
        <f>""</f>
        <v/>
      </c>
      <c r="DP227">
        <f>9.291450217</f>
        <v>9.2914502169999995</v>
      </c>
      <c r="DQ227" t="str">
        <f>""</f>
        <v/>
      </c>
      <c r="DR227" t="str">
        <f>""</f>
        <v/>
      </c>
      <c r="DS227" t="str">
        <f>""</f>
        <v/>
      </c>
      <c r="DT227" t="str">
        <f>""</f>
        <v/>
      </c>
      <c r="DU227" t="str">
        <f>""</f>
        <v/>
      </c>
    </row>
    <row r="228" spans="1:125">
      <c r="A228" t="str">
        <f>"EBITDA/房地产资产(%)"</f>
        <v>EBITDA/房地产资产(%)</v>
      </c>
      <c r="B228" t="str">
        <f>""</f>
        <v/>
      </c>
      <c r="E228" t="str">
        <f>"Median"</f>
        <v>Median</v>
      </c>
      <c r="F228" t="str">
        <f ca="1">IF(ISERROR(IF(MEDIAN($F$229:$F$243) = 0, "", MEDIAN($F$229:$F$243))), "", (IF(MEDIAN($F$229:$F$243) = 0, "", MEDIAN($F$229:$F$243))))</f>
        <v/>
      </c>
      <c r="G228">
        <f ca="1">IF(ISERROR(IF(MEDIAN($G$229:$G$243) = 0, "", MEDIAN($G$229:$G$243))), "", (IF(MEDIAN($G$229:$G$243) = 0, "", MEDIAN($G$229:$G$243))))</f>
        <v>1.991248014</v>
      </c>
      <c r="H228">
        <f ca="1">IF(ISERROR(IF(MEDIAN($H$229:$H$243) = 0, "", MEDIAN($H$229:$H$243))), "", (IF(MEDIAN($H$229:$H$243) = 0, "", MEDIAN($H$229:$H$243))))</f>
        <v>2.1735531959999999</v>
      </c>
      <c r="I228">
        <f ca="1">IF(ISERROR(IF(MEDIAN($I$229:$I$243) = 0, "", MEDIAN($I$229:$I$243))), "", (IF(MEDIAN($I$229:$I$243) = 0, "", MEDIAN($I$229:$I$243))))</f>
        <v>1.99843985</v>
      </c>
      <c r="J228">
        <f ca="1">IF(ISERROR(IF(MEDIAN($J$229:$J$243) = 0, "", MEDIAN($J$229:$J$243))), "", (IF(MEDIAN($J$229:$J$243) = 0, "", MEDIAN($J$229:$J$243))))</f>
        <v>2.1491025010000002</v>
      </c>
      <c r="K228">
        <f ca="1">IF(ISERROR(IF(MEDIAN($K$229:$K$243) = 0, "", MEDIAN($K$229:$K$243))), "", (IF(MEDIAN($K$229:$K$243) = 0, "", MEDIAN($K$229:$K$243))))</f>
        <v>2.2517131940000001</v>
      </c>
      <c r="L228">
        <f ca="1">IF(ISERROR(IF(MEDIAN($L$229:$L$243) = 0, "", MEDIAN($L$229:$L$243))), "", (IF(MEDIAN($L$229:$L$243) = 0, "", MEDIAN($L$229:$L$243))))</f>
        <v>2.1476438369999999</v>
      </c>
      <c r="M228">
        <f ca="1">IF(ISERROR(IF(MEDIAN($M$229:$M$243) = 0, "", MEDIAN($M$229:$M$243))), "", (IF(MEDIAN($M$229:$M$243) = 0, "", MEDIAN($M$229:$M$243))))</f>
        <v>2.1449025110000002</v>
      </c>
      <c r="N228">
        <f ca="1">IF(ISERROR(IF(MEDIAN($N$229:$N$243) = 0, "", MEDIAN($N$229:$N$243))), "", (IF(MEDIAN($N$229:$N$243) = 0, "", MEDIAN($N$229:$N$243))))</f>
        <v>2.3110890560000001</v>
      </c>
      <c r="O228">
        <f ca="1">IF(ISERROR(IF(MEDIAN($O$229:$O$243) = 0, "", MEDIAN($O$229:$O$243))), "", (IF(MEDIAN($O$229:$O$243) = 0, "", MEDIAN($O$229:$O$243))))</f>
        <v>2.0736537249999998</v>
      </c>
      <c r="P228">
        <f ca="1">IF(ISERROR(IF(MEDIAN($P$229:$P$243) = 0, "", MEDIAN($P$229:$P$243))), "", (IF(MEDIAN($P$229:$P$243) = 0, "", MEDIAN($P$229:$P$243))))</f>
        <v>2.2561603240000001</v>
      </c>
      <c r="Q228">
        <f ca="1">IF(ISERROR(IF(MEDIAN($Q$229:$Q$243) = 0, "", MEDIAN($Q$229:$Q$243))), "", (IF(MEDIAN($Q$229:$Q$243) = 0, "", MEDIAN($Q$229:$Q$243))))</f>
        <v>2.2214251250000001</v>
      </c>
      <c r="R228">
        <f ca="1">IF(ISERROR(IF(MEDIAN($R$229:$R$243) = 0, "", MEDIAN($R$229:$R$243))), "", (IF(MEDIAN($R$229:$R$243) = 0, "", MEDIAN($R$229:$R$243))))</f>
        <v>2.0932709190000001</v>
      </c>
      <c r="S228">
        <f ca="1">IF(ISERROR(IF(MEDIAN($S$229:$S$243) = 0, "", MEDIAN($S$229:$S$243))), "", (IF(MEDIAN($S$229:$S$243) = 0, "", MEDIAN($S$229:$S$243))))</f>
        <v>2.1580808220000001</v>
      </c>
      <c r="T228">
        <f ca="1">IF(ISERROR(IF(MEDIAN($T$229:$T$243) = 0, "", MEDIAN($T$229:$T$243))), "", (IF(MEDIAN($T$229:$T$243) = 0, "", MEDIAN($T$229:$T$243))))</f>
        <v>2.2070244190000001</v>
      </c>
      <c r="U228">
        <f ca="1">IF(ISERROR(IF(MEDIAN($U$229:$U$243) = 0, "", MEDIAN($U$229:$U$243))), "", (IF(MEDIAN($U$229:$U$243) = 0, "", MEDIAN($U$229:$U$243))))</f>
        <v>2.1139712369999999</v>
      </c>
      <c r="V228">
        <f ca="1">IF(ISERROR(IF(MEDIAN($V$229:$V$243) = 0, "", MEDIAN($V$229:$V$243))), "", (IF(MEDIAN($V$229:$V$243) = 0, "", MEDIAN($V$229:$V$243))))</f>
        <v>2.1224974969999999</v>
      </c>
      <c r="W228">
        <f ca="1">IF(ISERROR(IF(MEDIAN($W$229:$W$243) = 0, "", MEDIAN($W$229:$W$243))), "", (IF(MEDIAN($W$229:$W$243) = 0, "", MEDIAN($W$229:$W$243))))</f>
        <v>2.0415499095</v>
      </c>
      <c r="X228">
        <f ca="1">IF(ISERROR(IF(MEDIAN($X$229:$X$243) = 0, "", MEDIAN($X$229:$X$243))), "", (IF(MEDIAN($X$229:$X$243) = 0, "", MEDIAN($X$229:$X$243))))</f>
        <v>2.0508286304999999</v>
      </c>
      <c r="Y228">
        <f ca="1">IF(ISERROR(IF(MEDIAN($Y$229:$Y$243) = 0, "", MEDIAN($Y$229:$Y$243))), "", (IF(MEDIAN($Y$229:$Y$243) = 0, "", MEDIAN($Y$229:$Y$243))))</f>
        <v>2.0309040725000003</v>
      </c>
      <c r="Z228">
        <f ca="1">IF(ISERROR(IF(MEDIAN($Z$229:$Z$243) = 0, "", MEDIAN($Z$229:$Z$243))), "", (IF(MEDIAN($Z$229:$Z$243) = 0, "", MEDIAN($Z$229:$Z$243))))</f>
        <v>1.9496240204999999</v>
      </c>
      <c r="AA228">
        <f ca="1">IF(ISERROR(IF(MEDIAN($AA$229:$AA$243) = 0, "", MEDIAN($AA$229:$AA$243))), "", (IF(MEDIAN($AA$229:$AA$243) = 0, "", MEDIAN($AA$229:$AA$243))))</f>
        <v>1.9520999424999999</v>
      </c>
      <c r="AB228">
        <f ca="1">IF(ISERROR(IF(MEDIAN($AB$229:$AB$243) = 0, "", MEDIAN($AB$229:$AB$243))), "", (IF(MEDIAN($AB$229:$AB$243) = 0, "", MEDIAN($AB$229:$AB$243))))</f>
        <v>2.028234453</v>
      </c>
      <c r="AC228">
        <f ca="1">IF(ISERROR(IF(MEDIAN($AC$229:$AC$243) = 0, "", MEDIAN($AC$229:$AC$243))), "", (IF(MEDIAN($AC$229:$AC$243) = 0, "", MEDIAN($AC$229:$AC$243))))</f>
        <v>1.9610160130000001</v>
      </c>
      <c r="AD228">
        <f ca="1">IF(ISERROR(IF(MEDIAN($AD$229:$AD$243) = 0, "", MEDIAN($AD$229:$AD$243))), "", (IF(MEDIAN($AD$229:$AD$243) = 0, "", MEDIAN($AD$229:$AD$243))))</f>
        <v>1.8712570589999999</v>
      </c>
      <c r="AE228">
        <f ca="1">IF(ISERROR(IF(MEDIAN($AE$229:$AE$243) = 0, "", MEDIAN($AE$229:$AE$243))), "", (IF(MEDIAN($AE$229:$AE$243) = 0, "", MEDIAN($AE$229:$AE$243))))</f>
        <v>1.881042144</v>
      </c>
      <c r="AF228">
        <f ca="1">IF(ISERROR(IF(MEDIAN($AF$229:$AF$243) = 0, "", MEDIAN($AF$229:$AF$243))), "", (IF(MEDIAN($AF$229:$AF$243) = 0, "", MEDIAN($AF$229:$AF$243))))</f>
        <v>1.8503544569999999</v>
      </c>
      <c r="AG228">
        <f ca="1">IF(ISERROR(IF(MEDIAN($AG$229:$AG$243) = 0, "", MEDIAN($AG$229:$AG$243))), "", (IF(MEDIAN($AG$229:$AG$243) = 0, "", MEDIAN($AG$229:$AG$243))))</f>
        <v>1.97744711</v>
      </c>
      <c r="AH228">
        <f ca="1">IF(ISERROR(IF(MEDIAN($AH$229:$AH$243) = 0, "", MEDIAN($AH$229:$AH$243))), "", (IF(MEDIAN($AH$229:$AH$243) = 0, "", MEDIAN($AH$229:$AH$243))))</f>
        <v>2.0195490930000002</v>
      </c>
      <c r="AI228">
        <f ca="1">IF(ISERROR(IF(MEDIAN($AI$229:$AI$243) = 0, "", MEDIAN($AI$229:$AI$243))), "", (IF(MEDIAN($AI$229:$AI$243) = 0, "", MEDIAN($AI$229:$AI$243))))</f>
        <v>1.9338651069999999</v>
      </c>
      <c r="AJ228">
        <f ca="1">IF(ISERROR(IF(MEDIAN($AJ$229:$AJ$243) = 0, "", MEDIAN($AJ$229:$AJ$243))), "", (IF(MEDIAN($AJ$229:$AJ$243) = 0, "", MEDIAN($AJ$229:$AJ$243))))</f>
        <v>1.947267675</v>
      </c>
      <c r="AK228">
        <f ca="1">IF(ISERROR(IF(MEDIAN($AK$229:$AK$243) = 0, "", MEDIAN($AK$229:$AK$243))), "", (IF(MEDIAN($AK$229:$AK$243) = 0, "", MEDIAN($AK$229:$AK$243))))</f>
        <v>2.0004525559999999</v>
      </c>
      <c r="AL228">
        <f ca="1">IF(ISERROR(IF(MEDIAN($AL$229:$AL$243) = 0, "", MEDIAN($AL$229:$AL$243))), "", (IF(MEDIAN($AL$229:$AL$243) = 0, "", MEDIAN($AL$229:$AL$243))))</f>
        <v>2.0260409429999999</v>
      </c>
      <c r="AM228">
        <f ca="1">IF(ISERROR(IF(MEDIAN($AM$229:$AM$243) = 0, "", MEDIAN($AM$229:$AM$243))), "", (IF(MEDIAN($AM$229:$AM$243) = 0, "", MEDIAN($AM$229:$AM$243))))</f>
        <v>1.9663106435</v>
      </c>
      <c r="AN228">
        <f ca="1">IF(ISERROR(IF(MEDIAN($AN$229:$AN$243) = 0, "", MEDIAN($AN$229:$AN$243))), "", (IF(MEDIAN($AN$229:$AN$243) = 0, "", MEDIAN($AN$229:$AN$243))))</f>
        <v>2.1940259705000003</v>
      </c>
      <c r="AO228">
        <f ca="1">IF(ISERROR(IF(MEDIAN($AO$229:$AO$243) = 0, "", MEDIAN($AO$229:$AO$243))), "", (IF(MEDIAN($AO$229:$AO$243) = 0, "", MEDIAN($AO$229:$AO$243))))</f>
        <v>2.1245848425</v>
      </c>
      <c r="AP228">
        <f ca="1">IF(ISERROR(IF(MEDIAN($AP$229:$AP$243) = 0, "", MEDIAN($AP$229:$AP$243))), "", (IF(MEDIAN($AP$229:$AP$243) = 0, "", MEDIAN($AP$229:$AP$243))))</f>
        <v>2.1319895935000002</v>
      </c>
      <c r="AQ228">
        <f ca="1">IF(ISERROR(IF(MEDIAN($AQ$229:$AQ$243) = 0, "", MEDIAN($AQ$229:$AQ$243))), "", (IF(MEDIAN($AQ$229:$AQ$243) = 0, "", MEDIAN($AQ$229:$AQ$243))))</f>
        <v>2.3631112290000003</v>
      </c>
      <c r="AR228">
        <f ca="1">IF(ISERROR(IF(MEDIAN($AR$229:$AR$243) = 0, "", MEDIAN($AR$229:$AR$243))), "", (IF(MEDIAN($AR$229:$AR$243) = 0, "", MEDIAN($AR$229:$AR$243))))</f>
        <v>2.090716901</v>
      </c>
      <c r="AS228">
        <f ca="1">IF(ISERROR(IF(MEDIAN($AS$229:$AS$243) = 0, "", MEDIAN($AS$229:$AS$243))), "", (IF(MEDIAN($AS$229:$AS$243) = 0, "", MEDIAN($AS$229:$AS$243))))</f>
        <v>2.2339196369999996</v>
      </c>
      <c r="AT228">
        <f ca="1">IF(ISERROR(IF(MEDIAN($AT$229:$AT$243) = 0, "", MEDIAN($AT$229:$AT$243))), "", (IF(MEDIAN($AT$229:$AT$243) = 0, "", MEDIAN($AT$229:$AT$243))))</f>
        <v>2.2484766499999997</v>
      </c>
      <c r="AU228">
        <f ca="1">IF(ISERROR(IF(MEDIAN($AU$229:$AU$243) = 0, "", MEDIAN($AU$229:$AU$243))), "", (IF(MEDIAN($AU$229:$AU$243) = 0, "", MEDIAN($AU$229:$AU$243))))</f>
        <v>2.4875764409999999</v>
      </c>
      <c r="AV228">
        <f ca="1">IF(ISERROR(IF(MEDIAN($AV$229:$AV$243) = 0, "", MEDIAN($AV$229:$AV$243))), "", (IF(MEDIAN($AV$229:$AV$243) = 0, "", MEDIAN($AV$229:$AV$243))))</f>
        <v>2.4440317980000001</v>
      </c>
      <c r="AW228">
        <f ca="1">IF(ISERROR(IF(MEDIAN($AW$229:$AW$243) = 0, "", MEDIAN($AW$229:$AW$243))), "", (IF(MEDIAN($AW$229:$AW$243) = 0, "", MEDIAN($AW$229:$AW$243))))</f>
        <v>2.4991050490000002</v>
      </c>
      <c r="AX228">
        <f ca="1">IF(ISERROR(IF(MEDIAN($AX$229:$AX$243) = 0, "", MEDIAN($AX$229:$AX$243))), "", (IF(MEDIAN($AX$229:$AX$243) = 0, "", MEDIAN($AX$229:$AX$243))))</f>
        <v>2.4631687590000002</v>
      </c>
      <c r="AY228">
        <f ca="1">IF(ISERROR(IF(MEDIAN($AY$229:$AY$243) = 0, "", MEDIAN($AY$229:$AY$243))), "", (IF(MEDIAN($AY$229:$AY$243) = 0, "", MEDIAN($AY$229:$AY$243))))</f>
        <v>2.7280582500000001</v>
      </c>
      <c r="AZ228">
        <f ca="1">IF(ISERROR(IF(MEDIAN($AZ$229:$AZ$243) = 0, "", MEDIAN($AZ$229:$AZ$243))), "", (IF(MEDIAN($AZ$229:$AZ$243) = 0, "", MEDIAN($AZ$229:$AZ$243))))</f>
        <v>2.539813798</v>
      </c>
      <c r="BA228">
        <f ca="1">IF(ISERROR(IF(MEDIAN($BA$229:$BA$243) = 0, "", MEDIAN($BA$229:$BA$243))), "", (IF(MEDIAN($BA$229:$BA$243) = 0, "", MEDIAN($BA$229:$BA$243))))</f>
        <v>2.6426660979999999</v>
      </c>
      <c r="BB228">
        <f ca="1">IF(ISERROR(IF(MEDIAN($BB$229:$BB$243) = 0, "", MEDIAN($BB$229:$BB$243))), "", (IF(MEDIAN($BB$229:$BB$243) = 0, "", MEDIAN($BB$229:$BB$243))))</f>
        <v>2.653716561</v>
      </c>
      <c r="BC228">
        <f ca="1">IF(ISERROR(IF(MEDIAN($BC$229:$BC$243) = 0, "", MEDIAN($BC$229:$BC$243))), "", (IF(MEDIAN($BC$229:$BC$243) = 0, "", MEDIAN($BC$229:$BC$243))))</f>
        <v>2.8225638664999999</v>
      </c>
      <c r="BD228">
        <f ca="1">IF(ISERROR(IF(MEDIAN($BD$229:$BD$243) = 0, "", MEDIAN($BD$229:$BD$243))), "", (IF(MEDIAN($BD$229:$BD$243) = 0, "", MEDIAN($BD$229:$BD$243))))</f>
        <v>2.5323177860000001</v>
      </c>
      <c r="BE228">
        <f ca="1">IF(ISERROR(IF(MEDIAN($BE$229:$BE$243) = 0, "", MEDIAN($BE$229:$BE$243))), "", (IF(MEDIAN($BE$229:$BE$243) = 0, "", MEDIAN($BE$229:$BE$243))))</f>
        <v>2.5982113629999999</v>
      </c>
      <c r="BF228">
        <f ca="1">IF(ISERROR(IF(MEDIAN($BF$229:$BF$243) = 0, "", MEDIAN($BF$229:$BF$243))), "", (IF(MEDIAN($BF$229:$BF$243) = 0, "", MEDIAN($BF$229:$BF$243))))</f>
        <v>2.8404951340000002</v>
      </c>
      <c r="BG228">
        <f ca="1">IF(ISERROR(IF(MEDIAN($BG$229:$BG$243) = 0, "", MEDIAN($BG$229:$BG$243))), "", (IF(MEDIAN($BG$229:$BG$243) = 0, "", MEDIAN($BG$229:$BG$243))))</f>
        <v>2.7429059125000004</v>
      </c>
      <c r="BH228">
        <f ca="1">IF(ISERROR(IF(MEDIAN($BH$229:$BH$243) = 0, "", MEDIAN($BH$229:$BH$243))), "", (IF(MEDIAN($BH$229:$BH$243) = 0, "", MEDIAN($BH$229:$BH$243))))</f>
        <v>2.7439519690000003</v>
      </c>
      <c r="BI228">
        <f ca="1">IF(ISERROR(IF(MEDIAN($BI$229:$BI$243) = 0, "", MEDIAN($BI$229:$BI$243))), "", (IF(MEDIAN($BI$229:$BI$243) = 0, "", MEDIAN($BI$229:$BI$243))))</f>
        <v>2.628833685</v>
      </c>
      <c r="BJ228">
        <f ca="1">IF(ISERROR(IF(MEDIAN($BJ$229:$BJ$243) = 0, "", MEDIAN($BJ$229:$BJ$243))), "", (IF(MEDIAN($BJ$229:$BJ$243) = 0, "", MEDIAN($BJ$229:$BJ$243))))</f>
        <v>2.5878444310000002</v>
      </c>
      <c r="BK228">
        <f ca="1">IF(ISERROR(IF(MEDIAN($BK$229:$BK$243) = 0, "", MEDIAN($BK$229:$BK$243))), "", (IF(MEDIAN($BK$229:$BK$243) = 0, "", MEDIAN($BK$229:$BK$243))))</f>
        <v>2.7848205435</v>
      </c>
      <c r="BL228">
        <f ca="1">IF(ISERROR(IF(MEDIAN($BL$229:$BL$243) = 0, "", MEDIAN($BL$229:$BL$243))), "", (IF(MEDIAN($BL$229:$BL$243) = 0, "", MEDIAN($BL$229:$BL$243))))</f>
        <v>2.878209214</v>
      </c>
      <c r="BM228">
        <f ca="1">IF(ISERROR(IF(MEDIAN($BM$229:$BM$243) = 0, "", MEDIAN($BM$229:$BM$243))), "", (IF(MEDIAN($BM$229:$BM$243) = 0, "", MEDIAN($BM$229:$BM$243))))</f>
        <v>2.7720609270000001</v>
      </c>
      <c r="BN228" t="str">
        <f>""</f>
        <v/>
      </c>
      <c r="BO228">
        <f>1.991248014</f>
        <v>1.991248014</v>
      </c>
      <c r="BP228">
        <f>2.173553196</f>
        <v>2.1735531959999999</v>
      </c>
      <c r="BQ228">
        <f>1.99843985</f>
        <v>1.99843985</v>
      </c>
      <c r="BR228">
        <f>2.149102501</f>
        <v>2.1491025010000002</v>
      </c>
      <c r="BS228">
        <f>2.251713194</f>
        <v>2.2517131940000001</v>
      </c>
      <c r="BT228">
        <f>2.147643837</f>
        <v>2.1476438369999999</v>
      </c>
      <c r="BU228">
        <f>2.144902511</f>
        <v>2.1449025110000002</v>
      </c>
      <c r="BV228">
        <f>2.311089056</f>
        <v>2.3110890560000001</v>
      </c>
      <c r="BW228">
        <f>2.073653725</f>
        <v>2.0736537249999998</v>
      </c>
      <c r="BX228">
        <f>2.256160324</f>
        <v>2.2561603240000001</v>
      </c>
      <c r="BY228">
        <f>2.221425125</f>
        <v>2.2214251250000001</v>
      </c>
      <c r="BZ228">
        <f>2.093270919</f>
        <v>2.0932709190000001</v>
      </c>
      <c r="CA228">
        <f>2.158080822</f>
        <v>2.1580808220000001</v>
      </c>
      <c r="CB228">
        <f>2.207024419</f>
        <v>2.2070244190000001</v>
      </c>
      <c r="CC228">
        <f>2.113971237</f>
        <v>2.1139712369999999</v>
      </c>
      <c r="CD228">
        <f>2.122497497</f>
        <v>2.1224974969999999</v>
      </c>
      <c r="CE228">
        <f>2.04154991</f>
        <v>2.0415499100000001</v>
      </c>
      <c r="CF228">
        <f>2.050828631</f>
        <v>2.0508286309999999</v>
      </c>
      <c r="CG228">
        <f>2.030904073</f>
        <v>2.0309040729999999</v>
      </c>
      <c r="CH228">
        <f>1.94962402</f>
        <v>1.9496240199999999</v>
      </c>
      <c r="CI228">
        <f>1.952099943</f>
        <v>1.9520999429999999</v>
      </c>
      <c r="CJ228">
        <f>2.028234453</f>
        <v>2.028234453</v>
      </c>
      <c r="CK228">
        <f>1.961016013</f>
        <v>1.9610160130000001</v>
      </c>
      <c r="CL228">
        <f>1.871257059</f>
        <v>1.8712570589999999</v>
      </c>
      <c r="CM228">
        <f>1.881042144</f>
        <v>1.881042144</v>
      </c>
      <c r="CN228">
        <f>1.850354457</f>
        <v>1.8503544569999999</v>
      </c>
      <c r="CO228">
        <f>1.97744711</f>
        <v>1.97744711</v>
      </c>
      <c r="CP228">
        <f>2.019549093</f>
        <v>2.0195490930000002</v>
      </c>
      <c r="CQ228">
        <f>1.933865107</f>
        <v>1.9338651069999999</v>
      </c>
      <c r="CR228">
        <f>1.947267675</f>
        <v>1.947267675</v>
      </c>
      <c r="CS228">
        <f>2.000452556</f>
        <v>2.0004525559999999</v>
      </c>
      <c r="CT228">
        <f>2.026040943</f>
        <v>2.0260409429999999</v>
      </c>
      <c r="CU228">
        <f>1.966310644</f>
        <v>1.966310644</v>
      </c>
      <c r="CV228">
        <f>2.19402597</f>
        <v>2.1940259700000002</v>
      </c>
      <c r="CW228">
        <f>2.124584842</f>
        <v>2.124584842</v>
      </c>
      <c r="CX228">
        <f>2.131989594</f>
        <v>2.1319895940000002</v>
      </c>
      <c r="CY228">
        <f>2.363111229</f>
        <v>2.3631112289999998</v>
      </c>
      <c r="CZ228">
        <f>2.090716901</f>
        <v>2.090716901</v>
      </c>
      <c r="DA228">
        <f>2.233919637</f>
        <v>2.2339196370000001</v>
      </c>
      <c r="DB228">
        <f>2.24847665</f>
        <v>2.2484766500000002</v>
      </c>
      <c r="DC228">
        <f>2.487576441</f>
        <v>2.4875764409999999</v>
      </c>
      <c r="DD228">
        <f>2.444031798</f>
        <v>2.4440317980000001</v>
      </c>
      <c r="DE228">
        <f>2.499105049</f>
        <v>2.4991050490000002</v>
      </c>
      <c r="DF228">
        <f>2.463168759</f>
        <v>2.4631687590000002</v>
      </c>
      <c r="DG228">
        <f>2.72805825</f>
        <v>2.7280582500000001</v>
      </c>
      <c r="DH228">
        <f>2.539813798</f>
        <v>2.539813798</v>
      </c>
      <c r="DI228">
        <f>2.642666098</f>
        <v>2.6426660979999999</v>
      </c>
      <c r="DJ228">
        <f>2.653716561</f>
        <v>2.653716561</v>
      </c>
      <c r="DK228">
        <f>2.822563867</f>
        <v>2.8225638669999999</v>
      </c>
      <c r="DL228">
        <f>2.532317786</f>
        <v>2.5323177860000001</v>
      </c>
      <c r="DM228">
        <f>2.598211363</f>
        <v>2.5982113629999999</v>
      </c>
      <c r="DN228">
        <f>2.840495134</f>
        <v>2.8404951340000002</v>
      </c>
      <c r="DO228">
        <f>2.742905912</f>
        <v>2.7429059119999999</v>
      </c>
      <c r="DP228">
        <f>2.743951969</f>
        <v>2.7439519689999998</v>
      </c>
      <c r="DQ228">
        <f>2.628833685</f>
        <v>2.628833685</v>
      </c>
      <c r="DR228">
        <f>2.587844431</f>
        <v>2.5878444310000002</v>
      </c>
      <c r="DS228">
        <f>2.784820543</f>
        <v>2.7848205429999999</v>
      </c>
      <c r="DT228">
        <f>2.878209214</f>
        <v>2.878209214</v>
      </c>
      <c r="DU228">
        <f>2.772060927</f>
        <v>2.7720609270000001</v>
      </c>
    </row>
    <row r="229" spans="1:125">
      <c r="A229" t="str">
        <f>"    Brixmor Property Group Inc"</f>
        <v xml:space="preserve">    Brixmor Property Group Inc</v>
      </c>
      <c r="B229" t="str">
        <f>"BRX US Equity"</f>
        <v>BRX US Equity</v>
      </c>
      <c r="C229" t="str">
        <f t="shared" ref="C229:C243" si="42">"RR553"</f>
        <v>RR553</v>
      </c>
      <c r="D229" t="str">
        <f t="shared" ref="D229:D243" si="43">"EBITDA_RE_ASSET"</f>
        <v>EBITDA_RE_ASSET</v>
      </c>
      <c r="E229" t="str">
        <f t="shared" ref="E229:E243" si="44">"动态"</f>
        <v>动态</v>
      </c>
      <c r="F229" t="str">
        <f ca="1">IF(AND(ISNUMBER($F$676),$B$419=1),$F$676,HLOOKUP(INDIRECT(ADDRESS(2,COLUMN())),OFFSET($BN$2,0,0,ROW()-1,60),ROW()-1,FALSE))</f>
        <v/>
      </c>
      <c r="G229">
        <f ca="1">IF(AND(ISNUMBER($G$676),$B$419=1),$G$676,HLOOKUP(INDIRECT(ADDRESS(2,COLUMN())),OFFSET($BN$2,0,0,ROW()-1,60),ROW()-1,FALSE))</f>
        <v>2.2847708070000001</v>
      </c>
      <c r="H229">
        <f ca="1">IF(AND(ISNUMBER($H$676),$B$419=1),$H$676,HLOOKUP(INDIRECT(ADDRESS(2,COLUMN())),OFFSET($BN$2,0,0,ROW()-1,60),ROW()-1,FALSE))</f>
        <v>2.2780862599999998</v>
      </c>
      <c r="I229">
        <f ca="1">IF(AND(ISNUMBER($I$676),$B$419=1),$I$676,HLOOKUP(INDIRECT(ADDRESS(2,COLUMN())),OFFSET($BN$2,0,0,ROW()-1,60),ROW()-1,FALSE))</f>
        <v>2.316489743</v>
      </c>
      <c r="J229">
        <f ca="1">IF(AND(ISNUMBER($J$676),$B$419=1),$J$676,HLOOKUP(INDIRECT(ADDRESS(2,COLUMN())),OFFSET($BN$2,0,0,ROW()-1,60),ROW()-1,FALSE))</f>
        <v>2.3250713940000001</v>
      </c>
      <c r="K229">
        <f ca="1">IF(AND(ISNUMBER($K$676),$B$419=1),$K$676,HLOOKUP(INDIRECT(ADDRESS(2,COLUMN())),OFFSET($BN$2,0,0,ROW()-1,60),ROW()-1,FALSE))</f>
        <v>2.3494775379999999</v>
      </c>
      <c r="L229">
        <f ca="1">IF(AND(ISNUMBER($L$676),$B$419=1),$L$676,HLOOKUP(INDIRECT(ADDRESS(2,COLUMN())),OFFSET($BN$2,0,0,ROW()-1,60),ROW()-1,FALSE))</f>
        <v>2.3056683140000001</v>
      </c>
      <c r="M229">
        <f ca="1">IF(AND(ISNUMBER($M$676),$B$419=1),$M$676,HLOOKUP(INDIRECT(ADDRESS(2,COLUMN())),OFFSET($BN$2,0,0,ROW()-1,60),ROW()-1,FALSE))</f>
        <v>2.2613202559999999</v>
      </c>
      <c r="N229">
        <f ca="1">IF(AND(ISNUMBER($N$676),$B$419=1),$N$676,HLOOKUP(INDIRECT(ADDRESS(2,COLUMN())),OFFSET($BN$2,0,0,ROW()-1,60),ROW()-1,FALSE))</f>
        <v>2.3254973699999999</v>
      </c>
      <c r="O229">
        <f ca="1">IF(AND(ISNUMBER($O$676),$B$419=1),$O$676,HLOOKUP(INDIRECT(ADDRESS(2,COLUMN())),OFFSET($BN$2,0,0,ROW()-1,60),ROW()-1,FALSE))</f>
        <v>2.2192107390000002</v>
      </c>
      <c r="P229">
        <f ca="1">IF(AND(ISNUMBER($P$676),$B$419=1),$P$676,HLOOKUP(INDIRECT(ADDRESS(2,COLUMN())),OFFSET($BN$2,0,0,ROW()-1,60),ROW()-1,FALSE))</f>
        <v>2.2561603240000001</v>
      </c>
      <c r="Q229">
        <f ca="1">IF(AND(ISNUMBER($Q$676),$B$419=1),$Q$676,HLOOKUP(INDIRECT(ADDRESS(2,COLUMN())),OFFSET($BN$2,0,0,ROW()-1,60),ROW()-1,FALSE))</f>
        <v>2.2214251250000001</v>
      </c>
      <c r="R229">
        <f ca="1">IF(AND(ISNUMBER($R$676),$B$419=1),$R$676,HLOOKUP(INDIRECT(ADDRESS(2,COLUMN())),OFFSET($BN$2,0,0,ROW()-1,60),ROW()-1,FALSE))</f>
        <v>2.0523320319999998</v>
      </c>
      <c r="S229">
        <f ca="1">IF(AND(ISNUMBER($S$676),$B$419=1),$S$676,HLOOKUP(INDIRECT(ADDRESS(2,COLUMN())),OFFSET($BN$2,0,0,ROW()-1,60),ROW()-1,FALSE))</f>
        <v>2.1580808220000001</v>
      </c>
      <c r="T229">
        <f ca="1">IF(AND(ISNUMBER($T$676),$B$419=1),$T$676,HLOOKUP(INDIRECT(ADDRESS(2,COLUMN())),OFFSET($BN$2,0,0,ROW()-1,60),ROW()-1,FALSE))</f>
        <v>2.1400419529999999</v>
      </c>
      <c r="U229">
        <f ca="1">IF(AND(ISNUMBER($U$676),$B$419=1),$U$676,HLOOKUP(INDIRECT(ADDRESS(2,COLUMN())),OFFSET($BN$2,0,0,ROW()-1,60),ROW()-1,FALSE))</f>
        <v>2.1139712369999999</v>
      </c>
      <c r="V229">
        <f ca="1">IF(AND(ISNUMBER($V$676),$B$419=1),$V$676,HLOOKUP(INDIRECT(ADDRESS(2,COLUMN())),OFFSET($BN$2,0,0,ROW()-1,60),ROW()-1,FALSE))</f>
        <v>2.0663472669999998</v>
      </c>
      <c r="W229">
        <f ca="1">IF(AND(ISNUMBER($W$676),$B$419=1),$W$676,HLOOKUP(INDIRECT(ADDRESS(2,COLUMN())),OFFSET($BN$2,0,0,ROW()-1,60),ROW()-1,FALSE))</f>
        <v>1.6747019679999999</v>
      </c>
      <c r="X229">
        <f ca="1">IF(AND(ISNUMBER($X$676),$B$419=1),$X$676,HLOOKUP(INDIRECT(ADDRESS(2,COLUMN())),OFFSET($BN$2,0,0,ROW()-1,60),ROW()-1,FALSE))</f>
        <v>2.0062485200000002</v>
      </c>
      <c r="Y229">
        <f ca="1">IF(AND(ISNUMBER($Y$676),$B$419=1),$Y$676,HLOOKUP(INDIRECT(ADDRESS(2,COLUMN())),OFFSET($BN$2,0,0,ROW()-1,60),ROW()-1,FALSE))</f>
        <v>2.0006374880000002</v>
      </c>
      <c r="Z229">
        <f ca="1">IF(AND(ISNUMBER($Z$676),$B$419=1),$Z$676,HLOOKUP(INDIRECT(ADDRESS(2,COLUMN())),OFFSET($BN$2,0,0,ROW()-1,60),ROW()-1,FALSE))</f>
        <v>1.906823851</v>
      </c>
      <c r="AA229">
        <f ca="1">IF(AND(ISNUMBER($AA$676),$B$419=1),$AA$676,HLOOKUP(INDIRECT(ADDRESS(2,COLUMN())),OFFSET($BN$2,0,0,ROW()-1,60),ROW()-1,FALSE))</f>
        <v>1.9530032799999999</v>
      </c>
      <c r="AB229" t="str">
        <f ca="1">IF(AND(ISNUMBER($AB$676),$B$419=1),$AB$676,HLOOKUP(INDIRECT(ADDRESS(2,COLUMN())),OFFSET($BN$2,0,0,ROW()-1,60),ROW()-1,FALSE))</f>
        <v/>
      </c>
      <c r="AC229" t="str">
        <f ca="1">IF(AND(ISNUMBER($AC$676),$B$419=1),$AC$676,HLOOKUP(INDIRECT(ADDRESS(2,COLUMN())),OFFSET($BN$2,0,0,ROW()-1,60),ROW()-1,FALSE))</f>
        <v/>
      </c>
      <c r="AD229" t="str">
        <f ca="1">IF(AND(ISNUMBER($AD$676),$B$419=1),$AD$676,HLOOKUP(INDIRECT(ADDRESS(2,COLUMN())),OFFSET($BN$2,0,0,ROW()-1,60),ROW()-1,FALSE))</f>
        <v/>
      </c>
      <c r="AE229" t="str">
        <f ca="1">IF(AND(ISNUMBER($AE$676),$B$419=1),$AE$676,HLOOKUP(INDIRECT(ADDRESS(2,COLUMN())),OFFSET($BN$2,0,0,ROW()-1,60),ROW()-1,FALSE))</f>
        <v/>
      </c>
      <c r="AF229" t="str">
        <f ca="1">IF(AND(ISNUMBER($AF$676),$B$419=1),$AF$676,HLOOKUP(INDIRECT(ADDRESS(2,COLUMN())),OFFSET($BN$2,0,0,ROW()-1,60),ROW()-1,FALSE))</f>
        <v/>
      </c>
      <c r="AG229" t="str">
        <f ca="1">IF(AND(ISNUMBER($AG$676),$B$419=1),$AG$676,HLOOKUP(INDIRECT(ADDRESS(2,COLUMN())),OFFSET($BN$2,0,0,ROW()-1,60),ROW()-1,FALSE))</f>
        <v/>
      </c>
      <c r="AH229" t="str">
        <f ca="1">IF(AND(ISNUMBER($AH$676),$B$419=1),$AH$676,HLOOKUP(INDIRECT(ADDRESS(2,COLUMN())),OFFSET($BN$2,0,0,ROW()-1,60),ROW()-1,FALSE))</f>
        <v/>
      </c>
      <c r="AI229" t="str">
        <f ca="1">IF(AND(ISNUMBER($AI$676),$B$419=1),$AI$676,HLOOKUP(INDIRECT(ADDRESS(2,COLUMN())),OFFSET($BN$2,0,0,ROW()-1,60),ROW()-1,FALSE))</f>
        <v/>
      </c>
      <c r="AJ229" t="str">
        <f ca="1">IF(AND(ISNUMBER($AJ$676),$B$419=1),$AJ$676,HLOOKUP(INDIRECT(ADDRESS(2,COLUMN())),OFFSET($BN$2,0,0,ROW()-1,60),ROW()-1,FALSE))</f>
        <v/>
      </c>
      <c r="AK229" t="str">
        <f ca="1">IF(AND(ISNUMBER($AK$676),$B$419=1),$AK$676,HLOOKUP(INDIRECT(ADDRESS(2,COLUMN())),OFFSET($BN$2,0,0,ROW()-1,60),ROW()-1,FALSE))</f>
        <v/>
      </c>
      <c r="AL229" t="str">
        <f ca="1">IF(AND(ISNUMBER($AL$676),$B$419=1),$AL$676,HLOOKUP(INDIRECT(ADDRESS(2,COLUMN())),OFFSET($BN$2,0,0,ROW()-1,60),ROW()-1,FALSE))</f>
        <v/>
      </c>
      <c r="AM229" t="str">
        <f ca="1">IF(AND(ISNUMBER($AM$676),$B$419=1),$AM$676,HLOOKUP(INDIRECT(ADDRESS(2,COLUMN())),OFFSET($BN$2,0,0,ROW()-1,60),ROW()-1,FALSE))</f>
        <v/>
      </c>
      <c r="AN229" t="str">
        <f ca="1">IF(AND(ISNUMBER($AN$676),$B$419=1),$AN$676,HLOOKUP(INDIRECT(ADDRESS(2,COLUMN())),OFFSET($BN$2,0,0,ROW()-1,60),ROW()-1,FALSE))</f>
        <v/>
      </c>
      <c r="AO229" t="str">
        <f ca="1">IF(AND(ISNUMBER($AO$676),$B$419=1),$AO$676,HLOOKUP(INDIRECT(ADDRESS(2,COLUMN())),OFFSET($BN$2,0,0,ROW()-1,60),ROW()-1,FALSE))</f>
        <v/>
      </c>
      <c r="AP229" t="str">
        <f ca="1">IF(AND(ISNUMBER($AP$676),$B$419=1),$AP$676,HLOOKUP(INDIRECT(ADDRESS(2,COLUMN())),OFFSET($BN$2,0,0,ROW()-1,60),ROW()-1,FALSE))</f>
        <v/>
      </c>
      <c r="AQ229" t="str">
        <f ca="1">IF(AND(ISNUMBER($AQ$676),$B$419=1),$AQ$676,HLOOKUP(INDIRECT(ADDRESS(2,COLUMN())),OFFSET($BN$2,0,0,ROW()-1,60),ROW()-1,FALSE))</f>
        <v/>
      </c>
      <c r="AR229" t="str">
        <f ca="1">IF(AND(ISNUMBER($AR$676),$B$419=1),$AR$676,HLOOKUP(INDIRECT(ADDRESS(2,COLUMN())),OFFSET($BN$2,0,0,ROW()-1,60),ROW()-1,FALSE))</f>
        <v/>
      </c>
      <c r="AS229" t="str">
        <f ca="1">IF(AND(ISNUMBER($AS$676),$B$419=1),$AS$676,HLOOKUP(INDIRECT(ADDRESS(2,COLUMN())),OFFSET($BN$2,0,0,ROW()-1,60),ROW()-1,FALSE))</f>
        <v/>
      </c>
      <c r="AT229" t="str">
        <f ca="1">IF(AND(ISNUMBER($AT$676),$B$419=1),$AT$676,HLOOKUP(INDIRECT(ADDRESS(2,COLUMN())),OFFSET($BN$2,0,0,ROW()-1,60),ROW()-1,FALSE))</f>
        <v/>
      </c>
      <c r="AU229" t="str">
        <f ca="1">IF(AND(ISNUMBER($AU$676),$B$419=1),$AU$676,HLOOKUP(INDIRECT(ADDRESS(2,COLUMN())),OFFSET($BN$2,0,0,ROW()-1,60),ROW()-1,FALSE))</f>
        <v/>
      </c>
      <c r="AV229" t="str">
        <f ca="1">IF(AND(ISNUMBER($AV$676),$B$419=1),$AV$676,HLOOKUP(INDIRECT(ADDRESS(2,COLUMN())),OFFSET($BN$2,0,0,ROW()-1,60),ROW()-1,FALSE))</f>
        <v/>
      </c>
      <c r="AW229" t="str">
        <f ca="1">IF(AND(ISNUMBER($AW$676),$B$419=1),$AW$676,HLOOKUP(INDIRECT(ADDRESS(2,COLUMN())),OFFSET($BN$2,0,0,ROW()-1,60),ROW()-1,FALSE))</f>
        <v/>
      </c>
      <c r="AX229" t="str">
        <f ca="1">IF(AND(ISNUMBER($AX$676),$B$419=1),$AX$676,HLOOKUP(INDIRECT(ADDRESS(2,COLUMN())),OFFSET($BN$2,0,0,ROW()-1,60),ROW()-1,FALSE))</f>
        <v/>
      </c>
      <c r="AY229" t="str">
        <f ca="1">IF(AND(ISNUMBER($AY$676),$B$419=1),$AY$676,HLOOKUP(INDIRECT(ADDRESS(2,COLUMN())),OFFSET($BN$2,0,0,ROW()-1,60),ROW()-1,FALSE))</f>
        <v/>
      </c>
      <c r="AZ229" t="str">
        <f ca="1">IF(AND(ISNUMBER($AZ$676),$B$419=1),$AZ$676,HLOOKUP(INDIRECT(ADDRESS(2,COLUMN())),OFFSET($BN$2,0,0,ROW()-1,60),ROW()-1,FALSE))</f>
        <v/>
      </c>
      <c r="BA229" t="str">
        <f ca="1">IF(AND(ISNUMBER($BA$676),$B$419=1),$BA$676,HLOOKUP(INDIRECT(ADDRESS(2,COLUMN())),OFFSET($BN$2,0,0,ROW()-1,60),ROW()-1,FALSE))</f>
        <v/>
      </c>
      <c r="BB229" t="str">
        <f ca="1">IF(AND(ISNUMBER($BB$676),$B$419=1),$BB$676,HLOOKUP(INDIRECT(ADDRESS(2,COLUMN())),OFFSET($BN$2,0,0,ROW()-1,60),ROW()-1,FALSE))</f>
        <v/>
      </c>
      <c r="BC229" t="str">
        <f ca="1">IF(AND(ISNUMBER($BC$676),$B$419=1),$BC$676,HLOOKUP(INDIRECT(ADDRESS(2,COLUMN())),OFFSET($BN$2,0,0,ROW()-1,60),ROW()-1,FALSE))</f>
        <v/>
      </c>
      <c r="BD229" t="str">
        <f ca="1">IF(AND(ISNUMBER($BD$676),$B$419=1),$BD$676,HLOOKUP(INDIRECT(ADDRESS(2,COLUMN())),OFFSET($BN$2,0,0,ROW()-1,60),ROW()-1,FALSE))</f>
        <v/>
      </c>
      <c r="BE229" t="str">
        <f ca="1">IF(AND(ISNUMBER($BE$676),$B$419=1),$BE$676,HLOOKUP(INDIRECT(ADDRESS(2,COLUMN())),OFFSET($BN$2,0,0,ROW()-1,60),ROW()-1,FALSE))</f>
        <v/>
      </c>
      <c r="BF229" t="str">
        <f ca="1">IF(AND(ISNUMBER($BF$676),$B$419=1),$BF$676,HLOOKUP(INDIRECT(ADDRESS(2,COLUMN())),OFFSET($BN$2,0,0,ROW()-1,60),ROW()-1,FALSE))</f>
        <v/>
      </c>
      <c r="BG229" t="str">
        <f ca="1">IF(AND(ISNUMBER($BG$676),$B$419=1),$BG$676,HLOOKUP(INDIRECT(ADDRESS(2,COLUMN())),OFFSET($BN$2,0,0,ROW()-1,60),ROW()-1,FALSE))</f>
        <v/>
      </c>
      <c r="BH229" t="str">
        <f ca="1">IF(AND(ISNUMBER($BH$676),$B$419=1),$BH$676,HLOOKUP(INDIRECT(ADDRESS(2,COLUMN())),OFFSET($BN$2,0,0,ROW()-1,60),ROW()-1,FALSE))</f>
        <v/>
      </c>
      <c r="BI229" t="str">
        <f ca="1">IF(AND(ISNUMBER($BI$676),$B$419=1),$BI$676,HLOOKUP(INDIRECT(ADDRESS(2,COLUMN())),OFFSET($BN$2,0,0,ROW()-1,60),ROW()-1,FALSE))</f>
        <v/>
      </c>
      <c r="BJ229" t="str">
        <f ca="1">IF(AND(ISNUMBER($BJ$676),$B$419=1),$BJ$676,HLOOKUP(INDIRECT(ADDRESS(2,COLUMN())),OFFSET($BN$2,0,0,ROW()-1,60),ROW()-1,FALSE))</f>
        <v/>
      </c>
      <c r="BK229" t="str">
        <f ca="1">IF(AND(ISNUMBER($BK$676),$B$419=1),$BK$676,HLOOKUP(INDIRECT(ADDRESS(2,COLUMN())),OFFSET($BN$2,0,0,ROW()-1,60),ROW()-1,FALSE))</f>
        <v/>
      </c>
      <c r="BL229" t="str">
        <f ca="1">IF(AND(ISNUMBER($BL$676),$B$419=1),$BL$676,HLOOKUP(INDIRECT(ADDRESS(2,COLUMN())),OFFSET($BN$2,0,0,ROW()-1,60),ROW()-1,FALSE))</f>
        <v/>
      </c>
      <c r="BM229" t="str">
        <f ca="1">IF(AND(ISNUMBER($BM$676),$B$419=1),$BM$676,HLOOKUP(INDIRECT(ADDRESS(2,COLUMN())),OFFSET($BN$2,0,0,ROW()-1,60),ROW()-1,FALSE))</f>
        <v/>
      </c>
      <c r="BN229" t="str">
        <f>""</f>
        <v/>
      </c>
      <c r="BO229">
        <f>2.284770807</f>
        <v>2.2847708070000001</v>
      </c>
      <c r="BP229">
        <f>2.27808626</f>
        <v>2.2780862599999998</v>
      </c>
      <c r="BQ229">
        <f>2.316489743</f>
        <v>2.316489743</v>
      </c>
      <c r="BR229">
        <f>2.325071394</f>
        <v>2.3250713940000001</v>
      </c>
      <c r="BS229">
        <f>2.349477538</f>
        <v>2.3494775379999999</v>
      </c>
      <c r="BT229">
        <f>2.305668314</f>
        <v>2.3056683140000001</v>
      </c>
      <c r="BU229">
        <f>2.261320256</f>
        <v>2.2613202559999999</v>
      </c>
      <c r="BV229">
        <f>2.32549737</f>
        <v>2.3254973699999999</v>
      </c>
      <c r="BW229">
        <f>2.219210739</f>
        <v>2.2192107390000002</v>
      </c>
      <c r="BX229">
        <f>2.256160324</f>
        <v>2.2561603240000001</v>
      </c>
      <c r="BY229">
        <f>2.221425125</f>
        <v>2.2214251250000001</v>
      </c>
      <c r="BZ229">
        <f>2.052332032</f>
        <v>2.0523320319999998</v>
      </c>
      <c r="CA229">
        <f>2.158080822</f>
        <v>2.1580808220000001</v>
      </c>
      <c r="CB229">
        <f>2.140041953</f>
        <v>2.1400419529999999</v>
      </c>
      <c r="CC229">
        <f>2.113971237</f>
        <v>2.1139712369999999</v>
      </c>
      <c r="CD229">
        <f>2.066347267</f>
        <v>2.0663472669999998</v>
      </c>
      <c r="CE229">
        <f>1.674701968</f>
        <v>1.6747019679999999</v>
      </c>
      <c r="CF229">
        <f>2.00624852</f>
        <v>2.0062485200000002</v>
      </c>
      <c r="CG229">
        <f>2.000637488</f>
        <v>2.0006374880000002</v>
      </c>
      <c r="CH229">
        <f>1.906823851</f>
        <v>1.906823851</v>
      </c>
      <c r="CI229">
        <f>1.95300328</f>
        <v>1.9530032799999999</v>
      </c>
      <c r="CJ229" t="str">
        <f>""</f>
        <v/>
      </c>
      <c r="CK229" t="str">
        <f>""</f>
        <v/>
      </c>
      <c r="CL229" t="str">
        <f>""</f>
        <v/>
      </c>
      <c r="CM229" t="str">
        <f>""</f>
        <v/>
      </c>
      <c r="CN229" t="str">
        <f>""</f>
        <v/>
      </c>
      <c r="CO229" t="str">
        <f>""</f>
        <v/>
      </c>
      <c r="CP229" t="str">
        <f>""</f>
        <v/>
      </c>
      <c r="CQ229" t="str">
        <f>""</f>
        <v/>
      </c>
      <c r="CR229" t="str">
        <f>""</f>
        <v/>
      </c>
      <c r="CS229" t="str">
        <f>""</f>
        <v/>
      </c>
      <c r="CT229" t="str">
        <f>""</f>
        <v/>
      </c>
      <c r="CU229" t="str">
        <f>""</f>
        <v/>
      </c>
      <c r="CV229" t="str">
        <f>""</f>
        <v/>
      </c>
      <c r="CW229" t="str">
        <f>""</f>
        <v/>
      </c>
      <c r="CX229" t="str">
        <f>""</f>
        <v/>
      </c>
      <c r="CY229" t="str">
        <f>""</f>
        <v/>
      </c>
      <c r="CZ229" t="str">
        <f>""</f>
        <v/>
      </c>
      <c r="DA229" t="str">
        <f>""</f>
        <v/>
      </c>
      <c r="DB229" t="str">
        <f>""</f>
        <v/>
      </c>
      <c r="DC229" t="str">
        <f>""</f>
        <v/>
      </c>
      <c r="DD229" t="str">
        <f>""</f>
        <v/>
      </c>
      <c r="DE229" t="str">
        <f>""</f>
        <v/>
      </c>
      <c r="DF229" t="str">
        <f>""</f>
        <v/>
      </c>
      <c r="DG229" t="str">
        <f>""</f>
        <v/>
      </c>
      <c r="DH229" t="str">
        <f>""</f>
        <v/>
      </c>
      <c r="DI229" t="str">
        <f>""</f>
        <v/>
      </c>
      <c r="DJ229" t="str">
        <f>""</f>
        <v/>
      </c>
      <c r="DK229" t="str">
        <f>""</f>
        <v/>
      </c>
      <c r="DL229" t="str">
        <f>""</f>
        <v/>
      </c>
      <c r="DM229" t="str">
        <f>""</f>
        <v/>
      </c>
      <c r="DN229" t="str">
        <f>""</f>
        <v/>
      </c>
      <c r="DO229" t="str">
        <f>""</f>
        <v/>
      </c>
      <c r="DP229" t="str">
        <f>""</f>
        <v/>
      </c>
      <c r="DQ229" t="str">
        <f>""</f>
        <v/>
      </c>
      <c r="DR229" t="str">
        <f>""</f>
        <v/>
      </c>
      <c r="DS229" t="str">
        <f>""</f>
        <v/>
      </c>
      <c r="DT229" t="str">
        <f>""</f>
        <v/>
      </c>
      <c r="DU229" t="str">
        <f>""</f>
        <v/>
      </c>
    </row>
    <row r="230" spans="1:125">
      <c r="A230" t="str">
        <f>"    CBL &amp; Associates Properties In"</f>
        <v xml:space="preserve">    CBL &amp; Associates Properties In</v>
      </c>
      <c r="B230" t="str">
        <f>"CBL US Equity"</f>
        <v>CBL US Equity</v>
      </c>
      <c r="C230" t="str">
        <f t="shared" si="42"/>
        <v>RR553</v>
      </c>
      <c r="D230" t="str">
        <f t="shared" si="43"/>
        <v>EBITDA_RE_ASSET</v>
      </c>
      <c r="E230" t="str">
        <f t="shared" si="44"/>
        <v>动态</v>
      </c>
      <c r="F230" t="str">
        <f ca="1">IF(AND(ISNUMBER($F$677),$B$419=1),$F$677,HLOOKUP(INDIRECT(ADDRESS(2,COLUMN())),OFFSET($BN$2,0,0,ROW()-1,60),ROW()-1,FALSE))</f>
        <v/>
      </c>
      <c r="G230">
        <f ca="1">IF(AND(ISNUMBER($G$677),$B$419=1),$G$677,HLOOKUP(INDIRECT(ADDRESS(2,COLUMN())),OFFSET($BN$2,0,0,ROW()-1,60),ROW()-1,FALSE))</f>
        <v>2.8822309700000002</v>
      </c>
      <c r="H230">
        <f ca="1">IF(AND(ISNUMBER($H$677),$B$419=1),$H$677,HLOOKUP(INDIRECT(ADDRESS(2,COLUMN())),OFFSET($BN$2,0,0,ROW()-1,60),ROW()-1,FALSE))</f>
        <v>2.2343972650000001</v>
      </c>
      <c r="I230">
        <f ca="1">IF(AND(ISNUMBER($I$677),$B$419=1),$I$677,HLOOKUP(INDIRECT(ADDRESS(2,COLUMN())),OFFSET($BN$2,0,0,ROW()-1,60),ROW()-1,FALSE))</f>
        <v>1.903879546</v>
      </c>
      <c r="J230">
        <f ca="1">IF(AND(ISNUMBER($J$677),$B$419=1),$J$677,HLOOKUP(INDIRECT(ADDRESS(2,COLUMN())),OFFSET($BN$2,0,0,ROW()-1,60),ROW()-1,FALSE))</f>
        <v>2.5431932339999999</v>
      </c>
      <c r="K230">
        <f ca="1">IF(AND(ISNUMBER($K$677),$B$419=1),$K$677,HLOOKUP(INDIRECT(ADDRESS(2,COLUMN())),OFFSET($BN$2,0,0,ROW()-1,60),ROW()-1,FALSE))</f>
        <v>2.9925739259999999</v>
      </c>
      <c r="L230">
        <f ca="1">IF(AND(ISNUMBER($L$677),$B$419=1),$L$677,HLOOKUP(INDIRECT(ADDRESS(2,COLUMN())),OFFSET($BN$2,0,0,ROW()-1,60),ROW()-1,FALSE))</f>
        <v>1.866850203</v>
      </c>
      <c r="M230">
        <f ca="1">IF(AND(ISNUMBER($M$677),$B$419=1),$M$677,HLOOKUP(INDIRECT(ADDRESS(2,COLUMN())),OFFSET($BN$2,0,0,ROW()-1,60),ROW()-1,FALSE))</f>
        <v>2.1155905929999999</v>
      </c>
      <c r="N230">
        <f ca="1">IF(AND(ISNUMBER($N$677),$B$419=1),$N$677,HLOOKUP(INDIRECT(ADDRESS(2,COLUMN())),OFFSET($BN$2,0,0,ROW()-1,60),ROW()-1,FALSE))</f>
        <v>2.3110890560000001</v>
      </c>
      <c r="O230">
        <f ca="1">IF(AND(ISNUMBER($O$677),$B$419=1),$O$677,HLOOKUP(INDIRECT(ADDRESS(2,COLUMN())),OFFSET($BN$2,0,0,ROW()-1,60),ROW()-1,FALSE))</f>
        <v>1.3869317130000001</v>
      </c>
      <c r="P230">
        <f ca="1">IF(AND(ISNUMBER($P$677),$B$419=1),$P$677,HLOOKUP(INDIRECT(ADDRESS(2,COLUMN())),OFFSET($BN$2,0,0,ROW()-1,60),ROW()-1,FALSE))</f>
        <v>2.640672694</v>
      </c>
      <c r="Q230">
        <f ca="1">IF(AND(ISNUMBER($Q$677),$B$419=1),$Q$677,HLOOKUP(INDIRECT(ADDRESS(2,COLUMN())),OFFSET($BN$2,0,0,ROW()-1,60),ROW()-1,FALSE))</f>
        <v>2.5403394339999998</v>
      </c>
      <c r="R230">
        <f ca="1">IF(AND(ISNUMBER($R$677),$B$419=1),$R$677,HLOOKUP(INDIRECT(ADDRESS(2,COLUMN())),OFFSET($BN$2,0,0,ROW()-1,60),ROW()-1,FALSE))</f>
        <v>2.5990582139999998</v>
      </c>
      <c r="S230">
        <f ca="1">IF(AND(ISNUMBER($S$677),$B$419=1),$S$677,HLOOKUP(INDIRECT(ADDRESS(2,COLUMN())),OFFSET($BN$2,0,0,ROW()-1,60),ROW()-1,FALSE))</f>
        <v>2.932910401</v>
      </c>
      <c r="T230">
        <f ca="1">IF(AND(ISNUMBER($T$677),$B$419=1),$T$677,HLOOKUP(INDIRECT(ADDRESS(2,COLUMN())),OFFSET($BN$2,0,0,ROW()-1,60),ROW()-1,FALSE))</f>
        <v>2.7247238149999999</v>
      </c>
      <c r="U230">
        <f ca="1">IF(AND(ISNUMBER($U$677),$B$419=1),$U$677,HLOOKUP(INDIRECT(ADDRESS(2,COLUMN())),OFFSET($BN$2,0,0,ROW()-1,60),ROW()-1,FALSE))</f>
        <v>2.6624561820000001</v>
      </c>
      <c r="V230">
        <f ca="1">IF(AND(ISNUMBER($V$677),$B$419=1),$V$677,HLOOKUP(INDIRECT(ADDRESS(2,COLUMN())),OFFSET($BN$2,0,0,ROW()-1,60),ROW()-1,FALSE))</f>
        <v>2.3005128250000002</v>
      </c>
      <c r="W230">
        <f ca="1">IF(AND(ISNUMBER($W$677),$B$419=1),$W$677,HLOOKUP(INDIRECT(ADDRESS(2,COLUMN())),OFFSET($BN$2,0,0,ROW()-1,60),ROW()-1,FALSE))</f>
        <v>2.1230556229999999</v>
      </c>
      <c r="X230">
        <f ca="1">IF(AND(ISNUMBER($X$677),$B$419=1),$X$677,HLOOKUP(INDIRECT(ADDRESS(2,COLUMN())),OFFSET($BN$2,0,0,ROW()-1,60),ROW()-1,FALSE))</f>
        <v>2.6174332819999999</v>
      </c>
      <c r="Y230">
        <f ca="1">IF(AND(ISNUMBER($Y$677),$B$419=1),$Y$677,HLOOKUP(INDIRECT(ADDRESS(2,COLUMN())),OFFSET($BN$2,0,0,ROW()-1,60),ROW()-1,FALSE))</f>
        <v>2.237156352</v>
      </c>
      <c r="Z230">
        <f ca="1">IF(AND(ISNUMBER($Z$677),$B$419=1),$Z$677,HLOOKUP(INDIRECT(ADDRESS(2,COLUMN())),OFFSET($BN$2,0,0,ROW()-1,60),ROW()-1,FALSE))</f>
        <v>2.515888356</v>
      </c>
      <c r="AA230">
        <f ca="1">IF(AND(ISNUMBER($AA$677),$B$419=1),$AA$677,HLOOKUP(INDIRECT(ADDRESS(2,COLUMN())),OFFSET($BN$2,0,0,ROW()-1,60),ROW()-1,FALSE))</f>
        <v>2.4787049529999998</v>
      </c>
      <c r="AB230">
        <f ca="1">IF(AND(ISNUMBER($AB$677),$B$419=1),$AB$677,HLOOKUP(INDIRECT(ADDRESS(2,COLUMN())),OFFSET($BN$2,0,0,ROW()-1,60),ROW()-1,FALSE))</f>
        <v>2.49285779</v>
      </c>
      <c r="AC230">
        <f ca="1">IF(AND(ISNUMBER($AC$677),$B$419=1),$AC$677,HLOOKUP(INDIRECT(ADDRESS(2,COLUMN())),OFFSET($BN$2,0,0,ROW()-1,60),ROW()-1,FALSE))</f>
        <v>2.49212386</v>
      </c>
      <c r="AD230">
        <f ca="1">IF(AND(ISNUMBER($AD$677),$B$419=1),$AD$677,HLOOKUP(INDIRECT(ADDRESS(2,COLUMN())),OFFSET($BN$2,0,0,ROW()-1,60),ROW()-1,FALSE))</f>
        <v>2.4713076040000002</v>
      </c>
      <c r="AE230">
        <f ca="1">IF(AND(ISNUMBER($AE$677),$B$419=1),$AE$677,HLOOKUP(INDIRECT(ADDRESS(2,COLUMN())),OFFSET($BN$2,0,0,ROW()-1,60),ROW()-1,FALSE))</f>
        <v>2.818048756</v>
      </c>
      <c r="AF230">
        <f ca="1">IF(AND(ISNUMBER($AF$677),$B$419=1),$AF$677,HLOOKUP(INDIRECT(ADDRESS(2,COLUMN())),OFFSET($BN$2,0,0,ROW()-1,60),ROW()-1,FALSE))</f>
        <v>1.7563397009999999</v>
      </c>
      <c r="AG230">
        <f ca="1">IF(AND(ISNUMBER($AG$677),$B$419=1),$AG$677,HLOOKUP(INDIRECT(ADDRESS(2,COLUMN())),OFFSET($BN$2,0,0,ROW()-1,60),ROW()-1,FALSE))</f>
        <v>2.3970603970000002</v>
      </c>
      <c r="AH230">
        <f ca="1">IF(AND(ISNUMBER($AH$677),$B$419=1),$AH$677,HLOOKUP(INDIRECT(ADDRESS(2,COLUMN())),OFFSET($BN$2,0,0,ROW()-1,60),ROW()-1,FALSE))</f>
        <v>2.3625055979999998</v>
      </c>
      <c r="AI230">
        <f ca="1">IF(AND(ISNUMBER($AI$677),$B$419=1),$AI$677,HLOOKUP(INDIRECT(ADDRESS(2,COLUMN())),OFFSET($BN$2,0,0,ROW()-1,60),ROW()-1,FALSE))</f>
        <v>2.5342863009999999</v>
      </c>
      <c r="AJ230">
        <f ca="1">IF(AND(ISNUMBER($AJ$677),$B$419=1),$AJ$677,HLOOKUP(INDIRECT(ADDRESS(2,COLUMN())),OFFSET($BN$2,0,0,ROW()-1,60),ROW()-1,FALSE))</f>
        <v>2.34490759</v>
      </c>
      <c r="AK230">
        <f ca="1">IF(AND(ISNUMBER($AK$677),$B$419=1),$AK$677,HLOOKUP(INDIRECT(ADDRESS(2,COLUMN())),OFFSET($BN$2,0,0,ROW()-1,60),ROW()-1,FALSE))</f>
        <v>2.3302318729999998</v>
      </c>
      <c r="AL230">
        <f ca="1">IF(AND(ISNUMBER($AL$677),$B$419=1),$AL$677,HLOOKUP(INDIRECT(ADDRESS(2,COLUMN())),OFFSET($BN$2,0,0,ROW()-1,60),ROW()-1,FALSE))</f>
        <v>2.3065980640000001</v>
      </c>
      <c r="AM230">
        <f ca="1">IF(AND(ISNUMBER($AM$677),$B$419=1),$AM$677,HLOOKUP(INDIRECT(ADDRESS(2,COLUMN())),OFFSET($BN$2,0,0,ROW()-1,60),ROW()-1,FALSE))</f>
        <v>1.101046126</v>
      </c>
      <c r="AN230">
        <f ca="1">IF(AND(ISNUMBER($AN$677),$B$419=1),$AN$677,HLOOKUP(INDIRECT(ADDRESS(2,COLUMN())),OFFSET($BN$2,0,0,ROW()-1,60),ROW()-1,FALSE))</f>
        <v>2.1797074890000001</v>
      </c>
      <c r="AO230">
        <f ca="1">IF(AND(ISNUMBER($AO$677),$B$419=1),$AO$677,HLOOKUP(INDIRECT(ADDRESS(2,COLUMN())),OFFSET($BN$2,0,0,ROW()-1,60),ROW()-1,FALSE))</f>
        <v>2.2995991980000001</v>
      </c>
      <c r="AP230">
        <f ca="1">IF(AND(ISNUMBER($AP$677),$B$419=1),$AP$677,HLOOKUP(INDIRECT(ADDRESS(2,COLUMN())),OFFSET($BN$2,0,0,ROW()-1,60),ROW()-1,FALSE))</f>
        <v>2.2648919240000001</v>
      </c>
      <c r="AQ230">
        <f ca="1">IF(AND(ISNUMBER($AQ$677),$B$419=1),$AQ$677,HLOOKUP(INDIRECT(ADDRESS(2,COLUMN())),OFFSET($BN$2,0,0,ROW()-1,60),ROW()-1,FALSE))</f>
        <v>2.3123304660000001</v>
      </c>
      <c r="AR230">
        <f ca="1">IF(AND(ISNUMBER($AR$677),$B$419=1),$AR$677,HLOOKUP(INDIRECT(ADDRESS(2,COLUMN())),OFFSET($BN$2,0,0,ROW()-1,60),ROW()-1,FALSE))</f>
        <v>2.4337710229999998</v>
      </c>
      <c r="AS230">
        <f ca="1">IF(AND(ISNUMBER($AS$677),$B$419=1),$AS$677,HLOOKUP(INDIRECT(ADDRESS(2,COLUMN())),OFFSET($BN$2,0,0,ROW()-1,60),ROW()-1,FALSE))</f>
        <v>2.2727901369999999</v>
      </c>
      <c r="AT230">
        <f ca="1">IF(AND(ISNUMBER($AT$677),$B$419=1),$AT$677,HLOOKUP(INDIRECT(ADDRESS(2,COLUMN())),OFFSET($BN$2,0,0,ROW()-1,60),ROW()-1,FALSE))</f>
        <v>2.2953739729999998</v>
      </c>
      <c r="AU230">
        <f ca="1">IF(AND(ISNUMBER($AU$677),$B$419=1),$AU$677,HLOOKUP(INDIRECT(ADDRESS(2,COLUMN())),OFFSET($BN$2,0,0,ROW()-1,60),ROW()-1,FALSE))</f>
        <v>2.4875764409999999</v>
      </c>
      <c r="AV230">
        <f ca="1">IF(AND(ISNUMBER($AV$677),$B$419=1),$AV$677,HLOOKUP(INDIRECT(ADDRESS(2,COLUMN())),OFFSET($BN$2,0,0,ROW()-1,60),ROW()-1,FALSE))</f>
        <v>2.4772289129999998</v>
      </c>
      <c r="AW230">
        <f ca="1">IF(AND(ISNUMBER($AW$677),$B$419=1),$AW$677,HLOOKUP(INDIRECT(ADDRESS(2,COLUMN())),OFFSET($BN$2,0,0,ROW()-1,60),ROW()-1,FALSE))</f>
        <v>2.4991050490000002</v>
      </c>
      <c r="AX230">
        <f ca="1">IF(AND(ISNUMBER($AX$677),$B$419=1),$AX$677,HLOOKUP(INDIRECT(ADDRESS(2,COLUMN())),OFFSET($BN$2,0,0,ROW()-1,60),ROW()-1,FALSE))</f>
        <v>2.5231214689999999</v>
      </c>
      <c r="AY230">
        <f ca="1">IF(AND(ISNUMBER($AY$677),$B$419=1),$AY$677,HLOOKUP(INDIRECT(ADDRESS(2,COLUMN())),OFFSET($BN$2,0,0,ROW()-1,60),ROW()-1,FALSE))</f>
        <v>2.9110830729999999</v>
      </c>
      <c r="AZ230">
        <f ca="1">IF(AND(ISNUMBER($AZ$677),$B$419=1),$AZ$677,HLOOKUP(INDIRECT(ADDRESS(2,COLUMN())),OFFSET($BN$2,0,0,ROW()-1,60),ROW()-1,FALSE))</f>
        <v>2.539813798</v>
      </c>
      <c r="BA230">
        <f ca="1">IF(AND(ISNUMBER($BA$677),$B$419=1),$BA$677,HLOOKUP(INDIRECT(ADDRESS(2,COLUMN())),OFFSET($BN$2,0,0,ROW()-1,60),ROW()-1,FALSE))</f>
        <v>2.5477932590000001</v>
      </c>
      <c r="BB230">
        <f ca="1">IF(AND(ISNUMBER($BB$677),$B$419=1),$BB$677,HLOOKUP(INDIRECT(ADDRESS(2,COLUMN())),OFFSET($BN$2,0,0,ROW()-1,60),ROW()-1,FALSE))</f>
        <v>2.653716561</v>
      </c>
      <c r="BC230">
        <f ca="1">IF(AND(ISNUMBER($BC$677),$B$419=1),$BC$677,HLOOKUP(INDIRECT(ADDRESS(2,COLUMN())),OFFSET($BN$2,0,0,ROW()-1,60),ROW()-1,FALSE))</f>
        <v>2.9374617459999999</v>
      </c>
      <c r="BD230">
        <f ca="1">IF(AND(ISNUMBER($BD$677),$B$419=1),$BD$677,HLOOKUP(INDIRECT(ADDRESS(2,COLUMN())),OFFSET($BN$2,0,0,ROW()-1,60),ROW()-1,FALSE))</f>
        <v>2.744556899</v>
      </c>
      <c r="BE230">
        <f ca="1">IF(AND(ISNUMBER($BE$677),$B$419=1),$BE$677,HLOOKUP(INDIRECT(ADDRESS(2,COLUMN())),OFFSET($BN$2,0,0,ROW()-1,60),ROW()-1,FALSE))</f>
        <v>2.5982113629999999</v>
      </c>
      <c r="BF230">
        <f ca="1">IF(AND(ISNUMBER($BF$677),$B$419=1),$BF$677,HLOOKUP(INDIRECT(ADDRESS(2,COLUMN())),OFFSET($BN$2,0,0,ROW()-1,60),ROW()-1,FALSE))</f>
        <v>2.8404951340000002</v>
      </c>
      <c r="BG230">
        <f ca="1">IF(AND(ISNUMBER($BG$677),$B$419=1),$BG$677,HLOOKUP(INDIRECT(ADDRESS(2,COLUMN())),OFFSET($BN$2,0,0,ROW()-1,60),ROW()-1,FALSE))</f>
        <v>2.9689461490000002</v>
      </c>
      <c r="BH230">
        <f ca="1">IF(AND(ISNUMBER($BH$677),$B$419=1),$BH$677,HLOOKUP(INDIRECT(ADDRESS(2,COLUMN())),OFFSET($BN$2,0,0,ROW()-1,60),ROW()-1,FALSE))</f>
        <v>3.0909239390000001</v>
      </c>
      <c r="BI230">
        <f ca="1">IF(AND(ISNUMBER($BI$677),$B$419=1),$BI$677,HLOOKUP(INDIRECT(ADDRESS(2,COLUMN())),OFFSET($BN$2,0,0,ROW()-1,60),ROW()-1,FALSE))</f>
        <v>2.3095975860000002</v>
      </c>
      <c r="BJ230">
        <f ca="1">IF(AND(ISNUMBER($BJ$677),$B$419=1),$BJ$677,HLOOKUP(INDIRECT(ADDRESS(2,COLUMN())),OFFSET($BN$2,0,0,ROW()-1,60),ROW()-1,FALSE))</f>
        <v>2.4142330310000002</v>
      </c>
      <c r="BK230">
        <f ca="1">IF(AND(ISNUMBER($BK$677),$B$419=1),$BK$677,HLOOKUP(INDIRECT(ADDRESS(2,COLUMN())),OFFSET($BN$2,0,0,ROW()-1,60),ROW()-1,FALSE))</f>
        <v>2.9212781219999999</v>
      </c>
      <c r="BL230">
        <f ca="1">IF(AND(ISNUMBER($BL$677),$B$419=1),$BL$677,HLOOKUP(INDIRECT(ADDRESS(2,COLUMN())),OFFSET($BN$2,0,0,ROW()-1,60),ROW()-1,FALSE))</f>
        <v>3.0801566970000001</v>
      </c>
      <c r="BM230">
        <f ca="1">IF(AND(ISNUMBER($BM$677),$B$419=1),$BM$677,HLOOKUP(INDIRECT(ADDRESS(2,COLUMN())),OFFSET($BN$2,0,0,ROW()-1,60),ROW()-1,FALSE))</f>
        <v>2.5994723400000002</v>
      </c>
      <c r="BN230" t="str">
        <f>""</f>
        <v/>
      </c>
      <c r="BO230">
        <f>2.88223097</f>
        <v>2.8822309700000002</v>
      </c>
      <c r="BP230">
        <f>2.234397265</f>
        <v>2.2343972650000001</v>
      </c>
      <c r="BQ230">
        <f>1.903879546</f>
        <v>1.903879546</v>
      </c>
      <c r="BR230">
        <f>2.543193234</f>
        <v>2.5431932339999999</v>
      </c>
      <c r="BS230">
        <f>2.992573926</f>
        <v>2.9925739259999999</v>
      </c>
      <c r="BT230">
        <f>1.866850203</f>
        <v>1.866850203</v>
      </c>
      <c r="BU230">
        <f>2.115590593</f>
        <v>2.1155905929999999</v>
      </c>
      <c r="BV230">
        <f>2.311089056</f>
        <v>2.3110890560000001</v>
      </c>
      <c r="BW230">
        <f>1.386931713</f>
        <v>1.3869317130000001</v>
      </c>
      <c r="BX230">
        <f>2.640672694</f>
        <v>2.640672694</v>
      </c>
      <c r="BY230">
        <f>2.540339434</f>
        <v>2.5403394339999998</v>
      </c>
      <c r="BZ230">
        <f>2.599058214</f>
        <v>2.5990582139999998</v>
      </c>
      <c r="CA230">
        <f>2.932910401</f>
        <v>2.932910401</v>
      </c>
      <c r="CB230">
        <f>2.724723815</f>
        <v>2.7247238149999999</v>
      </c>
      <c r="CC230">
        <f>2.662456182</f>
        <v>2.6624561820000001</v>
      </c>
      <c r="CD230">
        <f>2.300512825</f>
        <v>2.3005128250000002</v>
      </c>
      <c r="CE230">
        <f>2.123055623</f>
        <v>2.1230556229999999</v>
      </c>
      <c r="CF230">
        <f>2.617433282</f>
        <v>2.6174332819999999</v>
      </c>
      <c r="CG230">
        <f>2.237156352</f>
        <v>2.237156352</v>
      </c>
      <c r="CH230">
        <f>2.515888356</f>
        <v>2.515888356</v>
      </c>
      <c r="CI230">
        <f>2.478704953</f>
        <v>2.4787049529999998</v>
      </c>
      <c r="CJ230">
        <f>2.49285779</f>
        <v>2.49285779</v>
      </c>
      <c r="CK230">
        <f>2.49212386</f>
        <v>2.49212386</v>
      </c>
      <c r="CL230">
        <f>2.471307604</f>
        <v>2.4713076040000002</v>
      </c>
      <c r="CM230">
        <f>2.818048756</f>
        <v>2.818048756</v>
      </c>
      <c r="CN230">
        <f>1.756339701</f>
        <v>1.7563397009999999</v>
      </c>
      <c r="CO230">
        <f>2.397060397</f>
        <v>2.3970603970000002</v>
      </c>
      <c r="CP230">
        <f>2.362505598</f>
        <v>2.3625055979999998</v>
      </c>
      <c r="CQ230">
        <f>2.534286301</f>
        <v>2.5342863009999999</v>
      </c>
      <c r="CR230">
        <f>2.34490759</f>
        <v>2.34490759</v>
      </c>
      <c r="CS230">
        <f>2.330231873</f>
        <v>2.3302318729999998</v>
      </c>
      <c r="CT230">
        <f>2.306598064</f>
        <v>2.3065980640000001</v>
      </c>
      <c r="CU230">
        <f>1.101046126</f>
        <v>1.101046126</v>
      </c>
      <c r="CV230">
        <f>2.179707489</f>
        <v>2.1797074890000001</v>
      </c>
      <c r="CW230">
        <f>2.299599198</f>
        <v>2.2995991980000001</v>
      </c>
      <c r="CX230">
        <f>2.264891924</f>
        <v>2.2648919240000001</v>
      </c>
      <c r="CY230">
        <f>2.312330466</f>
        <v>2.3123304660000001</v>
      </c>
      <c r="CZ230">
        <f>2.433771023</f>
        <v>2.4337710229999998</v>
      </c>
      <c r="DA230">
        <f>2.272790137</f>
        <v>2.2727901369999999</v>
      </c>
      <c r="DB230">
        <f>2.295373973</f>
        <v>2.2953739729999998</v>
      </c>
      <c r="DC230">
        <f>2.487576441</f>
        <v>2.4875764409999999</v>
      </c>
      <c r="DD230">
        <f>2.477228913</f>
        <v>2.4772289129999998</v>
      </c>
      <c r="DE230">
        <f>2.499105049</f>
        <v>2.4991050490000002</v>
      </c>
      <c r="DF230">
        <f>2.523121469</f>
        <v>2.5231214689999999</v>
      </c>
      <c r="DG230">
        <f>2.911083073</f>
        <v>2.9110830729999999</v>
      </c>
      <c r="DH230">
        <f>2.539813798</f>
        <v>2.539813798</v>
      </c>
      <c r="DI230">
        <f>2.547793259</f>
        <v>2.5477932590000001</v>
      </c>
      <c r="DJ230">
        <f>2.653716561</f>
        <v>2.653716561</v>
      </c>
      <c r="DK230">
        <f>2.937461746</f>
        <v>2.9374617459999999</v>
      </c>
      <c r="DL230">
        <f>2.744556899</f>
        <v>2.744556899</v>
      </c>
      <c r="DM230">
        <f>2.598211363</f>
        <v>2.5982113629999999</v>
      </c>
      <c r="DN230">
        <f>2.840495134</f>
        <v>2.8404951340000002</v>
      </c>
      <c r="DO230">
        <f>2.968946149</f>
        <v>2.9689461490000002</v>
      </c>
      <c r="DP230">
        <f>3.090923939</f>
        <v>3.0909239390000001</v>
      </c>
      <c r="DQ230">
        <f>2.309597586</f>
        <v>2.3095975860000002</v>
      </c>
      <c r="DR230">
        <f>2.414233031</f>
        <v>2.4142330310000002</v>
      </c>
      <c r="DS230">
        <f>2.921278122</f>
        <v>2.9212781219999999</v>
      </c>
      <c r="DT230">
        <f>3.080156697</f>
        <v>3.0801566970000001</v>
      </c>
      <c r="DU230">
        <f>2.59947234</f>
        <v>2.5994723400000002</v>
      </c>
    </row>
    <row r="231" spans="1:125">
      <c r="A231" t="str">
        <f>"    DDR Corp"</f>
        <v xml:space="preserve">    DDR Corp</v>
      </c>
      <c r="B231" t="str">
        <f>"DDR US Equity"</f>
        <v>DDR US Equity</v>
      </c>
      <c r="C231" t="str">
        <f t="shared" si="42"/>
        <v>RR553</v>
      </c>
      <c r="D231" t="str">
        <f t="shared" si="43"/>
        <v>EBITDA_RE_ASSET</v>
      </c>
      <c r="E231" t="str">
        <f t="shared" si="44"/>
        <v>动态</v>
      </c>
      <c r="F231" t="str">
        <f ca="1">IF(AND(ISNUMBER($F$678),$B$419=1),$F$678,HLOOKUP(INDIRECT(ADDRESS(2,COLUMN())),OFFSET($BN$2,0,0,ROW()-1,60),ROW()-1,FALSE))</f>
        <v/>
      </c>
      <c r="G231">
        <f ca="1">IF(AND(ISNUMBER($G$678),$B$419=1),$G$678,HLOOKUP(INDIRECT(ADDRESS(2,COLUMN())),OFFSET($BN$2,0,0,ROW()-1,60),ROW()-1,FALSE))</f>
        <v>-2.2136717579999998</v>
      </c>
      <c r="H231">
        <f ca="1">IF(AND(ISNUMBER($H$678),$B$419=1),$H$678,HLOOKUP(INDIRECT(ADDRESS(2,COLUMN())),OFFSET($BN$2,0,0,ROW()-1,60),ROW()-1,FALSE))</f>
        <v>1.8733158670000001</v>
      </c>
      <c r="I231">
        <f ca="1">IF(AND(ISNUMBER($I$678),$B$419=1),$I$678,HLOOKUP(INDIRECT(ADDRESS(2,COLUMN())),OFFSET($BN$2,0,0,ROW()-1,60),ROW()-1,FALSE))</f>
        <v>1.6084341360000001</v>
      </c>
      <c r="J231">
        <f ca="1">IF(AND(ISNUMBER($J$678),$B$419=1),$J$678,HLOOKUP(INDIRECT(ADDRESS(2,COLUMN())),OFFSET($BN$2,0,0,ROW()-1,60),ROW()-1,FALSE))</f>
        <v>1.5742198039999999</v>
      </c>
      <c r="K231">
        <f ca="1">IF(AND(ISNUMBER($K$678),$B$419=1),$K$678,HLOOKUP(INDIRECT(ADDRESS(2,COLUMN())),OFFSET($BN$2,0,0,ROW()-1,60),ROW()-1,FALSE))</f>
        <v>1.821437252</v>
      </c>
      <c r="L231">
        <f ca="1">IF(AND(ISNUMBER($L$678),$B$419=1),$L$678,HLOOKUP(INDIRECT(ADDRESS(2,COLUMN())),OFFSET($BN$2,0,0,ROW()-1,60),ROW()-1,FALSE))</f>
        <v>0.75181411300000001</v>
      </c>
      <c r="M231">
        <f ca="1">IF(AND(ISNUMBER($M$678),$B$419=1),$M$678,HLOOKUP(INDIRECT(ADDRESS(2,COLUMN())),OFFSET($BN$2,0,0,ROW()-1,60),ROW()-1,FALSE))</f>
        <v>2.0000814610000002</v>
      </c>
      <c r="N231">
        <f ca="1">IF(AND(ISNUMBER($N$678),$B$419=1),$N$678,HLOOKUP(INDIRECT(ADDRESS(2,COLUMN())),OFFSET($BN$2,0,0,ROW()-1,60),ROW()-1,FALSE))</f>
        <v>1.941288216</v>
      </c>
      <c r="O231">
        <f ca="1">IF(AND(ISNUMBER($O$678),$B$419=1),$O$678,HLOOKUP(INDIRECT(ADDRESS(2,COLUMN())),OFFSET($BN$2,0,0,ROW()-1,60),ROW()-1,FALSE))</f>
        <v>1.8253838870000001</v>
      </c>
      <c r="P231">
        <f ca="1">IF(AND(ISNUMBER($P$678),$B$419=1),$P$678,HLOOKUP(INDIRECT(ADDRESS(2,COLUMN())),OFFSET($BN$2,0,0,ROW()-1,60),ROW()-1,FALSE))</f>
        <v>1.9420077149999999</v>
      </c>
      <c r="Q231">
        <f ca="1">IF(AND(ISNUMBER($Q$678),$B$419=1),$Q$678,HLOOKUP(INDIRECT(ADDRESS(2,COLUMN())),OFFSET($BN$2,0,0,ROW()-1,60),ROW()-1,FALSE))</f>
        <v>1.9033775079999999</v>
      </c>
      <c r="R231">
        <f ca="1">IF(AND(ISNUMBER($R$678),$B$419=1),$R$678,HLOOKUP(INDIRECT(ADDRESS(2,COLUMN())),OFFSET($BN$2,0,0,ROW()-1,60),ROW()-1,FALSE))</f>
        <v>-1.344903526</v>
      </c>
      <c r="S231">
        <f ca="1">IF(AND(ISNUMBER($S$678),$B$419=1),$S$678,HLOOKUP(INDIRECT(ADDRESS(2,COLUMN())),OFFSET($BN$2,0,0,ROW()-1,60),ROW()-1,FALSE))</f>
        <v>1.3669663350000001</v>
      </c>
      <c r="T231">
        <f ca="1">IF(AND(ISNUMBER($T$678),$B$419=1),$T$678,HLOOKUP(INDIRECT(ADDRESS(2,COLUMN())),OFFSET($BN$2,0,0,ROW()-1,60),ROW()-1,FALSE))</f>
        <v>1.7850652060000001</v>
      </c>
      <c r="U231">
        <f ca="1">IF(AND(ISNUMBER($U$678),$B$419=1),$U$678,HLOOKUP(INDIRECT(ADDRESS(2,COLUMN())),OFFSET($BN$2,0,0,ROW()-1,60),ROW()-1,FALSE))</f>
        <v>1.659526992</v>
      </c>
      <c r="V231">
        <f ca="1">IF(AND(ISNUMBER($V$678),$B$419=1),$V$678,HLOOKUP(INDIRECT(ADDRESS(2,COLUMN())),OFFSET($BN$2,0,0,ROW()-1,60),ROW()-1,FALSE))</f>
        <v>1.6540715530000001</v>
      </c>
      <c r="W231">
        <f ca="1">IF(AND(ISNUMBER($W$678),$B$419=1),$W$678,HLOOKUP(INDIRECT(ADDRESS(2,COLUMN())),OFFSET($BN$2,0,0,ROW()-1,60),ROW()-1,FALSE))</f>
        <v>1.6695626109999999</v>
      </c>
      <c r="X231">
        <f ca="1">IF(AND(ISNUMBER($X$678),$B$419=1),$X$678,HLOOKUP(INDIRECT(ADDRESS(2,COLUMN())),OFFSET($BN$2,0,0,ROW()-1,60),ROW()-1,FALSE))</f>
        <v>1.5253881220000001</v>
      </c>
      <c r="Y231">
        <f ca="1">IF(AND(ISNUMBER($Y$678),$B$419=1),$Y$678,HLOOKUP(INDIRECT(ADDRESS(2,COLUMN())),OFFSET($BN$2,0,0,ROW()-1,60),ROW()-1,FALSE))</f>
        <v>1.582342414</v>
      </c>
      <c r="Z231">
        <f ca="1">IF(AND(ISNUMBER($Z$678),$B$419=1),$Z$678,HLOOKUP(INDIRECT(ADDRESS(2,COLUMN())),OFFSET($BN$2,0,0,ROW()-1,60),ROW()-1,FALSE))</f>
        <v>1.597525678</v>
      </c>
      <c r="AA231">
        <f ca="1">IF(AND(ISNUMBER($AA$678),$B$419=1),$AA$678,HLOOKUP(INDIRECT(ADDRESS(2,COLUMN())),OFFSET($BN$2,0,0,ROW()-1,60),ROW()-1,FALSE))</f>
        <v>1.499961635</v>
      </c>
      <c r="AB231">
        <f ca="1">IF(AND(ISNUMBER($AB$678),$B$419=1),$AB$678,HLOOKUP(INDIRECT(ADDRESS(2,COLUMN())),OFFSET($BN$2,0,0,ROW()-1,60),ROW()-1,FALSE))</f>
        <v>1.257199138</v>
      </c>
      <c r="AC231">
        <f ca="1">IF(AND(ISNUMBER($AC$678),$B$419=1),$AC$678,HLOOKUP(INDIRECT(ADDRESS(2,COLUMN())),OFFSET($BN$2,0,0,ROW()-1,60),ROW()-1,FALSE))</f>
        <v>1.024859118</v>
      </c>
      <c r="AD231">
        <f ca="1">IF(AND(ISNUMBER($AD$678),$B$419=1),$AD$678,HLOOKUP(INDIRECT(ADDRESS(2,COLUMN())),OFFSET($BN$2,0,0,ROW()-1,60),ROW()-1,FALSE))</f>
        <v>1.584068247</v>
      </c>
      <c r="AE231">
        <f ca="1">IF(AND(ISNUMBER($AE$678),$B$419=1),$AE$678,HLOOKUP(INDIRECT(ADDRESS(2,COLUMN())),OFFSET($BN$2,0,0,ROW()-1,60),ROW()-1,FALSE))</f>
        <v>1.571563617</v>
      </c>
      <c r="AF231">
        <f ca="1">IF(AND(ISNUMBER($AF$678),$B$419=1),$AF$678,HLOOKUP(INDIRECT(ADDRESS(2,COLUMN())),OFFSET($BN$2,0,0,ROW()-1,60),ROW()-1,FALSE))</f>
        <v>0.89867731200000001</v>
      </c>
      <c r="AG231">
        <f ca="1">IF(AND(ISNUMBER($AG$678),$B$419=1),$AG$678,HLOOKUP(INDIRECT(ADDRESS(2,COLUMN())),OFFSET($BN$2,0,0,ROW()-1,60),ROW()-1,FALSE))</f>
        <v>1.4404644740000001</v>
      </c>
      <c r="AH231">
        <f ca="1">IF(AND(ISNUMBER($AH$678),$B$419=1),$AH$678,HLOOKUP(INDIRECT(ADDRESS(2,COLUMN())),OFFSET($BN$2,0,0,ROW()-1,60),ROW()-1,FALSE))</f>
        <v>1.3074529420000001</v>
      </c>
      <c r="AI231">
        <f ca="1">IF(AND(ISNUMBER($AI$678),$B$419=1),$AI$678,HLOOKUP(INDIRECT(ADDRESS(2,COLUMN())),OFFSET($BN$2,0,0,ROW()-1,60),ROW()-1,FALSE))</f>
        <v>1.2720697700000001</v>
      </c>
      <c r="AJ231">
        <f ca="1">IF(AND(ISNUMBER($AJ$678),$B$419=1),$AJ$678,HLOOKUP(INDIRECT(ADDRESS(2,COLUMN())),OFFSET($BN$2,0,0,ROW()-1,60),ROW()-1,FALSE))</f>
        <v>1.4450909919999999</v>
      </c>
      <c r="AK231">
        <f ca="1">IF(AND(ISNUMBER($AK$678),$B$419=1),$AK$678,HLOOKUP(INDIRECT(ADDRESS(2,COLUMN())),OFFSET($BN$2,0,0,ROW()-1,60),ROW()-1,FALSE))</f>
        <v>0.51111883300000005</v>
      </c>
      <c r="AL231">
        <f ca="1">IF(AND(ISNUMBER($AL$678),$B$419=1),$AL$678,HLOOKUP(INDIRECT(ADDRESS(2,COLUMN())),OFFSET($BN$2,0,0,ROW()-1,60),ROW()-1,FALSE))</f>
        <v>1.496333068</v>
      </c>
      <c r="AM231">
        <f ca="1">IF(AND(ISNUMBER($AM$678),$B$419=1),$AM$678,HLOOKUP(INDIRECT(ADDRESS(2,COLUMN())),OFFSET($BN$2,0,0,ROW()-1,60),ROW()-1,FALSE))</f>
        <v>1.6380411530000001</v>
      </c>
      <c r="AN231">
        <f ca="1">IF(AND(ISNUMBER($AN$678),$B$419=1),$AN$678,HLOOKUP(INDIRECT(ADDRESS(2,COLUMN())),OFFSET($BN$2,0,0,ROW()-1,60),ROW()-1,FALSE))</f>
        <v>0.59092731499999995</v>
      </c>
      <c r="AO231">
        <f ca="1">IF(AND(ISNUMBER($AO$678),$B$419=1),$AO$678,HLOOKUP(INDIRECT(ADDRESS(2,COLUMN())),OFFSET($BN$2,0,0,ROW()-1,60),ROW()-1,FALSE))</f>
        <v>0.24682547399999999</v>
      </c>
      <c r="AP231">
        <f ca="1">IF(AND(ISNUMBER($AP$678),$B$419=1),$AP$678,HLOOKUP(INDIRECT(ADDRESS(2,COLUMN())),OFFSET($BN$2,0,0,ROW()-1,60),ROW()-1,FALSE))</f>
        <v>1.4060896810000001</v>
      </c>
      <c r="AQ231">
        <f ca="1">IF(AND(ISNUMBER($AQ$678),$B$419=1),$AQ$678,HLOOKUP(INDIRECT(ADDRESS(2,COLUMN())),OFFSET($BN$2,0,0,ROW()-1,60),ROW()-1,FALSE))</f>
        <v>2.366168311</v>
      </c>
      <c r="AR231">
        <f ca="1">IF(AND(ISNUMBER($AR$678),$B$419=1),$AR$678,HLOOKUP(INDIRECT(ADDRESS(2,COLUMN())),OFFSET($BN$2,0,0,ROW()-1,60),ROW()-1,FALSE))</f>
        <v>1.61339834</v>
      </c>
      <c r="AS231">
        <f ca="1">IF(AND(ISNUMBER($AS$678),$B$419=1),$AS$678,HLOOKUP(INDIRECT(ADDRESS(2,COLUMN())),OFFSET($BN$2,0,0,ROW()-1,60),ROW()-1,FALSE))</f>
        <v>0.97031856000000005</v>
      </c>
      <c r="AT231">
        <f ca="1">IF(AND(ISNUMBER($AT$678),$B$419=1),$AT$678,HLOOKUP(INDIRECT(ADDRESS(2,COLUMN())),OFFSET($BN$2,0,0,ROW()-1,60),ROW()-1,FALSE))</f>
        <v>1.761961015</v>
      </c>
      <c r="AU231" t="str">
        <f ca="1">IF(AND(ISNUMBER($AU$678),$B$419=1),$AU$678,HLOOKUP(INDIRECT(ADDRESS(2,COLUMN())),OFFSET($BN$2,0,0,ROW()-1,60),ROW()-1,FALSE))</f>
        <v/>
      </c>
      <c r="AV231" t="str">
        <f ca="1">IF(AND(ISNUMBER($AV$678),$B$419=1),$AV$678,HLOOKUP(INDIRECT(ADDRESS(2,COLUMN())),OFFSET($BN$2,0,0,ROW()-1,60),ROW()-1,FALSE))</f>
        <v/>
      </c>
      <c r="AW231" t="str">
        <f ca="1">IF(AND(ISNUMBER($AW$678),$B$419=1),$AW$678,HLOOKUP(INDIRECT(ADDRESS(2,COLUMN())),OFFSET($BN$2,0,0,ROW()-1,60),ROW()-1,FALSE))</f>
        <v/>
      </c>
      <c r="AX231">
        <f ca="1">IF(AND(ISNUMBER($AX$678),$B$419=1),$AX$678,HLOOKUP(INDIRECT(ADDRESS(2,COLUMN())),OFFSET($BN$2,0,0,ROW()-1,60),ROW()-1,FALSE))</f>
        <v>1.4297361550000001</v>
      </c>
      <c r="AY231" t="str">
        <f ca="1">IF(AND(ISNUMBER($AY$678),$B$419=1),$AY$678,HLOOKUP(INDIRECT(ADDRESS(2,COLUMN())),OFFSET($BN$2,0,0,ROW()-1,60),ROW()-1,FALSE))</f>
        <v/>
      </c>
      <c r="AZ231" t="str">
        <f ca="1">IF(AND(ISNUMBER($AZ$678),$B$419=1),$AZ$678,HLOOKUP(INDIRECT(ADDRESS(2,COLUMN())),OFFSET($BN$2,0,0,ROW()-1,60),ROW()-1,FALSE))</f>
        <v/>
      </c>
      <c r="BA231" t="str">
        <f ca="1">IF(AND(ISNUMBER($BA$678),$B$419=1),$BA$678,HLOOKUP(INDIRECT(ADDRESS(2,COLUMN())),OFFSET($BN$2,0,0,ROW()-1,60),ROW()-1,FALSE))</f>
        <v/>
      </c>
      <c r="BB231" t="str">
        <f ca="1">IF(AND(ISNUMBER($BB$678),$B$419=1),$BB$678,HLOOKUP(INDIRECT(ADDRESS(2,COLUMN())),OFFSET($BN$2,0,0,ROW()-1,60),ROW()-1,FALSE))</f>
        <v/>
      </c>
      <c r="BC231">
        <f ca="1">IF(AND(ISNUMBER($BC$678),$B$419=1),$BC$678,HLOOKUP(INDIRECT(ADDRESS(2,COLUMN())),OFFSET($BN$2,0,0,ROW()-1,60),ROW()-1,FALSE))</f>
        <v>3.2228478059999999</v>
      </c>
      <c r="BD231">
        <f ca="1">IF(AND(ISNUMBER($BD$678),$B$419=1),$BD$678,HLOOKUP(INDIRECT(ADDRESS(2,COLUMN())),OFFSET($BN$2,0,0,ROW()-1,60),ROW()-1,FALSE))</f>
        <v>1.8276055440000001</v>
      </c>
      <c r="BE231" t="str">
        <f ca="1">IF(AND(ISNUMBER($BE$678),$B$419=1),$BE$678,HLOOKUP(INDIRECT(ADDRESS(2,COLUMN())),OFFSET($BN$2,0,0,ROW()-1,60),ROW()-1,FALSE))</f>
        <v/>
      </c>
      <c r="BF231" t="str">
        <f ca="1">IF(AND(ISNUMBER($BF$678),$B$419=1),$BF$678,HLOOKUP(INDIRECT(ADDRESS(2,COLUMN())),OFFSET($BN$2,0,0,ROW()-1,60),ROW()-1,FALSE))</f>
        <v/>
      </c>
      <c r="BG231">
        <f ca="1">IF(AND(ISNUMBER($BG$678),$B$419=1),$BG$678,HLOOKUP(INDIRECT(ADDRESS(2,COLUMN())),OFFSET($BN$2,0,0,ROW()-1,60),ROW()-1,FALSE))</f>
        <v>1.966210301</v>
      </c>
      <c r="BH231">
        <f ca="1">IF(AND(ISNUMBER($BH$678),$B$419=1),$BH$678,HLOOKUP(INDIRECT(ADDRESS(2,COLUMN())),OFFSET($BN$2,0,0,ROW()-1,60),ROW()-1,FALSE))</f>
        <v>1.905919473</v>
      </c>
      <c r="BI231" t="str">
        <f ca="1">IF(AND(ISNUMBER($BI$678),$B$419=1),$BI$678,HLOOKUP(INDIRECT(ADDRESS(2,COLUMN())),OFFSET($BN$2,0,0,ROW()-1,60),ROW()-1,FALSE))</f>
        <v/>
      </c>
      <c r="BJ231" t="str">
        <f ca="1">IF(AND(ISNUMBER($BJ$678),$B$419=1),$BJ$678,HLOOKUP(INDIRECT(ADDRESS(2,COLUMN())),OFFSET($BN$2,0,0,ROW()-1,60),ROW()-1,FALSE))</f>
        <v/>
      </c>
      <c r="BK231" t="str">
        <f ca="1">IF(AND(ISNUMBER($BK$678),$B$419=1),$BK$678,HLOOKUP(INDIRECT(ADDRESS(2,COLUMN())),OFFSET($BN$2,0,0,ROW()-1,60),ROW()-1,FALSE))</f>
        <v/>
      </c>
      <c r="BL231" t="str">
        <f ca="1">IF(AND(ISNUMBER($BL$678),$B$419=1),$BL$678,HLOOKUP(INDIRECT(ADDRESS(2,COLUMN())),OFFSET($BN$2,0,0,ROW()-1,60),ROW()-1,FALSE))</f>
        <v/>
      </c>
      <c r="BM231" t="str">
        <f ca="1">IF(AND(ISNUMBER($BM$678),$B$419=1),$BM$678,HLOOKUP(INDIRECT(ADDRESS(2,COLUMN())),OFFSET($BN$2,0,0,ROW()-1,60),ROW()-1,FALSE))</f>
        <v/>
      </c>
      <c r="BN231" t="str">
        <f>""</f>
        <v/>
      </c>
      <c r="BO231">
        <f>-2.213671758</f>
        <v>-2.2136717579999998</v>
      </c>
      <c r="BP231">
        <f>1.873315867</f>
        <v>1.8733158670000001</v>
      </c>
      <c r="BQ231">
        <f>1.608434136</f>
        <v>1.6084341360000001</v>
      </c>
      <c r="BR231">
        <f>1.574219804</f>
        <v>1.5742198039999999</v>
      </c>
      <c r="BS231">
        <f>1.821437252</f>
        <v>1.821437252</v>
      </c>
      <c r="BT231">
        <f>0.751814113</f>
        <v>0.75181411300000001</v>
      </c>
      <c r="BU231">
        <f>2.000081461</f>
        <v>2.0000814610000002</v>
      </c>
      <c r="BV231">
        <f>1.941288216</f>
        <v>1.941288216</v>
      </c>
      <c r="BW231">
        <f>1.825383887</f>
        <v>1.8253838870000001</v>
      </c>
      <c r="BX231">
        <f>1.942007715</f>
        <v>1.9420077149999999</v>
      </c>
      <c r="BY231">
        <f>1.903377508</f>
        <v>1.9033775079999999</v>
      </c>
      <c r="BZ231">
        <f>-1.344903526</f>
        <v>-1.344903526</v>
      </c>
      <c r="CA231">
        <f>1.366966335</f>
        <v>1.3669663350000001</v>
      </c>
      <c r="CB231">
        <f>1.785065206</f>
        <v>1.7850652060000001</v>
      </c>
      <c r="CC231">
        <f>1.659526992</f>
        <v>1.659526992</v>
      </c>
      <c r="CD231">
        <f>1.654071553</f>
        <v>1.6540715530000001</v>
      </c>
      <c r="CE231">
        <f>1.669562611</f>
        <v>1.6695626109999999</v>
      </c>
      <c r="CF231">
        <f>1.525388122</f>
        <v>1.5253881220000001</v>
      </c>
      <c r="CG231">
        <f>1.582342414</f>
        <v>1.582342414</v>
      </c>
      <c r="CH231">
        <f>1.597525678</f>
        <v>1.597525678</v>
      </c>
      <c r="CI231">
        <f>1.499961635</f>
        <v>1.499961635</v>
      </c>
      <c r="CJ231">
        <f>1.257199138</f>
        <v>1.257199138</v>
      </c>
      <c r="CK231">
        <f>1.024859118</f>
        <v>1.024859118</v>
      </c>
      <c r="CL231">
        <f>1.584068247</f>
        <v>1.584068247</v>
      </c>
      <c r="CM231">
        <f>1.571563617</f>
        <v>1.571563617</v>
      </c>
      <c r="CN231">
        <f>0.898677312</f>
        <v>0.89867731200000001</v>
      </c>
      <c r="CO231">
        <f>1.440464474</f>
        <v>1.4404644740000001</v>
      </c>
      <c r="CP231">
        <f>1.307452942</f>
        <v>1.3074529420000001</v>
      </c>
      <c r="CQ231">
        <f>1.27206977</f>
        <v>1.2720697700000001</v>
      </c>
      <c r="CR231">
        <f>1.445090992</f>
        <v>1.4450909919999999</v>
      </c>
      <c r="CS231">
        <f>0.511118833</f>
        <v>0.51111883300000005</v>
      </c>
      <c r="CT231">
        <f>1.496333068</f>
        <v>1.496333068</v>
      </c>
      <c r="CU231">
        <f>1.638041153</f>
        <v>1.6380411530000001</v>
      </c>
      <c r="CV231">
        <f>0.590927315</f>
        <v>0.59092731499999995</v>
      </c>
      <c r="CW231">
        <f>0.246825474</f>
        <v>0.24682547399999999</v>
      </c>
      <c r="CX231">
        <f>1.406089681</f>
        <v>1.4060896810000001</v>
      </c>
      <c r="CY231">
        <f>2.366168311</f>
        <v>2.366168311</v>
      </c>
      <c r="CZ231">
        <f>1.61339834</f>
        <v>1.61339834</v>
      </c>
      <c r="DA231">
        <f>0.97031856</f>
        <v>0.97031856000000005</v>
      </c>
      <c r="DB231">
        <f>1.761961015</f>
        <v>1.761961015</v>
      </c>
      <c r="DC231" t="str">
        <f>""</f>
        <v/>
      </c>
      <c r="DD231" t="str">
        <f>""</f>
        <v/>
      </c>
      <c r="DE231" t="str">
        <f>""</f>
        <v/>
      </c>
      <c r="DF231">
        <f>1.429736155</f>
        <v>1.4297361550000001</v>
      </c>
      <c r="DG231" t="str">
        <f>""</f>
        <v/>
      </c>
      <c r="DH231" t="str">
        <f>""</f>
        <v/>
      </c>
      <c r="DI231" t="str">
        <f>""</f>
        <v/>
      </c>
      <c r="DJ231" t="str">
        <f>""</f>
        <v/>
      </c>
      <c r="DK231">
        <f>3.222847806</f>
        <v>3.2228478059999999</v>
      </c>
      <c r="DL231">
        <f>1.827605544</f>
        <v>1.8276055440000001</v>
      </c>
      <c r="DM231" t="str">
        <f>""</f>
        <v/>
      </c>
      <c r="DN231" t="str">
        <f>""</f>
        <v/>
      </c>
      <c r="DO231">
        <f>1.966210301</f>
        <v>1.966210301</v>
      </c>
      <c r="DP231">
        <f>1.905919473</f>
        <v>1.905919473</v>
      </c>
      <c r="DQ231" t="str">
        <f>""</f>
        <v/>
      </c>
      <c r="DR231" t="str">
        <f>""</f>
        <v/>
      </c>
      <c r="DS231" t="str">
        <f>""</f>
        <v/>
      </c>
      <c r="DT231" t="str">
        <f>""</f>
        <v/>
      </c>
      <c r="DU231" t="str">
        <f>""</f>
        <v/>
      </c>
    </row>
    <row r="232" spans="1:125">
      <c r="A232" t="str">
        <f>"    Federal Realty Investment Trus"</f>
        <v xml:space="preserve">    Federal Realty Investment Trus</v>
      </c>
      <c r="B232" t="str">
        <f>"FRT US Equity"</f>
        <v>FRT US Equity</v>
      </c>
      <c r="C232" t="str">
        <f t="shared" si="42"/>
        <v>RR553</v>
      </c>
      <c r="D232" t="str">
        <f t="shared" si="43"/>
        <v>EBITDA_RE_ASSET</v>
      </c>
      <c r="E232" t="str">
        <f t="shared" si="44"/>
        <v>动态</v>
      </c>
      <c r="F232" t="str">
        <f ca="1">IF(AND(ISNUMBER($F$679),$B$419=1),$F$679,HLOOKUP(INDIRECT(ADDRESS(2,COLUMN())),OFFSET($BN$2,0,0,ROW()-1,60),ROW()-1,FALSE))</f>
        <v/>
      </c>
      <c r="G232">
        <f ca="1">IF(AND(ISNUMBER($G$679),$B$419=1),$G$679,HLOOKUP(INDIRECT(ADDRESS(2,COLUMN())),OFFSET($BN$2,0,0,ROW()-1,60),ROW()-1,FALSE))</f>
        <v>2.4007175780000001</v>
      </c>
      <c r="H232">
        <f ca="1">IF(AND(ISNUMBER($H$679),$B$419=1),$H$679,HLOOKUP(INDIRECT(ADDRESS(2,COLUMN())),OFFSET($BN$2,0,0,ROW()-1,60),ROW()-1,FALSE))</f>
        <v>2.4349166219999998</v>
      </c>
      <c r="I232">
        <f ca="1">IF(AND(ISNUMBER($I$679),$B$419=1),$I$679,HLOOKUP(INDIRECT(ADDRESS(2,COLUMN())),OFFSET($BN$2,0,0,ROW()-1,60),ROW()-1,FALSE))</f>
        <v>2.5482106720000002</v>
      </c>
      <c r="J232">
        <f ca="1">IF(AND(ISNUMBER($J$679),$B$419=1),$J$679,HLOOKUP(INDIRECT(ADDRESS(2,COLUMN())),OFFSET($BN$2,0,0,ROW()-1,60),ROW()-1,FALSE))</f>
        <v>2.5271959270000002</v>
      </c>
      <c r="K232">
        <f ca="1">IF(AND(ISNUMBER($K$679),$B$419=1),$K$679,HLOOKUP(INDIRECT(ADDRESS(2,COLUMN())),OFFSET($BN$2,0,0,ROW()-1,60),ROW()-1,FALSE))</f>
        <v>2.599708707</v>
      </c>
      <c r="L232">
        <f ca="1">IF(AND(ISNUMBER($L$679),$B$419=1),$L$679,HLOOKUP(INDIRECT(ADDRESS(2,COLUMN())),OFFSET($BN$2,0,0,ROW()-1,60),ROW()-1,FALSE))</f>
        <v>2.609799964</v>
      </c>
      <c r="M232">
        <f ca="1">IF(AND(ISNUMBER($M$679),$B$419=1),$M$679,HLOOKUP(INDIRECT(ADDRESS(2,COLUMN())),OFFSET($BN$2,0,0,ROW()-1,60),ROW()-1,FALSE))</f>
        <v>2.6464180110000002</v>
      </c>
      <c r="N232">
        <f ca="1">IF(AND(ISNUMBER($N$679),$B$419=1),$N$679,HLOOKUP(INDIRECT(ADDRESS(2,COLUMN())),OFFSET($BN$2,0,0,ROW()-1,60),ROW()-1,FALSE))</f>
        <v>2.6016930060000001</v>
      </c>
      <c r="O232">
        <f ca="1">IF(AND(ISNUMBER($O$679),$B$419=1),$O$679,HLOOKUP(INDIRECT(ADDRESS(2,COLUMN())),OFFSET($BN$2,0,0,ROW()-1,60),ROW()-1,FALSE))</f>
        <v>2.674892845</v>
      </c>
      <c r="P232">
        <f ca="1">IF(AND(ISNUMBER($P$679),$B$419=1),$P$679,HLOOKUP(INDIRECT(ADDRESS(2,COLUMN())),OFFSET($BN$2,0,0,ROW()-1,60),ROW()-1,FALSE))</f>
        <v>2.6864655449999999</v>
      </c>
      <c r="Q232">
        <f ca="1">IF(AND(ISNUMBER($Q$679),$B$419=1),$Q$679,HLOOKUP(INDIRECT(ADDRESS(2,COLUMN())),OFFSET($BN$2,0,0,ROW()-1,60),ROW()-1,FALSE))</f>
        <v>2.6868543900000001</v>
      </c>
      <c r="R232">
        <f ca="1">IF(AND(ISNUMBER($R$679),$B$419=1),$R$679,HLOOKUP(INDIRECT(ADDRESS(2,COLUMN())),OFFSET($BN$2,0,0,ROW()-1,60),ROW()-1,FALSE))</f>
        <v>2.6767563270000001</v>
      </c>
      <c r="S232">
        <f ca="1">IF(AND(ISNUMBER($S$679),$B$419=1),$S$679,HLOOKUP(INDIRECT(ADDRESS(2,COLUMN())),OFFSET($BN$2,0,0,ROW()-1,60),ROW()-1,FALSE))</f>
        <v>2.7189199679999998</v>
      </c>
      <c r="T232">
        <f ca="1">IF(AND(ISNUMBER($T$679),$B$419=1),$T$679,HLOOKUP(INDIRECT(ADDRESS(2,COLUMN())),OFFSET($BN$2,0,0,ROW()-1,60),ROW()-1,FALSE))</f>
        <v>2.632509905</v>
      </c>
      <c r="U232">
        <f ca="1">IF(AND(ISNUMBER($U$679),$B$419=1),$U$679,HLOOKUP(INDIRECT(ADDRESS(2,COLUMN())),OFFSET($BN$2,0,0,ROW()-1,60),ROW()-1,FALSE))</f>
        <v>2.6322269149999999</v>
      </c>
      <c r="V232">
        <f ca="1">IF(AND(ISNUMBER($V$679),$B$419=1),$V$679,HLOOKUP(INDIRECT(ADDRESS(2,COLUMN())),OFFSET($BN$2,0,0,ROW()-1,60),ROW()-1,FALSE))</f>
        <v>2.6216842269999998</v>
      </c>
      <c r="W232">
        <f ca="1">IF(AND(ISNUMBER($W$679),$B$419=1),$W$679,HLOOKUP(INDIRECT(ADDRESS(2,COLUMN())),OFFSET($BN$2,0,0,ROW()-1,60),ROW()-1,FALSE))</f>
        <v>2.693590565</v>
      </c>
      <c r="X232">
        <f ca="1">IF(AND(ISNUMBER($X$679),$B$419=1),$X$679,HLOOKUP(INDIRECT(ADDRESS(2,COLUMN())),OFFSET($BN$2,0,0,ROW()-1,60),ROW()-1,FALSE))</f>
        <v>2.7405088800000001</v>
      </c>
      <c r="Y232">
        <f ca="1">IF(AND(ISNUMBER($Y$679),$B$419=1),$Y$679,HLOOKUP(INDIRECT(ADDRESS(2,COLUMN())),OFFSET($BN$2,0,0,ROW()-1,60),ROW()-1,FALSE))</f>
        <v>2.7531764189999999</v>
      </c>
      <c r="Z232">
        <f ca="1">IF(AND(ISNUMBER($Z$679),$B$419=1),$Z$679,HLOOKUP(INDIRECT(ADDRESS(2,COLUMN())),OFFSET($BN$2,0,0,ROW()-1,60),ROW()-1,FALSE))</f>
        <v>2.8205718000000002</v>
      </c>
      <c r="AA232">
        <f ca="1">IF(AND(ISNUMBER($AA$679),$B$419=1),$AA$679,HLOOKUP(INDIRECT(ADDRESS(2,COLUMN())),OFFSET($BN$2,0,0,ROW()-1,60),ROW()-1,FALSE))</f>
        <v>2.7798631889999998</v>
      </c>
      <c r="AB232">
        <f ca="1">IF(AND(ISNUMBER($AB$679),$B$419=1),$AB$679,HLOOKUP(INDIRECT(ADDRESS(2,COLUMN())),OFFSET($BN$2,0,0,ROW()-1,60),ROW()-1,FALSE))</f>
        <v>2.9707532680000002</v>
      </c>
      <c r="AC232">
        <f ca="1">IF(AND(ISNUMBER($AC$679),$B$419=1),$AC$679,HLOOKUP(INDIRECT(ADDRESS(2,COLUMN())),OFFSET($BN$2,0,0,ROW()-1,60),ROW()-1,FALSE))</f>
        <v>2.854883665</v>
      </c>
      <c r="AD232">
        <f ca="1">IF(AND(ISNUMBER($AD$679),$B$419=1),$AD$679,HLOOKUP(INDIRECT(ADDRESS(2,COLUMN())),OFFSET($BN$2,0,0,ROW()-1,60),ROW()-1,FALSE))</f>
        <v>2.8632735149999999</v>
      </c>
      <c r="AE232">
        <f ca="1">IF(AND(ISNUMBER($AE$679),$B$419=1),$AE$679,HLOOKUP(INDIRECT(ADDRESS(2,COLUMN())),OFFSET($BN$2,0,0,ROW()-1,60),ROW()-1,FALSE))</f>
        <v>2.6285452949999999</v>
      </c>
      <c r="AF232">
        <f ca="1">IF(AND(ISNUMBER($AF$679),$B$419=1),$AF$679,HLOOKUP(INDIRECT(ADDRESS(2,COLUMN())),OFFSET($BN$2,0,0,ROW()-1,60),ROW()-1,FALSE))</f>
        <v>2.930729677</v>
      </c>
      <c r="AG232">
        <f ca="1">IF(AND(ISNUMBER($AG$679),$B$419=1),$AG$679,HLOOKUP(INDIRECT(ADDRESS(2,COLUMN())),OFFSET($BN$2,0,0,ROW()-1,60),ROW()-1,FALSE))</f>
        <v>2.973782929</v>
      </c>
      <c r="AH232">
        <f ca="1">IF(AND(ISNUMBER($AH$679),$B$419=1),$AH$679,HLOOKUP(INDIRECT(ADDRESS(2,COLUMN())),OFFSET($BN$2,0,0,ROW()-1,60),ROW()-1,FALSE))</f>
        <v>2.8812335400000002</v>
      </c>
      <c r="AI232">
        <f ca="1">IF(AND(ISNUMBER($AI$679),$B$419=1),$AI$679,HLOOKUP(INDIRECT(ADDRESS(2,COLUMN())),OFFSET($BN$2,0,0,ROW()-1,60),ROW()-1,FALSE))</f>
        <v>3.0434929999999998</v>
      </c>
      <c r="AJ232">
        <f ca="1">IF(AND(ISNUMBER($AJ$679),$B$419=1),$AJ$679,HLOOKUP(INDIRECT(ADDRESS(2,COLUMN())),OFFSET($BN$2,0,0,ROW()-1,60),ROW()-1,FALSE))</f>
        <v>2.9171601850000002</v>
      </c>
      <c r="AK232">
        <f ca="1">IF(AND(ISNUMBER($AK$679),$B$419=1),$AK$679,HLOOKUP(INDIRECT(ADDRESS(2,COLUMN())),OFFSET($BN$2,0,0,ROW()-1,60),ROW()-1,FALSE))</f>
        <v>2.9878496609999998</v>
      </c>
      <c r="AL232">
        <f ca="1">IF(AND(ISNUMBER($AL$679),$B$419=1),$AL$679,HLOOKUP(INDIRECT(ADDRESS(2,COLUMN())),OFFSET($BN$2,0,0,ROW()-1,60),ROW()-1,FALSE))</f>
        <v>3.0284647580000001</v>
      </c>
      <c r="AM232">
        <f ca="1">IF(AND(ISNUMBER($AM$679),$B$419=1),$AM$679,HLOOKUP(INDIRECT(ADDRESS(2,COLUMN())),OFFSET($BN$2,0,0,ROW()-1,60),ROW()-1,FALSE))</f>
        <v>3.1661699219999999</v>
      </c>
      <c r="AN232">
        <f ca="1">IF(AND(ISNUMBER($AN$679),$B$419=1),$AN$679,HLOOKUP(INDIRECT(ADDRESS(2,COLUMN())),OFFSET($BN$2,0,0,ROW()-1,60),ROW()-1,FALSE))</f>
        <v>2.976805675</v>
      </c>
      <c r="AO232">
        <f ca="1">IF(AND(ISNUMBER($AO$679),$B$419=1),$AO$679,HLOOKUP(INDIRECT(ADDRESS(2,COLUMN())),OFFSET($BN$2,0,0,ROW()-1,60),ROW()-1,FALSE))</f>
        <v>2.936399985</v>
      </c>
      <c r="AP232">
        <f ca="1">IF(AND(ISNUMBER($AP$679),$B$419=1),$AP$679,HLOOKUP(INDIRECT(ADDRESS(2,COLUMN())),OFFSET($BN$2,0,0,ROW()-1,60),ROW()-1,FALSE))</f>
        <v>2.1624113180000002</v>
      </c>
      <c r="AQ232">
        <f ca="1">IF(AND(ISNUMBER($AQ$679),$B$419=1),$AQ$679,HLOOKUP(INDIRECT(ADDRESS(2,COLUMN())),OFFSET($BN$2,0,0,ROW()-1,60),ROW()-1,FALSE))</f>
        <v>2.866052544</v>
      </c>
      <c r="AR232">
        <f ca="1">IF(AND(ISNUMBER($AR$679),$B$419=1),$AR$679,HLOOKUP(INDIRECT(ADDRESS(2,COLUMN())),OFFSET($BN$2,0,0,ROW()-1,60),ROW()-1,FALSE))</f>
        <v>2.9132365550000001</v>
      </c>
      <c r="AS232">
        <f ca="1">IF(AND(ISNUMBER($AS$679),$B$419=1),$AS$679,HLOOKUP(INDIRECT(ADDRESS(2,COLUMN())),OFFSET($BN$2,0,0,ROW()-1,60),ROW()-1,FALSE))</f>
        <v>2.8655254139999999</v>
      </c>
      <c r="AT232">
        <f ca="1">IF(AND(ISNUMBER($AT$679),$B$419=1),$AT$679,HLOOKUP(INDIRECT(ADDRESS(2,COLUMN())),OFFSET($BN$2,0,0,ROW()-1,60),ROW()-1,FALSE))</f>
        <v>2.8636011090000002</v>
      </c>
      <c r="AU232">
        <f ca="1">IF(AND(ISNUMBER($AU$679),$B$419=1),$AU$679,HLOOKUP(INDIRECT(ADDRESS(2,COLUMN())),OFFSET($BN$2,0,0,ROW()-1,60),ROW()-1,FALSE))</f>
        <v>2.8804292029999998</v>
      </c>
      <c r="AV232">
        <f ca="1">IF(AND(ISNUMBER($AV$679),$B$419=1),$AV$679,HLOOKUP(INDIRECT(ADDRESS(2,COLUMN())),OFFSET($BN$2,0,0,ROW()-1,60),ROW()-1,FALSE))</f>
        <v>2.9368136649999999</v>
      </c>
      <c r="AW232">
        <f ca="1">IF(AND(ISNUMBER($AW$679),$B$419=1),$AW$679,HLOOKUP(INDIRECT(ADDRESS(2,COLUMN())),OFFSET($BN$2,0,0,ROW()-1,60),ROW()-1,FALSE))</f>
        <v>2.940875997</v>
      </c>
      <c r="AX232">
        <f ca="1">IF(AND(ISNUMBER($AX$679),$B$419=1),$AX$679,HLOOKUP(INDIRECT(ADDRESS(2,COLUMN())),OFFSET($BN$2,0,0,ROW()-1,60),ROW()-1,FALSE))</f>
        <v>2.8029146859999998</v>
      </c>
      <c r="AY232">
        <f ca="1">IF(AND(ISNUMBER($AY$679),$B$419=1),$AY$679,HLOOKUP(INDIRECT(ADDRESS(2,COLUMN())),OFFSET($BN$2,0,0,ROW()-1,60),ROW()-1,FALSE))</f>
        <v>2.7280582500000001</v>
      </c>
      <c r="AZ232">
        <f ca="1">IF(AND(ISNUMBER($AZ$679),$B$419=1),$AZ$679,HLOOKUP(INDIRECT(ADDRESS(2,COLUMN())),OFFSET($BN$2,0,0,ROW()-1,60),ROW()-1,FALSE))</f>
        <v>3.0509994709999999</v>
      </c>
      <c r="BA232">
        <f ca="1">IF(AND(ISNUMBER($BA$679),$B$419=1),$BA$679,HLOOKUP(INDIRECT(ADDRESS(2,COLUMN())),OFFSET($BN$2,0,0,ROW()-1,60),ROW()-1,FALSE))</f>
        <v>3.3165990320000001</v>
      </c>
      <c r="BB232">
        <f ca="1">IF(AND(ISNUMBER($BB$679),$B$419=1),$BB$679,HLOOKUP(INDIRECT(ADDRESS(2,COLUMN())),OFFSET($BN$2,0,0,ROW()-1,60),ROW()-1,FALSE))</f>
        <v>3.2378110470000001</v>
      </c>
      <c r="BC232">
        <f ca="1">IF(AND(ISNUMBER($BC$679),$B$419=1),$BC$679,HLOOKUP(INDIRECT(ADDRESS(2,COLUMN())),OFFSET($BN$2,0,0,ROW()-1,60),ROW()-1,FALSE))</f>
        <v>3.1151305109999998</v>
      </c>
      <c r="BD232">
        <f ca="1">IF(AND(ISNUMBER($BD$679),$B$419=1),$BD$679,HLOOKUP(INDIRECT(ADDRESS(2,COLUMN())),OFFSET($BN$2,0,0,ROW()-1,60),ROW()-1,FALSE))</f>
        <v>3.0746881099999999</v>
      </c>
      <c r="BE232">
        <f ca="1">IF(AND(ISNUMBER($BE$679),$B$419=1),$BE$679,HLOOKUP(INDIRECT(ADDRESS(2,COLUMN())),OFFSET($BN$2,0,0,ROW()-1,60),ROW()-1,FALSE))</f>
        <v>3.1358343639999999</v>
      </c>
      <c r="BF232">
        <f ca="1">IF(AND(ISNUMBER($BF$679),$B$419=1),$BF$679,HLOOKUP(INDIRECT(ADDRESS(2,COLUMN())),OFFSET($BN$2,0,0,ROW()-1,60),ROW()-1,FALSE))</f>
        <v>2.9939922019999998</v>
      </c>
      <c r="BG232">
        <f ca="1">IF(AND(ISNUMBER($BG$679),$B$419=1),$BG$679,HLOOKUP(INDIRECT(ADDRESS(2,COLUMN())),OFFSET($BN$2,0,0,ROW()-1,60),ROW()-1,FALSE))</f>
        <v>2.9088598189999999</v>
      </c>
      <c r="BH232">
        <f ca="1">IF(AND(ISNUMBER($BH$679),$B$419=1),$BH$679,HLOOKUP(INDIRECT(ADDRESS(2,COLUMN())),OFFSET($BN$2,0,0,ROW()-1,60),ROW()-1,FALSE))</f>
        <v>4.973786123</v>
      </c>
      <c r="BI232">
        <f ca="1">IF(AND(ISNUMBER($BI$679),$B$419=1),$BI$679,HLOOKUP(INDIRECT(ADDRESS(2,COLUMN())),OFFSET($BN$2,0,0,ROW()-1,60),ROW()-1,FALSE))</f>
        <v>3.0062159720000001</v>
      </c>
      <c r="BJ232">
        <f ca="1">IF(AND(ISNUMBER($BJ$679),$B$419=1),$BJ$679,HLOOKUP(INDIRECT(ADDRESS(2,COLUMN())),OFFSET($BN$2,0,0,ROW()-1,60),ROW()-1,FALSE))</f>
        <v>2.864950522</v>
      </c>
      <c r="BK232">
        <f ca="1">IF(AND(ISNUMBER($BK$679),$B$419=1),$BK$679,HLOOKUP(INDIRECT(ADDRESS(2,COLUMN())),OFFSET($BN$2,0,0,ROW()-1,60),ROW()-1,FALSE))</f>
        <v>3.2069035260000001</v>
      </c>
      <c r="BL232">
        <f ca="1">IF(AND(ISNUMBER($BL$679),$B$419=1),$BL$679,HLOOKUP(INDIRECT(ADDRESS(2,COLUMN())),OFFSET($BN$2,0,0,ROW()-1,60),ROW()-1,FALSE))</f>
        <v>4.778735824</v>
      </c>
      <c r="BM232">
        <f ca="1">IF(AND(ISNUMBER($BM$679),$B$419=1),$BM$679,HLOOKUP(INDIRECT(ADDRESS(2,COLUMN())),OFFSET($BN$2,0,0,ROW()-1,60),ROW()-1,FALSE))</f>
        <v>3.7704075349999999</v>
      </c>
      <c r="BN232" t="str">
        <f>""</f>
        <v/>
      </c>
      <c r="BO232">
        <f>2.400717578</f>
        <v>2.4007175780000001</v>
      </c>
      <c r="BP232">
        <f>2.434916622</f>
        <v>2.4349166219999998</v>
      </c>
      <c r="BQ232">
        <f>2.548210672</f>
        <v>2.5482106720000002</v>
      </c>
      <c r="BR232">
        <f>2.527195927</f>
        <v>2.5271959270000002</v>
      </c>
      <c r="BS232">
        <f>2.599708707</f>
        <v>2.599708707</v>
      </c>
      <c r="BT232">
        <f>2.609799964</f>
        <v>2.609799964</v>
      </c>
      <c r="BU232">
        <f>2.646418011</f>
        <v>2.6464180110000002</v>
      </c>
      <c r="BV232">
        <f>2.601693006</f>
        <v>2.6016930060000001</v>
      </c>
      <c r="BW232">
        <f>2.674892845</f>
        <v>2.674892845</v>
      </c>
      <c r="BX232">
        <f>2.686465545</f>
        <v>2.6864655449999999</v>
      </c>
      <c r="BY232">
        <f>2.68685439</f>
        <v>2.6868543900000001</v>
      </c>
      <c r="BZ232">
        <f>2.676756327</f>
        <v>2.6767563270000001</v>
      </c>
      <c r="CA232">
        <f>2.718919968</f>
        <v>2.7189199679999998</v>
      </c>
      <c r="CB232">
        <f>2.632509905</f>
        <v>2.632509905</v>
      </c>
      <c r="CC232">
        <f>2.632226915</f>
        <v>2.6322269149999999</v>
      </c>
      <c r="CD232">
        <f>2.621684227</f>
        <v>2.6216842269999998</v>
      </c>
      <c r="CE232">
        <f>2.693590565</f>
        <v>2.693590565</v>
      </c>
      <c r="CF232">
        <f>2.74050888</f>
        <v>2.7405088800000001</v>
      </c>
      <c r="CG232">
        <f>2.753176419</f>
        <v>2.7531764189999999</v>
      </c>
      <c r="CH232">
        <f>2.8205718</f>
        <v>2.8205718000000002</v>
      </c>
      <c r="CI232">
        <f>2.779863189</f>
        <v>2.7798631889999998</v>
      </c>
      <c r="CJ232">
        <f>2.970753268</f>
        <v>2.9707532680000002</v>
      </c>
      <c r="CK232">
        <f>2.854883665</f>
        <v>2.854883665</v>
      </c>
      <c r="CL232">
        <f>2.863273515</f>
        <v>2.8632735149999999</v>
      </c>
      <c r="CM232">
        <f>2.628545295</f>
        <v>2.6285452949999999</v>
      </c>
      <c r="CN232">
        <f>2.930729677</f>
        <v>2.930729677</v>
      </c>
      <c r="CO232">
        <f>2.973782929</f>
        <v>2.973782929</v>
      </c>
      <c r="CP232">
        <f>2.88123354</f>
        <v>2.8812335400000002</v>
      </c>
      <c r="CQ232">
        <f>3.043493</f>
        <v>3.0434929999999998</v>
      </c>
      <c r="CR232">
        <f>2.917160185</f>
        <v>2.9171601850000002</v>
      </c>
      <c r="CS232">
        <f>2.987849661</f>
        <v>2.9878496609999998</v>
      </c>
      <c r="CT232">
        <f>3.028464758</f>
        <v>3.0284647580000001</v>
      </c>
      <c r="CU232">
        <f>3.166169922</f>
        <v>3.1661699219999999</v>
      </c>
      <c r="CV232">
        <f>2.976805675</f>
        <v>2.976805675</v>
      </c>
      <c r="CW232">
        <f>2.936399985</f>
        <v>2.936399985</v>
      </c>
      <c r="CX232">
        <f>2.162411318</f>
        <v>2.1624113180000002</v>
      </c>
      <c r="CY232">
        <f>2.866052544</f>
        <v>2.866052544</v>
      </c>
      <c r="CZ232">
        <f>2.913236555</f>
        <v>2.9132365550000001</v>
      </c>
      <c r="DA232">
        <f>2.865525414</f>
        <v>2.8655254139999999</v>
      </c>
      <c r="DB232">
        <f>2.863601109</f>
        <v>2.8636011090000002</v>
      </c>
      <c r="DC232">
        <f>2.880429203</f>
        <v>2.8804292029999998</v>
      </c>
      <c r="DD232">
        <f>2.936813665</f>
        <v>2.9368136649999999</v>
      </c>
      <c r="DE232">
        <f>2.940875997</f>
        <v>2.940875997</v>
      </c>
      <c r="DF232">
        <f>2.802914686</f>
        <v>2.8029146859999998</v>
      </c>
      <c r="DG232">
        <f>2.72805825</f>
        <v>2.7280582500000001</v>
      </c>
      <c r="DH232">
        <f>3.050999471</f>
        <v>3.0509994709999999</v>
      </c>
      <c r="DI232">
        <f>3.316599032</f>
        <v>3.3165990320000001</v>
      </c>
      <c r="DJ232">
        <f>3.237811047</f>
        <v>3.2378110470000001</v>
      </c>
      <c r="DK232">
        <f>3.115130511</f>
        <v>3.1151305109999998</v>
      </c>
      <c r="DL232">
        <f>3.07468811</f>
        <v>3.0746881099999999</v>
      </c>
      <c r="DM232">
        <f>3.135834364</f>
        <v>3.1358343639999999</v>
      </c>
      <c r="DN232">
        <f>2.993992202</f>
        <v>2.9939922019999998</v>
      </c>
      <c r="DO232">
        <f>2.908859819</f>
        <v>2.9088598189999999</v>
      </c>
      <c r="DP232">
        <f>4.973786123</f>
        <v>4.973786123</v>
      </c>
      <c r="DQ232">
        <f>3.006215972</f>
        <v>3.0062159720000001</v>
      </c>
      <c r="DR232">
        <f>2.864950522</f>
        <v>2.864950522</v>
      </c>
      <c r="DS232">
        <f>3.206903526</f>
        <v>3.2069035260000001</v>
      </c>
      <c r="DT232">
        <f>4.778735824</f>
        <v>4.778735824</v>
      </c>
      <c r="DU232">
        <f>3.770407535</f>
        <v>3.7704075349999999</v>
      </c>
    </row>
    <row r="233" spans="1:125">
      <c r="A233" t="str">
        <f>"    Kimco Realty Corp"</f>
        <v xml:space="preserve">    Kimco Realty Corp</v>
      </c>
      <c r="B233" t="str">
        <f>"KIM US Equity"</f>
        <v>KIM US Equity</v>
      </c>
      <c r="C233" t="str">
        <f t="shared" si="42"/>
        <v>RR553</v>
      </c>
      <c r="D233" t="str">
        <f t="shared" si="43"/>
        <v>EBITDA_RE_ASSET</v>
      </c>
      <c r="E233" t="str">
        <f t="shared" si="44"/>
        <v>动态</v>
      </c>
      <c r="F233" t="str">
        <f ca="1">IF(AND(ISNUMBER($F$680),$B$419=1),$F$680,HLOOKUP(INDIRECT(ADDRESS(2,COLUMN())),OFFSET($BN$2,0,0,ROW()-1,60),ROW()-1,FALSE))</f>
        <v/>
      </c>
      <c r="G233">
        <f ca="1">IF(AND(ISNUMBER($G$680),$B$419=1),$G$680,HLOOKUP(INDIRECT(ADDRESS(2,COLUMN())),OFFSET($BN$2,0,0,ROW()-1,60),ROW()-1,FALSE))</f>
        <v>1.4995875240000001</v>
      </c>
      <c r="H233">
        <f ca="1">IF(AND(ISNUMBER($H$680),$B$419=1),$H$680,HLOOKUP(INDIRECT(ADDRESS(2,COLUMN())),OFFSET($BN$2,0,0,ROW()-1,60),ROW()-1,FALSE))</f>
        <v>1.7307850170000001</v>
      </c>
      <c r="I233">
        <f ca="1">IF(AND(ISNUMBER($I$680),$B$419=1),$I$680,HLOOKUP(INDIRECT(ADDRESS(2,COLUMN())),OFFSET($BN$2,0,0,ROW()-1,60),ROW()-1,FALSE))</f>
        <v>1.5061979599999999</v>
      </c>
      <c r="J233">
        <f ca="1">IF(AND(ISNUMBER($J$680),$B$419=1),$J$680,HLOOKUP(INDIRECT(ADDRESS(2,COLUMN())),OFFSET($BN$2,0,0,ROW()-1,60),ROW()-1,FALSE))</f>
        <v>1.7637485420000001</v>
      </c>
      <c r="K233">
        <f ca="1">IF(AND(ISNUMBER($K$680),$B$419=1),$K$680,HLOOKUP(INDIRECT(ADDRESS(2,COLUMN())),OFFSET($BN$2,0,0,ROW()-1,60),ROW()-1,FALSE))</f>
        <v>1.554517412</v>
      </c>
      <c r="L233">
        <f ca="1">IF(AND(ISNUMBER($L$680),$B$419=1),$L$680,HLOOKUP(INDIRECT(ADDRESS(2,COLUMN())),OFFSET($BN$2,0,0,ROW()-1,60),ROW()-1,FALSE))</f>
        <v>1.664331819</v>
      </c>
      <c r="M233">
        <f ca="1">IF(AND(ISNUMBER($M$680),$B$419=1),$M$680,HLOOKUP(INDIRECT(ADDRESS(2,COLUMN())),OFFSET($BN$2,0,0,ROW()-1,60),ROW()-1,FALSE))</f>
        <v>1.335821932</v>
      </c>
      <c r="N233">
        <f ca="1">IF(AND(ISNUMBER($N$680),$B$419=1),$N$680,HLOOKUP(INDIRECT(ADDRESS(2,COLUMN())),OFFSET($BN$2,0,0,ROW()-1,60),ROW()-1,FALSE))</f>
        <v>1.789224382</v>
      </c>
      <c r="O233">
        <f ca="1">IF(AND(ISNUMBER($O$680),$B$419=1),$O$680,HLOOKUP(INDIRECT(ADDRESS(2,COLUMN())),OFFSET($BN$2,0,0,ROW()-1,60),ROW()-1,FALSE))</f>
        <v>1.6146676390000001</v>
      </c>
      <c r="P233">
        <f ca="1">IF(AND(ISNUMBER($P$680),$B$419=1),$P$680,HLOOKUP(INDIRECT(ADDRESS(2,COLUMN())),OFFSET($BN$2,0,0,ROW()-1,60),ROW()-1,FALSE))</f>
        <v>1.703746354</v>
      </c>
      <c r="Q233">
        <f ca="1">IF(AND(ISNUMBER($Q$680),$B$419=1),$Q$680,HLOOKUP(INDIRECT(ADDRESS(2,COLUMN())),OFFSET($BN$2,0,0,ROW()-1,60),ROW()-1,FALSE))</f>
        <v>1.630611491</v>
      </c>
      <c r="R233">
        <f ca="1">IF(AND(ISNUMBER($R$680),$B$419=1),$R$680,HLOOKUP(INDIRECT(ADDRESS(2,COLUMN())),OFFSET($BN$2,0,0,ROW()-1,60),ROW()-1,FALSE))</f>
        <v>1.5751333519999999</v>
      </c>
      <c r="S233">
        <f ca="1">IF(AND(ISNUMBER($S$680),$B$419=1),$S$680,HLOOKUP(INDIRECT(ADDRESS(2,COLUMN())),OFFSET($BN$2,0,0,ROW()-1,60),ROW()-1,FALSE))</f>
        <v>1.630747967</v>
      </c>
      <c r="T233">
        <f ca="1">IF(AND(ISNUMBER($T$680),$B$419=1),$T$680,HLOOKUP(INDIRECT(ADDRESS(2,COLUMN())),OFFSET($BN$2,0,0,ROW()-1,60),ROW()-1,FALSE))</f>
        <v>1.723608397</v>
      </c>
      <c r="U233">
        <f ca="1">IF(AND(ISNUMBER($U$680),$B$419=1),$U$680,HLOOKUP(INDIRECT(ADDRESS(2,COLUMN())),OFFSET($BN$2,0,0,ROW()-1,60),ROW()-1,FALSE))</f>
        <v>1.4284687149999999</v>
      </c>
      <c r="V233">
        <f ca="1">IF(AND(ISNUMBER($V$680),$B$419=1),$V$680,HLOOKUP(INDIRECT(ADDRESS(2,COLUMN())),OFFSET($BN$2,0,0,ROW()-1,60),ROW()-1,FALSE))</f>
        <v>1.5357230719999999</v>
      </c>
      <c r="W233">
        <f ca="1">IF(AND(ISNUMBER($W$680),$B$419=1),$W$680,HLOOKUP(INDIRECT(ADDRESS(2,COLUMN())),OFFSET($BN$2,0,0,ROW()-1,60),ROW()-1,FALSE))</f>
        <v>1.577449621</v>
      </c>
      <c r="X233">
        <f ca="1">IF(AND(ISNUMBER($X$680),$B$419=1),$X$680,HLOOKUP(INDIRECT(ADDRESS(2,COLUMN())),OFFSET($BN$2,0,0,ROW()-1,60),ROW()-1,FALSE))</f>
        <v>0.91878117199999998</v>
      </c>
      <c r="Y233">
        <f ca="1">IF(AND(ISNUMBER($Y$680),$B$419=1),$Y$680,HLOOKUP(INDIRECT(ADDRESS(2,COLUMN())),OFFSET($BN$2,0,0,ROW()-1,60),ROW()-1,FALSE))</f>
        <v>1.235893994</v>
      </c>
      <c r="Z233">
        <f ca="1">IF(AND(ISNUMBER($Z$680),$B$419=1),$Z$680,HLOOKUP(INDIRECT(ADDRESS(2,COLUMN())),OFFSET($BN$2,0,0,ROW()-1,60),ROW()-1,FALSE))</f>
        <v>1.481851646</v>
      </c>
      <c r="AA233">
        <f ca="1">IF(AND(ISNUMBER($AA$680),$B$419=1),$AA$680,HLOOKUP(INDIRECT(ADDRESS(2,COLUMN())),OFFSET($BN$2,0,0,ROW()-1,60),ROW()-1,FALSE))</f>
        <v>1.4036772799999999</v>
      </c>
      <c r="AB233">
        <f ca="1">IF(AND(ISNUMBER($AB$680),$B$419=1),$AB$680,HLOOKUP(INDIRECT(ADDRESS(2,COLUMN())),OFFSET($BN$2,0,0,ROW()-1,60),ROW()-1,FALSE))</f>
        <v>1.5172539279999999</v>
      </c>
      <c r="AC233">
        <f ca="1">IF(AND(ISNUMBER($AC$680),$B$419=1),$AC$680,HLOOKUP(INDIRECT(ADDRESS(2,COLUMN())),OFFSET($BN$2,0,0,ROW()-1,60),ROW()-1,FALSE))</f>
        <v>1.5607821449999999</v>
      </c>
      <c r="AD233">
        <f ca="1">IF(AND(ISNUMBER($AD$680),$B$419=1),$AD$680,HLOOKUP(INDIRECT(ADDRESS(2,COLUMN())),OFFSET($BN$2,0,0,ROW()-1,60),ROW()-1,FALSE))</f>
        <v>1.484360355</v>
      </c>
      <c r="AE233">
        <f ca="1">IF(AND(ISNUMBER($AE$680),$B$419=1),$AE$680,HLOOKUP(INDIRECT(ADDRESS(2,COLUMN())),OFFSET($BN$2,0,0,ROW()-1,60),ROW()-1,FALSE))</f>
        <v>1.4135419250000001</v>
      </c>
      <c r="AF233">
        <f ca="1">IF(AND(ISNUMBER($AF$680),$B$419=1),$AF$680,HLOOKUP(INDIRECT(ADDRESS(2,COLUMN())),OFFSET($BN$2,0,0,ROW()-1,60),ROW()-1,FALSE))</f>
        <v>1.394353773</v>
      </c>
      <c r="AG233">
        <f ca="1">IF(AND(ISNUMBER($AG$680),$B$419=1),$AG$680,HLOOKUP(INDIRECT(ADDRESS(2,COLUMN())),OFFSET($BN$2,0,0,ROW()-1,60),ROW()-1,FALSE))</f>
        <v>1.4532843900000001</v>
      </c>
      <c r="AH233">
        <f ca="1">IF(AND(ISNUMBER($AH$680),$B$419=1),$AH$680,HLOOKUP(INDIRECT(ADDRESS(2,COLUMN())),OFFSET($BN$2,0,0,ROW()-1,60),ROW()-1,FALSE))</f>
        <v>1.471164342</v>
      </c>
      <c r="AI233">
        <f ca="1">IF(AND(ISNUMBER($AI$680),$B$419=1),$AI$680,HLOOKUP(INDIRECT(ADDRESS(2,COLUMN())),OFFSET($BN$2,0,0,ROW()-1,60),ROW()-1,FALSE))</f>
        <v>1.3815193830000001</v>
      </c>
      <c r="AJ233">
        <f ca="1">IF(AND(ISNUMBER($AJ$680),$B$419=1),$AJ$680,HLOOKUP(INDIRECT(ADDRESS(2,COLUMN())),OFFSET($BN$2,0,0,ROW()-1,60),ROW()-1,FALSE))</f>
        <v>1.4851315389999999</v>
      </c>
      <c r="AK233">
        <f ca="1">IF(AND(ISNUMBER($AK$680),$B$419=1),$AK$680,HLOOKUP(INDIRECT(ADDRESS(2,COLUMN())),OFFSET($BN$2,0,0,ROW()-1,60),ROW()-1,FALSE))</f>
        <v>1.5134599479999999</v>
      </c>
      <c r="AL233">
        <f ca="1">IF(AND(ISNUMBER($AL$680),$B$419=1),$AL$680,HLOOKUP(INDIRECT(ADDRESS(2,COLUMN())),OFFSET($BN$2,0,0,ROW()-1,60),ROW()-1,FALSE))</f>
        <v>1.487392257</v>
      </c>
      <c r="AM233">
        <f ca="1">IF(AND(ISNUMBER($AM$680),$B$419=1),$AM$680,HLOOKUP(INDIRECT(ADDRESS(2,COLUMN())),OFFSET($BN$2,0,0,ROW()-1,60),ROW()-1,FALSE))</f>
        <v>1.6075517290000001</v>
      </c>
      <c r="AN233">
        <f ca="1">IF(AND(ISNUMBER($AN$680),$B$419=1),$AN$680,HLOOKUP(INDIRECT(ADDRESS(2,COLUMN())),OFFSET($BN$2,0,0,ROW()-1,60),ROW()-1,FALSE))</f>
        <v>1.5229342029999999</v>
      </c>
      <c r="AO233">
        <f ca="1">IF(AND(ISNUMBER($AO$680),$B$419=1),$AO$680,HLOOKUP(INDIRECT(ADDRESS(2,COLUMN())),OFFSET($BN$2,0,0,ROW()-1,60),ROW()-1,FALSE))</f>
        <v>1.08482089</v>
      </c>
      <c r="AP233">
        <f ca="1">IF(AND(ISNUMBER($AP$680),$B$419=1),$AP$680,HLOOKUP(INDIRECT(ADDRESS(2,COLUMN())),OFFSET($BN$2,0,0,ROW()-1,60),ROW()-1,FALSE))</f>
        <v>1.4913391499999999</v>
      </c>
      <c r="AQ233">
        <f ca="1">IF(AND(ISNUMBER($AQ$680),$B$419=1),$AQ$680,HLOOKUP(INDIRECT(ADDRESS(2,COLUMN())),OFFSET($BN$2,0,0,ROW()-1,60),ROW()-1,FALSE))</f>
        <v>1.5025644920000001</v>
      </c>
      <c r="AR233">
        <f ca="1">IF(AND(ISNUMBER($AR$680),$B$419=1),$AR$680,HLOOKUP(INDIRECT(ADDRESS(2,COLUMN())),OFFSET($BN$2,0,0,ROW()-1,60),ROW()-1,FALSE))</f>
        <v>1.6691933450000001</v>
      </c>
      <c r="AS233">
        <f ca="1">IF(AND(ISNUMBER($AS$680),$B$419=1),$AS$680,HLOOKUP(INDIRECT(ADDRESS(2,COLUMN())),OFFSET($BN$2,0,0,ROW()-1,60),ROW()-1,FALSE))</f>
        <v>1.8069591359999999</v>
      </c>
      <c r="AT233">
        <f ca="1">IF(AND(ISNUMBER($AT$680),$B$419=1),$AT$680,HLOOKUP(INDIRECT(ADDRESS(2,COLUMN())),OFFSET($BN$2,0,0,ROW()-1,60),ROW()-1,FALSE))</f>
        <v>1.7437964589999999</v>
      </c>
      <c r="AU233">
        <f ca="1">IF(AND(ISNUMBER($AU$680),$B$419=1),$AU$680,HLOOKUP(INDIRECT(ADDRESS(2,COLUMN())),OFFSET($BN$2,0,0,ROW()-1,60),ROW()-1,FALSE))</f>
        <v>1.4332498220000001</v>
      </c>
      <c r="AV233">
        <f ca="1">IF(AND(ISNUMBER($AV$680),$B$419=1),$AV$680,HLOOKUP(INDIRECT(ADDRESS(2,COLUMN())),OFFSET($BN$2,0,0,ROW()-1,60),ROW()-1,FALSE))</f>
        <v>1.6211313300000001</v>
      </c>
      <c r="AW233">
        <f ca="1">IF(AND(ISNUMBER($AW$680),$B$419=1),$AW$680,HLOOKUP(INDIRECT(ADDRESS(2,COLUMN())),OFFSET($BN$2,0,0,ROW()-1,60),ROW()-1,FALSE))</f>
        <v>1.9075526679999999</v>
      </c>
      <c r="AX233">
        <f ca="1">IF(AND(ISNUMBER($AX$680),$B$419=1),$AX$680,HLOOKUP(INDIRECT(ADDRESS(2,COLUMN())),OFFSET($BN$2,0,0,ROW()-1,60),ROW()-1,FALSE))</f>
        <v>1.785541831</v>
      </c>
      <c r="AY233">
        <f ca="1">IF(AND(ISNUMBER($AY$680),$B$419=1),$AY$680,HLOOKUP(INDIRECT(ADDRESS(2,COLUMN())),OFFSET($BN$2,0,0,ROW()-1,60),ROW()-1,FALSE))</f>
        <v>2.8252716640000002</v>
      </c>
      <c r="AZ233">
        <f ca="1">IF(AND(ISNUMBER($AZ$680),$B$419=1),$AZ$680,HLOOKUP(INDIRECT(ADDRESS(2,COLUMN())),OFFSET($BN$2,0,0,ROW()-1,60),ROW()-1,FALSE))</f>
        <v>1.376960524</v>
      </c>
      <c r="BA233">
        <f ca="1">IF(AND(ISNUMBER($BA$680),$B$419=1),$BA$680,HLOOKUP(INDIRECT(ADDRESS(2,COLUMN())),OFFSET($BN$2,0,0,ROW()-1,60),ROW()-1,FALSE))</f>
        <v>2.3337874630000002</v>
      </c>
      <c r="BB233">
        <f ca="1">IF(AND(ISNUMBER($BB$680),$B$419=1),$BB$680,HLOOKUP(INDIRECT(ADDRESS(2,COLUMN())),OFFSET($BN$2,0,0,ROW()-1,60),ROW()-1,FALSE))</f>
        <v>2.014635304</v>
      </c>
      <c r="BC233">
        <f ca="1">IF(AND(ISNUMBER($BC$680),$B$419=1),$BC$680,HLOOKUP(INDIRECT(ADDRESS(2,COLUMN())),OFFSET($BN$2,0,0,ROW()-1,60),ROW()-1,FALSE))</f>
        <v>1.609188281</v>
      </c>
      <c r="BD233">
        <f ca="1">IF(AND(ISNUMBER($BD$680),$B$419=1),$BD$680,HLOOKUP(INDIRECT(ADDRESS(2,COLUMN())),OFFSET($BN$2,0,0,ROW()-1,60),ROW()-1,FALSE))</f>
        <v>2.1653066170000002</v>
      </c>
      <c r="BE233">
        <f ca="1">IF(AND(ISNUMBER($BE$680),$B$419=1),$BE$680,HLOOKUP(INDIRECT(ADDRESS(2,COLUMN())),OFFSET($BN$2,0,0,ROW()-1,60),ROW()-1,FALSE))</f>
        <v>2.5772002770000002</v>
      </c>
      <c r="BF233">
        <f ca="1">IF(AND(ISNUMBER($BF$680),$B$419=1),$BF$680,HLOOKUP(INDIRECT(ADDRESS(2,COLUMN())),OFFSET($BN$2,0,0,ROW()-1,60),ROW()-1,FALSE))</f>
        <v>2.4899711689999999</v>
      </c>
      <c r="BG233">
        <f ca="1">IF(AND(ISNUMBER($BG$680),$B$419=1),$BG$680,HLOOKUP(INDIRECT(ADDRESS(2,COLUMN())),OFFSET($BN$2,0,0,ROW()-1,60),ROW()-1,FALSE))</f>
        <v>2.3810773510000001</v>
      </c>
      <c r="BH233">
        <f ca="1">IF(AND(ISNUMBER($BH$680),$B$419=1),$BH$680,HLOOKUP(INDIRECT(ADDRESS(2,COLUMN())),OFFSET($BN$2,0,0,ROW()-1,60),ROW()-1,FALSE))</f>
        <v>2.5625404000000001</v>
      </c>
      <c r="BI233">
        <f ca="1">IF(AND(ISNUMBER($BI$680),$B$419=1),$BI$680,HLOOKUP(INDIRECT(ADDRESS(2,COLUMN())),OFFSET($BN$2,0,0,ROW()-1,60),ROW()-1,FALSE))</f>
        <v>2.4054536469999999</v>
      </c>
      <c r="BJ233">
        <f ca="1">IF(AND(ISNUMBER($BJ$680),$B$419=1),$BJ$680,HLOOKUP(INDIRECT(ADDRESS(2,COLUMN())),OFFSET($BN$2,0,0,ROW()-1,60),ROW()-1,FALSE))</f>
        <v>2.3072206020000001</v>
      </c>
      <c r="BK233" t="str">
        <f ca="1">IF(AND(ISNUMBER($BK$680),$B$419=1),$BK$680,HLOOKUP(INDIRECT(ADDRESS(2,COLUMN())),OFFSET($BN$2,0,0,ROW()-1,60),ROW()-1,FALSE))</f>
        <v/>
      </c>
      <c r="BL233">
        <f ca="1">IF(AND(ISNUMBER($BL$680),$B$419=1),$BL$680,HLOOKUP(INDIRECT(ADDRESS(2,COLUMN())),OFFSET($BN$2,0,0,ROW()-1,60),ROW()-1,FALSE))</f>
        <v>2.6660947240000001</v>
      </c>
      <c r="BM233">
        <f ca="1">IF(AND(ISNUMBER($BM$680),$B$419=1),$BM$680,HLOOKUP(INDIRECT(ADDRESS(2,COLUMN())),OFFSET($BN$2,0,0,ROW()-1,60),ROW()-1,FALSE))</f>
        <v>2.3293890639999999</v>
      </c>
      <c r="BN233" t="str">
        <f>""</f>
        <v/>
      </c>
      <c r="BO233">
        <f>1.499587524</f>
        <v>1.4995875240000001</v>
      </c>
      <c r="BP233">
        <f>1.730785017</f>
        <v>1.7307850170000001</v>
      </c>
      <c r="BQ233">
        <f>1.50619796</f>
        <v>1.5061979599999999</v>
      </c>
      <c r="BR233">
        <f>1.763748542</f>
        <v>1.7637485420000001</v>
      </c>
      <c r="BS233">
        <f>1.554517412</f>
        <v>1.554517412</v>
      </c>
      <c r="BT233">
        <f>1.664331819</f>
        <v>1.664331819</v>
      </c>
      <c r="BU233">
        <f>1.335821932</f>
        <v>1.335821932</v>
      </c>
      <c r="BV233">
        <f>1.789224382</f>
        <v>1.789224382</v>
      </c>
      <c r="BW233">
        <f>1.614667639</f>
        <v>1.6146676390000001</v>
      </c>
      <c r="BX233">
        <f>1.703746354</f>
        <v>1.703746354</v>
      </c>
      <c r="BY233">
        <f>1.630611491</f>
        <v>1.630611491</v>
      </c>
      <c r="BZ233">
        <f>1.575133352</f>
        <v>1.5751333519999999</v>
      </c>
      <c r="CA233">
        <f>1.630747967</f>
        <v>1.630747967</v>
      </c>
      <c r="CB233">
        <f>1.723608397</f>
        <v>1.723608397</v>
      </c>
      <c r="CC233">
        <f>1.428468715</f>
        <v>1.4284687149999999</v>
      </c>
      <c r="CD233">
        <f>1.535723072</f>
        <v>1.5357230719999999</v>
      </c>
      <c r="CE233">
        <f>1.577449621</f>
        <v>1.577449621</v>
      </c>
      <c r="CF233">
        <f>0.918781172</f>
        <v>0.91878117199999998</v>
      </c>
      <c r="CG233">
        <f>1.235893994</f>
        <v>1.235893994</v>
      </c>
      <c r="CH233">
        <f>1.481851646</f>
        <v>1.481851646</v>
      </c>
      <c r="CI233">
        <f>1.40367728</f>
        <v>1.4036772799999999</v>
      </c>
      <c r="CJ233">
        <f>1.517253928</f>
        <v>1.5172539279999999</v>
      </c>
      <c r="CK233">
        <f>1.560782145</f>
        <v>1.5607821449999999</v>
      </c>
      <c r="CL233">
        <f>1.484360355</f>
        <v>1.484360355</v>
      </c>
      <c r="CM233">
        <f>1.413541925</f>
        <v>1.4135419250000001</v>
      </c>
      <c r="CN233">
        <f>1.394353773</f>
        <v>1.394353773</v>
      </c>
      <c r="CO233">
        <f>1.45328439</f>
        <v>1.4532843900000001</v>
      </c>
      <c r="CP233">
        <f>1.471164342</f>
        <v>1.471164342</v>
      </c>
      <c r="CQ233">
        <f>1.381519383</f>
        <v>1.3815193830000001</v>
      </c>
      <c r="CR233">
        <f>1.485131539</f>
        <v>1.4851315389999999</v>
      </c>
      <c r="CS233">
        <f>1.513459948</f>
        <v>1.5134599479999999</v>
      </c>
      <c r="CT233">
        <f>1.487392257</f>
        <v>1.487392257</v>
      </c>
      <c r="CU233">
        <f>1.607551729</f>
        <v>1.6075517290000001</v>
      </c>
      <c r="CV233">
        <f>1.522934203</f>
        <v>1.5229342029999999</v>
      </c>
      <c r="CW233">
        <f>1.08482089</f>
        <v>1.08482089</v>
      </c>
      <c r="CX233">
        <f>1.49133915</f>
        <v>1.4913391499999999</v>
      </c>
      <c r="CY233">
        <f>1.502564492</f>
        <v>1.5025644920000001</v>
      </c>
      <c r="CZ233">
        <f>1.669193345</f>
        <v>1.6691933450000001</v>
      </c>
      <c r="DA233">
        <f>1.806959136</f>
        <v>1.8069591359999999</v>
      </c>
      <c r="DB233">
        <f>1.743796459</f>
        <v>1.7437964589999999</v>
      </c>
      <c r="DC233">
        <f>1.433249822</f>
        <v>1.4332498220000001</v>
      </c>
      <c r="DD233">
        <f>1.62113133</f>
        <v>1.6211313300000001</v>
      </c>
      <c r="DE233">
        <f>1.907552668</f>
        <v>1.9075526679999999</v>
      </c>
      <c r="DF233">
        <f>1.785541831</f>
        <v>1.785541831</v>
      </c>
      <c r="DG233">
        <f>2.825271664</f>
        <v>2.8252716640000002</v>
      </c>
      <c r="DH233">
        <f>1.376960524</f>
        <v>1.376960524</v>
      </c>
      <c r="DI233">
        <f>2.333787463</f>
        <v>2.3337874630000002</v>
      </c>
      <c r="DJ233">
        <f>2.014635304</f>
        <v>2.014635304</v>
      </c>
      <c r="DK233">
        <f>1.609188281</f>
        <v>1.609188281</v>
      </c>
      <c r="DL233">
        <f>2.165306617</f>
        <v>2.1653066170000002</v>
      </c>
      <c r="DM233">
        <f>2.577200277</f>
        <v>2.5772002770000002</v>
      </c>
      <c r="DN233">
        <f>2.489971169</f>
        <v>2.4899711689999999</v>
      </c>
      <c r="DO233">
        <f>2.381077351</f>
        <v>2.3810773510000001</v>
      </c>
      <c r="DP233">
        <f>2.5625404</f>
        <v>2.5625404000000001</v>
      </c>
      <c r="DQ233">
        <f>2.405453647</f>
        <v>2.4054536469999999</v>
      </c>
      <c r="DR233">
        <f>2.307220602</f>
        <v>2.3072206020000001</v>
      </c>
      <c r="DS233" t="str">
        <f>""</f>
        <v/>
      </c>
      <c r="DT233">
        <f>2.666094724</f>
        <v>2.6660947240000001</v>
      </c>
      <c r="DU233">
        <f>2.329389064</f>
        <v>2.3293890639999999</v>
      </c>
    </row>
    <row r="234" spans="1:125">
      <c r="A234" t="str">
        <f>"    National Retail Properties Inc"</f>
        <v xml:space="preserve">    National Retail Properties Inc</v>
      </c>
      <c r="B234" t="str">
        <f>"NNN US Equity"</f>
        <v>NNN US Equity</v>
      </c>
      <c r="C234" t="str">
        <f t="shared" si="42"/>
        <v>RR553</v>
      </c>
      <c r="D234" t="str">
        <f t="shared" si="43"/>
        <v>EBITDA_RE_ASSET</v>
      </c>
      <c r="E234" t="str">
        <f t="shared" si="44"/>
        <v>动态</v>
      </c>
      <c r="F234" t="str">
        <f ca="1">IF(AND(ISNUMBER($F$681),$B$419=1),$F$681,HLOOKUP(INDIRECT(ADDRESS(2,COLUMN())),OFFSET($BN$2,0,0,ROW()-1,60),ROW()-1,FALSE))</f>
        <v/>
      </c>
      <c r="G234">
        <f ca="1">IF(AND(ISNUMBER($G$681),$B$419=1),$G$681,HLOOKUP(INDIRECT(ADDRESS(2,COLUMN())),OFFSET($BN$2,0,0,ROW()-1,60),ROW()-1,FALSE))</f>
        <v>1.9738583169999999</v>
      </c>
      <c r="H234">
        <f ca="1">IF(AND(ISNUMBER($H$681),$B$419=1),$H$681,HLOOKUP(INDIRECT(ADDRESS(2,COLUMN())),OFFSET($BN$2,0,0,ROW()-1,60),ROW()-1,FALSE))</f>
        <v>2.1539247509999999</v>
      </c>
      <c r="I234">
        <f ca="1">IF(AND(ISNUMBER($I$681),$B$419=1),$I$681,HLOOKUP(INDIRECT(ADDRESS(2,COLUMN())),OFFSET($BN$2,0,0,ROW()-1,60),ROW()-1,FALSE))</f>
        <v>1.99843985</v>
      </c>
      <c r="J234">
        <f ca="1">IF(AND(ISNUMBER($J$681),$B$419=1),$J$681,HLOOKUP(INDIRECT(ADDRESS(2,COLUMN())),OFFSET($BN$2,0,0,ROW()-1,60),ROW()-1,FALSE))</f>
        <v>2.111137678</v>
      </c>
      <c r="K234">
        <f ca="1">IF(AND(ISNUMBER($K$681),$B$419=1),$K$681,HLOOKUP(INDIRECT(ADDRESS(2,COLUMN())),OFFSET($BN$2,0,0,ROW()-1,60),ROW()-1,FALSE))</f>
        <v>2.1110615309999998</v>
      </c>
      <c r="L234">
        <f ca="1">IF(AND(ISNUMBER($L$681),$B$419=1),$L$681,HLOOKUP(INDIRECT(ADDRESS(2,COLUMN())),OFFSET($BN$2,0,0,ROW()-1,60),ROW()-1,FALSE))</f>
        <v>1.9139691910000001</v>
      </c>
      <c r="M234">
        <f ca="1">IF(AND(ISNUMBER($M$681),$B$419=1),$M$681,HLOOKUP(INDIRECT(ADDRESS(2,COLUMN())),OFFSET($BN$2,0,0,ROW()-1,60),ROW()-1,FALSE))</f>
        <v>1.969553879</v>
      </c>
      <c r="N234">
        <f ca="1">IF(AND(ISNUMBER($N$681),$B$419=1),$N$681,HLOOKUP(INDIRECT(ADDRESS(2,COLUMN())),OFFSET($BN$2,0,0,ROW()-1,60),ROW()-1,FALSE))</f>
        <v>2.085541181</v>
      </c>
      <c r="O234">
        <f ca="1">IF(AND(ISNUMBER($O$681),$B$419=1),$O$681,HLOOKUP(INDIRECT(ADDRESS(2,COLUMN())),OFFSET($BN$2,0,0,ROW()-1,60),ROW()-1,FALSE))</f>
        <v>2.0736537249999998</v>
      </c>
      <c r="P234">
        <f ca="1">IF(AND(ISNUMBER($P$681),$B$419=1),$P$681,HLOOKUP(INDIRECT(ADDRESS(2,COLUMN())),OFFSET($BN$2,0,0,ROW()-1,60),ROW()-1,FALSE))</f>
        <v>2.1077973390000002</v>
      </c>
      <c r="Q234">
        <f ca="1">IF(AND(ISNUMBER($Q$681),$B$419=1),$Q$681,HLOOKUP(INDIRECT(ADDRESS(2,COLUMN())),OFFSET($BN$2,0,0,ROW()-1,60),ROW()-1,FALSE))</f>
        <v>2.0416455010000001</v>
      </c>
      <c r="R234">
        <f ca="1">IF(AND(ISNUMBER($R$681),$B$419=1),$R$681,HLOOKUP(INDIRECT(ADDRESS(2,COLUMN())),OFFSET($BN$2,0,0,ROW()-1,60),ROW()-1,FALSE))</f>
        <v>2.0917209190000001</v>
      </c>
      <c r="S234">
        <f ca="1">IF(AND(ISNUMBER($S$681),$B$419=1),$S$681,HLOOKUP(INDIRECT(ADDRESS(2,COLUMN())),OFFSET($BN$2,0,0,ROW()-1,60),ROW()-1,FALSE))</f>
        <v>2.1451472360000001</v>
      </c>
      <c r="T234">
        <f ca="1">IF(AND(ISNUMBER($T$681),$B$419=1),$T$681,HLOOKUP(INDIRECT(ADDRESS(2,COLUMN())),OFFSET($BN$2,0,0,ROW()-1,60),ROW()-1,FALSE))</f>
        <v>2.0385931749999999</v>
      </c>
      <c r="U234">
        <f ca="1">IF(AND(ISNUMBER($U$681),$B$419=1),$U$681,HLOOKUP(INDIRECT(ADDRESS(2,COLUMN())),OFFSET($BN$2,0,0,ROW()-1,60),ROW()-1,FALSE))</f>
        <v>2.0927226110000001</v>
      </c>
      <c r="V234">
        <f ca="1">IF(AND(ISNUMBER($V$681),$B$419=1),$V$681,HLOOKUP(INDIRECT(ADDRESS(2,COLUMN())),OFFSET($BN$2,0,0,ROW()-1,60),ROW()-1,FALSE))</f>
        <v>2.0636251849999998</v>
      </c>
      <c r="W234">
        <f ca="1">IF(AND(ISNUMBER($W$681),$B$419=1),$W$681,HLOOKUP(INDIRECT(ADDRESS(2,COLUMN())),OFFSET($BN$2,0,0,ROW()-1,60),ROW()-1,FALSE))</f>
        <v>2.081749071</v>
      </c>
      <c r="X234">
        <f ca="1">IF(AND(ISNUMBER($X$681),$B$419=1),$X$681,HLOOKUP(INDIRECT(ADDRESS(2,COLUMN())),OFFSET($BN$2,0,0,ROW()-1,60),ROW()-1,FALSE))</f>
        <v>2.0691318380000001</v>
      </c>
      <c r="Y234">
        <f ca="1">IF(AND(ISNUMBER($Y$681),$B$419=1),$Y$681,HLOOKUP(INDIRECT(ADDRESS(2,COLUMN())),OFFSET($BN$2,0,0,ROW()-1,60),ROW()-1,FALSE))</f>
        <v>1.9292840360000001</v>
      </c>
      <c r="Z234">
        <f ca="1">IF(AND(ISNUMBER($Z$681),$B$419=1),$Z$681,HLOOKUP(INDIRECT(ADDRESS(2,COLUMN())),OFFSET($BN$2,0,0,ROW()-1,60),ROW()-1,FALSE))</f>
        <v>1.9924241899999999</v>
      </c>
      <c r="AA234">
        <f ca="1">IF(AND(ISNUMBER($AA$681),$B$419=1),$AA$681,HLOOKUP(INDIRECT(ADDRESS(2,COLUMN())),OFFSET($BN$2,0,0,ROW()-1,60),ROW()-1,FALSE))</f>
        <v>1.951196605</v>
      </c>
      <c r="AB234">
        <f ca="1">IF(AND(ISNUMBER($AB$681),$B$419=1),$AB$681,HLOOKUP(INDIRECT(ADDRESS(2,COLUMN())),OFFSET($BN$2,0,0,ROW()-1,60),ROW()-1,FALSE))</f>
        <v>1.8713075219999999</v>
      </c>
      <c r="AC234">
        <f ca="1">IF(AND(ISNUMBER($AC$681),$B$419=1),$AC$681,HLOOKUP(INDIRECT(ADDRESS(2,COLUMN())),OFFSET($BN$2,0,0,ROW()-1,60),ROW()-1,FALSE))</f>
        <v>1.8965923010000001</v>
      </c>
      <c r="AD234">
        <f ca="1">IF(AND(ISNUMBER($AD$681),$B$419=1),$AD$681,HLOOKUP(INDIRECT(ADDRESS(2,COLUMN())),OFFSET($BN$2,0,0,ROW()-1,60),ROW()-1,FALSE))</f>
        <v>1.8712570589999999</v>
      </c>
      <c r="AE234">
        <f ca="1">IF(AND(ISNUMBER($AE$681),$B$419=1),$AE$681,HLOOKUP(INDIRECT(ADDRESS(2,COLUMN())),OFFSET($BN$2,0,0,ROW()-1,60),ROW()-1,FALSE))</f>
        <v>1.815312576</v>
      </c>
      <c r="AF234">
        <f ca="1">IF(AND(ISNUMBER($AF$681),$B$419=1),$AF$681,HLOOKUP(INDIRECT(ADDRESS(2,COLUMN())),OFFSET($BN$2,0,0,ROW()-1,60),ROW()-1,FALSE))</f>
        <v>1.8592148479999999</v>
      </c>
      <c r="AG234">
        <f ca="1">IF(AND(ISNUMBER($AG$681),$B$419=1),$AG$681,HLOOKUP(INDIRECT(ADDRESS(2,COLUMN())),OFFSET($BN$2,0,0,ROW()-1,60),ROW()-1,FALSE))</f>
        <v>1.916601115</v>
      </c>
      <c r="AH234">
        <f ca="1">IF(AND(ISNUMBER($AH$681),$B$419=1),$AH$681,HLOOKUP(INDIRECT(ADDRESS(2,COLUMN())),OFFSET($BN$2,0,0,ROW()-1,60),ROW()-1,FALSE))</f>
        <v>1.9201196410000001</v>
      </c>
      <c r="AI234">
        <f ca="1">IF(AND(ISNUMBER($AI$681),$B$419=1),$AI$681,HLOOKUP(INDIRECT(ADDRESS(2,COLUMN())),OFFSET($BN$2,0,0,ROW()-1,60),ROW()-1,FALSE))</f>
        <v>1.6101776249999999</v>
      </c>
      <c r="AJ234">
        <f ca="1">IF(AND(ISNUMBER($AJ$681),$B$419=1),$AJ$681,HLOOKUP(INDIRECT(ADDRESS(2,COLUMN())),OFFSET($BN$2,0,0,ROW()-1,60),ROW()-1,FALSE))</f>
        <v>1.912194612</v>
      </c>
      <c r="AK234">
        <f ca="1">IF(AND(ISNUMBER($AK$681),$B$419=1),$AK$681,HLOOKUP(INDIRECT(ADDRESS(2,COLUMN())),OFFSET($BN$2,0,0,ROW()-1,60),ROW()-1,FALSE))</f>
        <v>1.9503195120000001</v>
      </c>
      <c r="AL234">
        <f ca="1">IF(AND(ISNUMBER($AL$681),$B$419=1),$AL$681,HLOOKUP(INDIRECT(ADDRESS(2,COLUMN())),OFFSET($BN$2,0,0,ROW()-1,60),ROW()-1,FALSE))</f>
        <v>1.758170666</v>
      </c>
      <c r="AM234">
        <f ca="1">IF(AND(ISNUMBER($AM$681),$B$419=1),$AM$681,HLOOKUP(INDIRECT(ADDRESS(2,COLUMN())),OFFSET($BN$2,0,0,ROW()-1,60),ROW()-1,FALSE))</f>
        <v>0.85113006499999999</v>
      </c>
      <c r="AN234">
        <f ca="1">IF(AND(ISNUMBER($AN$681),$B$419=1),$AN$681,HLOOKUP(INDIRECT(ADDRESS(2,COLUMN())),OFFSET($BN$2,0,0,ROW()-1,60),ROW()-1,FALSE))</f>
        <v>1.91580956</v>
      </c>
      <c r="AO234">
        <f ca="1">IF(AND(ISNUMBER($AO$681),$B$419=1),$AO$681,HLOOKUP(INDIRECT(ADDRESS(2,COLUMN())),OFFSET($BN$2,0,0,ROW()-1,60),ROW()-1,FALSE))</f>
        <v>1.9263429510000001</v>
      </c>
      <c r="AP234">
        <f ca="1">IF(AND(ISNUMBER($AP$681),$B$419=1),$AP$681,HLOOKUP(INDIRECT(ADDRESS(2,COLUMN())),OFFSET($BN$2,0,0,ROW()-1,60),ROW()-1,FALSE))</f>
        <v>1.9074795950000001</v>
      </c>
      <c r="AQ234">
        <f ca="1">IF(AND(ISNUMBER($AQ$681),$B$419=1),$AQ$681,HLOOKUP(INDIRECT(ADDRESS(2,COLUMN())),OFFSET($BN$2,0,0,ROW()-1,60),ROW()-1,FALSE))</f>
        <v>1.8752431970000001</v>
      </c>
      <c r="AR234">
        <f ca="1">IF(AND(ISNUMBER($AR$681),$B$419=1),$AR$681,HLOOKUP(INDIRECT(ADDRESS(2,COLUMN())),OFFSET($BN$2,0,0,ROW()-1,60),ROW()-1,FALSE))</f>
        <v>1.992159236</v>
      </c>
      <c r="AS234">
        <f ca="1">IF(AND(ISNUMBER($AS$681),$B$419=1),$AS$681,HLOOKUP(INDIRECT(ADDRESS(2,COLUMN())),OFFSET($BN$2,0,0,ROW()-1,60),ROW()-1,FALSE))</f>
        <v>1.8620484230000001</v>
      </c>
      <c r="AT234">
        <f ca="1">IF(AND(ISNUMBER($AT$681),$B$419=1),$AT$681,HLOOKUP(INDIRECT(ADDRESS(2,COLUMN())),OFFSET($BN$2,0,0,ROW()-1,60),ROW()-1,FALSE))</f>
        <v>1.7203055300000001</v>
      </c>
      <c r="AU234">
        <f ca="1">IF(AND(ISNUMBER($AU$681),$B$419=1),$AU$681,HLOOKUP(INDIRECT(ADDRESS(2,COLUMN())),OFFSET($BN$2,0,0,ROW()-1,60),ROW()-1,FALSE))</f>
        <v>1.5919819310000001</v>
      </c>
      <c r="AV234">
        <f ca="1">IF(AND(ISNUMBER($AV$681),$B$419=1),$AV$681,HLOOKUP(INDIRECT(ADDRESS(2,COLUMN())),OFFSET($BN$2,0,0,ROW()-1,60),ROW()-1,FALSE))</f>
        <v>1.8057065720000001</v>
      </c>
      <c r="AW234">
        <f ca="1">IF(AND(ISNUMBER($AW$681),$B$419=1),$AW$681,HLOOKUP(INDIRECT(ADDRESS(2,COLUMN())),OFFSET($BN$2,0,0,ROW()-1,60),ROW()-1,FALSE))</f>
        <v>1.818911049</v>
      </c>
      <c r="AX234">
        <f ca="1">IF(AND(ISNUMBER($AX$681),$B$419=1),$AX$681,HLOOKUP(INDIRECT(ADDRESS(2,COLUMN())),OFFSET($BN$2,0,0,ROW()-1,60),ROW()-1,FALSE))</f>
        <v>1.8380883969999999</v>
      </c>
      <c r="AY234">
        <f ca="1">IF(AND(ISNUMBER($AY$681),$B$419=1),$AY$681,HLOOKUP(INDIRECT(ADDRESS(2,COLUMN())),OFFSET($BN$2,0,0,ROW()-1,60),ROW()-1,FALSE))</f>
        <v>1.6163545370000001</v>
      </c>
      <c r="AZ234">
        <f ca="1">IF(AND(ISNUMBER($AZ$681),$B$419=1),$AZ$681,HLOOKUP(INDIRECT(ADDRESS(2,COLUMN())),OFFSET($BN$2,0,0,ROW()-1,60),ROW()-1,FALSE))</f>
        <v>1.7695764510000001</v>
      </c>
      <c r="BA234">
        <f ca="1">IF(AND(ISNUMBER($BA$681),$B$419=1),$BA$681,HLOOKUP(INDIRECT(ADDRESS(2,COLUMN())),OFFSET($BN$2,0,0,ROW()-1,60),ROW()-1,FALSE))</f>
        <v>1.727012212</v>
      </c>
      <c r="BB234">
        <f ca="1">IF(AND(ISNUMBER($BB$681),$B$419=1),$BB$681,HLOOKUP(INDIRECT(ADDRESS(2,COLUMN())),OFFSET($BN$2,0,0,ROW()-1,60),ROW()-1,FALSE))</f>
        <v>1.7696115320000001</v>
      </c>
      <c r="BC234">
        <f ca="1">IF(AND(ISNUMBER($BC$681),$B$419=1),$BC$681,HLOOKUP(INDIRECT(ADDRESS(2,COLUMN())),OFFSET($BN$2,0,0,ROW()-1,60),ROW()-1,FALSE))</f>
        <v>1.4278787879999999</v>
      </c>
      <c r="BD234">
        <f ca="1">IF(AND(ISNUMBER($BD$681),$B$419=1),$BD$681,HLOOKUP(INDIRECT(ADDRESS(2,COLUMN())),OFFSET($BN$2,0,0,ROW()-1,60),ROW()-1,FALSE))</f>
        <v>1.8413680079999999</v>
      </c>
      <c r="BE234">
        <f ca="1">IF(AND(ISNUMBER($BE$681),$B$419=1),$BE$681,HLOOKUP(INDIRECT(ADDRESS(2,COLUMN())),OFFSET($BN$2,0,0,ROW()-1,60),ROW()-1,FALSE))</f>
        <v>1.8169780120000001</v>
      </c>
      <c r="BF234">
        <f ca="1">IF(AND(ISNUMBER($BF$681),$B$419=1),$BF$681,HLOOKUP(INDIRECT(ADDRESS(2,COLUMN())),OFFSET($BN$2,0,0,ROW()-1,60),ROW()-1,FALSE))</f>
        <v>1.767217662</v>
      </c>
      <c r="BG234">
        <f ca="1">IF(AND(ISNUMBER($BG$681),$B$419=1),$BG$681,HLOOKUP(INDIRECT(ADDRESS(2,COLUMN())),OFFSET($BN$2,0,0,ROW()-1,60),ROW()-1,FALSE))</f>
        <v>1.859431091</v>
      </c>
      <c r="BH234">
        <f ca="1">IF(AND(ISNUMBER($BH$681),$B$419=1),$BH$681,HLOOKUP(INDIRECT(ADDRESS(2,COLUMN())),OFFSET($BN$2,0,0,ROW()-1,60),ROW()-1,FALSE))</f>
        <v>1.888303796</v>
      </c>
      <c r="BI234">
        <f ca="1">IF(AND(ISNUMBER($BI$681),$B$419=1),$BI$681,HLOOKUP(INDIRECT(ADDRESS(2,COLUMN())),OFFSET($BN$2,0,0,ROW()-1,60),ROW()-1,FALSE))</f>
        <v>1.673189848</v>
      </c>
      <c r="BJ234">
        <f ca="1">IF(AND(ISNUMBER($BJ$681),$B$419=1),$BJ$681,HLOOKUP(INDIRECT(ADDRESS(2,COLUMN())),OFFSET($BN$2,0,0,ROW()-1,60),ROW()-1,FALSE))</f>
        <v>1.9847704049999999</v>
      </c>
      <c r="BK234">
        <f ca="1">IF(AND(ISNUMBER($BK$681),$B$419=1),$BK$681,HLOOKUP(INDIRECT(ADDRESS(2,COLUMN())),OFFSET($BN$2,0,0,ROW()-1,60),ROW()-1,FALSE))</f>
        <v>2.0195184529999999</v>
      </c>
      <c r="BL234">
        <f ca="1">IF(AND(ISNUMBER($BL$681),$B$419=1),$BL$681,HLOOKUP(INDIRECT(ADDRESS(2,COLUMN())),OFFSET($BN$2,0,0,ROW()-1,60),ROW()-1,FALSE))</f>
        <v>1.803530004</v>
      </c>
      <c r="BM234">
        <f ca="1">IF(AND(ISNUMBER($BM$681),$B$419=1),$BM$681,HLOOKUP(INDIRECT(ADDRESS(2,COLUMN())),OFFSET($BN$2,0,0,ROW()-1,60),ROW()-1,FALSE))</f>
        <v>1.8234160070000001</v>
      </c>
      <c r="BN234" t="str">
        <f>""</f>
        <v/>
      </c>
      <c r="BO234">
        <f>1.973858317</f>
        <v>1.9738583169999999</v>
      </c>
      <c r="BP234">
        <f>2.153924751</f>
        <v>2.1539247509999999</v>
      </c>
      <c r="BQ234">
        <f>1.99843985</f>
        <v>1.99843985</v>
      </c>
      <c r="BR234">
        <f>2.111137678</f>
        <v>2.111137678</v>
      </c>
      <c r="BS234">
        <f>2.111061531</f>
        <v>2.1110615309999998</v>
      </c>
      <c r="BT234">
        <f>1.913969191</f>
        <v>1.9139691910000001</v>
      </c>
      <c r="BU234">
        <f>1.969553879</f>
        <v>1.969553879</v>
      </c>
      <c r="BV234">
        <f>2.085541181</f>
        <v>2.085541181</v>
      </c>
      <c r="BW234">
        <f>2.073653725</f>
        <v>2.0736537249999998</v>
      </c>
      <c r="BX234">
        <f>2.107797339</f>
        <v>2.1077973390000002</v>
      </c>
      <c r="BY234">
        <f>2.041645501</f>
        <v>2.0416455010000001</v>
      </c>
      <c r="BZ234">
        <f>2.091720919</f>
        <v>2.0917209190000001</v>
      </c>
      <c r="CA234">
        <f>2.145147236</f>
        <v>2.1451472360000001</v>
      </c>
      <c r="CB234">
        <f>2.038593175</f>
        <v>2.0385931749999999</v>
      </c>
      <c r="CC234">
        <f>2.092722611</f>
        <v>2.0927226110000001</v>
      </c>
      <c r="CD234">
        <f>2.063625185</f>
        <v>2.0636251849999998</v>
      </c>
      <c r="CE234">
        <f>2.081749071</f>
        <v>2.081749071</v>
      </c>
      <c r="CF234">
        <f>2.069131838</f>
        <v>2.0691318380000001</v>
      </c>
      <c r="CG234">
        <f>1.929284036</f>
        <v>1.9292840360000001</v>
      </c>
      <c r="CH234">
        <f>1.99242419</f>
        <v>1.9924241899999999</v>
      </c>
      <c r="CI234">
        <f>1.951196605</f>
        <v>1.951196605</v>
      </c>
      <c r="CJ234">
        <f>1.871307522</f>
        <v>1.8713075219999999</v>
      </c>
      <c r="CK234">
        <f>1.896592301</f>
        <v>1.8965923010000001</v>
      </c>
      <c r="CL234">
        <f>1.871257059</f>
        <v>1.8712570589999999</v>
      </c>
      <c r="CM234">
        <f>1.815312576</f>
        <v>1.815312576</v>
      </c>
      <c r="CN234">
        <f>1.859214848</f>
        <v>1.8592148479999999</v>
      </c>
      <c r="CO234">
        <f>1.916601115</f>
        <v>1.916601115</v>
      </c>
      <c r="CP234">
        <f>1.920119641</f>
        <v>1.9201196410000001</v>
      </c>
      <c r="CQ234">
        <f>1.610177625</f>
        <v>1.6101776249999999</v>
      </c>
      <c r="CR234">
        <f>1.912194612</f>
        <v>1.912194612</v>
      </c>
      <c r="CS234">
        <f>1.950319512</f>
        <v>1.9503195120000001</v>
      </c>
      <c r="CT234">
        <f>1.758170666</f>
        <v>1.758170666</v>
      </c>
      <c r="CU234">
        <f>0.851130065</f>
        <v>0.85113006499999999</v>
      </c>
      <c r="CV234">
        <f>1.91580956</f>
        <v>1.91580956</v>
      </c>
      <c r="CW234">
        <f>1.926342951</f>
        <v>1.9263429510000001</v>
      </c>
      <c r="CX234">
        <f>1.907479595</f>
        <v>1.9074795950000001</v>
      </c>
      <c r="CY234">
        <f>1.875243197</f>
        <v>1.8752431970000001</v>
      </c>
      <c r="CZ234">
        <f>1.992159236</f>
        <v>1.992159236</v>
      </c>
      <c r="DA234">
        <f>1.862048423</f>
        <v>1.8620484230000001</v>
      </c>
      <c r="DB234">
        <f>1.72030553</f>
        <v>1.7203055300000001</v>
      </c>
      <c r="DC234">
        <f>1.591981931</f>
        <v>1.5919819310000001</v>
      </c>
      <c r="DD234">
        <f>1.805706572</f>
        <v>1.8057065720000001</v>
      </c>
      <c r="DE234">
        <f>1.818911049</f>
        <v>1.818911049</v>
      </c>
      <c r="DF234">
        <f>1.838088397</f>
        <v>1.8380883969999999</v>
      </c>
      <c r="DG234">
        <f>1.616354537</f>
        <v>1.6163545370000001</v>
      </c>
      <c r="DH234">
        <f>1.769576451</f>
        <v>1.7695764510000001</v>
      </c>
      <c r="DI234">
        <f>1.727012212</f>
        <v>1.727012212</v>
      </c>
      <c r="DJ234">
        <f>1.769611532</f>
        <v>1.7696115320000001</v>
      </c>
      <c r="DK234">
        <f>1.427878788</f>
        <v>1.4278787879999999</v>
      </c>
      <c r="DL234">
        <f>1.841368008</f>
        <v>1.8413680079999999</v>
      </c>
      <c r="DM234">
        <f>1.816978012</f>
        <v>1.8169780120000001</v>
      </c>
      <c r="DN234">
        <f>1.767217662</f>
        <v>1.767217662</v>
      </c>
      <c r="DO234">
        <f>1.859431091</f>
        <v>1.859431091</v>
      </c>
      <c r="DP234">
        <f>1.888303796</f>
        <v>1.888303796</v>
      </c>
      <c r="DQ234">
        <f>1.673189848</f>
        <v>1.673189848</v>
      </c>
      <c r="DR234">
        <f>1.984770405</f>
        <v>1.9847704049999999</v>
      </c>
      <c r="DS234">
        <f>2.019518453</f>
        <v>2.0195184529999999</v>
      </c>
      <c r="DT234">
        <f>1.803530004</f>
        <v>1.803530004</v>
      </c>
      <c r="DU234">
        <f>1.823416007</f>
        <v>1.8234160070000001</v>
      </c>
    </row>
    <row r="235" spans="1:125">
      <c r="A235" t="str">
        <f>"    Realty Income Corp"</f>
        <v xml:space="preserve">    Realty Income Corp</v>
      </c>
      <c r="B235" t="str">
        <f>"O US Equity"</f>
        <v>O US Equity</v>
      </c>
      <c r="C235" t="str">
        <f t="shared" si="42"/>
        <v>RR553</v>
      </c>
      <c r="D235" t="str">
        <f t="shared" si="43"/>
        <v>EBITDA_RE_ASSET</v>
      </c>
      <c r="E235" t="str">
        <f t="shared" si="44"/>
        <v>动态</v>
      </c>
      <c r="F235" t="str">
        <f ca="1">IF(AND(ISNUMBER($F$682),$B$419=1),$F$682,HLOOKUP(INDIRECT(ADDRESS(2,COLUMN())),OFFSET($BN$2,0,0,ROW()-1,60),ROW()-1,FALSE))</f>
        <v/>
      </c>
      <c r="G235">
        <f ca="1">IF(AND(ISNUMBER($G$682),$B$419=1),$G$682,HLOOKUP(INDIRECT(ADDRESS(2,COLUMN())),OFFSET($BN$2,0,0,ROW()-1,60),ROW()-1,FALSE))</f>
        <v>2.1465232630000002</v>
      </c>
      <c r="H235">
        <f ca="1">IF(AND(ISNUMBER($H$682),$B$419=1),$H$682,HLOOKUP(INDIRECT(ADDRESS(2,COLUMN())),OFFSET($BN$2,0,0,ROW()-1,60),ROW()-1,FALSE))</f>
        <v>2.2304178499999998</v>
      </c>
      <c r="I235">
        <f ca="1">IF(AND(ISNUMBER($I$682),$B$419=1),$I$682,HLOOKUP(INDIRECT(ADDRESS(2,COLUMN())),OFFSET($BN$2,0,0,ROW()-1,60),ROW()-1,FALSE))</f>
        <v>2.1760030430000001</v>
      </c>
      <c r="J235">
        <f ca="1">IF(AND(ISNUMBER($J$682),$B$419=1),$J$682,HLOOKUP(INDIRECT(ADDRESS(2,COLUMN())),OFFSET($BN$2,0,0,ROW()-1,60),ROW()-1,FALSE))</f>
        <v>2.1491025010000002</v>
      </c>
      <c r="K235">
        <f ca="1">IF(AND(ISNUMBER($K$682),$B$419=1),$K$682,HLOOKUP(INDIRECT(ADDRESS(2,COLUMN())),OFFSET($BN$2,0,0,ROW()-1,60),ROW()-1,FALSE))</f>
        <v>2.1267426490000001</v>
      </c>
      <c r="L235">
        <f ca="1">IF(AND(ISNUMBER($L$682),$B$419=1),$L$682,HLOOKUP(INDIRECT(ADDRESS(2,COLUMN())),OFFSET($BN$2,0,0,ROW()-1,60),ROW()-1,FALSE))</f>
        <v>2.1363397220000002</v>
      </c>
      <c r="M235">
        <f ca="1">IF(AND(ISNUMBER($M$682),$B$419=1),$M$682,HLOOKUP(INDIRECT(ADDRESS(2,COLUMN())),OFFSET($BN$2,0,0,ROW()-1,60),ROW()-1,FALSE))</f>
        <v>2.1449025110000002</v>
      </c>
      <c r="N235">
        <f ca="1">IF(AND(ISNUMBER($N$682),$B$419=1),$N$682,HLOOKUP(INDIRECT(ADDRESS(2,COLUMN())),OFFSET($BN$2,0,0,ROW()-1,60),ROW()-1,FALSE))</f>
        <v>2.1877452960000001</v>
      </c>
      <c r="O235">
        <f ca="1">IF(AND(ISNUMBER($O$682),$B$419=1),$O$682,HLOOKUP(INDIRECT(ADDRESS(2,COLUMN())),OFFSET($BN$2,0,0,ROW()-1,60),ROW()-1,FALSE))</f>
        <v>2.2264769069999999</v>
      </c>
      <c r="P235">
        <f ca="1">IF(AND(ISNUMBER($P$682),$B$419=1),$P$682,HLOOKUP(INDIRECT(ADDRESS(2,COLUMN())),OFFSET($BN$2,0,0,ROW()-1,60),ROW()-1,FALSE))</f>
        <v>2.2312214379999999</v>
      </c>
      <c r="Q235">
        <f ca="1">IF(AND(ISNUMBER($Q$682),$B$419=1),$Q$682,HLOOKUP(INDIRECT(ADDRESS(2,COLUMN())),OFFSET($BN$2,0,0,ROW()-1,60),ROW()-1,FALSE))</f>
        <v>2.1574948140000001</v>
      </c>
      <c r="R235">
        <f ca="1">IF(AND(ISNUMBER($R$682),$B$419=1),$R$682,HLOOKUP(INDIRECT(ADDRESS(2,COLUMN())),OFFSET($BN$2,0,0,ROW()-1,60),ROW()-1,FALSE))</f>
        <v>2.233084861</v>
      </c>
      <c r="S235">
        <f ca="1">IF(AND(ISNUMBER($S$682),$B$419=1),$S$682,HLOOKUP(INDIRECT(ADDRESS(2,COLUMN())),OFFSET($BN$2,0,0,ROW()-1,60),ROW()-1,FALSE))</f>
        <v>2.1124894439999999</v>
      </c>
      <c r="T235">
        <f ca="1">IF(AND(ISNUMBER($T$682),$B$419=1),$T$682,HLOOKUP(INDIRECT(ADDRESS(2,COLUMN())),OFFSET($BN$2,0,0,ROW()-1,60),ROW()-1,FALSE))</f>
        <v>2.2070244190000001</v>
      </c>
      <c r="U235">
        <f ca="1">IF(AND(ISNUMBER($U$682),$B$419=1),$U$682,HLOOKUP(INDIRECT(ADDRESS(2,COLUMN())),OFFSET($BN$2,0,0,ROW()-1,60),ROW()-1,FALSE))</f>
        <v>2.179411585</v>
      </c>
      <c r="V235">
        <f ca="1">IF(AND(ISNUMBER($V$682),$B$419=1),$V$682,HLOOKUP(INDIRECT(ADDRESS(2,COLUMN())),OFFSET($BN$2,0,0,ROW()-1,60),ROW()-1,FALSE))</f>
        <v>2.118082266</v>
      </c>
      <c r="W235">
        <f ca="1">IF(AND(ISNUMBER($W$682),$B$419=1),$W$682,HLOOKUP(INDIRECT(ADDRESS(2,COLUMN())),OFFSET($BN$2,0,0,ROW()-1,60),ROW()-1,FALSE))</f>
        <v>2.0013507480000001</v>
      </c>
      <c r="X235">
        <f ca="1">IF(AND(ISNUMBER($X$682),$B$419=1),$X$682,HLOOKUP(INDIRECT(ADDRESS(2,COLUMN())),OFFSET($BN$2,0,0,ROW()-1,60),ROW()-1,FALSE))</f>
        <v>2.103765154</v>
      </c>
      <c r="Y235">
        <f ca="1">IF(AND(ISNUMBER($Y$682),$B$419=1),$Y$682,HLOOKUP(INDIRECT(ADDRESS(2,COLUMN())),OFFSET($BN$2,0,0,ROW()-1,60),ROW()-1,FALSE))</f>
        <v>2.0611706569999999</v>
      </c>
      <c r="Z235">
        <f ca="1">IF(AND(ISNUMBER($Z$682),$B$419=1),$Z$682,HLOOKUP(INDIRECT(ADDRESS(2,COLUMN())),OFFSET($BN$2,0,0,ROW()-1,60),ROW()-1,FALSE))</f>
        <v>1.8472482569999999</v>
      </c>
      <c r="AA235">
        <f ca="1">IF(AND(ISNUMBER($AA$682),$B$419=1),$AA$682,HLOOKUP(INDIRECT(ADDRESS(2,COLUMN())),OFFSET($BN$2,0,0,ROW()-1,60),ROW()-1,FALSE))</f>
        <v>2.2582290010000001</v>
      </c>
      <c r="AB235">
        <f ca="1">IF(AND(ISNUMBER($AB$682),$B$419=1),$AB$682,HLOOKUP(INDIRECT(ADDRESS(2,COLUMN())),OFFSET($BN$2,0,0,ROW()-1,60),ROW()-1,FALSE))</f>
        <v>2.1902182360000002</v>
      </c>
      <c r="AC235">
        <f ca="1">IF(AND(ISNUMBER($AC$682),$B$419=1),$AC$682,HLOOKUP(INDIRECT(ADDRESS(2,COLUMN())),OFFSET($BN$2,0,0,ROW()-1,60),ROW()-1,FALSE))</f>
        <v>2.4459008579999999</v>
      </c>
      <c r="AD235">
        <f ca="1">IF(AND(ISNUMBER($AD$682),$B$419=1),$AD$682,HLOOKUP(INDIRECT(ADDRESS(2,COLUMN())),OFFSET($BN$2,0,0,ROW()-1,60),ROW()-1,FALSE))</f>
        <v>2.456726223</v>
      </c>
      <c r="AE235">
        <f ca="1">IF(AND(ISNUMBER($AE$682),$B$419=1),$AE$682,HLOOKUP(INDIRECT(ADDRESS(2,COLUMN())),OFFSET($BN$2,0,0,ROW()-1,60),ROW()-1,FALSE))</f>
        <v>2.4562693150000001</v>
      </c>
      <c r="AF235">
        <f ca="1">IF(AND(ISNUMBER($AF$682),$B$419=1),$AF$682,HLOOKUP(INDIRECT(ADDRESS(2,COLUMN())),OFFSET($BN$2,0,0,ROW()-1,60),ROW()-1,FALSE))</f>
        <v>2.4669020700000002</v>
      </c>
      <c r="AG235">
        <f ca="1">IF(AND(ISNUMBER($AG$682),$B$419=1),$AG$682,HLOOKUP(INDIRECT(ADDRESS(2,COLUMN())),OFFSET($BN$2,0,0,ROW()-1,60),ROW()-1,FALSE))</f>
        <v>2.5880641209999999</v>
      </c>
      <c r="AH235">
        <f ca="1">IF(AND(ISNUMBER($AH$682),$B$419=1),$AH$682,HLOOKUP(INDIRECT(ADDRESS(2,COLUMN())),OFFSET($BN$2,0,0,ROW()-1,60),ROW()-1,FALSE))</f>
        <v>2.508140612</v>
      </c>
      <c r="AI235">
        <f ca="1">IF(AND(ISNUMBER($AI$682),$B$419=1),$AI$682,HLOOKUP(INDIRECT(ADDRESS(2,COLUMN())),OFFSET($BN$2,0,0,ROW()-1,60),ROW()-1,FALSE))</f>
        <v>2.5089004660000001</v>
      </c>
      <c r="AJ235">
        <f ca="1">IF(AND(ISNUMBER($AJ$682),$B$419=1),$AJ$682,HLOOKUP(INDIRECT(ADDRESS(2,COLUMN())),OFFSET($BN$2,0,0,ROW()-1,60),ROW()-1,FALSE))</f>
        <v>2.6383662719999998</v>
      </c>
      <c r="AK235">
        <f ca="1">IF(AND(ISNUMBER($AK$682),$B$419=1),$AK$682,HLOOKUP(INDIRECT(ADDRESS(2,COLUMN())),OFFSET($BN$2,0,0,ROW()-1,60),ROW()-1,FALSE))</f>
        <v>2.48780052</v>
      </c>
      <c r="AL235">
        <f ca="1">IF(AND(ISNUMBER($AL$682),$B$419=1),$AL$682,HLOOKUP(INDIRECT(ADDRESS(2,COLUMN())),OFFSET($BN$2,0,0,ROW()-1,60),ROW()-1,FALSE))</f>
        <v>2.6204603309999999</v>
      </c>
      <c r="AM235">
        <f ca="1">IF(AND(ISNUMBER($AM$682),$B$419=1),$AM$682,HLOOKUP(INDIRECT(ADDRESS(2,COLUMN())),OFFSET($BN$2,0,0,ROW()-1,60),ROW()-1,FALSE))</f>
        <v>2.693261557</v>
      </c>
      <c r="AN235">
        <f ca="1">IF(AND(ISNUMBER($AN$682),$B$419=1),$AN$682,HLOOKUP(INDIRECT(ADDRESS(2,COLUMN())),OFFSET($BN$2,0,0,ROW()-1,60),ROW()-1,FALSE))</f>
        <v>2.7347239889999999</v>
      </c>
      <c r="AO235">
        <f ca="1">IF(AND(ISNUMBER($AO$682),$B$419=1),$AO$682,HLOOKUP(INDIRECT(ADDRESS(2,COLUMN())),OFFSET($BN$2,0,0,ROW()-1,60),ROW()-1,FALSE))</f>
        <v>2.6936575880000002</v>
      </c>
      <c r="AP235">
        <f ca="1">IF(AND(ISNUMBER($AP$682),$B$419=1),$AP$682,HLOOKUP(INDIRECT(ADDRESS(2,COLUMN())),OFFSET($BN$2,0,0,ROW()-1,60),ROW()-1,FALSE))</f>
        <v>2.6208483519999999</v>
      </c>
      <c r="AQ235">
        <f ca="1">IF(AND(ISNUMBER($AQ$682),$B$419=1),$AQ$682,HLOOKUP(INDIRECT(ADDRESS(2,COLUMN())),OFFSET($BN$2,0,0,ROW()-1,60),ROW()-1,FALSE))</f>
        <v>2.8231893960000001</v>
      </c>
      <c r="AR235">
        <f ca="1">IF(AND(ISNUMBER($AR$682),$B$419=1),$AR$682,HLOOKUP(INDIRECT(ADDRESS(2,COLUMN())),OFFSET($BN$2,0,0,ROW()-1,60),ROW()-1,FALSE))</f>
        <v>2.6227867219999998</v>
      </c>
      <c r="AS235">
        <f ca="1">IF(AND(ISNUMBER($AS$682),$B$419=1),$AS$682,HLOOKUP(INDIRECT(ADDRESS(2,COLUMN())),OFFSET($BN$2,0,0,ROW()-1,60),ROW()-1,FALSE))</f>
        <v>2.6379049929999998</v>
      </c>
      <c r="AT235">
        <f ca="1">IF(AND(ISNUMBER($AT$682),$B$419=1),$AT$682,HLOOKUP(INDIRECT(ADDRESS(2,COLUMN())),OFFSET($BN$2,0,0,ROW()-1,60),ROW()-1,FALSE))</f>
        <v>2.5897938260000002</v>
      </c>
      <c r="AU235">
        <f ca="1">IF(AND(ISNUMBER($AU$682),$B$419=1),$AU$682,HLOOKUP(INDIRECT(ADDRESS(2,COLUMN())),OFFSET($BN$2,0,0,ROW()-1,60),ROW()-1,FALSE))</f>
        <v>2.6598518900000001</v>
      </c>
      <c r="AV235">
        <f ca="1">IF(AND(ISNUMBER($AV$682),$B$419=1),$AV$682,HLOOKUP(INDIRECT(ADDRESS(2,COLUMN())),OFFSET($BN$2,0,0,ROW()-1,60),ROW()-1,FALSE))</f>
        <v>2.4440317980000001</v>
      </c>
      <c r="AW235">
        <f ca="1">IF(AND(ISNUMBER($AW$682),$B$419=1),$AW$682,HLOOKUP(INDIRECT(ADDRESS(2,COLUMN())),OFFSET($BN$2,0,0,ROW()-1,60),ROW()-1,FALSE))</f>
        <v>2.614596863</v>
      </c>
      <c r="AX235">
        <f ca="1">IF(AND(ISNUMBER($AX$682),$B$419=1),$AX$682,HLOOKUP(INDIRECT(ADDRESS(2,COLUMN())),OFFSET($BN$2,0,0,ROW()-1,60),ROW()-1,FALSE))</f>
        <v>2.6361803519999998</v>
      </c>
      <c r="AY235">
        <f ca="1">IF(AND(ISNUMBER($AY$682),$B$419=1),$AY$682,HLOOKUP(INDIRECT(ADDRESS(2,COLUMN())),OFFSET($BN$2,0,0,ROW()-1,60),ROW()-1,FALSE))</f>
        <v>2.5618480849999998</v>
      </c>
      <c r="AZ235">
        <f ca="1">IF(AND(ISNUMBER($AZ$682),$B$419=1),$AZ$682,HLOOKUP(INDIRECT(ADDRESS(2,COLUMN())),OFFSET($BN$2,0,0,ROW()-1,60),ROW()-1,FALSE))</f>
        <v>2.748936204</v>
      </c>
      <c r="BA235">
        <f ca="1">IF(AND(ISNUMBER($BA$682),$B$419=1),$BA$682,HLOOKUP(INDIRECT(ADDRESS(2,COLUMN())),OFFSET($BN$2,0,0,ROW()-1,60),ROW()-1,FALSE))</f>
        <v>2.7356722549999999</v>
      </c>
      <c r="BB235">
        <f ca="1">IF(AND(ISNUMBER($BB$682),$B$419=1),$BB$682,HLOOKUP(INDIRECT(ADDRESS(2,COLUMN())),OFFSET($BN$2,0,0,ROW()-1,60),ROW()-1,FALSE))</f>
        <v>2.698128766</v>
      </c>
      <c r="BC235">
        <f ca="1">IF(AND(ISNUMBER($BC$682),$B$419=1),$BC$682,HLOOKUP(INDIRECT(ADDRESS(2,COLUMN())),OFFSET($BN$2,0,0,ROW()-1,60),ROW()-1,FALSE))</f>
        <v>2.7504292339999998</v>
      </c>
      <c r="BD235">
        <f ca="1">IF(AND(ISNUMBER($BD$682),$B$419=1),$BD$682,HLOOKUP(INDIRECT(ADDRESS(2,COLUMN())),OFFSET($BN$2,0,0,ROW()-1,60),ROW()-1,FALSE))</f>
        <v>2.530797798</v>
      </c>
      <c r="BE235">
        <f ca="1">IF(AND(ISNUMBER($BE$682),$B$419=1),$BE$682,HLOOKUP(INDIRECT(ADDRESS(2,COLUMN())),OFFSET($BN$2,0,0,ROW()-1,60),ROW()-1,FALSE))</f>
        <v>2.8204122699999998</v>
      </c>
      <c r="BF235">
        <f ca="1">IF(AND(ISNUMBER($BF$682),$B$419=1),$BF$682,HLOOKUP(INDIRECT(ADDRESS(2,COLUMN())),OFFSET($BN$2,0,0,ROW()-1,60),ROW()-1,FALSE))</f>
        <v>2.8766195020000001</v>
      </c>
      <c r="BG235">
        <f ca="1">IF(AND(ISNUMBER($BG$682),$B$419=1),$BG$682,HLOOKUP(INDIRECT(ADDRESS(2,COLUMN())),OFFSET($BN$2,0,0,ROW()-1,60),ROW()-1,FALSE))</f>
        <v>2.8841765540000002</v>
      </c>
      <c r="BH235">
        <f ca="1">IF(AND(ISNUMBER($BH$682),$B$419=1),$BH$682,HLOOKUP(INDIRECT(ADDRESS(2,COLUMN())),OFFSET($BN$2,0,0,ROW()-1,60),ROW()-1,FALSE))</f>
        <v>2.885284548</v>
      </c>
      <c r="BI235">
        <f ca="1">IF(AND(ISNUMBER($BI$682),$B$419=1),$BI$682,HLOOKUP(INDIRECT(ADDRESS(2,COLUMN())),OFFSET($BN$2,0,0,ROW()-1,60),ROW()-1,FALSE))</f>
        <v>3.6631148019999999</v>
      </c>
      <c r="BJ235">
        <f ca="1">IF(AND(ISNUMBER($BJ$682),$B$419=1),$BJ$682,HLOOKUP(INDIRECT(ADDRESS(2,COLUMN())),OFFSET($BN$2,0,0,ROW()-1,60),ROW()-1,FALSE))</f>
        <v>2.7473395790000001</v>
      </c>
      <c r="BK235">
        <f ca="1">IF(AND(ISNUMBER($BK$682),$B$419=1),$BK$682,HLOOKUP(INDIRECT(ADDRESS(2,COLUMN())),OFFSET($BN$2,0,0,ROW()-1,60),ROW()-1,FALSE))</f>
        <v>2.7665268319999998</v>
      </c>
      <c r="BL235">
        <f ca="1">IF(AND(ISNUMBER($BL$682),$B$419=1),$BL$682,HLOOKUP(INDIRECT(ADDRESS(2,COLUMN())),OFFSET($BN$2,0,0,ROW()-1,60),ROW()-1,FALSE))</f>
        <v>2.9441316799999999</v>
      </c>
      <c r="BM235">
        <f ca="1">IF(AND(ISNUMBER($BM$682),$B$419=1),$BM$682,HLOOKUP(INDIRECT(ADDRESS(2,COLUMN())),OFFSET($BN$2,0,0,ROW()-1,60),ROW()-1,FALSE))</f>
        <v>2.9591521250000001</v>
      </c>
      <c r="BN235" t="str">
        <f>""</f>
        <v/>
      </c>
      <c r="BO235">
        <f>2.146523263</f>
        <v>2.1465232630000002</v>
      </c>
      <c r="BP235">
        <f>2.23041785</f>
        <v>2.2304178499999998</v>
      </c>
      <c r="BQ235">
        <f>2.176003043</f>
        <v>2.1760030430000001</v>
      </c>
      <c r="BR235">
        <f>2.149102501</f>
        <v>2.1491025010000002</v>
      </c>
      <c r="BS235">
        <f>2.126742649</f>
        <v>2.1267426490000001</v>
      </c>
      <c r="BT235">
        <f>2.136339722</f>
        <v>2.1363397220000002</v>
      </c>
      <c r="BU235">
        <f>2.144902511</f>
        <v>2.1449025110000002</v>
      </c>
      <c r="BV235">
        <f>2.187745296</f>
        <v>2.1877452960000001</v>
      </c>
      <c r="BW235">
        <f>2.226476907</f>
        <v>2.2264769069999999</v>
      </c>
      <c r="BX235">
        <f>2.231221438</f>
        <v>2.2312214379999999</v>
      </c>
      <c r="BY235">
        <f>2.157494814</f>
        <v>2.1574948140000001</v>
      </c>
      <c r="BZ235">
        <f>2.233084861</f>
        <v>2.233084861</v>
      </c>
      <c r="CA235">
        <f>2.112489444</f>
        <v>2.1124894439999999</v>
      </c>
      <c r="CB235">
        <f>2.207024419</f>
        <v>2.2070244190000001</v>
      </c>
      <c r="CC235">
        <f>2.179411585</f>
        <v>2.179411585</v>
      </c>
      <c r="CD235">
        <f>2.118082266</f>
        <v>2.118082266</v>
      </c>
      <c r="CE235">
        <f>2.001350748</f>
        <v>2.0013507480000001</v>
      </c>
      <c r="CF235">
        <f>2.103765154</f>
        <v>2.103765154</v>
      </c>
      <c r="CG235">
        <f>2.061170657</f>
        <v>2.0611706569999999</v>
      </c>
      <c r="CH235">
        <f>1.847248257</f>
        <v>1.8472482569999999</v>
      </c>
      <c r="CI235">
        <f>2.258229001</f>
        <v>2.2582290010000001</v>
      </c>
      <c r="CJ235">
        <f>2.190218236</f>
        <v>2.1902182360000002</v>
      </c>
      <c r="CK235">
        <f>2.445900858</f>
        <v>2.4459008579999999</v>
      </c>
      <c r="CL235">
        <f>2.456726223</f>
        <v>2.456726223</v>
      </c>
      <c r="CM235">
        <f>2.456269315</f>
        <v>2.4562693150000001</v>
      </c>
      <c r="CN235">
        <f>2.46690207</f>
        <v>2.4669020700000002</v>
      </c>
      <c r="CO235">
        <f>2.588064121</f>
        <v>2.5880641209999999</v>
      </c>
      <c r="CP235">
        <f>2.508140612</f>
        <v>2.508140612</v>
      </c>
      <c r="CQ235">
        <f>2.508900466</f>
        <v>2.5089004660000001</v>
      </c>
      <c r="CR235">
        <f>2.638366272</f>
        <v>2.6383662719999998</v>
      </c>
      <c r="CS235">
        <f>2.48780052</f>
        <v>2.48780052</v>
      </c>
      <c r="CT235">
        <f>2.620460331</f>
        <v>2.6204603309999999</v>
      </c>
      <c r="CU235">
        <f>2.693261557</f>
        <v>2.693261557</v>
      </c>
      <c r="CV235">
        <f>2.734723989</f>
        <v>2.7347239889999999</v>
      </c>
      <c r="CW235">
        <f>2.693657588</f>
        <v>2.6936575880000002</v>
      </c>
      <c r="CX235">
        <f>2.620848352</f>
        <v>2.6208483519999999</v>
      </c>
      <c r="CY235">
        <f>2.823189396</f>
        <v>2.8231893960000001</v>
      </c>
      <c r="CZ235">
        <f>2.622786722</f>
        <v>2.6227867219999998</v>
      </c>
      <c r="DA235">
        <f>2.637904993</f>
        <v>2.6379049929999998</v>
      </c>
      <c r="DB235">
        <f>2.589793826</f>
        <v>2.5897938260000002</v>
      </c>
      <c r="DC235">
        <f>2.65985189</f>
        <v>2.6598518900000001</v>
      </c>
      <c r="DD235">
        <f>2.444031798</f>
        <v>2.4440317980000001</v>
      </c>
      <c r="DE235">
        <f>2.614596863</f>
        <v>2.614596863</v>
      </c>
      <c r="DF235">
        <f>2.636180352</f>
        <v>2.6361803519999998</v>
      </c>
      <c r="DG235">
        <f>2.561848085</f>
        <v>2.5618480849999998</v>
      </c>
      <c r="DH235">
        <f>2.748936204</f>
        <v>2.748936204</v>
      </c>
      <c r="DI235">
        <f>2.735672255</f>
        <v>2.7356722549999999</v>
      </c>
      <c r="DJ235">
        <f>2.698128766</f>
        <v>2.698128766</v>
      </c>
      <c r="DK235">
        <f>2.750429234</f>
        <v>2.7504292339999998</v>
      </c>
      <c r="DL235">
        <f>2.530797798</f>
        <v>2.530797798</v>
      </c>
      <c r="DM235">
        <f>2.82041227</f>
        <v>2.8204122699999998</v>
      </c>
      <c r="DN235">
        <f>2.876619502</f>
        <v>2.8766195020000001</v>
      </c>
      <c r="DO235">
        <f>2.884176554</f>
        <v>2.8841765540000002</v>
      </c>
      <c r="DP235">
        <f>2.885284548</f>
        <v>2.885284548</v>
      </c>
      <c r="DQ235">
        <f>3.663114802</f>
        <v>3.6631148019999999</v>
      </c>
      <c r="DR235">
        <f>2.747339579</f>
        <v>2.7473395790000001</v>
      </c>
      <c r="DS235">
        <f>2.766526832</f>
        <v>2.7665268319999998</v>
      </c>
      <c r="DT235">
        <f>2.94413168</f>
        <v>2.9441316799999999</v>
      </c>
      <c r="DU235">
        <f>2.959152125</f>
        <v>2.9591521250000001</v>
      </c>
    </row>
    <row r="236" spans="1:125">
      <c r="A236" t="str">
        <f>"    Regency Centers Corp"</f>
        <v xml:space="preserve">    Regency Centers Corp</v>
      </c>
      <c r="B236" t="str">
        <f>"REG US Equity"</f>
        <v>REG US Equity</v>
      </c>
      <c r="C236" t="str">
        <f t="shared" si="42"/>
        <v>RR553</v>
      </c>
      <c r="D236" t="str">
        <f t="shared" si="43"/>
        <v>EBITDA_RE_ASSET</v>
      </c>
      <c r="E236" t="str">
        <f t="shared" si="44"/>
        <v>动态</v>
      </c>
      <c r="F236" t="str">
        <f ca="1">IF(AND(ISNUMBER($F$683),$B$419=1),$F$683,HLOOKUP(INDIRECT(ADDRESS(2,COLUMN())),OFFSET($BN$2,0,0,ROW()-1,60),ROW()-1,FALSE))</f>
        <v/>
      </c>
      <c r="G236">
        <f ca="1">IF(AND(ISNUMBER($G$683),$B$419=1),$G$683,HLOOKUP(INDIRECT(ADDRESS(2,COLUMN())),OFFSET($BN$2,0,0,ROW()-1,60),ROW()-1,FALSE))</f>
        <v>1.699828782</v>
      </c>
      <c r="H236">
        <f ca="1">IF(AND(ISNUMBER($H$683),$B$419=1),$H$683,HLOOKUP(INDIRECT(ADDRESS(2,COLUMN())),OFFSET($BN$2,0,0,ROW()-1,60),ROW()-1,FALSE))</f>
        <v>1.768801037</v>
      </c>
      <c r="I236">
        <f ca="1">IF(AND(ISNUMBER($I$683),$B$419=1),$I$683,HLOOKUP(INDIRECT(ADDRESS(2,COLUMN())),OFFSET($BN$2,0,0,ROW()-1,60),ROW()-1,FALSE))</f>
        <v>1.7272219900000001</v>
      </c>
      <c r="J236">
        <f ca="1">IF(AND(ISNUMBER($J$683),$B$419=1),$J$683,HLOOKUP(INDIRECT(ADDRESS(2,COLUMN())),OFFSET($BN$2,0,0,ROW()-1,60),ROW()-1,FALSE))</f>
        <v>0.54657718700000002</v>
      </c>
      <c r="K236">
        <f ca="1">IF(AND(ISNUMBER($K$683),$B$419=1),$K$683,HLOOKUP(INDIRECT(ADDRESS(2,COLUMN())),OFFSET($BN$2,0,0,ROW()-1,60),ROW()-1,FALSE))</f>
        <v>2.2517131940000001</v>
      </c>
      <c r="L236">
        <f ca="1">IF(AND(ISNUMBER($L$683),$B$419=1),$L$683,HLOOKUP(INDIRECT(ADDRESS(2,COLUMN())),OFFSET($BN$2,0,0,ROW()-1,60),ROW()-1,FALSE))</f>
        <v>2.337088864</v>
      </c>
      <c r="M236">
        <f ca="1">IF(AND(ISNUMBER($M$683),$B$419=1),$M$683,HLOOKUP(INDIRECT(ADDRESS(2,COLUMN())),OFFSET($BN$2,0,0,ROW()-1,60),ROW()-1,FALSE))</f>
        <v>2.2930688969999999</v>
      </c>
      <c r="N236">
        <f ca="1">IF(AND(ISNUMBER($N$683),$B$419=1),$N$683,HLOOKUP(INDIRECT(ADDRESS(2,COLUMN())),OFFSET($BN$2,0,0,ROW()-1,60),ROW()-1,FALSE))</f>
        <v>2.4419273769999998</v>
      </c>
      <c r="O236">
        <f ca="1">IF(AND(ISNUMBER($O$683),$B$419=1),$O$683,HLOOKUP(INDIRECT(ADDRESS(2,COLUMN())),OFFSET($BN$2,0,0,ROW()-1,60),ROW()-1,FALSE))</f>
        <v>2.2758464109999998</v>
      </c>
      <c r="P236">
        <f ca="1">IF(AND(ISNUMBER($P$683),$B$419=1),$P$683,HLOOKUP(INDIRECT(ADDRESS(2,COLUMN())),OFFSET($BN$2,0,0,ROW()-1,60),ROW()-1,FALSE))</f>
        <v>2.3484266310000002</v>
      </c>
      <c r="Q236">
        <f ca="1">IF(AND(ISNUMBER($Q$683),$B$419=1),$Q$683,HLOOKUP(INDIRECT(ADDRESS(2,COLUMN())),OFFSET($BN$2,0,0,ROW()-1,60),ROW()-1,FALSE))</f>
        <v>2.3262441659999999</v>
      </c>
      <c r="R236">
        <f ca="1">IF(AND(ISNUMBER($R$683),$B$419=1),$R$683,HLOOKUP(INDIRECT(ADDRESS(2,COLUMN())),OFFSET($BN$2,0,0,ROW()-1,60),ROW()-1,FALSE))</f>
        <v>2.2649474569999999</v>
      </c>
      <c r="S236">
        <f ca="1">IF(AND(ISNUMBER($S$683),$B$419=1),$S$683,HLOOKUP(INDIRECT(ADDRESS(2,COLUMN())),OFFSET($BN$2,0,0,ROW()-1,60),ROW()-1,FALSE))</f>
        <v>2.1673818790000001</v>
      </c>
      <c r="T236">
        <f ca="1">IF(AND(ISNUMBER($T$683),$B$419=1),$T$683,HLOOKUP(INDIRECT(ADDRESS(2,COLUMN())),OFFSET($BN$2,0,0,ROW()-1,60),ROW()-1,FALSE))</f>
        <v>2.245613117</v>
      </c>
      <c r="U236">
        <f ca="1">IF(AND(ISNUMBER($U$683),$B$419=1),$U$683,HLOOKUP(INDIRECT(ADDRESS(2,COLUMN())),OFFSET($BN$2,0,0,ROW()-1,60),ROW()-1,FALSE))</f>
        <v>2.2472950649999999</v>
      </c>
      <c r="V236">
        <f ca="1">IF(AND(ISNUMBER($V$683),$B$419=1),$V$683,HLOOKUP(INDIRECT(ADDRESS(2,COLUMN())),OFFSET($BN$2,0,0,ROW()-1,60),ROW()-1,FALSE))</f>
        <v>2.197965875</v>
      </c>
      <c r="W236">
        <f ca="1">IF(AND(ISNUMBER($W$683),$B$419=1),$W$683,HLOOKUP(INDIRECT(ADDRESS(2,COLUMN())),OFFSET($BN$2,0,0,ROW()-1,60),ROW()-1,FALSE))</f>
        <v>2.1328276939999999</v>
      </c>
      <c r="X236">
        <f ca="1">IF(AND(ISNUMBER($X$683),$B$419=1),$X$683,HLOOKUP(INDIRECT(ADDRESS(2,COLUMN())),OFFSET($BN$2,0,0,ROW()-1,60),ROW()-1,FALSE))</f>
        <v>1.9291776410000001</v>
      </c>
      <c r="Y236">
        <f ca="1">IF(AND(ISNUMBER($Y$683),$B$419=1),$Y$683,HLOOKUP(INDIRECT(ADDRESS(2,COLUMN())),OFFSET($BN$2,0,0,ROW()-1,60),ROW()-1,FALSE))</f>
        <v>2.1171178839999998</v>
      </c>
      <c r="Z236">
        <f ca="1">IF(AND(ISNUMBER($Z$683),$B$419=1),$Z$683,HLOOKUP(INDIRECT(ADDRESS(2,COLUMN())),OFFSET($BN$2,0,0,ROW()-1,60),ROW()-1,FALSE))</f>
        <v>2.0065005500000002</v>
      </c>
      <c r="AA236">
        <f ca="1">IF(AND(ISNUMBER($AA$683),$B$419=1),$AA$683,HLOOKUP(INDIRECT(ADDRESS(2,COLUMN())),OFFSET($BN$2,0,0,ROW()-1,60),ROW()-1,FALSE))</f>
        <v>1.9470533059999999</v>
      </c>
      <c r="AB236">
        <f ca="1">IF(AND(ISNUMBER($AB$683),$B$419=1),$AB$683,HLOOKUP(INDIRECT(ADDRESS(2,COLUMN())),OFFSET($BN$2,0,0,ROW()-1,60),ROW()-1,FALSE))</f>
        <v>2.028234453</v>
      </c>
      <c r="AC236">
        <f ca="1">IF(AND(ISNUMBER($AC$683),$B$419=1),$AC$683,HLOOKUP(INDIRECT(ADDRESS(2,COLUMN())),OFFSET($BN$2,0,0,ROW()-1,60),ROW()-1,FALSE))</f>
        <v>2.1786318320000002</v>
      </c>
      <c r="AD236">
        <f ca="1">IF(AND(ISNUMBER($AD$683),$B$419=1),$AD$683,HLOOKUP(INDIRECT(ADDRESS(2,COLUMN())),OFFSET($BN$2,0,0,ROW()-1,60),ROW()-1,FALSE))</f>
        <v>2.0262349209999999</v>
      </c>
      <c r="AE236">
        <f ca="1">IF(AND(ISNUMBER($AE$683),$B$419=1),$AE$683,HLOOKUP(INDIRECT(ADDRESS(2,COLUMN())),OFFSET($BN$2,0,0,ROW()-1,60),ROW()-1,FALSE))</f>
        <v>1.9986825459999999</v>
      </c>
      <c r="AF236">
        <f ca="1">IF(AND(ISNUMBER($AF$683),$B$419=1),$AF$683,HLOOKUP(INDIRECT(ADDRESS(2,COLUMN())),OFFSET($BN$2,0,0,ROW()-1,60),ROW()-1,FALSE))</f>
        <v>2.0571741129999999</v>
      </c>
      <c r="AG236">
        <f ca="1">IF(AND(ISNUMBER($AG$683),$B$419=1),$AG$683,HLOOKUP(INDIRECT(ADDRESS(2,COLUMN())),OFFSET($BN$2,0,0,ROW()-1,60),ROW()-1,FALSE))</f>
        <v>2.0382931050000002</v>
      </c>
      <c r="AH236">
        <f ca="1">IF(AND(ISNUMBER($AH$683),$B$419=1),$AH$683,HLOOKUP(INDIRECT(ADDRESS(2,COLUMN())),OFFSET($BN$2,0,0,ROW()-1,60),ROW()-1,FALSE))</f>
        <v>2.0195490930000002</v>
      </c>
      <c r="AI236">
        <f ca="1">IF(AND(ISNUMBER($AI$683),$B$419=1),$AI$683,HLOOKUP(INDIRECT(ADDRESS(2,COLUMN())),OFFSET($BN$2,0,0,ROW()-1,60),ROW()-1,FALSE))</f>
        <v>1.972919466</v>
      </c>
      <c r="AJ236">
        <f ca="1">IF(AND(ISNUMBER($AJ$683),$B$419=1),$AJ$683,HLOOKUP(INDIRECT(ADDRESS(2,COLUMN())),OFFSET($BN$2,0,0,ROW()-1,60),ROW()-1,FALSE))</f>
        <v>1.849653268</v>
      </c>
      <c r="AK236">
        <f ca="1">IF(AND(ISNUMBER($AK$683),$B$419=1),$AK$683,HLOOKUP(INDIRECT(ADDRESS(2,COLUMN())),OFFSET($BN$2,0,0,ROW()-1,60),ROW()-1,FALSE))</f>
        <v>2.0004525559999999</v>
      </c>
      <c r="AL236">
        <f ca="1">IF(AND(ISNUMBER($AL$683),$B$419=1),$AL$683,HLOOKUP(INDIRECT(ADDRESS(2,COLUMN())),OFFSET($BN$2,0,0,ROW()-1,60),ROW()-1,FALSE))</f>
        <v>2.0260409429999999</v>
      </c>
      <c r="AM236">
        <f ca="1">IF(AND(ISNUMBER($AM$683),$B$419=1),$AM$683,HLOOKUP(INDIRECT(ADDRESS(2,COLUMN())),OFFSET($BN$2,0,0,ROW()-1,60),ROW()-1,FALSE))</f>
        <v>1.9122393470000001</v>
      </c>
      <c r="AN236">
        <f ca="1">IF(AND(ISNUMBER($AN$683),$B$419=1),$AN$683,HLOOKUP(INDIRECT(ADDRESS(2,COLUMN())),OFFSET($BN$2,0,0,ROW()-1,60),ROW()-1,FALSE))</f>
        <v>2.208344452</v>
      </c>
      <c r="AO236">
        <f ca="1">IF(AND(ISNUMBER($AO$683),$B$419=1),$AO$683,HLOOKUP(INDIRECT(ADDRESS(2,COLUMN())),OFFSET($BN$2,0,0,ROW()-1,60),ROW()-1,FALSE))</f>
        <v>1.8033270210000001</v>
      </c>
      <c r="AP236">
        <f ca="1">IF(AND(ISNUMBER($AP$683),$B$419=1),$AP$683,HLOOKUP(INDIRECT(ADDRESS(2,COLUMN())),OFFSET($BN$2,0,0,ROW()-1,60),ROW()-1,FALSE))</f>
        <v>1.8447246479999999</v>
      </c>
      <c r="AQ236">
        <f ca="1">IF(AND(ISNUMBER($AQ$683),$B$419=1),$AQ$683,HLOOKUP(INDIRECT(ADDRESS(2,COLUMN())),OFFSET($BN$2,0,0,ROW()-1,60),ROW()-1,FALSE))</f>
        <v>2.360054147</v>
      </c>
      <c r="AR236">
        <f ca="1">IF(AND(ISNUMBER($AR$683),$B$419=1),$AR$683,HLOOKUP(INDIRECT(ADDRESS(2,COLUMN())),OFFSET($BN$2,0,0,ROW()-1,60),ROW()-1,FALSE))</f>
        <v>1.99218805</v>
      </c>
      <c r="AS236">
        <f ca="1">IF(AND(ISNUMBER($AS$683),$B$419=1),$AS$683,HLOOKUP(INDIRECT(ADDRESS(2,COLUMN())),OFFSET($BN$2,0,0,ROW()-1,60),ROW()-1,FALSE))</f>
        <v>2.004803092</v>
      </c>
      <c r="AT236">
        <f ca="1">IF(AND(ISNUMBER($AT$683),$B$419=1),$AT$683,HLOOKUP(INDIRECT(ADDRESS(2,COLUMN())),OFFSET($BN$2,0,0,ROW()-1,60),ROW()-1,FALSE))</f>
        <v>1.8519516439999999</v>
      </c>
      <c r="AU236">
        <f ca="1">IF(AND(ISNUMBER($AU$683),$B$419=1),$AU$683,HLOOKUP(INDIRECT(ADDRESS(2,COLUMN())),OFFSET($BN$2,0,0,ROW()-1,60),ROW()-1,FALSE))</f>
        <v>1.711700572</v>
      </c>
      <c r="AV236">
        <f ca="1">IF(AND(ISNUMBER($AV$683),$B$419=1),$AV$683,HLOOKUP(INDIRECT(ADDRESS(2,COLUMN())),OFFSET($BN$2,0,0,ROW()-1,60),ROW()-1,FALSE))</f>
        <v>1.975025448</v>
      </c>
      <c r="AW236">
        <f ca="1">IF(AND(ISNUMBER($AW$683),$B$419=1),$AW$683,HLOOKUP(INDIRECT(ADDRESS(2,COLUMN())),OFFSET($BN$2,0,0,ROW()-1,60),ROW()-1,FALSE))</f>
        <v>1.8377294799999999</v>
      </c>
      <c r="AX236">
        <f ca="1">IF(AND(ISNUMBER($AX$683),$B$419=1),$AX$683,HLOOKUP(INDIRECT(ADDRESS(2,COLUMN())),OFFSET($BN$2,0,0,ROW()-1,60),ROW()-1,FALSE))</f>
        <v>1.9258976729999999</v>
      </c>
      <c r="AY236">
        <f ca="1">IF(AND(ISNUMBER($AY$683),$B$419=1),$AY$683,HLOOKUP(INDIRECT(ADDRESS(2,COLUMN())),OFFSET($BN$2,0,0,ROW()-1,60),ROW()-1,FALSE))</f>
        <v>1.68806765</v>
      </c>
      <c r="AZ236">
        <f ca="1">IF(AND(ISNUMBER($AZ$683),$B$419=1),$AZ$683,HLOOKUP(INDIRECT(ADDRESS(2,COLUMN())),OFFSET($BN$2,0,0,ROW()-1,60),ROW()-1,FALSE))</f>
        <v>2.0101489209999999</v>
      </c>
      <c r="BA236">
        <f ca="1">IF(AND(ISNUMBER($BA$683),$B$419=1),$BA$683,HLOOKUP(INDIRECT(ADDRESS(2,COLUMN())),OFFSET($BN$2,0,0,ROW()-1,60),ROW()-1,FALSE))</f>
        <v>2.0462462829999999</v>
      </c>
      <c r="BB236">
        <f ca="1">IF(AND(ISNUMBER($BB$683),$B$419=1),$BB$683,HLOOKUP(INDIRECT(ADDRESS(2,COLUMN())),OFFSET($BN$2,0,0,ROW()-1,60),ROW()-1,FALSE))</f>
        <v>1.917825479</v>
      </c>
      <c r="BC236">
        <f ca="1">IF(AND(ISNUMBER($BC$683),$B$419=1),$BC$683,HLOOKUP(INDIRECT(ADDRESS(2,COLUMN())),OFFSET($BN$2,0,0,ROW()-1,60),ROW()-1,FALSE))</f>
        <v>1.762651422</v>
      </c>
      <c r="BD236">
        <f ca="1">IF(AND(ISNUMBER($BD$683),$B$419=1),$BD$683,HLOOKUP(INDIRECT(ADDRESS(2,COLUMN())),OFFSET($BN$2,0,0,ROW()-1,60),ROW()-1,FALSE))</f>
        <v>1.7450052920000001</v>
      </c>
      <c r="BE236">
        <f ca="1">IF(AND(ISNUMBER($BE$683),$B$419=1),$BE$683,HLOOKUP(INDIRECT(ADDRESS(2,COLUMN())),OFFSET($BN$2,0,0,ROW()-1,60),ROW()-1,FALSE))</f>
        <v>2.2251899719999999</v>
      </c>
      <c r="BF236">
        <f ca="1">IF(AND(ISNUMBER($BF$683),$B$419=1),$BF$683,HLOOKUP(INDIRECT(ADDRESS(2,COLUMN())),OFFSET($BN$2,0,0,ROW()-1,60),ROW()-1,FALSE))</f>
        <v>2.185260735</v>
      </c>
      <c r="BG236">
        <f ca="1">IF(AND(ISNUMBER($BG$683),$B$419=1),$BG$683,HLOOKUP(INDIRECT(ADDRESS(2,COLUMN())),OFFSET($BN$2,0,0,ROW()-1,60),ROW()-1,FALSE))</f>
        <v>2.1105351909999999</v>
      </c>
      <c r="BH236">
        <f ca="1">IF(AND(ISNUMBER($BH$683),$B$419=1),$BH$683,HLOOKUP(INDIRECT(ADDRESS(2,COLUMN())),OFFSET($BN$2,0,0,ROW()-1,60),ROW()-1,FALSE))</f>
        <v>2.0417618630000001</v>
      </c>
      <c r="BI236">
        <f ca="1">IF(AND(ISNUMBER($BI$683),$B$419=1),$BI$683,HLOOKUP(INDIRECT(ADDRESS(2,COLUMN())),OFFSET($BN$2,0,0,ROW()-1,60),ROW()-1,FALSE))</f>
        <v>2.057075754</v>
      </c>
      <c r="BJ236">
        <f ca="1">IF(AND(ISNUMBER($BJ$683),$B$419=1),$BJ$683,HLOOKUP(INDIRECT(ADDRESS(2,COLUMN())),OFFSET($BN$2,0,0,ROW()-1,60),ROW()-1,FALSE))</f>
        <v>2.1089254180000001</v>
      </c>
      <c r="BK236">
        <f ca="1">IF(AND(ISNUMBER($BK$683),$B$419=1),$BK$683,HLOOKUP(INDIRECT(ADDRESS(2,COLUMN())),OFFSET($BN$2,0,0,ROW()-1,60),ROW()-1,FALSE))</f>
        <v>1.9077690380000001</v>
      </c>
      <c r="BL236">
        <f ca="1">IF(AND(ISNUMBER($BL$683),$B$419=1),$BL$683,HLOOKUP(INDIRECT(ADDRESS(2,COLUMN())),OFFSET($BN$2,0,0,ROW()-1,60),ROW()-1,FALSE))</f>
        <v>2.047933778</v>
      </c>
      <c r="BM236" t="str">
        <f ca="1">IF(AND(ISNUMBER($BM$683),$B$419=1),$BM$683,HLOOKUP(INDIRECT(ADDRESS(2,COLUMN())),OFFSET($BN$2,0,0,ROW()-1,60),ROW()-1,FALSE))</f>
        <v/>
      </c>
      <c r="BN236" t="str">
        <f>""</f>
        <v/>
      </c>
      <c r="BO236">
        <f>1.699828782</f>
        <v>1.699828782</v>
      </c>
      <c r="BP236">
        <f>1.768801037</f>
        <v>1.768801037</v>
      </c>
      <c r="BQ236">
        <f>1.72722199</f>
        <v>1.7272219900000001</v>
      </c>
      <c r="BR236">
        <f>0.546577187</f>
        <v>0.54657718700000002</v>
      </c>
      <c r="BS236">
        <f>2.251713194</f>
        <v>2.2517131940000001</v>
      </c>
      <c r="BT236">
        <f>2.337088864</f>
        <v>2.337088864</v>
      </c>
      <c r="BU236">
        <f>2.293068897</f>
        <v>2.2930688969999999</v>
      </c>
      <c r="BV236">
        <f>2.441927377</f>
        <v>2.4419273769999998</v>
      </c>
      <c r="BW236">
        <f>2.275846411</f>
        <v>2.2758464109999998</v>
      </c>
      <c r="BX236">
        <f>2.348426631</f>
        <v>2.3484266310000002</v>
      </c>
      <c r="BY236">
        <f>2.326244166</f>
        <v>2.3262441659999999</v>
      </c>
      <c r="BZ236">
        <f>2.264947457</f>
        <v>2.2649474569999999</v>
      </c>
      <c r="CA236">
        <f>2.167381879</f>
        <v>2.1673818790000001</v>
      </c>
      <c r="CB236">
        <f>2.245613117</f>
        <v>2.245613117</v>
      </c>
      <c r="CC236">
        <f>2.247295065</f>
        <v>2.2472950649999999</v>
      </c>
      <c r="CD236">
        <f>2.197965875</f>
        <v>2.197965875</v>
      </c>
      <c r="CE236">
        <f>2.132827694</f>
        <v>2.1328276939999999</v>
      </c>
      <c r="CF236">
        <f>1.929177641</f>
        <v>1.9291776410000001</v>
      </c>
      <c r="CG236">
        <f>2.117117884</f>
        <v>2.1171178839999998</v>
      </c>
      <c r="CH236">
        <f>2.00650055</f>
        <v>2.0065005500000002</v>
      </c>
      <c r="CI236">
        <f>1.947053306</f>
        <v>1.9470533059999999</v>
      </c>
      <c r="CJ236">
        <f>2.028234453</f>
        <v>2.028234453</v>
      </c>
      <c r="CK236">
        <f>2.178631832</f>
        <v>2.1786318320000002</v>
      </c>
      <c r="CL236">
        <f>2.026234921</f>
        <v>2.0262349209999999</v>
      </c>
      <c r="CM236">
        <f>1.998682546</f>
        <v>1.9986825459999999</v>
      </c>
      <c r="CN236">
        <f>2.057174113</f>
        <v>2.0571741129999999</v>
      </c>
      <c r="CO236">
        <f>2.038293105</f>
        <v>2.0382931050000002</v>
      </c>
      <c r="CP236">
        <f>2.019549093</f>
        <v>2.0195490930000002</v>
      </c>
      <c r="CQ236">
        <f>1.972919466</f>
        <v>1.972919466</v>
      </c>
      <c r="CR236">
        <f>1.849653268</f>
        <v>1.849653268</v>
      </c>
      <c r="CS236">
        <f>2.000452556</f>
        <v>2.0004525559999999</v>
      </c>
      <c r="CT236">
        <f>2.026040943</f>
        <v>2.0260409429999999</v>
      </c>
      <c r="CU236">
        <f>1.912239347</f>
        <v>1.9122393470000001</v>
      </c>
      <c r="CV236">
        <f>2.208344452</f>
        <v>2.208344452</v>
      </c>
      <c r="CW236">
        <f>1.803327021</f>
        <v>1.8033270210000001</v>
      </c>
      <c r="CX236">
        <f>1.844724648</f>
        <v>1.8447246479999999</v>
      </c>
      <c r="CY236">
        <f>2.360054147</f>
        <v>2.360054147</v>
      </c>
      <c r="CZ236">
        <f>1.99218805</f>
        <v>1.99218805</v>
      </c>
      <c r="DA236">
        <f>2.004803092</f>
        <v>2.004803092</v>
      </c>
      <c r="DB236">
        <f>1.851951644</f>
        <v>1.8519516439999999</v>
      </c>
      <c r="DC236">
        <f>1.711700572</f>
        <v>1.711700572</v>
      </c>
      <c r="DD236">
        <f>1.975025448</f>
        <v>1.975025448</v>
      </c>
      <c r="DE236">
        <f>1.83772948</f>
        <v>1.8377294799999999</v>
      </c>
      <c r="DF236">
        <f>1.925897673</f>
        <v>1.9258976729999999</v>
      </c>
      <c r="DG236">
        <f>1.68806765</f>
        <v>1.68806765</v>
      </c>
      <c r="DH236">
        <f>2.010148921</f>
        <v>2.0101489209999999</v>
      </c>
      <c r="DI236">
        <f>2.046246283</f>
        <v>2.0462462829999999</v>
      </c>
      <c r="DJ236">
        <f>1.917825479</f>
        <v>1.917825479</v>
      </c>
      <c r="DK236">
        <f>1.762651422</f>
        <v>1.762651422</v>
      </c>
      <c r="DL236">
        <f>1.745005292</f>
        <v>1.7450052920000001</v>
      </c>
      <c r="DM236">
        <f>2.225189972</f>
        <v>2.2251899719999999</v>
      </c>
      <c r="DN236">
        <f>2.185260735</f>
        <v>2.185260735</v>
      </c>
      <c r="DO236">
        <f>2.110535191</f>
        <v>2.1105351909999999</v>
      </c>
      <c r="DP236">
        <f>2.041761863</f>
        <v>2.0417618630000001</v>
      </c>
      <c r="DQ236">
        <f>2.057075754</f>
        <v>2.057075754</v>
      </c>
      <c r="DR236">
        <f>2.108925418</f>
        <v>2.1089254180000001</v>
      </c>
      <c r="DS236">
        <f>1.907769038</f>
        <v>1.9077690380000001</v>
      </c>
      <c r="DT236">
        <f>2.047933778</f>
        <v>2.047933778</v>
      </c>
      <c r="DU236" t="str">
        <f>""</f>
        <v/>
      </c>
    </row>
    <row r="237" spans="1:125">
      <c r="A237" t="str">
        <f>"    Retail Opportunity Investments"</f>
        <v xml:space="preserve">    Retail Opportunity Investments</v>
      </c>
      <c r="B237" t="str">
        <f>"ROIC US Equity"</f>
        <v>ROIC US Equity</v>
      </c>
      <c r="C237" t="str">
        <f t="shared" si="42"/>
        <v>RR553</v>
      </c>
      <c r="D237" t="str">
        <f t="shared" si="43"/>
        <v>EBITDA_RE_ASSET</v>
      </c>
      <c r="E237" t="str">
        <f t="shared" si="44"/>
        <v>动态</v>
      </c>
      <c r="F237" t="str">
        <f ca="1">IF(AND(ISNUMBER($F$684),$B$419=1),$F$684,HLOOKUP(INDIRECT(ADDRESS(2,COLUMN())),OFFSET($BN$2,0,0,ROW()-1,60),ROW()-1,FALSE))</f>
        <v/>
      </c>
      <c r="G237">
        <f ca="1">IF(AND(ISNUMBER($G$684),$B$419=1),$G$684,HLOOKUP(INDIRECT(ADDRESS(2,COLUMN())),OFFSET($BN$2,0,0,ROW()-1,60),ROW()-1,FALSE))</f>
        <v>1.7883803709999999</v>
      </c>
      <c r="H237">
        <f ca="1">IF(AND(ISNUMBER($H$684),$B$419=1),$H$684,HLOOKUP(INDIRECT(ADDRESS(2,COLUMN())),OFFSET($BN$2,0,0,ROW()-1,60),ROW()-1,FALSE))</f>
        <v>1.7745249080000001</v>
      </c>
      <c r="I237">
        <f ca="1">IF(AND(ISNUMBER($I$684),$B$419=1),$I$684,HLOOKUP(INDIRECT(ADDRESS(2,COLUMN())),OFFSET($BN$2,0,0,ROW()-1,60),ROW()-1,FALSE))</f>
        <v>1.707538088</v>
      </c>
      <c r="J237">
        <f ca="1">IF(AND(ISNUMBER($J$684),$B$419=1),$J$684,HLOOKUP(INDIRECT(ADDRESS(2,COLUMN())),OFFSET($BN$2,0,0,ROW()-1,60),ROW()-1,FALSE))</f>
        <v>1.7847931619999999</v>
      </c>
      <c r="K237">
        <f ca="1">IF(AND(ISNUMBER($K$684),$B$419=1),$K$684,HLOOKUP(INDIRECT(ADDRESS(2,COLUMN())),OFFSET($BN$2,0,0,ROW()-1,60),ROW()-1,FALSE))</f>
        <v>1.784404713</v>
      </c>
      <c r="L237">
        <f ca="1">IF(AND(ISNUMBER($L$684),$B$419=1),$L$684,HLOOKUP(INDIRECT(ADDRESS(2,COLUMN())),OFFSET($BN$2,0,0,ROW()-1,60),ROW()-1,FALSE))</f>
        <v>1.704513342</v>
      </c>
      <c r="M237">
        <f ca="1">IF(AND(ISNUMBER($M$684),$B$419=1),$M$684,HLOOKUP(INDIRECT(ADDRESS(2,COLUMN())),OFFSET($BN$2,0,0,ROW()-1,60),ROW()-1,FALSE))</f>
        <v>1.68005023</v>
      </c>
      <c r="N237">
        <f ca="1">IF(AND(ISNUMBER($N$684),$B$419=1),$N$684,HLOOKUP(INDIRECT(ADDRESS(2,COLUMN())),OFFSET($BN$2,0,0,ROW()-1,60),ROW()-1,FALSE))</f>
        <v>1.768232595</v>
      </c>
      <c r="O237">
        <f ca="1">IF(AND(ISNUMBER($O$684),$B$419=1),$O$684,HLOOKUP(INDIRECT(ADDRESS(2,COLUMN())),OFFSET($BN$2,0,0,ROW()-1,60),ROW()-1,FALSE))</f>
        <v>1.6044907610000001</v>
      </c>
      <c r="P237">
        <f ca="1">IF(AND(ISNUMBER($P$684),$B$419=1),$P$684,HLOOKUP(INDIRECT(ADDRESS(2,COLUMN())),OFFSET($BN$2,0,0,ROW()-1,60),ROW()-1,FALSE))</f>
        <v>1.795531046</v>
      </c>
      <c r="Q237">
        <f ca="1">IF(AND(ISNUMBER($Q$684),$B$419=1),$Q$684,HLOOKUP(INDIRECT(ADDRESS(2,COLUMN())),OFFSET($BN$2,0,0,ROW()-1,60),ROW()-1,FALSE))</f>
        <v>1.6940381149999999</v>
      </c>
      <c r="R237">
        <f ca="1">IF(AND(ISNUMBER($R$684),$B$419=1),$R$684,HLOOKUP(INDIRECT(ADDRESS(2,COLUMN())),OFFSET($BN$2,0,0,ROW()-1,60),ROW()-1,FALSE))</f>
        <v>1.6981214</v>
      </c>
      <c r="S237">
        <f ca="1">IF(AND(ISNUMBER($S$684),$B$419=1),$S$684,HLOOKUP(INDIRECT(ADDRESS(2,COLUMN())),OFFSET($BN$2,0,0,ROW()-1,60),ROW()-1,FALSE))</f>
        <v>1.5961914589999999</v>
      </c>
      <c r="T237">
        <f ca="1">IF(AND(ISNUMBER($T$684),$B$419=1),$T$684,HLOOKUP(INDIRECT(ADDRESS(2,COLUMN())),OFFSET($BN$2,0,0,ROW()-1,60),ROW()-1,FALSE))</f>
        <v>1.721827829</v>
      </c>
      <c r="U237">
        <f ca="1">IF(AND(ISNUMBER($U$684),$B$419=1),$U$684,HLOOKUP(INDIRECT(ADDRESS(2,COLUMN())),OFFSET($BN$2,0,0,ROW()-1,60),ROW()-1,FALSE))</f>
        <v>1.4828087569999999</v>
      </c>
      <c r="V237">
        <f ca="1">IF(AND(ISNUMBER($V$684),$B$419=1),$V$684,HLOOKUP(INDIRECT(ADDRESS(2,COLUMN())),OFFSET($BN$2,0,0,ROW()-1,60),ROW()-1,FALSE))</f>
        <v>1.7054796139999999</v>
      </c>
      <c r="W237">
        <f ca="1">IF(AND(ISNUMBER($W$684),$B$419=1),$W$684,HLOOKUP(INDIRECT(ADDRESS(2,COLUMN())),OFFSET($BN$2,0,0,ROW()-1,60),ROW()-1,FALSE))</f>
        <v>1.629046204</v>
      </c>
      <c r="X237">
        <f ca="1">IF(AND(ISNUMBER($X$684),$B$419=1),$X$684,HLOOKUP(INDIRECT(ADDRESS(2,COLUMN())),OFFSET($BN$2,0,0,ROW()-1,60),ROW()-1,FALSE))</f>
        <v>1.339431657</v>
      </c>
      <c r="Y237">
        <f ca="1">IF(AND(ISNUMBER($Y$684),$B$419=1),$Y$684,HLOOKUP(INDIRECT(ADDRESS(2,COLUMN())),OFFSET($BN$2,0,0,ROW()-1,60),ROW()-1,FALSE))</f>
        <v>1.5270975360000001</v>
      </c>
      <c r="Z237">
        <f ca="1">IF(AND(ISNUMBER($Z$684),$B$419=1),$Z$684,HLOOKUP(INDIRECT(ADDRESS(2,COLUMN())),OFFSET($BN$2,0,0,ROW()-1,60),ROW()-1,FALSE))</f>
        <v>1.6382617159999999</v>
      </c>
      <c r="AA237">
        <f ca="1">IF(AND(ISNUMBER($AA$684),$B$419=1),$AA$684,HLOOKUP(INDIRECT(ADDRESS(2,COLUMN())),OFFSET($BN$2,0,0,ROW()-1,60),ROW()-1,FALSE))</f>
        <v>1.281071241</v>
      </c>
      <c r="AB237">
        <f ca="1">IF(AND(ISNUMBER($AB$684),$B$419=1),$AB$684,HLOOKUP(INDIRECT(ADDRESS(2,COLUMN())),OFFSET($BN$2,0,0,ROW()-1,60),ROW()-1,FALSE))</f>
        <v>1.3995795150000001</v>
      </c>
      <c r="AC237">
        <f ca="1">IF(AND(ISNUMBER($AC$684),$B$419=1),$AC$684,HLOOKUP(INDIRECT(ADDRESS(2,COLUMN())),OFFSET($BN$2,0,0,ROW()-1,60),ROW()-1,FALSE))</f>
        <v>1.4183954919999999</v>
      </c>
      <c r="AD237">
        <f ca="1">IF(AND(ISNUMBER($AD$684),$B$419=1),$AD$684,HLOOKUP(INDIRECT(ADDRESS(2,COLUMN())),OFFSET($BN$2,0,0,ROW()-1,60),ROW()-1,FALSE))</f>
        <v>1.479750906</v>
      </c>
      <c r="AE237">
        <f ca="1">IF(AND(ISNUMBER($AE$684),$B$419=1),$AE$684,HLOOKUP(INDIRECT(ADDRESS(2,COLUMN())),OFFSET($BN$2,0,0,ROW()-1,60),ROW()-1,FALSE))</f>
        <v>1.4940400009999999</v>
      </c>
      <c r="AF237">
        <f ca="1">IF(AND(ISNUMBER($AF$684),$B$419=1),$AF$684,HLOOKUP(INDIRECT(ADDRESS(2,COLUMN())),OFFSET($BN$2,0,0,ROW()-1,60),ROW()-1,FALSE))</f>
        <v>1.080642334</v>
      </c>
      <c r="AG237">
        <f ca="1">IF(AND(ISNUMBER($AG$684),$B$419=1),$AG$684,HLOOKUP(INDIRECT(ADDRESS(2,COLUMN())),OFFSET($BN$2,0,0,ROW()-1,60),ROW()-1,FALSE))</f>
        <v>1.266737234</v>
      </c>
      <c r="AH237">
        <f ca="1">IF(AND(ISNUMBER($AH$684),$B$419=1),$AH$684,HLOOKUP(INDIRECT(ADDRESS(2,COLUMN())),OFFSET($BN$2,0,0,ROW()-1,60),ROW()-1,FALSE))</f>
        <v>1.2157039709999999</v>
      </c>
      <c r="AI237">
        <f ca="1">IF(AND(ISNUMBER($AI$684),$B$419=1),$AI$684,HLOOKUP(INDIRECT(ADDRESS(2,COLUMN())),OFFSET($BN$2,0,0,ROW()-1,60),ROW()-1,FALSE))</f>
        <v>0.44738086700000002</v>
      </c>
      <c r="AJ237">
        <f ca="1">IF(AND(ISNUMBER($AJ$684),$B$419=1),$AJ$684,HLOOKUP(INDIRECT(ADDRESS(2,COLUMN())),OFFSET($BN$2,0,0,ROW()-1,60),ROW()-1,FALSE))</f>
        <v>0.51106384299999996</v>
      </c>
      <c r="AK237">
        <f ca="1">IF(AND(ISNUMBER($AK$684),$B$419=1),$AK$684,HLOOKUP(INDIRECT(ADDRESS(2,COLUMN())),OFFSET($BN$2,0,0,ROW()-1,60),ROW()-1,FALSE))</f>
        <v>-0.47896719900000001</v>
      </c>
      <c r="AL237">
        <f ca="1">IF(AND(ISNUMBER($AL$684),$B$419=1),$AL$684,HLOOKUP(INDIRECT(ADDRESS(2,COLUMN())),OFFSET($BN$2,0,0,ROW()-1,60),ROW()-1,FALSE))</f>
        <v>-2.5399131669999999</v>
      </c>
      <c r="AM237" t="str">
        <f ca="1">IF(AND(ISNUMBER($AM$684),$B$419=1),$AM$684,HLOOKUP(INDIRECT(ADDRESS(2,COLUMN())),OFFSET($BN$2,0,0,ROW()-1,60),ROW()-1,FALSE))</f>
        <v/>
      </c>
      <c r="AN237" t="str">
        <f ca="1">IF(AND(ISNUMBER($AN$684),$B$419=1),$AN$684,HLOOKUP(INDIRECT(ADDRESS(2,COLUMN())),OFFSET($BN$2,0,0,ROW()-1,60),ROW()-1,FALSE))</f>
        <v/>
      </c>
      <c r="AO237" t="str">
        <f ca="1">IF(AND(ISNUMBER($AO$684),$B$419=1),$AO$684,HLOOKUP(INDIRECT(ADDRESS(2,COLUMN())),OFFSET($BN$2,0,0,ROW()-1,60),ROW()-1,FALSE))</f>
        <v/>
      </c>
      <c r="AP237" t="str">
        <f ca="1">IF(AND(ISNUMBER($AP$684),$B$419=1),$AP$684,HLOOKUP(INDIRECT(ADDRESS(2,COLUMN())),OFFSET($BN$2,0,0,ROW()-1,60),ROW()-1,FALSE))</f>
        <v/>
      </c>
      <c r="AQ237" t="str">
        <f ca="1">IF(AND(ISNUMBER($AQ$684),$B$419=1),$AQ$684,HLOOKUP(INDIRECT(ADDRESS(2,COLUMN())),OFFSET($BN$2,0,0,ROW()-1,60),ROW()-1,FALSE))</f>
        <v/>
      </c>
      <c r="AR237" t="str">
        <f ca="1">IF(AND(ISNUMBER($AR$684),$B$419=1),$AR$684,HLOOKUP(INDIRECT(ADDRESS(2,COLUMN())),OFFSET($BN$2,0,0,ROW()-1,60),ROW()-1,FALSE))</f>
        <v/>
      </c>
      <c r="AS237" t="str">
        <f ca="1">IF(AND(ISNUMBER($AS$684),$B$419=1),$AS$684,HLOOKUP(INDIRECT(ADDRESS(2,COLUMN())),OFFSET($BN$2,0,0,ROW()-1,60),ROW()-1,FALSE))</f>
        <v/>
      </c>
      <c r="AT237" t="str">
        <f ca="1">IF(AND(ISNUMBER($AT$684),$B$419=1),$AT$684,HLOOKUP(INDIRECT(ADDRESS(2,COLUMN())),OFFSET($BN$2,0,0,ROW()-1,60),ROW()-1,FALSE))</f>
        <v/>
      </c>
      <c r="AU237" t="str">
        <f ca="1">IF(AND(ISNUMBER($AU$684),$B$419=1),$AU$684,HLOOKUP(INDIRECT(ADDRESS(2,COLUMN())),OFFSET($BN$2,0,0,ROW()-1,60),ROW()-1,FALSE))</f>
        <v/>
      </c>
      <c r="AV237" t="str">
        <f ca="1">IF(AND(ISNUMBER($AV$684),$B$419=1),$AV$684,HLOOKUP(INDIRECT(ADDRESS(2,COLUMN())),OFFSET($BN$2,0,0,ROW()-1,60),ROW()-1,FALSE))</f>
        <v/>
      </c>
      <c r="AW237" t="str">
        <f ca="1">IF(AND(ISNUMBER($AW$684),$B$419=1),$AW$684,HLOOKUP(INDIRECT(ADDRESS(2,COLUMN())),OFFSET($BN$2,0,0,ROW()-1,60),ROW()-1,FALSE))</f>
        <v/>
      </c>
      <c r="AX237" t="str">
        <f ca="1">IF(AND(ISNUMBER($AX$684),$B$419=1),$AX$684,HLOOKUP(INDIRECT(ADDRESS(2,COLUMN())),OFFSET($BN$2,0,0,ROW()-1,60),ROW()-1,FALSE))</f>
        <v/>
      </c>
      <c r="AY237" t="str">
        <f ca="1">IF(AND(ISNUMBER($AY$684),$B$419=1),$AY$684,HLOOKUP(INDIRECT(ADDRESS(2,COLUMN())),OFFSET($BN$2,0,0,ROW()-1,60),ROW()-1,FALSE))</f>
        <v/>
      </c>
      <c r="AZ237" t="str">
        <f ca="1">IF(AND(ISNUMBER($AZ$684),$B$419=1),$AZ$684,HLOOKUP(INDIRECT(ADDRESS(2,COLUMN())),OFFSET($BN$2,0,0,ROW()-1,60),ROW()-1,FALSE))</f>
        <v/>
      </c>
      <c r="BA237" t="str">
        <f ca="1">IF(AND(ISNUMBER($BA$684),$B$419=1),$BA$684,HLOOKUP(INDIRECT(ADDRESS(2,COLUMN())),OFFSET($BN$2,0,0,ROW()-1,60),ROW()-1,FALSE))</f>
        <v/>
      </c>
      <c r="BB237" t="str">
        <f ca="1">IF(AND(ISNUMBER($BB$684),$B$419=1),$BB$684,HLOOKUP(INDIRECT(ADDRESS(2,COLUMN())),OFFSET($BN$2,0,0,ROW()-1,60),ROW()-1,FALSE))</f>
        <v/>
      </c>
      <c r="BC237" t="str">
        <f ca="1">IF(AND(ISNUMBER($BC$684),$B$419=1),$BC$684,HLOOKUP(INDIRECT(ADDRESS(2,COLUMN())),OFFSET($BN$2,0,0,ROW()-1,60),ROW()-1,FALSE))</f>
        <v/>
      </c>
      <c r="BD237" t="str">
        <f ca="1">IF(AND(ISNUMBER($BD$684),$B$419=1),$BD$684,HLOOKUP(INDIRECT(ADDRESS(2,COLUMN())),OFFSET($BN$2,0,0,ROW()-1,60),ROW()-1,FALSE))</f>
        <v/>
      </c>
      <c r="BE237" t="str">
        <f ca="1">IF(AND(ISNUMBER($BE$684),$B$419=1),$BE$684,HLOOKUP(INDIRECT(ADDRESS(2,COLUMN())),OFFSET($BN$2,0,0,ROW()-1,60),ROW()-1,FALSE))</f>
        <v/>
      </c>
      <c r="BF237" t="str">
        <f ca="1">IF(AND(ISNUMBER($BF$684),$B$419=1),$BF$684,HLOOKUP(INDIRECT(ADDRESS(2,COLUMN())),OFFSET($BN$2,0,0,ROW()-1,60),ROW()-1,FALSE))</f>
        <v/>
      </c>
      <c r="BG237" t="str">
        <f ca="1">IF(AND(ISNUMBER($BG$684),$B$419=1),$BG$684,HLOOKUP(INDIRECT(ADDRESS(2,COLUMN())),OFFSET($BN$2,0,0,ROW()-1,60),ROW()-1,FALSE))</f>
        <v/>
      </c>
      <c r="BH237" t="str">
        <f ca="1">IF(AND(ISNUMBER($BH$684),$B$419=1),$BH$684,HLOOKUP(INDIRECT(ADDRESS(2,COLUMN())),OFFSET($BN$2,0,0,ROW()-1,60),ROW()-1,FALSE))</f>
        <v/>
      </c>
      <c r="BI237" t="str">
        <f ca="1">IF(AND(ISNUMBER($BI$684),$B$419=1),$BI$684,HLOOKUP(INDIRECT(ADDRESS(2,COLUMN())),OFFSET($BN$2,0,0,ROW()-1,60),ROW()-1,FALSE))</f>
        <v/>
      </c>
      <c r="BJ237" t="str">
        <f ca="1">IF(AND(ISNUMBER($BJ$684),$B$419=1),$BJ$684,HLOOKUP(INDIRECT(ADDRESS(2,COLUMN())),OFFSET($BN$2,0,0,ROW()-1,60),ROW()-1,FALSE))</f>
        <v/>
      </c>
      <c r="BK237" t="str">
        <f ca="1">IF(AND(ISNUMBER($BK$684),$B$419=1),$BK$684,HLOOKUP(INDIRECT(ADDRESS(2,COLUMN())),OFFSET($BN$2,0,0,ROW()-1,60),ROW()-1,FALSE))</f>
        <v/>
      </c>
      <c r="BL237" t="str">
        <f ca="1">IF(AND(ISNUMBER($BL$684),$B$419=1),$BL$684,HLOOKUP(INDIRECT(ADDRESS(2,COLUMN())),OFFSET($BN$2,0,0,ROW()-1,60),ROW()-1,FALSE))</f>
        <v/>
      </c>
      <c r="BM237" t="str">
        <f ca="1">IF(AND(ISNUMBER($BM$684),$B$419=1),$BM$684,HLOOKUP(INDIRECT(ADDRESS(2,COLUMN())),OFFSET($BN$2,0,0,ROW()-1,60),ROW()-1,FALSE))</f>
        <v/>
      </c>
      <c r="BN237" t="str">
        <f>""</f>
        <v/>
      </c>
      <c r="BO237">
        <f>1.788380371</f>
        <v>1.7883803709999999</v>
      </c>
      <c r="BP237">
        <f>1.774524908</f>
        <v>1.7745249080000001</v>
      </c>
      <c r="BQ237">
        <f>1.707538088</f>
        <v>1.707538088</v>
      </c>
      <c r="BR237">
        <f>1.784793162</f>
        <v>1.7847931619999999</v>
      </c>
      <c r="BS237">
        <f>1.784404713</f>
        <v>1.784404713</v>
      </c>
      <c r="BT237">
        <f>1.704513342</f>
        <v>1.704513342</v>
      </c>
      <c r="BU237">
        <f>1.68005023</f>
        <v>1.68005023</v>
      </c>
      <c r="BV237">
        <f>1.768232595</f>
        <v>1.768232595</v>
      </c>
      <c r="BW237">
        <f>1.604490761</f>
        <v>1.6044907610000001</v>
      </c>
      <c r="BX237">
        <f>1.795531046</f>
        <v>1.795531046</v>
      </c>
      <c r="BY237">
        <f>1.694038115</f>
        <v>1.6940381149999999</v>
      </c>
      <c r="BZ237">
        <f>1.6981214</f>
        <v>1.6981214</v>
      </c>
      <c r="CA237">
        <f>1.596191459</f>
        <v>1.5961914589999999</v>
      </c>
      <c r="CB237">
        <f>1.721827829</f>
        <v>1.721827829</v>
      </c>
      <c r="CC237">
        <f>1.482808757</f>
        <v>1.4828087569999999</v>
      </c>
      <c r="CD237">
        <f>1.705479614</f>
        <v>1.7054796139999999</v>
      </c>
      <c r="CE237">
        <f>1.629046204</f>
        <v>1.629046204</v>
      </c>
      <c r="CF237">
        <f>1.339431657</f>
        <v>1.339431657</v>
      </c>
      <c r="CG237">
        <f>1.527097536</f>
        <v>1.5270975360000001</v>
      </c>
      <c r="CH237">
        <f>1.638261716</f>
        <v>1.6382617159999999</v>
      </c>
      <c r="CI237">
        <f>1.281071241</f>
        <v>1.281071241</v>
      </c>
      <c r="CJ237">
        <f>1.399579515</f>
        <v>1.3995795150000001</v>
      </c>
      <c r="CK237">
        <f>1.418395492</f>
        <v>1.4183954919999999</v>
      </c>
      <c r="CL237">
        <f>1.479750906</f>
        <v>1.479750906</v>
      </c>
      <c r="CM237">
        <f>1.494040001</f>
        <v>1.4940400009999999</v>
      </c>
      <c r="CN237">
        <f>1.080642334</f>
        <v>1.080642334</v>
      </c>
      <c r="CO237">
        <f>1.266737234</f>
        <v>1.266737234</v>
      </c>
      <c r="CP237">
        <f>1.215703971</f>
        <v>1.2157039709999999</v>
      </c>
      <c r="CQ237">
        <f>0.447380867</f>
        <v>0.44738086700000002</v>
      </c>
      <c r="CR237">
        <f>0.511063843</f>
        <v>0.51106384299999996</v>
      </c>
      <c r="CS237">
        <f>-0.478967199</f>
        <v>-0.47896719900000001</v>
      </c>
      <c r="CT237">
        <f>-2.539913167</f>
        <v>-2.5399131669999999</v>
      </c>
      <c r="CU237" t="str">
        <f>""</f>
        <v/>
      </c>
      <c r="CV237" t="str">
        <f>""</f>
        <v/>
      </c>
      <c r="CW237" t="str">
        <f>""</f>
        <v/>
      </c>
      <c r="CX237" t="str">
        <f>""</f>
        <v/>
      </c>
      <c r="CY237" t="str">
        <f>""</f>
        <v/>
      </c>
      <c r="CZ237" t="str">
        <f>""</f>
        <v/>
      </c>
      <c r="DA237" t="str">
        <f>""</f>
        <v/>
      </c>
      <c r="DB237" t="str">
        <f>""</f>
        <v/>
      </c>
      <c r="DC237" t="str">
        <f>""</f>
        <v/>
      </c>
      <c r="DD237" t="str">
        <f>""</f>
        <v/>
      </c>
      <c r="DE237" t="str">
        <f>""</f>
        <v/>
      </c>
      <c r="DF237" t="str">
        <f>""</f>
        <v/>
      </c>
      <c r="DG237" t="str">
        <f>""</f>
        <v/>
      </c>
      <c r="DH237" t="str">
        <f>""</f>
        <v/>
      </c>
      <c r="DI237" t="str">
        <f>""</f>
        <v/>
      </c>
      <c r="DJ237" t="str">
        <f>""</f>
        <v/>
      </c>
      <c r="DK237" t="str">
        <f>""</f>
        <v/>
      </c>
      <c r="DL237" t="str">
        <f>""</f>
        <v/>
      </c>
      <c r="DM237" t="str">
        <f>""</f>
        <v/>
      </c>
      <c r="DN237" t="str">
        <f>""</f>
        <v/>
      </c>
      <c r="DO237" t="str">
        <f>""</f>
        <v/>
      </c>
      <c r="DP237" t="str">
        <f>""</f>
        <v/>
      </c>
      <c r="DQ237" t="str">
        <f>""</f>
        <v/>
      </c>
      <c r="DR237" t="str">
        <f>""</f>
        <v/>
      </c>
      <c r="DS237" t="str">
        <f>""</f>
        <v/>
      </c>
      <c r="DT237" t="str">
        <f>""</f>
        <v/>
      </c>
      <c r="DU237" t="str">
        <f>""</f>
        <v/>
      </c>
    </row>
    <row r="238" spans="1:125">
      <c r="A238" t="str">
        <f>"    Retail Properties of America I"</f>
        <v xml:space="preserve">    Retail Properties of America I</v>
      </c>
      <c r="B238" t="str">
        <f>"RPAI US Equity"</f>
        <v>RPAI US Equity</v>
      </c>
      <c r="C238" t="str">
        <f t="shared" si="42"/>
        <v>RR553</v>
      </c>
      <c r="D238" t="str">
        <f t="shared" si="43"/>
        <v>EBITDA_RE_ASSET</v>
      </c>
      <c r="E238" t="str">
        <f t="shared" si="44"/>
        <v>动态</v>
      </c>
      <c r="F238" t="str">
        <f ca="1">IF(AND(ISNUMBER($F$685),$B$419=1),$F$685,HLOOKUP(INDIRECT(ADDRESS(2,COLUMN())),OFFSET($BN$2,0,0,ROW()-1,60),ROW()-1,FALSE))</f>
        <v/>
      </c>
      <c r="G238">
        <f ca="1">IF(AND(ISNUMBER($G$685),$B$419=1),$G$685,HLOOKUP(INDIRECT(ADDRESS(2,COLUMN())),OFFSET($BN$2,0,0,ROW()-1,60),ROW()-1,FALSE))</f>
        <v>1.887264998</v>
      </c>
      <c r="H238">
        <f ca="1">IF(AND(ISNUMBER($H$685),$B$419=1),$H$685,HLOOKUP(INDIRECT(ADDRESS(2,COLUMN())),OFFSET($BN$2,0,0,ROW()-1,60),ROW()-1,FALSE))</f>
        <v>0.95646141900000003</v>
      </c>
      <c r="I238">
        <f ca="1">IF(AND(ISNUMBER($I$685),$B$419=1),$I$685,HLOOKUP(INDIRECT(ADDRESS(2,COLUMN())),OFFSET($BN$2,0,0,ROW()-1,60),ROW()-1,FALSE))</f>
        <v>1.8446163019999999</v>
      </c>
      <c r="J238">
        <f ca="1">IF(AND(ISNUMBER($J$685),$B$419=1),$J$685,HLOOKUP(INDIRECT(ADDRESS(2,COLUMN())),OFFSET($BN$2,0,0,ROW()-1,60),ROW()-1,FALSE))</f>
        <v>2.171642925</v>
      </c>
      <c r="K238">
        <f ca="1">IF(AND(ISNUMBER($K$685),$B$419=1),$K$685,HLOOKUP(INDIRECT(ADDRESS(2,COLUMN())),OFFSET($BN$2,0,0,ROW()-1,60),ROW()-1,FALSE))</f>
        <v>1.9311475410000001</v>
      </c>
      <c r="L238">
        <f ca="1">IF(AND(ISNUMBER($L$685),$B$419=1),$L$685,HLOOKUP(INDIRECT(ADDRESS(2,COLUMN())),OFFSET($BN$2,0,0,ROW()-1,60),ROW()-1,FALSE))</f>
        <v>2.1476438369999999</v>
      </c>
      <c r="M238">
        <f ca="1">IF(AND(ISNUMBER($M$685),$B$419=1),$M$685,HLOOKUP(INDIRECT(ADDRESS(2,COLUMN())),OFFSET($BN$2,0,0,ROW()-1,60),ROW()-1,FALSE))</f>
        <v>2.1113829879999999</v>
      </c>
      <c r="N238">
        <f ca="1">IF(AND(ISNUMBER($N$685),$B$419=1),$N$685,HLOOKUP(INDIRECT(ADDRESS(2,COLUMN())),OFFSET($BN$2,0,0,ROW()-1,60),ROW()-1,FALSE))</f>
        <v>2.1703893160000001</v>
      </c>
      <c r="O238">
        <f ca="1">IF(AND(ISNUMBER($O$685),$B$419=1),$O$685,HLOOKUP(INDIRECT(ADDRESS(2,COLUMN())),OFFSET($BN$2,0,0,ROW()-1,60),ROW()-1,FALSE))</f>
        <v>1.7473600039999999</v>
      </c>
      <c r="P238">
        <f ca="1">IF(AND(ISNUMBER($P$685),$B$419=1),$P$685,HLOOKUP(INDIRECT(ADDRESS(2,COLUMN())),OFFSET($BN$2,0,0,ROW()-1,60),ROW()-1,FALSE))</f>
        <v>2.2044016499999999</v>
      </c>
      <c r="Q238">
        <f ca="1">IF(AND(ISNUMBER($Q$685),$B$419=1),$Q$685,HLOOKUP(INDIRECT(ADDRESS(2,COLUMN())),OFFSET($BN$2,0,0,ROW()-1,60),ROW()-1,FALSE))</f>
        <v>1.9687967529999999</v>
      </c>
      <c r="R238">
        <f ca="1">IF(AND(ISNUMBER($R$685),$B$419=1),$R$685,HLOOKUP(INDIRECT(ADDRESS(2,COLUMN())),OFFSET($BN$2,0,0,ROW()-1,60),ROW()-1,FALSE))</f>
        <v>2.0932709190000001</v>
      </c>
      <c r="S238">
        <f ca="1">IF(AND(ISNUMBER($S$685),$B$419=1),$S$685,HLOOKUP(INDIRECT(ADDRESS(2,COLUMN())),OFFSET($BN$2,0,0,ROW()-1,60),ROW()-1,FALSE))</f>
        <v>1.997357737</v>
      </c>
      <c r="T238">
        <f ca="1">IF(AND(ISNUMBER($T$685),$B$419=1),$T$685,HLOOKUP(INDIRECT(ADDRESS(2,COLUMN())),OFFSET($BN$2,0,0,ROW()-1,60),ROW()-1,FALSE))</f>
        <v>1.0018294489999999</v>
      </c>
      <c r="U238">
        <f ca="1">IF(AND(ISNUMBER($U$685),$B$419=1),$U$685,HLOOKUP(INDIRECT(ADDRESS(2,COLUMN())),OFFSET($BN$2,0,0,ROW()-1,60),ROW()-1,FALSE))</f>
        <v>1.964772033</v>
      </c>
      <c r="V238">
        <f ca="1">IF(AND(ISNUMBER($V$685),$B$419=1),$V$685,HLOOKUP(INDIRECT(ADDRESS(2,COLUMN())),OFFSET($BN$2,0,0,ROW()-1,60),ROW()-1,FALSE))</f>
        <v>2.1224974969999999</v>
      </c>
      <c r="W238">
        <f ca="1">IF(AND(ISNUMBER($W$685),$B$419=1),$W$685,HLOOKUP(INDIRECT(ADDRESS(2,COLUMN())),OFFSET($BN$2,0,0,ROW()-1,60),ROW()-1,FALSE))</f>
        <v>1.491496156</v>
      </c>
      <c r="X238">
        <f ca="1">IF(AND(ISNUMBER($X$685),$B$419=1),$X$685,HLOOKUP(INDIRECT(ADDRESS(2,COLUMN())),OFFSET($BN$2,0,0,ROW()-1,60),ROW()-1,FALSE))</f>
        <v>1.426944921</v>
      </c>
      <c r="Y238">
        <f ca="1">IF(AND(ISNUMBER($Y$685),$B$419=1),$Y$685,HLOOKUP(INDIRECT(ADDRESS(2,COLUMN())),OFFSET($BN$2,0,0,ROW()-1,60),ROW()-1,FALSE))</f>
        <v>1.9119059860000001</v>
      </c>
      <c r="Z238">
        <f ca="1">IF(AND(ISNUMBER($Z$685),$B$419=1),$Z$685,HLOOKUP(INDIRECT(ADDRESS(2,COLUMN())),OFFSET($BN$2,0,0,ROW()-1,60),ROW()-1,FALSE))</f>
        <v>1.8710176160000001</v>
      </c>
      <c r="AA238">
        <f ca="1">IF(AND(ISNUMBER($AA$685),$B$419=1),$AA$685,HLOOKUP(INDIRECT(ADDRESS(2,COLUMN())),OFFSET($BN$2,0,0,ROW()-1,60),ROW()-1,FALSE))</f>
        <v>1.8741879930000001</v>
      </c>
      <c r="AB238">
        <f ca="1">IF(AND(ISNUMBER($AB$685),$B$419=1),$AB$685,HLOOKUP(INDIRECT(ADDRESS(2,COLUMN())),OFFSET($BN$2,0,0,ROW()-1,60),ROW()-1,FALSE))</f>
        <v>1.8577691030000001</v>
      </c>
      <c r="AC238">
        <f ca="1">IF(AND(ISNUMBER($AC$685),$B$419=1),$AC$685,HLOOKUP(INDIRECT(ADDRESS(2,COLUMN())),OFFSET($BN$2,0,0,ROW()-1,60),ROW()-1,FALSE))</f>
        <v>1.7751901990000001</v>
      </c>
      <c r="AD238">
        <f ca="1">IF(AND(ISNUMBER($AD$685),$B$419=1),$AD$685,HLOOKUP(INDIRECT(ADDRESS(2,COLUMN())),OFFSET($BN$2,0,0,ROW()-1,60),ROW()-1,FALSE))</f>
        <v>1.803659731</v>
      </c>
      <c r="AE238">
        <f ca="1">IF(AND(ISNUMBER($AE$685),$B$419=1),$AE$685,HLOOKUP(INDIRECT(ADDRESS(2,COLUMN())),OFFSET($BN$2,0,0,ROW()-1,60),ROW()-1,FALSE))</f>
        <v>1.6732635010000001</v>
      </c>
      <c r="AF238">
        <f ca="1">IF(AND(ISNUMBER($AF$685),$B$419=1),$AF$685,HLOOKUP(INDIRECT(ADDRESS(2,COLUMN())),OFFSET($BN$2,0,0,ROW()-1,60),ROW()-1,FALSE))</f>
        <v>1.8503544569999999</v>
      </c>
      <c r="AG238">
        <f ca="1">IF(AND(ISNUMBER($AG$685),$B$419=1),$AG$685,HLOOKUP(INDIRECT(ADDRESS(2,COLUMN())),OFFSET($BN$2,0,0,ROW()-1,60),ROW()-1,FALSE))</f>
        <v>1.7297684520000001</v>
      </c>
      <c r="AH238">
        <f ca="1">IF(AND(ISNUMBER($AH$685),$B$419=1),$AH$685,HLOOKUP(INDIRECT(ADDRESS(2,COLUMN())),OFFSET($BN$2,0,0,ROW()-1,60),ROW()-1,FALSE))</f>
        <v>1.1757356859999999</v>
      </c>
      <c r="AI238">
        <f ca="1">IF(AND(ISNUMBER($AI$685),$B$419=1),$AI$685,HLOOKUP(INDIRECT(ADDRESS(2,COLUMN())),OFFSET($BN$2,0,0,ROW()-1,60),ROW()-1,FALSE))</f>
        <v>1.894810748</v>
      </c>
      <c r="AJ238">
        <f ca="1">IF(AND(ISNUMBER($AJ$685),$B$419=1),$AJ$685,HLOOKUP(INDIRECT(ADDRESS(2,COLUMN())),OFFSET($BN$2,0,0,ROW()-1,60),ROW()-1,FALSE))</f>
        <v>1.7216448019999999</v>
      </c>
      <c r="AK238" t="str">
        <f ca="1">IF(AND(ISNUMBER($AK$685),$B$419=1),$AK$685,HLOOKUP(INDIRECT(ADDRESS(2,COLUMN())),OFFSET($BN$2,0,0,ROW()-1,60),ROW()-1,FALSE))</f>
        <v/>
      </c>
      <c r="AL238" t="str">
        <f ca="1">IF(AND(ISNUMBER($AL$685),$B$419=1),$AL$685,HLOOKUP(INDIRECT(ADDRESS(2,COLUMN())),OFFSET($BN$2,0,0,ROW()-1,60),ROW()-1,FALSE))</f>
        <v/>
      </c>
      <c r="AM238" t="str">
        <f ca="1">IF(AND(ISNUMBER($AM$685),$B$419=1),$AM$685,HLOOKUP(INDIRECT(ADDRESS(2,COLUMN())),OFFSET($BN$2,0,0,ROW()-1,60),ROW()-1,FALSE))</f>
        <v/>
      </c>
      <c r="AN238" t="str">
        <f ca="1">IF(AND(ISNUMBER($AN$685),$B$419=1),$AN$685,HLOOKUP(INDIRECT(ADDRESS(2,COLUMN())),OFFSET($BN$2,0,0,ROW()-1,60),ROW()-1,FALSE))</f>
        <v/>
      </c>
      <c r="AO238" t="str">
        <f ca="1">IF(AND(ISNUMBER($AO$685),$B$419=1),$AO$685,HLOOKUP(INDIRECT(ADDRESS(2,COLUMN())),OFFSET($BN$2,0,0,ROW()-1,60),ROW()-1,FALSE))</f>
        <v/>
      </c>
      <c r="AP238" t="str">
        <f ca="1">IF(AND(ISNUMBER($AP$685),$B$419=1),$AP$685,HLOOKUP(INDIRECT(ADDRESS(2,COLUMN())),OFFSET($BN$2,0,0,ROW()-1,60),ROW()-1,FALSE))</f>
        <v/>
      </c>
      <c r="AQ238" t="str">
        <f ca="1">IF(AND(ISNUMBER($AQ$685),$B$419=1),$AQ$685,HLOOKUP(INDIRECT(ADDRESS(2,COLUMN())),OFFSET($BN$2,0,0,ROW()-1,60),ROW()-1,FALSE))</f>
        <v/>
      </c>
      <c r="AR238" t="str">
        <f ca="1">IF(AND(ISNUMBER($AR$685),$B$419=1),$AR$685,HLOOKUP(INDIRECT(ADDRESS(2,COLUMN())),OFFSET($BN$2,0,0,ROW()-1,60),ROW()-1,FALSE))</f>
        <v/>
      </c>
      <c r="AS238" t="str">
        <f ca="1">IF(AND(ISNUMBER($AS$685),$B$419=1),$AS$685,HLOOKUP(INDIRECT(ADDRESS(2,COLUMN())),OFFSET($BN$2,0,0,ROW()-1,60),ROW()-1,FALSE))</f>
        <v/>
      </c>
      <c r="AT238" t="str">
        <f ca="1">IF(AND(ISNUMBER($AT$685),$B$419=1),$AT$685,HLOOKUP(INDIRECT(ADDRESS(2,COLUMN())),OFFSET($BN$2,0,0,ROW()-1,60),ROW()-1,FALSE))</f>
        <v/>
      </c>
      <c r="AU238" t="str">
        <f ca="1">IF(AND(ISNUMBER($AU$685),$B$419=1),$AU$685,HLOOKUP(INDIRECT(ADDRESS(2,COLUMN())),OFFSET($BN$2,0,0,ROW()-1,60),ROW()-1,FALSE))</f>
        <v/>
      </c>
      <c r="AV238" t="str">
        <f ca="1">IF(AND(ISNUMBER($AV$685),$B$419=1),$AV$685,HLOOKUP(INDIRECT(ADDRESS(2,COLUMN())),OFFSET($BN$2,0,0,ROW()-1,60),ROW()-1,FALSE))</f>
        <v/>
      </c>
      <c r="AW238" t="str">
        <f ca="1">IF(AND(ISNUMBER($AW$685),$B$419=1),$AW$685,HLOOKUP(INDIRECT(ADDRESS(2,COLUMN())),OFFSET($BN$2,0,0,ROW()-1,60),ROW()-1,FALSE))</f>
        <v/>
      </c>
      <c r="AX238" t="str">
        <f ca="1">IF(AND(ISNUMBER($AX$685),$B$419=1),$AX$685,HLOOKUP(INDIRECT(ADDRESS(2,COLUMN())),OFFSET($BN$2,0,0,ROW()-1,60),ROW()-1,FALSE))</f>
        <v/>
      </c>
      <c r="AY238" t="str">
        <f ca="1">IF(AND(ISNUMBER($AY$685),$B$419=1),$AY$685,HLOOKUP(INDIRECT(ADDRESS(2,COLUMN())),OFFSET($BN$2,0,0,ROW()-1,60),ROW()-1,FALSE))</f>
        <v/>
      </c>
      <c r="AZ238" t="str">
        <f ca="1">IF(AND(ISNUMBER($AZ$685),$B$419=1),$AZ$685,HLOOKUP(INDIRECT(ADDRESS(2,COLUMN())),OFFSET($BN$2,0,0,ROW()-1,60),ROW()-1,FALSE))</f>
        <v/>
      </c>
      <c r="BA238" t="str">
        <f ca="1">IF(AND(ISNUMBER($BA$685),$B$419=1),$BA$685,HLOOKUP(INDIRECT(ADDRESS(2,COLUMN())),OFFSET($BN$2,0,0,ROW()-1,60),ROW()-1,FALSE))</f>
        <v/>
      </c>
      <c r="BB238" t="str">
        <f ca="1">IF(AND(ISNUMBER($BB$685),$B$419=1),$BB$685,HLOOKUP(INDIRECT(ADDRESS(2,COLUMN())),OFFSET($BN$2,0,0,ROW()-1,60),ROW()-1,FALSE))</f>
        <v/>
      </c>
      <c r="BC238" t="str">
        <f ca="1">IF(AND(ISNUMBER($BC$685),$B$419=1),$BC$685,HLOOKUP(INDIRECT(ADDRESS(2,COLUMN())),OFFSET($BN$2,0,0,ROW()-1,60),ROW()-1,FALSE))</f>
        <v/>
      </c>
      <c r="BD238" t="str">
        <f ca="1">IF(AND(ISNUMBER($BD$685),$B$419=1),$BD$685,HLOOKUP(INDIRECT(ADDRESS(2,COLUMN())),OFFSET($BN$2,0,0,ROW()-1,60),ROW()-1,FALSE))</f>
        <v/>
      </c>
      <c r="BE238" t="str">
        <f ca="1">IF(AND(ISNUMBER($BE$685),$B$419=1),$BE$685,HLOOKUP(INDIRECT(ADDRESS(2,COLUMN())),OFFSET($BN$2,0,0,ROW()-1,60),ROW()-1,FALSE))</f>
        <v/>
      </c>
      <c r="BF238" t="str">
        <f ca="1">IF(AND(ISNUMBER($BF$685),$B$419=1),$BF$685,HLOOKUP(INDIRECT(ADDRESS(2,COLUMN())),OFFSET($BN$2,0,0,ROW()-1,60),ROW()-1,FALSE))</f>
        <v/>
      </c>
      <c r="BG238" t="str">
        <f ca="1">IF(AND(ISNUMBER($BG$685),$B$419=1),$BG$685,HLOOKUP(INDIRECT(ADDRESS(2,COLUMN())),OFFSET($BN$2,0,0,ROW()-1,60),ROW()-1,FALSE))</f>
        <v/>
      </c>
      <c r="BH238" t="str">
        <f ca="1">IF(AND(ISNUMBER($BH$685),$B$419=1),$BH$685,HLOOKUP(INDIRECT(ADDRESS(2,COLUMN())),OFFSET($BN$2,0,0,ROW()-1,60),ROW()-1,FALSE))</f>
        <v/>
      </c>
      <c r="BI238" t="str">
        <f ca="1">IF(AND(ISNUMBER($BI$685),$B$419=1),$BI$685,HLOOKUP(INDIRECT(ADDRESS(2,COLUMN())),OFFSET($BN$2,0,0,ROW()-1,60),ROW()-1,FALSE))</f>
        <v/>
      </c>
      <c r="BJ238" t="str">
        <f ca="1">IF(AND(ISNUMBER($BJ$685),$B$419=1),$BJ$685,HLOOKUP(INDIRECT(ADDRESS(2,COLUMN())),OFFSET($BN$2,0,0,ROW()-1,60),ROW()-1,FALSE))</f>
        <v/>
      </c>
      <c r="BK238" t="str">
        <f ca="1">IF(AND(ISNUMBER($BK$685),$B$419=1),$BK$685,HLOOKUP(INDIRECT(ADDRESS(2,COLUMN())),OFFSET($BN$2,0,0,ROW()-1,60),ROW()-1,FALSE))</f>
        <v/>
      </c>
      <c r="BL238" t="str">
        <f ca="1">IF(AND(ISNUMBER($BL$685),$B$419=1),$BL$685,HLOOKUP(INDIRECT(ADDRESS(2,COLUMN())),OFFSET($BN$2,0,0,ROW()-1,60),ROW()-1,FALSE))</f>
        <v/>
      </c>
      <c r="BM238" t="str">
        <f ca="1">IF(AND(ISNUMBER($BM$685),$B$419=1),$BM$685,HLOOKUP(INDIRECT(ADDRESS(2,COLUMN())),OFFSET($BN$2,0,0,ROW()-1,60),ROW()-1,FALSE))</f>
        <v/>
      </c>
      <c r="BN238" t="str">
        <f>""</f>
        <v/>
      </c>
      <c r="BO238">
        <f>1.887264998</f>
        <v>1.887264998</v>
      </c>
      <c r="BP238">
        <f>0.956461419</f>
        <v>0.95646141900000003</v>
      </c>
      <c r="BQ238">
        <f>1.844616302</f>
        <v>1.8446163019999999</v>
      </c>
      <c r="BR238">
        <f>2.171642925</f>
        <v>2.171642925</v>
      </c>
      <c r="BS238">
        <f>1.931147541</f>
        <v>1.9311475410000001</v>
      </c>
      <c r="BT238">
        <f>2.147643837</f>
        <v>2.1476438369999999</v>
      </c>
      <c r="BU238">
        <f>2.111382988</f>
        <v>2.1113829879999999</v>
      </c>
      <c r="BV238">
        <f>2.170389316</f>
        <v>2.1703893160000001</v>
      </c>
      <c r="BW238">
        <f>1.747360004</f>
        <v>1.7473600039999999</v>
      </c>
      <c r="BX238">
        <f>2.20440165</f>
        <v>2.2044016499999999</v>
      </c>
      <c r="BY238">
        <f>1.968796753</f>
        <v>1.9687967529999999</v>
      </c>
      <c r="BZ238">
        <f>2.093270919</f>
        <v>2.0932709190000001</v>
      </c>
      <c r="CA238">
        <f>1.997357737</f>
        <v>1.997357737</v>
      </c>
      <c r="CB238">
        <f>1.001829449</f>
        <v>1.0018294489999999</v>
      </c>
      <c r="CC238">
        <f>1.964772033</f>
        <v>1.964772033</v>
      </c>
      <c r="CD238">
        <f>2.122497497</f>
        <v>2.1224974969999999</v>
      </c>
      <c r="CE238">
        <f>1.491496156</f>
        <v>1.491496156</v>
      </c>
      <c r="CF238">
        <f>1.426944921</f>
        <v>1.426944921</v>
      </c>
      <c r="CG238">
        <f>1.911905986</f>
        <v>1.9119059860000001</v>
      </c>
      <c r="CH238">
        <f>1.871017616</f>
        <v>1.8710176160000001</v>
      </c>
      <c r="CI238">
        <f>1.874187993</f>
        <v>1.8741879930000001</v>
      </c>
      <c r="CJ238">
        <f>1.857769103</f>
        <v>1.8577691030000001</v>
      </c>
      <c r="CK238">
        <f>1.775190199</f>
        <v>1.7751901990000001</v>
      </c>
      <c r="CL238">
        <f>1.803659731</f>
        <v>1.803659731</v>
      </c>
      <c r="CM238">
        <f>1.673263501</f>
        <v>1.6732635010000001</v>
      </c>
      <c r="CN238">
        <f>1.850354457</f>
        <v>1.8503544569999999</v>
      </c>
      <c r="CO238">
        <f>1.729768452</f>
        <v>1.7297684520000001</v>
      </c>
      <c r="CP238">
        <f>1.175735686</f>
        <v>1.1757356859999999</v>
      </c>
      <c r="CQ238">
        <f>1.894810748</f>
        <v>1.894810748</v>
      </c>
      <c r="CR238">
        <f>1.721644802</f>
        <v>1.7216448019999999</v>
      </c>
      <c r="CS238" t="str">
        <f>""</f>
        <v/>
      </c>
      <c r="CT238" t="str">
        <f>""</f>
        <v/>
      </c>
      <c r="CU238" t="str">
        <f>""</f>
        <v/>
      </c>
      <c r="CV238" t="str">
        <f>""</f>
        <v/>
      </c>
      <c r="CW238" t="str">
        <f>""</f>
        <v/>
      </c>
      <c r="CX238" t="str">
        <f>""</f>
        <v/>
      </c>
      <c r="CY238" t="str">
        <f>""</f>
        <v/>
      </c>
      <c r="CZ238" t="str">
        <f>""</f>
        <v/>
      </c>
      <c r="DA238" t="str">
        <f>""</f>
        <v/>
      </c>
      <c r="DB238" t="str">
        <f>""</f>
        <v/>
      </c>
      <c r="DC238" t="str">
        <f>""</f>
        <v/>
      </c>
      <c r="DD238" t="str">
        <f>""</f>
        <v/>
      </c>
      <c r="DE238" t="str">
        <f>""</f>
        <v/>
      </c>
      <c r="DF238" t="str">
        <f>""</f>
        <v/>
      </c>
      <c r="DG238" t="str">
        <f>""</f>
        <v/>
      </c>
      <c r="DH238" t="str">
        <f>""</f>
        <v/>
      </c>
      <c r="DI238" t="str">
        <f>""</f>
        <v/>
      </c>
      <c r="DJ238" t="str">
        <f>""</f>
        <v/>
      </c>
      <c r="DK238" t="str">
        <f>""</f>
        <v/>
      </c>
      <c r="DL238" t="str">
        <f>""</f>
        <v/>
      </c>
      <c r="DM238" t="str">
        <f>""</f>
        <v/>
      </c>
      <c r="DN238" t="str">
        <f>""</f>
        <v/>
      </c>
      <c r="DO238" t="str">
        <f>""</f>
        <v/>
      </c>
      <c r="DP238" t="str">
        <f>""</f>
        <v/>
      </c>
      <c r="DQ238" t="str">
        <f>""</f>
        <v/>
      </c>
      <c r="DR238" t="str">
        <f>""</f>
        <v/>
      </c>
      <c r="DS238" t="str">
        <f>""</f>
        <v/>
      </c>
      <c r="DT238" t="str">
        <f>""</f>
        <v/>
      </c>
      <c r="DU238" t="str">
        <f>""</f>
        <v/>
      </c>
    </row>
    <row r="239" spans="1:125">
      <c r="A239" t="str">
        <f>"    Simon Property Group Inc"</f>
        <v xml:space="preserve">    Simon Property Group Inc</v>
      </c>
      <c r="B239" t="str">
        <f>"SPG US Equity"</f>
        <v>SPG US Equity</v>
      </c>
      <c r="C239" t="str">
        <f t="shared" si="42"/>
        <v>RR553</v>
      </c>
      <c r="D239" t="str">
        <f t="shared" si="43"/>
        <v>EBITDA_RE_ASSET</v>
      </c>
      <c r="E239" t="str">
        <f t="shared" si="44"/>
        <v>动态</v>
      </c>
      <c r="F239" t="str">
        <f ca="1">IF(AND(ISNUMBER($F$686),$B$419=1),$F$686,HLOOKUP(INDIRECT(ADDRESS(2,COLUMN())),OFFSET($BN$2,0,0,ROW()-1,60),ROW()-1,FALSE))</f>
        <v/>
      </c>
      <c r="G239">
        <f ca="1">IF(AND(ISNUMBER($G$686),$B$419=1),$G$686,HLOOKUP(INDIRECT(ADDRESS(2,COLUMN())),OFFSET($BN$2,0,0,ROW()-1,60),ROW()-1,FALSE))</f>
        <v>3.818976412</v>
      </c>
      <c r="H239">
        <f ca="1">IF(AND(ISNUMBER($H$686),$B$419=1),$H$686,HLOOKUP(INDIRECT(ADDRESS(2,COLUMN())),OFFSET($BN$2,0,0,ROW()-1,60),ROW()-1,FALSE))</f>
        <v>3.6029722770000001</v>
      </c>
      <c r="I239">
        <f ca="1">IF(AND(ISNUMBER($I$686),$B$419=1),$I$686,HLOOKUP(INDIRECT(ADDRESS(2,COLUMN())),OFFSET($BN$2,0,0,ROW()-1,60),ROW()-1,FALSE))</f>
        <v>3.6039928419999998</v>
      </c>
      <c r="J239">
        <f ca="1">IF(AND(ISNUMBER($J$686),$B$419=1),$J$686,HLOOKUP(INDIRECT(ADDRESS(2,COLUMN())),OFFSET($BN$2,0,0,ROW()-1,60),ROW()-1,FALSE))</f>
        <v>3.5615451619999998</v>
      </c>
      <c r="K239">
        <f ca="1">IF(AND(ISNUMBER($K$686),$B$419=1),$K$686,HLOOKUP(INDIRECT(ADDRESS(2,COLUMN())),OFFSET($BN$2,0,0,ROW()-1,60),ROW()-1,FALSE))</f>
        <v>3.7033810530000002</v>
      </c>
      <c r="L239">
        <f ca="1">IF(AND(ISNUMBER($L$686),$B$419=1),$L$686,HLOOKUP(INDIRECT(ADDRESS(2,COLUMN())),OFFSET($BN$2,0,0,ROW()-1,60),ROW()-1,FALSE))</f>
        <v>3.4834094900000001</v>
      </c>
      <c r="M239">
        <f ca="1">IF(AND(ISNUMBER($M$686),$B$419=1),$M$686,HLOOKUP(INDIRECT(ADDRESS(2,COLUMN())),OFFSET($BN$2,0,0,ROW()-1,60),ROW()-1,FALSE))</f>
        <v>3.4459461569999998</v>
      </c>
      <c r="N239">
        <f ca="1">IF(AND(ISNUMBER($N$686),$B$419=1),$N$686,HLOOKUP(INDIRECT(ADDRESS(2,COLUMN())),OFFSET($BN$2,0,0,ROW()-1,60),ROW()-1,FALSE))</f>
        <v>3.5117700329999999</v>
      </c>
      <c r="O239">
        <f ca="1">IF(AND(ISNUMBER($O$686),$B$419=1),$O$686,HLOOKUP(INDIRECT(ADDRESS(2,COLUMN())),OFFSET($BN$2,0,0,ROW()-1,60),ROW()-1,FALSE))</f>
        <v>3.675926596</v>
      </c>
      <c r="P239">
        <f ca="1">IF(AND(ISNUMBER($P$686),$B$419=1),$P$686,HLOOKUP(INDIRECT(ADDRESS(2,COLUMN())),OFFSET($BN$2,0,0,ROW()-1,60),ROW()-1,FALSE))</f>
        <v>3.4608985489999999</v>
      </c>
      <c r="Q239">
        <f ca="1">IF(AND(ISNUMBER($Q$686),$B$419=1),$Q$686,HLOOKUP(INDIRECT(ADDRESS(2,COLUMN())),OFFSET($BN$2,0,0,ROW()-1,60),ROW()-1,FALSE))</f>
        <v>3.6711971800000001</v>
      </c>
      <c r="R239">
        <f ca="1">IF(AND(ISNUMBER($R$686),$B$419=1),$R$686,HLOOKUP(INDIRECT(ADDRESS(2,COLUMN())),OFFSET($BN$2,0,0,ROW()-1,60),ROW()-1,FALSE))</f>
        <v>3.3319634850000002</v>
      </c>
      <c r="S239">
        <f ca="1">IF(AND(ISNUMBER($S$686),$B$419=1),$S$686,HLOOKUP(INDIRECT(ADDRESS(2,COLUMN())),OFFSET($BN$2,0,0,ROW()-1,60),ROW()-1,FALSE))</f>
        <v>3.646160402</v>
      </c>
      <c r="T239">
        <f ca="1">IF(AND(ISNUMBER($T$686),$B$419=1),$T$686,HLOOKUP(INDIRECT(ADDRESS(2,COLUMN())),OFFSET($BN$2,0,0,ROW()-1,60),ROW()-1,FALSE))</f>
        <v>3.420150375</v>
      </c>
      <c r="U239">
        <f ca="1">IF(AND(ISNUMBER($U$686),$B$419=1),$U$686,HLOOKUP(INDIRECT(ADDRESS(2,COLUMN())),OFFSET($BN$2,0,0,ROW()-1,60),ROW()-1,FALSE))</f>
        <v>3.350875126</v>
      </c>
      <c r="V239">
        <f ca="1">IF(AND(ISNUMBER($V$686),$B$419=1),$V$686,HLOOKUP(INDIRECT(ADDRESS(2,COLUMN())),OFFSET($BN$2,0,0,ROW()-1,60),ROW()-1,FALSE))</f>
        <v>3.0071646269999999</v>
      </c>
      <c r="W239">
        <f ca="1">IF(AND(ISNUMBER($W$686),$B$419=1),$W$686,HLOOKUP(INDIRECT(ADDRESS(2,COLUMN())),OFFSET($BN$2,0,0,ROW()-1,60),ROW()-1,FALSE))</f>
        <v>3.2840451810000002</v>
      </c>
      <c r="X239">
        <f ca="1">IF(AND(ISNUMBER($X$686),$B$419=1),$X$686,HLOOKUP(INDIRECT(ADDRESS(2,COLUMN())),OFFSET($BN$2,0,0,ROW()-1,60),ROW()-1,FALSE))</f>
        <v>3.0661294379999999</v>
      </c>
      <c r="Y239">
        <f ca="1">IF(AND(ISNUMBER($Y$686),$B$419=1),$Y$686,HLOOKUP(INDIRECT(ADDRESS(2,COLUMN())),OFFSET($BN$2,0,0,ROW()-1,60),ROW()-1,FALSE))</f>
        <v>2.9057593349999999</v>
      </c>
      <c r="Z239">
        <f ca="1">IF(AND(ISNUMBER($Z$686),$B$419=1),$Z$686,HLOOKUP(INDIRECT(ADDRESS(2,COLUMN())),OFFSET($BN$2,0,0,ROW()-1,60),ROW()-1,FALSE))</f>
        <v>3.02477185</v>
      </c>
      <c r="AA239">
        <f ca="1">IF(AND(ISNUMBER($AA$686),$B$419=1),$AA$686,HLOOKUP(INDIRECT(ADDRESS(2,COLUMN())),OFFSET($BN$2,0,0,ROW()-1,60),ROW()-1,FALSE))</f>
        <v>3.3285234930000001</v>
      </c>
      <c r="AB239">
        <f ca="1">IF(AND(ISNUMBER($AB$686),$B$419=1),$AB$686,HLOOKUP(INDIRECT(ADDRESS(2,COLUMN())),OFFSET($BN$2,0,0,ROW()-1,60),ROW()-1,FALSE))</f>
        <v>3.0285404960000002</v>
      </c>
      <c r="AC239">
        <f ca="1">IF(AND(ISNUMBER($AC$686),$B$419=1),$AC$686,HLOOKUP(INDIRECT(ADDRESS(2,COLUMN())),OFFSET($BN$2,0,0,ROW()-1,60),ROW()-1,FALSE))</f>
        <v>2.899426091</v>
      </c>
      <c r="AD239">
        <f ca="1">IF(AND(ISNUMBER($AD$686),$B$419=1),$AD$686,HLOOKUP(INDIRECT(ADDRESS(2,COLUMN())),OFFSET($BN$2,0,0,ROW()-1,60),ROW()-1,FALSE))</f>
        <v>2.780335005</v>
      </c>
      <c r="AE239">
        <f ca="1">IF(AND(ISNUMBER($AE$686),$B$419=1),$AE$686,HLOOKUP(INDIRECT(ADDRESS(2,COLUMN())),OFFSET($BN$2,0,0,ROW()-1,60),ROW()-1,FALSE))</f>
        <v>3.5615675169999998</v>
      </c>
      <c r="AF239">
        <f ca="1">IF(AND(ISNUMBER($AF$686),$B$419=1),$AF$686,HLOOKUP(INDIRECT(ADDRESS(2,COLUMN())),OFFSET($BN$2,0,0,ROW()-1,60),ROW()-1,FALSE))</f>
        <v>3.3499429360000001</v>
      </c>
      <c r="AG239">
        <f ca="1">IF(AND(ISNUMBER($AG$686),$B$419=1),$AG$686,HLOOKUP(INDIRECT(ADDRESS(2,COLUMN())),OFFSET($BN$2,0,0,ROW()-1,60),ROW()-1,FALSE))</f>
        <v>3.4479828559999999</v>
      </c>
      <c r="AH239">
        <f ca="1">IF(AND(ISNUMBER($AH$686),$B$419=1),$AH$686,HLOOKUP(INDIRECT(ADDRESS(2,COLUMN())),OFFSET($BN$2,0,0,ROW()-1,60),ROW()-1,FALSE))</f>
        <v>3.3446462110000001</v>
      </c>
      <c r="AI239">
        <f ca="1">IF(AND(ISNUMBER($AI$686),$B$419=1),$AI$686,HLOOKUP(INDIRECT(ADDRESS(2,COLUMN())),OFFSET($BN$2,0,0,ROW()-1,60),ROW()-1,FALSE))</f>
        <v>3.6408759270000002</v>
      </c>
      <c r="AJ239">
        <f ca="1">IF(AND(ISNUMBER($AJ$686),$B$419=1),$AJ$686,HLOOKUP(INDIRECT(ADDRESS(2,COLUMN())),OFFSET($BN$2,0,0,ROW()-1,60),ROW()-1,FALSE))</f>
        <v>3.190077294</v>
      </c>
      <c r="AK239">
        <f ca="1">IF(AND(ISNUMBER($AK$686),$B$419=1),$AK$686,HLOOKUP(INDIRECT(ADDRESS(2,COLUMN())),OFFSET($BN$2,0,0,ROW()-1,60),ROW()-1,FALSE))</f>
        <v>3.2589895950000001</v>
      </c>
      <c r="AL239">
        <f ca="1">IF(AND(ISNUMBER($AL$686),$B$419=1),$AL$686,HLOOKUP(INDIRECT(ADDRESS(2,COLUMN())),OFFSET($BN$2,0,0,ROW()-1,60),ROW()-1,FALSE))</f>
        <v>3.2998992359999999</v>
      </c>
      <c r="AM239">
        <f ca="1">IF(AND(ISNUMBER($AM$686),$B$419=1),$AM$686,HLOOKUP(INDIRECT(ADDRESS(2,COLUMN())),OFFSET($BN$2,0,0,ROW()-1,60),ROW()-1,FALSE))</f>
        <v>3.305894334</v>
      </c>
      <c r="AN239">
        <f ca="1">IF(AND(ISNUMBER($AN$686),$B$419=1),$AN$686,HLOOKUP(INDIRECT(ADDRESS(2,COLUMN())),OFFSET($BN$2,0,0,ROW()-1,60),ROW()-1,FALSE))</f>
        <v>3.1174496889999999</v>
      </c>
      <c r="AO239">
        <f ca="1">IF(AND(ISNUMBER($AO$686),$B$419=1),$AO$686,HLOOKUP(INDIRECT(ADDRESS(2,COLUMN())),OFFSET($BN$2,0,0,ROW()-1,60),ROW()-1,FALSE))</f>
        <v>2.2957335240000001</v>
      </c>
      <c r="AP239">
        <f ca="1">IF(AND(ISNUMBER($AP$686),$B$419=1),$AP$686,HLOOKUP(INDIRECT(ADDRESS(2,COLUMN())),OFFSET($BN$2,0,0,ROW()-1,60),ROW()-1,FALSE))</f>
        <v>2.9630763029999998</v>
      </c>
      <c r="AQ239">
        <f ca="1">IF(AND(ISNUMBER($AQ$686),$B$419=1),$AQ$686,HLOOKUP(INDIRECT(ADDRESS(2,COLUMN())),OFFSET($BN$2,0,0,ROW()-1,60),ROW()-1,FALSE))</f>
        <v>4.4343878639999996</v>
      </c>
      <c r="AR239">
        <f ca="1">IF(AND(ISNUMBER($AR$686),$B$419=1),$AR$686,HLOOKUP(INDIRECT(ADDRESS(2,COLUMN())),OFFSET($BN$2,0,0,ROW()-1,60),ROW()-1,FALSE))</f>
        <v>1.854118709</v>
      </c>
      <c r="AS239">
        <f ca="1">IF(AND(ISNUMBER($AS$686),$B$419=1),$AS$686,HLOOKUP(INDIRECT(ADDRESS(2,COLUMN())),OFFSET($BN$2,0,0,ROW()-1,60),ROW()-1,FALSE))</f>
        <v>2.815216773</v>
      </c>
      <c r="AT239">
        <f ca="1">IF(AND(ISNUMBER($AT$686),$B$419=1),$AT$686,HLOOKUP(INDIRECT(ADDRESS(2,COLUMN())),OFFSET($BN$2,0,0,ROW()-1,60),ROW()-1,FALSE))</f>
        <v>2.6833630400000001</v>
      </c>
      <c r="AU239">
        <f ca="1">IF(AND(ISNUMBER($AU$686),$B$419=1),$AU$686,HLOOKUP(INDIRECT(ADDRESS(2,COLUMN())),OFFSET($BN$2,0,0,ROW()-1,60),ROW()-1,FALSE))</f>
        <v>3.2599026609999999</v>
      </c>
      <c r="AV239">
        <f ca="1">IF(AND(ISNUMBER($AV$686),$B$419=1),$AV$686,HLOOKUP(INDIRECT(ADDRESS(2,COLUMN())),OFFSET($BN$2,0,0,ROW()-1,60),ROW()-1,FALSE))</f>
        <v>2.7392787799999998</v>
      </c>
      <c r="AW239">
        <f ca="1">IF(AND(ISNUMBER($AW$686),$B$419=1),$AW$686,HLOOKUP(INDIRECT(ADDRESS(2,COLUMN())),OFFSET($BN$2,0,0,ROW()-1,60),ROW()-1,FALSE))</f>
        <v>2.6394454920000001</v>
      </c>
      <c r="AX239">
        <f ca="1">IF(AND(ISNUMBER($AX$686),$B$419=1),$AX$686,HLOOKUP(INDIRECT(ADDRESS(2,COLUMN())),OFFSET($BN$2,0,0,ROW()-1,60),ROW()-1,FALSE))</f>
        <v>2.5357139339999999</v>
      </c>
      <c r="AY239">
        <f ca="1">IF(AND(ISNUMBER($AY$686),$B$419=1),$AY$686,HLOOKUP(INDIRECT(ADDRESS(2,COLUMN())),OFFSET($BN$2,0,0,ROW()-1,60),ROW()-1,FALSE))</f>
        <v>3.044798471</v>
      </c>
      <c r="AZ239">
        <f ca="1">IF(AND(ISNUMBER($AZ$686),$B$419=1),$AZ$686,HLOOKUP(INDIRECT(ADDRESS(2,COLUMN())),OFFSET($BN$2,0,0,ROW()-1,60),ROW()-1,FALSE))</f>
        <v>2.6849207439999998</v>
      </c>
      <c r="BA239">
        <f ca="1">IF(AND(ISNUMBER($BA$686),$B$419=1),$BA$686,HLOOKUP(INDIRECT(ADDRESS(2,COLUMN())),OFFSET($BN$2,0,0,ROW()-1,60),ROW()-1,FALSE))</f>
        <v>2.6426660979999999</v>
      </c>
      <c r="BB239">
        <f ca="1">IF(AND(ISNUMBER($BB$686),$B$419=1),$BB$686,HLOOKUP(INDIRECT(ADDRESS(2,COLUMN())),OFFSET($BN$2,0,0,ROW()-1,60),ROW()-1,FALSE))</f>
        <v>2.5697437189999999</v>
      </c>
      <c r="BC239">
        <f ca="1">IF(AND(ISNUMBER($BC$686),$B$419=1),$BC$686,HLOOKUP(INDIRECT(ADDRESS(2,COLUMN())),OFFSET($BN$2,0,0,ROW()-1,60),ROW()-1,FALSE))</f>
        <v>2.894698499</v>
      </c>
      <c r="BD239">
        <f ca="1">IF(AND(ISNUMBER($BD$686),$B$419=1),$BD$686,HLOOKUP(INDIRECT(ADDRESS(2,COLUMN())),OFFSET($BN$2,0,0,ROW()-1,60),ROW()-1,FALSE))</f>
        <v>2.5338377740000002</v>
      </c>
      <c r="BE239">
        <f ca="1">IF(AND(ISNUMBER($BE$686),$B$419=1),$BE$686,HLOOKUP(INDIRECT(ADDRESS(2,COLUMN())),OFFSET($BN$2,0,0,ROW()-1,60),ROW()-1,FALSE))</f>
        <v>2.5122850109999999</v>
      </c>
      <c r="BF239">
        <f ca="1">IF(AND(ISNUMBER($BF$686),$B$419=1),$BF$686,HLOOKUP(INDIRECT(ADDRESS(2,COLUMN())),OFFSET($BN$2,0,0,ROW()-1,60),ROW()-1,FALSE))</f>
        <v>2.4088126220000001</v>
      </c>
      <c r="BG239">
        <f ca="1">IF(AND(ISNUMBER($BG$686),$B$419=1),$BG$686,HLOOKUP(INDIRECT(ADDRESS(2,COLUMN())),OFFSET($BN$2,0,0,ROW()-1,60),ROW()-1,FALSE))</f>
        <v>2.6016352710000001</v>
      </c>
      <c r="BH239">
        <f ca="1">IF(AND(ISNUMBER($BH$686),$B$419=1),$BH$686,HLOOKUP(INDIRECT(ADDRESS(2,COLUMN())),OFFSET($BN$2,0,0,ROW()-1,60),ROW()-1,FALSE))</f>
        <v>2.6709359510000001</v>
      </c>
      <c r="BI239">
        <f ca="1">IF(AND(ISNUMBER($BI$686),$B$419=1),$BI$686,HLOOKUP(INDIRECT(ADDRESS(2,COLUMN())),OFFSET($BN$2,0,0,ROW()-1,60),ROW()-1,FALSE))</f>
        <v>2.628833685</v>
      </c>
      <c r="BJ239">
        <f ca="1">IF(AND(ISNUMBER($BJ$686),$B$419=1),$BJ$686,HLOOKUP(INDIRECT(ADDRESS(2,COLUMN())),OFFSET($BN$2,0,0,ROW()-1,60),ROW()-1,FALSE))</f>
        <v>2.5878444310000002</v>
      </c>
      <c r="BK239">
        <f ca="1">IF(AND(ISNUMBER($BK$686),$B$419=1),$BK$686,HLOOKUP(INDIRECT(ADDRESS(2,COLUMN())),OFFSET($BN$2,0,0,ROW()-1,60),ROW()-1,FALSE))</f>
        <v>3.0369751410000001</v>
      </c>
      <c r="BL239">
        <f ca="1">IF(AND(ISNUMBER($BL$686),$B$419=1),$BL$686,HLOOKUP(INDIRECT(ADDRESS(2,COLUMN())),OFFSET($BN$2,0,0,ROW()-1,60),ROW()-1,FALSE))</f>
        <v>2.6513141789999999</v>
      </c>
      <c r="BM239">
        <f ca="1">IF(AND(ISNUMBER($BM$686),$B$419=1),$BM$686,HLOOKUP(INDIRECT(ADDRESS(2,COLUMN())),OFFSET($BN$2,0,0,ROW()-1,60),ROW()-1,FALSE))</f>
        <v>2.5901873649999998</v>
      </c>
      <c r="BN239" t="str">
        <f>""</f>
        <v/>
      </c>
      <c r="BO239">
        <f>3.818976412</f>
        <v>3.818976412</v>
      </c>
      <c r="BP239">
        <f>3.602972277</f>
        <v>3.6029722770000001</v>
      </c>
      <c r="BQ239">
        <f>3.603992842</f>
        <v>3.6039928419999998</v>
      </c>
      <c r="BR239">
        <f>3.561545162</f>
        <v>3.5615451619999998</v>
      </c>
      <c r="BS239">
        <f>3.703381053</f>
        <v>3.7033810530000002</v>
      </c>
      <c r="BT239">
        <f>3.48340949</f>
        <v>3.4834094900000001</v>
      </c>
      <c r="BU239">
        <f>3.445946157</f>
        <v>3.4459461569999998</v>
      </c>
      <c r="BV239">
        <f>3.511770033</f>
        <v>3.5117700329999999</v>
      </c>
      <c r="BW239">
        <f>3.675926596</f>
        <v>3.675926596</v>
      </c>
      <c r="BX239">
        <f>3.460898549</f>
        <v>3.4608985489999999</v>
      </c>
      <c r="BY239">
        <f>3.67119718</f>
        <v>3.6711971800000001</v>
      </c>
      <c r="BZ239">
        <f>3.331963485</f>
        <v>3.3319634850000002</v>
      </c>
      <c r="CA239">
        <f>3.646160402</f>
        <v>3.646160402</v>
      </c>
      <c r="CB239">
        <f>3.420150375</f>
        <v>3.420150375</v>
      </c>
      <c r="CC239">
        <f>3.350875126</f>
        <v>3.350875126</v>
      </c>
      <c r="CD239">
        <f>3.007164627</f>
        <v>3.0071646269999999</v>
      </c>
      <c r="CE239">
        <f>3.284045181</f>
        <v>3.2840451810000002</v>
      </c>
      <c r="CF239">
        <f>3.066129438</f>
        <v>3.0661294379999999</v>
      </c>
      <c r="CG239">
        <f>2.905759335</f>
        <v>2.9057593349999999</v>
      </c>
      <c r="CH239">
        <f>3.02477185</f>
        <v>3.02477185</v>
      </c>
      <c r="CI239">
        <f>3.328523493</f>
        <v>3.3285234930000001</v>
      </c>
      <c r="CJ239">
        <f>3.028540496</f>
        <v>3.0285404960000002</v>
      </c>
      <c r="CK239">
        <f>2.899426091</f>
        <v>2.899426091</v>
      </c>
      <c r="CL239">
        <f>2.780335005</f>
        <v>2.780335005</v>
      </c>
      <c r="CM239">
        <f>3.561567517</f>
        <v>3.5615675169999998</v>
      </c>
      <c r="CN239">
        <f>3.349942936</f>
        <v>3.3499429360000001</v>
      </c>
      <c r="CO239">
        <f>3.447982856</f>
        <v>3.4479828559999999</v>
      </c>
      <c r="CP239">
        <f>3.344646211</f>
        <v>3.3446462110000001</v>
      </c>
      <c r="CQ239">
        <f>3.640875927</f>
        <v>3.6408759270000002</v>
      </c>
      <c r="CR239">
        <f>3.190077294</f>
        <v>3.190077294</v>
      </c>
      <c r="CS239">
        <f>3.258989595</f>
        <v>3.2589895950000001</v>
      </c>
      <c r="CT239">
        <f>3.299899236</f>
        <v>3.2998992359999999</v>
      </c>
      <c r="CU239">
        <f>3.305894334</f>
        <v>3.305894334</v>
      </c>
      <c r="CV239">
        <f>3.117449689</f>
        <v>3.1174496889999999</v>
      </c>
      <c r="CW239">
        <f>2.295733524</f>
        <v>2.2957335240000001</v>
      </c>
      <c r="CX239">
        <f>2.963076303</f>
        <v>2.9630763029999998</v>
      </c>
      <c r="CY239">
        <f>4.434387864</f>
        <v>4.4343878639999996</v>
      </c>
      <c r="CZ239">
        <f>1.854118709</f>
        <v>1.854118709</v>
      </c>
      <c r="DA239">
        <f>2.815216773</f>
        <v>2.815216773</v>
      </c>
      <c r="DB239">
        <f>2.68336304</f>
        <v>2.6833630400000001</v>
      </c>
      <c r="DC239">
        <f>3.259902661</f>
        <v>3.2599026609999999</v>
      </c>
      <c r="DD239">
        <f>2.73927878</f>
        <v>2.7392787799999998</v>
      </c>
      <c r="DE239">
        <f>2.639445492</f>
        <v>2.6394454920000001</v>
      </c>
      <c r="DF239">
        <f>2.535713934</f>
        <v>2.5357139339999999</v>
      </c>
      <c r="DG239">
        <f>3.044798471</f>
        <v>3.044798471</v>
      </c>
      <c r="DH239">
        <f>2.684920744</f>
        <v>2.6849207439999998</v>
      </c>
      <c r="DI239">
        <f>2.642666098</f>
        <v>2.6426660979999999</v>
      </c>
      <c r="DJ239">
        <f>2.569743719</f>
        <v>2.5697437189999999</v>
      </c>
      <c r="DK239">
        <f>2.894698499</f>
        <v>2.894698499</v>
      </c>
      <c r="DL239">
        <f>2.533837774</f>
        <v>2.5338377740000002</v>
      </c>
      <c r="DM239">
        <f>2.512285011</f>
        <v>2.5122850109999999</v>
      </c>
      <c r="DN239">
        <f>2.408812622</f>
        <v>2.4088126220000001</v>
      </c>
      <c r="DO239">
        <f>2.601635271</f>
        <v>2.6016352710000001</v>
      </c>
      <c r="DP239">
        <f>2.670935951</f>
        <v>2.6709359510000001</v>
      </c>
      <c r="DQ239">
        <f>2.628833685</f>
        <v>2.628833685</v>
      </c>
      <c r="DR239">
        <f>2.587844431</f>
        <v>2.5878444310000002</v>
      </c>
      <c r="DS239">
        <f>3.036975141</f>
        <v>3.0369751410000001</v>
      </c>
      <c r="DT239">
        <f>2.651314179</f>
        <v>2.6513141789999999</v>
      </c>
      <c r="DU239">
        <f>2.590187365</f>
        <v>2.5901873649999998</v>
      </c>
    </row>
    <row r="240" spans="1:125">
      <c r="A240" t="str">
        <f>"    Tanger Factory Outlet Centers"</f>
        <v xml:space="preserve">    Tanger Factory Outlet Centers</v>
      </c>
      <c r="B240" t="str">
        <f>"SKT US Equity"</f>
        <v>SKT US Equity</v>
      </c>
      <c r="C240" t="str">
        <f t="shared" si="42"/>
        <v>RR553</v>
      </c>
      <c r="D240" t="str">
        <f t="shared" si="43"/>
        <v>EBITDA_RE_ASSET</v>
      </c>
      <c r="E240" t="str">
        <f t="shared" si="44"/>
        <v>动态</v>
      </c>
      <c r="F240" t="str">
        <f ca="1">IF(AND(ISNUMBER($F$687),$B$419=1),$F$687,HLOOKUP(INDIRECT(ADDRESS(2,COLUMN())),OFFSET($BN$2,0,0,ROW()-1,60),ROW()-1,FALSE))</f>
        <v/>
      </c>
      <c r="G240">
        <f ca="1">IF(AND(ISNUMBER($G$687),$B$419=1),$G$687,HLOOKUP(INDIRECT(ADDRESS(2,COLUMN())),OFFSET($BN$2,0,0,ROW()-1,60),ROW()-1,FALSE))</f>
        <v>3.3031229359999998</v>
      </c>
      <c r="H240">
        <f ca="1">IF(AND(ISNUMBER($H$687),$B$419=1),$H$687,HLOOKUP(INDIRECT(ADDRESS(2,COLUMN())),OFFSET($BN$2,0,0,ROW()-1,60),ROW()-1,FALSE))</f>
        <v>3.1435423120000001</v>
      </c>
      <c r="I240">
        <f ca="1">IF(AND(ISNUMBER($I$687),$B$419=1),$I$687,HLOOKUP(INDIRECT(ADDRESS(2,COLUMN())),OFFSET($BN$2,0,0,ROW()-1,60),ROW()-1,FALSE))</f>
        <v>3.1008977569999998</v>
      </c>
      <c r="J240">
        <f ca="1">IF(AND(ISNUMBER($J$687),$B$419=1),$J$687,HLOOKUP(INDIRECT(ADDRESS(2,COLUMN())),OFFSET($BN$2,0,0,ROW()-1,60),ROW()-1,FALSE))</f>
        <v>3.0069449079999999</v>
      </c>
      <c r="K240">
        <f ca="1">IF(AND(ISNUMBER($K$687),$B$419=1),$K$687,HLOOKUP(INDIRECT(ADDRESS(2,COLUMN())),OFFSET($BN$2,0,0,ROW()-1,60),ROW()-1,FALSE))</f>
        <v>3.1385944189999999</v>
      </c>
      <c r="L240">
        <f ca="1">IF(AND(ISNUMBER($L$687),$B$419=1),$L$687,HLOOKUP(INDIRECT(ADDRESS(2,COLUMN())),OFFSET($BN$2,0,0,ROW()-1,60),ROW()-1,FALSE))</f>
        <v>3.0201230780000001</v>
      </c>
      <c r="M240">
        <f ca="1">IF(AND(ISNUMBER($M$687),$B$419=1),$M$687,HLOOKUP(INDIRECT(ADDRESS(2,COLUMN())),OFFSET($BN$2,0,0,ROW()-1,60),ROW()-1,FALSE))</f>
        <v>3.0288789739999999</v>
      </c>
      <c r="N240">
        <f ca="1">IF(AND(ISNUMBER($N$687),$B$419=1),$N$687,HLOOKUP(INDIRECT(ADDRESS(2,COLUMN())),OFFSET($BN$2,0,0,ROW()-1,60),ROW()-1,FALSE))</f>
        <v>3.1193465470000001</v>
      </c>
      <c r="O240">
        <f ca="1">IF(AND(ISNUMBER($O$687),$B$419=1),$O$687,HLOOKUP(INDIRECT(ADDRESS(2,COLUMN())),OFFSET($BN$2,0,0,ROW()-1,60),ROW()-1,FALSE))</f>
        <v>3.3154811469999999</v>
      </c>
      <c r="P240">
        <f ca="1">IF(AND(ISNUMBER($P$687),$B$419=1),$P$687,HLOOKUP(INDIRECT(ADDRESS(2,COLUMN())),OFFSET($BN$2,0,0,ROW()-1,60),ROW()-1,FALSE))</f>
        <v>3.338886102</v>
      </c>
      <c r="Q240">
        <f ca="1">IF(AND(ISNUMBER($Q$687),$B$419=1),$Q$687,HLOOKUP(INDIRECT(ADDRESS(2,COLUMN())),OFFSET($BN$2,0,0,ROW()-1,60),ROW()-1,FALSE))</f>
        <v>3.1333885229999998</v>
      </c>
      <c r="R240">
        <f ca="1">IF(AND(ISNUMBER($R$687),$B$419=1),$R$687,HLOOKUP(INDIRECT(ADDRESS(2,COLUMN())),OFFSET($BN$2,0,0,ROW()-1,60),ROW()-1,FALSE))</f>
        <v>3.004772649</v>
      </c>
      <c r="S240">
        <f ca="1">IF(AND(ISNUMBER($S$687),$B$419=1),$S$687,HLOOKUP(INDIRECT(ADDRESS(2,COLUMN())),OFFSET($BN$2,0,0,ROW()-1,60),ROW()-1,FALSE))</f>
        <v>3.286853341</v>
      </c>
      <c r="T240">
        <f ca="1">IF(AND(ISNUMBER($T$687),$B$419=1),$T$687,HLOOKUP(INDIRECT(ADDRESS(2,COLUMN())),OFFSET($BN$2,0,0,ROW()-1,60),ROW()-1,FALSE))</f>
        <v>3.2302864019999999</v>
      </c>
      <c r="U240">
        <f ca="1">IF(AND(ISNUMBER($U$687),$B$419=1),$U$687,HLOOKUP(INDIRECT(ADDRESS(2,COLUMN())),OFFSET($BN$2,0,0,ROW()-1,60),ROW()-1,FALSE))</f>
        <v>3.1838888239999998</v>
      </c>
      <c r="V240">
        <f ca="1">IF(AND(ISNUMBER($V$687),$B$419=1),$V$687,HLOOKUP(INDIRECT(ADDRESS(2,COLUMN())),OFFSET($BN$2,0,0,ROW()-1,60),ROW()-1,FALSE))</f>
        <v>3.0855729200000002</v>
      </c>
      <c r="W240">
        <f ca="1">IF(AND(ISNUMBER($W$687),$B$419=1),$W$687,HLOOKUP(INDIRECT(ADDRESS(2,COLUMN())),OFFSET($BN$2,0,0,ROW()-1,60),ROW()-1,FALSE))</f>
        <v>3.6290726869999999</v>
      </c>
      <c r="X240">
        <f ca="1">IF(AND(ISNUMBER($X$687),$B$419=1),$X$687,HLOOKUP(INDIRECT(ADDRESS(2,COLUMN())),OFFSET($BN$2,0,0,ROW()-1,60),ROW()-1,FALSE))</f>
        <v>3.318125593</v>
      </c>
      <c r="Y240">
        <f ca="1">IF(AND(ISNUMBER($Y$687),$B$419=1),$Y$687,HLOOKUP(INDIRECT(ADDRESS(2,COLUMN())),OFFSET($BN$2,0,0,ROW()-1,60),ROW()-1,FALSE))</f>
        <v>3.4333121289999999</v>
      </c>
      <c r="Z240">
        <f ca="1">IF(AND(ISNUMBER($Z$687),$B$419=1),$Z$687,HLOOKUP(INDIRECT(ADDRESS(2,COLUMN())),OFFSET($BN$2,0,0,ROW()-1,60),ROW()-1,FALSE))</f>
        <v>3.4101305769999999</v>
      </c>
      <c r="AA240">
        <f ca="1">IF(AND(ISNUMBER($AA$687),$B$419=1),$AA$687,HLOOKUP(INDIRECT(ADDRESS(2,COLUMN())),OFFSET($BN$2,0,0,ROW()-1,60),ROW()-1,FALSE))</f>
        <v>3.7302707690000001</v>
      </c>
      <c r="AB240">
        <f ca="1">IF(AND(ISNUMBER($AB$687),$B$419=1),$AB$687,HLOOKUP(INDIRECT(ADDRESS(2,COLUMN())),OFFSET($BN$2,0,0,ROW()-1,60),ROW()-1,FALSE))</f>
        <v>3.6906491579999998</v>
      </c>
      <c r="AC240">
        <f ca="1">IF(AND(ISNUMBER($AC$687),$B$419=1),$AC$687,HLOOKUP(INDIRECT(ADDRESS(2,COLUMN())),OFFSET($BN$2,0,0,ROW()-1,60),ROW()-1,FALSE))</f>
        <v>3.4691315839999999</v>
      </c>
      <c r="AD240">
        <f ca="1">IF(AND(ISNUMBER($AD$687),$B$419=1),$AD$687,HLOOKUP(INDIRECT(ADDRESS(2,COLUMN())),OFFSET($BN$2,0,0,ROW()-1,60),ROW()-1,FALSE))</f>
        <v>3.333598812</v>
      </c>
      <c r="AE240">
        <f ca="1">IF(AND(ISNUMBER($AE$687),$B$419=1),$AE$687,HLOOKUP(INDIRECT(ADDRESS(2,COLUMN())),OFFSET($BN$2,0,0,ROW()-1,60),ROW()-1,FALSE))</f>
        <v>3.735507573</v>
      </c>
      <c r="AF240">
        <f ca="1">IF(AND(ISNUMBER($AF$687),$B$419=1),$AF$687,HLOOKUP(INDIRECT(ADDRESS(2,COLUMN())),OFFSET($BN$2,0,0,ROW()-1,60),ROW()-1,FALSE))</f>
        <v>3.4805365899999998</v>
      </c>
      <c r="AG240">
        <f ca="1">IF(AND(ISNUMBER($AG$687),$B$419=1),$AG$687,HLOOKUP(INDIRECT(ADDRESS(2,COLUMN())),OFFSET($BN$2,0,0,ROW()-1,60),ROW()-1,FALSE))</f>
        <v>3.2518265569999998</v>
      </c>
      <c r="AH240">
        <f ca="1">IF(AND(ISNUMBER($AH$687),$B$419=1),$AH$687,HLOOKUP(INDIRECT(ADDRESS(2,COLUMN())),OFFSET($BN$2,0,0,ROW()-1,60),ROW()-1,FALSE))</f>
        <v>3.468705521</v>
      </c>
      <c r="AI240">
        <f ca="1">IF(AND(ISNUMBER($AI$687),$B$419=1),$AI$687,HLOOKUP(INDIRECT(ADDRESS(2,COLUMN())),OFFSET($BN$2,0,0,ROW()-1,60),ROW()-1,FALSE))</f>
        <v>3.7574612140000001</v>
      </c>
      <c r="AJ240">
        <f ca="1">IF(AND(ISNUMBER($AJ$687),$B$419=1),$AJ$687,HLOOKUP(INDIRECT(ADDRESS(2,COLUMN())),OFFSET($BN$2,0,0,ROW()-1,60),ROW()-1,FALSE))</f>
        <v>3.6091467719999999</v>
      </c>
      <c r="AK240">
        <f ca="1">IF(AND(ISNUMBER($AK$687),$B$419=1),$AK$687,HLOOKUP(INDIRECT(ADDRESS(2,COLUMN())),OFFSET($BN$2,0,0,ROW()-1,60),ROW()-1,FALSE))</f>
        <v>3.3584444910000002</v>
      </c>
      <c r="AL240">
        <f ca="1">IF(AND(ISNUMBER($AL$687),$B$419=1),$AL$687,HLOOKUP(INDIRECT(ADDRESS(2,COLUMN())),OFFSET($BN$2,0,0,ROW()-1,60),ROW()-1,FALSE))</f>
        <v>3.4185769540000002</v>
      </c>
      <c r="AM240">
        <f ca="1">IF(AND(ISNUMBER($AM$687),$B$419=1),$AM$687,HLOOKUP(INDIRECT(ADDRESS(2,COLUMN())),OFFSET($BN$2,0,0,ROW()-1,60),ROW()-1,FALSE))</f>
        <v>3.7699408000000001</v>
      </c>
      <c r="AN240">
        <f ca="1">IF(AND(ISNUMBER($AN$687),$B$419=1),$AN$687,HLOOKUP(INDIRECT(ADDRESS(2,COLUMN())),OFFSET($BN$2,0,0,ROW()-1,60),ROW()-1,FALSE))</f>
        <v>3.0160950689999999</v>
      </c>
      <c r="AO240">
        <f ca="1">IF(AND(ISNUMBER($AO$687),$B$419=1),$AO$687,HLOOKUP(INDIRECT(ADDRESS(2,COLUMN())),OFFSET($BN$2,0,0,ROW()-1,60),ROW()-1,FALSE))</f>
        <v>3.4344542769999999</v>
      </c>
      <c r="AP240">
        <f ca="1">IF(AND(ISNUMBER($AP$687),$B$419=1),$AP$687,HLOOKUP(INDIRECT(ADDRESS(2,COLUMN())),OFFSET($BN$2,0,0,ROW()-1,60),ROW()-1,FALSE))</f>
        <v>3.3370464019999999</v>
      </c>
      <c r="AQ240">
        <f ca="1">IF(AND(ISNUMBER($AQ$687),$B$419=1),$AQ$687,HLOOKUP(INDIRECT(ADDRESS(2,COLUMN())),OFFSET($BN$2,0,0,ROW()-1,60),ROW()-1,FALSE))</f>
        <v>3.6944616410000002</v>
      </c>
      <c r="AR240">
        <f ca="1">IF(AND(ISNUMBER($AR$687),$B$419=1),$AR$687,HLOOKUP(INDIRECT(ADDRESS(2,COLUMN())),OFFSET($BN$2,0,0,ROW()-1,60),ROW()-1,FALSE))</f>
        <v>3.412007644</v>
      </c>
      <c r="AS240">
        <f ca="1">IF(AND(ISNUMBER($AS$687),$B$419=1),$AS$687,HLOOKUP(INDIRECT(ADDRESS(2,COLUMN())),OFFSET($BN$2,0,0,ROW()-1,60),ROW()-1,FALSE))</f>
        <v>3.2859441149999999</v>
      </c>
      <c r="AT240">
        <f ca="1">IF(AND(ISNUMBER($AT$687),$B$419=1),$AT$687,HLOOKUP(INDIRECT(ADDRESS(2,COLUMN())),OFFSET($BN$2,0,0,ROW()-1,60),ROW()-1,FALSE))</f>
        <v>3.2893165930000001</v>
      </c>
      <c r="AU240">
        <f ca="1">IF(AND(ISNUMBER($AU$687),$B$419=1),$AU$687,HLOOKUP(INDIRECT(ADDRESS(2,COLUMN())),OFFSET($BN$2,0,0,ROW()-1,60),ROW()-1,FALSE))</f>
        <v>3.7125682860000002</v>
      </c>
      <c r="AV240">
        <f ca="1">IF(AND(ISNUMBER($AV$687),$B$419=1),$AV$687,HLOOKUP(INDIRECT(ADDRESS(2,COLUMN())),OFFSET($BN$2,0,0,ROW()-1,60),ROW()-1,FALSE))</f>
        <v>3.567335006</v>
      </c>
      <c r="AW240">
        <f ca="1">IF(AND(ISNUMBER($AW$687),$B$419=1),$AW$687,HLOOKUP(INDIRECT(ADDRESS(2,COLUMN())),OFFSET($BN$2,0,0,ROW()-1,60),ROW()-1,FALSE))</f>
        <v>3.394340272</v>
      </c>
      <c r="AX240">
        <f ca="1">IF(AND(ISNUMBER($AX$687),$B$419=1),$AX$687,HLOOKUP(INDIRECT(ADDRESS(2,COLUMN())),OFFSET($BN$2,0,0,ROW()-1,60),ROW()-1,FALSE))</f>
        <v>3.3531000820000001</v>
      </c>
      <c r="AY240">
        <f ca="1">IF(AND(ISNUMBER($AY$687),$B$419=1),$AY$687,HLOOKUP(INDIRECT(ADDRESS(2,COLUMN())),OFFSET($BN$2,0,0,ROW()-1,60),ROW()-1,FALSE))</f>
        <v>3.5423244060000001</v>
      </c>
      <c r="AZ240">
        <f ca="1">IF(AND(ISNUMBER($AZ$687),$B$419=1),$AZ$687,HLOOKUP(INDIRECT(ADDRESS(2,COLUMN())),OFFSET($BN$2,0,0,ROW()-1,60),ROW()-1,FALSE))</f>
        <v>3.5225955469999999</v>
      </c>
      <c r="BA240">
        <f ca="1">IF(AND(ISNUMBER($BA$687),$B$419=1),$BA$687,HLOOKUP(INDIRECT(ADDRESS(2,COLUMN())),OFFSET($BN$2,0,0,ROW()-1,60),ROW()-1,FALSE))</f>
        <v>3.2519248780000001</v>
      </c>
      <c r="BB240">
        <f ca="1">IF(AND(ISNUMBER($BB$687),$B$419=1),$BB$687,HLOOKUP(INDIRECT(ADDRESS(2,COLUMN())),OFFSET($BN$2,0,0,ROW()-1,60),ROW()-1,FALSE))</f>
        <v>3.219026645</v>
      </c>
      <c r="BC240">
        <f ca="1">IF(AND(ISNUMBER($BC$687),$B$419=1),$BC$687,HLOOKUP(INDIRECT(ADDRESS(2,COLUMN())),OFFSET($BN$2,0,0,ROW()-1,60),ROW()-1,FALSE))</f>
        <v>3.61289785</v>
      </c>
      <c r="BD240">
        <f ca="1">IF(AND(ISNUMBER($BD$687),$B$419=1),$BD$687,HLOOKUP(INDIRECT(ADDRESS(2,COLUMN())),OFFSET($BN$2,0,0,ROW()-1,60),ROW()-1,FALSE))</f>
        <v>3.789908348</v>
      </c>
      <c r="BE240">
        <f ca="1">IF(AND(ISNUMBER($BE$687),$B$419=1),$BE$687,HLOOKUP(INDIRECT(ADDRESS(2,COLUMN())),OFFSET($BN$2,0,0,ROW()-1,60),ROW()-1,FALSE))</f>
        <v>3.5676785029999998</v>
      </c>
      <c r="BF240">
        <f ca="1">IF(AND(ISNUMBER($BF$687),$B$419=1),$BF$687,HLOOKUP(INDIRECT(ADDRESS(2,COLUMN())),OFFSET($BN$2,0,0,ROW()-1,60),ROW()-1,FALSE))</f>
        <v>3.3766768049999998</v>
      </c>
      <c r="BG240">
        <f ca="1">IF(AND(ISNUMBER($BG$687),$B$419=1),$BG$687,HLOOKUP(INDIRECT(ADDRESS(2,COLUMN())),OFFSET($BN$2,0,0,ROW()-1,60),ROW()-1,FALSE))</f>
        <v>3.7613834559999999</v>
      </c>
      <c r="BH240">
        <f ca="1">IF(AND(ISNUMBER($BH$687),$B$419=1),$BH$687,HLOOKUP(INDIRECT(ADDRESS(2,COLUMN())),OFFSET($BN$2,0,0,ROW()-1,60),ROW()-1,FALSE))</f>
        <v>3.6090060199999998</v>
      </c>
      <c r="BI240">
        <f ca="1">IF(AND(ISNUMBER($BI$687),$B$419=1),$BI$687,HLOOKUP(INDIRECT(ADDRESS(2,COLUMN())),OFFSET($BN$2,0,0,ROW()-1,60),ROW()-1,FALSE))</f>
        <v>3.5396798440000001</v>
      </c>
      <c r="BJ240">
        <f ca="1">IF(AND(ISNUMBER($BJ$687),$B$419=1),$BJ$687,HLOOKUP(INDIRECT(ADDRESS(2,COLUMN())),OFFSET($BN$2,0,0,ROW()-1,60),ROW()-1,FALSE))</f>
        <v>3.2761916850000001</v>
      </c>
      <c r="BK240">
        <f ca="1">IF(AND(ISNUMBER($BK$687),$B$419=1),$BK$687,HLOOKUP(INDIRECT(ADDRESS(2,COLUMN())),OFFSET($BN$2,0,0,ROW()-1,60),ROW()-1,FALSE))</f>
        <v>2.3954259709999999</v>
      </c>
      <c r="BL240">
        <f ca="1">IF(AND(ISNUMBER($BL$687),$B$419=1),$BL$687,HLOOKUP(INDIRECT(ADDRESS(2,COLUMN())),OFFSET($BN$2,0,0,ROW()-1,60),ROW()-1,FALSE))</f>
        <v>3.9130090590000002</v>
      </c>
      <c r="BM240">
        <f ca="1">IF(AND(ISNUMBER($BM$687),$B$419=1),$BM$687,HLOOKUP(INDIRECT(ADDRESS(2,COLUMN())),OFFSET($BN$2,0,0,ROW()-1,60),ROW()-1,FALSE))</f>
        <v>3.7914447839999998</v>
      </c>
      <c r="BN240" t="str">
        <f>""</f>
        <v/>
      </c>
      <c r="BO240">
        <f>3.303122936</f>
        <v>3.3031229359999998</v>
      </c>
      <c r="BP240">
        <f>3.143542312</f>
        <v>3.1435423120000001</v>
      </c>
      <c r="BQ240">
        <f>3.100897757</f>
        <v>3.1008977569999998</v>
      </c>
      <c r="BR240">
        <f>3.006944908</f>
        <v>3.0069449079999999</v>
      </c>
      <c r="BS240">
        <f>3.138594419</f>
        <v>3.1385944189999999</v>
      </c>
      <c r="BT240">
        <f>3.020123078</f>
        <v>3.0201230780000001</v>
      </c>
      <c r="BU240">
        <f>3.028878974</f>
        <v>3.0288789739999999</v>
      </c>
      <c r="BV240">
        <f>3.119346547</f>
        <v>3.1193465470000001</v>
      </c>
      <c r="BW240">
        <f>3.315481147</f>
        <v>3.3154811469999999</v>
      </c>
      <c r="BX240">
        <f>3.338886102</f>
        <v>3.338886102</v>
      </c>
      <c r="BY240">
        <f>3.133388523</f>
        <v>3.1333885229999998</v>
      </c>
      <c r="BZ240">
        <f>3.004772649</f>
        <v>3.004772649</v>
      </c>
      <c r="CA240">
        <f>3.286853341</f>
        <v>3.286853341</v>
      </c>
      <c r="CB240">
        <f>3.230286402</f>
        <v>3.2302864019999999</v>
      </c>
      <c r="CC240">
        <f>3.183888824</f>
        <v>3.1838888239999998</v>
      </c>
      <c r="CD240">
        <f>3.08557292</f>
        <v>3.0855729200000002</v>
      </c>
      <c r="CE240">
        <f>3.629072687</f>
        <v>3.6290726869999999</v>
      </c>
      <c r="CF240">
        <f>3.318125593</f>
        <v>3.318125593</v>
      </c>
      <c r="CG240">
        <f>3.433312129</f>
        <v>3.4333121289999999</v>
      </c>
      <c r="CH240">
        <f>3.410130577</f>
        <v>3.4101305769999999</v>
      </c>
      <c r="CI240">
        <f>3.730270769</f>
        <v>3.7302707690000001</v>
      </c>
      <c r="CJ240">
        <f>3.690649158</f>
        <v>3.6906491579999998</v>
      </c>
      <c r="CK240">
        <f>3.469131584</f>
        <v>3.4691315839999999</v>
      </c>
      <c r="CL240">
        <f>3.333598812</f>
        <v>3.333598812</v>
      </c>
      <c r="CM240">
        <f>3.735507573</f>
        <v>3.735507573</v>
      </c>
      <c r="CN240">
        <f>3.48053659</f>
        <v>3.4805365899999998</v>
      </c>
      <c r="CO240">
        <f>3.251826557</f>
        <v>3.2518265569999998</v>
      </c>
      <c r="CP240">
        <f>3.468705521</f>
        <v>3.468705521</v>
      </c>
      <c r="CQ240">
        <f>3.757461214</f>
        <v>3.7574612140000001</v>
      </c>
      <c r="CR240">
        <f>3.609146772</f>
        <v>3.6091467719999999</v>
      </c>
      <c r="CS240">
        <f>3.358444491</f>
        <v>3.3584444910000002</v>
      </c>
      <c r="CT240">
        <f>3.418576954</f>
        <v>3.4185769540000002</v>
      </c>
      <c r="CU240">
        <f>3.7699408</f>
        <v>3.7699408000000001</v>
      </c>
      <c r="CV240">
        <f>3.016095069</f>
        <v>3.0160950689999999</v>
      </c>
      <c r="CW240">
        <f>3.434454277</f>
        <v>3.4344542769999999</v>
      </c>
      <c r="CX240">
        <f>3.337046402</f>
        <v>3.3370464019999999</v>
      </c>
      <c r="CY240">
        <f>3.694461641</f>
        <v>3.6944616410000002</v>
      </c>
      <c r="CZ240">
        <f>3.412007644</f>
        <v>3.412007644</v>
      </c>
      <c r="DA240">
        <f>3.285944115</f>
        <v>3.2859441149999999</v>
      </c>
      <c r="DB240">
        <f>3.289316593</f>
        <v>3.2893165930000001</v>
      </c>
      <c r="DC240">
        <f>3.712568286</f>
        <v>3.7125682860000002</v>
      </c>
      <c r="DD240">
        <f>3.567335006</f>
        <v>3.567335006</v>
      </c>
      <c r="DE240">
        <f>3.394340272</f>
        <v>3.394340272</v>
      </c>
      <c r="DF240">
        <f>3.353100082</f>
        <v>3.3531000820000001</v>
      </c>
      <c r="DG240">
        <f>3.542324406</f>
        <v>3.5423244060000001</v>
      </c>
      <c r="DH240">
        <f>3.522595547</f>
        <v>3.5225955469999999</v>
      </c>
      <c r="DI240">
        <f>3.251924878</f>
        <v>3.2519248780000001</v>
      </c>
      <c r="DJ240">
        <f>3.219026645</f>
        <v>3.219026645</v>
      </c>
      <c r="DK240">
        <f>3.61289785</f>
        <v>3.61289785</v>
      </c>
      <c r="DL240">
        <f>3.789908348</f>
        <v>3.789908348</v>
      </c>
      <c r="DM240">
        <f>3.567678503</f>
        <v>3.5676785029999998</v>
      </c>
      <c r="DN240">
        <f>3.376676805</f>
        <v>3.3766768049999998</v>
      </c>
      <c r="DO240">
        <f>3.761383456</f>
        <v>3.7613834559999999</v>
      </c>
      <c r="DP240">
        <f>3.60900602</f>
        <v>3.6090060199999998</v>
      </c>
      <c r="DQ240">
        <f>3.539679844</f>
        <v>3.5396798440000001</v>
      </c>
      <c r="DR240">
        <f>3.276191685</f>
        <v>3.2761916850000001</v>
      </c>
      <c r="DS240">
        <f>2.395425971</f>
        <v>2.3954259709999999</v>
      </c>
      <c r="DT240">
        <f>3.913009059</f>
        <v>3.9130090590000002</v>
      </c>
      <c r="DU240">
        <f>3.791444784</f>
        <v>3.7914447839999998</v>
      </c>
    </row>
    <row r="241" spans="1:125">
      <c r="A241" t="str">
        <f>"    VEREIT Inc"</f>
        <v xml:space="preserve">    VEREIT Inc</v>
      </c>
      <c r="B241" t="str">
        <f>"VER US Equity"</f>
        <v>VER US Equity</v>
      </c>
      <c r="C241" t="str">
        <f t="shared" si="42"/>
        <v>RR553</v>
      </c>
      <c r="D241" t="str">
        <f t="shared" si="43"/>
        <v>EBITDA_RE_ASSET</v>
      </c>
      <c r="E241" t="str">
        <f t="shared" si="44"/>
        <v>动态</v>
      </c>
      <c r="F241" t="str">
        <f ca="1">IF(AND(ISNUMBER($F$688),$B$419=1),$F$688,HLOOKUP(INDIRECT(ADDRESS(2,COLUMN())),OFFSET($BN$2,0,0,ROW()-1,60),ROW()-1,FALSE))</f>
        <v/>
      </c>
      <c r="G241">
        <f ca="1">IF(AND(ISNUMBER($G$688),$B$419=1),$G$688,HLOOKUP(INDIRECT(ADDRESS(2,COLUMN())),OFFSET($BN$2,0,0,ROW()-1,60),ROW()-1,FALSE))</f>
        <v>1.831824941</v>
      </c>
      <c r="H241">
        <f ca="1">IF(AND(ISNUMBER($H$688),$B$419=1),$H$688,HLOOKUP(INDIRECT(ADDRESS(2,COLUMN())),OFFSET($BN$2,0,0,ROW()-1,60),ROW()-1,FALSE))</f>
        <v>1.9897158150000001</v>
      </c>
      <c r="I241">
        <f ca="1">IF(AND(ISNUMBER($I$688),$B$419=1),$I$688,HLOOKUP(INDIRECT(ADDRESS(2,COLUMN())),OFFSET($BN$2,0,0,ROW()-1,60),ROW()-1,FALSE))</f>
        <v>1.922735131</v>
      </c>
      <c r="J241">
        <f ca="1">IF(AND(ISNUMBER($J$688),$B$419=1),$J$688,HLOOKUP(INDIRECT(ADDRESS(2,COLUMN())),OFFSET($BN$2,0,0,ROW()-1,60),ROW()-1,FALSE))</f>
        <v>2.0509498260000001</v>
      </c>
      <c r="K241">
        <f ca="1">IF(AND(ISNUMBER($K$688),$B$419=1),$K$688,HLOOKUP(INDIRECT(ADDRESS(2,COLUMN())),OFFSET($BN$2,0,0,ROW()-1,60),ROW()-1,FALSE))</f>
        <v>1.076491504</v>
      </c>
      <c r="L241">
        <f ca="1">IF(AND(ISNUMBER($L$688),$B$419=1),$L$688,HLOOKUP(INDIRECT(ADDRESS(2,COLUMN())),OFFSET($BN$2,0,0,ROW()-1,60),ROW()-1,FALSE))</f>
        <v>2.0859747689999999</v>
      </c>
      <c r="M241">
        <f ca="1">IF(AND(ISNUMBER($M$688),$B$419=1),$M$688,HLOOKUP(INDIRECT(ADDRESS(2,COLUMN())),OFFSET($BN$2,0,0,ROW()-1,60),ROW()-1,FALSE))</f>
        <v>2.026677308</v>
      </c>
      <c r="N241">
        <f ca="1">IF(AND(ISNUMBER($N$688),$B$419=1),$N$688,HLOOKUP(INDIRECT(ADDRESS(2,COLUMN())),OFFSET($BN$2,0,0,ROW()-1,60),ROW()-1,FALSE))</f>
        <v>0.99667644099999997</v>
      </c>
      <c r="O241">
        <f ca="1">IF(AND(ISNUMBER($O$688),$B$419=1),$O$688,HLOOKUP(INDIRECT(ADDRESS(2,COLUMN())),OFFSET($BN$2,0,0,ROW()-1,60),ROW()-1,FALSE))</f>
        <v>0.54914006400000004</v>
      </c>
      <c r="P241">
        <f ca="1">IF(AND(ISNUMBER($P$688),$B$419=1),$P$688,HLOOKUP(INDIRECT(ADDRESS(2,COLUMN())),OFFSET($BN$2,0,0,ROW()-1,60),ROW()-1,FALSE))</f>
        <v>1.995180121</v>
      </c>
      <c r="Q241">
        <f ca="1">IF(AND(ISNUMBER($Q$688),$B$419=1),$Q$688,HLOOKUP(INDIRECT(ADDRESS(2,COLUMN())),OFFSET($BN$2,0,0,ROW()-1,60),ROW()-1,FALSE))</f>
        <v>1.3670937970000001</v>
      </c>
      <c r="R241">
        <f ca="1">IF(AND(ISNUMBER($R$688),$B$419=1),$R$688,HLOOKUP(INDIRECT(ADDRESS(2,COLUMN())),OFFSET($BN$2,0,0,ROW()-1,60),ROW()-1,FALSE))</f>
        <v>1.859422857</v>
      </c>
      <c r="S241">
        <f ca="1">IF(AND(ISNUMBER($S$688),$B$419=1),$S$688,HLOOKUP(INDIRECT(ADDRESS(2,COLUMN())),OFFSET($BN$2,0,0,ROW()-1,60),ROW()-1,FALSE))</f>
        <v>-0.35210201899999999</v>
      </c>
      <c r="T241">
        <f ca="1">IF(AND(ISNUMBER($T$688),$B$419=1),$T$688,HLOOKUP(INDIRECT(ADDRESS(2,COLUMN())),OFFSET($BN$2,0,0,ROW()-1,60),ROW()-1,FALSE))</f>
        <v>1.9951501629999999</v>
      </c>
      <c r="U241">
        <f ca="1">IF(AND(ISNUMBER($U$688),$B$419=1),$U$688,HLOOKUP(INDIRECT(ADDRESS(2,COLUMN())),OFFSET($BN$2,0,0,ROW()-1,60),ROW()-1,FALSE))</f>
        <v>1.817976603</v>
      </c>
      <c r="V241">
        <f ca="1">IF(AND(ISNUMBER($V$688),$B$419=1),$V$688,HLOOKUP(INDIRECT(ADDRESS(2,COLUMN())),OFFSET($BN$2,0,0,ROW()-1,60),ROW()-1,FALSE))</f>
        <v>0.31749470899999999</v>
      </c>
      <c r="W241">
        <f ca="1">IF(AND(ISNUMBER($W$688),$B$419=1),$W$688,HLOOKUP(INDIRECT(ADDRESS(2,COLUMN())),OFFSET($BN$2,0,0,ROW()-1,60),ROW()-1,FALSE))</f>
        <v>-0.24906392599999999</v>
      </c>
      <c r="X241">
        <f ca="1">IF(AND(ISNUMBER($X$688),$B$419=1),$X$688,HLOOKUP(INDIRECT(ADDRESS(2,COLUMN())),OFFSET($BN$2,0,0,ROW()-1,60),ROW()-1,FALSE))</f>
        <v>2.0325254230000001</v>
      </c>
      <c r="Y241">
        <f ca="1">IF(AND(ISNUMBER($Y$688),$B$419=1),$Y$688,HLOOKUP(INDIRECT(ADDRESS(2,COLUMN())),OFFSET($BN$2,0,0,ROW()-1,60),ROW()-1,FALSE))</f>
        <v>0.19444782399999999</v>
      </c>
      <c r="Z241">
        <f ca="1">IF(AND(ISNUMBER($Z$688),$B$419=1),$Z$688,HLOOKUP(INDIRECT(ADDRESS(2,COLUMN())),OFFSET($BN$2,0,0,ROW()-1,60),ROW()-1,FALSE))</f>
        <v>-6.2614964640000004</v>
      </c>
      <c r="AA241">
        <f ca="1">IF(AND(ISNUMBER($AA$688),$B$419=1),$AA$688,HLOOKUP(INDIRECT(ADDRESS(2,COLUMN())),OFFSET($BN$2,0,0,ROW()-1,60),ROW()-1,FALSE))</f>
        <v>0.476761671</v>
      </c>
      <c r="AB241">
        <f ca="1">IF(AND(ISNUMBER($AB$688),$B$419=1),$AB$688,HLOOKUP(INDIRECT(ADDRESS(2,COLUMN())),OFFSET($BN$2,0,0,ROW()-1,60),ROW()-1,FALSE))</f>
        <v>1.481652604</v>
      </c>
      <c r="AC241">
        <f ca="1">IF(AND(ISNUMBER($AC$688),$B$419=1),$AC$688,HLOOKUP(INDIRECT(ADDRESS(2,COLUMN())),OFFSET($BN$2,0,0,ROW()-1,60),ROW()-1,FALSE))</f>
        <v>1.7956605839999999</v>
      </c>
      <c r="AD241">
        <f ca="1">IF(AND(ISNUMBER($AD$688),$B$419=1),$AD$688,HLOOKUP(INDIRECT(ADDRESS(2,COLUMN())),OFFSET($BN$2,0,0,ROW()-1,60),ROW()-1,FALSE))</f>
        <v>0.42893151600000001</v>
      </c>
      <c r="AE241">
        <f ca="1">IF(AND(ISNUMBER($AE$688),$B$419=1),$AE$688,HLOOKUP(INDIRECT(ADDRESS(2,COLUMN())),OFFSET($BN$2,0,0,ROW()-1,60),ROW()-1,FALSE))</f>
        <v>-0.84091163000000002</v>
      </c>
      <c r="AF241">
        <f ca="1">IF(AND(ISNUMBER($AF$688),$B$419=1),$AF$688,HLOOKUP(INDIRECT(ADDRESS(2,COLUMN())),OFFSET($BN$2,0,0,ROW()-1,60),ROW()-1,FALSE))</f>
        <v>-0.111127648</v>
      </c>
      <c r="AG241" t="str">
        <f ca="1">IF(AND(ISNUMBER($AG$688),$B$419=1),$AG$688,HLOOKUP(INDIRECT(ADDRESS(2,COLUMN())),OFFSET($BN$2,0,0,ROW()-1,60),ROW()-1,FALSE))</f>
        <v/>
      </c>
      <c r="AH241">
        <f ca="1">IF(AND(ISNUMBER($AH$688),$B$419=1),$AH$688,HLOOKUP(INDIRECT(ADDRESS(2,COLUMN())),OFFSET($BN$2,0,0,ROW()-1,60),ROW()-1,FALSE))</f>
        <v>2.2082933769999999</v>
      </c>
      <c r="AI241" t="str">
        <f ca="1">IF(AND(ISNUMBER($AI$688),$B$419=1),$AI$688,HLOOKUP(INDIRECT(ADDRESS(2,COLUMN())),OFFSET($BN$2,0,0,ROW()-1,60),ROW()-1,FALSE))</f>
        <v/>
      </c>
      <c r="AJ241" t="str">
        <f ca="1">IF(AND(ISNUMBER($AJ$688),$B$419=1),$AJ$688,HLOOKUP(INDIRECT(ADDRESS(2,COLUMN())),OFFSET($BN$2,0,0,ROW()-1,60),ROW()-1,FALSE))</f>
        <v/>
      </c>
      <c r="AK241" t="str">
        <f ca="1">IF(AND(ISNUMBER($AK$688),$B$419=1),$AK$688,HLOOKUP(INDIRECT(ADDRESS(2,COLUMN())),OFFSET($BN$2,0,0,ROW()-1,60),ROW()-1,FALSE))</f>
        <v/>
      </c>
      <c r="AL241" t="str">
        <f ca="1">IF(AND(ISNUMBER($AL$688),$B$419=1),$AL$688,HLOOKUP(INDIRECT(ADDRESS(2,COLUMN())),OFFSET($BN$2,0,0,ROW()-1,60),ROW()-1,FALSE))</f>
        <v/>
      </c>
      <c r="AM241" t="str">
        <f ca="1">IF(AND(ISNUMBER($AM$688),$B$419=1),$AM$688,HLOOKUP(INDIRECT(ADDRESS(2,COLUMN())),OFFSET($BN$2,0,0,ROW()-1,60),ROW()-1,FALSE))</f>
        <v/>
      </c>
      <c r="AN241" t="str">
        <f ca="1">IF(AND(ISNUMBER($AN$688),$B$419=1),$AN$688,HLOOKUP(INDIRECT(ADDRESS(2,COLUMN())),OFFSET($BN$2,0,0,ROW()-1,60),ROW()-1,FALSE))</f>
        <v/>
      </c>
      <c r="AO241" t="str">
        <f ca="1">IF(AND(ISNUMBER($AO$688),$B$419=1),$AO$688,HLOOKUP(INDIRECT(ADDRESS(2,COLUMN())),OFFSET($BN$2,0,0,ROW()-1,60),ROW()-1,FALSE))</f>
        <v/>
      </c>
      <c r="AP241" t="str">
        <f ca="1">IF(AND(ISNUMBER($AP$688),$B$419=1),$AP$688,HLOOKUP(INDIRECT(ADDRESS(2,COLUMN())),OFFSET($BN$2,0,0,ROW()-1,60),ROW()-1,FALSE))</f>
        <v/>
      </c>
      <c r="AQ241" t="str">
        <f ca="1">IF(AND(ISNUMBER($AQ$688),$B$419=1),$AQ$688,HLOOKUP(INDIRECT(ADDRESS(2,COLUMN())),OFFSET($BN$2,0,0,ROW()-1,60),ROW()-1,FALSE))</f>
        <v/>
      </c>
      <c r="AR241" t="str">
        <f ca="1">IF(AND(ISNUMBER($AR$688),$B$419=1),$AR$688,HLOOKUP(INDIRECT(ADDRESS(2,COLUMN())),OFFSET($BN$2,0,0,ROW()-1,60),ROW()-1,FALSE))</f>
        <v/>
      </c>
      <c r="AS241" t="str">
        <f ca="1">IF(AND(ISNUMBER($AS$688),$B$419=1),$AS$688,HLOOKUP(INDIRECT(ADDRESS(2,COLUMN())),OFFSET($BN$2,0,0,ROW()-1,60),ROW()-1,FALSE))</f>
        <v/>
      </c>
      <c r="AT241" t="str">
        <f ca="1">IF(AND(ISNUMBER($AT$688),$B$419=1),$AT$688,HLOOKUP(INDIRECT(ADDRESS(2,COLUMN())),OFFSET($BN$2,0,0,ROW()-1,60),ROW()-1,FALSE))</f>
        <v/>
      </c>
      <c r="AU241" t="str">
        <f ca="1">IF(AND(ISNUMBER($AU$688),$B$419=1),$AU$688,HLOOKUP(INDIRECT(ADDRESS(2,COLUMN())),OFFSET($BN$2,0,0,ROW()-1,60),ROW()-1,FALSE))</f>
        <v/>
      </c>
      <c r="AV241" t="str">
        <f ca="1">IF(AND(ISNUMBER($AV$688),$B$419=1),$AV$688,HLOOKUP(INDIRECT(ADDRESS(2,COLUMN())),OFFSET($BN$2,0,0,ROW()-1,60),ROW()-1,FALSE))</f>
        <v/>
      </c>
      <c r="AW241" t="str">
        <f ca="1">IF(AND(ISNUMBER($AW$688),$B$419=1),$AW$688,HLOOKUP(INDIRECT(ADDRESS(2,COLUMN())),OFFSET($BN$2,0,0,ROW()-1,60),ROW()-1,FALSE))</f>
        <v/>
      </c>
      <c r="AX241" t="str">
        <f ca="1">IF(AND(ISNUMBER($AX$688),$B$419=1),$AX$688,HLOOKUP(INDIRECT(ADDRESS(2,COLUMN())),OFFSET($BN$2,0,0,ROW()-1,60),ROW()-1,FALSE))</f>
        <v/>
      </c>
      <c r="AY241" t="str">
        <f ca="1">IF(AND(ISNUMBER($AY$688),$B$419=1),$AY$688,HLOOKUP(INDIRECT(ADDRESS(2,COLUMN())),OFFSET($BN$2,0,0,ROW()-1,60),ROW()-1,FALSE))</f>
        <v/>
      </c>
      <c r="AZ241" t="str">
        <f ca="1">IF(AND(ISNUMBER($AZ$688),$B$419=1),$AZ$688,HLOOKUP(INDIRECT(ADDRESS(2,COLUMN())),OFFSET($BN$2,0,0,ROW()-1,60),ROW()-1,FALSE))</f>
        <v/>
      </c>
      <c r="BA241" t="str">
        <f ca="1">IF(AND(ISNUMBER($BA$688),$B$419=1),$BA$688,HLOOKUP(INDIRECT(ADDRESS(2,COLUMN())),OFFSET($BN$2,0,0,ROW()-1,60),ROW()-1,FALSE))</f>
        <v/>
      </c>
      <c r="BB241" t="str">
        <f ca="1">IF(AND(ISNUMBER($BB$688),$B$419=1),$BB$688,HLOOKUP(INDIRECT(ADDRESS(2,COLUMN())),OFFSET($BN$2,0,0,ROW()-1,60),ROW()-1,FALSE))</f>
        <v/>
      </c>
      <c r="BC241" t="str">
        <f ca="1">IF(AND(ISNUMBER($BC$688),$B$419=1),$BC$688,HLOOKUP(INDIRECT(ADDRESS(2,COLUMN())),OFFSET($BN$2,0,0,ROW()-1,60),ROW()-1,FALSE))</f>
        <v/>
      </c>
      <c r="BD241" t="str">
        <f ca="1">IF(AND(ISNUMBER($BD$688),$B$419=1),$BD$688,HLOOKUP(INDIRECT(ADDRESS(2,COLUMN())),OFFSET($BN$2,0,0,ROW()-1,60),ROW()-1,FALSE))</f>
        <v/>
      </c>
      <c r="BE241" t="str">
        <f ca="1">IF(AND(ISNUMBER($BE$688),$B$419=1),$BE$688,HLOOKUP(INDIRECT(ADDRESS(2,COLUMN())),OFFSET($BN$2,0,0,ROW()-1,60),ROW()-1,FALSE))</f>
        <v/>
      </c>
      <c r="BF241" t="str">
        <f ca="1">IF(AND(ISNUMBER($BF$688),$B$419=1),$BF$688,HLOOKUP(INDIRECT(ADDRESS(2,COLUMN())),OFFSET($BN$2,0,0,ROW()-1,60),ROW()-1,FALSE))</f>
        <v/>
      </c>
      <c r="BG241" t="str">
        <f ca="1">IF(AND(ISNUMBER($BG$688),$B$419=1),$BG$688,HLOOKUP(INDIRECT(ADDRESS(2,COLUMN())),OFFSET($BN$2,0,0,ROW()-1,60),ROW()-1,FALSE))</f>
        <v/>
      </c>
      <c r="BH241" t="str">
        <f ca="1">IF(AND(ISNUMBER($BH$688),$B$419=1),$BH$688,HLOOKUP(INDIRECT(ADDRESS(2,COLUMN())),OFFSET($BN$2,0,0,ROW()-1,60),ROW()-1,FALSE))</f>
        <v/>
      </c>
      <c r="BI241" t="str">
        <f ca="1">IF(AND(ISNUMBER($BI$688),$B$419=1),$BI$688,HLOOKUP(INDIRECT(ADDRESS(2,COLUMN())),OFFSET($BN$2,0,0,ROW()-1,60),ROW()-1,FALSE))</f>
        <v/>
      </c>
      <c r="BJ241" t="str">
        <f ca="1">IF(AND(ISNUMBER($BJ$688),$B$419=1),$BJ$688,HLOOKUP(INDIRECT(ADDRESS(2,COLUMN())),OFFSET($BN$2,0,0,ROW()-1,60),ROW()-1,FALSE))</f>
        <v/>
      </c>
      <c r="BK241" t="str">
        <f ca="1">IF(AND(ISNUMBER($BK$688),$B$419=1),$BK$688,HLOOKUP(INDIRECT(ADDRESS(2,COLUMN())),OFFSET($BN$2,0,0,ROW()-1,60),ROW()-1,FALSE))</f>
        <v/>
      </c>
      <c r="BL241" t="str">
        <f ca="1">IF(AND(ISNUMBER($BL$688),$B$419=1),$BL$688,HLOOKUP(INDIRECT(ADDRESS(2,COLUMN())),OFFSET($BN$2,0,0,ROW()-1,60),ROW()-1,FALSE))</f>
        <v/>
      </c>
      <c r="BM241" t="str">
        <f ca="1">IF(AND(ISNUMBER($BM$688),$B$419=1),$BM$688,HLOOKUP(INDIRECT(ADDRESS(2,COLUMN())),OFFSET($BN$2,0,0,ROW()-1,60),ROW()-1,FALSE))</f>
        <v/>
      </c>
      <c r="BN241" t="str">
        <f>""</f>
        <v/>
      </c>
      <c r="BO241">
        <f>1.831824941</f>
        <v>1.831824941</v>
      </c>
      <c r="BP241">
        <f>1.989715815</f>
        <v>1.9897158150000001</v>
      </c>
      <c r="BQ241">
        <f>1.922735131</f>
        <v>1.922735131</v>
      </c>
      <c r="BR241">
        <f>2.050949826</f>
        <v>2.0509498260000001</v>
      </c>
      <c r="BS241">
        <f>1.076491504</f>
        <v>1.076491504</v>
      </c>
      <c r="BT241">
        <f>2.085974769</f>
        <v>2.0859747689999999</v>
      </c>
      <c r="BU241">
        <f>2.026677308</f>
        <v>2.026677308</v>
      </c>
      <c r="BV241">
        <f>0.996676441</f>
        <v>0.99667644099999997</v>
      </c>
      <c r="BW241">
        <f>0.549140064</f>
        <v>0.54914006400000004</v>
      </c>
      <c r="BX241">
        <f>1.995180121</f>
        <v>1.995180121</v>
      </c>
      <c r="BY241">
        <f>1.367093797</f>
        <v>1.3670937970000001</v>
      </c>
      <c r="BZ241">
        <f>1.859422857</f>
        <v>1.859422857</v>
      </c>
      <c r="CA241">
        <f>-0.352102019</f>
        <v>-0.35210201899999999</v>
      </c>
      <c r="CB241">
        <f>1.995150163</f>
        <v>1.9951501629999999</v>
      </c>
      <c r="CC241">
        <f>1.817976603</f>
        <v>1.817976603</v>
      </c>
      <c r="CD241">
        <f>0.317494709</f>
        <v>0.31749470899999999</v>
      </c>
      <c r="CE241">
        <f>-0.249063926</f>
        <v>-0.24906392599999999</v>
      </c>
      <c r="CF241">
        <f>2.032525423</f>
        <v>2.0325254230000001</v>
      </c>
      <c r="CG241">
        <f>0.194447824</f>
        <v>0.19444782399999999</v>
      </c>
      <c r="CH241">
        <f>-6.261496464</f>
        <v>-6.2614964640000004</v>
      </c>
      <c r="CI241">
        <f>0.476761671</f>
        <v>0.476761671</v>
      </c>
      <c r="CJ241">
        <f>1.481652604</f>
        <v>1.481652604</v>
      </c>
      <c r="CK241">
        <f>1.795660584</f>
        <v>1.7956605839999999</v>
      </c>
      <c r="CL241">
        <f>0.428931516</f>
        <v>0.42893151600000001</v>
      </c>
      <c r="CM241">
        <f>-0.84091163</f>
        <v>-0.84091163000000002</v>
      </c>
      <c r="CN241">
        <f>-0.111127648</f>
        <v>-0.111127648</v>
      </c>
      <c r="CO241" t="str">
        <f>""</f>
        <v/>
      </c>
      <c r="CP241">
        <f>2.208293377</f>
        <v>2.2082933769999999</v>
      </c>
      <c r="CQ241" t="str">
        <f>""</f>
        <v/>
      </c>
      <c r="CR241" t="str">
        <f>""</f>
        <v/>
      </c>
      <c r="CS241" t="str">
        <f>""</f>
        <v/>
      </c>
      <c r="CT241" t="str">
        <f>""</f>
        <v/>
      </c>
      <c r="CU241" t="str">
        <f>""</f>
        <v/>
      </c>
      <c r="CV241" t="str">
        <f>""</f>
        <v/>
      </c>
      <c r="CW241" t="str">
        <f>""</f>
        <v/>
      </c>
      <c r="CX241" t="str">
        <f>""</f>
        <v/>
      </c>
      <c r="CY241" t="str">
        <f>""</f>
        <v/>
      </c>
      <c r="CZ241" t="str">
        <f>""</f>
        <v/>
      </c>
      <c r="DA241" t="str">
        <f>""</f>
        <v/>
      </c>
      <c r="DB241" t="str">
        <f>""</f>
        <v/>
      </c>
      <c r="DC241" t="str">
        <f>""</f>
        <v/>
      </c>
      <c r="DD241" t="str">
        <f>""</f>
        <v/>
      </c>
      <c r="DE241" t="str">
        <f>""</f>
        <v/>
      </c>
      <c r="DF241" t="str">
        <f>""</f>
        <v/>
      </c>
      <c r="DG241" t="str">
        <f>""</f>
        <v/>
      </c>
      <c r="DH241" t="str">
        <f>""</f>
        <v/>
      </c>
      <c r="DI241" t="str">
        <f>""</f>
        <v/>
      </c>
      <c r="DJ241" t="str">
        <f>""</f>
        <v/>
      </c>
      <c r="DK241" t="str">
        <f>""</f>
        <v/>
      </c>
      <c r="DL241" t="str">
        <f>""</f>
        <v/>
      </c>
      <c r="DM241" t="str">
        <f>""</f>
        <v/>
      </c>
      <c r="DN241" t="str">
        <f>""</f>
        <v/>
      </c>
      <c r="DO241" t="str">
        <f>""</f>
        <v/>
      </c>
      <c r="DP241" t="str">
        <f>""</f>
        <v/>
      </c>
      <c r="DQ241" t="str">
        <f>""</f>
        <v/>
      </c>
      <c r="DR241" t="str">
        <f>""</f>
        <v/>
      </c>
      <c r="DS241" t="str">
        <f>""</f>
        <v/>
      </c>
      <c r="DT241" t="str">
        <f>""</f>
        <v/>
      </c>
      <c r="DU241" t="str">
        <f>""</f>
        <v/>
      </c>
    </row>
    <row r="242" spans="1:125">
      <c r="A242" t="str">
        <f>"    Washington Prime Group Inc"</f>
        <v xml:space="preserve">    Washington Prime Group Inc</v>
      </c>
      <c r="B242" t="str">
        <f>"WPG US Equity"</f>
        <v>WPG US Equity</v>
      </c>
      <c r="C242" t="str">
        <f t="shared" si="42"/>
        <v>RR553</v>
      </c>
      <c r="D242" t="str">
        <f t="shared" si="43"/>
        <v>EBITDA_RE_ASSET</v>
      </c>
      <c r="E242" t="str">
        <f t="shared" si="44"/>
        <v>动态</v>
      </c>
      <c r="F242" t="str">
        <f ca="1">IF(AND(ISNUMBER($F$689),$B$419=1),$F$689,HLOOKUP(INDIRECT(ADDRESS(2,COLUMN())),OFFSET($BN$2,0,0,ROW()-1,60),ROW()-1,FALSE))</f>
        <v/>
      </c>
      <c r="G242">
        <f ca="1">IF(AND(ISNUMBER($G$689),$B$419=1),$G$689,HLOOKUP(INDIRECT(ADDRESS(2,COLUMN())),OFFSET($BN$2,0,0,ROW()-1,60),ROW()-1,FALSE))</f>
        <v>1.991248014</v>
      </c>
      <c r="H242">
        <f ca="1">IF(AND(ISNUMBER($H$689),$B$419=1),$H$689,HLOOKUP(INDIRECT(ADDRESS(2,COLUMN())),OFFSET($BN$2,0,0,ROW()-1,60),ROW()-1,FALSE))</f>
        <v>2.1735531959999999</v>
      </c>
      <c r="I242">
        <f ca="1">IF(AND(ISNUMBER($I$689),$B$419=1),$I$689,HLOOKUP(INDIRECT(ADDRESS(2,COLUMN())),OFFSET($BN$2,0,0,ROW()-1,60),ROW()-1,FALSE))</f>
        <v>2.7348381850000001</v>
      </c>
      <c r="J242">
        <f ca="1">IF(AND(ISNUMBER($J$689),$B$419=1),$J$689,HLOOKUP(INDIRECT(ADDRESS(2,COLUMN())),OFFSET($BN$2,0,0,ROW()-1,60),ROW()-1,FALSE))</f>
        <v>2.5473057799999999</v>
      </c>
      <c r="K242">
        <f ca="1">IF(AND(ISNUMBER($K$689),$B$419=1),$K$689,HLOOKUP(INDIRECT(ADDRESS(2,COLUMN())),OFFSET($BN$2,0,0,ROW()-1,60),ROW()-1,FALSE))</f>
        <v>2.8949364150000001</v>
      </c>
      <c r="L242">
        <f ca="1">IF(AND(ISNUMBER($L$689),$B$419=1),$L$689,HLOOKUP(INDIRECT(ADDRESS(2,COLUMN())),OFFSET($BN$2,0,0,ROW()-1,60),ROW()-1,FALSE))</f>
        <v>2.2550045220000001</v>
      </c>
      <c r="M242">
        <f ca="1">IF(AND(ISNUMBER($M$689),$B$419=1),$M$689,HLOOKUP(INDIRECT(ADDRESS(2,COLUMN())),OFFSET($BN$2,0,0,ROW()-1,60),ROW()-1,FALSE))</f>
        <v>2.1736066150000002</v>
      </c>
      <c r="N242">
        <f ca="1">IF(AND(ISNUMBER($N$689),$B$419=1),$N$689,HLOOKUP(INDIRECT(ADDRESS(2,COLUMN())),OFFSET($BN$2,0,0,ROW()-1,60),ROW()-1,FALSE))</f>
        <v>2.579895627</v>
      </c>
      <c r="O242">
        <f ca="1">IF(AND(ISNUMBER($O$689),$B$419=1),$O$689,HLOOKUP(INDIRECT(ADDRESS(2,COLUMN())),OFFSET($BN$2,0,0,ROW()-1,60),ROW()-1,FALSE))</f>
        <v>-7.0427674999999995E-2</v>
      </c>
      <c r="P242">
        <f ca="1">IF(AND(ISNUMBER($P$689),$B$419=1),$P$689,HLOOKUP(INDIRECT(ADDRESS(2,COLUMN())),OFFSET($BN$2,0,0,ROW()-1,60),ROW()-1,FALSE))</f>
        <v>2.2734304330000001</v>
      </c>
      <c r="Q242">
        <f ca="1">IF(AND(ISNUMBER($Q$689),$B$419=1),$Q$689,HLOOKUP(INDIRECT(ADDRESS(2,COLUMN())),OFFSET($BN$2,0,0,ROW()-1,60),ROW()-1,FALSE))</f>
        <v>2.6224366670000001</v>
      </c>
      <c r="R242">
        <f ca="1">IF(AND(ISNUMBER($R$689),$B$419=1),$R$689,HLOOKUP(INDIRECT(ADDRESS(2,COLUMN())),OFFSET($BN$2,0,0,ROW()-1,60),ROW()-1,FALSE))</f>
        <v>1.901673046</v>
      </c>
      <c r="S242">
        <f ca="1">IF(AND(ISNUMBER($S$689),$B$419=1),$S$689,HLOOKUP(INDIRECT(ADDRESS(2,COLUMN())),OFFSET($BN$2,0,0,ROW()-1,60),ROW()-1,FALSE))</f>
        <v>3.427777582</v>
      </c>
      <c r="T242">
        <f ca="1">IF(AND(ISNUMBER($T$689),$B$419=1),$T$689,HLOOKUP(INDIRECT(ADDRESS(2,COLUMN())),OFFSET($BN$2,0,0,ROW()-1,60),ROW()-1,FALSE))</f>
        <v>3.2777011439999999</v>
      </c>
      <c r="U242">
        <f ca="1">IF(AND(ISNUMBER($U$689),$B$419=1),$U$689,HLOOKUP(INDIRECT(ADDRESS(2,COLUMN())),OFFSET($BN$2,0,0,ROW()-1,60),ROW()-1,FALSE))</f>
        <v>1.9487916300000001</v>
      </c>
      <c r="V242">
        <f ca="1">IF(AND(ISNUMBER($V$689),$B$419=1),$V$689,HLOOKUP(INDIRECT(ADDRESS(2,COLUMN())),OFFSET($BN$2,0,0,ROW()-1,60),ROW()-1,FALSE))</f>
        <v>3.6228089749999999</v>
      </c>
      <c r="W242" t="str">
        <f ca="1">IF(AND(ISNUMBER($W$689),$B$419=1),$W$689,HLOOKUP(INDIRECT(ADDRESS(2,COLUMN())),OFFSET($BN$2,0,0,ROW()-1,60),ROW()-1,FALSE))</f>
        <v/>
      </c>
      <c r="X242" t="str">
        <f ca="1">IF(AND(ISNUMBER($X$689),$B$419=1),$X$689,HLOOKUP(INDIRECT(ADDRESS(2,COLUMN())),OFFSET($BN$2,0,0,ROW()-1,60),ROW()-1,FALSE))</f>
        <v/>
      </c>
      <c r="Y242" t="str">
        <f ca="1">IF(AND(ISNUMBER($Y$689),$B$419=1),$Y$689,HLOOKUP(INDIRECT(ADDRESS(2,COLUMN())),OFFSET($BN$2,0,0,ROW()-1,60),ROW()-1,FALSE))</f>
        <v/>
      </c>
      <c r="Z242" t="str">
        <f ca="1">IF(AND(ISNUMBER($Z$689),$B$419=1),$Z$689,HLOOKUP(INDIRECT(ADDRESS(2,COLUMN())),OFFSET($BN$2,0,0,ROW()-1,60),ROW()-1,FALSE))</f>
        <v/>
      </c>
      <c r="AA242" t="str">
        <f ca="1">IF(AND(ISNUMBER($AA$689),$B$419=1),$AA$689,HLOOKUP(INDIRECT(ADDRESS(2,COLUMN())),OFFSET($BN$2,0,0,ROW()-1,60),ROW()-1,FALSE))</f>
        <v/>
      </c>
      <c r="AB242" t="str">
        <f ca="1">IF(AND(ISNUMBER($AB$689),$B$419=1),$AB$689,HLOOKUP(INDIRECT(ADDRESS(2,COLUMN())),OFFSET($BN$2,0,0,ROW()-1,60),ROW()-1,FALSE))</f>
        <v/>
      </c>
      <c r="AC242" t="str">
        <f ca="1">IF(AND(ISNUMBER($AC$689),$B$419=1),$AC$689,HLOOKUP(INDIRECT(ADDRESS(2,COLUMN())),OFFSET($BN$2,0,0,ROW()-1,60),ROW()-1,FALSE))</f>
        <v/>
      </c>
      <c r="AD242" t="str">
        <f ca="1">IF(AND(ISNUMBER($AD$689),$B$419=1),$AD$689,HLOOKUP(INDIRECT(ADDRESS(2,COLUMN())),OFFSET($BN$2,0,0,ROW()-1,60),ROW()-1,FALSE))</f>
        <v/>
      </c>
      <c r="AE242" t="str">
        <f ca="1">IF(AND(ISNUMBER($AE$689),$B$419=1),$AE$689,HLOOKUP(INDIRECT(ADDRESS(2,COLUMN())),OFFSET($BN$2,0,0,ROW()-1,60),ROW()-1,FALSE))</f>
        <v/>
      </c>
      <c r="AF242" t="str">
        <f ca="1">IF(AND(ISNUMBER($AF$689),$B$419=1),$AF$689,HLOOKUP(INDIRECT(ADDRESS(2,COLUMN())),OFFSET($BN$2,0,0,ROW()-1,60),ROW()-1,FALSE))</f>
        <v/>
      </c>
      <c r="AG242" t="str">
        <f ca="1">IF(AND(ISNUMBER($AG$689),$B$419=1),$AG$689,HLOOKUP(INDIRECT(ADDRESS(2,COLUMN())),OFFSET($BN$2,0,0,ROW()-1,60),ROW()-1,FALSE))</f>
        <v/>
      </c>
      <c r="AH242" t="str">
        <f ca="1">IF(AND(ISNUMBER($AH$689),$B$419=1),$AH$689,HLOOKUP(INDIRECT(ADDRESS(2,COLUMN())),OFFSET($BN$2,0,0,ROW()-1,60),ROW()-1,FALSE))</f>
        <v/>
      </c>
      <c r="AI242" t="str">
        <f ca="1">IF(AND(ISNUMBER($AI$689),$B$419=1),$AI$689,HLOOKUP(INDIRECT(ADDRESS(2,COLUMN())),OFFSET($BN$2,0,0,ROW()-1,60),ROW()-1,FALSE))</f>
        <v/>
      </c>
      <c r="AJ242" t="str">
        <f ca="1">IF(AND(ISNUMBER($AJ$689),$B$419=1),$AJ$689,HLOOKUP(INDIRECT(ADDRESS(2,COLUMN())),OFFSET($BN$2,0,0,ROW()-1,60),ROW()-1,FALSE))</f>
        <v/>
      </c>
      <c r="AK242" t="str">
        <f ca="1">IF(AND(ISNUMBER($AK$689),$B$419=1),$AK$689,HLOOKUP(INDIRECT(ADDRESS(2,COLUMN())),OFFSET($BN$2,0,0,ROW()-1,60),ROW()-1,FALSE))</f>
        <v/>
      </c>
      <c r="AL242" t="str">
        <f ca="1">IF(AND(ISNUMBER($AL$689),$B$419=1),$AL$689,HLOOKUP(INDIRECT(ADDRESS(2,COLUMN())),OFFSET($BN$2,0,0,ROW()-1,60),ROW()-1,FALSE))</f>
        <v/>
      </c>
      <c r="AM242" t="str">
        <f ca="1">IF(AND(ISNUMBER($AM$689),$B$419=1),$AM$689,HLOOKUP(INDIRECT(ADDRESS(2,COLUMN())),OFFSET($BN$2,0,0,ROW()-1,60),ROW()-1,FALSE))</f>
        <v/>
      </c>
      <c r="AN242" t="str">
        <f ca="1">IF(AND(ISNUMBER($AN$689),$B$419=1),$AN$689,HLOOKUP(INDIRECT(ADDRESS(2,COLUMN())),OFFSET($BN$2,0,0,ROW()-1,60),ROW()-1,FALSE))</f>
        <v/>
      </c>
      <c r="AO242" t="str">
        <f ca="1">IF(AND(ISNUMBER($AO$689),$B$419=1),$AO$689,HLOOKUP(INDIRECT(ADDRESS(2,COLUMN())),OFFSET($BN$2,0,0,ROW()-1,60),ROW()-1,FALSE))</f>
        <v/>
      </c>
      <c r="AP242" t="str">
        <f ca="1">IF(AND(ISNUMBER($AP$689),$B$419=1),$AP$689,HLOOKUP(INDIRECT(ADDRESS(2,COLUMN())),OFFSET($BN$2,0,0,ROW()-1,60),ROW()-1,FALSE))</f>
        <v/>
      </c>
      <c r="AQ242" t="str">
        <f ca="1">IF(AND(ISNUMBER($AQ$689),$B$419=1),$AQ$689,HLOOKUP(INDIRECT(ADDRESS(2,COLUMN())),OFFSET($BN$2,0,0,ROW()-1,60),ROW()-1,FALSE))</f>
        <v/>
      </c>
      <c r="AR242" t="str">
        <f ca="1">IF(AND(ISNUMBER($AR$689),$B$419=1),$AR$689,HLOOKUP(INDIRECT(ADDRESS(2,COLUMN())),OFFSET($BN$2,0,0,ROW()-1,60),ROW()-1,FALSE))</f>
        <v/>
      </c>
      <c r="AS242" t="str">
        <f ca="1">IF(AND(ISNUMBER($AS$689),$B$419=1),$AS$689,HLOOKUP(INDIRECT(ADDRESS(2,COLUMN())),OFFSET($BN$2,0,0,ROW()-1,60),ROW()-1,FALSE))</f>
        <v/>
      </c>
      <c r="AT242" t="str">
        <f ca="1">IF(AND(ISNUMBER($AT$689),$B$419=1),$AT$689,HLOOKUP(INDIRECT(ADDRESS(2,COLUMN())),OFFSET($BN$2,0,0,ROW()-1,60),ROW()-1,FALSE))</f>
        <v/>
      </c>
      <c r="AU242" t="str">
        <f ca="1">IF(AND(ISNUMBER($AU$689),$B$419=1),$AU$689,HLOOKUP(INDIRECT(ADDRESS(2,COLUMN())),OFFSET($BN$2,0,0,ROW()-1,60),ROW()-1,FALSE))</f>
        <v/>
      </c>
      <c r="AV242" t="str">
        <f ca="1">IF(AND(ISNUMBER($AV$689),$B$419=1),$AV$689,HLOOKUP(INDIRECT(ADDRESS(2,COLUMN())),OFFSET($BN$2,0,0,ROW()-1,60),ROW()-1,FALSE))</f>
        <v/>
      </c>
      <c r="AW242" t="str">
        <f ca="1">IF(AND(ISNUMBER($AW$689),$B$419=1),$AW$689,HLOOKUP(INDIRECT(ADDRESS(2,COLUMN())),OFFSET($BN$2,0,0,ROW()-1,60),ROW()-1,FALSE))</f>
        <v/>
      </c>
      <c r="AX242" t="str">
        <f ca="1">IF(AND(ISNUMBER($AX$689),$B$419=1),$AX$689,HLOOKUP(INDIRECT(ADDRESS(2,COLUMN())),OFFSET($BN$2,0,0,ROW()-1,60),ROW()-1,FALSE))</f>
        <v/>
      </c>
      <c r="AY242" t="str">
        <f ca="1">IF(AND(ISNUMBER($AY$689),$B$419=1),$AY$689,HLOOKUP(INDIRECT(ADDRESS(2,COLUMN())),OFFSET($BN$2,0,0,ROW()-1,60),ROW()-1,FALSE))</f>
        <v/>
      </c>
      <c r="AZ242" t="str">
        <f ca="1">IF(AND(ISNUMBER($AZ$689),$B$419=1),$AZ$689,HLOOKUP(INDIRECT(ADDRESS(2,COLUMN())),OFFSET($BN$2,0,0,ROW()-1,60),ROW()-1,FALSE))</f>
        <v/>
      </c>
      <c r="BA242" t="str">
        <f ca="1">IF(AND(ISNUMBER($BA$689),$B$419=1),$BA$689,HLOOKUP(INDIRECT(ADDRESS(2,COLUMN())),OFFSET($BN$2,0,0,ROW()-1,60),ROW()-1,FALSE))</f>
        <v/>
      </c>
      <c r="BB242" t="str">
        <f ca="1">IF(AND(ISNUMBER($BB$689),$B$419=1),$BB$689,HLOOKUP(INDIRECT(ADDRESS(2,COLUMN())),OFFSET($BN$2,0,0,ROW()-1,60),ROW()-1,FALSE))</f>
        <v/>
      </c>
      <c r="BC242" t="str">
        <f ca="1">IF(AND(ISNUMBER($BC$689),$B$419=1),$BC$689,HLOOKUP(INDIRECT(ADDRESS(2,COLUMN())),OFFSET($BN$2,0,0,ROW()-1,60),ROW()-1,FALSE))</f>
        <v/>
      </c>
      <c r="BD242" t="str">
        <f ca="1">IF(AND(ISNUMBER($BD$689),$B$419=1),$BD$689,HLOOKUP(INDIRECT(ADDRESS(2,COLUMN())),OFFSET($BN$2,0,0,ROW()-1,60),ROW()-1,FALSE))</f>
        <v/>
      </c>
      <c r="BE242" t="str">
        <f ca="1">IF(AND(ISNUMBER($BE$689),$B$419=1),$BE$689,HLOOKUP(INDIRECT(ADDRESS(2,COLUMN())),OFFSET($BN$2,0,0,ROW()-1,60),ROW()-1,FALSE))</f>
        <v/>
      </c>
      <c r="BF242" t="str">
        <f ca="1">IF(AND(ISNUMBER($BF$689),$B$419=1),$BF$689,HLOOKUP(INDIRECT(ADDRESS(2,COLUMN())),OFFSET($BN$2,0,0,ROW()-1,60),ROW()-1,FALSE))</f>
        <v/>
      </c>
      <c r="BG242" t="str">
        <f ca="1">IF(AND(ISNUMBER($BG$689),$B$419=1),$BG$689,HLOOKUP(INDIRECT(ADDRESS(2,COLUMN())),OFFSET($BN$2,0,0,ROW()-1,60),ROW()-1,FALSE))</f>
        <v/>
      </c>
      <c r="BH242" t="str">
        <f ca="1">IF(AND(ISNUMBER($BH$689),$B$419=1),$BH$689,HLOOKUP(INDIRECT(ADDRESS(2,COLUMN())),OFFSET($BN$2,0,0,ROW()-1,60),ROW()-1,FALSE))</f>
        <v/>
      </c>
      <c r="BI242" t="str">
        <f ca="1">IF(AND(ISNUMBER($BI$689),$B$419=1),$BI$689,HLOOKUP(INDIRECT(ADDRESS(2,COLUMN())),OFFSET($BN$2,0,0,ROW()-1,60),ROW()-1,FALSE))</f>
        <v/>
      </c>
      <c r="BJ242" t="str">
        <f ca="1">IF(AND(ISNUMBER($BJ$689),$B$419=1),$BJ$689,HLOOKUP(INDIRECT(ADDRESS(2,COLUMN())),OFFSET($BN$2,0,0,ROW()-1,60),ROW()-1,FALSE))</f>
        <v/>
      </c>
      <c r="BK242" t="str">
        <f ca="1">IF(AND(ISNUMBER($BK$689),$B$419=1),$BK$689,HLOOKUP(INDIRECT(ADDRESS(2,COLUMN())),OFFSET($BN$2,0,0,ROW()-1,60),ROW()-1,FALSE))</f>
        <v/>
      </c>
      <c r="BL242" t="str">
        <f ca="1">IF(AND(ISNUMBER($BL$689),$B$419=1),$BL$689,HLOOKUP(INDIRECT(ADDRESS(2,COLUMN())),OFFSET($BN$2,0,0,ROW()-1,60),ROW()-1,FALSE))</f>
        <v/>
      </c>
      <c r="BM242" t="str">
        <f ca="1">IF(AND(ISNUMBER($BM$689),$B$419=1),$BM$689,HLOOKUP(INDIRECT(ADDRESS(2,COLUMN())),OFFSET($BN$2,0,0,ROW()-1,60),ROW()-1,FALSE))</f>
        <v/>
      </c>
      <c r="BN242" t="str">
        <f>""</f>
        <v/>
      </c>
      <c r="BO242">
        <f>1.991248014</f>
        <v>1.991248014</v>
      </c>
      <c r="BP242">
        <f>2.173553196</f>
        <v>2.1735531959999999</v>
      </c>
      <c r="BQ242">
        <f>2.734838185</f>
        <v>2.7348381850000001</v>
      </c>
      <c r="BR242">
        <f>2.54730578</f>
        <v>2.5473057799999999</v>
      </c>
      <c r="BS242">
        <f>2.894936415</f>
        <v>2.8949364150000001</v>
      </c>
      <c r="BT242">
        <f>2.255004522</f>
        <v>2.2550045220000001</v>
      </c>
      <c r="BU242">
        <f>2.173606615</f>
        <v>2.1736066150000002</v>
      </c>
      <c r="BV242">
        <f>2.579895627</f>
        <v>2.579895627</v>
      </c>
      <c r="BW242">
        <f>-0.070427675</f>
        <v>-7.0427674999999995E-2</v>
      </c>
      <c r="BX242">
        <f>2.273430433</f>
        <v>2.2734304330000001</v>
      </c>
      <c r="BY242">
        <f>2.622436667</f>
        <v>2.6224366670000001</v>
      </c>
      <c r="BZ242">
        <f>1.901673046</f>
        <v>1.901673046</v>
      </c>
      <c r="CA242">
        <f>3.427777582</f>
        <v>3.427777582</v>
      </c>
      <c r="CB242">
        <f>3.277701144</f>
        <v>3.2777011439999999</v>
      </c>
      <c r="CC242">
        <f>1.94879163</f>
        <v>1.9487916300000001</v>
      </c>
      <c r="CD242">
        <f>3.622808975</f>
        <v>3.6228089749999999</v>
      </c>
      <c r="CE242" t="str">
        <f>""</f>
        <v/>
      </c>
      <c r="CF242" t="str">
        <f>""</f>
        <v/>
      </c>
      <c r="CG242" t="str">
        <f>""</f>
        <v/>
      </c>
      <c r="CH242" t="str">
        <f>""</f>
        <v/>
      </c>
      <c r="CI242" t="str">
        <f>""</f>
        <v/>
      </c>
      <c r="CJ242" t="str">
        <f>""</f>
        <v/>
      </c>
      <c r="CK242" t="str">
        <f>""</f>
        <v/>
      </c>
      <c r="CL242" t="str">
        <f>""</f>
        <v/>
      </c>
      <c r="CM242" t="str">
        <f>""</f>
        <v/>
      </c>
      <c r="CN242" t="str">
        <f>""</f>
        <v/>
      </c>
      <c r="CO242" t="str">
        <f>""</f>
        <v/>
      </c>
      <c r="CP242" t="str">
        <f>""</f>
        <v/>
      </c>
      <c r="CQ242" t="str">
        <f>""</f>
        <v/>
      </c>
      <c r="CR242" t="str">
        <f>""</f>
        <v/>
      </c>
      <c r="CS242" t="str">
        <f>""</f>
        <v/>
      </c>
      <c r="CT242" t="str">
        <f>""</f>
        <v/>
      </c>
      <c r="CU242" t="str">
        <f>""</f>
        <v/>
      </c>
      <c r="CV242" t="str">
        <f>""</f>
        <v/>
      </c>
      <c r="CW242" t="str">
        <f>""</f>
        <v/>
      </c>
      <c r="CX242" t="str">
        <f>""</f>
        <v/>
      </c>
      <c r="CY242" t="str">
        <f>""</f>
        <v/>
      </c>
      <c r="CZ242" t="str">
        <f>""</f>
        <v/>
      </c>
      <c r="DA242" t="str">
        <f>""</f>
        <v/>
      </c>
      <c r="DB242" t="str">
        <f>""</f>
        <v/>
      </c>
      <c r="DC242" t="str">
        <f>""</f>
        <v/>
      </c>
      <c r="DD242" t="str">
        <f>""</f>
        <v/>
      </c>
      <c r="DE242" t="str">
        <f>""</f>
        <v/>
      </c>
      <c r="DF242" t="str">
        <f>""</f>
        <v/>
      </c>
      <c r="DG242" t="str">
        <f>""</f>
        <v/>
      </c>
      <c r="DH242" t="str">
        <f>""</f>
        <v/>
      </c>
      <c r="DI242" t="str">
        <f>""</f>
        <v/>
      </c>
      <c r="DJ242" t="str">
        <f>""</f>
        <v/>
      </c>
      <c r="DK242" t="str">
        <f>""</f>
        <v/>
      </c>
      <c r="DL242" t="str">
        <f>""</f>
        <v/>
      </c>
      <c r="DM242" t="str">
        <f>""</f>
        <v/>
      </c>
      <c r="DN242" t="str">
        <f>""</f>
        <v/>
      </c>
      <c r="DO242" t="str">
        <f>""</f>
        <v/>
      </c>
      <c r="DP242" t="str">
        <f>""</f>
        <v/>
      </c>
      <c r="DQ242" t="str">
        <f>""</f>
        <v/>
      </c>
      <c r="DR242" t="str">
        <f>""</f>
        <v/>
      </c>
      <c r="DS242" t="str">
        <f>""</f>
        <v/>
      </c>
      <c r="DT242" t="str">
        <f>""</f>
        <v/>
      </c>
      <c r="DU242" t="str">
        <f>""</f>
        <v/>
      </c>
    </row>
    <row r="243" spans="1:125">
      <c r="A243" t="str">
        <f>"    Weingarten Realty Investors"</f>
        <v xml:space="preserve">    Weingarten Realty Investors</v>
      </c>
      <c r="B243" t="str">
        <f>"WRI US Equity"</f>
        <v>WRI US Equity</v>
      </c>
      <c r="C243" t="str">
        <f t="shared" si="42"/>
        <v>RR553</v>
      </c>
      <c r="D243" t="str">
        <f t="shared" si="43"/>
        <v>EBITDA_RE_ASSET</v>
      </c>
      <c r="E243" t="str">
        <f t="shared" si="44"/>
        <v>动态</v>
      </c>
      <c r="F243" t="str">
        <f ca="1">IF(AND(ISNUMBER($F$690),$B$419=1),$F$690,HLOOKUP(INDIRECT(ADDRESS(2,COLUMN())),OFFSET($BN$2,0,0,ROW()-1,60),ROW()-1,FALSE))</f>
        <v/>
      </c>
      <c r="G243">
        <f ca="1">IF(AND(ISNUMBER($G$690),$B$419=1),$G$690,HLOOKUP(INDIRECT(ADDRESS(2,COLUMN())),OFFSET($BN$2,0,0,ROW()-1,60),ROW()-1,FALSE))</f>
        <v>2.3759286730000002</v>
      </c>
      <c r="H243">
        <f ca="1">IF(AND(ISNUMBER($H$690),$B$419=1),$H$690,HLOOKUP(INDIRECT(ADDRESS(2,COLUMN())),OFFSET($BN$2,0,0,ROW()-1,60),ROW()-1,FALSE))</f>
        <v>2.4082153000000002</v>
      </c>
      <c r="I243">
        <f ca="1">IF(AND(ISNUMBER($I$690),$B$419=1),$I$690,HLOOKUP(INDIRECT(ADDRESS(2,COLUMN())),OFFSET($BN$2,0,0,ROW()-1,60),ROW()-1,FALSE))</f>
        <v>2.376995108</v>
      </c>
      <c r="J243">
        <f ca="1">IF(AND(ISNUMBER($J$690),$B$419=1),$J$690,HLOOKUP(INDIRECT(ADDRESS(2,COLUMN())),OFFSET($BN$2,0,0,ROW()-1,60),ROW()-1,FALSE))</f>
        <v>1.909046494</v>
      </c>
      <c r="K243">
        <f ca="1">IF(AND(ISNUMBER($K$690),$B$419=1),$K$690,HLOOKUP(INDIRECT(ADDRESS(2,COLUMN())),OFFSET($BN$2,0,0,ROW()-1,60),ROW()-1,FALSE))</f>
        <v>2.4011175389999999</v>
      </c>
      <c r="L243">
        <f ca="1">IF(AND(ISNUMBER($L$690),$B$419=1),$L$690,HLOOKUP(INDIRECT(ADDRESS(2,COLUMN())),OFFSET($BN$2,0,0,ROW()-1,60),ROW()-1,FALSE))</f>
        <v>2.321531534</v>
      </c>
      <c r="M243">
        <f ca="1">IF(AND(ISNUMBER($M$690),$B$419=1),$M$690,HLOOKUP(INDIRECT(ADDRESS(2,COLUMN())),OFFSET($BN$2,0,0,ROW()-1,60),ROW()-1,FALSE))</f>
        <v>2.4316748719999999</v>
      </c>
      <c r="N243">
        <f ca="1">IF(AND(ISNUMBER($N$690),$B$419=1),$N$690,HLOOKUP(INDIRECT(ADDRESS(2,COLUMN())),OFFSET($BN$2,0,0,ROW()-1,60),ROW()-1,FALSE))</f>
        <v>2.471185739</v>
      </c>
      <c r="O243">
        <f ca="1">IF(AND(ISNUMBER($O$690),$B$419=1),$O$690,HLOOKUP(INDIRECT(ADDRESS(2,COLUMN())),OFFSET($BN$2,0,0,ROW()-1,60),ROW()-1,FALSE))</f>
        <v>2.3754854070000002</v>
      </c>
      <c r="P243">
        <f ca="1">IF(AND(ISNUMBER($P$690),$B$419=1),$P$690,HLOOKUP(INDIRECT(ADDRESS(2,COLUMN())),OFFSET($BN$2,0,0,ROW()-1,60),ROW()-1,FALSE))</f>
        <v>2.4441361170000002</v>
      </c>
      <c r="Q243">
        <f ca="1">IF(AND(ISNUMBER($Q$690),$B$419=1),$Q$690,HLOOKUP(INDIRECT(ADDRESS(2,COLUMN())),OFFSET($BN$2,0,0,ROW()-1,60),ROW()-1,FALSE))</f>
        <v>2.4093908179999999</v>
      </c>
      <c r="R243">
        <f ca="1">IF(AND(ISNUMBER($R$690),$B$419=1),$R$690,HLOOKUP(INDIRECT(ADDRESS(2,COLUMN())),OFFSET($BN$2,0,0,ROW()-1,60),ROW()-1,FALSE))</f>
        <v>2.3999459669999998</v>
      </c>
      <c r="S243">
        <f ca="1">IF(AND(ISNUMBER($S$690),$B$419=1),$S$690,HLOOKUP(INDIRECT(ADDRESS(2,COLUMN())),OFFSET($BN$2,0,0,ROW()-1,60),ROW()-1,FALSE))</f>
        <v>2.4295552310000001</v>
      </c>
      <c r="T243">
        <f ca="1">IF(AND(ISNUMBER($T$690),$B$419=1),$T$690,HLOOKUP(INDIRECT(ADDRESS(2,COLUMN())),OFFSET($BN$2,0,0,ROW()-1,60),ROW()-1,FALSE))</f>
        <v>2.5241473490000002</v>
      </c>
      <c r="U243">
        <f ca="1">IF(AND(ISNUMBER($U$690),$B$419=1),$U$690,HLOOKUP(INDIRECT(ADDRESS(2,COLUMN())),OFFSET($BN$2,0,0,ROW()-1,60),ROW()-1,FALSE))</f>
        <v>2.463137009</v>
      </c>
      <c r="V243">
        <f ca="1">IF(AND(ISNUMBER($V$690),$B$419=1),$V$690,HLOOKUP(INDIRECT(ADDRESS(2,COLUMN())),OFFSET($BN$2,0,0,ROW()-1,60),ROW()-1,FALSE))</f>
        <v>2.4036986869999999</v>
      </c>
      <c r="W243">
        <f ca="1">IF(AND(ISNUMBER($W$690),$B$419=1),$W$690,HLOOKUP(INDIRECT(ADDRESS(2,COLUMN())),OFFSET($BN$2,0,0,ROW()-1,60),ROW()-1,FALSE))</f>
        <v>2.2095659689999998</v>
      </c>
      <c r="X243">
        <f ca="1">IF(AND(ISNUMBER($X$690),$B$419=1),$X$690,HLOOKUP(INDIRECT(ADDRESS(2,COLUMN())),OFFSET($BN$2,0,0,ROW()-1,60),ROW()-1,FALSE))</f>
        <v>2.1610089170000002</v>
      </c>
      <c r="Y243">
        <f ca="1">IF(AND(ISNUMBER($Y$690),$B$419=1),$Y$690,HLOOKUP(INDIRECT(ADDRESS(2,COLUMN())),OFFSET($BN$2,0,0,ROW()-1,60),ROW()-1,FALSE))</f>
        <v>2.1924384589999999</v>
      </c>
      <c r="Z243">
        <f ca="1">IF(AND(ISNUMBER($Z$690),$B$419=1),$Z$690,HLOOKUP(INDIRECT(ADDRESS(2,COLUMN())),OFFSET($BN$2,0,0,ROW()-1,60),ROW()-1,FALSE))</f>
        <v>2.0973005749999998</v>
      </c>
      <c r="AA243">
        <f ca="1">IF(AND(ISNUMBER($AA$690),$B$419=1),$AA$690,HLOOKUP(INDIRECT(ADDRESS(2,COLUMN())),OFFSET($BN$2,0,0,ROW()-1,60),ROW()-1,FALSE))</f>
        <v>2.1141912060000001</v>
      </c>
      <c r="AB243">
        <f ca="1">IF(AND(ISNUMBER($AB$690),$B$419=1),$AB$690,HLOOKUP(INDIRECT(ADDRESS(2,COLUMN())),OFFSET($BN$2,0,0,ROW()-1,60),ROW()-1,FALSE))</f>
        <v>2.0391652969999998</v>
      </c>
      <c r="AC243">
        <f ca="1">IF(AND(ISNUMBER($AC$690),$B$419=1),$AC$690,HLOOKUP(INDIRECT(ADDRESS(2,COLUMN())),OFFSET($BN$2,0,0,ROW()-1,60),ROW()-1,FALSE))</f>
        <v>1.9610160130000001</v>
      </c>
      <c r="AD243">
        <f ca="1">IF(AND(ISNUMBER($AD$690),$B$419=1),$AD$690,HLOOKUP(INDIRECT(ADDRESS(2,COLUMN())),OFFSET($BN$2,0,0,ROW()-1,60),ROW()-1,FALSE))</f>
        <v>1.769750457</v>
      </c>
      <c r="AE243">
        <f ca="1">IF(AND(ISNUMBER($AE$690),$B$419=1),$AE$690,HLOOKUP(INDIRECT(ADDRESS(2,COLUMN())),OFFSET($BN$2,0,0,ROW()-1,60),ROW()-1,FALSE))</f>
        <v>1.881042144</v>
      </c>
      <c r="AF243">
        <f ca="1">IF(AND(ISNUMBER($AF$690),$B$419=1),$AF$690,HLOOKUP(INDIRECT(ADDRESS(2,COLUMN())),OFFSET($BN$2,0,0,ROW()-1,60),ROW()-1,FALSE))</f>
        <v>1.297910844</v>
      </c>
      <c r="AG243">
        <f ca="1">IF(AND(ISNUMBER($AG$690),$B$419=1),$AG$690,HLOOKUP(INDIRECT(ADDRESS(2,COLUMN())),OFFSET($BN$2,0,0,ROW()-1,60),ROW()-1,FALSE))</f>
        <v>1.5510167690000001</v>
      </c>
      <c r="AH243">
        <f ca="1">IF(AND(ISNUMBER($AH$690),$B$419=1),$AH$690,HLOOKUP(INDIRECT(ADDRESS(2,COLUMN())),OFFSET($BN$2,0,0,ROW()-1,60),ROW()-1,FALSE))</f>
        <v>1.8657012850000001</v>
      </c>
      <c r="AI243">
        <f ca="1">IF(AND(ISNUMBER($AI$690),$B$419=1),$AI$690,HLOOKUP(INDIRECT(ADDRESS(2,COLUMN())),OFFSET($BN$2,0,0,ROW()-1,60),ROW()-1,FALSE))</f>
        <v>1.7316303660000001</v>
      </c>
      <c r="AJ243">
        <f ca="1">IF(AND(ISNUMBER($AJ$690),$B$419=1),$AJ$690,HLOOKUP(INDIRECT(ADDRESS(2,COLUMN())),OFFSET($BN$2,0,0,ROW()-1,60),ROW()-1,FALSE))</f>
        <v>1.982340738</v>
      </c>
      <c r="AK243">
        <f ca="1">IF(AND(ISNUMBER($AK$690),$B$419=1),$AK$690,HLOOKUP(INDIRECT(ADDRESS(2,COLUMN())),OFFSET($BN$2,0,0,ROW()-1,60),ROW()-1,FALSE))</f>
        <v>1.7449140970000001</v>
      </c>
      <c r="AL243">
        <f ca="1">IF(AND(ISNUMBER($AL$690),$B$419=1),$AL$690,HLOOKUP(INDIRECT(ADDRESS(2,COLUMN())),OFFSET($BN$2,0,0,ROW()-1,60),ROW()-1,FALSE))</f>
        <v>2.0011394519999999</v>
      </c>
      <c r="AM243">
        <f ca="1">IF(AND(ISNUMBER($AM$690),$B$419=1),$AM$690,HLOOKUP(INDIRECT(ADDRESS(2,COLUMN())),OFFSET($BN$2,0,0,ROW()-1,60),ROW()-1,FALSE))</f>
        <v>2.02038194</v>
      </c>
      <c r="AN243">
        <f ca="1">IF(AND(ISNUMBER($AN$690),$B$419=1),$AN$690,HLOOKUP(INDIRECT(ADDRESS(2,COLUMN())),OFFSET($BN$2,0,0,ROW()-1,60),ROW()-1,FALSE))</f>
        <v>1.330276864</v>
      </c>
      <c r="AO243">
        <f ca="1">IF(AND(ISNUMBER($AO$690),$B$419=1),$AO$690,HLOOKUP(INDIRECT(ADDRESS(2,COLUMN())),OFFSET($BN$2,0,0,ROW()-1,60),ROW()-1,FALSE))</f>
        <v>1.9534361609999999</v>
      </c>
      <c r="AP243">
        <f ca="1">IF(AND(ISNUMBER($AP$690),$B$419=1),$AP$690,HLOOKUP(INDIRECT(ADDRESS(2,COLUMN())),OFFSET($BN$2,0,0,ROW()-1,60),ROW()-1,FALSE))</f>
        <v>2.1015678690000001</v>
      </c>
      <c r="AQ243">
        <f ca="1">IF(AND(ISNUMBER($AQ$690),$B$419=1),$AQ$690,HLOOKUP(INDIRECT(ADDRESS(2,COLUMN())),OFFSET($BN$2,0,0,ROW()-1,60),ROW()-1,FALSE))</f>
        <v>1.862878934</v>
      </c>
      <c r="AR243">
        <f ca="1">IF(AND(ISNUMBER($AR$690),$B$419=1),$AR$690,HLOOKUP(INDIRECT(ADDRESS(2,COLUMN())),OFFSET($BN$2,0,0,ROW()-1,60),ROW()-1,FALSE))</f>
        <v>2.1892457520000002</v>
      </c>
      <c r="AS243">
        <f ca="1">IF(AND(ISNUMBER($AS$690),$B$419=1),$AS$690,HLOOKUP(INDIRECT(ADDRESS(2,COLUMN())),OFFSET($BN$2,0,0,ROW()-1,60),ROW()-1,FALSE))</f>
        <v>2.1950491369999998</v>
      </c>
      <c r="AT243">
        <f ca="1">IF(AND(ISNUMBER($AT$690),$B$419=1),$AT$690,HLOOKUP(INDIRECT(ADDRESS(2,COLUMN())),OFFSET($BN$2,0,0,ROW()-1,60),ROW()-1,FALSE))</f>
        <v>2.2015793270000001</v>
      </c>
      <c r="AU243">
        <f ca="1">IF(AND(ISNUMBER($AU$690),$B$419=1),$AU$690,HLOOKUP(INDIRECT(ADDRESS(2,COLUMN())),OFFSET($BN$2,0,0,ROW()-1,60),ROW()-1,FALSE))</f>
        <v>2.1757207630000002</v>
      </c>
      <c r="AV243">
        <f ca="1">IF(AND(ISNUMBER($AV$690),$B$419=1),$AV$690,HLOOKUP(INDIRECT(ADDRESS(2,COLUMN())),OFFSET($BN$2,0,0,ROW()-1,60),ROW()-1,FALSE))</f>
        <v>2.2486916699999999</v>
      </c>
      <c r="AW243">
        <f ca="1">IF(AND(ISNUMBER($AW$690),$B$419=1),$AW$690,HLOOKUP(INDIRECT(ADDRESS(2,COLUMN())),OFFSET($BN$2,0,0,ROW()-1,60),ROW()-1,FALSE))</f>
        <v>2.3000103429999998</v>
      </c>
      <c r="AX243">
        <f ca="1">IF(AND(ISNUMBER($AX$690),$B$419=1),$AX$690,HLOOKUP(INDIRECT(ADDRESS(2,COLUMN())),OFFSET($BN$2,0,0,ROW()-1,60),ROW()-1,FALSE))</f>
        <v>2.4032160490000001</v>
      </c>
      <c r="AY243">
        <f ca="1">IF(AND(ISNUMBER($AY$690),$B$419=1),$AY$690,HLOOKUP(INDIRECT(ADDRESS(2,COLUMN())),OFFSET($BN$2,0,0,ROW()-1,60),ROW()-1,FALSE))</f>
        <v>2.5137247820000002</v>
      </c>
      <c r="AZ243">
        <f ca="1">IF(AND(ISNUMBER($AZ$690),$B$419=1),$AZ$690,HLOOKUP(INDIRECT(ADDRESS(2,COLUMN())),OFFSET($BN$2,0,0,ROW()-1,60),ROW()-1,FALSE))</f>
        <v>2.427693734</v>
      </c>
      <c r="BA243">
        <f ca="1">IF(AND(ISNUMBER($BA$690),$B$419=1),$BA$690,HLOOKUP(INDIRECT(ADDRESS(2,COLUMN())),OFFSET($BN$2,0,0,ROW()-1,60),ROW()-1,FALSE))</f>
        <v>2.6466941230000001</v>
      </c>
      <c r="BB243">
        <f ca="1">IF(AND(ISNUMBER($BB$690),$B$419=1),$BB$690,HLOOKUP(INDIRECT(ADDRESS(2,COLUMN())),OFFSET($BN$2,0,0,ROW()-1,60),ROW()-1,FALSE))</f>
        <v>2.7357803999999999</v>
      </c>
      <c r="BC243">
        <f ca="1">IF(AND(ISNUMBER($BC$690),$B$419=1),$BC$690,HLOOKUP(INDIRECT(ADDRESS(2,COLUMN())),OFFSET($BN$2,0,0,ROW()-1,60),ROW()-1,FALSE))</f>
        <v>2.5842699859999998</v>
      </c>
      <c r="BD243">
        <f ca="1">IF(AND(ISNUMBER($BD$690),$B$419=1),$BD$690,HLOOKUP(INDIRECT(ADDRESS(2,COLUMN())),OFFSET($BN$2,0,0,ROW()-1,60),ROW()-1,FALSE))</f>
        <v>2.7953359999999998</v>
      </c>
      <c r="BE243">
        <f ca="1">IF(AND(ISNUMBER($BE$690),$B$419=1),$BE$690,HLOOKUP(INDIRECT(ADDRESS(2,COLUMN())),OFFSET($BN$2,0,0,ROW()-1,60),ROW()-1,FALSE))</f>
        <v>2.8103474909999999</v>
      </c>
      <c r="BF243">
        <f ca="1">IF(AND(ISNUMBER($BF$690),$B$419=1),$BF$690,HLOOKUP(INDIRECT(ADDRESS(2,COLUMN())),OFFSET($BN$2,0,0,ROW()-1,60),ROW()-1,FALSE))</f>
        <v>2.8458597569999999</v>
      </c>
      <c r="BG243">
        <f ca="1">IF(AND(ISNUMBER($BG$690),$B$419=1),$BG$690,HLOOKUP(INDIRECT(ADDRESS(2,COLUMN())),OFFSET($BN$2,0,0,ROW()-1,60),ROW()-1,FALSE))</f>
        <v>2.9157012729999998</v>
      </c>
      <c r="BH243">
        <f ca="1">IF(AND(ISNUMBER($BH$690),$B$419=1),$BH$690,HLOOKUP(INDIRECT(ADDRESS(2,COLUMN())),OFFSET($BN$2,0,0,ROW()-1,60),ROW()-1,FALSE))</f>
        <v>2.816967987</v>
      </c>
      <c r="BI243">
        <f ca="1">IF(AND(ISNUMBER($BI$690),$B$419=1),$BI$690,HLOOKUP(INDIRECT(ADDRESS(2,COLUMN())),OFFSET($BN$2,0,0,ROW()-1,60),ROW()-1,FALSE))</f>
        <v>2.7219219469999998</v>
      </c>
      <c r="BJ243">
        <f ca="1">IF(AND(ISNUMBER($BJ$690),$B$419=1),$BJ$690,HLOOKUP(INDIRECT(ADDRESS(2,COLUMN())),OFFSET($BN$2,0,0,ROW()-1,60),ROW()-1,FALSE))</f>
        <v>2.729845386</v>
      </c>
      <c r="BK243">
        <f ca="1">IF(AND(ISNUMBER($BK$690),$B$419=1),$BK$690,HLOOKUP(INDIRECT(ADDRESS(2,COLUMN())),OFFSET($BN$2,0,0,ROW()-1,60),ROW()-1,FALSE))</f>
        <v>2.8031142550000001</v>
      </c>
      <c r="BL243">
        <f ca="1">IF(AND(ISNUMBER($BL$690),$B$419=1),$BL$690,HLOOKUP(INDIRECT(ADDRESS(2,COLUMN())),OFFSET($BN$2,0,0,ROW()-1,60),ROW()-1,FALSE))</f>
        <v>2.878209214</v>
      </c>
      <c r="BM243">
        <f ca="1">IF(AND(ISNUMBER($BM$690),$B$419=1),$BM$690,HLOOKUP(INDIRECT(ADDRESS(2,COLUMN())),OFFSET($BN$2,0,0,ROW()-1,60),ROW()-1,FALSE))</f>
        <v>2.944649514</v>
      </c>
      <c r="BN243" t="str">
        <f>""</f>
        <v/>
      </c>
      <c r="BO243">
        <f>2.375928673</f>
        <v>2.3759286730000002</v>
      </c>
      <c r="BP243">
        <f>2.4082153</f>
        <v>2.4082153000000002</v>
      </c>
      <c r="BQ243">
        <f>2.376995108</f>
        <v>2.376995108</v>
      </c>
      <c r="BR243">
        <f>1.909046494</f>
        <v>1.909046494</v>
      </c>
      <c r="BS243">
        <f>2.401117539</f>
        <v>2.4011175389999999</v>
      </c>
      <c r="BT243">
        <f>2.321531534</f>
        <v>2.321531534</v>
      </c>
      <c r="BU243">
        <f>2.431674872</f>
        <v>2.4316748719999999</v>
      </c>
      <c r="BV243">
        <f>2.471185739</f>
        <v>2.471185739</v>
      </c>
      <c r="BW243">
        <f>2.375485407</f>
        <v>2.3754854070000002</v>
      </c>
      <c r="BX243">
        <f>2.444136117</f>
        <v>2.4441361170000002</v>
      </c>
      <c r="BY243">
        <f>2.409390818</f>
        <v>2.4093908179999999</v>
      </c>
      <c r="BZ243">
        <f>2.399945967</f>
        <v>2.3999459669999998</v>
      </c>
      <c r="CA243">
        <f>2.429555231</f>
        <v>2.4295552310000001</v>
      </c>
      <c r="CB243">
        <f>2.524147349</f>
        <v>2.5241473490000002</v>
      </c>
      <c r="CC243">
        <f>2.463137009</f>
        <v>2.463137009</v>
      </c>
      <c r="CD243">
        <f>2.403698687</f>
        <v>2.4036986869999999</v>
      </c>
      <c r="CE243">
        <f>2.209565969</f>
        <v>2.2095659689999998</v>
      </c>
      <c r="CF243">
        <f>2.161008917</f>
        <v>2.1610089170000002</v>
      </c>
      <c r="CG243">
        <f>2.192438459</f>
        <v>2.1924384589999999</v>
      </c>
      <c r="CH243">
        <f>2.097300575</f>
        <v>2.0973005749999998</v>
      </c>
      <c r="CI243">
        <f>2.114191206</f>
        <v>2.1141912060000001</v>
      </c>
      <c r="CJ243">
        <f>2.039165297</f>
        <v>2.0391652969999998</v>
      </c>
      <c r="CK243">
        <f>1.961016013</f>
        <v>1.9610160130000001</v>
      </c>
      <c r="CL243">
        <f>1.769750457</f>
        <v>1.769750457</v>
      </c>
      <c r="CM243">
        <f>1.881042144</f>
        <v>1.881042144</v>
      </c>
      <c r="CN243">
        <f>1.297910844</f>
        <v>1.297910844</v>
      </c>
      <c r="CO243">
        <f>1.551016769</f>
        <v>1.5510167690000001</v>
      </c>
      <c r="CP243">
        <f>1.865701285</f>
        <v>1.8657012850000001</v>
      </c>
      <c r="CQ243">
        <f>1.731630366</f>
        <v>1.7316303660000001</v>
      </c>
      <c r="CR243">
        <f>1.982340738</f>
        <v>1.982340738</v>
      </c>
      <c r="CS243">
        <f>1.744914097</f>
        <v>1.7449140970000001</v>
      </c>
      <c r="CT243">
        <f>2.001139452</f>
        <v>2.0011394519999999</v>
      </c>
      <c r="CU243">
        <f>2.02038194</f>
        <v>2.02038194</v>
      </c>
      <c r="CV243">
        <f>1.330276864</f>
        <v>1.330276864</v>
      </c>
      <c r="CW243">
        <f>1.953436161</f>
        <v>1.9534361609999999</v>
      </c>
      <c r="CX243">
        <f>2.101567869</f>
        <v>2.1015678690000001</v>
      </c>
      <c r="CY243">
        <f>1.862878934</f>
        <v>1.862878934</v>
      </c>
      <c r="CZ243">
        <f>2.189245752</f>
        <v>2.1892457520000002</v>
      </c>
      <c r="DA243">
        <f>2.195049137</f>
        <v>2.1950491369999998</v>
      </c>
      <c r="DB243">
        <f>2.201579327</f>
        <v>2.2015793270000001</v>
      </c>
      <c r="DC243">
        <f>2.175720763</f>
        <v>2.1757207630000002</v>
      </c>
      <c r="DD243">
        <f>2.24869167</f>
        <v>2.2486916699999999</v>
      </c>
      <c r="DE243">
        <f>2.300010343</f>
        <v>2.3000103429999998</v>
      </c>
      <c r="DF243">
        <f>2.403216049</f>
        <v>2.4032160490000001</v>
      </c>
      <c r="DG243">
        <f>2.513724782</f>
        <v>2.5137247820000002</v>
      </c>
      <c r="DH243">
        <f>2.427693734</f>
        <v>2.427693734</v>
      </c>
      <c r="DI243">
        <f>2.646694123</f>
        <v>2.6466941230000001</v>
      </c>
      <c r="DJ243">
        <f>2.7357804</f>
        <v>2.7357803999999999</v>
      </c>
      <c r="DK243">
        <f>2.584269986</f>
        <v>2.5842699859999998</v>
      </c>
      <c r="DL243">
        <f>2.795336</f>
        <v>2.7953359999999998</v>
      </c>
      <c r="DM243">
        <f>2.810347491</f>
        <v>2.8103474909999999</v>
      </c>
      <c r="DN243">
        <f>2.845859757</f>
        <v>2.8458597569999999</v>
      </c>
      <c r="DO243">
        <f>2.915701273</f>
        <v>2.9157012729999998</v>
      </c>
      <c r="DP243">
        <f>2.816967987</f>
        <v>2.816967987</v>
      </c>
      <c r="DQ243">
        <f>2.721921947</f>
        <v>2.7219219469999998</v>
      </c>
      <c r="DR243">
        <f>2.729845386</f>
        <v>2.729845386</v>
      </c>
      <c r="DS243">
        <f>2.803114255</f>
        <v>2.8031142550000001</v>
      </c>
      <c r="DT243">
        <f>2.878209214</f>
        <v>2.878209214</v>
      </c>
      <c r="DU243">
        <f>2.944649514</f>
        <v>2.944649514</v>
      </c>
    </row>
    <row r="244" spans="1:125">
      <c r="A244" t="str">
        <f>"FFO/资产(%)"</f>
        <v>FFO/资产(%)</v>
      </c>
      <c r="B244" t="str">
        <f>""</f>
        <v/>
      </c>
      <c r="E244" t="str">
        <f>"Median"</f>
        <v>Median</v>
      </c>
      <c r="F244" t="str">
        <f ca="1">IF(ISERROR(IF(MEDIAN($F$245:$F$259) = 0, "", MEDIAN($F$245:$F$259))), "", (IF(MEDIAN($F$245:$F$259) = 0, "", MEDIAN($F$245:$F$259))))</f>
        <v/>
      </c>
      <c r="G244">
        <f ca="1">IF(ISERROR(IF(MEDIAN($G$245:$G$259) = 0, "", MEDIAN($G$245:$G$259))), "", (IF(MEDIAN($G$245:$G$259) = 0, "", MEDIAN($G$245:$G$259))))</f>
        <v>7.0412009639999997</v>
      </c>
      <c r="H244">
        <f ca="1">IF(ISERROR(IF(MEDIAN($H$245:$H$259) = 0, "", MEDIAN($H$245:$H$259))), "", (IF(MEDIAN($H$245:$H$259) = 0, "", MEDIAN($H$245:$H$259))))</f>
        <v>6.7891683330000001</v>
      </c>
      <c r="I244">
        <f ca="1">IF(ISERROR(IF(MEDIAN($I$245:$I$259) = 0, "", MEDIAN($I$245:$I$259))), "", (IF(MEDIAN($I$245:$I$259) = 0, "", MEDIAN($I$245:$I$259))))</f>
        <v>6.7076671360000004</v>
      </c>
      <c r="J244">
        <f ca="1">IF(ISERROR(IF(MEDIAN($J$245:$J$259) = 0, "", MEDIAN($J$245:$J$259))), "", (IF(MEDIAN($J$245:$J$259) = 0, "", MEDIAN($J$245:$J$259))))</f>
        <v>6.5491769389999996</v>
      </c>
      <c r="K244">
        <f ca="1">IF(ISERROR(IF(MEDIAN($K$245:$K$259) = 0, "", MEDIAN($K$245:$K$259))), "", (IF(MEDIAN($K$245:$K$259) = 0, "", MEDIAN($K$245:$K$259))))</f>
        <v>6.9892365390000002</v>
      </c>
      <c r="L244">
        <f ca="1">IF(ISERROR(IF(MEDIAN($L$245:$L$259) = 0, "", MEDIAN($L$245:$L$259))), "", (IF(MEDIAN($L$245:$L$259) = 0, "", MEDIAN($L$245:$L$259))))</f>
        <v>6.5537318310000003</v>
      </c>
      <c r="M244">
        <f ca="1">IF(ISERROR(IF(MEDIAN($M$245:$M$259) = 0, "", MEDIAN($M$245:$M$259))), "", (IF(MEDIAN($M$245:$M$259) = 0, "", MEDIAN($M$245:$M$259))))</f>
        <v>6.9140067140000001</v>
      </c>
      <c r="N244">
        <f ca="1">IF(ISERROR(IF(MEDIAN($N$245:$N$259) = 0, "", MEDIAN($N$245:$N$259))), "", (IF(MEDIAN($N$245:$N$259) = 0, "", MEDIAN($N$245:$N$259))))</f>
        <v>6.750423659</v>
      </c>
      <c r="O244">
        <f ca="1">IF(ISERROR(IF(MEDIAN($O$245:$O$259) = 0, "", MEDIAN($O$245:$O$259))), "", (IF(MEDIAN($O$245:$O$259) = 0, "", MEDIAN($O$245:$O$259))))</f>
        <v>6.5535912630000004</v>
      </c>
      <c r="P244">
        <f ca="1">IF(ISERROR(IF(MEDIAN($P$245:$P$259) = 0, "", MEDIAN($P$245:$P$259))), "", (IF(MEDIAN($P$245:$P$259) = 0, "", MEDIAN($P$245:$P$259))))</f>
        <v>6.6243093059999998</v>
      </c>
      <c r="Q244">
        <f ca="1">IF(ISERROR(IF(MEDIAN($Q$245:$Q$259) = 0, "", MEDIAN($Q$245:$Q$259))), "", (IF(MEDIAN($Q$245:$Q$259) = 0, "", MEDIAN($Q$245:$Q$259))))</f>
        <v>6.5875866719999996</v>
      </c>
      <c r="R244">
        <f ca="1">IF(ISERROR(IF(MEDIAN($R$245:$R$259) = 0, "", MEDIAN($R$245:$R$259))), "", (IF(MEDIAN($R$245:$R$259) = 0, "", MEDIAN($R$245:$R$259))))</f>
        <v>6.2451905249999999</v>
      </c>
      <c r="S244">
        <f ca="1">IF(ISERROR(IF(MEDIAN($S$245:$S$259) = 0, "", MEDIAN($S$245:$S$259))), "", (IF(MEDIAN($S$245:$S$259) = 0, "", MEDIAN($S$245:$S$259))))</f>
        <v>6.2974806294999999</v>
      </c>
      <c r="T244">
        <f ca="1">IF(ISERROR(IF(MEDIAN($T$245:$T$259) = 0, "", MEDIAN($T$245:$T$259))), "", (IF(MEDIAN($T$245:$T$259) = 0, "", MEDIAN($T$245:$T$259))))</f>
        <v>6.1123890005000003</v>
      </c>
      <c r="U244">
        <f ca="1">IF(ISERROR(IF(MEDIAN($U$245:$U$259) = 0, "", MEDIAN($U$245:$U$259))), "", (IF(MEDIAN($U$245:$U$259) = 0, "", MEDIAN($U$245:$U$259))))</f>
        <v>6.237204985</v>
      </c>
      <c r="V244">
        <f ca="1">IF(ISERROR(IF(MEDIAN($V$245:$V$259) = 0, "", MEDIAN($V$245:$V$259))), "", (IF(MEDIAN($V$245:$V$259) = 0, "", MEDIAN($V$245:$V$259))))</f>
        <v>6.2386874539999999</v>
      </c>
      <c r="W244">
        <f ca="1">IF(ISERROR(IF(MEDIAN($W$245:$W$259) = 0, "", MEDIAN($W$245:$W$259))), "", (IF(MEDIAN($W$245:$W$259) = 0, "", MEDIAN($W$245:$W$259))))</f>
        <v>6.4385123279999998</v>
      </c>
      <c r="X244">
        <f ca="1">IF(ISERROR(IF(MEDIAN($X$245:$X$259) = 0, "", MEDIAN($X$245:$X$259))), "", (IF(MEDIAN($X$245:$X$259) = 0, "", MEDIAN($X$245:$X$259))))</f>
        <v>6.1450475400000002</v>
      </c>
      <c r="Y244">
        <f ca="1">IF(ISERROR(IF(MEDIAN($Y$245:$Y$259) = 0, "", MEDIAN($Y$245:$Y$259))), "", (IF(MEDIAN($Y$245:$Y$259) = 0, "", MEDIAN($Y$245:$Y$259))))</f>
        <v>5.7272564519999998</v>
      </c>
      <c r="Z244">
        <f ca="1">IF(ISERROR(IF(MEDIAN($Z$245:$Z$259) = 0, "", MEDIAN($Z$245:$Z$259))), "", (IF(MEDIAN($Z$245:$Z$259) = 0, "", MEDIAN($Z$245:$Z$259))))</f>
        <v>5.684264958</v>
      </c>
      <c r="AA244">
        <f ca="1">IF(ISERROR(IF(MEDIAN($AA$245:$AA$259) = 0, "", MEDIAN($AA$245:$AA$259))), "", (IF(MEDIAN($AA$245:$AA$259) = 0, "", MEDIAN($AA$245:$AA$259))))</f>
        <v>5.6695694320000003</v>
      </c>
      <c r="AB244">
        <f ca="1">IF(ISERROR(IF(MEDIAN($AB$245:$AB$259) = 0, "", MEDIAN($AB$245:$AB$259))), "", (IF(MEDIAN($AB$245:$AB$259) = 0, "", MEDIAN($AB$245:$AB$259))))</f>
        <v>5.8186115879999996</v>
      </c>
      <c r="AC244">
        <f ca="1">IF(ISERROR(IF(MEDIAN($AC$245:$AC$259) = 0, "", MEDIAN($AC$245:$AC$259))), "", (IF(MEDIAN($AC$245:$AC$259) = 0, "", MEDIAN($AC$245:$AC$259))))</f>
        <v>5.9127626959999997</v>
      </c>
      <c r="AD244">
        <f ca="1">IF(ISERROR(IF(MEDIAN($AD$245:$AD$259) = 0, "", MEDIAN($AD$245:$AD$259))), "", (IF(MEDIAN($AD$245:$AD$259) = 0, "", MEDIAN($AD$245:$AD$259))))</f>
        <v>5.7874408654999998</v>
      </c>
      <c r="AE244">
        <f ca="1">IF(ISERROR(IF(MEDIAN($AE$245:$AE$259) = 0, "", MEDIAN($AE$245:$AE$259))), "", (IF(MEDIAN($AE$245:$AE$259) = 0, "", MEDIAN($AE$245:$AE$259))))</f>
        <v>6.0823475094999999</v>
      </c>
      <c r="AF244">
        <f ca="1">IF(ISERROR(IF(MEDIAN($AF$245:$AF$259) = 0, "", MEDIAN($AF$245:$AF$259))), "", (IF(MEDIAN($AF$245:$AF$259) = 0, "", MEDIAN($AF$245:$AF$259))))</f>
        <v>5.8620224035000001</v>
      </c>
      <c r="AG244">
        <f ca="1">IF(ISERROR(IF(MEDIAN($AG$245:$AG$259) = 0, "", MEDIAN($AG$245:$AG$259))), "", (IF(MEDIAN($AG$245:$AG$259) = 0, "", MEDIAN($AG$245:$AG$259))))</f>
        <v>5.9471462519999996</v>
      </c>
      <c r="AH244">
        <f ca="1">IF(ISERROR(IF(MEDIAN($AH$245:$AH$259) = 0, "", MEDIAN($AH$245:$AH$259))), "", (IF(MEDIAN($AH$245:$AH$259) = 0, "", MEDIAN($AH$245:$AH$259))))</f>
        <v>5.5634124180000004</v>
      </c>
      <c r="AI244">
        <f ca="1">IF(ISERROR(IF(MEDIAN($AI$245:$AI$259) = 0, "", MEDIAN($AI$245:$AI$259))), "", (IF(MEDIAN($AI$245:$AI$259) = 0, "", MEDIAN($AI$245:$AI$259))))</f>
        <v>5.2002575714999999</v>
      </c>
      <c r="AJ244">
        <f ca="1">IF(ISERROR(IF(MEDIAN($AJ$245:$AJ$259) = 0, "", MEDIAN($AJ$245:$AJ$259))), "", (IF(MEDIAN($AJ$245:$AJ$259) = 0, "", MEDIAN($AJ$245:$AJ$259))))</f>
        <v>5.3725311295000004</v>
      </c>
      <c r="AK244">
        <f ca="1">IF(ISERROR(IF(MEDIAN($AK$245:$AK$259) = 0, "", MEDIAN($AK$245:$AK$259))), "", (IF(MEDIAN($AK$245:$AK$259) = 0, "", MEDIAN($AK$245:$AK$259))))</f>
        <v>4.4834589650000005</v>
      </c>
      <c r="AL244">
        <f ca="1">IF(ISERROR(IF(MEDIAN($AL$245:$AL$259) = 0, "", MEDIAN($AL$245:$AL$259))), "", (IF(MEDIAN($AL$245:$AL$259) = 0, "", MEDIAN($AL$245:$AL$259))))</f>
        <v>4.1380942589999998</v>
      </c>
      <c r="AM244">
        <f ca="1">IF(ISERROR(IF(MEDIAN($AM$245:$AM$259) = 0, "", MEDIAN($AM$245:$AM$259))), "", (IF(MEDIAN($AM$245:$AM$259) = 0, "", MEDIAN($AM$245:$AM$259))))</f>
        <v>4.2783740100000003</v>
      </c>
      <c r="AN244">
        <f ca="1">IF(ISERROR(IF(MEDIAN($AN$245:$AN$259) = 0, "", MEDIAN($AN$245:$AN$259))), "", (IF(MEDIAN($AN$245:$AN$259) = 0, "", MEDIAN($AN$245:$AN$259))))</f>
        <v>4.9944894054999995</v>
      </c>
      <c r="AO244">
        <f ca="1">IF(ISERROR(IF(MEDIAN($AO$245:$AO$259) = 0, "", MEDIAN($AO$245:$AO$259))), "", (IF(MEDIAN($AO$245:$AO$259) = 0, "", MEDIAN($AO$245:$AO$259))))</f>
        <v>5.2020412500000006</v>
      </c>
      <c r="AP244">
        <f ca="1">IF(ISERROR(IF(MEDIAN($AP$245:$AP$259) = 0, "", MEDIAN($AP$245:$AP$259))), "", (IF(MEDIAN($AP$245:$AP$259) = 0, "", MEDIAN($AP$245:$AP$259))))</f>
        <v>6.0105358854999995</v>
      </c>
      <c r="AQ244">
        <f ca="1">IF(ISERROR(IF(MEDIAN($AQ$245:$AQ$259) = 0, "", MEDIAN($AQ$245:$AQ$259))), "", (IF(MEDIAN($AQ$245:$AQ$259) = 0, "", MEDIAN($AQ$245:$AQ$259))))</f>
        <v>6.3505450870000004</v>
      </c>
      <c r="AR244">
        <f ca="1">IF(ISERROR(IF(MEDIAN($AR$245:$AR$259) = 0, "", MEDIAN($AR$245:$AR$259))), "", (IF(MEDIAN($AR$245:$AR$259) = 0, "", MEDIAN($AR$245:$AR$259))))</f>
        <v>7.0334426445</v>
      </c>
      <c r="AS244">
        <f ca="1">IF(ISERROR(IF(MEDIAN($AS$245:$AS$259) = 0, "", MEDIAN($AS$245:$AS$259))), "", (IF(MEDIAN($AS$245:$AS$259) = 0, "", MEDIAN($AS$245:$AS$259))))</f>
        <v>7.0163798980000003</v>
      </c>
      <c r="AT244">
        <f ca="1">IF(ISERROR(IF(MEDIAN($AT$245:$AT$259) = 0, "", MEDIAN($AT$245:$AT$259))), "", (IF(MEDIAN($AT$245:$AT$259) = 0, "", MEDIAN($AT$245:$AT$259))))</f>
        <v>7.071244589</v>
      </c>
      <c r="AU244">
        <f ca="1">IF(ISERROR(IF(MEDIAN($AU$245:$AU$259) = 0, "", MEDIAN($AU$245:$AU$259))), "", (IF(MEDIAN($AU$245:$AU$259) = 0, "", MEDIAN($AU$245:$AU$259))))</f>
        <v>7.4876660380000004</v>
      </c>
      <c r="AV244">
        <f ca="1">IF(ISERROR(IF(MEDIAN($AV$245:$AV$259) = 0, "", MEDIAN($AV$245:$AV$259))), "", (IF(MEDIAN($AV$245:$AV$259) = 0, "", MEDIAN($AV$245:$AV$259))))</f>
        <v>7.7292177595</v>
      </c>
      <c r="AW244">
        <f ca="1">IF(ISERROR(IF(MEDIAN($AW$245:$AW$259) = 0, "", MEDIAN($AW$245:$AW$259))), "", (IF(MEDIAN($AW$245:$AW$259) = 0, "", MEDIAN($AW$245:$AW$259))))</f>
        <v>7.7989056669999997</v>
      </c>
      <c r="AX244">
        <f ca="1">IF(ISERROR(IF(MEDIAN($AX$245:$AX$259) = 0, "", MEDIAN($AX$245:$AX$259))), "", (IF(MEDIAN($AX$245:$AX$259) = 0, "", MEDIAN($AX$245:$AX$259))))</f>
        <v>7.5038010034999996</v>
      </c>
      <c r="AY244">
        <f ca="1">IF(ISERROR(IF(MEDIAN($AY$245:$AY$259) = 0, "", MEDIAN($AY$245:$AY$259))), "", (IF(MEDIAN($AY$245:$AY$259) = 0, "", MEDIAN($AY$245:$AY$259))))</f>
        <v>7.3783307755000003</v>
      </c>
      <c r="AZ244">
        <f ca="1">IF(ISERROR(IF(MEDIAN($AZ$245:$AZ$259) = 0, "", MEDIAN($AZ$245:$AZ$259))), "", (IF(MEDIAN($AZ$245:$AZ$259) = 0, "", MEDIAN($AZ$245:$AZ$259))))</f>
        <v>7.6970888404999993</v>
      </c>
      <c r="BA244">
        <f ca="1">IF(ISERROR(IF(MEDIAN($BA$245:$BA$259) = 0, "", MEDIAN($BA$245:$BA$259))), "", (IF(MEDIAN($BA$245:$BA$259) = 0, "", MEDIAN($BA$245:$BA$259))))</f>
        <v>7.6230997185000007</v>
      </c>
      <c r="BB244">
        <f ca="1">IF(ISERROR(IF(MEDIAN($BB$245:$BB$259) = 0, "", MEDIAN($BB$245:$BB$259))), "", (IF(MEDIAN($BB$245:$BB$259) = 0, "", MEDIAN($BB$245:$BB$259))))</f>
        <v>7.3365601864999999</v>
      </c>
      <c r="BC244">
        <f ca="1">IF(ISERROR(IF(MEDIAN($BC$245:$BC$259) = 0, "", MEDIAN($BC$245:$BC$259))), "", (IF(MEDIAN($BC$245:$BC$259) = 0, "", MEDIAN($BC$245:$BC$259))))</f>
        <v>6.9635168954999997</v>
      </c>
      <c r="BD244">
        <f ca="1">IF(ISERROR(IF(MEDIAN($BD$245:$BD$259) = 0, "", MEDIAN($BD$245:$BD$259))), "", (IF(MEDIAN($BD$245:$BD$259) = 0, "", MEDIAN($BD$245:$BD$259))))</f>
        <v>7.4923008910000002</v>
      </c>
      <c r="BE244">
        <f ca="1">IF(ISERROR(IF(MEDIAN($BE$245:$BE$259) = 0, "", MEDIAN($BE$245:$BE$259))), "", (IF(MEDIAN($BE$245:$BE$259) = 0, "", MEDIAN($BE$245:$BE$259))))</f>
        <v>7.4039108870000003</v>
      </c>
      <c r="BF244">
        <f ca="1">IF(ISERROR(IF(MEDIAN($BF$245:$BF$259) = 0, "", MEDIAN($BF$245:$BF$259))), "", (IF(MEDIAN($BF$245:$BF$259) = 0, "", MEDIAN($BF$245:$BF$259))))</f>
        <v>7.2206942319999996</v>
      </c>
      <c r="BG244">
        <f ca="1">IF(ISERROR(IF(MEDIAN($BG$245:$BG$259) = 0, "", MEDIAN($BG$245:$BG$259))), "", (IF(MEDIAN($BG$245:$BG$259) = 0, "", MEDIAN($BG$245:$BG$259))))</f>
        <v>6.7922986190000003</v>
      </c>
      <c r="BH244">
        <f ca="1">IF(ISERROR(IF(MEDIAN($BH$245:$BH$259) = 0, "", MEDIAN($BH$245:$BH$259))), "", (IF(MEDIAN($BH$245:$BH$259) = 0, "", MEDIAN($BH$245:$BH$259))))</f>
        <v>6.5322221549999995</v>
      </c>
      <c r="BI244">
        <f ca="1">IF(ISERROR(IF(MEDIAN($BI$245:$BI$259) = 0, "", MEDIAN($BI$245:$BI$259))), "", (IF(MEDIAN($BI$245:$BI$259) = 0, "", MEDIAN($BI$245:$BI$259))))</f>
        <v>7.6661469169999998</v>
      </c>
      <c r="BJ244">
        <f ca="1">IF(ISERROR(IF(MEDIAN($BJ$245:$BJ$259) = 0, "", MEDIAN($BJ$245:$BJ$259))), "", (IF(MEDIAN($BJ$245:$BJ$259) = 0, "", MEDIAN($BJ$245:$BJ$259))))</f>
        <v>7.4197214630000001</v>
      </c>
      <c r="BK244">
        <f ca="1">IF(ISERROR(IF(MEDIAN($BK$245:$BK$259) = 0, "", MEDIAN($BK$245:$BK$259))), "", (IF(MEDIAN($BK$245:$BK$259) = 0, "", MEDIAN($BK$245:$BK$259))))</f>
        <v>7.1897621779999996</v>
      </c>
      <c r="BL244">
        <f ca="1">IF(ISERROR(IF(MEDIAN($BL$245:$BL$259) = 0, "", MEDIAN($BL$245:$BL$259))), "", (IF(MEDIAN($BL$245:$BL$259) = 0, "", MEDIAN($BL$245:$BL$259))))</f>
        <v>7.355948766</v>
      </c>
      <c r="BM244">
        <f ca="1">IF(ISERROR(IF(MEDIAN($BM$245:$BM$259) = 0, "", MEDIAN($BM$245:$BM$259))), "", (IF(MEDIAN($BM$245:$BM$259) = 0, "", MEDIAN($BM$245:$BM$259))))</f>
        <v>9.1556467490000006</v>
      </c>
      <c r="BN244" t="str">
        <f>""</f>
        <v/>
      </c>
      <c r="BO244">
        <f>7.041200964</f>
        <v>7.0412009639999997</v>
      </c>
      <c r="BP244">
        <f>6.789168333</f>
        <v>6.7891683330000001</v>
      </c>
      <c r="BQ244">
        <f>6.707667136</f>
        <v>6.7076671360000004</v>
      </c>
      <c r="BR244">
        <f>6.549176939</f>
        <v>6.5491769389999996</v>
      </c>
      <c r="BS244">
        <f>6.989236539</f>
        <v>6.9892365390000002</v>
      </c>
      <c r="BT244">
        <f>6.553731831</f>
        <v>6.5537318310000003</v>
      </c>
      <c r="BU244">
        <f>6.914006714</f>
        <v>6.9140067140000001</v>
      </c>
      <c r="BV244">
        <f>6.750423659</f>
        <v>6.750423659</v>
      </c>
      <c r="BW244">
        <f>6.553591263</f>
        <v>6.5535912630000004</v>
      </c>
      <c r="BX244">
        <f>6.624309306</f>
        <v>6.6243093059999998</v>
      </c>
      <c r="BY244">
        <f>6.587586672</f>
        <v>6.5875866719999996</v>
      </c>
      <c r="BZ244">
        <f>6.245190525</f>
        <v>6.2451905249999999</v>
      </c>
      <c r="CA244">
        <f>6.297480629</f>
        <v>6.2974806289999998</v>
      </c>
      <c r="CB244">
        <f>6.112389001</f>
        <v>6.1123890010000004</v>
      </c>
      <c r="CC244">
        <f>6.237204985</f>
        <v>6.237204985</v>
      </c>
      <c r="CD244">
        <f>6.238687454</f>
        <v>6.2386874539999999</v>
      </c>
      <c r="CE244">
        <f>6.438512328</f>
        <v>6.4385123279999998</v>
      </c>
      <c r="CF244">
        <f>6.14504754</f>
        <v>6.1450475400000002</v>
      </c>
      <c r="CG244">
        <f>5.727256452</f>
        <v>5.7272564519999998</v>
      </c>
      <c r="CH244">
        <f>5.684264958</f>
        <v>5.684264958</v>
      </c>
      <c r="CI244">
        <f>5.669569432</f>
        <v>5.6695694320000003</v>
      </c>
      <c r="CJ244">
        <f>5.818611588</f>
        <v>5.8186115879999996</v>
      </c>
      <c r="CK244">
        <f>5.912762696</f>
        <v>5.9127626959999997</v>
      </c>
      <c r="CL244">
        <f>5.787440865</f>
        <v>5.7874408649999998</v>
      </c>
      <c r="CM244">
        <f>6.08234751</f>
        <v>6.08234751</v>
      </c>
      <c r="CN244">
        <f>5.862022403</f>
        <v>5.8620224030000001</v>
      </c>
      <c r="CO244">
        <f>5.947146252</f>
        <v>5.9471462519999996</v>
      </c>
      <c r="CP244">
        <f>5.563412418</f>
        <v>5.5634124180000004</v>
      </c>
      <c r="CQ244">
        <f>5.200257571</f>
        <v>5.2002575709999999</v>
      </c>
      <c r="CR244">
        <f>5.37253113</f>
        <v>5.3725311299999996</v>
      </c>
      <c r="CS244">
        <f>4.483458965</f>
        <v>4.4834589649999996</v>
      </c>
      <c r="CT244">
        <f>4.138094259</f>
        <v>4.1380942589999998</v>
      </c>
      <c r="CU244">
        <f>4.27837401</f>
        <v>4.2783740100000003</v>
      </c>
      <c r="CV244">
        <f>4.994489405</f>
        <v>4.9944894050000004</v>
      </c>
      <c r="CW244">
        <f>5.20204125</f>
        <v>5.2020412499999997</v>
      </c>
      <c r="CX244">
        <f>6.010535886</f>
        <v>6.0105358860000004</v>
      </c>
      <c r="CY244">
        <f>6.350545087</f>
        <v>6.3505450870000004</v>
      </c>
      <c r="CZ244">
        <f>7.033442645</f>
        <v>7.033442645</v>
      </c>
      <c r="DA244">
        <f>7.016379898</f>
        <v>7.0163798980000003</v>
      </c>
      <c r="DB244">
        <f>7.071244589</f>
        <v>7.071244589</v>
      </c>
      <c r="DC244">
        <f>7.487666038</f>
        <v>7.4876660380000004</v>
      </c>
      <c r="DD244">
        <f>7.729217759</f>
        <v>7.729217759</v>
      </c>
      <c r="DE244">
        <f>7.798905667</f>
        <v>7.7989056669999997</v>
      </c>
      <c r="DF244">
        <f>7.503801004</f>
        <v>7.5038010039999996</v>
      </c>
      <c r="DG244">
        <f>7.378330776</f>
        <v>7.3783307760000003</v>
      </c>
      <c r="DH244">
        <f>7.697088841</f>
        <v>7.6970888410000002</v>
      </c>
      <c r="DI244">
        <f>7.623099719</f>
        <v>7.6230997189999998</v>
      </c>
      <c r="DJ244">
        <f>7.336560186</f>
        <v>7.3365601859999998</v>
      </c>
      <c r="DK244">
        <f>6.963516895</f>
        <v>6.9635168949999997</v>
      </c>
      <c r="DL244">
        <f>7.492300891</f>
        <v>7.4923008910000002</v>
      </c>
      <c r="DM244">
        <f>7.403910887</f>
        <v>7.4039108870000003</v>
      </c>
      <c r="DN244">
        <f>7.220694232</f>
        <v>7.2206942319999996</v>
      </c>
      <c r="DO244">
        <f>6.792298619</f>
        <v>6.7922986190000003</v>
      </c>
      <c r="DP244">
        <f>6.532222155</f>
        <v>6.5322221550000004</v>
      </c>
      <c r="DQ244">
        <f>7.666146917</f>
        <v>7.6661469169999998</v>
      </c>
      <c r="DR244">
        <f>7.419721463</f>
        <v>7.4197214630000001</v>
      </c>
      <c r="DS244">
        <f>7.189762178</f>
        <v>7.1897621779999996</v>
      </c>
      <c r="DT244">
        <f>7.355948766</f>
        <v>7.355948766</v>
      </c>
      <c r="DU244">
        <f>9.155646749</f>
        <v>9.1556467490000006</v>
      </c>
    </row>
    <row r="245" spans="1:125">
      <c r="A245" t="str">
        <f>"    Brixmor Property Group Inc"</f>
        <v xml:space="preserve">    Brixmor Property Group Inc</v>
      </c>
      <c r="B245" t="str">
        <f>"BRX US Equity"</f>
        <v>BRX US Equity</v>
      </c>
      <c r="C245" t="str">
        <f t="shared" ref="C245:C259" si="45">"RR554"</f>
        <v>RR554</v>
      </c>
      <c r="D245" t="str">
        <f t="shared" ref="D245:D259" si="46">"FFO_RE_ASSET"</f>
        <v>FFO_RE_ASSET</v>
      </c>
      <c r="E245" t="str">
        <f t="shared" ref="E245:E259" si="47">"动态"</f>
        <v>动态</v>
      </c>
      <c r="F245" t="str">
        <f ca="1">IF(AND(ISNUMBER($F$691),$B$419=1),$F$691,HLOOKUP(INDIRECT(ADDRESS(2,COLUMN())),OFFSET($BN$2,0,0,ROW()-1,60),ROW()-1,FALSE))</f>
        <v/>
      </c>
      <c r="G245">
        <f ca="1">IF(AND(ISNUMBER($G$691),$B$419=1),$G$691,HLOOKUP(INDIRECT(ADDRESS(2,COLUMN())),OFFSET($BN$2,0,0,ROW()-1,60),ROW()-1,FALSE))</f>
        <v>7.3333522489999998</v>
      </c>
      <c r="H245">
        <f ca="1">IF(AND(ISNUMBER($H$691),$B$419=1),$H$691,HLOOKUP(INDIRECT(ADDRESS(2,COLUMN())),OFFSET($BN$2,0,0,ROW()-1,60),ROW()-1,FALSE))</f>
        <v>7.3670887609999998</v>
      </c>
      <c r="I245">
        <f ca="1">IF(AND(ISNUMBER($I$691),$B$419=1),$I$691,HLOOKUP(INDIRECT(ADDRESS(2,COLUMN())),OFFSET($BN$2,0,0,ROW()-1,60),ROW()-1,FALSE))</f>
        <v>7.2565957470000004</v>
      </c>
      <c r="J245">
        <f ca="1">IF(AND(ISNUMBER($J$691),$B$419=1),$J$691,HLOOKUP(INDIRECT(ADDRESS(2,COLUMN())),OFFSET($BN$2,0,0,ROW()-1,60),ROW()-1,FALSE))</f>
        <v>7.0748486269999997</v>
      </c>
      <c r="K245">
        <f ca="1">IF(AND(ISNUMBER($K$691),$B$419=1),$K$691,HLOOKUP(INDIRECT(ADDRESS(2,COLUMN())),OFFSET($BN$2,0,0,ROW()-1,60),ROW()-1,FALSE))</f>
        <v>7.0581800780000004</v>
      </c>
      <c r="L245">
        <f ca="1">IF(AND(ISNUMBER($L$691),$B$419=1),$L$691,HLOOKUP(INDIRECT(ADDRESS(2,COLUMN())),OFFSET($BN$2,0,0,ROW()-1,60),ROW()-1,FALSE))</f>
        <v>6.9480060459999997</v>
      </c>
      <c r="M245">
        <f ca="1">IF(AND(ISNUMBER($M$691),$B$419=1),$M$691,HLOOKUP(INDIRECT(ADDRESS(2,COLUMN())),OFFSET($BN$2,0,0,ROW()-1,60),ROW()-1,FALSE))</f>
        <v>6.9140067140000001</v>
      </c>
      <c r="N245">
        <f ca="1">IF(AND(ISNUMBER($N$691),$B$419=1),$N$691,HLOOKUP(INDIRECT(ADDRESS(2,COLUMN())),OFFSET($BN$2,0,0,ROW()-1,60),ROW()-1,FALSE))</f>
        <v>6.8475112679999999</v>
      </c>
      <c r="O245">
        <f ca="1">IF(AND(ISNUMBER($O$691),$B$419=1),$O$691,HLOOKUP(INDIRECT(ADDRESS(2,COLUMN())),OFFSET($BN$2,0,0,ROW()-1,60),ROW()-1,FALSE))</f>
        <v>6.5535912630000004</v>
      </c>
      <c r="P245">
        <f ca="1">IF(AND(ISNUMBER($P$691),$B$419=1),$P$691,HLOOKUP(INDIRECT(ADDRESS(2,COLUMN())),OFFSET($BN$2,0,0,ROW()-1,60),ROW()-1,FALSE))</f>
        <v>6.2529327620000004</v>
      </c>
      <c r="Q245">
        <f ca="1">IF(AND(ISNUMBER($Q$691),$B$419=1),$Q$691,HLOOKUP(INDIRECT(ADDRESS(2,COLUMN())),OFFSET($BN$2,0,0,ROW()-1,60),ROW()-1,FALSE))</f>
        <v>6.0864042859999996</v>
      </c>
      <c r="R245">
        <f ca="1">IF(AND(ISNUMBER($R$691),$B$419=1),$R$691,HLOOKUP(INDIRECT(ADDRESS(2,COLUMN())),OFFSET($BN$2,0,0,ROW()-1,60),ROW()-1,FALSE))</f>
        <v>5.9670744830000002</v>
      </c>
      <c r="S245">
        <f ca="1">IF(AND(ISNUMBER($S$691),$B$419=1),$S$691,HLOOKUP(INDIRECT(ADDRESS(2,COLUMN())),OFFSET($BN$2,0,0,ROW()-1,60),ROW()-1,FALSE))</f>
        <v>5.7986819880000002</v>
      </c>
      <c r="T245">
        <f ca="1">IF(AND(ISNUMBER($T$691),$B$419=1),$T$691,HLOOKUP(INDIRECT(ADDRESS(2,COLUMN())),OFFSET($BN$2,0,0,ROW()-1,60),ROW()-1,FALSE))</f>
        <v>5.6338468989999999</v>
      </c>
      <c r="U245">
        <f ca="1">IF(AND(ISNUMBER($U$691),$B$419=1),$U$691,HLOOKUP(INDIRECT(ADDRESS(2,COLUMN())),OFFSET($BN$2,0,0,ROW()-1,60),ROW()-1,FALSE))</f>
        <v>4.9797276699999999</v>
      </c>
      <c r="V245">
        <f ca="1">IF(AND(ISNUMBER($V$691),$B$419=1),$V$691,HLOOKUP(INDIRECT(ADDRESS(2,COLUMN())),OFFSET($BN$2,0,0,ROW()-1,60),ROW()-1,FALSE))</f>
        <v>4.369391888</v>
      </c>
      <c r="W245">
        <f ca="1">IF(AND(ISNUMBER($W$691),$B$419=1),$W$691,HLOOKUP(INDIRECT(ADDRESS(2,COLUMN())),OFFSET($BN$2,0,0,ROW()-1,60),ROW()-1,FALSE))</f>
        <v>3.8630476030000001</v>
      </c>
      <c r="X245" t="str">
        <f ca="1">IF(AND(ISNUMBER($X$691),$B$419=1),$X$691,HLOOKUP(INDIRECT(ADDRESS(2,COLUMN())),OFFSET($BN$2,0,0,ROW()-1,60),ROW()-1,FALSE))</f>
        <v/>
      </c>
      <c r="Y245" t="str">
        <f ca="1">IF(AND(ISNUMBER($Y$691),$B$419=1),$Y$691,HLOOKUP(INDIRECT(ADDRESS(2,COLUMN())),OFFSET($BN$2,0,0,ROW()-1,60),ROW()-1,FALSE))</f>
        <v/>
      </c>
      <c r="Z245" t="str">
        <f ca="1">IF(AND(ISNUMBER($Z$691),$B$419=1),$Z$691,HLOOKUP(INDIRECT(ADDRESS(2,COLUMN())),OFFSET($BN$2,0,0,ROW()-1,60),ROW()-1,FALSE))</f>
        <v/>
      </c>
      <c r="AA245" t="str">
        <f ca="1">IF(AND(ISNUMBER($AA$691),$B$419=1),$AA$691,HLOOKUP(INDIRECT(ADDRESS(2,COLUMN())),OFFSET($BN$2,0,0,ROW()-1,60),ROW()-1,FALSE))</f>
        <v/>
      </c>
      <c r="AB245" t="str">
        <f ca="1">IF(AND(ISNUMBER($AB$691),$B$419=1),$AB$691,HLOOKUP(INDIRECT(ADDRESS(2,COLUMN())),OFFSET($BN$2,0,0,ROW()-1,60),ROW()-1,FALSE))</f>
        <v/>
      </c>
      <c r="AC245" t="str">
        <f ca="1">IF(AND(ISNUMBER($AC$691),$B$419=1),$AC$691,HLOOKUP(INDIRECT(ADDRESS(2,COLUMN())),OFFSET($BN$2,0,0,ROW()-1,60),ROW()-1,FALSE))</f>
        <v/>
      </c>
      <c r="AD245" t="str">
        <f ca="1">IF(AND(ISNUMBER($AD$691),$B$419=1),$AD$691,HLOOKUP(INDIRECT(ADDRESS(2,COLUMN())),OFFSET($BN$2,0,0,ROW()-1,60),ROW()-1,FALSE))</f>
        <v/>
      </c>
      <c r="AE245" t="str">
        <f ca="1">IF(AND(ISNUMBER($AE$691),$B$419=1),$AE$691,HLOOKUP(INDIRECT(ADDRESS(2,COLUMN())),OFFSET($BN$2,0,0,ROW()-1,60),ROW()-1,FALSE))</f>
        <v/>
      </c>
      <c r="AF245" t="str">
        <f ca="1">IF(AND(ISNUMBER($AF$691),$B$419=1),$AF$691,HLOOKUP(INDIRECT(ADDRESS(2,COLUMN())),OFFSET($BN$2,0,0,ROW()-1,60),ROW()-1,FALSE))</f>
        <v/>
      </c>
      <c r="AG245" t="str">
        <f ca="1">IF(AND(ISNUMBER($AG$691),$B$419=1),$AG$691,HLOOKUP(INDIRECT(ADDRESS(2,COLUMN())),OFFSET($BN$2,0,0,ROW()-1,60),ROW()-1,FALSE))</f>
        <v/>
      </c>
      <c r="AH245" t="str">
        <f ca="1">IF(AND(ISNUMBER($AH$691),$B$419=1),$AH$691,HLOOKUP(INDIRECT(ADDRESS(2,COLUMN())),OFFSET($BN$2,0,0,ROW()-1,60),ROW()-1,FALSE))</f>
        <v/>
      </c>
      <c r="AI245" t="str">
        <f ca="1">IF(AND(ISNUMBER($AI$691),$B$419=1),$AI$691,HLOOKUP(INDIRECT(ADDRESS(2,COLUMN())),OFFSET($BN$2,0,0,ROW()-1,60),ROW()-1,FALSE))</f>
        <v/>
      </c>
      <c r="AJ245" t="str">
        <f ca="1">IF(AND(ISNUMBER($AJ$691),$B$419=1),$AJ$691,HLOOKUP(INDIRECT(ADDRESS(2,COLUMN())),OFFSET($BN$2,0,0,ROW()-1,60),ROW()-1,FALSE))</f>
        <v/>
      </c>
      <c r="AK245" t="str">
        <f ca="1">IF(AND(ISNUMBER($AK$691),$B$419=1),$AK$691,HLOOKUP(INDIRECT(ADDRESS(2,COLUMN())),OFFSET($BN$2,0,0,ROW()-1,60),ROW()-1,FALSE))</f>
        <v/>
      </c>
      <c r="AL245" t="str">
        <f ca="1">IF(AND(ISNUMBER($AL$691),$B$419=1),$AL$691,HLOOKUP(INDIRECT(ADDRESS(2,COLUMN())),OFFSET($BN$2,0,0,ROW()-1,60),ROW()-1,FALSE))</f>
        <v/>
      </c>
      <c r="AM245" t="str">
        <f ca="1">IF(AND(ISNUMBER($AM$691),$B$419=1),$AM$691,HLOOKUP(INDIRECT(ADDRESS(2,COLUMN())),OFFSET($BN$2,0,0,ROW()-1,60),ROW()-1,FALSE))</f>
        <v/>
      </c>
      <c r="AN245" t="str">
        <f ca="1">IF(AND(ISNUMBER($AN$691),$B$419=1),$AN$691,HLOOKUP(INDIRECT(ADDRESS(2,COLUMN())),OFFSET($BN$2,0,0,ROW()-1,60),ROW()-1,FALSE))</f>
        <v/>
      </c>
      <c r="AO245" t="str">
        <f ca="1">IF(AND(ISNUMBER($AO$691),$B$419=1),$AO$691,HLOOKUP(INDIRECT(ADDRESS(2,COLUMN())),OFFSET($BN$2,0,0,ROW()-1,60),ROW()-1,FALSE))</f>
        <v/>
      </c>
      <c r="AP245" t="str">
        <f ca="1">IF(AND(ISNUMBER($AP$691),$B$419=1),$AP$691,HLOOKUP(INDIRECT(ADDRESS(2,COLUMN())),OFFSET($BN$2,0,0,ROW()-1,60),ROW()-1,FALSE))</f>
        <v/>
      </c>
      <c r="AQ245" t="str">
        <f ca="1">IF(AND(ISNUMBER($AQ$691),$B$419=1),$AQ$691,HLOOKUP(INDIRECT(ADDRESS(2,COLUMN())),OFFSET($BN$2,0,0,ROW()-1,60),ROW()-1,FALSE))</f>
        <v/>
      </c>
      <c r="AR245" t="str">
        <f ca="1">IF(AND(ISNUMBER($AR$691),$B$419=1),$AR$691,HLOOKUP(INDIRECT(ADDRESS(2,COLUMN())),OFFSET($BN$2,0,0,ROW()-1,60),ROW()-1,FALSE))</f>
        <v/>
      </c>
      <c r="AS245" t="str">
        <f ca="1">IF(AND(ISNUMBER($AS$691),$B$419=1),$AS$691,HLOOKUP(INDIRECT(ADDRESS(2,COLUMN())),OFFSET($BN$2,0,0,ROW()-1,60),ROW()-1,FALSE))</f>
        <v/>
      </c>
      <c r="AT245" t="str">
        <f ca="1">IF(AND(ISNUMBER($AT$691),$B$419=1),$AT$691,HLOOKUP(INDIRECT(ADDRESS(2,COLUMN())),OFFSET($BN$2,0,0,ROW()-1,60),ROW()-1,FALSE))</f>
        <v/>
      </c>
      <c r="AU245" t="str">
        <f ca="1">IF(AND(ISNUMBER($AU$691),$B$419=1),$AU$691,HLOOKUP(INDIRECT(ADDRESS(2,COLUMN())),OFFSET($BN$2,0,0,ROW()-1,60),ROW()-1,FALSE))</f>
        <v/>
      </c>
      <c r="AV245" t="str">
        <f ca="1">IF(AND(ISNUMBER($AV$691),$B$419=1),$AV$691,HLOOKUP(INDIRECT(ADDRESS(2,COLUMN())),OFFSET($BN$2,0,0,ROW()-1,60),ROW()-1,FALSE))</f>
        <v/>
      </c>
      <c r="AW245" t="str">
        <f ca="1">IF(AND(ISNUMBER($AW$691),$B$419=1),$AW$691,HLOOKUP(INDIRECT(ADDRESS(2,COLUMN())),OFFSET($BN$2,0,0,ROW()-1,60),ROW()-1,FALSE))</f>
        <v/>
      </c>
      <c r="AX245" t="str">
        <f ca="1">IF(AND(ISNUMBER($AX$691),$B$419=1),$AX$691,HLOOKUP(INDIRECT(ADDRESS(2,COLUMN())),OFFSET($BN$2,0,0,ROW()-1,60),ROW()-1,FALSE))</f>
        <v/>
      </c>
      <c r="AY245" t="str">
        <f ca="1">IF(AND(ISNUMBER($AY$691),$B$419=1),$AY$691,HLOOKUP(INDIRECT(ADDRESS(2,COLUMN())),OFFSET($BN$2,0,0,ROW()-1,60),ROW()-1,FALSE))</f>
        <v/>
      </c>
      <c r="AZ245" t="str">
        <f ca="1">IF(AND(ISNUMBER($AZ$691),$B$419=1),$AZ$691,HLOOKUP(INDIRECT(ADDRESS(2,COLUMN())),OFFSET($BN$2,0,0,ROW()-1,60),ROW()-1,FALSE))</f>
        <v/>
      </c>
      <c r="BA245" t="str">
        <f ca="1">IF(AND(ISNUMBER($BA$691),$B$419=1),$BA$691,HLOOKUP(INDIRECT(ADDRESS(2,COLUMN())),OFFSET($BN$2,0,0,ROW()-1,60),ROW()-1,FALSE))</f>
        <v/>
      </c>
      <c r="BB245" t="str">
        <f ca="1">IF(AND(ISNUMBER($BB$691),$B$419=1),$BB$691,HLOOKUP(INDIRECT(ADDRESS(2,COLUMN())),OFFSET($BN$2,0,0,ROW()-1,60),ROW()-1,FALSE))</f>
        <v/>
      </c>
      <c r="BC245" t="str">
        <f ca="1">IF(AND(ISNUMBER($BC$691),$B$419=1),$BC$691,HLOOKUP(INDIRECT(ADDRESS(2,COLUMN())),OFFSET($BN$2,0,0,ROW()-1,60),ROW()-1,FALSE))</f>
        <v/>
      </c>
      <c r="BD245" t="str">
        <f ca="1">IF(AND(ISNUMBER($BD$691),$B$419=1),$BD$691,HLOOKUP(INDIRECT(ADDRESS(2,COLUMN())),OFFSET($BN$2,0,0,ROW()-1,60),ROW()-1,FALSE))</f>
        <v/>
      </c>
      <c r="BE245" t="str">
        <f ca="1">IF(AND(ISNUMBER($BE$691),$B$419=1),$BE$691,HLOOKUP(INDIRECT(ADDRESS(2,COLUMN())),OFFSET($BN$2,0,0,ROW()-1,60),ROW()-1,FALSE))</f>
        <v/>
      </c>
      <c r="BF245" t="str">
        <f ca="1">IF(AND(ISNUMBER($BF$691),$B$419=1),$BF$691,HLOOKUP(INDIRECT(ADDRESS(2,COLUMN())),OFFSET($BN$2,0,0,ROW()-1,60),ROW()-1,FALSE))</f>
        <v/>
      </c>
      <c r="BG245" t="str">
        <f ca="1">IF(AND(ISNUMBER($BG$691),$B$419=1),$BG$691,HLOOKUP(INDIRECT(ADDRESS(2,COLUMN())),OFFSET($BN$2,0,0,ROW()-1,60),ROW()-1,FALSE))</f>
        <v/>
      </c>
      <c r="BH245" t="str">
        <f ca="1">IF(AND(ISNUMBER($BH$691),$B$419=1),$BH$691,HLOOKUP(INDIRECT(ADDRESS(2,COLUMN())),OFFSET($BN$2,0,0,ROW()-1,60),ROW()-1,FALSE))</f>
        <v/>
      </c>
      <c r="BI245" t="str">
        <f ca="1">IF(AND(ISNUMBER($BI$691),$B$419=1),$BI$691,HLOOKUP(INDIRECT(ADDRESS(2,COLUMN())),OFFSET($BN$2,0,0,ROW()-1,60),ROW()-1,FALSE))</f>
        <v/>
      </c>
      <c r="BJ245" t="str">
        <f ca="1">IF(AND(ISNUMBER($BJ$691),$B$419=1),$BJ$691,HLOOKUP(INDIRECT(ADDRESS(2,COLUMN())),OFFSET($BN$2,0,0,ROW()-1,60),ROW()-1,FALSE))</f>
        <v/>
      </c>
      <c r="BK245" t="str">
        <f ca="1">IF(AND(ISNUMBER($BK$691),$B$419=1),$BK$691,HLOOKUP(INDIRECT(ADDRESS(2,COLUMN())),OFFSET($BN$2,0,0,ROW()-1,60),ROW()-1,FALSE))</f>
        <v/>
      </c>
      <c r="BL245" t="str">
        <f ca="1">IF(AND(ISNUMBER($BL$691),$B$419=1),$BL$691,HLOOKUP(INDIRECT(ADDRESS(2,COLUMN())),OFFSET($BN$2,0,0,ROW()-1,60),ROW()-1,FALSE))</f>
        <v/>
      </c>
      <c r="BM245" t="str">
        <f ca="1">IF(AND(ISNUMBER($BM$691),$B$419=1),$BM$691,HLOOKUP(INDIRECT(ADDRESS(2,COLUMN())),OFFSET($BN$2,0,0,ROW()-1,60),ROW()-1,FALSE))</f>
        <v/>
      </c>
      <c r="BN245" t="str">
        <f>""</f>
        <v/>
      </c>
      <c r="BO245">
        <f>7.333352249</f>
        <v>7.3333522489999998</v>
      </c>
      <c r="BP245">
        <f>7.367088761</f>
        <v>7.3670887609999998</v>
      </c>
      <c r="BQ245">
        <f>7.256595747</f>
        <v>7.2565957470000004</v>
      </c>
      <c r="BR245">
        <f>7.074848627</f>
        <v>7.0748486269999997</v>
      </c>
      <c r="BS245">
        <f>7.058180078</f>
        <v>7.0581800780000004</v>
      </c>
      <c r="BT245">
        <f>6.948006046</f>
        <v>6.9480060459999997</v>
      </c>
      <c r="BU245">
        <f>6.914006714</f>
        <v>6.9140067140000001</v>
      </c>
      <c r="BV245">
        <f>6.847511268</f>
        <v>6.8475112679999999</v>
      </c>
      <c r="BW245">
        <f>6.553591263</f>
        <v>6.5535912630000004</v>
      </c>
      <c r="BX245">
        <f>6.252932762</f>
        <v>6.2529327620000004</v>
      </c>
      <c r="BY245">
        <f>6.086404286</f>
        <v>6.0864042859999996</v>
      </c>
      <c r="BZ245">
        <f>5.967074483</f>
        <v>5.9670744830000002</v>
      </c>
      <c r="CA245">
        <f>5.798681988</f>
        <v>5.7986819880000002</v>
      </c>
      <c r="CB245">
        <f>5.633846899</f>
        <v>5.6338468989999999</v>
      </c>
      <c r="CC245">
        <f>4.97972767</f>
        <v>4.9797276699999999</v>
      </c>
      <c r="CD245">
        <f>4.369391888</f>
        <v>4.369391888</v>
      </c>
      <c r="CE245">
        <f>3.863047603</f>
        <v>3.8630476030000001</v>
      </c>
      <c r="CF245" t="str">
        <f>""</f>
        <v/>
      </c>
      <c r="CG245" t="str">
        <f>""</f>
        <v/>
      </c>
      <c r="CH245" t="str">
        <f>""</f>
        <v/>
      </c>
      <c r="CI245" t="str">
        <f>""</f>
        <v/>
      </c>
      <c r="CJ245" t="str">
        <f>""</f>
        <v/>
      </c>
      <c r="CK245" t="str">
        <f>""</f>
        <v/>
      </c>
      <c r="CL245" t="str">
        <f>""</f>
        <v/>
      </c>
      <c r="CM245" t="str">
        <f>""</f>
        <v/>
      </c>
      <c r="CN245" t="str">
        <f>""</f>
        <v/>
      </c>
      <c r="CO245" t="str">
        <f>""</f>
        <v/>
      </c>
      <c r="CP245" t="str">
        <f>""</f>
        <v/>
      </c>
      <c r="CQ245" t="str">
        <f>""</f>
        <v/>
      </c>
      <c r="CR245" t="str">
        <f>""</f>
        <v/>
      </c>
      <c r="CS245" t="str">
        <f>""</f>
        <v/>
      </c>
      <c r="CT245" t="str">
        <f>""</f>
        <v/>
      </c>
      <c r="CU245" t="str">
        <f>""</f>
        <v/>
      </c>
      <c r="CV245" t="str">
        <f>""</f>
        <v/>
      </c>
      <c r="CW245" t="str">
        <f>""</f>
        <v/>
      </c>
      <c r="CX245" t="str">
        <f>""</f>
        <v/>
      </c>
      <c r="CY245" t="str">
        <f>""</f>
        <v/>
      </c>
      <c r="CZ245" t="str">
        <f>""</f>
        <v/>
      </c>
      <c r="DA245" t="str">
        <f>""</f>
        <v/>
      </c>
      <c r="DB245" t="str">
        <f>""</f>
        <v/>
      </c>
      <c r="DC245" t="str">
        <f>""</f>
        <v/>
      </c>
      <c r="DD245" t="str">
        <f>""</f>
        <v/>
      </c>
      <c r="DE245" t="str">
        <f>""</f>
        <v/>
      </c>
      <c r="DF245" t="str">
        <f>""</f>
        <v/>
      </c>
      <c r="DG245" t="str">
        <f>""</f>
        <v/>
      </c>
      <c r="DH245" t="str">
        <f>""</f>
        <v/>
      </c>
      <c r="DI245" t="str">
        <f>""</f>
        <v/>
      </c>
      <c r="DJ245" t="str">
        <f>""</f>
        <v/>
      </c>
      <c r="DK245" t="str">
        <f>""</f>
        <v/>
      </c>
      <c r="DL245" t="str">
        <f>""</f>
        <v/>
      </c>
      <c r="DM245" t="str">
        <f>""</f>
        <v/>
      </c>
      <c r="DN245" t="str">
        <f>""</f>
        <v/>
      </c>
      <c r="DO245" t="str">
        <f>""</f>
        <v/>
      </c>
      <c r="DP245" t="str">
        <f>""</f>
        <v/>
      </c>
      <c r="DQ245" t="str">
        <f>""</f>
        <v/>
      </c>
      <c r="DR245" t="str">
        <f>""</f>
        <v/>
      </c>
      <c r="DS245" t="str">
        <f>""</f>
        <v/>
      </c>
      <c r="DT245" t="str">
        <f>""</f>
        <v/>
      </c>
      <c r="DU245" t="str">
        <f>""</f>
        <v/>
      </c>
    </row>
    <row r="246" spans="1:125">
      <c r="A246" t="str">
        <f>"    CBL &amp; Associates Properties In"</f>
        <v xml:space="preserve">    CBL &amp; Associates Properties In</v>
      </c>
      <c r="B246" t="str">
        <f>"CBL US Equity"</f>
        <v>CBL US Equity</v>
      </c>
      <c r="C246" t="str">
        <f t="shared" si="45"/>
        <v>RR554</v>
      </c>
      <c r="D246" t="str">
        <f t="shared" si="46"/>
        <v>FFO_RE_ASSET</v>
      </c>
      <c r="E246" t="str">
        <f t="shared" si="47"/>
        <v>动态</v>
      </c>
      <c r="F246" t="str">
        <f ca="1">IF(AND(ISNUMBER($F$692),$B$419=1),$F$692,HLOOKUP(INDIRECT(ADDRESS(2,COLUMN())),OFFSET($BN$2,0,0,ROW()-1,60),ROW()-1,FALSE))</f>
        <v/>
      </c>
      <c r="G246">
        <f ca="1">IF(AND(ISNUMBER($G$692),$B$419=1),$G$692,HLOOKUP(INDIRECT(ADDRESS(2,COLUMN())),OFFSET($BN$2,0,0,ROW()-1,60),ROW()-1,FALSE))</f>
        <v>7.7517239529999999</v>
      </c>
      <c r="H246">
        <f ca="1">IF(AND(ISNUMBER($H$692),$B$419=1),$H$692,HLOOKUP(INDIRECT(ADDRESS(2,COLUMN())),OFFSET($BN$2,0,0,ROW()-1,60),ROW()-1,FALSE))</f>
        <v>8.3504306970000002</v>
      </c>
      <c r="I246">
        <f ca="1">IF(AND(ISNUMBER($I$692),$B$419=1),$I$692,HLOOKUP(INDIRECT(ADDRESS(2,COLUMN())),OFFSET($BN$2,0,0,ROW()-1,60),ROW()-1,FALSE))</f>
        <v>8.3989813850000008</v>
      </c>
      <c r="J246">
        <f ca="1">IF(AND(ISNUMBER($J$692),$B$419=1),$J$692,HLOOKUP(INDIRECT(ADDRESS(2,COLUMN())),OFFSET($BN$2,0,0,ROW()-1,60),ROW()-1,FALSE))</f>
        <v>8.5900511829999999</v>
      </c>
      <c r="K246">
        <f ca="1">IF(AND(ISNUMBER($K$692),$B$419=1),$K$692,HLOOKUP(INDIRECT(ADDRESS(2,COLUMN())),OFFSET($BN$2,0,0,ROW()-1,60),ROW()-1,FALSE))</f>
        <v>9.0067992219999997</v>
      </c>
      <c r="L246">
        <f ca="1">IF(AND(ISNUMBER($L$692),$B$419=1),$L$692,HLOOKUP(INDIRECT(ADDRESS(2,COLUMN())),OFFSET($BN$2,0,0,ROW()-1,60),ROW()-1,FALSE))</f>
        <v>8.7974787350000003</v>
      </c>
      <c r="M246">
        <f ca="1">IF(AND(ISNUMBER($M$692),$B$419=1),$M$692,HLOOKUP(INDIRECT(ADDRESS(2,COLUMN())),OFFSET($BN$2,0,0,ROW()-1,60),ROW()-1,FALSE))</f>
        <v>8.7367762080000002</v>
      </c>
      <c r="N246">
        <f ca="1">IF(AND(ISNUMBER($N$692),$B$419=1),$N$692,HLOOKUP(INDIRECT(ADDRESS(2,COLUMN())),OFFSET($BN$2,0,0,ROW()-1,60),ROW()-1,FALSE))</f>
        <v>8.0499914290000003</v>
      </c>
      <c r="O246">
        <f ca="1">IF(AND(ISNUMBER($O$692),$B$419=1),$O$692,HLOOKUP(INDIRECT(ADDRESS(2,COLUMN())),OFFSET($BN$2,0,0,ROW()-1,60),ROW()-1,FALSE))</f>
        <v>7.7585299709999997</v>
      </c>
      <c r="P246">
        <f ca="1">IF(AND(ISNUMBER($P$692),$B$419=1),$P$692,HLOOKUP(INDIRECT(ADDRESS(2,COLUMN())),OFFSET($BN$2,0,0,ROW()-1,60),ROW()-1,FALSE))</f>
        <v>8.0133999829999993</v>
      </c>
      <c r="Q246">
        <f ca="1">IF(AND(ISNUMBER($Q$692),$B$419=1),$Q$692,HLOOKUP(INDIRECT(ADDRESS(2,COLUMN())),OFFSET($BN$2,0,0,ROW()-1,60),ROW()-1,FALSE))</f>
        <v>8.2007756100000009</v>
      </c>
      <c r="R246">
        <f ca="1">IF(AND(ISNUMBER($R$692),$B$419=1),$R$692,HLOOKUP(INDIRECT(ADDRESS(2,COLUMN())),OFFSET($BN$2,0,0,ROW()-1,60),ROW()-1,FALSE))</f>
        <v>8.3599466660000008</v>
      </c>
      <c r="S246">
        <f ca="1">IF(AND(ISNUMBER($S$692),$B$419=1),$S$692,HLOOKUP(INDIRECT(ADDRESS(2,COLUMN())),OFFSET($BN$2,0,0,ROW()-1,60),ROW()-1,FALSE))</f>
        <v>8.6430642340000006</v>
      </c>
      <c r="T246">
        <f ca="1">IF(AND(ISNUMBER($T$692),$B$419=1),$T$692,HLOOKUP(INDIRECT(ADDRESS(2,COLUMN())),OFFSET($BN$2,0,0,ROW()-1,60),ROW()-1,FALSE))</f>
        <v>7.9879927349999997</v>
      </c>
      <c r="U246">
        <f ca="1">IF(AND(ISNUMBER($U$692),$B$419=1),$U$692,HLOOKUP(INDIRECT(ADDRESS(2,COLUMN())),OFFSET($BN$2,0,0,ROW()-1,60),ROW()-1,FALSE))</f>
        <v>7.6066095269999998</v>
      </c>
      <c r="V246">
        <f ca="1">IF(AND(ISNUMBER($V$692),$B$419=1),$V$692,HLOOKUP(INDIRECT(ADDRESS(2,COLUMN())),OFFSET($BN$2,0,0,ROW()-1,60),ROW()-1,FALSE))</f>
        <v>7.4901318610000001</v>
      </c>
      <c r="W246">
        <f ca="1">IF(AND(ISNUMBER($W$692),$B$419=1),$W$692,HLOOKUP(INDIRECT(ADDRESS(2,COLUMN())),OFFSET($BN$2,0,0,ROW()-1,60),ROW()-1,FALSE))</f>
        <v>6.7507552630000003</v>
      </c>
      <c r="X246">
        <f ca="1">IF(AND(ISNUMBER($X$692),$B$419=1),$X$692,HLOOKUP(INDIRECT(ADDRESS(2,COLUMN())),OFFSET($BN$2,0,0,ROW()-1,60),ROW()-1,FALSE))</f>
        <v>7.3728810139999998</v>
      </c>
      <c r="Y246">
        <f ca="1">IF(AND(ISNUMBER($Y$692),$B$419=1),$Y$692,HLOOKUP(INDIRECT(ADDRESS(2,COLUMN())),OFFSET($BN$2,0,0,ROW()-1,60),ROW()-1,FALSE))</f>
        <v>7.1217984950000002</v>
      </c>
      <c r="Z246">
        <f ca="1">IF(AND(ISNUMBER($Z$692),$B$419=1),$Z$692,HLOOKUP(INDIRECT(ADDRESS(2,COLUMN())),OFFSET($BN$2,0,0,ROW()-1,60),ROW()-1,FALSE))</f>
        <v>7.2806429469999996</v>
      </c>
      <c r="AA246">
        <f ca="1">IF(AND(ISNUMBER($AA$692),$B$419=1),$AA$692,HLOOKUP(INDIRECT(ADDRESS(2,COLUMN())),OFFSET($BN$2,0,0,ROW()-1,60),ROW()-1,FALSE))</f>
        <v>7.0953675770000002</v>
      </c>
      <c r="AB246">
        <f ca="1">IF(AND(ISNUMBER($AB$692),$B$419=1),$AB$692,HLOOKUP(INDIRECT(ADDRESS(2,COLUMN())),OFFSET($BN$2,0,0,ROW()-1,60),ROW()-1,FALSE))</f>
        <v>6.0841180169999998</v>
      </c>
      <c r="AC246">
        <f ca="1">IF(AND(ISNUMBER($AC$692),$B$419=1),$AC$692,HLOOKUP(INDIRECT(ADDRESS(2,COLUMN())),OFFSET($BN$2,0,0,ROW()-1,60),ROW()-1,FALSE))</f>
        <v>5.8870113389999998</v>
      </c>
      <c r="AD246">
        <f ca="1">IF(AND(ISNUMBER($AD$692),$B$419=1),$AD$692,HLOOKUP(INDIRECT(ADDRESS(2,COLUMN())),OFFSET($BN$2,0,0,ROW()-1,60),ROW()-1,FALSE))</f>
        <v>5.885194104</v>
      </c>
      <c r="AE246">
        <f ca="1">IF(AND(ISNUMBER($AE$692),$B$419=1),$AE$692,HLOOKUP(INDIRECT(ADDRESS(2,COLUMN())),OFFSET($BN$2,0,0,ROW()-1,60),ROW()-1,FALSE))</f>
        <v>6.2945119859999998</v>
      </c>
      <c r="AF246">
        <f ca="1">IF(AND(ISNUMBER($AF$692),$B$419=1),$AF$692,HLOOKUP(INDIRECT(ADDRESS(2,COLUMN())),OFFSET($BN$2,0,0,ROW()-1,60),ROW()-1,FALSE))</f>
        <v>6.0071296240000001</v>
      </c>
      <c r="AG246">
        <f ca="1">IF(AND(ISNUMBER($AG$692),$B$419=1),$AG$692,HLOOKUP(INDIRECT(ADDRESS(2,COLUMN())),OFFSET($BN$2,0,0,ROW()-1,60),ROW()-1,FALSE))</f>
        <v>5.9471462519999996</v>
      </c>
      <c r="AH246">
        <f ca="1">IF(AND(ISNUMBER($AH$692),$B$419=1),$AH$692,HLOOKUP(INDIRECT(ADDRESS(2,COLUMN())),OFFSET($BN$2,0,0,ROW()-1,60),ROW()-1,FALSE))</f>
        <v>5.5634124180000004</v>
      </c>
      <c r="AI246">
        <f ca="1">IF(AND(ISNUMBER($AI$692),$B$419=1),$AI$692,HLOOKUP(INDIRECT(ADDRESS(2,COLUMN())),OFFSET($BN$2,0,0,ROW()-1,60),ROW()-1,FALSE))</f>
        <v>5.1236103169999998</v>
      </c>
      <c r="AJ246">
        <f ca="1">IF(AND(ISNUMBER($AJ$692),$B$419=1),$AJ$692,HLOOKUP(INDIRECT(ADDRESS(2,COLUMN())),OFFSET($BN$2,0,0,ROW()-1,60),ROW()-1,FALSE))</f>
        <v>3.467074158</v>
      </c>
      <c r="AK246">
        <f ca="1">IF(AND(ISNUMBER($AK$692),$B$419=1),$AK$692,HLOOKUP(INDIRECT(ADDRESS(2,COLUMN())),OFFSET($BN$2,0,0,ROW()-1,60),ROW()-1,FALSE))</f>
        <v>3.5172696979999998</v>
      </c>
      <c r="AL246">
        <f ca="1">IF(AND(ISNUMBER($AL$692),$B$419=1),$AL$692,HLOOKUP(INDIRECT(ADDRESS(2,COLUMN())),OFFSET($BN$2,0,0,ROW()-1,60),ROW()-1,FALSE))</f>
        <v>3.8767568909999999</v>
      </c>
      <c r="AM246">
        <f ca="1">IF(AND(ISNUMBER($AM$692),$B$419=1),$AM$692,HLOOKUP(INDIRECT(ADDRESS(2,COLUMN())),OFFSET($BN$2,0,0,ROW()-1,60),ROW()-1,FALSE))</f>
        <v>3.7860117089999998</v>
      </c>
      <c r="AN246">
        <f ca="1">IF(AND(ISNUMBER($AN$692),$B$419=1),$AN$692,HLOOKUP(INDIRECT(ADDRESS(2,COLUMN())),OFFSET($BN$2,0,0,ROW()-1,60),ROW()-1,FALSE))</f>
        <v>4.943042567</v>
      </c>
      <c r="AO246">
        <f ca="1">IF(AND(ISNUMBER($AO$692),$B$419=1),$AO$692,HLOOKUP(INDIRECT(ADDRESS(2,COLUMN())),OFFSET($BN$2,0,0,ROW()-1,60),ROW()-1,FALSE))</f>
        <v>4.9563846979999999</v>
      </c>
      <c r="AP246">
        <f ca="1">IF(AND(ISNUMBER($AP$692),$B$419=1),$AP$692,HLOOKUP(INDIRECT(ADDRESS(2,COLUMN())),OFFSET($BN$2,0,0,ROW()-1,60),ROW()-1,FALSE))</f>
        <v>4.9533390419999996</v>
      </c>
      <c r="AQ246">
        <f ca="1">IF(AND(ISNUMBER($AQ$692),$B$419=1),$AQ$692,HLOOKUP(INDIRECT(ADDRESS(2,COLUMN())),OFFSET($BN$2,0,0,ROW()-1,60),ROW()-1,FALSE))</f>
        <v>4.928889292</v>
      </c>
      <c r="AR246">
        <f ca="1">IF(AND(ISNUMBER($AR$692),$B$419=1),$AR$692,HLOOKUP(INDIRECT(ADDRESS(2,COLUMN())),OFFSET($BN$2,0,0,ROW()-1,60),ROW()-1,FALSE))</f>
        <v>5.4335413729999997</v>
      </c>
      <c r="AS246">
        <f ca="1">IF(AND(ISNUMBER($AS$692),$B$419=1),$AS$692,HLOOKUP(INDIRECT(ADDRESS(2,COLUMN())),OFFSET($BN$2,0,0,ROW()-1,60),ROW()-1,FALSE))</f>
        <v>5.3585018800000004</v>
      </c>
      <c r="AT246">
        <f ca="1">IF(AND(ISNUMBER($AT$692),$B$419=1),$AT$692,HLOOKUP(INDIRECT(ADDRESS(2,COLUMN())),OFFSET($BN$2,0,0,ROW()-1,60),ROW()-1,FALSE))</f>
        <v>5.2980022450000002</v>
      </c>
      <c r="AU246">
        <f ca="1">IF(AND(ISNUMBER($AU$692),$B$419=1),$AU$692,HLOOKUP(INDIRECT(ADDRESS(2,COLUMN())),OFFSET($BN$2,0,0,ROW()-1,60),ROW()-1,FALSE))</f>
        <v>5.2113642760000003</v>
      </c>
      <c r="AV246">
        <f ca="1">IF(AND(ISNUMBER($AV$692),$B$419=1),$AV$692,HLOOKUP(INDIRECT(ADDRESS(2,COLUMN())),OFFSET($BN$2,0,0,ROW()-1,60),ROW()-1,FALSE))</f>
        <v>6.039783527</v>
      </c>
      <c r="AW246">
        <f ca="1">IF(AND(ISNUMBER($AW$692),$B$419=1),$AW$692,HLOOKUP(INDIRECT(ADDRESS(2,COLUMN())),OFFSET($BN$2,0,0,ROW()-1,60),ROW()-1,FALSE))</f>
        <v>6.1827828970000001</v>
      </c>
      <c r="AX246">
        <f ca="1">IF(AND(ISNUMBER($AX$692),$B$419=1),$AX$692,HLOOKUP(INDIRECT(ADDRESS(2,COLUMN())),OFFSET($BN$2,0,0,ROW()-1,60),ROW()-1,FALSE))</f>
        <v>6.2465300240000001</v>
      </c>
      <c r="AY246">
        <f ca="1">IF(AND(ISNUMBER($AY$692),$B$419=1),$AY$692,HLOOKUP(INDIRECT(ADDRESS(2,COLUMN())),OFFSET($BN$2,0,0,ROW()-1,60),ROW()-1,FALSE))</f>
        <v>6.3733164699999998</v>
      </c>
      <c r="AZ246">
        <f ca="1">IF(AND(ISNUMBER($AZ$692),$B$419=1),$AZ$692,HLOOKUP(INDIRECT(ADDRESS(2,COLUMN())),OFFSET($BN$2,0,0,ROW()-1,60),ROW()-1,FALSE))</f>
        <v>5.7955133679999999</v>
      </c>
      <c r="BA246">
        <f ca="1">IF(AND(ISNUMBER($BA$692),$B$419=1),$BA$692,HLOOKUP(INDIRECT(ADDRESS(2,COLUMN())),OFFSET($BN$2,0,0,ROW()-1,60),ROW()-1,FALSE))</f>
        <v>6.3954524130000001</v>
      </c>
      <c r="BB246">
        <f ca="1">IF(AND(ISNUMBER($BB$692),$B$419=1),$BB$692,HLOOKUP(INDIRECT(ADDRESS(2,COLUMN())),OFFSET($BN$2,0,0,ROW()-1,60),ROW()-1,FALSE))</f>
        <v>6.3775709169999999</v>
      </c>
      <c r="BC246">
        <f ca="1">IF(AND(ISNUMBER($BC$692),$B$419=1),$BC$692,HLOOKUP(INDIRECT(ADDRESS(2,COLUMN())),OFFSET($BN$2,0,0,ROW()-1,60),ROW()-1,FALSE))</f>
        <v>6.2000991670000003</v>
      </c>
      <c r="BD246">
        <f ca="1">IF(AND(ISNUMBER($BD$692),$B$419=1),$BD$692,HLOOKUP(INDIRECT(ADDRESS(2,COLUMN())),OFFSET($BN$2,0,0,ROW()-1,60),ROW()-1,FALSE))</f>
        <v>7.5457653560000004</v>
      </c>
      <c r="BE246">
        <f ca="1">IF(AND(ISNUMBER($BE$692),$B$419=1),$BE$692,HLOOKUP(INDIRECT(ADDRESS(2,COLUMN())),OFFSET($BN$2,0,0,ROW()-1,60),ROW()-1,FALSE))</f>
        <v>7.1413715849999999</v>
      </c>
      <c r="BF246">
        <f ca="1">IF(AND(ISNUMBER($BF$692),$B$419=1),$BF$692,HLOOKUP(INDIRECT(ADDRESS(2,COLUMN())),OFFSET($BN$2,0,0,ROW()-1,60),ROW()-1,FALSE))</f>
        <v>7.1844671130000002</v>
      </c>
      <c r="BG246">
        <f ca="1">IF(AND(ISNUMBER($BG$692),$B$419=1),$BG$692,HLOOKUP(INDIRECT(ADDRESS(2,COLUMN())),OFFSET($BN$2,0,0,ROW()-1,60),ROW()-1,FALSE))</f>
        <v>6.8581080559999998</v>
      </c>
      <c r="BH246">
        <f ca="1">IF(AND(ISNUMBER($BH$692),$B$419=1),$BH$692,HLOOKUP(INDIRECT(ADDRESS(2,COLUMN())),OFFSET($BN$2,0,0,ROW()-1,60),ROW()-1,FALSE))</f>
        <v>6.51327531</v>
      </c>
      <c r="BI246">
        <f ca="1">IF(AND(ISNUMBER($BI$692),$B$419=1),$BI$692,HLOOKUP(INDIRECT(ADDRESS(2,COLUMN())),OFFSET($BN$2,0,0,ROW()-1,60),ROW()-1,FALSE))</f>
        <v>6.6185958630000004</v>
      </c>
      <c r="BJ246">
        <f ca="1">IF(AND(ISNUMBER($BJ$692),$B$419=1),$BJ$692,HLOOKUP(INDIRECT(ADDRESS(2,COLUMN())),OFFSET($BN$2,0,0,ROW()-1,60),ROW()-1,FALSE))</f>
        <v>6.9071570189999996</v>
      </c>
      <c r="BK246">
        <f ca="1">IF(AND(ISNUMBER($BK$692),$B$419=1),$BK$692,HLOOKUP(INDIRECT(ADDRESS(2,COLUMN())),OFFSET($BN$2,0,0,ROW()-1,60),ROW()-1,FALSE))</f>
        <v>7.0108921710000001</v>
      </c>
      <c r="BL246">
        <f ca="1">IF(AND(ISNUMBER($BL$692),$B$419=1),$BL$692,HLOOKUP(INDIRECT(ADDRESS(2,COLUMN())),OFFSET($BN$2,0,0,ROW()-1,60),ROW()-1,FALSE))</f>
        <v>7.0985009469999998</v>
      </c>
      <c r="BM246">
        <f ca="1">IF(AND(ISNUMBER($BM$692),$B$419=1),$BM$692,HLOOKUP(INDIRECT(ADDRESS(2,COLUMN())),OFFSET($BN$2,0,0,ROW()-1,60),ROW()-1,FALSE))</f>
        <v>7.0582361630000001</v>
      </c>
      <c r="BN246" t="str">
        <f>""</f>
        <v/>
      </c>
      <c r="BO246">
        <f>7.751723953</f>
        <v>7.7517239529999999</v>
      </c>
      <c r="BP246">
        <f>8.350430697</f>
        <v>8.3504306970000002</v>
      </c>
      <c r="BQ246">
        <f>8.398981385</f>
        <v>8.3989813850000008</v>
      </c>
      <c r="BR246">
        <f>8.590051183</f>
        <v>8.5900511829999999</v>
      </c>
      <c r="BS246">
        <f>9.006799222</f>
        <v>9.0067992219999997</v>
      </c>
      <c r="BT246">
        <f>8.797478735</f>
        <v>8.7974787350000003</v>
      </c>
      <c r="BU246">
        <f>8.736776208</f>
        <v>8.7367762080000002</v>
      </c>
      <c r="BV246">
        <f>8.049991429</f>
        <v>8.0499914290000003</v>
      </c>
      <c r="BW246">
        <f>7.758529971</f>
        <v>7.7585299709999997</v>
      </c>
      <c r="BX246">
        <f>8.013399983</f>
        <v>8.0133999829999993</v>
      </c>
      <c r="BY246">
        <f>8.20077561</f>
        <v>8.2007756100000009</v>
      </c>
      <c r="BZ246">
        <f>8.359946666</f>
        <v>8.3599466660000008</v>
      </c>
      <c r="CA246">
        <f>8.643064234</f>
        <v>8.6430642340000006</v>
      </c>
      <c r="CB246">
        <f>7.987992735</f>
        <v>7.9879927349999997</v>
      </c>
      <c r="CC246">
        <f>7.606609527</f>
        <v>7.6066095269999998</v>
      </c>
      <c r="CD246">
        <f>7.490131861</f>
        <v>7.4901318610000001</v>
      </c>
      <c r="CE246">
        <f>6.750755263</f>
        <v>6.7507552630000003</v>
      </c>
      <c r="CF246">
        <f>7.372881014</f>
        <v>7.3728810139999998</v>
      </c>
      <c r="CG246">
        <f>7.121798495</f>
        <v>7.1217984950000002</v>
      </c>
      <c r="CH246">
        <f>7.280642947</f>
        <v>7.2806429469999996</v>
      </c>
      <c r="CI246">
        <f>7.095367577</f>
        <v>7.0953675770000002</v>
      </c>
      <c r="CJ246">
        <f>6.084118017</f>
        <v>6.0841180169999998</v>
      </c>
      <c r="CK246">
        <f>5.887011339</f>
        <v>5.8870113389999998</v>
      </c>
      <c r="CL246">
        <f>5.885194104</f>
        <v>5.885194104</v>
      </c>
      <c r="CM246">
        <f>6.294511986</f>
        <v>6.2945119859999998</v>
      </c>
      <c r="CN246">
        <f>6.007129624</f>
        <v>6.0071296240000001</v>
      </c>
      <c r="CO246">
        <f>5.947146252</f>
        <v>5.9471462519999996</v>
      </c>
      <c r="CP246">
        <f>5.563412418</f>
        <v>5.5634124180000004</v>
      </c>
      <c r="CQ246">
        <f>5.123610317</f>
        <v>5.1236103169999998</v>
      </c>
      <c r="CR246">
        <f>3.467074158</f>
        <v>3.467074158</v>
      </c>
      <c r="CS246">
        <f>3.517269698</f>
        <v>3.5172696979999998</v>
      </c>
      <c r="CT246">
        <f>3.876756891</f>
        <v>3.8767568909999999</v>
      </c>
      <c r="CU246">
        <f>3.786011709</f>
        <v>3.7860117089999998</v>
      </c>
      <c r="CV246">
        <f>4.943042567</f>
        <v>4.943042567</v>
      </c>
      <c r="CW246">
        <f>4.956384698</f>
        <v>4.9563846979999999</v>
      </c>
      <c r="CX246">
        <f>4.953339042</f>
        <v>4.9533390419999996</v>
      </c>
      <c r="CY246">
        <f>4.928889292</f>
        <v>4.928889292</v>
      </c>
      <c r="CZ246">
        <f>5.433541373</f>
        <v>5.4335413729999997</v>
      </c>
      <c r="DA246">
        <f>5.35850188</f>
        <v>5.3585018800000004</v>
      </c>
      <c r="DB246">
        <f>5.298002245</f>
        <v>5.2980022450000002</v>
      </c>
      <c r="DC246">
        <f>5.211364276</f>
        <v>5.2113642760000003</v>
      </c>
      <c r="DD246">
        <f>6.039783527</f>
        <v>6.039783527</v>
      </c>
      <c r="DE246">
        <f>6.182782897</f>
        <v>6.1827828970000001</v>
      </c>
      <c r="DF246">
        <f>6.246530024</f>
        <v>6.2465300240000001</v>
      </c>
      <c r="DG246">
        <f>6.37331647</f>
        <v>6.3733164699999998</v>
      </c>
      <c r="DH246">
        <f>5.795513368</f>
        <v>5.7955133679999999</v>
      </c>
      <c r="DI246">
        <f>6.395452413</f>
        <v>6.3954524130000001</v>
      </c>
      <c r="DJ246">
        <f>6.377570917</f>
        <v>6.3775709169999999</v>
      </c>
      <c r="DK246">
        <f>6.200099167</f>
        <v>6.2000991670000003</v>
      </c>
      <c r="DL246">
        <f>7.545765356</f>
        <v>7.5457653560000004</v>
      </c>
      <c r="DM246">
        <f>7.141371585</f>
        <v>7.1413715849999999</v>
      </c>
      <c r="DN246">
        <f>7.184467113</f>
        <v>7.1844671130000002</v>
      </c>
      <c r="DO246">
        <f>6.858108056</f>
        <v>6.8581080559999998</v>
      </c>
      <c r="DP246">
        <f>6.51327531</f>
        <v>6.51327531</v>
      </c>
      <c r="DQ246">
        <f>6.618595863</f>
        <v>6.6185958630000004</v>
      </c>
      <c r="DR246">
        <f>6.907157019</f>
        <v>6.9071570189999996</v>
      </c>
      <c r="DS246">
        <f>7.010892171</f>
        <v>7.0108921710000001</v>
      </c>
      <c r="DT246">
        <f>7.098500947</f>
        <v>7.0985009469999998</v>
      </c>
      <c r="DU246">
        <f>7.058236163</f>
        <v>7.0582361630000001</v>
      </c>
    </row>
    <row r="247" spans="1:125">
      <c r="A247" t="str">
        <f>"    DDR Corp"</f>
        <v xml:space="preserve">    DDR Corp</v>
      </c>
      <c r="B247" t="str">
        <f>"DDR US Equity"</f>
        <v>DDR US Equity</v>
      </c>
      <c r="C247" t="str">
        <f t="shared" si="45"/>
        <v>RR554</v>
      </c>
      <c r="D247" t="str">
        <f t="shared" si="46"/>
        <v>FFO_RE_ASSET</v>
      </c>
      <c r="E247" t="str">
        <f t="shared" si="47"/>
        <v>动态</v>
      </c>
      <c r="F247" t="str">
        <f ca="1">IF(AND(ISNUMBER($F$693),$B$419=1),$F$693,HLOOKUP(INDIRECT(ADDRESS(2,COLUMN())),OFFSET($BN$2,0,0,ROW()-1,60),ROW()-1,FALSE))</f>
        <v/>
      </c>
      <c r="G247">
        <f ca="1">IF(AND(ISNUMBER($G$693),$B$419=1),$G$693,HLOOKUP(INDIRECT(ADDRESS(2,COLUMN())),OFFSET($BN$2,0,0,ROW()-1,60),ROW()-1,FALSE))</f>
        <v>3.5547597130000002</v>
      </c>
      <c r="H247">
        <f ca="1">IF(AND(ISNUMBER($H$693),$B$419=1),$H$693,HLOOKUP(INDIRECT(ADDRESS(2,COLUMN())),OFFSET($BN$2,0,0,ROW()-1,60),ROW()-1,FALSE))</f>
        <v>3.5313756999999999</v>
      </c>
      <c r="I247">
        <f ca="1">IF(AND(ISNUMBER($I$693),$B$419=1),$I$693,HLOOKUP(INDIRECT(ADDRESS(2,COLUMN())),OFFSET($BN$2,0,0,ROW()-1,60),ROW()-1,FALSE))</f>
        <v>4.3951498840000003</v>
      </c>
      <c r="J247">
        <f ca="1">IF(AND(ISNUMBER($J$693),$B$419=1),$J$693,HLOOKUP(INDIRECT(ADDRESS(2,COLUMN())),OFFSET($BN$2,0,0,ROW()-1,60),ROW()-1,FALSE))</f>
        <v>4.6586425560000002</v>
      </c>
      <c r="K247">
        <f ca="1">IF(AND(ISNUMBER($K$693),$B$419=1),$K$693,HLOOKUP(INDIRECT(ADDRESS(2,COLUMN())),OFFSET($BN$2,0,0,ROW()-1,60),ROW()-1,FALSE))</f>
        <v>5.71026715</v>
      </c>
      <c r="L247">
        <f ca="1">IF(AND(ISNUMBER($L$693),$B$419=1),$L$693,HLOOKUP(INDIRECT(ADDRESS(2,COLUMN())),OFFSET($BN$2,0,0,ROW()-1,60),ROW()-1,FALSE))</f>
        <v>5.6148448899999996</v>
      </c>
      <c r="M247">
        <f ca="1">IF(AND(ISNUMBER($M$693),$B$419=1),$M$693,HLOOKUP(INDIRECT(ADDRESS(2,COLUMN())),OFFSET($BN$2,0,0,ROW()-1,60),ROW()-1,FALSE))</f>
        <v>5.477454356</v>
      </c>
      <c r="N247">
        <f ca="1">IF(AND(ISNUMBER($N$693),$B$419=1),$N$693,HLOOKUP(INDIRECT(ADDRESS(2,COLUMN())),OFFSET($BN$2,0,0,ROW()-1,60),ROW()-1,FALSE))</f>
        <v>5.2947703319999997</v>
      </c>
      <c r="O247">
        <f ca="1">IF(AND(ISNUMBER($O$693),$B$419=1),$O$693,HLOOKUP(INDIRECT(ADDRESS(2,COLUMN())),OFFSET($BN$2,0,0,ROW()-1,60),ROW()-1,FALSE))</f>
        <v>3.986720204</v>
      </c>
      <c r="P247">
        <f ca="1">IF(AND(ISNUMBER($P$693),$B$419=1),$P$693,HLOOKUP(INDIRECT(ADDRESS(2,COLUMN())),OFFSET($BN$2,0,0,ROW()-1,60),ROW()-1,FALSE))</f>
        <v>3.5963740529999999</v>
      </c>
      <c r="Q247">
        <f ca="1">IF(AND(ISNUMBER($Q$693),$B$419=1),$Q$693,HLOOKUP(INDIRECT(ADDRESS(2,COLUMN())),OFFSET($BN$2,0,0,ROW()-1,60),ROW()-1,FALSE))</f>
        <v>3.578997776</v>
      </c>
      <c r="R247">
        <f ca="1">IF(AND(ISNUMBER($R$693),$B$419=1),$R$693,HLOOKUP(INDIRECT(ADDRESS(2,COLUMN())),OFFSET($BN$2,0,0,ROW()-1,60),ROW()-1,FALSE))</f>
        <v>3.3134777259999999</v>
      </c>
      <c r="S247">
        <f ca="1">IF(AND(ISNUMBER($S$693),$B$419=1),$S$693,HLOOKUP(INDIRECT(ADDRESS(2,COLUMN())),OFFSET($BN$2,0,0,ROW()-1,60),ROW()-1,FALSE))</f>
        <v>4.0352048150000002</v>
      </c>
      <c r="T247">
        <f ca="1">IF(AND(ISNUMBER($T$693),$B$419=1),$T$693,HLOOKUP(INDIRECT(ADDRESS(2,COLUMN())),OFFSET($BN$2,0,0,ROW()-1,60),ROW()-1,FALSE))</f>
        <v>4.7852210099999999</v>
      </c>
      <c r="U247">
        <f ca="1">IF(AND(ISNUMBER($U$693),$B$419=1),$U$693,HLOOKUP(INDIRECT(ADDRESS(2,COLUMN())),OFFSET($BN$2,0,0,ROW()-1,60),ROW()-1,FALSE))</f>
        <v>4.6197132280000002</v>
      </c>
      <c r="V247">
        <f ca="1">IF(AND(ISNUMBER($V$693),$B$419=1),$V$693,HLOOKUP(INDIRECT(ADDRESS(2,COLUMN())),OFFSET($BN$2,0,0,ROW()-1,60),ROW()-1,FALSE))</f>
        <v>4.5747227930000003</v>
      </c>
      <c r="W247">
        <f ca="1">IF(AND(ISNUMBER($W$693),$B$419=1),$W$693,HLOOKUP(INDIRECT(ADDRESS(2,COLUMN())),OFFSET($BN$2,0,0,ROW()-1,60),ROW()-1,FALSE))</f>
        <v>4.494281033</v>
      </c>
      <c r="X247">
        <f ca="1">IF(AND(ISNUMBER($X$693),$B$419=1),$X$693,HLOOKUP(INDIRECT(ADDRESS(2,COLUMN())),OFFSET($BN$2,0,0,ROW()-1,60),ROW()-1,FALSE))</f>
        <v>4.0645952339999996</v>
      </c>
      <c r="Y247">
        <f ca="1">IF(AND(ISNUMBER($Y$693),$B$419=1),$Y$693,HLOOKUP(INDIRECT(ADDRESS(2,COLUMN())),OFFSET($BN$2,0,0,ROW()-1,60),ROW()-1,FALSE))</f>
        <v>4.5011127279999998</v>
      </c>
      <c r="Z247">
        <f ca="1">IF(AND(ISNUMBER($Z$693),$B$419=1),$Z$693,HLOOKUP(INDIRECT(ADDRESS(2,COLUMN())),OFFSET($BN$2,0,0,ROW()-1,60),ROW()-1,FALSE))</f>
        <v>4.5229482460000003</v>
      </c>
      <c r="AA247">
        <f ca="1">IF(AND(ISNUMBER($AA$693),$B$419=1),$AA$693,HLOOKUP(INDIRECT(ADDRESS(2,COLUMN())),OFFSET($BN$2,0,0,ROW()-1,60),ROW()-1,FALSE))</f>
        <v>4.2165069270000002</v>
      </c>
      <c r="AB247">
        <f ca="1">IF(AND(ISNUMBER($AB$693),$B$419=1),$AB$693,HLOOKUP(INDIRECT(ADDRESS(2,COLUMN())),OFFSET($BN$2,0,0,ROW()-1,60),ROW()-1,FALSE))</f>
        <v>3.9906541240000002</v>
      </c>
      <c r="AC247">
        <f ca="1">IF(AND(ISNUMBER($AC$693),$B$419=1),$AC$693,HLOOKUP(INDIRECT(ADDRESS(2,COLUMN())),OFFSET($BN$2,0,0,ROW()-1,60),ROW()-1,FALSE))</f>
        <v>2.9917698069999998</v>
      </c>
      <c r="AD247">
        <f ca="1">IF(AND(ISNUMBER($AD$693),$B$419=1),$AD$693,HLOOKUP(INDIRECT(ADDRESS(2,COLUMN())),OFFSET($BN$2,0,0,ROW()-1,60),ROW()-1,FALSE))</f>
        <v>2.650108747</v>
      </c>
      <c r="AE247">
        <f ca="1">IF(AND(ISNUMBER($AE$693),$B$419=1),$AE$693,HLOOKUP(INDIRECT(ADDRESS(2,COLUMN())),OFFSET($BN$2,0,0,ROW()-1,60),ROW()-1,FALSE))</f>
        <v>3.1044177209999999</v>
      </c>
      <c r="AF247">
        <f ca="1">IF(AND(ISNUMBER($AF$693),$B$419=1),$AF$693,HLOOKUP(INDIRECT(ADDRESS(2,COLUMN())),OFFSET($BN$2,0,0,ROW()-1,60),ROW()-1,FALSE))</f>
        <v>2.068062646</v>
      </c>
      <c r="AG247">
        <f ca="1">IF(AND(ISNUMBER($AG$693),$B$419=1),$AG$693,HLOOKUP(INDIRECT(ADDRESS(2,COLUMN())),OFFSET($BN$2,0,0,ROW()-1,60),ROW()-1,FALSE))</f>
        <v>2.2078818400000002</v>
      </c>
      <c r="AH247">
        <f ca="1">IF(AND(ISNUMBER($AH$693),$B$419=1),$AH$693,HLOOKUP(INDIRECT(ADDRESS(2,COLUMN())),OFFSET($BN$2,0,0,ROW()-1,60),ROW()-1,FALSE))</f>
        <v>1.192620614</v>
      </c>
      <c r="AI247">
        <f ca="1">IF(AND(ISNUMBER($AI$693),$B$419=1),$AI$693,HLOOKUP(INDIRECT(ADDRESS(2,COLUMN())),OFFSET($BN$2,0,0,ROW()-1,60),ROW()-1,FALSE))</f>
        <v>0.49033041599999999</v>
      </c>
      <c r="AJ247">
        <f ca="1">IF(AND(ISNUMBER($AJ$693),$B$419=1),$AJ$693,HLOOKUP(INDIRECT(ADDRESS(2,COLUMN())),OFFSET($BN$2,0,0,ROW()-1,60),ROW()-1,FALSE))</f>
        <v>0.60125463899999998</v>
      </c>
      <c r="AK247">
        <f ca="1">IF(AND(ISNUMBER($AK$693),$B$419=1),$AK$693,HLOOKUP(INDIRECT(ADDRESS(2,COLUMN())),OFFSET($BN$2,0,0,ROW()-1,60),ROW()-1,FALSE))</f>
        <v>-1.0082386139999999</v>
      </c>
      <c r="AL247">
        <f ca="1">IF(AND(ISNUMBER($AL$693),$B$419=1),$AL$693,HLOOKUP(INDIRECT(ADDRESS(2,COLUMN())),OFFSET($BN$2,0,0,ROW()-1,60),ROW()-1,FALSE))</f>
        <v>-2.6087107619999998</v>
      </c>
      <c r="AM247">
        <f ca="1">IF(AND(ISNUMBER($AM$693),$B$419=1),$AM$693,HLOOKUP(INDIRECT(ADDRESS(2,COLUMN())),OFFSET($BN$2,0,0,ROW()-1,60),ROW()-1,FALSE))</f>
        <v>-1.237302788</v>
      </c>
      <c r="AN247">
        <f ca="1">IF(AND(ISNUMBER($AN$693),$B$419=1),$AN$693,HLOOKUP(INDIRECT(ADDRESS(2,COLUMN())),OFFSET($BN$2,0,0,ROW()-1,60),ROW()-1,FALSE))</f>
        <v>-2.298149139</v>
      </c>
      <c r="AO247">
        <f ca="1">IF(AND(ISNUMBER($AO$693),$B$419=1),$AO$693,HLOOKUP(INDIRECT(ADDRESS(2,COLUMN())),OFFSET($BN$2,0,0,ROW()-1,60),ROW()-1,FALSE))</f>
        <v>-7.9203909000000003E-2</v>
      </c>
      <c r="AP247">
        <f ca="1">IF(AND(ISNUMBER($AP$693),$B$419=1),$AP$693,HLOOKUP(INDIRECT(ADDRESS(2,COLUMN())),OFFSET($BN$2,0,0,ROW()-1,60),ROW()-1,FALSE))</f>
        <v>2.977316455</v>
      </c>
      <c r="AQ247">
        <f ca="1">IF(AND(ISNUMBER($AQ$693),$B$419=1),$AQ$693,HLOOKUP(INDIRECT(ADDRESS(2,COLUMN())),OFFSET($BN$2,0,0,ROW()-1,60),ROW()-1,FALSE))</f>
        <v>2.4677627750000002</v>
      </c>
      <c r="AR247">
        <f ca="1">IF(AND(ISNUMBER($AR$693),$B$419=1),$AR$693,HLOOKUP(INDIRECT(ADDRESS(2,COLUMN())),OFFSET($BN$2,0,0,ROW()-1,60),ROW()-1,FALSE))</f>
        <v>4.9904619549999998</v>
      </c>
      <c r="AS247">
        <f ca="1">IF(AND(ISNUMBER($AS$693),$B$419=1),$AS$693,HLOOKUP(INDIRECT(ADDRESS(2,COLUMN())),OFFSET($BN$2,0,0,ROW()-1,60),ROW()-1,FALSE))</f>
        <v>5.0017013840000004</v>
      </c>
      <c r="AT247">
        <f ca="1">IF(AND(ISNUMBER($AT$693),$B$419=1),$AT$693,HLOOKUP(INDIRECT(ADDRESS(2,COLUMN())),OFFSET($BN$2,0,0,ROW()-1,60),ROW()-1,FALSE))</f>
        <v>5.3600291110000002</v>
      </c>
      <c r="AU247">
        <f ca="1">IF(AND(ISNUMBER($AU$693),$B$419=1),$AU$693,HLOOKUP(INDIRECT(ADDRESS(2,COLUMN())),OFFSET($BN$2,0,0,ROW()-1,60),ROW()-1,FALSE))</f>
        <v>6.6517891389999999</v>
      </c>
      <c r="AV247">
        <f ca="1">IF(AND(ISNUMBER($AV$693),$B$419=1),$AV$693,HLOOKUP(INDIRECT(ADDRESS(2,COLUMN())),OFFSET($BN$2,0,0,ROW()-1,60),ROW()-1,FALSE))</f>
        <v>6.6830248540000001</v>
      </c>
      <c r="AW247">
        <f ca="1">IF(AND(ISNUMBER($AW$693),$B$419=1),$AW$693,HLOOKUP(INDIRECT(ADDRESS(2,COLUMN())),OFFSET($BN$2,0,0,ROW()-1,60),ROW()-1,FALSE))</f>
        <v>6.5769891400000002</v>
      </c>
      <c r="AX247">
        <f ca="1">IF(AND(ISNUMBER($AX$693),$B$419=1),$AX$693,HLOOKUP(INDIRECT(ADDRESS(2,COLUMN())),OFFSET($BN$2,0,0,ROW()-1,60),ROW()-1,FALSE))</f>
        <v>5.3531550360000004</v>
      </c>
      <c r="AY247">
        <f ca="1">IF(AND(ISNUMBER($AY$693),$B$419=1),$AY$693,HLOOKUP(INDIRECT(ADDRESS(2,COLUMN())),OFFSET($BN$2,0,0,ROW()-1,60),ROW()-1,FALSE))</f>
        <v>6.398981429</v>
      </c>
      <c r="AZ247">
        <f ca="1">IF(AND(ISNUMBER($AZ$693),$B$419=1),$AZ$693,HLOOKUP(INDIRECT(ADDRESS(2,COLUMN())),OFFSET($BN$2,0,0,ROW()-1,60),ROW()-1,FALSE))</f>
        <v>6.3592028740000002</v>
      </c>
      <c r="BA247">
        <f ca="1">IF(AND(ISNUMBER($BA$693),$B$419=1),$BA$693,HLOOKUP(INDIRECT(ADDRESS(2,COLUMN())),OFFSET($BN$2,0,0,ROW()-1,60),ROW()-1,FALSE))</f>
        <v>6.0502330830000002</v>
      </c>
      <c r="BB247">
        <f ca="1">IF(AND(ISNUMBER($BB$693),$B$419=1),$BB$693,HLOOKUP(INDIRECT(ADDRESS(2,COLUMN())),OFFSET($BN$2,0,0,ROW()-1,60),ROW()-1,FALSE))</f>
        <v>5.6355847419999998</v>
      </c>
      <c r="BC247">
        <f ca="1">IF(AND(ISNUMBER($BC$693),$B$419=1),$BC$693,HLOOKUP(INDIRECT(ADDRESS(2,COLUMN())),OFFSET($BN$2,0,0,ROW()-1,60),ROW()-1,FALSE))</f>
        <v>6.3899676080000001</v>
      </c>
      <c r="BD247">
        <f ca="1">IF(AND(ISNUMBER($BD$693),$B$419=1),$BD$693,HLOOKUP(INDIRECT(ADDRESS(2,COLUMN())),OFFSET($BN$2,0,0,ROW()-1,60),ROW()-1,FALSE))</f>
        <v>5.8743212509999996</v>
      </c>
      <c r="BE247">
        <f ca="1">IF(AND(ISNUMBER($BE$693),$B$419=1),$BE$693,HLOOKUP(INDIRECT(ADDRESS(2,COLUMN())),OFFSET($BN$2,0,0,ROW()-1,60),ROW()-1,FALSE))</f>
        <v>5.9813029999999996</v>
      </c>
      <c r="BF247">
        <f ca="1">IF(AND(ISNUMBER($BF$693),$B$419=1),$BF$693,HLOOKUP(INDIRECT(ADDRESS(2,COLUMN())),OFFSET($BN$2,0,0,ROW()-1,60),ROW()-1,FALSE))</f>
        <v>5.5935422609999996</v>
      </c>
      <c r="BG247">
        <f ca="1">IF(AND(ISNUMBER($BG$693),$B$419=1),$BG$693,HLOOKUP(INDIRECT(ADDRESS(2,COLUMN())),OFFSET($BN$2,0,0,ROW()-1,60),ROW()-1,FALSE))</f>
        <v>5.3552041509999997</v>
      </c>
      <c r="BH247">
        <f ca="1">IF(AND(ISNUMBER($BH$693),$B$419=1),$BH$693,HLOOKUP(INDIRECT(ADDRESS(2,COLUMN())),OFFSET($BN$2,0,0,ROW()-1,60),ROW()-1,FALSE))</f>
        <v>4.8750946720000004</v>
      </c>
      <c r="BI247">
        <f ca="1">IF(AND(ISNUMBER($BI$693),$B$419=1),$BI$693,HLOOKUP(INDIRECT(ADDRESS(2,COLUMN())),OFFSET($BN$2,0,0,ROW()-1,60),ROW()-1,FALSE))</f>
        <v>3.5996842999999998</v>
      </c>
      <c r="BJ247">
        <f ca="1">IF(AND(ISNUMBER($BJ$693),$B$419=1),$BJ$693,HLOOKUP(INDIRECT(ADDRESS(2,COLUMN())),OFFSET($BN$2,0,0,ROW()-1,60),ROW()-1,FALSE))</f>
        <v>4.0525276789999998</v>
      </c>
      <c r="BK247">
        <f ca="1">IF(AND(ISNUMBER($BK$693),$B$419=1),$BK$693,HLOOKUP(INDIRECT(ADDRESS(2,COLUMN())),OFFSET($BN$2,0,0,ROW()-1,60),ROW()-1,FALSE))</f>
        <v>4.0508991859999997</v>
      </c>
      <c r="BL247">
        <f ca="1">IF(AND(ISNUMBER($BL$693),$B$419=1),$BL$693,HLOOKUP(INDIRECT(ADDRESS(2,COLUMN())),OFFSET($BN$2,0,0,ROW()-1,60),ROW()-1,FALSE))</f>
        <v>3.4848774599999999</v>
      </c>
      <c r="BM247">
        <f ca="1">IF(AND(ISNUMBER($BM$693),$B$419=1),$BM$693,HLOOKUP(INDIRECT(ADDRESS(2,COLUMN())),OFFSET($BN$2,0,0,ROW()-1,60),ROW()-1,FALSE))</f>
        <v>3.142048119</v>
      </c>
      <c r="BN247" t="str">
        <f>""</f>
        <v/>
      </c>
      <c r="BO247">
        <f>3.554759713</f>
        <v>3.5547597130000002</v>
      </c>
      <c r="BP247">
        <f>3.5313757</f>
        <v>3.5313756999999999</v>
      </c>
      <c r="BQ247">
        <f>4.395149884</f>
        <v>4.3951498840000003</v>
      </c>
      <c r="BR247">
        <f>4.658642556</f>
        <v>4.6586425560000002</v>
      </c>
      <c r="BS247">
        <f>5.71026715</f>
        <v>5.71026715</v>
      </c>
      <c r="BT247">
        <f>5.61484489</f>
        <v>5.6148448899999996</v>
      </c>
      <c r="BU247">
        <f>5.477454356</f>
        <v>5.477454356</v>
      </c>
      <c r="BV247">
        <f>5.294770332</f>
        <v>5.2947703319999997</v>
      </c>
      <c r="BW247">
        <f>3.986720204</f>
        <v>3.986720204</v>
      </c>
      <c r="BX247">
        <f>3.596374053</f>
        <v>3.5963740529999999</v>
      </c>
      <c r="BY247">
        <f>3.578997776</f>
        <v>3.578997776</v>
      </c>
      <c r="BZ247">
        <f>3.313477726</f>
        <v>3.3134777259999999</v>
      </c>
      <c r="CA247">
        <f>4.035204815</f>
        <v>4.0352048150000002</v>
      </c>
      <c r="CB247">
        <f>4.78522101</f>
        <v>4.7852210099999999</v>
      </c>
      <c r="CC247">
        <f>4.619713228</f>
        <v>4.6197132280000002</v>
      </c>
      <c r="CD247">
        <f>4.574722793</f>
        <v>4.5747227930000003</v>
      </c>
      <c r="CE247">
        <f>4.494281033</f>
        <v>4.494281033</v>
      </c>
      <c r="CF247">
        <f>4.064595234</f>
        <v>4.0645952339999996</v>
      </c>
      <c r="CG247">
        <f>4.501112728</f>
        <v>4.5011127279999998</v>
      </c>
      <c r="CH247">
        <f>4.522948246</f>
        <v>4.5229482460000003</v>
      </c>
      <c r="CI247">
        <f>4.216506927</f>
        <v>4.2165069270000002</v>
      </c>
      <c r="CJ247">
        <f>3.990654124</f>
        <v>3.9906541240000002</v>
      </c>
      <c r="CK247">
        <f>2.991769807</f>
        <v>2.9917698069999998</v>
      </c>
      <c r="CL247">
        <f>2.650108747</f>
        <v>2.650108747</v>
      </c>
      <c r="CM247">
        <f>3.104417721</f>
        <v>3.1044177209999999</v>
      </c>
      <c r="CN247">
        <f>2.068062646</f>
        <v>2.068062646</v>
      </c>
      <c r="CO247">
        <f>2.20788184</f>
        <v>2.2078818400000002</v>
      </c>
      <c r="CP247">
        <f>1.192620614</f>
        <v>1.192620614</v>
      </c>
      <c r="CQ247">
        <f>0.490330416</f>
        <v>0.49033041599999999</v>
      </c>
      <c r="CR247">
        <f>0.601254639</f>
        <v>0.60125463899999998</v>
      </c>
      <c r="CS247">
        <f>-1.008238614</f>
        <v>-1.0082386139999999</v>
      </c>
      <c r="CT247">
        <f>-2.608710762</f>
        <v>-2.6087107619999998</v>
      </c>
      <c r="CU247">
        <f>-1.237302788</f>
        <v>-1.237302788</v>
      </c>
      <c r="CV247">
        <f>-2.298149139</f>
        <v>-2.298149139</v>
      </c>
      <c r="CW247">
        <f>-0.079203909</f>
        <v>-7.9203909000000003E-2</v>
      </c>
      <c r="CX247">
        <f>2.977316455</f>
        <v>2.977316455</v>
      </c>
      <c r="CY247">
        <f>2.467762775</f>
        <v>2.4677627750000002</v>
      </c>
      <c r="CZ247">
        <f>4.990461955</f>
        <v>4.9904619549999998</v>
      </c>
      <c r="DA247">
        <f>5.001701384</f>
        <v>5.0017013840000004</v>
      </c>
      <c r="DB247">
        <f>5.360029111</f>
        <v>5.3600291110000002</v>
      </c>
      <c r="DC247">
        <f>6.651789139</f>
        <v>6.6517891389999999</v>
      </c>
      <c r="DD247">
        <f>6.683024854</f>
        <v>6.6830248540000001</v>
      </c>
      <c r="DE247">
        <f>6.57698914</f>
        <v>6.5769891400000002</v>
      </c>
      <c r="DF247">
        <f>5.353155036</f>
        <v>5.3531550360000004</v>
      </c>
      <c r="DG247">
        <f>6.398981429</f>
        <v>6.398981429</v>
      </c>
      <c r="DH247">
        <f>6.359202874</f>
        <v>6.3592028740000002</v>
      </c>
      <c r="DI247">
        <f>6.050233083</f>
        <v>6.0502330830000002</v>
      </c>
      <c r="DJ247">
        <f>5.635584742</f>
        <v>5.6355847419999998</v>
      </c>
      <c r="DK247">
        <f>6.389967608</f>
        <v>6.3899676080000001</v>
      </c>
      <c r="DL247">
        <f>5.874321251</f>
        <v>5.8743212509999996</v>
      </c>
      <c r="DM247">
        <f>5.981303</f>
        <v>5.9813029999999996</v>
      </c>
      <c r="DN247">
        <f>5.593542261</f>
        <v>5.5935422609999996</v>
      </c>
      <c r="DO247">
        <f>5.355204151</f>
        <v>5.3552041509999997</v>
      </c>
      <c r="DP247">
        <f>4.875094672</f>
        <v>4.8750946720000004</v>
      </c>
      <c r="DQ247">
        <f>3.5996843</f>
        <v>3.5996842999999998</v>
      </c>
      <c r="DR247">
        <f>4.052527679</f>
        <v>4.0525276789999998</v>
      </c>
      <c r="DS247">
        <f>4.050899186</f>
        <v>4.0508991859999997</v>
      </c>
      <c r="DT247">
        <f>3.48487746</f>
        <v>3.4848774599999999</v>
      </c>
      <c r="DU247">
        <f>3.142048119</f>
        <v>3.142048119</v>
      </c>
    </row>
    <row r="248" spans="1:125">
      <c r="A248" t="str">
        <f>"    Federal Realty Investment Trus"</f>
        <v xml:space="preserve">    Federal Realty Investment Trus</v>
      </c>
      <c r="B248" t="str">
        <f>"FRT US Equity"</f>
        <v>FRT US Equity</v>
      </c>
      <c r="C248" t="str">
        <f t="shared" si="45"/>
        <v>RR554</v>
      </c>
      <c r="D248" t="str">
        <f t="shared" si="46"/>
        <v>FFO_RE_ASSET</v>
      </c>
      <c r="E248" t="str">
        <f t="shared" si="47"/>
        <v>动态</v>
      </c>
      <c r="F248" t="str">
        <f ca="1">IF(AND(ISNUMBER($F$694),$B$419=1),$F$694,HLOOKUP(INDIRECT(ADDRESS(2,COLUMN())),OFFSET($BN$2,0,0,ROW()-1,60),ROW()-1,FALSE))</f>
        <v/>
      </c>
      <c r="G248">
        <f ca="1">IF(AND(ISNUMBER($G$694),$B$419=1),$G$694,HLOOKUP(INDIRECT(ADDRESS(2,COLUMN())),OFFSET($BN$2,0,0,ROW()-1,60),ROW()-1,FALSE))</f>
        <v>7.7125553409999998</v>
      </c>
      <c r="H248">
        <f ca="1">IF(AND(ISNUMBER($H$694),$B$419=1),$H$694,HLOOKUP(INDIRECT(ADDRESS(2,COLUMN())),OFFSET($BN$2,0,0,ROW()-1,60),ROW()-1,FALSE))</f>
        <v>8.0157976299999998</v>
      </c>
      <c r="I248">
        <f ca="1">IF(AND(ISNUMBER($I$694),$B$419=1),$I$694,HLOOKUP(INDIRECT(ADDRESS(2,COLUMN())),OFFSET($BN$2,0,0,ROW()-1,60),ROW()-1,FALSE))</f>
        <v>8.2661415419999997</v>
      </c>
      <c r="J248">
        <f ca="1">IF(AND(ISNUMBER($J$694),$B$419=1),$J$694,HLOOKUP(INDIRECT(ADDRESS(2,COLUMN())),OFFSET($BN$2,0,0,ROW()-1,60),ROW()-1,FALSE))</f>
        <v>8.2471423260000005</v>
      </c>
      <c r="K248">
        <f ca="1">IF(AND(ISNUMBER($K$694),$B$419=1),$K$694,HLOOKUP(INDIRECT(ADDRESS(2,COLUMN())),OFFSET($BN$2,0,0,ROW()-1,60),ROW()-1,FALSE))</f>
        <v>8.4235752900000005</v>
      </c>
      <c r="L248">
        <f ca="1">IF(AND(ISNUMBER($L$694),$B$419=1),$L$694,HLOOKUP(INDIRECT(ADDRESS(2,COLUMN())),OFFSET($BN$2,0,0,ROW()-1,60),ROW()-1,FALSE))</f>
        <v>8.4570372440000003</v>
      </c>
      <c r="M248">
        <f ca="1">IF(AND(ISNUMBER($M$694),$B$419=1),$M$694,HLOOKUP(INDIRECT(ADDRESS(2,COLUMN())),OFFSET($BN$2,0,0,ROW()-1,60),ROW()-1,FALSE))</f>
        <v>8.4330337869999994</v>
      </c>
      <c r="N248">
        <f ca="1">IF(AND(ISNUMBER($N$694),$B$419=1),$N$694,HLOOKUP(INDIRECT(ADDRESS(2,COLUMN())),OFFSET($BN$2,0,0,ROW()-1,60),ROW()-1,FALSE))</f>
        <v>8.019666355</v>
      </c>
      <c r="O248">
        <f ca="1">IF(AND(ISNUMBER($O$694),$B$419=1),$O$694,HLOOKUP(INDIRECT(ADDRESS(2,COLUMN())),OFFSET($BN$2,0,0,ROW()-1,60),ROW()-1,FALSE))</f>
        <v>8.0159047300000008</v>
      </c>
      <c r="P248">
        <f ca="1">IF(AND(ISNUMBER($P$694),$B$419=1),$P$694,HLOOKUP(INDIRECT(ADDRESS(2,COLUMN())),OFFSET($BN$2,0,0,ROW()-1,60),ROW()-1,FALSE))</f>
        <v>7.7323611740000002</v>
      </c>
      <c r="Q248">
        <f ca="1">IF(AND(ISNUMBER($Q$694),$B$419=1),$Q$694,HLOOKUP(INDIRECT(ADDRESS(2,COLUMN())),OFFSET($BN$2,0,0,ROW()-1,60),ROW()-1,FALSE))</f>
        <v>7.5440967570000002</v>
      </c>
      <c r="R248">
        <f ca="1">IF(AND(ISNUMBER($R$694),$B$419=1),$R$694,HLOOKUP(INDIRECT(ADDRESS(2,COLUMN())),OFFSET($BN$2,0,0,ROW()-1,60),ROW()-1,FALSE))</f>
        <v>7.9740230460000001</v>
      </c>
      <c r="S248">
        <f ca="1">IF(AND(ISNUMBER($S$694),$B$419=1),$S$694,HLOOKUP(INDIRECT(ADDRESS(2,COLUMN())),OFFSET($BN$2,0,0,ROW()-1,60),ROW()-1,FALSE))</f>
        <v>8.0720687600000005</v>
      </c>
      <c r="T248">
        <f ca="1">IF(AND(ISNUMBER($T$694),$B$419=1),$T$694,HLOOKUP(INDIRECT(ADDRESS(2,COLUMN())),OFFSET($BN$2,0,0,ROW()-1,60),ROW()-1,FALSE))</f>
        <v>7.9674246540000002</v>
      </c>
      <c r="U248">
        <f ca="1">IF(AND(ISNUMBER($U$694),$B$419=1),$U$694,HLOOKUP(INDIRECT(ADDRESS(2,COLUMN())),OFFSET($BN$2,0,0,ROW()-1,60),ROW()-1,FALSE))</f>
        <v>7.847093976</v>
      </c>
      <c r="V248">
        <f ca="1">IF(AND(ISNUMBER($V$694),$B$419=1),$V$694,HLOOKUP(INDIRECT(ADDRESS(2,COLUMN())),OFFSET($BN$2,0,0,ROW()-1,60),ROW()-1,FALSE))</f>
        <v>7.6823041180000002</v>
      </c>
      <c r="W248">
        <f ca="1">IF(AND(ISNUMBER($W$694),$B$419=1),$W$694,HLOOKUP(INDIRECT(ADDRESS(2,COLUMN())),OFFSET($BN$2,0,0,ROW()-1,60),ROW()-1,FALSE))</f>
        <v>7.7178290690000004</v>
      </c>
      <c r="X248">
        <f ca="1">IF(AND(ISNUMBER($X$694),$B$419=1),$X$694,HLOOKUP(INDIRECT(ADDRESS(2,COLUMN())),OFFSET($BN$2,0,0,ROW()-1,60),ROW()-1,FALSE))</f>
        <v>8.1089632779999992</v>
      </c>
      <c r="Y248">
        <f ca="1">IF(AND(ISNUMBER($Y$694),$B$419=1),$Y$694,HLOOKUP(INDIRECT(ADDRESS(2,COLUMN())),OFFSET($BN$2,0,0,ROW()-1,60),ROW()-1,FALSE))</f>
        <v>8.0835361760000009</v>
      </c>
      <c r="Z248">
        <f ca="1">IF(AND(ISNUMBER($Z$694),$B$419=1),$Z$694,HLOOKUP(INDIRECT(ADDRESS(2,COLUMN())),OFFSET($BN$2,0,0,ROW()-1,60),ROW()-1,FALSE))</f>
        <v>8.0769732269999999</v>
      </c>
      <c r="AA248">
        <f ca="1">IF(AND(ISNUMBER($AA$694),$B$419=1),$AA$694,HLOOKUP(INDIRECT(ADDRESS(2,COLUMN())),OFFSET($BN$2,0,0,ROW()-1,60),ROW()-1,FALSE))</f>
        <v>7.9027978579999996</v>
      </c>
      <c r="AB248">
        <f ca="1">IF(AND(ISNUMBER($AB$694),$B$419=1),$AB$694,HLOOKUP(INDIRECT(ADDRESS(2,COLUMN())),OFFSET($BN$2,0,0,ROW()-1,60),ROW()-1,FALSE))</f>
        <v>8.2764014939999999</v>
      </c>
      <c r="AC248">
        <f ca="1">IF(AND(ISNUMBER($AC$694),$B$419=1),$AC$694,HLOOKUP(INDIRECT(ADDRESS(2,COLUMN())),OFFSET($BN$2,0,0,ROW()-1,60),ROW()-1,FALSE))</f>
        <v>8.104403392</v>
      </c>
      <c r="AD248">
        <f ca="1">IF(AND(ISNUMBER($AD$694),$B$419=1),$AD$694,HLOOKUP(INDIRECT(ADDRESS(2,COLUMN())),OFFSET($BN$2,0,0,ROW()-1,60),ROW()-1,FALSE))</f>
        <v>8.0182495060000001</v>
      </c>
      <c r="AE248">
        <f ca="1">IF(AND(ISNUMBER($AE$694),$B$419=1),$AE$694,HLOOKUP(INDIRECT(ADDRESS(2,COLUMN())),OFFSET($BN$2,0,0,ROW()-1,60),ROW()-1,FALSE))</f>
        <v>7.974592983</v>
      </c>
      <c r="AF248">
        <f ca="1">IF(AND(ISNUMBER($AF$694),$B$419=1),$AF$694,HLOOKUP(INDIRECT(ADDRESS(2,COLUMN())),OFFSET($BN$2,0,0,ROW()-1,60),ROW()-1,FALSE))</f>
        <v>8.4440406899999996</v>
      </c>
      <c r="AG248">
        <f ca="1">IF(AND(ISNUMBER($AG$694),$B$419=1),$AG$694,HLOOKUP(INDIRECT(ADDRESS(2,COLUMN())),OFFSET($BN$2,0,0,ROW()-1,60),ROW()-1,FALSE))</f>
        <v>8.3338965300000005</v>
      </c>
      <c r="AH248">
        <f ca="1">IF(AND(ISNUMBER($AH$694),$B$419=1),$AH$694,HLOOKUP(INDIRECT(ADDRESS(2,COLUMN())),OFFSET($BN$2,0,0,ROW()-1,60),ROW()-1,FALSE))</f>
        <v>8.1976201129999993</v>
      </c>
      <c r="AI248">
        <f ca="1">IF(AND(ISNUMBER($AI$694),$B$419=1),$AI$694,HLOOKUP(INDIRECT(ADDRESS(2,COLUMN())),OFFSET($BN$2,0,0,ROW()-1,60),ROW()-1,FALSE))</f>
        <v>8.2224435479999993</v>
      </c>
      <c r="AJ248">
        <f ca="1">IF(AND(ISNUMBER($AJ$694),$B$419=1),$AJ$694,HLOOKUP(INDIRECT(ADDRESS(2,COLUMN())),OFFSET($BN$2,0,0,ROW()-1,60),ROW()-1,FALSE))</f>
        <v>8.1443755679999992</v>
      </c>
      <c r="AK248">
        <f ca="1">IF(AND(ISNUMBER($AK$694),$B$419=1),$AK$694,HLOOKUP(INDIRECT(ADDRESS(2,COLUMN())),OFFSET($BN$2,0,0,ROW()-1,60),ROW()-1,FALSE))</f>
        <v>8.0510905319999999</v>
      </c>
      <c r="AL248">
        <f ca="1">IF(AND(ISNUMBER($AL$694),$B$419=1),$AL$694,HLOOKUP(INDIRECT(ADDRESS(2,COLUMN())),OFFSET($BN$2,0,0,ROW()-1,60),ROW()-1,FALSE))</f>
        <v>7.9531825700000001</v>
      </c>
      <c r="AM248">
        <f ca="1">IF(AND(ISNUMBER($AM$694),$B$419=1),$AM$694,HLOOKUP(INDIRECT(ADDRESS(2,COLUMN())),OFFSET($BN$2,0,0,ROW()-1,60),ROW()-1,FALSE))</f>
        <v>7.2687578190000002</v>
      </c>
      <c r="AN248">
        <f ca="1">IF(AND(ISNUMBER($AN$694),$B$419=1),$AN$694,HLOOKUP(INDIRECT(ADDRESS(2,COLUMN())),OFFSET($BN$2,0,0,ROW()-1,60),ROW()-1,FALSE))</f>
        <v>7.2460431830000003</v>
      </c>
      <c r="AO248">
        <f ca="1">IF(AND(ISNUMBER($AO$694),$B$419=1),$AO$694,HLOOKUP(INDIRECT(ADDRESS(2,COLUMN())),OFFSET($BN$2,0,0,ROW()-1,60),ROW()-1,FALSE))</f>
        <v>7.3816611700000001</v>
      </c>
      <c r="AP248">
        <f ca="1">IF(AND(ISNUMBER($AP$694),$B$419=1),$AP$694,HLOOKUP(INDIRECT(ADDRESS(2,COLUMN())),OFFSET($BN$2,0,0,ROW()-1,60),ROW()-1,FALSE))</f>
        <v>7.4235567610000004</v>
      </c>
      <c r="AQ248">
        <f ca="1">IF(AND(ISNUMBER($AQ$694),$B$419=1),$AQ$694,HLOOKUP(INDIRECT(ADDRESS(2,COLUMN())),OFFSET($BN$2,0,0,ROW()-1,60),ROW()-1,FALSE))</f>
        <v>8.0647929660000006</v>
      </c>
      <c r="AR248">
        <f ca="1">IF(AND(ISNUMBER($AR$694),$B$419=1),$AR$694,HLOOKUP(INDIRECT(ADDRESS(2,COLUMN())),OFFSET($BN$2,0,0,ROW()-1,60),ROW()-1,FALSE))</f>
        <v>7.9341945640000002</v>
      </c>
      <c r="AS248">
        <f ca="1">IF(AND(ISNUMBER($AS$694),$B$419=1),$AS$694,HLOOKUP(INDIRECT(ADDRESS(2,COLUMN())),OFFSET($BN$2,0,0,ROW()-1,60),ROW()-1,FALSE))</f>
        <v>7.8352070889999998</v>
      </c>
      <c r="AT248">
        <f ca="1">IF(AND(ISNUMBER($AT$694),$B$419=1),$AT$694,HLOOKUP(INDIRECT(ADDRESS(2,COLUMN())),OFFSET($BN$2,0,0,ROW()-1,60),ROW()-1,FALSE))</f>
        <v>7.6952613310000002</v>
      </c>
      <c r="AU248">
        <f ca="1">IF(AND(ISNUMBER($AU$694),$B$419=1),$AU$694,HLOOKUP(INDIRECT(ADDRESS(2,COLUMN())),OFFSET($BN$2,0,0,ROW()-1,60),ROW()-1,FALSE))</f>
        <v>7.8304085560000001</v>
      </c>
      <c r="AV248">
        <f ca="1">IF(AND(ISNUMBER($AV$694),$B$419=1),$AV$694,HLOOKUP(INDIRECT(ADDRESS(2,COLUMN())),OFFSET($BN$2,0,0,ROW()-1,60),ROW()-1,FALSE))</f>
        <v>7.6583330680000001</v>
      </c>
      <c r="AW248">
        <f ca="1">IF(AND(ISNUMBER($AW$694),$B$419=1),$AW$694,HLOOKUP(INDIRECT(ADDRESS(2,COLUMN())),OFFSET($BN$2,0,0,ROW()-1,60),ROW()-1,FALSE))</f>
        <v>7.7497054690000002</v>
      </c>
      <c r="AX248">
        <f ca="1">IF(AND(ISNUMBER($AX$694),$B$419=1),$AX$694,HLOOKUP(INDIRECT(ADDRESS(2,COLUMN())),OFFSET($BN$2,0,0,ROW()-1,60),ROW()-1,FALSE))</f>
        <v>7.4128788969999997</v>
      </c>
      <c r="AY248">
        <f ca="1">IF(AND(ISNUMBER($AY$694),$B$419=1),$AY$694,HLOOKUP(INDIRECT(ADDRESS(2,COLUMN())),OFFSET($BN$2,0,0,ROW()-1,60),ROW()-1,FALSE))</f>
        <v>7.4884373230000003</v>
      </c>
      <c r="AZ248">
        <f ca="1">IF(AND(ISNUMBER($AZ$694),$B$419=1),$AZ$694,HLOOKUP(INDIRECT(ADDRESS(2,COLUMN())),OFFSET($BN$2,0,0,ROW()-1,60),ROW()-1,FALSE))</f>
        <v>7.6589295159999997</v>
      </c>
      <c r="BA248">
        <f ca="1">IF(AND(ISNUMBER($BA$694),$B$419=1),$BA$694,HLOOKUP(INDIRECT(ADDRESS(2,COLUMN())),OFFSET($BN$2,0,0,ROW()-1,60),ROW()-1,FALSE))</f>
        <v>7.8043958990000002</v>
      </c>
      <c r="BB248">
        <f ca="1">IF(AND(ISNUMBER($BB$694),$B$419=1),$BB$694,HLOOKUP(INDIRECT(ADDRESS(2,COLUMN())),OFFSET($BN$2,0,0,ROW()-1,60),ROW()-1,FALSE))</f>
        <v>7.6325195790000002</v>
      </c>
      <c r="BC248">
        <f ca="1">IF(AND(ISNUMBER($BC$694),$B$419=1),$BC$694,HLOOKUP(INDIRECT(ADDRESS(2,COLUMN())),OFFSET($BN$2,0,0,ROW()-1,60),ROW()-1,FALSE))</f>
        <v>7.5379900910000002</v>
      </c>
      <c r="BD248">
        <f ca="1">IF(AND(ISNUMBER($BD$694),$B$419=1),$BD$694,HLOOKUP(INDIRECT(ADDRESS(2,COLUMN())),OFFSET($BN$2,0,0,ROW()-1,60),ROW()-1,FALSE))</f>
        <v>7.3512195790000003</v>
      </c>
      <c r="BE248">
        <f ca="1">IF(AND(ISNUMBER($BE$694),$B$419=1),$BE$694,HLOOKUP(INDIRECT(ADDRESS(2,COLUMN())),OFFSET($BN$2,0,0,ROW()-1,60),ROW()-1,FALSE))</f>
        <v>10.6859561</v>
      </c>
      <c r="BF248">
        <f ca="1">IF(AND(ISNUMBER($BF$694),$B$419=1),$BF$694,HLOOKUP(INDIRECT(ADDRESS(2,COLUMN())),OFFSET($BN$2,0,0,ROW()-1,60),ROW()-1,FALSE))</f>
        <v>10.578109960000001</v>
      </c>
      <c r="BG248">
        <f ca="1">IF(AND(ISNUMBER($BG$694),$B$419=1),$BG$694,HLOOKUP(INDIRECT(ADDRESS(2,COLUMN())),OFFSET($BN$2,0,0,ROW()-1,60),ROW()-1,FALSE))</f>
        <v>10.785765400000001</v>
      </c>
      <c r="BH248">
        <f ca="1">IF(AND(ISNUMBER($BH$694),$B$419=1),$BH$694,HLOOKUP(INDIRECT(ADDRESS(2,COLUMN())),OFFSET($BN$2,0,0,ROW()-1,60),ROW()-1,FALSE))</f>
        <v>-28.692079530000001</v>
      </c>
      <c r="BI248">
        <f ca="1">IF(AND(ISNUMBER($BI$694),$B$419=1),$BI$694,HLOOKUP(INDIRECT(ADDRESS(2,COLUMN())),OFFSET($BN$2,0,0,ROW()-1,60),ROW()-1,FALSE))</f>
        <v>10.12946045</v>
      </c>
      <c r="BJ248">
        <f ca="1">IF(AND(ISNUMBER($BJ$694),$B$419=1),$BJ$694,HLOOKUP(INDIRECT(ADDRESS(2,COLUMN())),OFFSET($BN$2,0,0,ROW()-1,60),ROW()-1,FALSE))</f>
        <v>37.640681610000001</v>
      </c>
      <c r="BK248">
        <f ca="1">IF(AND(ISNUMBER($BK$694),$B$419=1),$BK$694,HLOOKUP(INDIRECT(ADDRESS(2,COLUMN())),OFFSET($BN$2,0,0,ROW()-1,60),ROW()-1,FALSE))</f>
        <v>39.087354439999999</v>
      </c>
      <c r="BL248">
        <f ca="1">IF(AND(ISNUMBER($BL$694),$B$419=1),$BL$694,HLOOKUP(INDIRECT(ADDRESS(2,COLUMN())),OFFSET($BN$2,0,0,ROW()-1,60),ROW()-1,FALSE))</f>
        <v>81.816589789999995</v>
      </c>
      <c r="BM248">
        <f ca="1">IF(AND(ISNUMBER($BM$694),$B$419=1),$BM$694,HLOOKUP(INDIRECT(ADDRESS(2,COLUMN())),OFFSET($BN$2,0,0,ROW()-1,60),ROW()-1,FALSE))</f>
        <v>38.549290460000002</v>
      </c>
      <c r="BN248" t="str">
        <f>""</f>
        <v/>
      </c>
      <c r="BO248">
        <f>7.712555341</f>
        <v>7.7125553409999998</v>
      </c>
      <c r="BP248">
        <f>8.01579763</f>
        <v>8.0157976299999998</v>
      </c>
      <c r="BQ248">
        <f>8.266141542</f>
        <v>8.2661415419999997</v>
      </c>
      <c r="BR248">
        <f>8.247142326</f>
        <v>8.2471423260000005</v>
      </c>
      <c r="BS248">
        <f>8.42357529</f>
        <v>8.4235752900000005</v>
      </c>
      <c r="BT248">
        <f>8.457037244</f>
        <v>8.4570372440000003</v>
      </c>
      <c r="BU248">
        <f>8.433033787</f>
        <v>8.4330337869999994</v>
      </c>
      <c r="BV248">
        <f>8.019666355</f>
        <v>8.019666355</v>
      </c>
      <c r="BW248">
        <f>8.01590473</f>
        <v>8.0159047300000008</v>
      </c>
      <c r="BX248">
        <f>7.732361174</f>
        <v>7.7323611740000002</v>
      </c>
      <c r="BY248">
        <f>7.544096757</f>
        <v>7.5440967570000002</v>
      </c>
      <c r="BZ248">
        <f>7.974023046</f>
        <v>7.9740230460000001</v>
      </c>
      <c r="CA248">
        <f>8.07206876</f>
        <v>8.0720687600000005</v>
      </c>
      <c r="CB248">
        <f>7.967424654</f>
        <v>7.9674246540000002</v>
      </c>
      <c r="CC248">
        <f>7.847093976</f>
        <v>7.847093976</v>
      </c>
      <c r="CD248">
        <f>7.682304118</f>
        <v>7.6823041180000002</v>
      </c>
      <c r="CE248">
        <f>7.717829069</f>
        <v>7.7178290690000004</v>
      </c>
      <c r="CF248">
        <f>8.108963278</f>
        <v>8.1089632779999992</v>
      </c>
      <c r="CG248">
        <f>8.083536176</f>
        <v>8.0835361760000009</v>
      </c>
      <c r="CH248">
        <f>8.076973227</f>
        <v>8.0769732269999999</v>
      </c>
      <c r="CI248">
        <f>7.902797858</f>
        <v>7.9027978579999996</v>
      </c>
      <c r="CJ248">
        <f>8.276401494</f>
        <v>8.2764014939999999</v>
      </c>
      <c r="CK248">
        <f>8.104403392</f>
        <v>8.104403392</v>
      </c>
      <c r="CL248">
        <f>8.018249506</f>
        <v>8.0182495060000001</v>
      </c>
      <c r="CM248">
        <f>7.974592983</f>
        <v>7.974592983</v>
      </c>
      <c r="CN248">
        <f>8.44404069</f>
        <v>8.4440406899999996</v>
      </c>
      <c r="CO248">
        <f>8.33389653</f>
        <v>8.3338965300000005</v>
      </c>
      <c r="CP248">
        <f>8.197620113</f>
        <v>8.1976201129999993</v>
      </c>
      <c r="CQ248">
        <f>8.222443548</f>
        <v>8.2224435479999993</v>
      </c>
      <c r="CR248">
        <f>8.144375568</f>
        <v>8.1443755679999992</v>
      </c>
      <c r="CS248">
        <f>8.051090532</f>
        <v>8.0510905319999999</v>
      </c>
      <c r="CT248">
        <f>7.95318257</f>
        <v>7.9531825700000001</v>
      </c>
      <c r="CU248">
        <f>7.268757819</f>
        <v>7.2687578190000002</v>
      </c>
      <c r="CV248">
        <f>7.246043183</f>
        <v>7.2460431830000003</v>
      </c>
      <c r="CW248">
        <f>7.38166117</f>
        <v>7.3816611700000001</v>
      </c>
      <c r="CX248">
        <f>7.423556761</f>
        <v>7.4235567610000004</v>
      </c>
      <c r="CY248">
        <f>8.064792966</f>
        <v>8.0647929660000006</v>
      </c>
      <c r="CZ248">
        <f>7.934194564</f>
        <v>7.9341945640000002</v>
      </c>
      <c r="DA248">
        <f>7.835207089</f>
        <v>7.8352070889999998</v>
      </c>
      <c r="DB248">
        <f>7.695261331</f>
        <v>7.6952613310000002</v>
      </c>
      <c r="DC248">
        <f>7.830408556</f>
        <v>7.8304085560000001</v>
      </c>
      <c r="DD248">
        <f>7.658333068</f>
        <v>7.6583330680000001</v>
      </c>
      <c r="DE248">
        <f>7.749705469</f>
        <v>7.7497054690000002</v>
      </c>
      <c r="DF248">
        <f>7.412878897</f>
        <v>7.4128788969999997</v>
      </c>
      <c r="DG248">
        <f>7.488437323</f>
        <v>7.4884373230000003</v>
      </c>
      <c r="DH248">
        <f>7.658929516</f>
        <v>7.6589295159999997</v>
      </c>
      <c r="DI248">
        <f>7.804395899</f>
        <v>7.8043958990000002</v>
      </c>
      <c r="DJ248">
        <f>7.632519579</f>
        <v>7.6325195790000002</v>
      </c>
      <c r="DK248">
        <f>7.537990091</f>
        <v>7.5379900910000002</v>
      </c>
      <c r="DL248">
        <f>7.351219579</f>
        <v>7.3512195790000003</v>
      </c>
      <c r="DM248">
        <f>10.6859561</f>
        <v>10.6859561</v>
      </c>
      <c r="DN248">
        <f>10.57810996</f>
        <v>10.578109960000001</v>
      </c>
      <c r="DO248">
        <f>10.7857654</f>
        <v>10.785765400000001</v>
      </c>
      <c r="DP248">
        <f>-28.69207953</f>
        <v>-28.692079530000001</v>
      </c>
      <c r="DQ248">
        <f>10.12946045</f>
        <v>10.12946045</v>
      </c>
      <c r="DR248">
        <f>37.64068161</f>
        <v>37.640681610000001</v>
      </c>
      <c r="DS248">
        <f>39.08735444</f>
        <v>39.087354439999999</v>
      </c>
      <c r="DT248">
        <f>81.81658979</f>
        <v>81.816589789999995</v>
      </c>
      <c r="DU248">
        <f>38.54929046</f>
        <v>38.549290460000002</v>
      </c>
    </row>
    <row r="249" spans="1:125">
      <c r="A249" t="str">
        <f>"    Kimco Realty Corp"</f>
        <v xml:space="preserve">    Kimco Realty Corp</v>
      </c>
      <c r="B249" t="str">
        <f>"KIM US Equity"</f>
        <v>KIM US Equity</v>
      </c>
      <c r="C249" t="str">
        <f t="shared" si="45"/>
        <v>RR554</v>
      </c>
      <c r="D249" t="str">
        <f t="shared" si="46"/>
        <v>FFO_RE_ASSET</v>
      </c>
      <c r="E249" t="str">
        <f t="shared" si="47"/>
        <v>动态</v>
      </c>
      <c r="F249" t="str">
        <f ca="1">IF(AND(ISNUMBER($F$695),$B$419=1),$F$695,HLOOKUP(INDIRECT(ADDRESS(2,COLUMN())),OFFSET($BN$2,0,0,ROW()-1,60),ROW()-1,FALSE))</f>
        <v/>
      </c>
      <c r="G249">
        <f ca="1">IF(AND(ISNUMBER($G$695),$B$419=1),$G$695,HLOOKUP(INDIRECT(ADDRESS(2,COLUMN())),OFFSET($BN$2,0,0,ROW()-1,60),ROW()-1,FALSE))</f>
        <v>6.1238828879999998</v>
      </c>
      <c r="H249">
        <f ca="1">IF(AND(ISNUMBER($H$695),$B$419=1),$H$695,HLOOKUP(INDIRECT(ADDRESS(2,COLUMN())),OFFSET($BN$2,0,0,ROW()-1,60),ROW()-1,FALSE))</f>
        <v>6.1915943379999998</v>
      </c>
      <c r="I249">
        <f ca="1">IF(AND(ISNUMBER($I$695),$B$419=1),$I$695,HLOOKUP(INDIRECT(ADDRESS(2,COLUMN())),OFFSET($BN$2,0,0,ROW()-1,60),ROW()-1,FALSE))</f>
        <v>5.4464597279999998</v>
      </c>
      <c r="J249">
        <f ca="1">IF(AND(ISNUMBER($J$695),$B$419=1),$J$695,HLOOKUP(INDIRECT(ADDRESS(2,COLUMN())),OFFSET($BN$2,0,0,ROW()-1,60),ROW()-1,FALSE))</f>
        <v>5.3232862870000002</v>
      </c>
      <c r="K249">
        <f ca="1">IF(AND(ISNUMBER($K$695),$B$419=1),$K$695,HLOOKUP(INDIRECT(ADDRESS(2,COLUMN())),OFFSET($BN$2,0,0,ROW()-1,60),ROW()-1,FALSE))</f>
        <v>5.3173271150000003</v>
      </c>
      <c r="L249">
        <f ca="1">IF(AND(ISNUMBER($L$695),$B$419=1),$L$695,HLOOKUP(INDIRECT(ADDRESS(2,COLUMN())),OFFSET($BN$2,0,0,ROW()-1,60),ROW()-1,FALSE))</f>
        <v>5.1338937910000002</v>
      </c>
      <c r="M249">
        <f ca="1">IF(AND(ISNUMBER($M$695),$B$419=1),$M$695,HLOOKUP(INDIRECT(ADDRESS(2,COLUMN())),OFFSET($BN$2,0,0,ROW()-1,60),ROW()-1,FALSE))</f>
        <v>5.9989021869999997</v>
      </c>
      <c r="N249">
        <f ca="1">IF(AND(ISNUMBER($N$695),$B$419=1),$N$695,HLOOKUP(INDIRECT(ADDRESS(2,COLUMN())),OFFSET($BN$2,0,0,ROW()-1,60),ROW()-1,FALSE))</f>
        <v>6.1743000529999996</v>
      </c>
      <c r="O249">
        <f ca="1">IF(AND(ISNUMBER($O$695),$B$419=1),$O$695,HLOOKUP(INDIRECT(ADDRESS(2,COLUMN())),OFFSET($BN$2,0,0,ROW()-1,60),ROW()-1,FALSE))</f>
        <v>6.4726274750000004</v>
      </c>
      <c r="P249">
        <f ca="1">IF(AND(ISNUMBER($P$695),$B$419=1),$P$695,HLOOKUP(INDIRECT(ADDRESS(2,COLUMN())),OFFSET($BN$2,0,0,ROW()-1,60),ROW()-1,FALSE))</f>
        <v>6.6243093059999998</v>
      </c>
      <c r="Q249">
        <f ca="1">IF(AND(ISNUMBER($Q$695),$B$419=1),$Q$695,HLOOKUP(INDIRECT(ADDRESS(2,COLUMN())),OFFSET($BN$2,0,0,ROW()-1,60),ROW()-1,FALSE))</f>
        <v>6.5875866719999996</v>
      </c>
      <c r="R249">
        <f ca="1">IF(AND(ISNUMBER($R$695),$B$419=1),$R$695,HLOOKUP(INDIRECT(ADDRESS(2,COLUMN())),OFFSET($BN$2,0,0,ROW()-1,60),ROW()-1,FALSE))</f>
        <v>6.2451905249999999</v>
      </c>
      <c r="S249">
        <f ca="1">IF(AND(ISNUMBER($S$695),$B$419=1),$S$695,HLOOKUP(INDIRECT(ADDRESS(2,COLUMN())),OFFSET($BN$2,0,0,ROW()-1,60),ROW()-1,FALSE))</f>
        <v>6.5352187089999996</v>
      </c>
      <c r="T249">
        <f ca="1">IF(AND(ISNUMBER($T$695),$B$419=1),$T$695,HLOOKUP(INDIRECT(ADDRESS(2,COLUMN())),OFFSET($BN$2,0,0,ROW()-1,60),ROW()-1,FALSE))</f>
        <v>6.3210664339999996</v>
      </c>
      <c r="U249">
        <f ca="1">IF(AND(ISNUMBER($U$695),$B$419=1),$U$695,HLOOKUP(INDIRECT(ADDRESS(2,COLUMN())),OFFSET($BN$2,0,0,ROW()-1,60),ROW()-1,FALSE))</f>
        <v>6.0352207699999996</v>
      </c>
      <c r="V249">
        <f ca="1">IF(AND(ISNUMBER($V$695),$B$419=1),$V$695,HLOOKUP(INDIRECT(ADDRESS(2,COLUMN())),OFFSET($BN$2,0,0,ROW()-1,60),ROW()-1,FALSE))</f>
        <v>6.1338731920000003</v>
      </c>
      <c r="W249">
        <f ca="1">IF(AND(ISNUMBER($W$695),$B$419=1),$W$695,HLOOKUP(INDIRECT(ADDRESS(2,COLUMN())),OFFSET($BN$2,0,0,ROW()-1,60),ROW()-1,FALSE))</f>
        <v>6.1996999910000001</v>
      </c>
      <c r="X249">
        <f ca="1">IF(AND(ISNUMBER($X$695),$B$419=1),$X$695,HLOOKUP(INDIRECT(ADDRESS(2,COLUMN())),OFFSET($BN$2,0,0,ROW()-1,60),ROW()-1,FALSE))</f>
        <v>6.0923274599999999</v>
      </c>
      <c r="Y249">
        <f ca="1">IF(AND(ISNUMBER($Y$695),$B$419=1),$Y$695,HLOOKUP(INDIRECT(ADDRESS(2,COLUMN())),OFFSET($BN$2,0,0,ROW()-1,60),ROW()-1,FALSE))</f>
        <v>5.7272564519999998</v>
      </c>
      <c r="Z249">
        <f ca="1">IF(AND(ISNUMBER($Z$695),$B$419=1),$Z$695,HLOOKUP(INDIRECT(ADDRESS(2,COLUMN())),OFFSET($BN$2,0,0,ROW()-1,60),ROW()-1,FALSE))</f>
        <v>5.684264958</v>
      </c>
      <c r="AA249">
        <f ca="1">IF(AND(ISNUMBER($AA$695),$B$419=1),$AA$695,HLOOKUP(INDIRECT(ADDRESS(2,COLUMN())),OFFSET($BN$2,0,0,ROW()-1,60),ROW()-1,FALSE))</f>
        <v>5.6880635289999999</v>
      </c>
      <c r="AB249">
        <f ca="1">IF(AND(ISNUMBER($AB$695),$B$419=1),$AB$695,HLOOKUP(INDIRECT(ADDRESS(2,COLUMN())),OFFSET($BN$2,0,0,ROW()-1,60),ROW()-1,FALSE))</f>
        <v>5.7939678160000003</v>
      </c>
      <c r="AC249">
        <f ca="1">IF(AND(ISNUMBER($AC$695),$B$419=1),$AC$695,HLOOKUP(INDIRECT(ADDRESS(2,COLUMN())),OFFSET($BN$2,0,0,ROW()-1,60),ROW()-1,FALSE))</f>
        <v>5.9042033209999998</v>
      </c>
      <c r="AD249">
        <f ca="1">IF(AND(ISNUMBER($AD$695),$B$419=1),$AD$695,HLOOKUP(INDIRECT(ADDRESS(2,COLUMN())),OFFSET($BN$2,0,0,ROW()-1,60),ROW()-1,FALSE))</f>
        <v>5.7483947869999996</v>
      </c>
      <c r="AE249">
        <f ca="1">IF(AND(ISNUMBER($AE$695),$B$419=1),$AE$695,HLOOKUP(INDIRECT(ADDRESS(2,COLUMN())),OFFSET($BN$2,0,0,ROW()-1,60),ROW()-1,FALSE))</f>
        <v>5.739098244</v>
      </c>
      <c r="AF249">
        <f ca="1">IF(AND(ISNUMBER($AF$695),$B$419=1),$AF$695,HLOOKUP(INDIRECT(ADDRESS(2,COLUMN())),OFFSET($BN$2,0,0,ROW()-1,60),ROW()-1,FALSE))</f>
        <v>5.7169151830000002</v>
      </c>
      <c r="AG249">
        <f ca="1">IF(AND(ISNUMBER($AG$695),$B$419=1),$AG$695,HLOOKUP(INDIRECT(ADDRESS(2,COLUMN())),OFFSET($BN$2,0,0,ROW()-1,60),ROW()-1,FALSE))</f>
        <v>5.3690688409999998</v>
      </c>
      <c r="AH249">
        <f ca="1">IF(AND(ISNUMBER($AH$695),$B$419=1),$AH$695,HLOOKUP(INDIRECT(ADDRESS(2,COLUMN())),OFFSET($BN$2,0,0,ROW()-1,60),ROW()-1,FALSE))</f>
        <v>5.0430824559999996</v>
      </c>
      <c r="AI249">
        <f ca="1">IF(AND(ISNUMBER($AI$695),$B$419=1),$AI$695,HLOOKUP(INDIRECT(ADDRESS(2,COLUMN())),OFFSET($BN$2,0,0,ROW()-1,60),ROW()-1,FALSE))</f>
        <v>5.2738098950000003</v>
      </c>
      <c r="AJ249">
        <f ca="1">IF(AND(ISNUMBER($AJ$695),$B$419=1),$AJ$695,HLOOKUP(INDIRECT(ADDRESS(2,COLUMN())),OFFSET($BN$2,0,0,ROW()-1,60),ROW()-1,FALSE))</f>
        <v>5.3071585749999999</v>
      </c>
      <c r="AK249">
        <f ca="1">IF(AND(ISNUMBER($AK$695),$B$419=1),$AK$695,HLOOKUP(INDIRECT(ADDRESS(2,COLUMN())),OFFSET($BN$2,0,0,ROW()-1,60),ROW()-1,FALSE))</f>
        <v>5.2981192070000001</v>
      </c>
      <c r="AL249">
        <f ca="1">IF(AND(ISNUMBER($AL$695),$B$419=1),$AL$695,HLOOKUP(INDIRECT(ADDRESS(2,COLUMN())),OFFSET($BN$2,0,0,ROW()-1,60),ROW()-1,FALSE))</f>
        <v>3.291296548</v>
      </c>
      <c r="AM249">
        <f ca="1">IF(AND(ISNUMBER($AM$695),$B$419=1),$AM$695,HLOOKUP(INDIRECT(ADDRESS(2,COLUMN())),OFFSET($BN$2,0,0,ROW()-1,60),ROW()-1,FALSE))</f>
        <v>3.3107691240000001</v>
      </c>
      <c r="AN249">
        <f ca="1">IF(AND(ISNUMBER($AN$695),$B$419=1),$AN$695,HLOOKUP(INDIRECT(ADDRESS(2,COLUMN())),OFFSET($BN$2,0,0,ROW()-1,60),ROW()-1,FALSE))</f>
        <v>2.0593741670000001</v>
      </c>
      <c r="AO249">
        <f ca="1">IF(AND(ISNUMBER($AO$695),$B$419=1),$AO$695,HLOOKUP(INDIRECT(ADDRESS(2,COLUMN())),OFFSET($BN$2,0,0,ROW()-1,60),ROW()-1,FALSE))</f>
        <v>2.8341354339999998</v>
      </c>
      <c r="AP249">
        <f ca="1">IF(AND(ISNUMBER($AP$695),$B$419=1),$AP$695,HLOOKUP(INDIRECT(ADDRESS(2,COLUMN())),OFFSET($BN$2,0,0,ROW()-1,60),ROW()-1,FALSE))</f>
        <v>5.603254916</v>
      </c>
      <c r="AQ249">
        <f ca="1">IF(AND(ISNUMBER($AQ$695),$B$419=1),$AQ$695,HLOOKUP(INDIRECT(ADDRESS(2,COLUMN())),OFFSET($BN$2,0,0,ROW()-1,60),ROW()-1,FALSE))</f>
        <v>6.175916462</v>
      </c>
      <c r="AR249">
        <f ca="1">IF(AND(ISNUMBER($AR$695),$B$419=1),$AR$695,HLOOKUP(INDIRECT(ADDRESS(2,COLUMN())),OFFSET($BN$2,0,0,ROW()-1,60),ROW()-1,FALSE))</f>
        <v>7.6020737069999997</v>
      </c>
      <c r="AS249">
        <f ca="1">IF(AND(ISNUMBER($AS$695),$B$419=1),$AS$695,HLOOKUP(INDIRECT(ADDRESS(2,COLUMN())),OFFSET($BN$2,0,0,ROW()-1,60),ROW()-1,FALSE))</f>
        <v>7.4946177409999999</v>
      </c>
      <c r="AT249">
        <f ca="1">IF(AND(ISNUMBER($AT$695),$B$419=1),$AT$695,HLOOKUP(INDIRECT(ADDRESS(2,COLUMN())),OFFSET($BN$2,0,0,ROW()-1,60),ROW()-1,FALSE))</f>
        <v>8.0829374230000006</v>
      </c>
      <c r="AU249">
        <f ca="1">IF(AND(ISNUMBER($AU$695),$B$419=1),$AU$695,HLOOKUP(INDIRECT(ADDRESS(2,COLUMN())),OFFSET($BN$2,0,0,ROW()-1,60),ROW()-1,FALSE))</f>
        <v>8.7901200090000007</v>
      </c>
      <c r="AV249">
        <f ca="1">IF(AND(ISNUMBER($AV$695),$B$419=1),$AV$695,HLOOKUP(INDIRECT(ADDRESS(2,COLUMN())),OFFSET($BN$2,0,0,ROW()-1,60),ROW()-1,FALSE))</f>
        <v>9.3412063869999997</v>
      </c>
      <c r="AW249">
        <f ca="1">IF(AND(ISNUMBER($AW$695),$B$419=1),$AW$695,HLOOKUP(INDIRECT(ADDRESS(2,COLUMN())),OFFSET($BN$2,0,0,ROW()-1,60),ROW()-1,FALSE))</f>
        <v>9.7082028999999999</v>
      </c>
      <c r="AX249">
        <f ca="1">IF(AND(ISNUMBER($AX$695),$B$419=1),$AX$695,HLOOKUP(INDIRECT(ADDRESS(2,COLUMN())),OFFSET($BN$2,0,0,ROW()-1,60),ROW()-1,FALSE))</f>
        <v>9.6703500869999992</v>
      </c>
      <c r="AY249">
        <f ca="1">IF(AND(ISNUMBER($AY$695),$B$419=1),$AY$695,HLOOKUP(INDIRECT(ADDRESS(2,COLUMN())),OFFSET($BN$2,0,0,ROW()-1,60),ROW()-1,FALSE))</f>
        <v>9.188491741</v>
      </c>
      <c r="AZ249">
        <f ca="1">IF(AND(ISNUMBER($AZ$695),$B$419=1),$AZ$695,HLOOKUP(INDIRECT(ADDRESS(2,COLUMN())),OFFSET($BN$2,0,0,ROW()-1,60),ROW()-1,FALSE))</f>
        <v>9.5501492970000008</v>
      </c>
      <c r="BA249">
        <f ca="1">IF(AND(ISNUMBER($BA$695),$B$419=1),$BA$695,HLOOKUP(INDIRECT(ADDRESS(2,COLUMN())),OFFSET($BN$2,0,0,ROW()-1,60),ROW()-1,FALSE))</f>
        <v>9.5253005589999997</v>
      </c>
      <c r="BB249">
        <f ca="1">IF(AND(ISNUMBER($BB$695),$B$419=1),$BB$695,HLOOKUP(INDIRECT(ADDRESS(2,COLUMN())),OFFSET($BN$2,0,0,ROW()-1,60),ROW()-1,FALSE))</f>
        <v>9.5590368290000001</v>
      </c>
      <c r="BC249">
        <f ca="1">IF(AND(ISNUMBER($BC$695),$B$419=1),$BC$695,HLOOKUP(INDIRECT(ADDRESS(2,COLUMN())),OFFSET($BN$2,0,0,ROW()-1,60),ROW()-1,FALSE))</f>
        <v>9.9361051230000008</v>
      </c>
      <c r="BD249">
        <f ca="1">IF(AND(ISNUMBER($BD$695),$B$419=1),$BD$695,HLOOKUP(INDIRECT(ADDRESS(2,COLUMN())),OFFSET($BN$2,0,0,ROW()-1,60),ROW()-1,FALSE))</f>
        <v>10.25205558</v>
      </c>
      <c r="BE249">
        <f ca="1">IF(AND(ISNUMBER($BE$695),$B$419=1),$BE$695,HLOOKUP(INDIRECT(ADDRESS(2,COLUMN())),OFFSET($BN$2,0,0,ROW()-1,60),ROW()-1,FALSE))</f>
        <v>9.9654160150000006</v>
      </c>
      <c r="BF249" t="str">
        <f ca="1">IF(AND(ISNUMBER($BF$695),$B$419=1),$BF$695,HLOOKUP(INDIRECT(ADDRESS(2,COLUMN())),OFFSET($BN$2,0,0,ROW()-1,60),ROW()-1,FALSE))</f>
        <v/>
      </c>
      <c r="BG249" t="str">
        <f ca="1">IF(AND(ISNUMBER($BG$695),$B$419=1),$BG$695,HLOOKUP(INDIRECT(ADDRESS(2,COLUMN())),OFFSET($BN$2,0,0,ROW()-1,60),ROW()-1,FALSE))</f>
        <v/>
      </c>
      <c r="BH249" t="str">
        <f ca="1">IF(AND(ISNUMBER($BH$695),$B$419=1),$BH$695,HLOOKUP(INDIRECT(ADDRESS(2,COLUMN())),OFFSET($BN$2,0,0,ROW()-1,60),ROW()-1,FALSE))</f>
        <v/>
      </c>
      <c r="BI249" t="str">
        <f ca="1">IF(AND(ISNUMBER($BI$695),$B$419=1),$BI$695,HLOOKUP(INDIRECT(ADDRESS(2,COLUMN())),OFFSET($BN$2,0,0,ROW()-1,60),ROW()-1,FALSE))</f>
        <v/>
      </c>
      <c r="BJ249" t="str">
        <f ca="1">IF(AND(ISNUMBER($BJ$695),$B$419=1),$BJ$695,HLOOKUP(INDIRECT(ADDRESS(2,COLUMN())),OFFSET($BN$2,0,0,ROW()-1,60),ROW()-1,FALSE))</f>
        <v/>
      </c>
      <c r="BK249" t="str">
        <f ca="1">IF(AND(ISNUMBER($BK$695),$B$419=1),$BK$695,HLOOKUP(INDIRECT(ADDRESS(2,COLUMN())),OFFSET($BN$2,0,0,ROW()-1,60),ROW()-1,FALSE))</f>
        <v/>
      </c>
      <c r="BL249" t="str">
        <f ca="1">IF(AND(ISNUMBER($BL$695),$B$419=1),$BL$695,HLOOKUP(INDIRECT(ADDRESS(2,COLUMN())),OFFSET($BN$2,0,0,ROW()-1,60),ROW()-1,FALSE))</f>
        <v/>
      </c>
      <c r="BM249" t="str">
        <f ca="1">IF(AND(ISNUMBER($BM$695),$B$419=1),$BM$695,HLOOKUP(INDIRECT(ADDRESS(2,COLUMN())),OFFSET($BN$2,0,0,ROW()-1,60),ROW()-1,FALSE))</f>
        <v/>
      </c>
      <c r="BN249" t="str">
        <f>""</f>
        <v/>
      </c>
      <c r="BO249">
        <f>6.123882888</f>
        <v>6.1238828879999998</v>
      </c>
      <c r="BP249">
        <f>6.191594338</f>
        <v>6.1915943379999998</v>
      </c>
      <c r="BQ249">
        <f>5.446459728</f>
        <v>5.4464597279999998</v>
      </c>
      <c r="BR249">
        <f>5.323286287</f>
        <v>5.3232862870000002</v>
      </c>
      <c r="BS249">
        <f>5.317327115</f>
        <v>5.3173271150000003</v>
      </c>
      <c r="BT249">
        <f>5.133893791</f>
        <v>5.1338937910000002</v>
      </c>
      <c r="BU249">
        <f>5.998902187</f>
        <v>5.9989021869999997</v>
      </c>
      <c r="BV249">
        <f>6.174300053</f>
        <v>6.1743000529999996</v>
      </c>
      <c r="BW249">
        <f>6.472627475</f>
        <v>6.4726274750000004</v>
      </c>
      <c r="BX249">
        <f>6.624309306</f>
        <v>6.6243093059999998</v>
      </c>
      <c r="BY249">
        <f>6.587586672</f>
        <v>6.5875866719999996</v>
      </c>
      <c r="BZ249">
        <f>6.245190525</f>
        <v>6.2451905249999999</v>
      </c>
      <c r="CA249">
        <f>6.535218709</f>
        <v>6.5352187089999996</v>
      </c>
      <c r="CB249">
        <f>6.321066434</f>
        <v>6.3210664339999996</v>
      </c>
      <c r="CC249">
        <f>6.03522077</f>
        <v>6.0352207699999996</v>
      </c>
      <c r="CD249">
        <f>6.133873192</f>
        <v>6.1338731920000003</v>
      </c>
      <c r="CE249">
        <f>6.199699991</f>
        <v>6.1996999910000001</v>
      </c>
      <c r="CF249">
        <f>6.09232746</f>
        <v>6.0923274599999999</v>
      </c>
      <c r="CG249">
        <f>5.727256452</f>
        <v>5.7272564519999998</v>
      </c>
      <c r="CH249">
        <f>5.684264958</f>
        <v>5.684264958</v>
      </c>
      <c r="CI249">
        <f>5.688063529</f>
        <v>5.6880635289999999</v>
      </c>
      <c r="CJ249">
        <f>5.793967816</f>
        <v>5.7939678160000003</v>
      </c>
      <c r="CK249">
        <f>5.904203321</f>
        <v>5.9042033209999998</v>
      </c>
      <c r="CL249">
        <f>5.748394787</f>
        <v>5.7483947869999996</v>
      </c>
      <c r="CM249">
        <f>5.739098244</f>
        <v>5.739098244</v>
      </c>
      <c r="CN249">
        <f>5.716915183</f>
        <v>5.7169151830000002</v>
      </c>
      <c r="CO249">
        <f>5.369068841</f>
        <v>5.3690688409999998</v>
      </c>
      <c r="CP249">
        <f>5.043082456</f>
        <v>5.0430824559999996</v>
      </c>
      <c r="CQ249">
        <f>5.273809895</f>
        <v>5.2738098950000003</v>
      </c>
      <c r="CR249">
        <f>5.307158575</f>
        <v>5.3071585749999999</v>
      </c>
      <c r="CS249">
        <f>5.298119207</f>
        <v>5.2981192070000001</v>
      </c>
      <c r="CT249">
        <f>3.291296548</f>
        <v>3.291296548</v>
      </c>
      <c r="CU249">
        <f>3.310769124</f>
        <v>3.3107691240000001</v>
      </c>
      <c r="CV249">
        <f>2.059374167</f>
        <v>2.0593741670000001</v>
      </c>
      <c r="CW249">
        <f>2.834135434</f>
        <v>2.8341354339999998</v>
      </c>
      <c r="CX249">
        <f>5.603254916</f>
        <v>5.603254916</v>
      </c>
      <c r="CY249">
        <f>6.175916462</f>
        <v>6.175916462</v>
      </c>
      <c r="CZ249">
        <f>7.602073707</f>
        <v>7.6020737069999997</v>
      </c>
      <c r="DA249">
        <f>7.494617741</f>
        <v>7.4946177409999999</v>
      </c>
      <c r="DB249">
        <f>8.082937423</f>
        <v>8.0829374230000006</v>
      </c>
      <c r="DC249">
        <f>8.790120009</f>
        <v>8.7901200090000007</v>
      </c>
      <c r="DD249">
        <f>9.341206387</f>
        <v>9.3412063869999997</v>
      </c>
      <c r="DE249">
        <f>9.7082029</f>
        <v>9.7082028999999999</v>
      </c>
      <c r="DF249">
        <f>9.670350087</f>
        <v>9.6703500869999992</v>
      </c>
      <c r="DG249">
        <f>9.188491741</f>
        <v>9.188491741</v>
      </c>
      <c r="DH249">
        <f>9.550149297</f>
        <v>9.5501492970000008</v>
      </c>
      <c r="DI249">
        <f>9.525300559</f>
        <v>9.5253005589999997</v>
      </c>
      <c r="DJ249">
        <f>9.559036829</f>
        <v>9.5590368290000001</v>
      </c>
      <c r="DK249">
        <f>9.936105123</f>
        <v>9.9361051230000008</v>
      </c>
      <c r="DL249">
        <f>10.25205558</f>
        <v>10.25205558</v>
      </c>
      <c r="DM249">
        <f>9.965416015</f>
        <v>9.9654160150000006</v>
      </c>
      <c r="DN249" t="str">
        <f>""</f>
        <v/>
      </c>
      <c r="DO249" t="str">
        <f>""</f>
        <v/>
      </c>
      <c r="DP249" t="str">
        <f>""</f>
        <v/>
      </c>
      <c r="DQ249" t="str">
        <f>""</f>
        <v/>
      </c>
      <c r="DR249" t="str">
        <f>""</f>
        <v/>
      </c>
      <c r="DS249" t="str">
        <f>""</f>
        <v/>
      </c>
      <c r="DT249" t="str">
        <f>""</f>
        <v/>
      </c>
      <c r="DU249" t="str">
        <f>""</f>
        <v/>
      </c>
    </row>
    <row r="250" spans="1:125">
      <c r="A250" t="str">
        <f>"    National Retail Properties Inc"</f>
        <v xml:space="preserve">    National Retail Properties Inc</v>
      </c>
      <c r="B250" t="str">
        <f>"NNN US Equity"</f>
        <v>NNN US Equity</v>
      </c>
      <c r="C250" t="str">
        <f t="shared" si="45"/>
        <v>RR554</v>
      </c>
      <c r="D250" t="str">
        <f t="shared" si="46"/>
        <v>FFO_RE_ASSET</v>
      </c>
      <c r="E250" t="str">
        <f t="shared" si="47"/>
        <v>动态</v>
      </c>
      <c r="F250" t="str">
        <f ca="1">IF(AND(ISNUMBER($F$696),$B$419=1),$F$696,HLOOKUP(INDIRECT(ADDRESS(2,COLUMN())),OFFSET($BN$2,0,0,ROW()-1,60),ROW()-1,FALSE))</f>
        <v/>
      </c>
      <c r="G250">
        <f ca="1">IF(AND(ISNUMBER($G$696),$B$419=1),$G$696,HLOOKUP(INDIRECT(ADDRESS(2,COLUMN())),OFFSET($BN$2,0,0,ROW()-1,60),ROW()-1,FALSE))</f>
        <v>5.8124021309999998</v>
      </c>
      <c r="H250">
        <f ca="1">IF(AND(ISNUMBER($H$696),$B$419=1),$H$696,HLOOKUP(INDIRECT(ADDRESS(2,COLUMN())),OFFSET($BN$2,0,0,ROW()-1,60),ROW()-1,FALSE))</f>
        <v>5.8919698040000004</v>
      </c>
      <c r="I250">
        <f ca="1">IF(AND(ISNUMBER($I$696),$B$419=1),$I$696,HLOOKUP(INDIRECT(ADDRESS(2,COLUMN())),OFFSET($BN$2,0,0,ROW()-1,60),ROW()-1,FALSE))</f>
        <v>5.6659970800000004</v>
      </c>
      <c r="J250">
        <f ca="1">IF(AND(ISNUMBER($J$696),$B$419=1),$J$696,HLOOKUP(INDIRECT(ADDRESS(2,COLUMN())),OFFSET($BN$2,0,0,ROW()-1,60),ROW()-1,FALSE))</f>
        <v>5.8029954769999996</v>
      </c>
      <c r="K250">
        <f ca="1">IF(AND(ISNUMBER($K$696),$B$419=1),$K$696,HLOOKUP(INDIRECT(ADDRESS(2,COLUMN())),OFFSET($BN$2,0,0,ROW()-1,60),ROW()-1,FALSE))</f>
        <v>5.8817641629999997</v>
      </c>
      <c r="L250">
        <f ca="1">IF(AND(ISNUMBER($L$696),$B$419=1),$L$696,HLOOKUP(INDIRECT(ADDRESS(2,COLUMN())),OFFSET($BN$2,0,0,ROW()-1,60),ROW()-1,FALSE))</f>
        <v>5.6575280040000004</v>
      </c>
      <c r="M250">
        <f ca="1">IF(AND(ISNUMBER($M$696),$B$419=1),$M$696,HLOOKUP(INDIRECT(ADDRESS(2,COLUMN())),OFFSET($BN$2,0,0,ROW()-1,60),ROW()-1,FALSE))</f>
        <v>5.7495031729999999</v>
      </c>
      <c r="N250">
        <f ca="1">IF(AND(ISNUMBER($N$696),$B$419=1),$N$696,HLOOKUP(INDIRECT(ADDRESS(2,COLUMN())),OFFSET($BN$2,0,0,ROW()-1,60),ROW()-1,FALSE))</f>
        <v>5.8261269540000002</v>
      </c>
      <c r="O250">
        <f ca="1">IF(AND(ISNUMBER($O$696),$B$419=1),$O$696,HLOOKUP(INDIRECT(ADDRESS(2,COLUMN())),OFFSET($BN$2,0,0,ROW()-1,60),ROW()-1,FALSE))</f>
        <v>5.7345168470000001</v>
      </c>
      <c r="P250">
        <f ca="1">IF(AND(ISNUMBER($P$696),$B$419=1),$P$696,HLOOKUP(INDIRECT(ADDRESS(2,COLUMN())),OFFSET($BN$2,0,0,ROW()-1,60),ROW()-1,FALSE))</f>
        <v>5.9301536160000001</v>
      </c>
      <c r="Q250">
        <f ca="1">IF(AND(ISNUMBER($Q$696),$B$419=1),$Q$696,HLOOKUP(INDIRECT(ADDRESS(2,COLUMN())),OFFSET($BN$2,0,0,ROW()-1,60),ROW()-1,FALSE))</f>
        <v>5.989245779</v>
      </c>
      <c r="R250">
        <f ca="1">IF(AND(ISNUMBER($R$696),$B$419=1),$R$696,HLOOKUP(INDIRECT(ADDRESS(2,COLUMN())),OFFSET($BN$2,0,0,ROW()-1,60),ROW()-1,FALSE))</f>
        <v>5.8485217980000002</v>
      </c>
      <c r="S250">
        <f ca="1">IF(AND(ISNUMBER($S$696),$B$419=1),$S$696,HLOOKUP(INDIRECT(ADDRESS(2,COLUMN())),OFFSET($BN$2,0,0,ROW()-1,60),ROW()-1,FALSE))</f>
        <v>5.7492531920000003</v>
      </c>
      <c r="T250">
        <f ca="1">IF(AND(ISNUMBER($T$696),$B$419=1),$T$696,HLOOKUP(INDIRECT(ADDRESS(2,COLUMN())),OFFSET($BN$2,0,0,ROW()-1,60),ROW()-1,FALSE))</f>
        <v>5.5353804389999999</v>
      </c>
      <c r="U250">
        <f ca="1">IF(AND(ISNUMBER($U$696),$B$419=1),$U$696,HLOOKUP(INDIRECT(ADDRESS(2,COLUMN())),OFFSET($BN$2,0,0,ROW()-1,60),ROW()-1,FALSE))</f>
        <v>5.6117631159999997</v>
      </c>
      <c r="V250">
        <f ca="1">IF(AND(ISNUMBER($V$696),$B$419=1),$V$696,HLOOKUP(INDIRECT(ADDRESS(2,COLUMN())),OFFSET($BN$2,0,0,ROW()-1,60),ROW()-1,FALSE))</f>
        <v>5.7253877759999998</v>
      </c>
      <c r="W250">
        <f ca="1">IF(AND(ISNUMBER($W$696),$B$419=1),$W$696,HLOOKUP(INDIRECT(ADDRESS(2,COLUMN())),OFFSET($BN$2,0,0,ROW()-1,60),ROW()-1,FALSE))</f>
        <v>5.603716897</v>
      </c>
      <c r="X250">
        <f ca="1">IF(AND(ISNUMBER($X$696),$B$419=1),$X$696,HLOOKUP(INDIRECT(ADDRESS(2,COLUMN())),OFFSET($BN$2,0,0,ROW()-1,60),ROW()-1,FALSE))</f>
        <v>5.5125354010000001</v>
      </c>
      <c r="Y250">
        <f ca="1">IF(AND(ISNUMBER($Y$696),$B$419=1),$Y$696,HLOOKUP(INDIRECT(ADDRESS(2,COLUMN())),OFFSET($BN$2,0,0,ROW()-1,60),ROW()-1,FALSE))</f>
        <v>5.5138386600000002</v>
      </c>
      <c r="Z250">
        <f ca="1">IF(AND(ISNUMBER($Z$696),$B$419=1),$Z$696,HLOOKUP(INDIRECT(ADDRESS(2,COLUMN())),OFFSET($BN$2,0,0,ROW()-1,60),ROW()-1,FALSE))</f>
        <v>5.5742983930000003</v>
      </c>
      <c r="AA250">
        <f ca="1">IF(AND(ISNUMBER($AA$696),$B$419=1),$AA$696,HLOOKUP(INDIRECT(ADDRESS(2,COLUMN())),OFFSET($BN$2,0,0,ROW()-1,60),ROW()-1,FALSE))</f>
        <v>5.332478772</v>
      </c>
      <c r="AB250">
        <f ca="1">IF(AND(ISNUMBER($AB$696),$B$419=1),$AB$696,HLOOKUP(INDIRECT(ADDRESS(2,COLUMN())),OFFSET($BN$2,0,0,ROW()-1,60),ROW()-1,FALSE))</f>
        <v>5.4682859930000003</v>
      </c>
      <c r="AC250">
        <f ca="1">IF(AND(ISNUMBER($AC$696),$B$419=1),$AC$696,HLOOKUP(INDIRECT(ADDRESS(2,COLUMN())),OFFSET($BN$2,0,0,ROW()-1,60),ROW()-1,FALSE))</f>
        <v>5.1027080959999997</v>
      </c>
      <c r="AD250">
        <f ca="1">IF(AND(ISNUMBER($AD$696),$B$419=1),$AD$696,HLOOKUP(INDIRECT(ADDRESS(2,COLUMN())),OFFSET($BN$2,0,0,ROW()-1,60),ROW()-1,FALSE))</f>
        <v>4.8345745689999999</v>
      </c>
      <c r="AE250">
        <f ca="1">IF(AND(ISNUMBER($AE$696),$B$419=1),$AE$696,HLOOKUP(INDIRECT(ADDRESS(2,COLUMN())),OFFSET($BN$2,0,0,ROW()-1,60),ROW()-1,FALSE))</f>
        <v>4.5925517899999999</v>
      </c>
      <c r="AF250">
        <f ca="1">IF(AND(ISNUMBER($AF$696),$B$419=1),$AF$696,HLOOKUP(INDIRECT(ADDRESS(2,COLUMN())),OFFSET($BN$2,0,0,ROW()-1,60),ROW()-1,FALSE))</f>
        <v>4.3967725</v>
      </c>
      <c r="AG250">
        <f ca="1">IF(AND(ISNUMBER($AG$696),$B$419=1),$AG$696,HLOOKUP(INDIRECT(ADDRESS(2,COLUMN())),OFFSET($BN$2,0,0,ROW()-1,60),ROW()-1,FALSE))</f>
        <v>4.5288337009999999</v>
      </c>
      <c r="AH250">
        <f ca="1">IF(AND(ISNUMBER($AH$696),$B$419=1),$AH$696,HLOOKUP(INDIRECT(ADDRESS(2,COLUMN())),OFFSET($BN$2,0,0,ROW()-1,60),ROW()-1,FALSE))</f>
        <v>4.4295308249999996</v>
      </c>
      <c r="AI250">
        <f ca="1">IF(AND(ISNUMBER($AI$696),$B$419=1),$AI$696,HLOOKUP(INDIRECT(ADDRESS(2,COLUMN())),OFFSET($BN$2,0,0,ROW()-1,60),ROW()-1,FALSE))</f>
        <v>4.185081125</v>
      </c>
      <c r="AJ250">
        <f ca="1">IF(AND(ISNUMBER($AJ$696),$B$419=1),$AJ$696,HLOOKUP(INDIRECT(ADDRESS(2,COLUMN())),OFFSET($BN$2,0,0,ROW()-1,60),ROW()-1,FALSE))</f>
        <v>3.1841509220000002</v>
      </c>
      <c r="AK250">
        <f ca="1">IF(AND(ISNUMBER($AK$696),$B$419=1),$AK$696,HLOOKUP(INDIRECT(ADDRESS(2,COLUMN())),OFFSET($BN$2,0,0,ROW()-1,60),ROW()-1,FALSE))</f>
        <v>3.2911375760000001</v>
      </c>
      <c r="AL250">
        <f ca="1">IF(AND(ISNUMBER($AL$696),$B$419=1),$AL$696,HLOOKUP(INDIRECT(ADDRESS(2,COLUMN())),OFFSET($BN$2,0,0,ROW()-1,60),ROW()-1,FALSE))</f>
        <v>3.168834666</v>
      </c>
      <c r="AM250">
        <f ca="1">IF(AND(ISNUMBER($AM$696),$B$419=1),$AM$696,HLOOKUP(INDIRECT(ADDRESS(2,COLUMN())),OFFSET($BN$2,0,0,ROW()-1,60),ROW()-1,FALSE))</f>
        <v>3.526088449</v>
      </c>
      <c r="AN250">
        <f ca="1">IF(AND(ISNUMBER($AN$696),$B$419=1),$AN$696,HLOOKUP(INDIRECT(ADDRESS(2,COLUMN())),OFFSET($BN$2,0,0,ROW()-1,60),ROW()-1,FALSE))</f>
        <v>5.045936244</v>
      </c>
      <c r="AO250">
        <f ca="1">IF(AND(ISNUMBER($AO$696),$B$419=1),$AO$696,HLOOKUP(INDIRECT(ADDRESS(2,COLUMN())),OFFSET($BN$2,0,0,ROW()-1,60),ROW()-1,FALSE))</f>
        <v>5.2128714340000002</v>
      </c>
      <c r="AP250">
        <f ca="1">IF(AND(ISNUMBER($AP$696),$B$419=1),$AP$696,HLOOKUP(INDIRECT(ADDRESS(2,COLUMN())),OFFSET($BN$2,0,0,ROW()-1,60),ROW()-1,FALSE))</f>
        <v>5.5901138909999997</v>
      </c>
      <c r="AQ250">
        <f ca="1">IF(AND(ISNUMBER($AQ$696),$B$419=1),$AQ$696,HLOOKUP(INDIRECT(ADDRESS(2,COLUMN())),OFFSET($BN$2,0,0,ROW()-1,60),ROW()-1,FALSE))</f>
        <v>5.8031095109999997</v>
      </c>
      <c r="AR250">
        <f ca="1">IF(AND(ISNUMBER($AR$696),$B$419=1),$AR$696,HLOOKUP(INDIRECT(ADDRESS(2,COLUMN())),OFFSET($BN$2,0,0,ROW()-1,60),ROW()-1,FALSE))</f>
        <v>5.9406231219999999</v>
      </c>
      <c r="AS250">
        <f ca="1">IF(AND(ISNUMBER($AS$696),$B$419=1),$AS$696,HLOOKUP(INDIRECT(ADDRESS(2,COLUMN())),OFFSET($BN$2,0,0,ROW()-1,60),ROW()-1,FALSE))</f>
        <v>5.7775706409999996</v>
      </c>
      <c r="AT250">
        <f ca="1">IF(AND(ISNUMBER($AT$696),$B$419=1),$AT$696,HLOOKUP(INDIRECT(ADDRESS(2,COLUMN())),OFFSET($BN$2,0,0,ROW()-1,60),ROW()-1,FALSE))</f>
        <v>5.9458650610000001</v>
      </c>
      <c r="AU250">
        <f ca="1">IF(AND(ISNUMBER($AU$696),$B$419=1),$AU$696,HLOOKUP(INDIRECT(ADDRESS(2,COLUMN())),OFFSET($BN$2,0,0,ROW()-1,60),ROW()-1,FALSE))</f>
        <v>5.855294067</v>
      </c>
      <c r="AV250">
        <f ca="1">IF(AND(ISNUMBER($AV$696),$B$419=1),$AV$696,HLOOKUP(INDIRECT(ADDRESS(2,COLUMN())),OFFSET($BN$2,0,0,ROW()-1,60),ROW()-1,FALSE))</f>
        <v>6.0999885909999998</v>
      </c>
      <c r="AW250">
        <f ca="1">IF(AND(ISNUMBER($AW$696),$B$419=1),$AW$696,HLOOKUP(INDIRECT(ADDRESS(2,COLUMN())),OFFSET($BN$2,0,0,ROW()-1,60),ROW()-1,FALSE))</f>
        <v>5.9324837029999999</v>
      </c>
      <c r="AX250">
        <f ca="1">IF(AND(ISNUMBER($AX$696),$B$419=1),$AX$696,HLOOKUP(INDIRECT(ADDRESS(2,COLUMN())),OFFSET($BN$2,0,0,ROW()-1,60),ROW()-1,FALSE))</f>
        <v>5.9197896549999998</v>
      </c>
      <c r="AY250">
        <f ca="1">IF(AND(ISNUMBER($AY$696),$B$419=1),$AY$696,HLOOKUP(INDIRECT(ADDRESS(2,COLUMN())),OFFSET($BN$2,0,0,ROW()-1,60),ROW()-1,FALSE))</f>
        <v>5.6557980949999997</v>
      </c>
      <c r="AZ250">
        <f ca="1">IF(AND(ISNUMBER($AZ$696),$B$419=1),$AZ$696,HLOOKUP(INDIRECT(ADDRESS(2,COLUMN())),OFFSET($BN$2,0,0,ROW()-1,60),ROW()-1,FALSE))</f>
        <v>8.3034942950000001</v>
      </c>
      <c r="BA250">
        <f ca="1">IF(AND(ISNUMBER($BA$696),$B$419=1),$BA$696,HLOOKUP(INDIRECT(ADDRESS(2,COLUMN())),OFFSET($BN$2,0,0,ROW()-1,60),ROW()-1,FALSE))</f>
        <v>8.6588118129999998</v>
      </c>
      <c r="BB250">
        <f ca="1">IF(AND(ISNUMBER($BB$696),$B$419=1),$BB$696,HLOOKUP(INDIRECT(ADDRESS(2,COLUMN())),OFFSET($BN$2,0,0,ROW()-1,60),ROW()-1,FALSE))</f>
        <v>5.8577666199999996</v>
      </c>
      <c r="BC250">
        <f ca="1">IF(AND(ISNUMBER($BC$696),$B$419=1),$BC$696,HLOOKUP(INDIRECT(ADDRESS(2,COLUMN())),OFFSET($BN$2,0,0,ROW()-1,60),ROW()-1,FALSE))</f>
        <v>5.6885283070000003</v>
      </c>
      <c r="BD250">
        <f ca="1">IF(AND(ISNUMBER($BD$696),$B$419=1),$BD$696,HLOOKUP(INDIRECT(ADDRESS(2,COLUMN())),OFFSET($BN$2,0,0,ROW()-1,60),ROW()-1,FALSE))</f>
        <v>3.1193538689999998</v>
      </c>
      <c r="BE250">
        <f ca="1">IF(AND(ISNUMBER($BE$696),$B$419=1),$BE$696,HLOOKUP(INDIRECT(ADDRESS(2,COLUMN())),OFFSET($BN$2,0,0,ROW()-1,60),ROW()-1,FALSE))</f>
        <v>1.583667709</v>
      </c>
      <c r="BF250" t="str">
        <f ca="1">IF(AND(ISNUMBER($BF$696),$B$419=1),$BF$696,HLOOKUP(INDIRECT(ADDRESS(2,COLUMN())),OFFSET($BN$2,0,0,ROW()-1,60),ROW()-1,FALSE))</f>
        <v/>
      </c>
      <c r="BG250" t="str">
        <f ca="1">IF(AND(ISNUMBER($BG$696),$B$419=1),$BG$696,HLOOKUP(INDIRECT(ADDRESS(2,COLUMN())),OFFSET($BN$2,0,0,ROW()-1,60),ROW()-1,FALSE))</f>
        <v/>
      </c>
      <c r="BH250" t="str">
        <f ca="1">IF(AND(ISNUMBER($BH$696),$B$419=1),$BH$696,HLOOKUP(INDIRECT(ADDRESS(2,COLUMN())),OFFSET($BN$2,0,0,ROW()-1,60),ROW()-1,FALSE))</f>
        <v/>
      </c>
      <c r="BI250" t="str">
        <f ca="1">IF(AND(ISNUMBER($BI$696),$B$419=1),$BI$696,HLOOKUP(INDIRECT(ADDRESS(2,COLUMN())),OFFSET($BN$2,0,0,ROW()-1,60),ROW()-1,FALSE))</f>
        <v/>
      </c>
      <c r="BJ250" t="str">
        <f ca="1">IF(AND(ISNUMBER($BJ$696),$B$419=1),$BJ$696,HLOOKUP(INDIRECT(ADDRESS(2,COLUMN())),OFFSET($BN$2,0,0,ROW()-1,60),ROW()-1,FALSE))</f>
        <v/>
      </c>
      <c r="BK250" t="str">
        <f ca="1">IF(AND(ISNUMBER($BK$696),$B$419=1),$BK$696,HLOOKUP(INDIRECT(ADDRESS(2,COLUMN())),OFFSET($BN$2,0,0,ROW()-1,60),ROW()-1,FALSE))</f>
        <v/>
      </c>
      <c r="BL250" t="str">
        <f ca="1">IF(AND(ISNUMBER($BL$696),$B$419=1),$BL$696,HLOOKUP(INDIRECT(ADDRESS(2,COLUMN())),OFFSET($BN$2,0,0,ROW()-1,60),ROW()-1,FALSE))</f>
        <v/>
      </c>
      <c r="BM250" t="str">
        <f ca="1">IF(AND(ISNUMBER($BM$696),$B$419=1),$BM$696,HLOOKUP(INDIRECT(ADDRESS(2,COLUMN())),OFFSET($BN$2,0,0,ROW()-1,60),ROW()-1,FALSE))</f>
        <v/>
      </c>
      <c r="BN250" t="str">
        <f>""</f>
        <v/>
      </c>
      <c r="BO250">
        <f>5.812402131</f>
        <v>5.8124021309999998</v>
      </c>
      <c r="BP250">
        <f>5.891969804</f>
        <v>5.8919698040000004</v>
      </c>
      <c r="BQ250">
        <f>5.66599708</f>
        <v>5.6659970800000004</v>
      </c>
      <c r="BR250">
        <f>5.802995477</f>
        <v>5.8029954769999996</v>
      </c>
      <c r="BS250">
        <f>5.881764163</f>
        <v>5.8817641629999997</v>
      </c>
      <c r="BT250">
        <f>5.657528004</f>
        <v>5.6575280040000004</v>
      </c>
      <c r="BU250">
        <f>5.749503173</f>
        <v>5.7495031729999999</v>
      </c>
      <c r="BV250">
        <f>5.826126954</f>
        <v>5.8261269540000002</v>
      </c>
      <c r="BW250">
        <f>5.734516847</f>
        <v>5.7345168470000001</v>
      </c>
      <c r="BX250">
        <f>5.930153616</f>
        <v>5.9301536160000001</v>
      </c>
      <c r="BY250">
        <f>5.989245779</f>
        <v>5.989245779</v>
      </c>
      <c r="BZ250">
        <f>5.848521798</f>
        <v>5.8485217980000002</v>
      </c>
      <c r="CA250">
        <f>5.749253192</f>
        <v>5.7492531920000003</v>
      </c>
      <c r="CB250">
        <f>5.535380439</f>
        <v>5.5353804389999999</v>
      </c>
      <c r="CC250">
        <f>5.611763116</f>
        <v>5.6117631159999997</v>
      </c>
      <c r="CD250">
        <f>5.725387776</f>
        <v>5.7253877759999998</v>
      </c>
      <c r="CE250">
        <f>5.603716897</f>
        <v>5.603716897</v>
      </c>
      <c r="CF250">
        <f>5.512535401</f>
        <v>5.5125354010000001</v>
      </c>
      <c r="CG250">
        <f>5.51383866</f>
        <v>5.5138386600000002</v>
      </c>
      <c r="CH250">
        <f>5.574298393</f>
        <v>5.5742983930000003</v>
      </c>
      <c r="CI250">
        <f>5.332478772</f>
        <v>5.332478772</v>
      </c>
      <c r="CJ250">
        <f>5.468285993</f>
        <v>5.4682859930000003</v>
      </c>
      <c r="CK250">
        <f>5.102708096</f>
        <v>5.1027080959999997</v>
      </c>
      <c r="CL250">
        <f>4.834574569</f>
        <v>4.8345745689999999</v>
      </c>
      <c r="CM250">
        <f>4.59255179</f>
        <v>4.5925517899999999</v>
      </c>
      <c r="CN250">
        <f>4.3967725</f>
        <v>4.3967725</v>
      </c>
      <c r="CO250">
        <f>4.528833701</f>
        <v>4.5288337009999999</v>
      </c>
      <c r="CP250">
        <f>4.429530825</f>
        <v>4.4295308249999996</v>
      </c>
      <c r="CQ250">
        <f>4.185081125</f>
        <v>4.185081125</v>
      </c>
      <c r="CR250">
        <f>3.184150922</f>
        <v>3.1841509220000002</v>
      </c>
      <c r="CS250">
        <f>3.291137576</f>
        <v>3.2911375760000001</v>
      </c>
      <c r="CT250">
        <f>3.168834666</f>
        <v>3.168834666</v>
      </c>
      <c r="CU250">
        <f>3.526088449</f>
        <v>3.526088449</v>
      </c>
      <c r="CV250">
        <f>5.045936244</f>
        <v>5.045936244</v>
      </c>
      <c r="CW250">
        <f>5.212871434</f>
        <v>5.2128714340000002</v>
      </c>
      <c r="CX250">
        <f>5.590113891</f>
        <v>5.5901138909999997</v>
      </c>
      <c r="CY250">
        <f>5.803109511</f>
        <v>5.8031095109999997</v>
      </c>
      <c r="CZ250">
        <f>5.940623122</f>
        <v>5.9406231219999999</v>
      </c>
      <c r="DA250">
        <f>5.777570641</f>
        <v>5.7775706409999996</v>
      </c>
      <c r="DB250">
        <f>5.945865061</f>
        <v>5.9458650610000001</v>
      </c>
      <c r="DC250">
        <f>5.855294067</f>
        <v>5.855294067</v>
      </c>
      <c r="DD250">
        <f>6.099988591</f>
        <v>6.0999885909999998</v>
      </c>
      <c r="DE250">
        <f>5.932483703</f>
        <v>5.9324837029999999</v>
      </c>
      <c r="DF250">
        <f>5.919789655</f>
        <v>5.9197896549999998</v>
      </c>
      <c r="DG250">
        <f>5.655798095</f>
        <v>5.6557980949999997</v>
      </c>
      <c r="DH250">
        <f>8.303494295</f>
        <v>8.3034942950000001</v>
      </c>
      <c r="DI250">
        <f>8.658811813</f>
        <v>8.6588118129999998</v>
      </c>
      <c r="DJ250">
        <f>5.85776662</f>
        <v>5.8577666199999996</v>
      </c>
      <c r="DK250">
        <f>5.688528307</f>
        <v>5.6885283070000003</v>
      </c>
      <c r="DL250">
        <f>3.119353869</f>
        <v>3.1193538689999998</v>
      </c>
      <c r="DM250">
        <f>1.583667709</f>
        <v>1.583667709</v>
      </c>
      <c r="DN250" t="str">
        <f>""</f>
        <v/>
      </c>
      <c r="DO250" t="str">
        <f>""</f>
        <v/>
      </c>
      <c r="DP250" t="str">
        <f>""</f>
        <v/>
      </c>
      <c r="DQ250" t="str">
        <f>""</f>
        <v/>
      </c>
      <c r="DR250" t="str">
        <f>""</f>
        <v/>
      </c>
      <c r="DS250" t="str">
        <f>""</f>
        <v/>
      </c>
      <c r="DT250" t="str">
        <f>""</f>
        <v/>
      </c>
      <c r="DU250" t="str">
        <f>""</f>
        <v/>
      </c>
    </row>
    <row r="251" spans="1:125">
      <c r="A251" t="str">
        <f>"    Realty Income Corp"</f>
        <v xml:space="preserve">    Realty Income Corp</v>
      </c>
      <c r="B251" t="str">
        <f>"O US Equity"</f>
        <v>O US Equity</v>
      </c>
      <c r="C251" t="str">
        <f t="shared" si="45"/>
        <v>RR554</v>
      </c>
      <c r="D251" t="str">
        <f t="shared" si="46"/>
        <v>FFO_RE_ASSET</v>
      </c>
      <c r="E251" t="str">
        <f t="shared" si="47"/>
        <v>动态</v>
      </c>
      <c r="F251" t="str">
        <f ca="1">IF(AND(ISNUMBER($F$697),$B$419=1),$F$697,HLOOKUP(INDIRECT(ADDRESS(2,COLUMN())),OFFSET($BN$2,0,0,ROW()-1,60),ROW()-1,FALSE))</f>
        <v/>
      </c>
      <c r="G251">
        <f ca="1">IF(AND(ISNUMBER($G$697),$B$419=1),$G$697,HLOOKUP(INDIRECT(ADDRESS(2,COLUMN())),OFFSET($BN$2,0,0,ROW()-1,60),ROW()-1,FALSE))</f>
        <v>6.2868664279999997</v>
      </c>
      <c r="H251">
        <f ca="1">IF(AND(ISNUMBER($H$697),$B$419=1),$H$697,HLOOKUP(INDIRECT(ADDRESS(2,COLUMN())),OFFSET($BN$2,0,0,ROW()-1,60),ROW()-1,FALSE))</f>
        <v>6.7891683330000001</v>
      </c>
      <c r="I251">
        <f ca="1">IF(AND(ISNUMBER($I$697),$B$419=1),$I$697,HLOOKUP(INDIRECT(ADDRESS(2,COLUMN())),OFFSET($BN$2,0,0,ROW()-1,60),ROW()-1,FALSE))</f>
        <v>6.7076671360000004</v>
      </c>
      <c r="J251">
        <f ca="1">IF(AND(ISNUMBER($J$697),$B$419=1),$J$697,HLOOKUP(INDIRECT(ADDRESS(2,COLUMN())),OFFSET($BN$2,0,0,ROW()-1,60),ROW()-1,FALSE))</f>
        <v>6.5491769389999996</v>
      </c>
      <c r="K251">
        <f ca="1">IF(AND(ISNUMBER($K$697),$B$419=1),$K$697,HLOOKUP(INDIRECT(ADDRESS(2,COLUMN())),OFFSET($BN$2,0,0,ROW()-1,60),ROW()-1,FALSE))</f>
        <v>6.5302722700000002</v>
      </c>
      <c r="L251">
        <f ca="1">IF(AND(ISNUMBER($L$697),$B$419=1),$L$697,HLOOKUP(INDIRECT(ADDRESS(2,COLUMN())),OFFSET($BN$2,0,0,ROW()-1,60),ROW()-1,FALSE))</f>
        <v>6.5537318310000003</v>
      </c>
      <c r="M251">
        <f ca="1">IF(AND(ISNUMBER($M$697),$B$419=1),$M$697,HLOOKUP(INDIRECT(ADDRESS(2,COLUMN())),OFFSET($BN$2,0,0,ROW()-1,60),ROW()-1,FALSE))</f>
        <v>6.3945577350000002</v>
      </c>
      <c r="N251">
        <f ca="1">IF(AND(ISNUMBER($N$697),$B$419=1),$N$697,HLOOKUP(INDIRECT(ADDRESS(2,COLUMN())),OFFSET($BN$2,0,0,ROW()-1,60),ROW()-1,FALSE))</f>
        <v>6.4683538880000002</v>
      </c>
      <c r="O251">
        <f ca="1">IF(AND(ISNUMBER($O$697),$B$419=1),$O$697,HLOOKUP(INDIRECT(ADDRESS(2,COLUMN())),OFFSET($BN$2,0,0,ROW()-1,60),ROW()-1,FALSE))</f>
        <v>6.3963180370000003</v>
      </c>
      <c r="P251">
        <f ca="1">IF(AND(ISNUMBER($P$697),$B$419=1),$P$697,HLOOKUP(INDIRECT(ADDRESS(2,COLUMN())),OFFSET($BN$2,0,0,ROW()-1,60),ROW()-1,FALSE))</f>
        <v>6.1177710210000003</v>
      </c>
      <c r="Q251">
        <f ca="1">IF(AND(ISNUMBER($Q$697),$B$419=1),$Q$697,HLOOKUP(INDIRECT(ADDRESS(2,COLUMN())),OFFSET($BN$2,0,0,ROW()-1,60),ROW()-1,FALSE))</f>
        <v>5.9503863470000002</v>
      </c>
      <c r="R251">
        <f ca="1">IF(AND(ISNUMBER($R$697),$B$419=1),$R$697,HLOOKUP(INDIRECT(ADDRESS(2,COLUMN())),OFFSET($BN$2,0,0,ROW()-1,60),ROW()-1,FALSE))</f>
        <v>6.0529305750000004</v>
      </c>
      <c r="S251">
        <f ca="1">IF(AND(ISNUMBER($S$697),$B$419=1),$S$697,HLOOKUP(INDIRECT(ADDRESS(2,COLUMN())),OFFSET($BN$2,0,0,ROW()-1,60),ROW()-1,FALSE))</f>
        <v>6.0597425500000002</v>
      </c>
      <c r="T251">
        <f ca="1">IF(AND(ISNUMBER($T$697),$B$419=1),$T$697,HLOOKUP(INDIRECT(ADDRESS(2,COLUMN())),OFFSET($BN$2,0,0,ROW()-1,60),ROW()-1,FALSE))</f>
        <v>5.9037115670000002</v>
      </c>
      <c r="U251">
        <f ca="1">IF(AND(ISNUMBER($U$697),$B$419=1),$U$697,HLOOKUP(INDIRECT(ADDRESS(2,COLUMN())),OFFSET($BN$2,0,0,ROW()-1,60),ROW()-1,FALSE))</f>
        <v>5.8000183730000003</v>
      </c>
      <c r="V251">
        <f ca="1">IF(AND(ISNUMBER($V$697),$B$419=1),$V$697,HLOOKUP(INDIRECT(ADDRESS(2,COLUMN())),OFFSET($BN$2,0,0,ROW()-1,60),ROW()-1,FALSE))</f>
        <v>5.7792788079999999</v>
      </c>
      <c r="W251">
        <f ca="1">IF(AND(ISNUMBER($W$697),$B$419=1),$W$697,HLOOKUP(INDIRECT(ADDRESS(2,COLUMN())),OFFSET($BN$2,0,0,ROW()-1,60),ROW()-1,FALSE))</f>
        <v>6.6773246650000004</v>
      </c>
      <c r="X251">
        <f ca="1">IF(AND(ISNUMBER($X$697),$B$419=1),$X$697,HLOOKUP(INDIRECT(ADDRESS(2,COLUMN())),OFFSET($BN$2,0,0,ROW()-1,60),ROW()-1,FALSE))</f>
        <v>6.0788512519999998</v>
      </c>
      <c r="Y251">
        <f ca="1">IF(AND(ISNUMBER($Y$697),$B$419=1),$Y$697,HLOOKUP(INDIRECT(ADDRESS(2,COLUMN())),OFFSET($BN$2,0,0,ROW()-1,60),ROW()-1,FALSE))</f>
        <v>5.6841654479999999</v>
      </c>
      <c r="Z251">
        <f ca="1">IF(AND(ISNUMBER($Z$697),$B$419=1),$Z$697,HLOOKUP(INDIRECT(ADDRESS(2,COLUMN())),OFFSET($BN$2,0,0,ROW()-1,60),ROW()-1,FALSE))</f>
        <v>5.1323654850000002</v>
      </c>
      <c r="AA251">
        <f ca="1">IF(AND(ISNUMBER($AA$697),$B$419=1),$AA$697,HLOOKUP(INDIRECT(ADDRESS(2,COLUMN())),OFFSET($BN$2,0,0,ROW()-1,60),ROW()-1,FALSE))</f>
        <v>5.6695694320000003</v>
      </c>
      <c r="AB251">
        <f ca="1">IF(AND(ISNUMBER($AB$697),$B$419=1),$AB$697,HLOOKUP(INDIRECT(ADDRESS(2,COLUMN())),OFFSET($BN$2,0,0,ROW()-1,60),ROW()-1,FALSE))</f>
        <v>5.8806338199999999</v>
      </c>
      <c r="AC251">
        <f ca="1">IF(AND(ISNUMBER($AC$697),$B$419=1),$AC$697,HLOOKUP(INDIRECT(ADDRESS(2,COLUMN())),OFFSET($BN$2,0,0,ROW()-1,60),ROW()-1,FALSE))</f>
        <v>6.48872581</v>
      </c>
      <c r="AD251">
        <f ca="1">IF(AND(ISNUMBER($AD$697),$B$419=1),$AD$697,HLOOKUP(INDIRECT(ADDRESS(2,COLUMN())),OFFSET($BN$2,0,0,ROW()-1,60),ROW()-1,FALSE))</f>
        <v>6.6351825780000002</v>
      </c>
      <c r="AE251">
        <f ca="1">IF(AND(ISNUMBER($AE$697),$B$419=1),$AE$697,HLOOKUP(INDIRECT(ADDRESS(2,COLUMN())),OFFSET($BN$2,0,0,ROW()-1,60),ROW()-1,FALSE))</f>
        <v>6.593437099</v>
      </c>
      <c r="AF251">
        <f ca="1">IF(AND(ISNUMBER($AF$697),$B$419=1),$AF$697,HLOOKUP(INDIRECT(ADDRESS(2,COLUMN())),OFFSET($BN$2,0,0,ROW()-1,60),ROW()-1,FALSE))</f>
        <v>6.6260043150000003</v>
      </c>
      <c r="AG251">
        <f ca="1">IF(AND(ISNUMBER($AG$697),$B$419=1),$AG$697,HLOOKUP(INDIRECT(ADDRESS(2,COLUMN())),OFFSET($BN$2,0,0,ROW()-1,60),ROW()-1,FALSE))</f>
        <v>6.5196760840000003</v>
      </c>
      <c r="AH251">
        <f ca="1">IF(AND(ISNUMBER($AH$697),$B$419=1),$AH$697,HLOOKUP(INDIRECT(ADDRESS(2,COLUMN())),OFFSET($BN$2,0,0,ROW()-1,60),ROW()-1,FALSE))</f>
        <v>6.4541655860000002</v>
      </c>
      <c r="AI251">
        <f ca="1">IF(AND(ISNUMBER($AI$697),$B$419=1),$AI$697,HLOOKUP(INDIRECT(ADDRESS(2,COLUMN())),OFFSET($BN$2,0,0,ROW()-1,60),ROW()-1,FALSE))</f>
        <v>6.2283341050000001</v>
      </c>
      <c r="AJ251">
        <f ca="1">IF(AND(ISNUMBER($AJ$697),$B$419=1),$AJ$697,HLOOKUP(INDIRECT(ADDRESS(2,COLUMN())),OFFSET($BN$2,0,0,ROW()-1,60),ROW()-1,FALSE))</f>
        <v>6.493655038</v>
      </c>
      <c r="AK251">
        <f ca="1">IF(AND(ISNUMBER($AK$697),$B$419=1),$AK$697,HLOOKUP(INDIRECT(ADDRESS(2,COLUMN())),OFFSET($BN$2,0,0,ROW()-1,60),ROW()-1,FALSE))</f>
        <v>6.4711082040000001</v>
      </c>
      <c r="AL251">
        <f ca="1">IF(AND(ISNUMBER($AL$697),$B$419=1),$AL$697,HLOOKUP(INDIRECT(ADDRESS(2,COLUMN())),OFFSET($BN$2,0,0,ROW()-1,60),ROW()-1,FALSE))</f>
        <v>6.724319028</v>
      </c>
      <c r="AM251">
        <f ca="1">IF(AND(ISNUMBER($AM$697),$B$419=1),$AM$697,HLOOKUP(INDIRECT(ADDRESS(2,COLUMN())),OFFSET($BN$2,0,0,ROW()-1,60),ROW()-1,FALSE))</f>
        <v>6.7068788980000003</v>
      </c>
      <c r="AN251">
        <f ca="1">IF(AND(ISNUMBER($AN$697),$B$419=1),$AN$697,HLOOKUP(INDIRECT(ADDRESS(2,COLUMN())),OFFSET($BN$2,0,0,ROW()-1,60),ROW()-1,FALSE))</f>
        <v>6.6493518729999996</v>
      </c>
      <c r="AO251">
        <f ca="1">IF(AND(ISNUMBER($AO$697),$B$419=1),$AO$697,HLOOKUP(INDIRECT(ADDRESS(2,COLUMN())),OFFSET($BN$2,0,0,ROW()-1,60),ROW()-1,FALSE))</f>
        <v>6.5164786389999998</v>
      </c>
      <c r="AP251">
        <f ca="1">IF(AND(ISNUMBER($AP$697),$B$419=1),$AP$697,HLOOKUP(INDIRECT(ADDRESS(2,COLUMN())),OFFSET($BN$2,0,0,ROW()-1,60),ROW()-1,FALSE))</f>
        <v>6.4178168549999999</v>
      </c>
      <c r="AQ251">
        <f ca="1">IF(AND(ISNUMBER($AQ$697),$B$419=1),$AQ$697,HLOOKUP(INDIRECT(ADDRESS(2,COLUMN())),OFFSET($BN$2,0,0,ROW()-1,60),ROW()-1,FALSE))</f>
        <v>6.525173712</v>
      </c>
      <c r="AR251">
        <f ca="1">IF(AND(ISNUMBER($AR$697),$B$419=1),$AR$697,HLOOKUP(INDIRECT(ADDRESS(2,COLUMN())),OFFSET($BN$2,0,0,ROW()-1,60),ROW()-1,FALSE))</f>
        <v>6.6123352339999997</v>
      </c>
      <c r="AS251">
        <f ca="1">IF(AND(ISNUMBER($AS$697),$B$419=1),$AS$697,HLOOKUP(INDIRECT(ADDRESS(2,COLUMN())),OFFSET($BN$2,0,0,ROW()-1,60),ROW()-1,FALSE))</f>
        <v>6.9370302439999998</v>
      </c>
      <c r="AT251">
        <f ca="1">IF(AND(ISNUMBER($AT$697),$B$419=1),$AT$697,HLOOKUP(INDIRECT(ADDRESS(2,COLUMN())),OFFSET($BN$2,0,0,ROW()-1,60),ROW()-1,FALSE))</f>
        <v>6.9039200909999998</v>
      </c>
      <c r="AU251">
        <f ca="1">IF(AND(ISNUMBER($AU$697),$B$419=1),$AU$697,HLOOKUP(INDIRECT(ADDRESS(2,COLUMN())),OFFSET($BN$2,0,0,ROW()-1,60),ROW()-1,FALSE))</f>
        <v>7.1449235199999999</v>
      </c>
      <c r="AV251">
        <f ca="1">IF(AND(ISNUMBER($AV$697),$B$419=1),$AV$697,HLOOKUP(INDIRECT(ADDRESS(2,COLUMN())),OFFSET($BN$2,0,0,ROW()-1,60),ROW()-1,FALSE))</f>
        <v>7.8789984989999997</v>
      </c>
      <c r="AW251">
        <f ca="1">IF(AND(ISNUMBER($AW$697),$B$419=1),$AW$697,HLOOKUP(INDIRECT(ADDRESS(2,COLUMN())),OFFSET($BN$2,0,0,ROW()-1,60),ROW()-1,FALSE))</f>
        <v>8.1041139330000007</v>
      </c>
      <c r="AX251">
        <f ca="1">IF(AND(ISNUMBER($AX$697),$B$419=1),$AX$697,HLOOKUP(INDIRECT(ADDRESS(2,COLUMN())),OFFSET($BN$2,0,0,ROW()-1,60),ROW()-1,FALSE))</f>
        <v>7.6125137499999997</v>
      </c>
      <c r="AY251">
        <f ca="1">IF(AND(ISNUMBER($AY$697),$B$419=1),$AY$697,HLOOKUP(INDIRECT(ADDRESS(2,COLUMN())),OFFSET($BN$2,0,0,ROW()-1,60),ROW()-1,FALSE))</f>
        <v>7.2682242280000002</v>
      </c>
      <c r="AZ251">
        <f ca="1">IF(AND(ISNUMBER($AZ$697),$B$419=1),$AZ$697,HLOOKUP(INDIRECT(ADDRESS(2,COLUMN())),OFFSET($BN$2,0,0,ROW()-1,60),ROW()-1,FALSE))</f>
        <v>7.8379316929999998</v>
      </c>
      <c r="BA251">
        <f ca="1">IF(AND(ISNUMBER($BA$697),$B$419=1),$BA$697,HLOOKUP(INDIRECT(ADDRESS(2,COLUMN())),OFFSET($BN$2,0,0,ROW()-1,60),ROW()-1,FALSE))</f>
        <v>8.1715329850000007</v>
      </c>
      <c r="BB251">
        <f ca="1">IF(AND(ISNUMBER($BB$697),$B$419=1),$BB$697,HLOOKUP(INDIRECT(ADDRESS(2,COLUMN())),OFFSET($BN$2,0,0,ROW()-1,60),ROW()-1,FALSE))</f>
        <v>7.9957111510000001</v>
      </c>
      <c r="BC251">
        <f ca="1">IF(AND(ISNUMBER($BC$697),$B$419=1),$BC$697,HLOOKUP(INDIRECT(ADDRESS(2,COLUMN())),OFFSET($BN$2,0,0,ROW()-1,60),ROW()-1,FALSE))</f>
        <v>8.080826364</v>
      </c>
      <c r="BD251">
        <f ca="1">IF(AND(ISNUMBER($BD$697),$B$419=1),$BD$697,HLOOKUP(INDIRECT(ADDRESS(2,COLUMN())),OFFSET($BN$2,0,0,ROW()-1,60),ROW()-1,FALSE))</f>
        <v>7.773066794</v>
      </c>
      <c r="BE251">
        <f ca="1">IF(AND(ISNUMBER($BE$697),$B$419=1),$BE$697,HLOOKUP(INDIRECT(ADDRESS(2,COLUMN())),OFFSET($BN$2,0,0,ROW()-1,60),ROW()-1,FALSE))</f>
        <v>8.2765575210000009</v>
      </c>
      <c r="BF251">
        <f ca="1">IF(AND(ISNUMBER($BF$697),$B$419=1),$BF$697,HLOOKUP(INDIRECT(ADDRESS(2,COLUMN())),OFFSET($BN$2,0,0,ROW()-1,60),ROW()-1,FALSE))</f>
        <v>10.430315889999999</v>
      </c>
      <c r="BG251">
        <f ca="1">IF(AND(ISNUMBER($BG$697),$B$419=1),$BG$697,HLOOKUP(INDIRECT(ADDRESS(2,COLUMN())),OFFSET($BN$2,0,0,ROW()-1,60),ROW()-1,FALSE))</f>
        <v>10.921863800000001</v>
      </c>
      <c r="BH251">
        <f ca="1">IF(AND(ISNUMBER($BH$697),$B$419=1),$BH$697,HLOOKUP(INDIRECT(ADDRESS(2,COLUMN())),OFFSET($BN$2,0,0,ROW()-1,60),ROW()-1,FALSE))</f>
        <v>12.06150622</v>
      </c>
      <c r="BI251">
        <f ca="1">IF(AND(ISNUMBER($BI$697),$B$419=1),$BI$697,HLOOKUP(INDIRECT(ADDRESS(2,COLUMN())),OFFSET($BN$2,0,0,ROW()-1,60),ROW()-1,FALSE))</f>
        <v>11.997803060000001</v>
      </c>
      <c r="BJ251">
        <f ca="1">IF(AND(ISNUMBER($BJ$697),$B$419=1),$BJ$697,HLOOKUP(INDIRECT(ADDRESS(2,COLUMN())),OFFSET($BN$2,0,0,ROW()-1,60),ROW()-1,FALSE))</f>
        <v>9.077895775</v>
      </c>
      <c r="BK251">
        <f ca="1">IF(AND(ISNUMBER($BK$697),$B$419=1),$BK$697,HLOOKUP(INDIRECT(ADDRESS(2,COLUMN())),OFFSET($BN$2,0,0,ROW()-1,60),ROW()-1,FALSE))</f>
        <v>8.8212674470000003</v>
      </c>
      <c r="BL251">
        <f ca="1">IF(AND(ISNUMBER($BL$697),$B$419=1),$BL$697,HLOOKUP(INDIRECT(ADDRESS(2,COLUMN())),OFFSET($BN$2,0,0,ROW()-1,60),ROW()-1,FALSE))</f>
        <v>9.0275979979999992</v>
      </c>
      <c r="BM251">
        <f ca="1">IF(AND(ISNUMBER($BM$697),$B$419=1),$BM$697,HLOOKUP(INDIRECT(ADDRESS(2,COLUMN())),OFFSET($BN$2,0,0,ROW()-1,60),ROW()-1,FALSE))</f>
        <v>9.1556467490000006</v>
      </c>
      <c r="BN251" t="str">
        <f>""</f>
        <v/>
      </c>
      <c r="BO251">
        <f>6.286866428</f>
        <v>6.2868664279999997</v>
      </c>
      <c r="BP251">
        <f>6.789168333</f>
        <v>6.7891683330000001</v>
      </c>
      <c r="BQ251">
        <f>6.707667136</f>
        <v>6.7076671360000004</v>
      </c>
      <c r="BR251">
        <f>6.549176939</f>
        <v>6.5491769389999996</v>
      </c>
      <c r="BS251">
        <f>6.53027227</f>
        <v>6.5302722700000002</v>
      </c>
      <c r="BT251">
        <f>6.553731831</f>
        <v>6.5537318310000003</v>
      </c>
      <c r="BU251">
        <f>6.394557735</f>
        <v>6.3945577350000002</v>
      </c>
      <c r="BV251">
        <f>6.468353888</f>
        <v>6.4683538880000002</v>
      </c>
      <c r="BW251">
        <f>6.396318037</f>
        <v>6.3963180370000003</v>
      </c>
      <c r="BX251">
        <f>6.117771021</f>
        <v>6.1177710210000003</v>
      </c>
      <c r="BY251">
        <f>5.950386347</f>
        <v>5.9503863470000002</v>
      </c>
      <c r="BZ251">
        <f>6.052930575</f>
        <v>6.0529305750000004</v>
      </c>
      <c r="CA251">
        <f>6.05974255</f>
        <v>6.0597425500000002</v>
      </c>
      <c r="CB251">
        <f>5.903711567</f>
        <v>5.9037115670000002</v>
      </c>
      <c r="CC251">
        <f>5.800018373</f>
        <v>5.8000183730000003</v>
      </c>
      <c r="CD251">
        <f>5.779278808</f>
        <v>5.7792788079999999</v>
      </c>
      <c r="CE251">
        <f>6.677324665</f>
        <v>6.6773246650000004</v>
      </c>
      <c r="CF251">
        <f>6.078851252</f>
        <v>6.0788512519999998</v>
      </c>
      <c r="CG251">
        <f>5.684165448</f>
        <v>5.6841654479999999</v>
      </c>
      <c r="CH251">
        <f>5.132365485</f>
        <v>5.1323654850000002</v>
      </c>
      <c r="CI251">
        <f>5.669569432</f>
        <v>5.6695694320000003</v>
      </c>
      <c r="CJ251">
        <f>5.88063382</f>
        <v>5.8806338199999999</v>
      </c>
      <c r="CK251">
        <f>6.48872581</f>
        <v>6.48872581</v>
      </c>
      <c r="CL251">
        <f>6.635182578</f>
        <v>6.6351825780000002</v>
      </c>
      <c r="CM251">
        <f>6.593437099</f>
        <v>6.593437099</v>
      </c>
      <c r="CN251">
        <f>6.626004315</f>
        <v>6.6260043150000003</v>
      </c>
      <c r="CO251">
        <f>6.519676084</f>
        <v>6.5196760840000003</v>
      </c>
      <c r="CP251">
        <f>6.454165586</f>
        <v>6.4541655860000002</v>
      </c>
      <c r="CQ251">
        <f>6.228334105</f>
        <v>6.2283341050000001</v>
      </c>
      <c r="CR251">
        <f>6.493655038</f>
        <v>6.493655038</v>
      </c>
      <c r="CS251">
        <f>6.471108204</f>
        <v>6.4711082040000001</v>
      </c>
      <c r="CT251">
        <f>6.724319028</f>
        <v>6.724319028</v>
      </c>
      <c r="CU251">
        <f>6.706878898</f>
        <v>6.7068788980000003</v>
      </c>
      <c r="CV251">
        <f>6.649351873</f>
        <v>6.6493518729999996</v>
      </c>
      <c r="CW251">
        <f>6.516478639</f>
        <v>6.5164786389999998</v>
      </c>
      <c r="CX251">
        <f>6.417816855</f>
        <v>6.4178168549999999</v>
      </c>
      <c r="CY251">
        <f>6.525173712</f>
        <v>6.525173712</v>
      </c>
      <c r="CZ251">
        <f>6.612335234</f>
        <v>6.6123352339999997</v>
      </c>
      <c r="DA251">
        <f>6.937030244</f>
        <v>6.9370302439999998</v>
      </c>
      <c r="DB251">
        <f>6.903920091</f>
        <v>6.9039200909999998</v>
      </c>
      <c r="DC251">
        <f>7.14492352</f>
        <v>7.1449235199999999</v>
      </c>
      <c r="DD251">
        <f>7.878998499</f>
        <v>7.8789984989999997</v>
      </c>
      <c r="DE251">
        <f>8.104113933</f>
        <v>8.1041139330000007</v>
      </c>
      <c r="DF251">
        <f>7.61251375</f>
        <v>7.6125137499999997</v>
      </c>
      <c r="DG251">
        <f>7.268224228</f>
        <v>7.2682242280000002</v>
      </c>
      <c r="DH251">
        <f>7.837931693</f>
        <v>7.8379316929999998</v>
      </c>
      <c r="DI251">
        <f>8.171532985</f>
        <v>8.1715329850000007</v>
      </c>
      <c r="DJ251">
        <f>7.995711151</f>
        <v>7.9957111510000001</v>
      </c>
      <c r="DK251">
        <f>8.080826364</f>
        <v>8.080826364</v>
      </c>
      <c r="DL251">
        <f>7.773066794</f>
        <v>7.773066794</v>
      </c>
      <c r="DM251">
        <f>8.276557521</f>
        <v>8.2765575210000009</v>
      </c>
      <c r="DN251">
        <f>10.43031589</f>
        <v>10.430315889999999</v>
      </c>
      <c r="DO251">
        <f>10.9218638</f>
        <v>10.921863800000001</v>
      </c>
      <c r="DP251">
        <f>12.06150622</f>
        <v>12.06150622</v>
      </c>
      <c r="DQ251">
        <f>11.99780306</f>
        <v>11.997803060000001</v>
      </c>
      <c r="DR251">
        <f>9.077895775</f>
        <v>9.077895775</v>
      </c>
      <c r="DS251">
        <f>8.821267447</f>
        <v>8.8212674470000003</v>
      </c>
      <c r="DT251">
        <f>9.027597998</f>
        <v>9.0275979979999992</v>
      </c>
      <c r="DU251">
        <f>9.155646749</f>
        <v>9.1556467490000006</v>
      </c>
    </row>
    <row r="252" spans="1:125">
      <c r="A252" t="str">
        <f>"    Regency Centers Corp"</f>
        <v xml:space="preserve">    Regency Centers Corp</v>
      </c>
      <c r="B252" t="str">
        <f>"REG US Equity"</f>
        <v>REG US Equity</v>
      </c>
      <c r="C252" t="str">
        <f t="shared" si="45"/>
        <v>RR554</v>
      </c>
      <c r="D252" t="str">
        <f t="shared" si="46"/>
        <v>FFO_RE_ASSET</v>
      </c>
      <c r="E252" t="str">
        <f t="shared" si="47"/>
        <v>动态</v>
      </c>
      <c r="F252" t="str">
        <f ca="1">IF(AND(ISNUMBER($F$698),$B$419=1),$F$698,HLOOKUP(INDIRECT(ADDRESS(2,COLUMN())),OFFSET($BN$2,0,0,ROW()-1,60),ROW()-1,FALSE))</f>
        <v/>
      </c>
      <c r="G252">
        <f ca="1">IF(AND(ISNUMBER($G$698),$B$419=1),$G$698,HLOOKUP(INDIRECT(ADDRESS(2,COLUMN())),OFFSET($BN$2,0,0,ROW()-1,60),ROW()-1,FALSE))</f>
        <v>7.0412009639999997</v>
      </c>
      <c r="H252">
        <f ca="1">IF(AND(ISNUMBER($H$698),$B$419=1),$H$698,HLOOKUP(INDIRECT(ADDRESS(2,COLUMN())),OFFSET($BN$2,0,0,ROW()-1,60),ROW()-1,FALSE))</f>
        <v>5.9309165400000001</v>
      </c>
      <c r="I252">
        <f ca="1">IF(AND(ISNUMBER($I$698),$B$419=1),$I$698,HLOOKUP(INDIRECT(ADDRESS(2,COLUMN())),OFFSET($BN$2,0,0,ROW()-1,60),ROW()-1,FALSE))</f>
        <v>4.1340954610000002</v>
      </c>
      <c r="J252">
        <f ca="1">IF(AND(ISNUMBER($J$698),$B$419=1),$J$698,HLOOKUP(INDIRECT(ADDRESS(2,COLUMN())),OFFSET($BN$2,0,0,ROW()-1,60),ROW()-1,FALSE))</f>
        <v>3.2480773109999999</v>
      </c>
      <c r="K252">
        <f ca="1">IF(AND(ISNUMBER($K$698),$B$419=1),$K$698,HLOOKUP(INDIRECT(ADDRESS(2,COLUMN())),OFFSET($BN$2,0,0,ROW()-1,60),ROW()-1,FALSE))</f>
        <v>6.9892365390000002</v>
      </c>
      <c r="L252">
        <f ca="1">IF(AND(ISNUMBER($L$698),$B$419=1),$L$698,HLOOKUP(INDIRECT(ADDRESS(2,COLUMN())),OFFSET($BN$2,0,0,ROW()-1,60),ROW()-1,FALSE))</f>
        <v>6.5480712030000001</v>
      </c>
      <c r="M252">
        <f ca="1">IF(AND(ISNUMBER($M$698),$B$419=1),$M$698,HLOOKUP(INDIRECT(ADDRESS(2,COLUMN())),OFFSET($BN$2,0,0,ROW()-1,60),ROW()-1,FALSE))</f>
        <v>7.6298727929999997</v>
      </c>
      <c r="N252">
        <f ca="1">IF(AND(ISNUMBER($N$698),$B$419=1),$N$698,HLOOKUP(INDIRECT(ADDRESS(2,COLUMN())),OFFSET($BN$2,0,0,ROW()-1,60),ROW()-1,FALSE))</f>
        <v>7.6571526209999998</v>
      </c>
      <c r="O252">
        <f ca="1">IF(AND(ISNUMBER($O$698),$B$419=1),$O$698,HLOOKUP(INDIRECT(ADDRESS(2,COLUMN())),OFFSET($BN$2,0,0,ROW()-1,60),ROW()-1,FALSE))</f>
        <v>7.2383510749999997</v>
      </c>
      <c r="P252">
        <f ca="1">IF(AND(ISNUMBER($P$698),$B$419=1),$P$698,HLOOKUP(INDIRECT(ADDRESS(2,COLUMN())),OFFSET($BN$2,0,0,ROW()-1,60),ROW()-1,FALSE))</f>
        <v>7.54522914</v>
      </c>
      <c r="Q252">
        <f ca="1">IF(AND(ISNUMBER($Q$698),$B$419=1),$Q$698,HLOOKUP(INDIRECT(ADDRESS(2,COLUMN())),OFFSET($BN$2,0,0,ROW()-1,60),ROW()-1,FALSE))</f>
        <v>7.4069066619999999</v>
      </c>
      <c r="R252">
        <f ca="1">IF(AND(ISNUMBER($R$698),$B$419=1),$R$698,HLOOKUP(INDIRECT(ADDRESS(2,COLUMN())),OFFSET($BN$2,0,0,ROW()-1,60),ROW()-1,FALSE))</f>
        <v>7.2470573869999999</v>
      </c>
      <c r="S252">
        <f ca="1">IF(AND(ISNUMBER($S$698),$B$419=1),$S$698,HLOOKUP(INDIRECT(ADDRESS(2,COLUMN())),OFFSET($BN$2,0,0,ROW()-1,60),ROW()-1,FALSE))</f>
        <v>7.2863314389999996</v>
      </c>
      <c r="T252">
        <f ca="1">IF(AND(ISNUMBER($T$698),$B$419=1),$T$698,HLOOKUP(INDIRECT(ADDRESS(2,COLUMN())),OFFSET($BN$2,0,0,ROW()-1,60),ROW()-1,FALSE))</f>
        <v>6.9904731379999996</v>
      </c>
      <c r="U252">
        <f ca="1">IF(AND(ISNUMBER($U$698),$B$419=1),$U$698,HLOOKUP(INDIRECT(ADDRESS(2,COLUMN())),OFFSET($BN$2,0,0,ROW()-1,60),ROW()-1,FALSE))</f>
        <v>6.8899968429999996</v>
      </c>
      <c r="V252">
        <f ca="1">IF(AND(ISNUMBER($V$698),$B$419=1),$V$698,HLOOKUP(INDIRECT(ADDRESS(2,COLUMN())),OFFSET($BN$2,0,0,ROW()-1,60),ROW()-1,FALSE))</f>
        <v>6.7917880569999998</v>
      </c>
      <c r="W252">
        <f ca="1">IF(AND(ISNUMBER($W$698),$B$419=1),$W$698,HLOOKUP(INDIRECT(ADDRESS(2,COLUMN())),OFFSET($BN$2,0,0,ROW()-1,60),ROW()-1,FALSE))</f>
        <v>6.7341346050000004</v>
      </c>
      <c r="X252">
        <f ca="1">IF(AND(ISNUMBER($X$698),$B$419=1),$X$698,HLOOKUP(INDIRECT(ADDRESS(2,COLUMN())),OFFSET($BN$2,0,0,ROW()-1,60),ROW()-1,FALSE))</f>
        <v>6.7301207569999999</v>
      </c>
      <c r="Y252">
        <f ca="1">IF(AND(ISNUMBER($Y$698),$B$419=1),$Y$698,HLOOKUP(INDIRECT(ADDRESS(2,COLUMN())),OFFSET($BN$2,0,0,ROW()-1,60),ROW()-1,FALSE))</f>
        <v>6.293419256</v>
      </c>
      <c r="Z252">
        <f ca="1">IF(AND(ISNUMBER($Z$698),$B$419=1),$Z$698,HLOOKUP(INDIRECT(ADDRESS(2,COLUMN())),OFFSET($BN$2,0,0,ROW()-1,60),ROW()-1,FALSE))</f>
        <v>6.2804356219999997</v>
      </c>
      <c r="AA252">
        <f ca="1">IF(AND(ISNUMBER($AA$698),$B$419=1),$AA$698,HLOOKUP(INDIRECT(ADDRESS(2,COLUMN())),OFFSET($BN$2,0,0,ROW()-1,60),ROW()-1,FALSE))</f>
        <v>6.0626740190000001</v>
      </c>
      <c r="AB252">
        <f ca="1">IF(AND(ISNUMBER($AB$698),$B$419=1),$AB$698,HLOOKUP(INDIRECT(ADDRESS(2,COLUMN())),OFFSET($BN$2,0,0,ROW()-1,60),ROW()-1,FALSE))</f>
        <v>5.9540180759999997</v>
      </c>
      <c r="AC252">
        <f ca="1">IF(AND(ISNUMBER($AC$698),$B$419=1),$AC$698,HLOOKUP(INDIRECT(ADDRESS(2,COLUMN())),OFFSET($BN$2,0,0,ROW()-1,60),ROW()-1,FALSE))</f>
        <v>5.9213220709999996</v>
      </c>
      <c r="AD252">
        <f ca="1">IF(AND(ISNUMBER($AD$698),$B$419=1),$AD$698,HLOOKUP(INDIRECT(ADDRESS(2,COLUMN())),OFFSET($BN$2,0,0,ROW()-1,60),ROW()-1,FALSE))</f>
        <v>5.826486944</v>
      </c>
      <c r="AE252">
        <f ca="1">IF(AND(ISNUMBER($AE$698),$B$419=1),$AE$698,HLOOKUP(INDIRECT(ADDRESS(2,COLUMN())),OFFSET($BN$2,0,0,ROW()-1,60),ROW()-1,FALSE))</f>
        <v>5.870183033</v>
      </c>
      <c r="AF252">
        <f ca="1">IF(AND(ISNUMBER($AF$698),$B$419=1),$AF$698,HLOOKUP(INDIRECT(ADDRESS(2,COLUMN())),OFFSET($BN$2,0,0,ROW()-1,60),ROW()-1,FALSE))</f>
        <v>5.3881384920000004</v>
      </c>
      <c r="AG252">
        <f ca="1">IF(AND(ISNUMBER($AG$698),$B$419=1),$AG$698,HLOOKUP(INDIRECT(ADDRESS(2,COLUMN())),OFFSET($BN$2,0,0,ROW()-1,60),ROW()-1,FALSE))</f>
        <v>5.3373020960000002</v>
      </c>
      <c r="AH252">
        <f ca="1">IF(AND(ISNUMBER($AH$698),$B$419=1),$AH$698,HLOOKUP(INDIRECT(ADDRESS(2,COLUMN())),OFFSET($BN$2,0,0,ROW()-1,60),ROW()-1,FALSE))</f>
        <v>5.2847150489999999</v>
      </c>
      <c r="AI252">
        <f ca="1">IF(AND(ISNUMBER($AI$698),$B$419=1),$AI$698,HLOOKUP(INDIRECT(ADDRESS(2,COLUMN())),OFFSET($BN$2,0,0,ROW()-1,60),ROW()-1,FALSE))</f>
        <v>5.1267052480000004</v>
      </c>
      <c r="AJ252">
        <f ca="1">IF(AND(ISNUMBER($AJ$698),$B$419=1),$AJ$698,HLOOKUP(INDIRECT(ADDRESS(2,COLUMN())),OFFSET($BN$2,0,0,ROW()-1,60),ROW()-1,FALSE))</f>
        <v>5.4379036840000001</v>
      </c>
      <c r="AK252">
        <f ca="1">IF(AND(ISNUMBER($AK$698),$B$419=1),$AK$698,HLOOKUP(INDIRECT(ADDRESS(2,COLUMN())),OFFSET($BN$2,0,0,ROW()-1,60),ROW()-1,FALSE))</f>
        <v>2.826074277</v>
      </c>
      <c r="AL252">
        <f ca="1">IF(AND(ISNUMBER($AL$698),$B$419=1),$AL$698,HLOOKUP(INDIRECT(ADDRESS(2,COLUMN())),OFFSET($BN$2,0,0,ROW()-1,60),ROW()-1,FALSE))</f>
        <v>2.0838277039999999</v>
      </c>
      <c r="AM252">
        <f ca="1">IF(AND(ISNUMBER($AM$698),$B$419=1),$AM$698,HLOOKUP(INDIRECT(ADDRESS(2,COLUMN())),OFFSET($BN$2,0,0,ROW()-1,60),ROW()-1,FALSE))</f>
        <v>2.2632558569999999</v>
      </c>
      <c r="AN252">
        <f ca="1">IF(AND(ISNUMBER($AN$698),$B$419=1),$AN$698,HLOOKUP(INDIRECT(ADDRESS(2,COLUMN())),OFFSET($BN$2,0,0,ROW()-1,60),ROW()-1,FALSE))</f>
        <v>2.012888523</v>
      </c>
      <c r="AO252">
        <f ca="1">IF(AND(ISNUMBER($AO$698),$B$419=1),$AO$698,HLOOKUP(INDIRECT(ADDRESS(2,COLUMN())),OFFSET($BN$2,0,0,ROW()-1,60),ROW()-1,FALSE))</f>
        <v>5.1912110660000002</v>
      </c>
      <c r="AP252">
        <f ca="1">IF(AND(ISNUMBER($AP$698),$B$419=1),$AP$698,HLOOKUP(INDIRECT(ADDRESS(2,COLUMN())),OFFSET($BN$2,0,0,ROW()-1,60),ROW()-1,FALSE))</f>
        <v>6.4401158330000001</v>
      </c>
      <c r="AQ252">
        <f ca="1">IF(AND(ISNUMBER($AQ$698),$B$419=1),$AQ$698,HLOOKUP(INDIRECT(ADDRESS(2,COLUMN())),OFFSET($BN$2,0,0,ROW()-1,60),ROW()-1,FALSE))</f>
        <v>6.7182829829999999</v>
      </c>
      <c r="AR252">
        <f ca="1">IF(AND(ISNUMBER($AR$698),$B$419=1),$AR$698,HLOOKUP(INDIRECT(ADDRESS(2,COLUMN())),OFFSET($BN$2,0,0,ROW()-1,60),ROW()-1,FALSE))</f>
        <v>7.4545500550000003</v>
      </c>
      <c r="AS252">
        <f ca="1">IF(AND(ISNUMBER($AS$698),$B$419=1),$AS$698,HLOOKUP(INDIRECT(ADDRESS(2,COLUMN())),OFFSET($BN$2,0,0,ROW()-1,60),ROW()-1,FALSE))</f>
        <v>7.0957295519999999</v>
      </c>
      <c r="AT252">
        <f ca="1">IF(AND(ISNUMBER($AT$698),$B$419=1),$AT$698,HLOOKUP(INDIRECT(ADDRESS(2,COLUMN())),OFFSET($BN$2,0,0,ROW()-1,60),ROW()-1,FALSE))</f>
        <v>7.2385690870000001</v>
      </c>
      <c r="AU252">
        <f ca="1">IF(AND(ISNUMBER($AU$698),$B$419=1),$AU$698,HLOOKUP(INDIRECT(ADDRESS(2,COLUMN())),OFFSET($BN$2,0,0,ROW()-1,60),ROW()-1,FALSE))</f>
        <v>7.9062074640000004</v>
      </c>
      <c r="AV252">
        <f ca="1">IF(AND(ISNUMBER($AV$698),$B$419=1),$AV$698,HLOOKUP(INDIRECT(ADDRESS(2,COLUMN())),OFFSET($BN$2,0,0,ROW()-1,60),ROW()-1,FALSE))</f>
        <v>7.8001024509999999</v>
      </c>
      <c r="AW252">
        <f ca="1">IF(AND(ISNUMBER($AW$698),$B$419=1),$AW$698,HLOOKUP(INDIRECT(ADDRESS(2,COLUMN())),OFFSET($BN$2,0,0,ROW()-1,60),ROW()-1,FALSE))</f>
        <v>8.0263457949999992</v>
      </c>
      <c r="AX252">
        <f ca="1">IF(AND(ISNUMBER($AX$698),$B$419=1),$AX$698,HLOOKUP(INDIRECT(ADDRESS(2,COLUMN())),OFFSET($BN$2,0,0,ROW()-1,60),ROW()-1,FALSE))</f>
        <v>8.3236056979999997</v>
      </c>
      <c r="AY252">
        <f ca="1">IF(AND(ISNUMBER($AY$698),$B$419=1),$AY$698,HLOOKUP(INDIRECT(ADDRESS(2,COLUMN())),OFFSET($BN$2,0,0,ROW()-1,60),ROW()-1,FALSE))</f>
        <v>7.7550159220000001</v>
      </c>
      <c r="AZ252">
        <f ca="1">IF(AND(ISNUMBER($AZ$698),$B$419=1),$AZ$698,HLOOKUP(INDIRECT(ADDRESS(2,COLUMN())),OFFSET($BN$2,0,0,ROW()-1,60),ROW()-1,FALSE))</f>
        <v>7.4357850169999997</v>
      </c>
      <c r="BA252">
        <f ca="1">IF(AND(ISNUMBER($BA$698),$B$419=1),$BA$698,HLOOKUP(INDIRECT(ADDRESS(2,COLUMN())),OFFSET($BN$2,0,0,ROW()-1,60),ROW()-1,FALSE))</f>
        <v>7.0665521809999996</v>
      </c>
      <c r="BB252">
        <f ca="1">IF(AND(ISNUMBER($BB$698),$B$419=1),$BB$698,HLOOKUP(INDIRECT(ADDRESS(2,COLUMN())),OFFSET($BN$2,0,0,ROW()-1,60),ROW()-1,FALSE))</f>
        <v>7.6525987110000004</v>
      </c>
      <c r="BC252">
        <f ca="1">IF(AND(ISNUMBER($BC$698),$B$419=1),$BC$698,HLOOKUP(INDIRECT(ADDRESS(2,COLUMN())),OFFSET($BN$2,0,0,ROW()-1,60),ROW()-1,FALSE))</f>
        <v>7.5037908209999999</v>
      </c>
      <c r="BD252">
        <f ca="1">IF(AND(ISNUMBER($BD$698),$B$419=1),$BD$698,HLOOKUP(INDIRECT(ADDRESS(2,COLUMN())),OFFSET($BN$2,0,0,ROW()-1,60),ROW()-1,FALSE))</f>
        <v>7.4388364259999999</v>
      </c>
      <c r="BE252">
        <f ca="1">IF(AND(ISNUMBER($BE$698),$B$419=1),$BE$698,HLOOKUP(INDIRECT(ADDRESS(2,COLUMN())),OFFSET($BN$2,0,0,ROW()-1,60),ROW()-1,FALSE))</f>
        <v>7.3499472069999996</v>
      </c>
      <c r="BF252">
        <f ca="1">IF(AND(ISNUMBER($BF$698),$B$419=1),$BF$698,HLOOKUP(INDIRECT(ADDRESS(2,COLUMN())),OFFSET($BN$2,0,0,ROW()-1,60),ROW()-1,FALSE))</f>
        <v>7.2569213509999999</v>
      </c>
      <c r="BG252">
        <f ca="1">IF(AND(ISNUMBER($BG$698),$B$419=1),$BG$698,HLOOKUP(INDIRECT(ADDRESS(2,COLUMN())),OFFSET($BN$2,0,0,ROW()-1,60),ROW()-1,FALSE))</f>
        <v>6.7264891819999999</v>
      </c>
      <c r="BH252">
        <f ca="1">IF(AND(ISNUMBER($BH$698),$B$419=1),$BH$698,HLOOKUP(INDIRECT(ADDRESS(2,COLUMN())),OFFSET($BN$2,0,0,ROW()-1,60),ROW()-1,FALSE))</f>
        <v>6.5511689999999998</v>
      </c>
      <c r="BI252" t="str">
        <f ca="1">IF(AND(ISNUMBER($BI$698),$B$419=1),$BI$698,HLOOKUP(INDIRECT(ADDRESS(2,COLUMN())),OFFSET($BN$2,0,0,ROW()-1,60),ROW()-1,FALSE))</f>
        <v/>
      </c>
      <c r="BJ252">
        <f ca="1">IF(AND(ISNUMBER($BJ$698),$B$419=1),$BJ$698,HLOOKUP(INDIRECT(ADDRESS(2,COLUMN())),OFFSET($BN$2,0,0,ROW()-1,60),ROW()-1,FALSE))</f>
        <v>6.3010652189999998</v>
      </c>
      <c r="BK252">
        <f ca="1">IF(AND(ISNUMBER($BK$698),$B$419=1),$BK$698,HLOOKUP(INDIRECT(ADDRESS(2,COLUMN())),OFFSET($BN$2,0,0,ROW()-1,60),ROW()-1,FALSE))</f>
        <v>6.2122146919999999</v>
      </c>
      <c r="BL252">
        <f ca="1">IF(AND(ISNUMBER($BL$698),$B$419=1),$BL$698,HLOOKUP(INDIRECT(ADDRESS(2,COLUMN())),OFFSET($BN$2,0,0,ROW()-1,60),ROW()-1,FALSE))</f>
        <v>6.0120736680000002</v>
      </c>
      <c r="BM252" t="str">
        <f ca="1">IF(AND(ISNUMBER($BM$698),$B$419=1),$BM$698,HLOOKUP(INDIRECT(ADDRESS(2,COLUMN())),OFFSET($BN$2,0,0,ROW()-1,60),ROW()-1,FALSE))</f>
        <v/>
      </c>
      <c r="BN252" t="str">
        <f>""</f>
        <v/>
      </c>
      <c r="BO252">
        <f>7.041200964</f>
        <v>7.0412009639999997</v>
      </c>
      <c r="BP252">
        <f>5.93091654</f>
        <v>5.9309165400000001</v>
      </c>
      <c r="BQ252">
        <f>4.134095461</f>
        <v>4.1340954610000002</v>
      </c>
      <c r="BR252">
        <f>3.248077311</f>
        <v>3.2480773109999999</v>
      </c>
      <c r="BS252">
        <f>6.989236539</f>
        <v>6.9892365390000002</v>
      </c>
      <c r="BT252">
        <f>6.548071203</f>
        <v>6.5480712030000001</v>
      </c>
      <c r="BU252">
        <f>7.629872793</f>
        <v>7.6298727929999997</v>
      </c>
      <c r="BV252">
        <f>7.657152621</f>
        <v>7.6571526209999998</v>
      </c>
      <c r="BW252">
        <f>7.238351075</f>
        <v>7.2383510749999997</v>
      </c>
      <c r="BX252">
        <f>7.54522914</f>
        <v>7.54522914</v>
      </c>
      <c r="BY252">
        <f>7.406906662</f>
        <v>7.4069066619999999</v>
      </c>
      <c r="BZ252">
        <f>7.247057387</f>
        <v>7.2470573869999999</v>
      </c>
      <c r="CA252">
        <f>7.286331439</f>
        <v>7.2863314389999996</v>
      </c>
      <c r="CB252">
        <f>6.990473138</f>
        <v>6.9904731379999996</v>
      </c>
      <c r="CC252">
        <f>6.889996843</f>
        <v>6.8899968429999996</v>
      </c>
      <c r="CD252">
        <f>6.791788057</f>
        <v>6.7917880569999998</v>
      </c>
      <c r="CE252">
        <f>6.734134605</f>
        <v>6.7341346050000004</v>
      </c>
      <c r="CF252">
        <f>6.730120757</f>
        <v>6.7301207569999999</v>
      </c>
      <c r="CG252">
        <f>6.293419256</f>
        <v>6.293419256</v>
      </c>
      <c r="CH252">
        <f>6.280435622</f>
        <v>6.2804356219999997</v>
      </c>
      <c r="CI252">
        <f>6.062674019</f>
        <v>6.0626740190000001</v>
      </c>
      <c r="CJ252">
        <f>5.954018076</f>
        <v>5.9540180759999997</v>
      </c>
      <c r="CK252">
        <f>5.921322071</f>
        <v>5.9213220709999996</v>
      </c>
      <c r="CL252">
        <f>5.826486944</f>
        <v>5.826486944</v>
      </c>
      <c r="CM252">
        <f>5.870183033</f>
        <v>5.870183033</v>
      </c>
      <c r="CN252">
        <f>5.388138492</f>
        <v>5.3881384920000004</v>
      </c>
      <c r="CO252">
        <f>5.337302096</f>
        <v>5.3373020960000002</v>
      </c>
      <c r="CP252">
        <f>5.284715049</f>
        <v>5.2847150489999999</v>
      </c>
      <c r="CQ252">
        <f>5.126705248</f>
        <v>5.1267052480000004</v>
      </c>
      <c r="CR252">
        <f>5.437903684</f>
        <v>5.4379036840000001</v>
      </c>
      <c r="CS252">
        <f>2.826074277</f>
        <v>2.826074277</v>
      </c>
      <c r="CT252">
        <f>2.083827704</f>
        <v>2.0838277039999999</v>
      </c>
      <c r="CU252">
        <f>2.263255857</f>
        <v>2.2632558569999999</v>
      </c>
      <c r="CV252">
        <f>2.012888523</f>
        <v>2.012888523</v>
      </c>
      <c r="CW252">
        <f>5.191211066</f>
        <v>5.1912110660000002</v>
      </c>
      <c r="CX252">
        <f>6.440115833</f>
        <v>6.4401158330000001</v>
      </c>
      <c r="CY252">
        <f>6.718282983</f>
        <v>6.7182829829999999</v>
      </c>
      <c r="CZ252">
        <f>7.454550055</f>
        <v>7.4545500550000003</v>
      </c>
      <c r="DA252">
        <f>7.095729552</f>
        <v>7.0957295519999999</v>
      </c>
      <c r="DB252">
        <f>7.238569087</f>
        <v>7.2385690870000001</v>
      </c>
      <c r="DC252">
        <f>7.906207464</f>
        <v>7.9062074640000004</v>
      </c>
      <c r="DD252">
        <f>7.800102451</f>
        <v>7.8001024509999999</v>
      </c>
      <c r="DE252">
        <f>8.026345795</f>
        <v>8.0263457949999992</v>
      </c>
      <c r="DF252">
        <f>8.323605698</f>
        <v>8.3236056979999997</v>
      </c>
      <c r="DG252">
        <f>7.755015922</f>
        <v>7.7550159220000001</v>
      </c>
      <c r="DH252">
        <f>7.435785017</f>
        <v>7.4357850169999997</v>
      </c>
      <c r="DI252">
        <f>7.066552181</f>
        <v>7.0665521809999996</v>
      </c>
      <c r="DJ252">
        <f>7.652598711</f>
        <v>7.6525987110000004</v>
      </c>
      <c r="DK252">
        <f>7.503790821</f>
        <v>7.5037908209999999</v>
      </c>
      <c r="DL252">
        <f>7.438836426</f>
        <v>7.4388364259999999</v>
      </c>
      <c r="DM252">
        <f>7.349947207</f>
        <v>7.3499472069999996</v>
      </c>
      <c r="DN252">
        <f>7.256921351</f>
        <v>7.2569213509999999</v>
      </c>
      <c r="DO252">
        <f>6.726489182</f>
        <v>6.7264891819999999</v>
      </c>
      <c r="DP252">
        <f>6.551169</f>
        <v>6.5511689999999998</v>
      </c>
      <c r="DQ252" t="str">
        <f>""</f>
        <v/>
      </c>
      <c r="DR252">
        <f>6.301065219</f>
        <v>6.3010652189999998</v>
      </c>
      <c r="DS252">
        <f>6.212214692</f>
        <v>6.2122146919999999</v>
      </c>
      <c r="DT252">
        <f>6.012073668</f>
        <v>6.0120736680000002</v>
      </c>
      <c r="DU252" t="str">
        <f>""</f>
        <v/>
      </c>
    </row>
    <row r="253" spans="1:125">
      <c r="A253" t="str">
        <f>"    Retail Opportunity Investments"</f>
        <v xml:space="preserve">    Retail Opportunity Investments</v>
      </c>
      <c r="B253" t="str">
        <f>"ROIC US Equity"</f>
        <v>ROIC US Equity</v>
      </c>
      <c r="C253" t="str">
        <f t="shared" si="45"/>
        <v>RR554</v>
      </c>
      <c r="D253" t="str">
        <f t="shared" si="46"/>
        <v>FFO_RE_ASSET</v>
      </c>
      <c r="E253" t="str">
        <f t="shared" si="47"/>
        <v>动态</v>
      </c>
      <c r="F253" t="str">
        <f ca="1">IF(AND(ISNUMBER($F$699),$B$419=1),$F$699,HLOOKUP(INDIRECT(ADDRESS(2,COLUMN())),OFFSET($BN$2,0,0,ROW()-1,60),ROW()-1,FALSE))</f>
        <v/>
      </c>
      <c r="G253">
        <f ca="1">IF(AND(ISNUMBER($G$699),$B$419=1),$G$699,HLOOKUP(INDIRECT(ADDRESS(2,COLUMN())),OFFSET($BN$2,0,0,ROW()-1,60),ROW()-1,FALSE))</f>
        <v>5.2007016669999997</v>
      </c>
      <c r="H253">
        <f ca="1">IF(AND(ISNUMBER($H$699),$B$419=1),$H$699,HLOOKUP(INDIRECT(ADDRESS(2,COLUMN())),OFFSET($BN$2,0,0,ROW()-1,60),ROW()-1,FALSE))</f>
        <v>5.2861708470000002</v>
      </c>
      <c r="I253">
        <f ca="1">IF(AND(ISNUMBER($I$699),$B$419=1),$I$699,HLOOKUP(INDIRECT(ADDRESS(2,COLUMN())),OFFSET($BN$2,0,0,ROW()-1,60),ROW()-1,FALSE))</f>
        <v>5.20518941</v>
      </c>
      <c r="J253">
        <f ca="1">IF(AND(ISNUMBER($J$699),$B$419=1),$J$699,HLOOKUP(INDIRECT(ADDRESS(2,COLUMN())),OFFSET($BN$2,0,0,ROW()-1,60),ROW()-1,FALSE))</f>
        <v>5.3841015280000004</v>
      </c>
      <c r="K253">
        <f ca="1">IF(AND(ISNUMBER($K$699),$B$419=1),$K$699,HLOOKUP(INDIRECT(ADDRESS(2,COLUMN())),OFFSET($BN$2,0,0,ROW()-1,60),ROW()-1,FALSE))</f>
        <v>5.3600034189999999</v>
      </c>
      <c r="L253">
        <f ca="1">IF(AND(ISNUMBER($L$699),$B$419=1),$L$699,HLOOKUP(INDIRECT(ADDRESS(2,COLUMN())),OFFSET($BN$2,0,0,ROW()-1,60),ROW()-1,FALSE))</f>
        <v>5.4129710070000003</v>
      </c>
      <c r="M253">
        <f ca="1">IF(AND(ISNUMBER($M$699),$B$419=1),$M$699,HLOOKUP(INDIRECT(ADDRESS(2,COLUMN())),OFFSET($BN$2,0,0,ROW()-1,60),ROW()-1,FALSE))</f>
        <v>5.3191029890000001</v>
      </c>
      <c r="N253">
        <f ca="1">IF(AND(ISNUMBER($N$699),$B$419=1),$N$699,HLOOKUP(INDIRECT(ADDRESS(2,COLUMN())),OFFSET($BN$2,0,0,ROW()-1,60),ROW()-1,FALSE))</f>
        <v>5.1680973440000004</v>
      </c>
      <c r="O253">
        <f ca="1">IF(AND(ISNUMBER($O$699),$B$419=1),$O$699,HLOOKUP(INDIRECT(ADDRESS(2,COLUMN())),OFFSET($BN$2,0,0,ROW()-1,60),ROW()-1,FALSE))</f>
        <v>4.9765921930000001</v>
      </c>
      <c r="P253">
        <f ca="1">IF(AND(ISNUMBER($P$699),$B$419=1),$P$699,HLOOKUP(INDIRECT(ADDRESS(2,COLUMN())),OFFSET($BN$2,0,0,ROW()-1,60),ROW()-1,FALSE))</f>
        <v>5.1307194149999997</v>
      </c>
      <c r="Q253">
        <f ca="1">IF(AND(ISNUMBER($Q$699),$B$419=1),$Q$699,HLOOKUP(INDIRECT(ADDRESS(2,COLUMN())),OFFSET($BN$2,0,0,ROW()-1,60),ROW()-1,FALSE))</f>
        <v>4.9798389270000003</v>
      </c>
      <c r="R253">
        <f ca="1">IF(AND(ISNUMBER($R$699),$B$419=1),$R$699,HLOOKUP(INDIRECT(ADDRESS(2,COLUMN())),OFFSET($BN$2,0,0,ROW()-1,60),ROW()-1,FALSE))</f>
        <v>5.039895595</v>
      </c>
      <c r="S253">
        <f ca="1">IF(AND(ISNUMBER($S$699),$B$419=1),$S$699,HLOOKUP(INDIRECT(ADDRESS(2,COLUMN())),OFFSET($BN$2,0,0,ROW()-1,60),ROW()-1,FALSE))</f>
        <v>4.9445424060000001</v>
      </c>
      <c r="T253">
        <f ca="1">IF(AND(ISNUMBER($T$699),$B$419=1),$T$699,HLOOKUP(INDIRECT(ADDRESS(2,COLUMN())),OFFSET($BN$2,0,0,ROW()-1,60),ROW()-1,FALSE))</f>
        <v>5.0155622339999999</v>
      </c>
      <c r="U253">
        <f ca="1">IF(AND(ISNUMBER($U$699),$B$419=1),$U$699,HLOOKUP(INDIRECT(ADDRESS(2,COLUMN())),OFFSET($BN$2,0,0,ROW()-1,60),ROW()-1,FALSE))</f>
        <v>6.4391892000000004</v>
      </c>
      <c r="V253">
        <f ca="1">IF(AND(ISNUMBER($V$699),$B$419=1),$V$699,HLOOKUP(INDIRECT(ADDRESS(2,COLUMN())),OFFSET($BN$2,0,0,ROW()-1,60),ROW()-1,FALSE))</f>
        <v>7.1033818709999998</v>
      </c>
      <c r="W253">
        <f ca="1">IF(AND(ISNUMBER($W$699),$B$419=1),$W$699,HLOOKUP(INDIRECT(ADDRESS(2,COLUMN())),OFFSET($BN$2,0,0,ROW()-1,60),ROW()-1,FALSE))</f>
        <v>6.9724922180000002</v>
      </c>
      <c r="X253">
        <f ca="1">IF(AND(ISNUMBER($X$699),$B$419=1),$X$699,HLOOKUP(INDIRECT(ADDRESS(2,COLUMN())),OFFSET($BN$2,0,0,ROW()-1,60),ROW()-1,FALSE))</f>
        <v>7.0384137500000001</v>
      </c>
      <c r="Y253">
        <f ca="1">IF(AND(ISNUMBER($Y$699),$B$419=1),$Y$699,HLOOKUP(INDIRECT(ADDRESS(2,COLUMN())),OFFSET($BN$2,0,0,ROW()-1,60),ROW()-1,FALSE))</f>
        <v>4.9690394009999999</v>
      </c>
      <c r="Z253">
        <f ca="1">IF(AND(ISNUMBER($Z$699),$B$419=1),$Z$699,HLOOKUP(INDIRECT(ADDRESS(2,COLUMN())),OFFSET($BN$2,0,0,ROW()-1,60),ROW()-1,FALSE))</f>
        <v>5.4708064179999996</v>
      </c>
      <c r="AA253">
        <f ca="1">IF(AND(ISNUMBER($AA$699),$B$419=1),$AA$699,HLOOKUP(INDIRECT(ADDRESS(2,COLUMN())),OFFSET($BN$2,0,0,ROW()-1,60),ROW()-1,FALSE))</f>
        <v>5.3354583079999998</v>
      </c>
      <c r="AB253">
        <f ca="1">IF(AND(ISNUMBER($AB$699),$B$419=1),$AB$699,HLOOKUP(INDIRECT(ADDRESS(2,COLUMN())),OFFSET($BN$2,0,0,ROW()-1,60),ROW()-1,FALSE))</f>
        <v>5.8186115879999996</v>
      </c>
      <c r="AC253">
        <f ca="1">IF(AND(ISNUMBER($AC$699),$B$419=1),$AC$699,HLOOKUP(INDIRECT(ADDRESS(2,COLUMN())),OFFSET($BN$2,0,0,ROW()-1,60),ROW()-1,FALSE))</f>
        <v>6.4973012289999996</v>
      </c>
      <c r="AD253">
        <f ca="1">IF(AND(ISNUMBER($AD$699),$B$419=1),$AD$699,HLOOKUP(INDIRECT(ADDRESS(2,COLUMN())),OFFSET($BN$2,0,0,ROW()-1,60),ROW()-1,FALSE))</f>
        <v>5.6516598619999998</v>
      </c>
      <c r="AE253">
        <f ca="1">IF(AND(ISNUMBER($AE$699),$B$419=1),$AE$699,HLOOKUP(INDIRECT(ADDRESS(2,COLUMN())),OFFSET($BN$2,0,0,ROW()-1,60),ROW()-1,FALSE))</f>
        <v>6.9793978839999999</v>
      </c>
      <c r="AF253">
        <f ca="1">IF(AND(ISNUMBER($AF$699),$B$419=1),$AF$699,HLOOKUP(INDIRECT(ADDRESS(2,COLUMN())),OFFSET($BN$2,0,0,ROW()-1,60),ROW()-1,FALSE))</f>
        <v>7.7055290029999997</v>
      </c>
      <c r="AG253">
        <f ca="1">IF(AND(ISNUMBER($AG$699),$B$419=1),$AG$699,HLOOKUP(INDIRECT(ADDRESS(2,COLUMN())),OFFSET($BN$2,0,0,ROW()-1,60),ROW()-1,FALSE))</f>
        <v>8.5094444019999997</v>
      </c>
      <c r="AH253">
        <f ca="1">IF(AND(ISNUMBER($AH$699),$B$419=1),$AH$699,HLOOKUP(INDIRECT(ADDRESS(2,COLUMN())),OFFSET($BN$2,0,0,ROW()-1,60),ROW()-1,FALSE))</f>
        <v>7.1060185359999997</v>
      </c>
      <c r="AI253" t="str">
        <f ca="1">IF(AND(ISNUMBER($AI$699),$B$419=1),$AI$699,HLOOKUP(INDIRECT(ADDRESS(2,COLUMN())),OFFSET($BN$2,0,0,ROW()-1,60),ROW()-1,FALSE))</f>
        <v/>
      </c>
      <c r="AJ253" t="str">
        <f ca="1">IF(AND(ISNUMBER($AJ$699),$B$419=1),$AJ$699,HLOOKUP(INDIRECT(ADDRESS(2,COLUMN())),OFFSET($BN$2,0,0,ROW()-1,60),ROW()-1,FALSE))</f>
        <v/>
      </c>
      <c r="AK253" t="str">
        <f ca="1">IF(AND(ISNUMBER($AK$699),$B$419=1),$AK$699,HLOOKUP(INDIRECT(ADDRESS(2,COLUMN())),OFFSET($BN$2,0,0,ROW()-1,60),ROW()-1,FALSE))</f>
        <v/>
      </c>
      <c r="AL253" t="str">
        <f ca="1">IF(AND(ISNUMBER($AL$699),$B$419=1),$AL$699,HLOOKUP(INDIRECT(ADDRESS(2,COLUMN())),OFFSET($BN$2,0,0,ROW()-1,60),ROW()-1,FALSE))</f>
        <v/>
      </c>
      <c r="AM253" t="str">
        <f ca="1">IF(AND(ISNUMBER($AM$699),$B$419=1),$AM$699,HLOOKUP(INDIRECT(ADDRESS(2,COLUMN())),OFFSET($BN$2,0,0,ROW()-1,60),ROW()-1,FALSE))</f>
        <v/>
      </c>
      <c r="AN253" t="str">
        <f ca="1">IF(AND(ISNUMBER($AN$699),$B$419=1),$AN$699,HLOOKUP(INDIRECT(ADDRESS(2,COLUMN())),OFFSET($BN$2,0,0,ROW()-1,60),ROW()-1,FALSE))</f>
        <v/>
      </c>
      <c r="AO253" t="str">
        <f ca="1">IF(AND(ISNUMBER($AO$699),$B$419=1),$AO$699,HLOOKUP(INDIRECT(ADDRESS(2,COLUMN())),OFFSET($BN$2,0,0,ROW()-1,60),ROW()-1,FALSE))</f>
        <v/>
      </c>
      <c r="AP253" t="str">
        <f ca="1">IF(AND(ISNUMBER($AP$699),$B$419=1),$AP$699,HLOOKUP(INDIRECT(ADDRESS(2,COLUMN())),OFFSET($BN$2,0,0,ROW()-1,60),ROW()-1,FALSE))</f>
        <v/>
      </c>
      <c r="AQ253" t="str">
        <f ca="1">IF(AND(ISNUMBER($AQ$699),$B$419=1),$AQ$699,HLOOKUP(INDIRECT(ADDRESS(2,COLUMN())),OFFSET($BN$2,0,0,ROW()-1,60),ROW()-1,FALSE))</f>
        <v/>
      </c>
      <c r="AR253" t="str">
        <f ca="1">IF(AND(ISNUMBER($AR$699),$B$419=1),$AR$699,HLOOKUP(INDIRECT(ADDRESS(2,COLUMN())),OFFSET($BN$2,0,0,ROW()-1,60),ROW()-1,FALSE))</f>
        <v/>
      </c>
      <c r="AS253" t="str">
        <f ca="1">IF(AND(ISNUMBER($AS$699),$B$419=1),$AS$699,HLOOKUP(INDIRECT(ADDRESS(2,COLUMN())),OFFSET($BN$2,0,0,ROW()-1,60),ROW()-1,FALSE))</f>
        <v/>
      </c>
      <c r="AT253" t="str">
        <f ca="1">IF(AND(ISNUMBER($AT$699),$B$419=1),$AT$699,HLOOKUP(INDIRECT(ADDRESS(2,COLUMN())),OFFSET($BN$2,0,0,ROW()-1,60),ROW()-1,FALSE))</f>
        <v/>
      </c>
      <c r="AU253" t="str">
        <f ca="1">IF(AND(ISNUMBER($AU$699),$B$419=1),$AU$699,HLOOKUP(INDIRECT(ADDRESS(2,COLUMN())),OFFSET($BN$2,0,0,ROW()-1,60),ROW()-1,FALSE))</f>
        <v/>
      </c>
      <c r="AV253" t="str">
        <f ca="1">IF(AND(ISNUMBER($AV$699),$B$419=1),$AV$699,HLOOKUP(INDIRECT(ADDRESS(2,COLUMN())),OFFSET($BN$2,0,0,ROW()-1,60),ROW()-1,FALSE))</f>
        <v/>
      </c>
      <c r="AW253" t="str">
        <f ca="1">IF(AND(ISNUMBER($AW$699),$B$419=1),$AW$699,HLOOKUP(INDIRECT(ADDRESS(2,COLUMN())),OFFSET($BN$2,0,0,ROW()-1,60),ROW()-1,FALSE))</f>
        <v/>
      </c>
      <c r="AX253" t="str">
        <f ca="1">IF(AND(ISNUMBER($AX$699),$B$419=1),$AX$699,HLOOKUP(INDIRECT(ADDRESS(2,COLUMN())),OFFSET($BN$2,0,0,ROW()-1,60),ROW()-1,FALSE))</f>
        <v/>
      </c>
      <c r="AY253" t="str">
        <f ca="1">IF(AND(ISNUMBER($AY$699),$B$419=1),$AY$699,HLOOKUP(INDIRECT(ADDRESS(2,COLUMN())),OFFSET($BN$2,0,0,ROW()-1,60),ROW()-1,FALSE))</f>
        <v/>
      </c>
      <c r="AZ253" t="str">
        <f ca="1">IF(AND(ISNUMBER($AZ$699),$B$419=1),$AZ$699,HLOOKUP(INDIRECT(ADDRESS(2,COLUMN())),OFFSET($BN$2,0,0,ROW()-1,60),ROW()-1,FALSE))</f>
        <v/>
      </c>
      <c r="BA253" t="str">
        <f ca="1">IF(AND(ISNUMBER($BA$699),$B$419=1),$BA$699,HLOOKUP(INDIRECT(ADDRESS(2,COLUMN())),OFFSET($BN$2,0,0,ROW()-1,60),ROW()-1,FALSE))</f>
        <v/>
      </c>
      <c r="BB253" t="str">
        <f ca="1">IF(AND(ISNUMBER($BB$699),$B$419=1),$BB$699,HLOOKUP(INDIRECT(ADDRESS(2,COLUMN())),OFFSET($BN$2,0,0,ROW()-1,60),ROW()-1,FALSE))</f>
        <v/>
      </c>
      <c r="BC253" t="str">
        <f ca="1">IF(AND(ISNUMBER($BC$699),$B$419=1),$BC$699,HLOOKUP(INDIRECT(ADDRESS(2,COLUMN())),OFFSET($BN$2,0,0,ROW()-1,60),ROW()-1,FALSE))</f>
        <v/>
      </c>
      <c r="BD253" t="str">
        <f ca="1">IF(AND(ISNUMBER($BD$699),$B$419=1),$BD$699,HLOOKUP(INDIRECT(ADDRESS(2,COLUMN())),OFFSET($BN$2,0,0,ROW()-1,60),ROW()-1,FALSE))</f>
        <v/>
      </c>
      <c r="BE253" t="str">
        <f ca="1">IF(AND(ISNUMBER($BE$699),$B$419=1),$BE$699,HLOOKUP(INDIRECT(ADDRESS(2,COLUMN())),OFFSET($BN$2,0,0,ROW()-1,60),ROW()-1,FALSE))</f>
        <v/>
      </c>
      <c r="BF253" t="str">
        <f ca="1">IF(AND(ISNUMBER($BF$699),$B$419=1),$BF$699,HLOOKUP(INDIRECT(ADDRESS(2,COLUMN())),OFFSET($BN$2,0,0,ROW()-1,60),ROW()-1,FALSE))</f>
        <v/>
      </c>
      <c r="BG253" t="str">
        <f ca="1">IF(AND(ISNUMBER($BG$699),$B$419=1),$BG$699,HLOOKUP(INDIRECT(ADDRESS(2,COLUMN())),OFFSET($BN$2,0,0,ROW()-1,60),ROW()-1,FALSE))</f>
        <v/>
      </c>
      <c r="BH253" t="str">
        <f ca="1">IF(AND(ISNUMBER($BH$699),$B$419=1),$BH$699,HLOOKUP(INDIRECT(ADDRESS(2,COLUMN())),OFFSET($BN$2,0,0,ROW()-1,60),ROW()-1,FALSE))</f>
        <v/>
      </c>
      <c r="BI253" t="str">
        <f ca="1">IF(AND(ISNUMBER($BI$699),$B$419=1),$BI$699,HLOOKUP(INDIRECT(ADDRESS(2,COLUMN())),OFFSET($BN$2,0,0,ROW()-1,60),ROW()-1,FALSE))</f>
        <v/>
      </c>
      <c r="BJ253" t="str">
        <f ca="1">IF(AND(ISNUMBER($BJ$699),$B$419=1),$BJ$699,HLOOKUP(INDIRECT(ADDRESS(2,COLUMN())),OFFSET($BN$2,0,0,ROW()-1,60),ROW()-1,FALSE))</f>
        <v/>
      </c>
      <c r="BK253" t="str">
        <f ca="1">IF(AND(ISNUMBER($BK$699),$B$419=1),$BK$699,HLOOKUP(INDIRECT(ADDRESS(2,COLUMN())),OFFSET($BN$2,0,0,ROW()-1,60),ROW()-1,FALSE))</f>
        <v/>
      </c>
      <c r="BL253" t="str">
        <f ca="1">IF(AND(ISNUMBER($BL$699),$B$419=1),$BL$699,HLOOKUP(INDIRECT(ADDRESS(2,COLUMN())),OFFSET($BN$2,0,0,ROW()-1,60),ROW()-1,FALSE))</f>
        <v/>
      </c>
      <c r="BM253" t="str">
        <f ca="1">IF(AND(ISNUMBER($BM$699),$B$419=1),$BM$699,HLOOKUP(INDIRECT(ADDRESS(2,COLUMN())),OFFSET($BN$2,0,0,ROW()-1,60),ROW()-1,FALSE))</f>
        <v/>
      </c>
      <c r="BN253" t="str">
        <f>""</f>
        <v/>
      </c>
      <c r="BO253">
        <f>5.200701667</f>
        <v>5.2007016669999997</v>
      </c>
      <c r="BP253">
        <f>5.286170847</f>
        <v>5.2861708470000002</v>
      </c>
      <c r="BQ253">
        <f>5.20518941</f>
        <v>5.20518941</v>
      </c>
      <c r="BR253">
        <f>5.384101528</f>
        <v>5.3841015280000004</v>
      </c>
      <c r="BS253">
        <f>5.360003419</f>
        <v>5.3600034189999999</v>
      </c>
      <c r="BT253">
        <f>5.412971007</f>
        <v>5.4129710070000003</v>
      </c>
      <c r="BU253">
        <f>5.319102989</f>
        <v>5.3191029890000001</v>
      </c>
      <c r="BV253">
        <f>5.168097344</f>
        <v>5.1680973440000004</v>
      </c>
      <c r="BW253">
        <f>4.976592193</f>
        <v>4.9765921930000001</v>
      </c>
      <c r="BX253">
        <f>5.130719415</f>
        <v>5.1307194149999997</v>
      </c>
      <c r="BY253">
        <f>4.979838927</f>
        <v>4.9798389270000003</v>
      </c>
      <c r="BZ253">
        <f>5.039895595</f>
        <v>5.039895595</v>
      </c>
      <c r="CA253">
        <f>4.944542406</f>
        <v>4.9445424060000001</v>
      </c>
      <c r="CB253">
        <f>5.015562234</f>
        <v>5.0155622339999999</v>
      </c>
      <c r="CC253">
        <f>6.4391892</f>
        <v>6.4391892000000004</v>
      </c>
      <c r="CD253">
        <f>7.103381871</f>
        <v>7.1033818709999998</v>
      </c>
      <c r="CE253">
        <f>6.972492218</f>
        <v>6.9724922180000002</v>
      </c>
      <c r="CF253">
        <f>7.03841375</f>
        <v>7.0384137500000001</v>
      </c>
      <c r="CG253">
        <f>4.969039401</f>
        <v>4.9690394009999999</v>
      </c>
      <c r="CH253">
        <f>5.470806418</f>
        <v>5.4708064179999996</v>
      </c>
      <c r="CI253">
        <f>5.335458308</f>
        <v>5.3354583079999998</v>
      </c>
      <c r="CJ253">
        <f>5.818611588</f>
        <v>5.8186115879999996</v>
      </c>
      <c r="CK253">
        <f>6.497301229</f>
        <v>6.4973012289999996</v>
      </c>
      <c r="CL253">
        <f>5.651659862</f>
        <v>5.6516598619999998</v>
      </c>
      <c r="CM253">
        <f>6.979397884</f>
        <v>6.9793978839999999</v>
      </c>
      <c r="CN253">
        <f>7.705529003</f>
        <v>7.7055290029999997</v>
      </c>
      <c r="CO253">
        <f>8.509444402</f>
        <v>8.5094444019999997</v>
      </c>
      <c r="CP253">
        <f>7.106018536</f>
        <v>7.1060185359999997</v>
      </c>
      <c r="CQ253" t="str">
        <f>""</f>
        <v/>
      </c>
      <c r="CR253" t="str">
        <f>""</f>
        <v/>
      </c>
      <c r="CS253" t="str">
        <f>""</f>
        <v/>
      </c>
      <c r="CT253" t="str">
        <f>""</f>
        <v/>
      </c>
      <c r="CU253" t="str">
        <f>""</f>
        <v/>
      </c>
      <c r="CV253" t="str">
        <f>""</f>
        <v/>
      </c>
      <c r="CW253" t="str">
        <f>""</f>
        <v/>
      </c>
      <c r="CX253" t="str">
        <f>""</f>
        <v/>
      </c>
      <c r="CY253" t="str">
        <f>""</f>
        <v/>
      </c>
      <c r="CZ253" t="str">
        <f>""</f>
        <v/>
      </c>
      <c r="DA253" t="str">
        <f>""</f>
        <v/>
      </c>
      <c r="DB253" t="str">
        <f>""</f>
        <v/>
      </c>
      <c r="DC253" t="str">
        <f>""</f>
        <v/>
      </c>
      <c r="DD253" t="str">
        <f>""</f>
        <v/>
      </c>
      <c r="DE253" t="str">
        <f>""</f>
        <v/>
      </c>
      <c r="DF253" t="str">
        <f>""</f>
        <v/>
      </c>
      <c r="DG253" t="str">
        <f>""</f>
        <v/>
      </c>
      <c r="DH253" t="str">
        <f>""</f>
        <v/>
      </c>
      <c r="DI253" t="str">
        <f>""</f>
        <v/>
      </c>
      <c r="DJ253" t="str">
        <f>""</f>
        <v/>
      </c>
      <c r="DK253" t="str">
        <f>""</f>
        <v/>
      </c>
      <c r="DL253" t="str">
        <f>""</f>
        <v/>
      </c>
      <c r="DM253" t="str">
        <f>""</f>
        <v/>
      </c>
      <c r="DN253" t="str">
        <f>""</f>
        <v/>
      </c>
      <c r="DO253" t="str">
        <f>""</f>
        <v/>
      </c>
      <c r="DP253" t="str">
        <f>""</f>
        <v/>
      </c>
      <c r="DQ253" t="str">
        <f>""</f>
        <v/>
      </c>
      <c r="DR253" t="str">
        <f>""</f>
        <v/>
      </c>
      <c r="DS253" t="str">
        <f>""</f>
        <v/>
      </c>
      <c r="DT253" t="str">
        <f>""</f>
        <v/>
      </c>
      <c r="DU253" t="str">
        <f>""</f>
        <v/>
      </c>
    </row>
    <row r="254" spans="1:125">
      <c r="A254" t="str">
        <f>"    Retail Properties of America I"</f>
        <v xml:space="preserve">    Retail Properties of America I</v>
      </c>
      <c r="B254" t="str">
        <f>"RPAI US Equity"</f>
        <v>RPAI US Equity</v>
      </c>
      <c r="C254" t="str">
        <f t="shared" si="45"/>
        <v>RR554</v>
      </c>
      <c r="D254" t="str">
        <f t="shared" si="46"/>
        <v>FFO_RE_ASSET</v>
      </c>
      <c r="E254" t="str">
        <f t="shared" si="47"/>
        <v>动态</v>
      </c>
      <c r="F254" t="str">
        <f ca="1">IF(AND(ISNUMBER($F$700),$B$419=1),$F$700,HLOOKUP(INDIRECT(ADDRESS(2,COLUMN())),OFFSET($BN$2,0,0,ROW()-1,60),ROW()-1,FALSE))</f>
        <v/>
      </c>
      <c r="G254">
        <f ca="1">IF(AND(ISNUMBER($G$700),$B$419=1),$G$700,HLOOKUP(INDIRECT(ADDRESS(2,COLUMN())),OFFSET($BN$2,0,0,ROW()-1,60),ROW()-1,FALSE))</f>
        <v>4.405982625</v>
      </c>
      <c r="H254">
        <f ca="1">IF(AND(ISNUMBER($H$700),$B$419=1),$H$700,HLOOKUP(INDIRECT(ADDRESS(2,COLUMN())),OFFSET($BN$2,0,0,ROW()-1,60),ROW()-1,FALSE))</f>
        <v>4.3743587719999999</v>
      </c>
      <c r="I254">
        <f ca="1">IF(AND(ISNUMBER($I$700),$B$419=1),$I$700,HLOOKUP(INDIRECT(ADDRESS(2,COLUMN())),OFFSET($BN$2,0,0,ROW()-1,60),ROW()-1,FALSE))</f>
        <v>4.3699071580000002</v>
      </c>
      <c r="J254">
        <f ca="1">IF(AND(ISNUMBER($J$700),$B$419=1),$J$700,HLOOKUP(INDIRECT(ADDRESS(2,COLUMN())),OFFSET($BN$2,0,0,ROW()-1,60),ROW()-1,FALSE))</f>
        <v>4.6127749519999997</v>
      </c>
      <c r="K254">
        <f ca="1">IF(AND(ISNUMBER($K$700),$B$419=1),$K$700,HLOOKUP(INDIRECT(ADDRESS(2,COLUMN())),OFFSET($BN$2,0,0,ROW()-1,60),ROW()-1,FALSE))</f>
        <v>6.4267164509999999</v>
      </c>
      <c r="L254">
        <f ca="1">IF(AND(ISNUMBER($L$700),$B$419=1),$L$700,HLOOKUP(INDIRECT(ADDRESS(2,COLUMN())),OFFSET($BN$2,0,0,ROW()-1,60),ROW()-1,FALSE))</f>
        <v>6.4777600069999997</v>
      </c>
      <c r="M254">
        <f ca="1">IF(AND(ISNUMBER($M$700),$B$419=1),$M$700,HLOOKUP(INDIRECT(ADDRESS(2,COLUMN())),OFFSET($BN$2,0,0,ROW()-1,60),ROW()-1,FALSE))</f>
        <v>5.9544110809999999</v>
      </c>
      <c r="N254">
        <f ca="1">IF(AND(ISNUMBER($N$700),$B$419=1),$N$700,HLOOKUP(INDIRECT(ADDRESS(2,COLUMN())),OFFSET($BN$2,0,0,ROW()-1,60),ROW()-1,FALSE))</f>
        <v>5.5231580170000001</v>
      </c>
      <c r="O254">
        <f ca="1">IF(AND(ISNUMBER($O$700),$B$419=1),$O$700,HLOOKUP(INDIRECT(ADDRESS(2,COLUMN())),OFFSET($BN$2,0,0,ROW()-1,60),ROW()-1,FALSE))</f>
        <v>5.2985217579999997</v>
      </c>
      <c r="P254">
        <f ca="1">IF(AND(ISNUMBER($P$700),$B$419=1),$P$700,HLOOKUP(INDIRECT(ADDRESS(2,COLUMN())),OFFSET($BN$2,0,0,ROW()-1,60),ROW()-1,FALSE))</f>
        <v>5.1831746360000004</v>
      </c>
      <c r="Q254">
        <f ca="1">IF(AND(ISNUMBER($Q$700),$B$419=1),$Q$700,HLOOKUP(INDIRECT(ADDRESS(2,COLUMN())),OFFSET($BN$2,0,0,ROW()-1,60),ROW()-1,FALSE))</f>
        <v>5.2414234540000004</v>
      </c>
      <c r="R254">
        <f ca="1">IF(AND(ISNUMBER($R$700),$B$419=1),$R$700,HLOOKUP(INDIRECT(ADDRESS(2,COLUMN())),OFFSET($BN$2,0,0,ROW()-1,60),ROW()-1,FALSE))</f>
        <v>5.52395367</v>
      </c>
      <c r="S254">
        <f ca="1">IF(AND(ISNUMBER($S$700),$B$419=1),$S$700,HLOOKUP(INDIRECT(ADDRESS(2,COLUMN())),OFFSET($BN$2,0,0,ROW()-1,60),ROW()-1,FALSE))</f>
        <v>5.7809551079999997</v>
      </c>
      <c r="T254">
        <f ca="1">IF(AND(ISNUMBER($T$700),$B$419=1),$T$700,HLOOKUP(INDIRECT(ADDRESS(2,COLUMN())),OFFSET($BN$2,0,0,ROW()-1,60),ROW()-1,FALSE))</f>
        <v>5.8981784209999999</v>
      </c>
      <c r="U254">
        <f ca="1">IF(AND(ISNUMBER($U$700),$B$419=1),$U$700,HLOOKUP(INDIRECT(ADDRESS(2,COLUMN())),OFFSET($BN$2,0,0,ROW()-1,60),ROW()-1,FALSE))</f>
        <v>5.6996016039999997</v>
      </c>
      <c r="V254">
        <f ca="1">IF(AND(ISNUMBER($V$700),$B$419=1),$V$700,HLOOKUP(INDIRECT(ADDRESS(2,COLUMN())),OFFSET($BN$2,0,0,ROW()-1,60),ROW()-1,FALSE))</f>
        <v>6.3007356459999997</v>
      </c>
      <c r="W254">
        <f ca="1">IF(AND(ISNUMBER($W$700),$B$419=1),$W$700,HLOOKUP(INDIRECT(ADDRESS(2,COLUMN())),OFFSET($BN$2,0,0,ROW()-1,60),ROW()-1,FALSE))</f>
        <v>5.7646037789999998</v>
      </c>
      <c r="X254">
        <f ca="1">IF(AND(ISNUMBER($X$700),$B$419=1),$X$700,HLOOKUP(INDIRECT(ADDRESS(2,COLUMN())),OFFSET($BN$2,0,0,ROW()-1,60),ROW()-1,FALSE))</f>
        <v>5.3577379790000004</v>
      </c>
      <c r="Y254">
        <f ca="1">IF(AND(ISNUMBER($Y$700),$B$419=1),$Y$700,HLOOKUP(INDIRECT(ADDRESS(2,COLUMN())),OFFSET($BN$2,0,0,ROW()-1,60),ROW()-1,FALSE))</f>
        <v>5.0529266000000002</v>
      </c>
      <c r="Z254">
        <f ca="1">IF(AND(ISNUMBER($Z$700),$B$419=1),$Z$700,HLOOKUP(INDIRECT(ADDRESS(2,COLUMN())),OFFSET($BN$2,0,0,ROW()-1,60),ROW()-1,FALSE))</f>
        <v>4.6277961779999996</v>
      </c>
      <c r="AA254">
        <f ca="1">IF(AND(ISNUMBER($AA$700),$B$419=1),$AA$700,HLOOKUP(INDIRECT(ADDRESS(2,COLUMN())),OFFSET($BN$2,0,0,ROW()-1,60),ROW()-1,FALSE))</f>
        <v>4.6713960129999998</v>
      </c>
      <c r="AB254">
        <f ca="1">IF(AND(ISNUMBER($AB$700),$B$419=1),$AB$700,HLOOKUP(INDIRECT(ADDRESS(2,COLUMN())),OFFSET($BN$2,0,0,ROW()-1,60),ROW()-1,FALSE))</f>
        <v>4.3313575420000001</v>
      </c>
      <c r="AC254">
        <f ca="1">IF(AND(ISNUMBER($AC$700),$B$419=1),$AC$700,HLOOKUP(INDIRECT(ADDRESS(2,COLUMN())),OFFSET($BN$2,0,0,ROW()-1,60),ROW()-1,FALSE))</f>
        <v>3.969997249</v>
      </c>
      <c r="AD254">
        <f ca="1">IF(AND(ISNUMBER($AD$700),$B$419=1),$AD$700,HLOOKUP(INDIRECT(ADDRESS(2,COLUMN())),OFFSET($BN$2,0,0,ROW()-1,60),ROW()-1,FALSE))</f>
        <v>3.5256721839999998</v>
      </c>
      <c r="AE254">
        <f ca="1">IF(AND(ISNUMBER($AE$700),$B$419=1),$AE$700,HLOOKUP(INDIRECT(ADDRESS(2,COLUMN())),OFFSET($BN$2,0,0,ROW()-1,60),ROW()-1,FALSE))</f>
        <v>3.5275152699999999</v>
      </c>
      <c r="AF254">
        <f ca="1">IF(AND(ISNUMBER($AF$700),$B$419=1),$AF$700,HLOOKUP(INDIRECT(ADDRESS(2,COLUMN())),OFFSET($BN$2,0,0,ROW()-1,60),ROW()-1,FALSE))</f>
        <v>3.3053090119999999</v>
      </c>
      <c r="AG254" t="str">
        <f ca="1">IF(AND(ISNUMBER($AG$700),$B$419=1),$AG$700,HLOOKUP(INDIRECT(ADDRESS(2,COLUMN())),OFFSET($BN$2,0,0,ROW()-1,60),ROW()-1,FALSE))</f>
        <v/>
      </c>
      <c r="AH254" t="str">
        <f ca="1">IF(AND(ISNUMBER($AH$700),$B$419=1),$AH$700,HLOOKUP(INDIRECT(ADDRESS(2,COLUMN())),OFFSET($BN$2,0,0,ROW()-1,60),ROW()-1,FALSE))</f>
        <v/>
      </c>
      <c r="AI254" t="str">
        <f ca="1">IF(AND(ISNUMBER($AI$700),$B$419=1),$AI$700,HLOOKUP(INDIRECT(ADDRESS(2,COLUMN())),OFFSET($BN$2,0,0,ROW()-1,60),ROW()-1,FALSE))</f>
        <v/>
      </c>
      <c r="AJ254" t="str">
        <f ca="1">IF(AND(ISNUMBER($AJ$700),$B$419=1),$AJ$700,HLOOKUP(INDIRECT(ADDRESS(2,COLUMN())),OFFSET($BN$2,0,0,ROW()-1,60),ROW()-1,FALSE))</f>
        <v/>
      </c>
      <c r="AK254" t="str">
        <f ca="1">IF(AND(ISNUMBER($AK$700),$B$419=1),$AK$700,HLOOKUP(INDIRECT(ADDRESS(2,COLUMN())),OFFSET($BN$2,0,0,ROW()-1,60),ROW()-1,FALSE))</f>
        <v/>
      </c>
      <c r="AL254" t="str">
        <f ca="1">IF(AND(ISNUMBER($AL$700),$B$419=1),$AL$700,HLOOKUP(INDIRECT(ADDRESS(2,COLUMN())),OFFSET($BN$2,0,0,ROW()-1,60),ROW()-1,FALSE))</f>
        <v/>
      </c>
      <c r="AM254" t="str">
        <f ca="1">IF(AND(ISNUMBER($AM$700),$B$419=1),$AM$700,HLOOKUP(INDIRECT(ADDRESS(2,COLUMN())),OFFSET($BN$2,0,0,ROW()-1,60),ROW()-1,FALSE))</f>
        <v/>
      </c>
      <c r="AN254" t="str">
        <f ca="1">IF(AND(ISNUMBER($AN$700),$B$419=1),$AN$700,HLOOKUP(INDIRECT(ADDRESS(2,COLUMN())),OFFSET($BN$2,0,0,ROW()-1,60),ROW()-1,FALSE))</f>
        <v/>
      </c>
      <c r="AO254" t="str">
        <f ca="1">IF(AND(ISNUMBER($AO$700),$B$419=1),$AO$700,HLOOKUP(INDIRECT(ADDRESS(2,COLUMN())),OFFSET($BN$2,0,0,ROW()-1,60),ROW()-1,FALSE))</f>
        <v/>
      </c>
      <c r="AP254" t="str">
        <f ca="1">IF(AND(ISNUMBER($AP$700),$B$419=1),$AP$700,HLOOKUP(INDIRECT(ADDRESS(2,COLUMN())),OFFSET($BN$2,0,0,ROW()-1,60),ROW()-1,FALSE))</f>
        <v/>
      </c>
      <c r="AQ254" t="str">
        <f ca="1">IF(AND(ISNUMBER($AQ$700),$B$419=1),$AQ$700,HLOOKUP(INDIRECT(ADDRESS(2,COLUMN())),OFFSET($BN$2,0,0,ROW()-1,60),ROW()-1,FALSE))</f>
        <v/>
      </c>
      <c r="AR254" t="str">
        <f ca="1">IF(AND(ISNUMBER($AR$700),$B$419=1),$AR$700,HLOOKUP(INDIRECT(ADDRESS(2,COLUMN())),OFFSET($BN$2,0,0,ROW()-1,60),ROW()-1,FALSE))</f>
        <v/>
      </c>
      <c r="AS254" t="str">
        <f ca="1">IF(AND(ISNUMBER($AS$700),$B$419=1),$AS$700,HLOOKUP(INDIRECT(ADDRESS(2,COLUMN())),OFFSET($BN$2,0,0,ROW()-1,60),ROW()-1,FALSE))</f>
        <v/>
      </c>
      <c r="AT254" t="str">
        <f ca="1">IF(AND(ISNUMBER($AT$700),$B$419=1),$AT$700,HLOOKUP(INDIRECT(ADDRESS(2,COLUMN())),OFFSET($BN$2,0,0,ROW()-1,60),ROW()-1,FALSE))</f>
        <v/>
      </c>
      <c r="AU254" t="str">
        <f ca="1">IF(AND(ISNUMBER($AU$700),$B$419=1),$AU$700,HLOOKUP(INDIRECT(ADDRESS(2,COLUMN())),OFFSET($BN$2,0,0,ROW()-1,60),ROW()-1,FALSE))</f>
        <v/>
      </c>
      <c r="AV254" t="str">
        <f ca="1">IF(AND(ISNUMBER($AV$700),$B$419=1),$AV$700,HLOOKUP(INDIRECT(ADDRESS(2,COLUMN())),OFFSET($BN$2,0,0,ROW()-1,60),ROW()-1,FALSE))</f>
        <v/>
      </c>
      <c r="AW254" t="str">
        <f ca="1">IF(AND(ISNUMBER($AW$700),$B$419=1),$AW$700,HLOOKUP(INDIRECT(ADDRESS(2,COLUMN())),OFFSET($BN$2,0,0,ROW()-1,60),ROW()-1,FALSE))</f>
        <v/>
      </c>
      <c r="AX254" t="str">
        <f ca="1">IF(AND(ISNUMBER($AX$700),$B$419=1),$AX$700,HLOOKUP(INDIRECT(ADDRESS(2,COLUMN())),OFFSET($BN$2,0,0,ROW()-1,60),ROW()-1,FALSE))</f>
        <v/>
      </c>
      <c r="AY254" t="str">
        <f ca="1">IF(AND(ISNUMBER($AY$700),$B$419=1),$AY$700,HLOOKUP(INDIRECT(ADDRESS(2,COLUMN())),OFFSET($BN$2,0,0,ROW()-1,60),ROW()-1,FALSE))</f>
        <v/>
      </c>
      <c r="AZ254" t="str">
        <f ca="1">IF(AND(ISNUMBER($AZ$700),$B$419=1),$AZ$700,HLOOKUP(INDIRECT(ADDRESS(2,COLUMN())),OFFSET($BN$2,0,0,ROW()-1,60),ROW()-1,FALSE))</f>
        <v/>
      </c>
      <c r="BA254" t="str">
        <f ca="1">IF(AND(ISNUMBER($BA$700),$B$419=1),$BA$700,HLOOKUP(INDIRECT(ADDRESS(2,COLUMN())),OFFSET($BN$2,0,0,ROW()-1,60),ROW()-1,FALSE))</f>
        <v/>
      </c>
      <c r="BB254" t="str">
        <f ca="1">IF(AND(ISNUMBER($BB$700),$B$419=1),$BB$700,HLOOKUP(INDIRECT(ADDRESS(2,COLUMN())),OFFSET($BN$2,0,0,ROW()-1,60),ROW()-1,FALSE))</f>
        <v/>
      </c>
      <c r="BC254" t="str">
        <f ca="1">IF(AND(ISNUMBER($BC$700),$B$419=1),$BC$700,HLOOKUP(INDIRECT(ADDRESS(2,COLUMN())),OFFSET($BN$2,0,0,ROW()-1,60),ROW()-1,FALSE))</f>
        <v/>
      </c>
      <c r="BD254" t="str">
        <f ca="1">IF(AND(ISNUMBER($BD$700),$B$419=1),$BD$700,HLOOKUP(INDIRECT(ADDRESS(2,COLUMN())),OFFSET($BN$2,0,0,ROW()-1,60),ROW()-1,FALSE))</f>
        <v/>
      </c>
      <c r="BE254" t="str">
        <f ca="1">IF(AND(ISNUMBER($BE$700),$B$419=1),$BE$700,HLOOKUP(INDIRECT(ADDRESS(2,COLUMN())),OFFSET($BN$2,0,0,ROW()-1,60),ROW()-1,FALSE))</f>
        <v/>
      </c>
      <c r="BF254" t="str">
        <f ca="1">IF(AND(ISNUMBER($BF$700),$B$419=1),$BF$700,HLOOKUP(INDIRECT(ADDRESS(2,COLUMN())),OFFSET($BN$2,0,0,ROW()-1,60),ROW()-1,FALSE))</f>
        <v/>
      </c>
      <c r="BG254" t="str">
        <f ca="1">IF(AND(ISNUMBER($BG$700),$B$419=1),$BG$700,HLOOKUP(INDIRECT(ADDRESS(2,COLUMN())),OFFSET($BN$2,0,0,ROW()-1,60),ROW()-1,FALSE))</f>
        <v/>
      </c>
      <c r="BH254" t="str">
        <f ca="1">IF(AND(ISNUMBER($BH$700),$B$419=1),$BH$700,HLOOKUP(INDIRECT(ADDRESS(2,COLUMN())),OFFSET($BN$2,0,0,ROW()-1,60),ROW()-1,FALSE))</f>
        <v/>
      </c>
      <c r="BI254" t="str">
        <f ca="1">IF(AND(ISNUMBER($BI$700),$B$419=1),$BI$700,HLOOKUP(INDIRECT(ADDRESS(2,COLUMN())),OFFSET($BN$2,0,0,ROW()-1,60),ROW()-1,FALSE))</f>
        <v/>
      </c>
      <c r="BJ254" t="str">
        <f ca="1">IF(AND(ISNUMBER($BJ$700),$B$419=1),$BJ$700,HLOOKUP(INDIRECT(ADDRESS(2,COLUMN())),OFFSET($BN$2,0,0,ROW()-1,60),ROW()-1,FALSE))</f>
        <v/>
      </c>
      <c r="BK254" t="str">
        <f ca="1">IF(AND(ISNUMBER($BK$700),$B$419=1),$BK$700,HLOOKUP(INDIRECT(ADDRESS(2,COLUMN())),OFFSET($BN$2,0,0,ROW()-1,60),ROW()-1,FALSE))</f>
        <v/>
      </c>
      <c r="BL254" t="str">
        <f ca="1">IF(AND(ISNUMBER($BL$700),$B$419=1),$BL$700,HLOOKUP(INDIRECT(ADDRESS(2,COLUMN())),OFFSET($BN$2,0,0,ROW()-1,60),ROW()-1,FALSE))</f>
        <v/>
      </c>
      <c r="BM254" t="str">
        <f ca="1">IF(AND(ISNUMBER($BM$700),$B$419=1),$BM$700,HLOOKUP(INDIRECT(ADDRESS(2,COLUMN())),OFFSET($BN$2,0,0,ROW()-1,60),ROW()-1,FALSE))</f>
        <v/>
      </c>
      <c r="BN254" t="str">
        <f>""</f>
        <v/>
      </c>
      <c r="BO254">
        <f>4.405982625</f>
        <v>4.405982625</v>
      </c>
      <c r="BP254">
        <f>4.374358772</f>
        <v>4.3743587719999999</v>
      </c>
      <c r="BQ254">
        <f>4.369907158</f>
        <v>4.3699071580000002</v>
      </c>
      <c r="BR254">
        <f>4.612774952</f>
        <v>4.6127749519999997</v>
      </c>
      <c r="BS254">
        <f>6.426716451</f>
        <v>6.4267164509999999</v>
      </c>
      <c r="BT254">
        <f>6.477760007</f>
        <v>6.4777600069999997</v>
      </c>
      <c r="BU254">
        <f>5.954411081</f>
        <v>5.9544110809999999</v>
      </c>
      <c r="BV254">
        <f>5.523158017</f>
        <v>5.5231580170000001</v>
      </c>
      <c r="BW254">
        <f>5.298521758</f>
        <v>5.2985217579999997</v>
      </c>
      <c r="BX254">
        <f>5.183174636</f>
        <v>5.1831746360000004</v>
      </c>
      <c r="BY254">
        <f>5.241423454</f>
        <v>5.2414234540000004</v>
      </c>
      <c r="BZ254">
        <f>5.52395367</f>
        <v>5.52395367</v>
      </c>
      <c r="CA254">
        <f>5.780955108</f>
        <v>5.7809551079999997</v>
      </c>
      <c r="CB254">
        <f>5.898178421</f>
        <v>5.8981784209999999</v>
      </c>
      <c r="CC254">
        <f>5.699601604</f>
        <v>5.6996016039999997</v>
      </c>
      <c r="CD254">
        <f>6.300735646</f>
        <v>6.3007356459999997</v>
      </c>
      <c r="CE254">
        <f>5.764603779</f>
        <v>5.7646037789999998</v>
      </c>
      <c r="CF254">
        <f>5.357737979</f>
        <v>5.3577379790000004</v>
      </c>
      <c r="CG254">
        <f>5.0529266</f>
        <v>5.0529266000000002</v>
      </c>
      <c r="CH254">
        <f>4.627796178</f>
        <v>4.6277961779999996</v>
      </c>
      <c r="CI254">
        <f>4.671396013</f>
        <v>4.6713960129999998</v>
      </c>
      <c r="CJ254">
        <f>4.331357542</f>
        <v>4.3313575420000001</v>
      </c>
      <c r="CK254">
        <f>3.969997249</f>
        <v>3.969997249</v>
      </c>
      <c r="CL254">
        <f>3.525672184</f>
        <v>3.5256721839999998</v>
      </c>
      <c r="CM254">
        <f>3.52751527</f>
        <v>3.5275152699999999</v>
      </c>
      <c r="CN254">
        <f>3.305309012</f>
        <v>3.3053090119999999</v>
      </c>
      <c r="CO254" t="str">
        <f>""</f>
        <v/>
      </c>
      <c r="CP254" t="str">
        <f>""</f>
        <v/>
      </c>
      <c r="CQ254" t="str">
        <f>""</f>
        <v/>
      </c>
      <c r="CR254" t="str">
        <f>""</f>
        <v/>
      </c>
      <c r="CS254" t="str">
        <f>""</f>
        <v/>
      </c>
      <c r="CT254" t="str">
        <f>""</f>
        <v/>
      </c>
      <c r="CU254" t="str">
        <f>""</f>
        <v/>
      </c>
      <c r="CV254" t="str">
        <f>""</f>
        <v/>
      </c>
      <c r="CW254" t="str">
        <f>""</f>
        <v/>
      </c>
      <c r="CX254" t="str">
        <f>""</f>
        <v/>
      </c>
      <c r="CY254" t="str">
        <f>""</f>
        <v/>
      </c>
      <c r="CZ254" t="str">
        <f>""</f>
        <v/>
      </c>
      <c r="DA254" t="str">
        <f>""</f>
        <v/>
      </c>
      <c r="DB254" t="str">
        <f>""</f>
        <v/>
      </c>
      <c r="DC254" t="str">
        <f>""</f>
        <v/>
      </c>
      <c r="DD254" t="str">
        <f>""</f>
        <v/>
      </c>
      <c r="DE254" t="str">
        <f>""</f>
        <v/>
      </c>
      <c r="DF254" t="str">
        <f>""</f>
        <v/>
      </c>
      <c r="DG254" t="str">
        <f>""</f>
        <v/>
      </c>
      <c r="DH254" t="str">
        <f>""</f>
        <v/>
      </c>
      <c r="DI254" t="str">
        <f>""</f>
        <v/>
      </c>
      <c r="DJ254" t="str">
        <f>""</f>
        <v/>
      </c>
      <c r="DK254" t="str">
        <f>""</f>
        <v/>
      </c>
      <c r="DL254" t="str">
        <f>""</f>
        <v/>
      </c>
      <c r="DM254" t="str">
        <f>""</f>
        <v/>
      </c>
      <c r="DN254" t="str">
        <f>""</f>
        <v/>
      </c>
      <c r="DO254" t="str">
        <f>""</f>
        <v/>
      </c>
      <c r="DP254" t="str">
        <f>""</f>
        <v/>
      </c>
      <c r="DQ254" t="str">
        <f>""</f>
        <v/>
      </c>
      <c r="DR254" t="str">
        <f>""</f>
        <v/>
      </c>
      <c r="DS254" t="str">
        <f>""</f>
        <v/>
      </c>
      <c r="DT254" t="str">
        <f>""</f>
        <v/>
      </c>
      <c r="DU254" t="str">
        <f>""</f>
        <v/>
      </c>
    </row>
    <row r="255" spans="1:125">
      <c r="A255" t="str">
        <f>"    Simon Property Group Inc"</f>
        <v xml:space="preserve">    Simon Property Group Inc</v>
      </c>
      <c r="B255" t="str">
        <f>"SPG US Equity"</f>
        <v>SPG US Equity</v>
      </c>
      <c r="C255" t="str">
        <f t="shared" si="45"/>
        <v>RR554</v>
      </c>
      <c r="D255" t="str">
        <f t="shared" si="46"/>
        <v>FFO_RE_ASSET</v>
      </c>
      <c r="E255" t="str">
        <f t="shared" si="47"/>
        <v>动态</v>
      </c>
      <c r="F255" t="str">
        <f ca="1">IF(AND(ISNUMBER($F$701),$B$419=1),$F$701,HLOOKUP(INDIRECT(ADDRESS(2,COLUMN())),OFFSET($BN$2,0,0,ROW()-1,60),ROW()-1,FALSE))</f>
        <v/>
      </c>
      <c r="G255">
        <f ca="1">IF(AND(ISNUMBER($G$701),$B$419=1),$G$701,HLOOKUP(INDIRECT(ADDRESS(2,COLUMN())),OFFSET($BN$2,0,0,ROW()-1,60),ROW()-1,FALSE))</f>
        <v>14.06164656</v>
      </c>
      <c r="H255">
        <f ca="1">IF(AND(ISNUMBER($H$701),$B$419=1),$H$701,HLOOKUP(INDIRECT(ADDRESS(2,COLUMN())),OFFSET($BN$2,0,0,ROW()-1,60),ROW()-1,FALSE))</f>
        <v>13.30894073</v>
      </c>
      <c r="I255">
        <f ca="1">IF(AND(ISNUMBER($I$701),$B$419=1),$I$701,HLOOKUP(INDIRECT(ADDRESS(2,COLUMN())),OFFSET($BN$2,0,0,ROW()-1,60),ROW()-1,FALSE))</f>
        <v>13.179879590000001</v>
      </c>
      <c r="J255">
        <f ca="1">IF(AND(ISNUMBER($J$701),$B$419=1),$J$701,HLOOKUP(INDIRECT(ADDRESS(2,COLUMN())),OFFSET($BN$2,0,0,ROW()-1,60),ROW()-1,FALSE))</f>
        <v>13.42997038</v>
      </c>
      <c r="K255">
        <f ca="1">IF(AND(ISNUMBER($K$701),$B$419=1),$K$701,HLOOKUP(INDIRECT(ADDRESS(2,COLUMN())),OFFSET($BN$2,0,0,ROW()-1,60),ROW()-1,FALSE))</f>
        <v>13.426853599999999</v>
      </c>
      <c r="L255">
        <f ca="1">IF(AND(ISNUMBER($L$701),$B$419=1),$L$701,HLOOKUP(INDIRECT(ADDRESS(2,COLUMN())),OFFSET($BN$2,0,0,ROW()-1,60),ROW()-1,FALSE))</f>
        <v>13.219008580000001</v>
      </c>
      <c r="M255">
        <f ca="1">IF(AND(ISNUMBER($M$701),$B$419=1),$M$701,HLOOKUP(INDIRECT(ADDRESS(2,COLUMN())),OFFSET($BN$2,0,0,ROW()-1,60),ROW()-1,FALSE))</f>
        <v>13.13011126</v>
      </c>
      <c r="N255">
        <f ca="1">IF(AND(ISNUMBER($N$701),$B$419=1),$N$701,HLOOKUP(INDIRECT(ADDRESS(2,COLUMN())),OFFSET($BN$2,0,0,ROW()-1,60),ROW()-1,FALSE))</f>
        <v>13.277301700000001</v>
      </c>
      <c r="O255">
        <f ca="1">IF(AND(ISNUMBER($O$701),$B$419=1),$O$701,HLOOKUP(INDIRECT(ADDRESS(2,COLUMN())),OFFSET($BN$2,0,0,ROW()-1,60),ROW()-1,FALSE))</f>
        <v>13.10407747</v>
      </c>
      <c r="P255">
        <f ca="1">IF(AND(ISNUMBER($P$701),$B$419=1),$P$701,HLOOKUP(INDIRECT(ADDRESS(2,COLUMN())),OFFSET($BN$2,0,0,ROW()-1,60),ROW()-1,FALSE))</f>
        <v>13.22948338</v>
      </c>
      <c r="Q255">
        <f ca="1">IF(AND(ISNUMBER($Q$701),$B$419=1),$Q$701,HLOOKUP(INDIRECT(ADDRESS(2,COLUMN())),OFFSET($BN$2,0,0,ROW()-1,60),ROW()-1,FALSE))</f>
        <v>12.36248374</v>
      </c>
      <c r="R255">
        <f ca="1">IF(AND(ISNUMBER($R$701),$B$419=1),$R$701,HLOOKUP(INDIRECT(ADDRESS(2,COLUMN())),OFFSET($BN$2,0,0,ROW()-1,60),ROW()-1,FALSE))</f>
        <v>11.287329099999999</v>
      </c>
      <c r="S255">
        <f ca="1">IF(AND(ISNUMBER($S$701),$B$419=1),$S$701,HLOOKUP(INDIRECT(ADDRESS(2,COLUMN())),OFFSET($BN$2,0,0,ROW()-1,60),ROW()-1,FALSE))</f>
        <v>11.546485349999999</v>
      </c>
      <c r="T255">
        <f ca="1">IF(AND(ISNUMBER($T$701),$B$419=1),$T$701,HLOOKUP(INDIRECT(ADDRESS(2,COLUMN())),OFFSET($BN$2,0,0,ROW()-1,60),ROW()-1,FALSE))</f>
        <v>11.642192140000001</v>
      </c>
      <c r="U255">
        <f ca="1">IF(AND(ISNUMBER($U$701),$B$419=1),$U$701,HLOOKUP(INDIRECT(ADDRESS(2,COLUMN())),OFFSET($BN$2,0,0,ROW()-1,60),ROW()-1,FALSE))</f>
        <v>11.981870450000001</v>
      </c>
      <c r="V255">
        <f ca="1">IF(AND(ISNUMBER($V$701),$B$419=1),$V$701,HLOOKUP(INDIRECT(ADDRESS(2,COLUMN())),OFFSET($BN$2,0,0,ROW()-1,60),ROW()-1,FALSE))</f>
        <v>11.33734452</v>
      </c>
      <c r="W255">
        <f ca="1">IF(AND(ISNUMBER($W$701),$B$419=1),$W$701,HLOOKUP(INDIRECT(ADDRESS(2,COLUMN())),OFFSET($BN$2,0,0,ROW()-1,60),ROW()-1,FALSE))</f>
        <v>10.90066816</v>
      </c>
      <c r="X255">
        <f ca="1">IF(AND(ISNUMBER($X$701),$B$419=1),$X$701,HLOOKUP(INDIRECT(ADDRESS(2,COLUMN())),OFFSET($BN$2,0,0,ROW()-1,60),ROW()-1,FALSE))</f>
        <v>10.794399889999999</v>
      </c>
      <c r="Y255">
        <f ca="1">IF(AND(ISNUMBER($Y$701),$B$419=1),$Y$701,HLOOKUP(INDIRECT(ADDRESS(2,COLUMN())),OFFSET($BN$2,0,0,ROW()-1,60),ROW()-1,FALSE))</f>
        <v>10.51285373</v>
      </c>
      <c r="Z255">
        <f ca="1">IF(AND(ISNUMBER($Z$701),$B$419=1),$Z$701,HLOOKUP(INDIRECT(ADDRESS(2,COLUMN())),OFFSET($BN$2,0,0,ROW()-1,60),ROW()-1,FALSE))</f>
        <v>10.198627309999999</v>
      </c>
      <c r="AA255">
        <f ca="1">IF(AND(ISNUMBER($AA$701),$B$419=1),$AA$701,HLOOKUP(INDIRECT(ADDRESS(2,COLUMN())),OFFSET($BN$2,0,0,ROW()-1,60),ROW()-1,FALSE))</f>
        <v>10.967583230000001</v>
      </c>
      <c r="AB255">
        <f ca="1">IF(AND(ISNUMBER($AB$701),$B$419=1),$AB$701,HLOOKUP(INDIRECT(ADDRESS(2,COLUMN())),OFFSET($BN$2,0,0,ROW()-1,60),ROW()-1,FALSE))</f>
        <v>10.5532576</v>
      </c>
      <c r="AC255">
        <f ca="1">IF(AND(ISNUMBER($AC$701),$B$419=1),$AC$701,HLOOKUP(INDIRECT(ADDRESS(2,COLUMN())),OFFSET($BN$2,0,0,ROW()-1,60),ROW()-1,FALSE))</f>
        <v>10.37123783</v>
      </c>
      <c r="AD255">
        <f ca="1">IF(AND(ISNUMBER($AD$701),$B$419=1),$AD$701,HLOOKUP(INDIRECT(ADDRESS(2,COLUMN())),OFFSET($BN$2,0,0,ROW()-1,60),ROW()-1,FALSE))</f>
        <v>9.8692101910000005</v>
      </c>
      <c r="AE255">
        <f ca="1">IF(AND(ISNUMBER($AE$701),$B$419=1),$AE$701,HLOOKUP(INDIRECT(ADDRESS(2,COLUMN())),OFFSET($BN$2,0,0,ROW()-1,60),ROW()-1,FALSE))</f>
        <v>10.80616377</v>
      </c>
      <c r="AF255">
        <f ca="1">IF(AND(ISNUMBER($AF$701),$B$419=1),$AF$701,HLOOKUP(INDIRECT(ADDRESS(2,COLUMN())),OFFSET($BN$2,0,0,ROW()-1,60),ROW()-1,FALSE))</f>
        <v>10.704572389999999</v>
      </c>
      <c r="AG255">
        <f ca="1">IF(AND(ISNUMBER($AG$701),$B$419=1),$AG$701,HLOOKUP(INDIRECT(ADDRESS(2,COLUMN())),OFFSET($BN$2,0,0,ROW()-1,60),ROW()-1,FALSE))</f>
        <v>10.129945060000001</v>
      </c>
      <c r="AH255">
        <f ca="1">IF(AND(ISNUMBER($AH$701),$B$419=1),$AH$701,HLOOKUP(INDIRECT(ADDRESS(2,COLUMN())),OFFSET($BN$2,0,0,ROW()-1,60),ROW()-1,FALSE))</f>
        <v>9.6007720770000002</v>
      </c>
      <c r="AI255">
        <f ca="1">IF(AND(ISNUMBER($AI$701),$B$419=1),$AI$701,HLOOKUP(INDIRECT(ADDRESS(2,COLUMN())),OFFSET($BN$2,0,0,ROW()-1,60),ROW()-1,FALSE))</f>
        <v>8.3382539920000003</v>
      </c>
      <c r="AJ255">
        <f ca="1">IF(AND(ISNUMBER($AJ$701),$B$419=1),$AJ$701,HLOOKUP(INDIRECT(ADDRESS(2,COLUMN())),OFFSET($BN$2,0,0,ROW()-1,60),ROW()-1,FALSE))</f>
        <v>7.5667200079999999</v>
      </c>
      <c r="AK255">
        <f ca="1">IF(AND(ISNUMBER($AK$701),$B$419=1),$AK$701,HLOOKUP(INDIRECT(ADDRESS(2,COLUMN())),OFFSET($BN$2,0,0,ROW()-1,60),ROW()-1,FALSE))</f>
        <v>8.6455731260000004</v>
      </c>
      <c r="AL255">
        <f ca="1">IF(AND(ISNUMBER($AL$701),$B$419=1),$AL$701,HLOOKUP(INDIRECT(ADDRESS(2,COLUMN())),OFFSET($BN$2,0,0,ROW()-1,60),ROW()-1,FALSE))</f>
        <v>7.7672015510000003</v>
      </c>
      <c r="AM255">
        <f ca="1">IF(AND(ISNUMBER($AM$701),$B$419=1),$AM$701,HLOOKUP(INDIRECT(ADDRESS(2,COLUMN())),OFFSET($BN$2,0,0,ROW()-1,60),ROW()-1,FALSE))</f>
        <v>8.397471479</v>
      </c>
      <c r="AN255">
        <f ca="1">IF(AND(ISNUMBER($AN$701),$B$419=1),$AN$701,HLOOKUP(INDIRECT(ADDRESS(2,COLUMN())),OFFSET($BN$2,0,0,ROW()-1,60),ROW()-1,FALSE))</f>
        <v>8.5888715419999997</v>
      </c>
      <c r="AO255">
        <f ca="1">IF(AND(ISNUMBER($AO$701),$B$419=1),$AO$701,HLOOKUP(INDIRECT(ADDRESS(2,COLUMN())),OFFSET($BN$2,0,0,ROW()-1,60),ROW()-1,FALSE))</f>
        <v>8.4770414380000005</v>
      </c>
      <c r="AP255">
        <f ca="1">IF(AND(ISNUMBER($AP$701),$B$419=1),$AP$701,HLOOKUP(INDIRECT(ADDRESS(2,COLUMN())),OFFSET($BN$2,0,0,ROW()-1,60),ROW()-1,FALSE))</f>
        <v>8.9867306560000006</v>
      </c>
      <c r="AQ255">
        <f ca="1">IF(AND(ISNUMBER($AQ$701),$B$419=1),$AQ$701,HLOOKUP(INDIRECT(ADDRESS(2,COLUMN())),OFFSET($BN$2,0,0,ROW()-1,60),ROW()-1,FALSE))</f>
        <v>8.6671255089999999</v>
      </c>
      <c r="AR255">
        <f ca="1">IF(AND(ISNUMBER($AR$701),$B$419=1),$AR$701,HLOOKUP(INDIRECT(ADDRESS(2,COLUMN())),OFFSET($BN$2,0,0,ROW()-1,60),ROW()-1,FALSE))</f>
        <v>8.4529026460000001</v>
      </c>
      <c r="AS255">
        <f ca="1">IF(AND(ISNUMBER($AS$701),$B$419=1),$AS$701,HLOOKUP(INDIRECT(ADDRESS(2,COLUMN())),OFFSET($BN$2,0,0,ROW()-1,60),ROW()-1,FALSE))</f>
        <v>8.3460087590000001</v>
      </c>
      <c r="AT255">
        <f ca="1">IF(AND(ISNUMBER($AT$701),$B$419=1),$AT$701,HLOOKUP(INDIRECT(ADDRESS(2,COLUMN())),OFFSET($BN$2,0,0,ROW()-1,60),ROW()-1,FALSE))</f>
        <v>7.9150248449999996</v>
      </c>
      <c r="AU255">
        <f ca="1">IF(AND(ISNUMBER($AU$701),$B$419=1),$AU$701,HLOOKUP(INDIRECT(ADDRESS(2,COLUMN())),OFFSET($BN$2,0,0,ROW()-1,60),ROW()-1,FALSE))</f>
        <v>8.1888124720000004</v>
      </c>
      <c r="AV255">
        <f ca="1">IF(AND(ISNUMBER($AV$701),$B$419=1),$AV$701,HLOOKUP(INDIRECT(ADDRESS(2,COLUMN())),OFFSET($BN$2,0,0,ROW()-1,60),ROW()-1,FALSE))</f>
        <v>7.9470203179999999</v>
      </c>
      <c r="AW255">
        <f ca="1">IF(AND(ISNUMBER($AW$701),$B$419=1),$AW$701,HLOOKUP(INDIRECT(ADDRESS(2,COLUMN())),OFFSET($BN$2,0,0,ROW()-1,60),ROW()-1,FALSE))</f>
        <v>7.848105865</v>
      </c>
      <c r="AX255">
        <f ca="1">IF(AND(ISNUMBER($AX$701),$B$419=1),$AX$701,HLOOKUP(INDIRECT(ADDRESS(2,COLUMN())),OFFSET($BN$2,0,0,ROW()-1,60),ROW()-1,FALSE))</f>
        <v>7.5947231100000003</v>
      </c>
      <c r="AY255">
        <f ca="1">IF(AND(ISNUMBER($AY$701),$B$419=1),$AY$701,HLOOKUP(INDIRECT(ADDRESS(2,COLUMN())),OFFSET($BN$2,0,0,ROW()-1,60),ROW()-1,FALSE))</f>
        <v>7.8264672329999998</v>
      </c>
      <c r="AZ255">
        <f ca="1">IF(AND(ISNUMBER($AZ$701),$B$419=1),$AZ$701,HLOOKUP(INDIRECT(ADDRESS(2,COLUMN())),OFFSET($BN$2,0,0,ROW()-1,60),ROW()-1,FALSE))</f>
        <v>7.7352481649999998</v>
      </c>
      <c r="BA255">
        <f ca="1">IF(AND(ISNUMBER($BA$701),$B$419=1),$BA$701,HLOOKUP(INDIRECT(ADDRESS(2,COLUMN())),OFFSET($BN$2,0,0,ROW()-1,60),ROW()-1,FALSE))</f>
        <v>7.5269696020000003</v>
      </c>
      <c r="BB255">
        <f ca="1">IF(AND(ISNUMBER($BB$701),$B$419=1),$BB$701,HLOOKUP(INDIRECT(ADDRESS(2,COLUMN())),OFFSET($BN$2,0,0,ROW()-1,60),ROW()-1,FALSE))</f>
        <v>7.3356598130000004</v>
      </c>
      <c r="BC255">
        <f ca="1">IF(AND(ISNUMBER($BC$701),$B$419=1),$BC$701,HLOOKUP(INDIRECT(ADDRESS(2,COLUMN())),OFFSET($BN$2,0,0,ROW()-1,60),ROW()-1,FALSE))</f>
        <v>7.144207948</v>
      </c>
      <c r="BD255">
        <f ca="1">IF(AND(ISNUMBER($BD$701),$B$419=1),$BD$701,HLOOKUP(INDIRECT(ADDRESS(2,COLUMN())),OFFSET($BN$2,0,0,ROW()-1,60),ROW()-1,FALSE))</f>
        <v>8.0072963739999992</v>
      </c>
      <c r="BE255">
        <f ca="1">IF(AND(ISNUMBER($BE$701),$B$419=1),$BE$701,HLOOKUP(INDIRECT(ADDRESS(2,COLUMN())),OFFSET($BN$2,0,0,ROW()-1,60),ROW()-1,FALSE))</f>
        <v>7.757786501</v>
      </c>
      <c r="BF255">
        <f ca="1">IF(AND(ISNUMBER($BF$701),$B$419=1),$BF$701,HLOOKUP(INDIRECT(ADDRESS(2,COLUMN())),OFFSET($BN$2,0,0,ROW()-1,60),ROW()-1,FALSE))</f>
        <v>7.0608542449999998</v>
      </c>
      <c r="BG255">
        <f ca="1">IF(AND(ISNUMBER($BG$701),$B$419=1),$BG$701,HLOOKUP(INDIRECT(ADDRESS(2,COLUMN())),OFFSET($BN$2,0,0,ROW()-1,60),ROW()-1,FALSE))</f>
        <v>6.2050327699999999</v>
      </c>
      <c r="BH255">
        <f ca="1">IF(AND(ISNUMBER($BH$701),$B$419=1),$BH$701,HLOOKUP(INDIRECT(ADDRESS(2,COLUMN())),OFFSET($BN$2,0,0,ROW()-1,60),ROW()-1,FALSE))</f>
        <v>8.2909204560000003</v>
      </c>
      <c r="BI255">
        <f ca="1">IF(AND(ISNUMBER($BI$701),$B$419=1),$BI$701,HLOOKUP(INDIRECT(ADDRESS(2,COLUMN())),OFFSET($BN$2,0,0,ROW()-1,60),ROW()-1,FALSE))</f>
        <v>7.6661469169999998</v>
      </c>
      <c r="BJ255">
        <f ca="1">IF(AND(ISNUMBER($BJ$701),$B$419=1),$BJ$701,HLOOKUP(INDIRECT(ADDRESS(2,COLUMN())),OFFSET($BN$2,0,0,ROW()-1,60),ROW()-1,FALSE))</f>
        <v>7.6118777980000001</v>
      </c>
      <c r="BK255">
        <f ca="1">IF(AND(ISNUMBER($BK$701),$B$419=1),$BK$701,HLOOKUP(INDIRECT(ADDRESS(2,COLUMN())),OFFSET($BN$2,0,0,ROW()-1,60),ROW()-1,FALSE))</f>
        <v>7.4377526109999996</v>
      </c>
      <c r="BL255">
        <f ca="1">IF(AND(ISNUMBER($BL$701),$B$419=1),$BL$701,HLOOKUP(INDIRECT(ADDRESS(2,COLUMN())),OFFSET($BN$2,0,0,ROW()-1,60),ROW()-1,FALSE))</f>
        <v>7.1365647870000002</v>
      </c>
      <c r="BM255">
        <f ca="1">IF(AND(ISNUMBER($BM$701),$B$419=1),$BM$701,HLOOKUP(INDIRECT(ADDRESS(2,COLUMN())),OFFSET($BN$2,0,0,ROW()-1,60),ROW()-1,FALSE))</f>
        <v>9.2616929809999995</v>
      </c>
      <c r="BN255" t="str">
        <f>""</f>
        <v/>
      </c>
      <c r="BO255">
        <f>14.06164656</f>
        <v>14.06164656</v>
      </c>
      <c r="BP255">
        <f>13.30894073</f>
        <v>13.30894073</v>
      </c>
      <c r="BQ255">
        <f>13.17987959</f>
        <v>13.179879590000001</v>
      </c>
      <c r="BR255">
        <f>13.42997038</f>
        <v>13.42997038</v>
      </c>
      <c r="BS255">
        <f>13.4268536</f>
        <v>13.426853599999999</v>
      </c>
      <c r="BT255">
        <f>13.21900858</f>
        <v>13.219008580000001</v>
      </c>
      <c r="BU255">
        <f>13.13011126</f>
        <v>13.13011126</v>
      </c>
      <c r="BV255">
        <f>13.2773017</f>
        <v>13.277301700000001</v>
      </c>
      <c r="BW255">
        <f>13.10407747</f>
        <v>13.10407747</v>
      </c>
      <c r="BX255">
        <f>13.22948338</f>
        <v>13.22948338</v>
      </c>
      <c r="BY255">
        <f>12.36248374</f>
        <v>12.36248374</v>
      </c>
      <c r="BZ255">
        <f>11.2873291</f>
        <v>11.287329099999999</v>
      </c>
      <c r="CA255">
        <f>11.54648535</f>
        <v>11.546485349999999</v>
      </c>
      <c r="CB255">
        <f>11.64219214</f>
        <v>11.642192140000001</v>
      </c>
      <c r="CC255">
        <f>11.98187045</f>
        <v>11.981870450000001</v>
      </c>
      <c r="CD255">
        <f>11.33734452</f>
        <v>11.33734452</v>
      </c>
      <c r="CE255">
        <f>10.90066816</f>
        <v>10.90066816</v>
      </c>
      <c r="CF255">
        <f>10.79439989</f>
        <v>10.794399889999999</v>
      </c>
      <c r="CG255">
        <f>10.51285373</f>
        <v>10.51285373</v>
      </c>
      <c r="CH255">
        <f>10.19862731</f>
        <v>10.198627309999999</v>
      </c>
      <c r="CI255">
        <f>10.96758323</f>
        <v>10.967583230000001</v>
      </c>
      <c r="CJ255">
        <f>10.5532576</f>
        <v>10.5532576</v>
      </c>
      <c r="CK255">
        <f>10.37123783</f>
        <v>10.37123783</v>
      </c>
      <c r="CL255">
        <f>9.869210191</f>
        <v>9.8692101910000005</v>
      </c>
      <c r="CM255">
        <f>10.80616377</f>
        <v>10.80616377</v>
      </c>
      <c r="CN255">
        <f>10.70457239</f>
        <v>10.704572389999999</v>
      </c>
      <c r="CO255">
        <f>10.12994506</f>
        <v>10.129945060000001</v>
      </c>
      <c r="CP255">
        <f>9.600772077</f>
        <v>9.6007720770000002</v>
      </c>
      <c r="CQ255">
        <f>8.338253992</f>
        <v>8.3382539920000003</v>
      </c>
      <c r="CR255">
        <f>7.566720008</f>
        <v>7.5667200079999999</v>
      </c>
      <c r="CS255">
        <f>8.645573126</f>
        <v>8.6455731260000004</v>
      </c>
      <c r="CT255">
        <f>7.767201551</f>
        <v>7.7672015510000003</v>
      </c>
      <c r="CU255">
        <f>8.397471479</f>
        <v>8.397471479</v>
      </c>
      <c r="CV255">
        <f>8.588871542</f>
        <v>8.5888715419999997</v>
      </c>
      <c r="CW255">
        <f>8.477041438</f>
        <v>8.4770414380000005</v>
      </c>
      <c r="CX255">
        <f>8.986730656</f>
        <v>8.9867306560000006</v>
      </c>
      <c r="CY255">
        <f>8.667125509</f>
        <v>8.6671255089999999</v>
      </c>
      <c r="CZ255">
        <f>8.452902646</f>
        <v>8.4529026460000001</v>
      </c>
      <c r="DA255">
        <f>8.346008759</f>
        <v>8.3460087590000001</v>
      </c>
      <c r="DB255">
        <f>7.915024845</f>
        <v>7.9150248449999996</v>
      </c>
      <c r="DC255">
        <f>8.188812472</f>
        <v>8.1888124720000004</v>
      </c>
      <c r="DD255">
        <f>7.947020318</f>
        <v>7.9470203179999999</v>
      </c>
      <c r="DE255">
        <f>7.848105865</f>
        <v>7.848105865</v>
      </c>
      <c r="DF255">
        <f>7.59472311</f>
        <v>7.5947231100000003</v>
      </c>
      <c r="DG255">
        <f>7.826467233</f>
        <v>7.8264672329999998</v>
      </c>
      <c r="DH255">
        <f>7.735248165</f>
        <v>7.7352481649999998</v>
      </c>
      <c r="DI255">
        <f>7.526969602</f>
        <v>7.5269696020000003</v>
      </c>
      <c r="DJ255">
        <f>7.335659813</f>
        <v>7.3356598130000004</v>
      </c>
      <c r="DK255">
        <f>7.144207948</f>
        <v>7.144207948</v>
      </c>
      <c r="DL255">
        <f>8.007296374</f>
        <v>8.0072963739999992</v>
      </c>
      <c r="DM255">
        <f>7.757786501</f>
        <v>7.757786501</v>
      </c>
      <c r="DN255">
        <f>7.060854245</f>
        <v>7.0608542449999998</v>
      </c>
      <c r="DO255">
        <f>6.20503277</f>
        <v>6.2050327699999999</v>
      </c>
      <c r="DP255">
        <f>8.290920456</f>
        <v>8.2909204560000003</v>
      </c>
      <c r="DQ255">
        <f>7.666146917</f>
        <v>7.6661469169999998</v>
      </c>
      <c r="DR255">
        <f>7.611877798</f>
        <v>7.6118777980000001</v>
      </c>
      <c r="DS255">
        <f>7.437752611</f>
        <v>7.4377526109999996</v>
      </c>
      <c r="DT255">
        <f>7.136564787</f>
        <v>7.1365647870000002</v>
      </c>
      <c r="DU255">
        <f>9.261692981</f>
        <v>9.2616929809999995</v>
      </c>
    </row>
    <row r="256" spans="1:125">
      <c r="A256" t="str">
        <f>"    Tanger Factory Outlet Centers"</f>
        <v xml:space="preserve">    Tanger Factory Outlet Centers</v>
      </c>
      <c r="B256" t="str">
        <f>"SKT US Equity"</f>
        <v>SKT US Equity</v>
      </c>
      <c r="C256" t="str">
        <f t="shared" si="45"/>
        <v>RR554</v>
      </c>
      <c r="D256" t="str">
        <f t="shared" si="46"/>
        <v>FFO_RE_ASSET</v>
      </c>
      <c r="E256" t="str">
        <f t="shared" si="47"/>
        <v>动态</v>
      </c>
      <c r="F256" t="str">
        <f ca="1">IF(AND(ISNUMBER($F$702),$B$419=1),$F$702,HLOOKUP(INDIRECT(ADDRESS(2,COLUMN())),OFFSET($BN$2,0,0,ROW()-1,60),ROW()-1,FALSE))</f>
        <v/>
      </c>
      <c r="G256">
        <f ca="1">IF(AND(ISNUMBER($G$702),$B$419=1),$G$702,HLOOKUP(INDIRECT(ADDRESS(2,COLUMN())),OFFSET($BN$2,0,0,ROW()-1,60),ROW()-1,FALSE))</f>
        <v>9.2129593990000007</v>
      </c>
      <c r="H256">
        <f ca="1">IF(AND(ISNUMBER($H$702),$B$419=1),$H$702,HLOOKUP(INDIRECT(ADDRESS(2,COLUMN())),OFFSET($BN$2,0,0,ROW()-1,60),ROW()-1,FALSE))</f>
        <v>8.9203805319999994</v>
      </c>
      <c r="I256">
        <f ca="1">IF(AND(ISNUMBER($I$702),$B$419=1),$I$702,HLOOKUP(INDIRECT(ADDRESS(2,COLUMN())),OFFSET($BN$2,0,0,ROW()-1,60),ROW()-1,FALSE))</f>
        <v>10.854320019999999</v>
      </c>
      <c r="J256">
        <f ca="1">IF(AND(ISNUMBER($J$702),$B$419=1),$J$702,HLOOKUP(INDIRECT(ADDRESS(2,COLUMN())),OFFSET($BN$2,0,0,ROW()-1,60),ROW()-1,FALSE))</f>
        <v>11.262690640000001</v>
      </c>
      <c r="K256">
        <f ca="1">IF(AND(ISNUMBER($K$702),$B$419=1),$K$702,HLOOKUP(INDIRECT(ADDRESS(2,COLUMN())),OFFSET($BN$2,0,0,ROW()-1,60),ROW()-1,FALSE))</f>
        <v>11.15846447</v>
      </c>
      <c r="L256">
        <f ca="1">IF(AND(ISNUMBER($L$702),$B$419=1),$L$702,HLOOKUP(INDIRECT(ADDRESS(2,COLUMN())),OFFSET($BN$2,0,0,ROW()-1,60),ROW()-1,FALSE))</f>
        <v>11.07706404</v>
      </c>
      <c r="M256">
        <f ca="1">IF(AND(ISNUMBER($M$702),$B$419=1),$M$702,HLOOKUP(INDIRECT(ADDRESS(2,COLUMN())),OFFSET($BN$2,0,0,ROW()-1,60),ROW()-1,FALSE))</f>
        <v>11.359847179999999</v>
      </c>
      <c r="N256">
        <f ca="1">IF(AND(ISNUMBER($N$702),$B$419=1),$N$702,HLOOKUP(INDIRECT(ADDRESS(2,COLUMN())),OFFSET($BN$2,0,0,ROW()-1,60),ROW()-1,FALSE))</f>
        <v>11.761819989999999</v>
      </c>
      <c r="O256">
        <f ca="1">IF(AND(ISNUMBER($O$702),$B$419=1),$O$702,HLOOKUP(INDIRECT(ADDRESS(2,COLUMN())),OFFSET($BN$2,0,0,ROW()-1,60),ROW()-1,FALSE))</f>
        <v>11.626634449999999</v>
      </c>
      <c r="P256">
        <f ca="1">IF(AND(ISNUMBER($P$702),$B$419=1),$P$702,HLOOKUP(INDIRECT(ADDRESS(2,COLUMN())),OFFSET($BN$2,0,0,ROW()-1,60),ROW()-1,FALSE))</f>
        <v>10.55240607</v>
      </c>
      <c r="Q256">
        <f ca="1">IF(AND(ISNUMBER($Q$702),$B$419=1),$Q$702,HLOOKUP(INDIRECT(ADDRESS(2,COLUMN())),OFFSET($BN$2,0,0,ROW()-1,60),ROW()-1,FALSE))</f>
        <v>10.34740362</v>
      </c>
      <c r="R256">
        <f ca="1">IF(AND(ISNUMBER($R$702),$B$419=1),$R$702,HLOOKUP(INDIRECT(ADDRESS(2,COLUMN())),OFFSET($BN$2,0,0,ROW()-1,60),ROW()-1,FALSE))</f>
        <v>10.220752770000001</v>
      </c>
      <c r="S256">
        <f ca="1">IF(AND(ISNUMBER($S$702),$B$419=1),$S$702,HLOOKUP(INDIRECT(ADDRESS(2,COLUMN())),OFFSET($BN$2,0,0,ROW()-1,60),ROW()-1,FALSE))</f>
        <v>10.02410589</v>
      </c>
      <c r="T256">
        <f ca="1">IF(AND(ISNUMBER($T$702),$B$419=1),$T$702,HLOOKUP(INDIRECT(ADDRESS(2,COLUMN())),OFFSET($BN$2,0,0,ROW()-1,60),ROW()-1,FALSE))</f>
        <v>10.624003119999999</v>
      </c>
      <c r="U256">
        <f ca="1">IF(AND(ISNUMBER($U$702),$B$419=1),$U$702,HLOOKUP(INDIRECT(ADDRESS(2,COLUMN())),OFFSET($BN$2,0,0,ROW()-1,60),ROW()-1,FALSE))</f>
        <v>11.85086819</v>
      </c>
      <c r="V256">
        <f ca="1">IF(AND(ISNUMBER($V$702),$B$419=1),$V$702,HLOOKUP(INDIRECT(ADDRESS(2,COLUMN())),OFFSET($BN$2,0,0,ROW()-1,60),ROW()-1,FALSE))</f>
        <v>11.915791560000001</v>
      </c>
      <c r="W256">
        <f ca="1">IF(AND(ISNUMBER($W$702),$B$419=1),$W$702,HLOOKUP(INDIRECT(ADDRESS(2,COLUMN())),OFFSET($BN$2,0,0,ROW()-1,60),ROW()-1,FALSE))</f>
        <v>11.90301522</v>
      </c>
      <c r="X256">
        <f ca="1">IF(AND(ISNUMBER($X$702),$B$419=1),$X$702,HLOOKUP(INDIRECT(ADDRESS(2,COLUMN())),OFFSET($BN$2,0,0,ROW()-1,60),ROW()-1,FALSE))</f>
        <v>11.532149609999999</v>
      </c>
      <c r="Y256">
        <f ca="1">IF(AND(ISNUMBER($Y$702),$B$419=1),$Y$702,HLOOKUP(INDIRECT(ADDRESS(2,COLUMN())),OFFSET($BN$2,0,0,ROW()-1,60),ROW()-1,FALSE))</f>
        <v>11.440393029999999</v>
      </c>
      <c r="Z256">
        <f ca="1">IF(AND(ISNUMBER($Z$702),$B$419=1),$Z$702,HLOOKUP(INDIRECT(ADDRESS(2,COLUMN())),OFFSET($BN$2,0,0,ROW()-1,60),ROW()-1,FALSE))</f>
        <v>11.334007339999999</v>
      </c>
      <c r="AA256">
        <f ca="1">IF(AND(ISNUMBER($AA$702),$B$419=1),$AA$702,HLOOKUP(INDIRECT(ADDRESS(2,COLUMN())),OFFSET($BN$2,0,0,ROW()-1,60),ROW()-1,FALSE))</f>
        <v>11.007243519999999</v>
      </c>
      <c r="AB256">
        <f ca="1">IF(AND(ISNUMBER($AB$702),$B$419=1),$AB$702,HLOOKUP(INDIRECT(ADDRESS(2,COLUMN())),OFFSET($BN$2,0,0,ROW()-1,60),ROW()-1,FALSE))</f>
        <v>10.97088123</v>
      </c>
      <c r="AC256">
        <f ca="1">IF(AND(ISNUMBER($AC$702),$B$419=1),$AC$702,HLOOKUP(INDIRECT(ADDRESS(2,COLUMN())),OFFSET($BN$2,0,0,ROW()-1,60),ROW()-1,FALSE))</f>
        <v>11.3857853</v>
      </c>
      <c r="AD256">
        <f ca="1">IF(AND(ISNUMBER($AD$702),$B$419=1),$AD$702,HLOOKUP(INDIRECT(ADDRESS(2,COLUMN())),OFFSET($BN$2,0,0,ROW()-1,60),ROW()-1,FALSE))</f>
        <v>11.23399815</v>
      </c>
      <c r="AE256">
        <f ca="1">IF(AND(ISNUMBER($AE$702),$B$419=1),$AE$702,HLOOKUP(INDIRECT(ADDRESS(2,COLUMN())),OFFSET($BN$2,0,0,ROW()-1,60),ROW()-1,FALSE))</f>
        <v>10.8082096</v>
      </c>
      <c r="AF256">
        <f ca="1">IF(AND(ISNUMBER($AF$702),$B$419=1),$AF$702,HLOOKUP(INDIRECT(ADDRESS(2,COLUMN())),OFFSET($BN$2,0,0,ROW()-1,60),ROW()-1,FALSE))</f>
        <v>10.03704651</v>
      </c>
      <c r="AG256">
        <f ca="1">IF(AND(ISNUMBER($AG$702),$B$419=1),$AG$702,HLOOKUP(INDIRECT(ADDRESS(2,COLUMN())),OFFSET($BN$2,0,0,ROW()-1,60),ROW()-1,FALSE))</f>
        <v>10.266172510000001</v>
      </c>
      <c r="AH256">
        <f ca="1">IF(AND(ISNUMBER($AH$702),$B$419=1),$AH$702,HLOOKUP(INDIRECT(ADDRESS(2,COLUMN())),OFFSET($BN$2,0,0,ROW()-1,60),ROW()-1,FALSE))</f>
        <v>10.136216040000001</v>
      </c>
      <c r="AI256">
        <f ca="1">IF(AND(ISNUMBER($AI$702),$B$419=1),$AI$702,HLOOKUP(INDIRECT(ADDRESS(2,COLUMN())),OFFSET($BN$2,0,0,ROW()-1,60),ROW()-1,FALSE))</f>
        <v>10.04514511</v>
      </c>
      <c r="AJ256">
        <f ca="1">IF(AND(ISNUMBER($AJ$702),$B$419=1),$AJ$702,HLOOKUP(INDIRECT(ADDRESS(2,COLUMN())),OFFSET($BN$2,0,0,ROW()-1,60),ROW()-1,FALSE))</f>
        <v>10.35614681</v>
      </c>
      <c r="AK256">
        <f ca="1">IF(AND(ISNUMBER($AK$702),$B$419=1),$AK$702,HLOOKUP(INDIRECT(ADDRESS(2,COLUMN())),OFFSET($BN$2,0,0,ROW()-1,60),ROW()-1,FALSE))</f>
        <v>9.7240336850000002</v>
      </c>
      <c r="AL256">
        <f ca="1">IF(AND(ISNUMBER($AL$702),$B$419=1),$AL$702,HLOOKUP(INDIRECT(ADDRESS(2,COLUMN())),OFFSET($BN$2,0,0,ROW()-1,60),ROW()-1,FALSE))</f>
        <v>10.64322106</v>
      </c>
      <c r="AM256">
        <f ca="1">IF(AND(ISNUMBER($AM$702),$B$419=1),$AM$702,HLOOKUP(INDIRECT(ADDRESS(2,COLUMN())),OFFSET($BN$2,0,0,ROW()-1,60),ROW()-1,FALSE))</f>
        <v>10.579090430000001</v>
      </c>
      <c r="AN256">
        <f ca="1">IF(AND(ISNUMBER($AN$702),$B$419=1),$AN$702,HLOOKUP(INDIRECT(ADDRESS(2,COLUMN())),OFFSET($BN$2,0,0,ROW()-1,60),ROW()-1,FALSE))</f>
        <v>10.00944524</v>
      </c>
      <c r="AO256">
        <f ca="1">IF(AND(ISNUMBER($AO$702),$B$419=1),$AO$702,HLOOKUP(INDIRECT(ADDRESS(2,COLUMN())),OFFSET($BN$2,0,0,ROW()-1,60),ROW()-1,FALSE))</f>
        <v>10.20025034</v>
      </c>
      <c r="AP256">
        <f ca="1">IF(AND(ISNUMBER($AP$702),$B$419=1),$AP$702,HLOOKUP(INDIRECT(ADDRESS(2,COLUMN())),OFFSET($BN$2,0,0,ROW()-1,60),ROW()-1,FALSE))</f>
        <v>8.5695289290000005</v>
      </c>
      <c r="AQ256">
        <f ca="1">IF(AND(ISNUMBER($AQ$702),$B$419=1),$AQ$702,HLOOKUP(INDIRECT(ADDRESS(2,COLUMN())),OFFSET($BN$2,0,0,ROW()-1,60),ROW()-1,FALSE))</f>
        <v>8.6549158189999993</v>
      </c>
      <c r="AR256">
        <f ca="1">IF(AND(ISNUMBER($AR$702),$B$419=1),$AR$702,HLOOKUP(INDIRECT(ADDRESS(2,COLUMN())),OFFSET($BN$2,0,0,ROW()-1,60),ROW()-1,FALSE))</f>
        <v>8.7279713139999995</v>
      </c>
      <c r="AS256">
        <f ca="1">IF(AND(ISNUMBER($AS$702),$B$419=1),$AS$702,HLOOKUP(INDIRECT(ADDRESS(2,COLUMN())),OFFSET($BN$2,0,0,ROW()-1,60),ROW()-1,FALSE))</f>
        <v>8.6840468830000006</v>
      </c>
      <c r="AT256">
        <f ca="1">IF(AND(ISNUMBER($AT$702),$B$419=1),$AT$702,HLOOKUP(INDIRECT(ADDRESS(2,COLUMN())),OFFSET($BN$2,0,0,ROW()-1,60),ROW()-1,FALSE))</f>
        <v>9.679163977</v>
      </c>
      <c r="AU256">
        <f ca="1">IF(AND(ISNUMBER($AU$702),$B$419=1),$AU$702,HLOOKUP(INDIRECT(ADDRESS(2,COLUMN())),OFFSET($BN$2,0,0,ROW()-1,60),ROW()-1,FALSE))</f>
        <v>9.6563839429999998</v>
      </c>
      <c r="AV256">
        <f ca="1">IF(AND(ISNUMBER($AV$702),$B$419=1),$AV$702,HLOOKUP(INDIRECT(ADDRESS(2,COLUMN())),OFFSET($BN$2,0,0,ROW()-1,60),ROW()-1,FALSE))</f>
        <v>9.6265973539999994</v>
      </c>
      <c r="AW256">
        <f ca="1">IF(AND(ISNUMBER($AW$702),$B$419=1),$AW$702,HLOOKUP(INDIRECT(ADDRESS(2,COLUMN())),OFFSET($BN$2,0,0,ROW()-1,60),ROW()-1,FALSE))</f>
        <v>9.2756877919999994</v>
      </c>
      <c r="AX256">
        <f ca="1">IF(AND(ISNUMBER($AX$702),$B$419=1),$AX$702,HLOOKUP(INDIRECT(ADDRESS(2,COLUMN())),OFFSET($BN$2,0,0,ROW()-1,60),ROW()-1,FALSE))</f>
        <v>9.1745487099999998</v>
      </c>
      <c r="AY256">
        <f ca="1">IF(AND(ISNUMBER($AY$702),$B$419=1),$AY$702,HLOOKUP(INDIRECT(ADDRESS(2,COLUMN())),OFFSET($BN$2,0,0,ROW()-1,60),ROW()-1,FALSE))</f>
        <v>8.9126237190000008</v>
      </c>
      <c r="AZ256">
        <f ca="1">IF(AND(ISNUMBER($AZ$702),$B$419=1),$AZ$702,HLOOKUP(INDIRECT(ADDRESS(2,COLUMN())),OFFSET($BN$2,0,0,ROW()-1,60),ROW()-1,FALSE))</f>
        <v>8.2188696750000005</v>
      </c>
      <c r="BA256">
        <f ca="1">IF(AND(ISNUMBER($BA$702),$B$419=1),$BA$702,HLOOKUP(INDIRECT(ADDRESS(2,COLUMN())),OFFSET($BN$2,0,0,ROW()-1,60),ROW()-1,FALSE))</f>
        <v>7.7192298350000002</v>
      </c>
      <c r="BB256">
        <f ca="1">IF(AND(ISNUMBER($BB$702),$B$419=1),$BB$702,HLOOKUP(INDIRECT(ADDRESS(2,COLUMN())),OFFSET($BN$2,0,0,ROW()-1,60),ROW()-1,FALSE))</f>
        <v>7.3374605600000002</v>
      </c>
      <c r="BC256">
        <f ca="1">IF(AND(ISNUMBER($BC$702),$B$419=1),$BC$702,HLOOKUP(INDIRECT(ADDRESS(2,COLUMN())),OFFSET($BN$2,0,0,ROW()-1,60),ROW()-1,FALSE))</f>
        <v>6.7828258430000004</v>
      </c>
      <c r="BD256">
        <f ca="1">IF(AND(ISNUMBER($BD$702),$B$419=1),$BD$702,HLOOKUP(INDIRECT(ADDRESS(2,COLUMN())),OFFSET($BN$2,0,0,ROW()-1,60),ROW()-1,FALSE))</f>
        <v>7.7265354210000003</v>
      </c>
      <c r="BE256">
        <f ca="1">IF(AND(ISNUMBER($BE$702),$B$419=1),$BE$702,HLOOKUP(INDIRECT(ADDRESS(2,COLUMN())),OFFSET($BN$2,0,0,ROW()-1,60),ROW()-1,FALSE))</f>
        <v>7.4578745670000002</v>
      </c>
      <c r="BF256">
        <f ca="1">IF(AND(ISNUMBER($BF$702),$B$419=1),$BF$702,HLOOKUP(INDIRECT(ADDRESS(2,COLUMN())),OFFSET($BN$2,0,0,ROW()-1,60),ROW()-1,FALSE))</f>
        <v>7.3868802369999997</v>
      </c>
      <c r="BG256">
        <f ca="1">IF(AND(ISNUMBER($BG$702),$B$419=1),$BG$702,HLOOKUP(INDIRECT(ADDRESS(2,COLUMN())),OFFSET($BN$2,0,0,ROW()-1,60),ROW()-1,FALSE))</f>
        <v>7.2213444029999998</v>
      </c>
      <c r="BH256">
        <f ca="1">IF(AND(ISNUMBER($BH$702),$B$419=1),$BH$702,HLOOKUP(INDIRECT(ADDRESS(2,COLUMN())),OFFSET($BN$2,0,0,ROW()-1,60),ROW()-1,FALSE))</f>
        <v>9.1376421879999992</v>
      </c>
      <c r="BI256">
        <f ca="1">IF(AND(ISNUMBER($BI$702),$B$419=1),$BI$702,HLOOKUP(INDIRECT(ADDRESS(2,COLUMN())),OFFSET($BN$2,0,0,ROW()-1,60),ROW()-1,FALSE))</f>
        <v>8.3862490800000007</v>
      </c>
      <c r="BJ256">
        <f ca="1">IF(AND(ISNUMBER($BJ$702),$B$419=1),$BJ$702,HLOOKUP(INDIRECT(ADDRESS(2,COLUMN())),OFFSET($BN$2,0,0,ROW()-1,60),ROW()-1,FALSE))</f>
        <v>7.5916224809999999</v>
      </c>
      <c r="BK256">
        <f ca="1">IF(AND(ISNUMBER($BK$702),$B$419=1),$BK$702,HLOOKUP(INDIRECT(ADDRESS(2,COLUMN())),OFFSET($BN$2,0,0,ROW()-1,60),ROW()-1,FALSE))</f>
        <v>7.0520331589999996</v>
      </c>
      <c r="BL256">
        <f ca="1">IF(AND(ISNUMBER($BL$702),$B$419=1),$BL$702,HLOOKUP(INDIRECT(ADDRESS(2,COLUMN())),OFFSET($BN$2,0,0,ROW()-1,60),ROW()-1,FALSE))</f>
        <v>10.294902069999999</v>
      </c>
      <c r="BM256">
        <f ca="1">IF(AND(ISNUMBER($BM$702),$B$419=1),$BM$702,HLOOKUP(INDIRECT(ADDRESS(2,COLUMN())),OFFSET($BN$2,0,0,ROW()-1,60),ROW()-1,FALSE))</f>
        <v>10.25822455</v>
      </c>
      <c r="BN256" t="str">
        <f>""</f>
        <v/>
      </c>
      <c r="BO256">
        <f>9.212959399</f>
        <v>9.2129593990000007</v>
      </c>
      <c r="BP256">
        <f>8.920380532</f>
        <v>8.9203805319999994</v>
      </c>
      <c r="BQ256">
        <f>10.85432002</f>
        <v>10.854320019999999</v>
      </c>
      <c r="BR256">
        <f>11.26269064</f>
        <v>11.262690640000001</v>
      </c>
      <c r="BS256">
        <f>11.15846447</f>
        <v>11.15846447</v>
      </c>
      <c r="BT256">
        <f>11.07706404</f>
        <v>11.07706404</v>
      </c>
      <c r="BU256">
        <f>11.35984718</f>
        <v>11.359847179999999</v>
      </c>
      <c r="BV256">
        <f>11.76181999</f>
        <v>11.761819989999999</v>
      </c>
      <c r="BW256">
        <f>11.62663445</f>
        <v>11.626634449999999</v>
      </c>
      <c r="BX256">
        <f>10.55240607</f>
        <v>10.55240607</v>
      </c>
      <c r="BY256">
        <f>10.34740362</f>
        <v>10.34740362</v>
      </c>
      <c r="BZ256">
        <f>10.22075277</f>
        <v>10.220752770000001</v>
      </c>
      <c r="CA256">
        <f>10.02410589</f>
        <v>10.02410589</v>
      </c>
      <c r="CB256">
        <f>10.62400312</f>
        <v>10.624003119999999</v>
      </c>
      <c r="CC256">
        <f>11.85086819</f>
        <v>11.85086819</v>
      </c>
      <c r="CD256">
        <f>11.91579156</f>
        <v>11.915791560000001</v>
      </c>
      <c r="CE256">
        <f>11.90301522</f>
        <v>11.90301522</v>
      </c>
      <c r="CF256">
        <f>11.53214961</f>
        <v>11.532149609999999</v>
      </c>
      <c r="CG256">
        <f>11.44039303</f>
        <v>11.440393029999999</v>
      </c>
      <c r="CH256">
        <f>11.33400734</f>
        <v>11.334007339999999</v>
      </c>
      <c r="CI256">
        <f>11.00724352</f>
        <v>11.007243519999999</v>
      </c>
      <c r="CJ256">
        <f>10.97088123</f>
        <v>10.97088123</v>
      </c>
      <c r="CK256">
        <f>11.3857853</f>
        <v>11.3857853</v>
      </c>
      <c r="CL256">
        <f>11.23399815</f>
        <v>11.23399815</v>
      </c>
      <c r="CM256">
        <f>10.8082096</f>
        <v>10.8082096</v>
      </c>
      <c r="CN256">
        <f>10.03704651</f>
        <v>10.03704651</v>
      </c>
      <c r="CO256">
        <f>10.26617251</f>
        <v>10.266172510000001</v>
      </c>
      <c r="CP256">
        <f>10.13621604</f>
        <v>10.136216040000001</v>
      </c>
      <c r="CQ256">
        <f>10.04514511</f>
        <v>10.04514511</v>
      </c>
      <c r="CR256">
        <f>10.35614681</f>
        <v>10.35614681</v>
      </c>
      <c r="CS256">
        <f>9.724033685</f>
        <v>9.7240336850000002</v>
      </c>
      <c r="CT256">
        <f>10.64322106</f>
        <v>10.64322106</v>
      </c>
      <c r="CU256">
        <f>10.57909043</f>
        <v>10.579090430000001</v>
      </c>
      <c r="CV256">
        <f>10.00944524</f>
        <v>10.00944524</v>
      </c>
      <c r="CW256">
        <f>10.20025034</f>
        <v>10.20025034</v>
      </c>
      <c r="CX256">
        <f>8.569528929</f>
        <v>8.5695289290000005</v>
      </c>
      <c r="CY256">
        <f>8.654915819</f>
        <v>8.6549158189999993</v>
      </c>
      <c r="CZ256">
        <f>8.727971314</f>
        <v>8.7279713139999995</v>
      </c>
      <c r="DA256">
        <f>8.684046883</f>
        <v>8.6840468830000006</v>
      </c>
      <c r="DB256">
        <f>9.679163977</f>
        <v>9.679163977</v>
      </c>
      <c r="DC256">
        <f>9.656383943</f>
        <v>9.6563839429999998</v>
      </c>
      <c r="DD256">
        <f>9.626597354</f>
        <v>9.6265973539999994</v>
      </c>
      <c r="DE256">
        <f>9.275687792</f>
        <v>9.2756877919999994</v>
      </c>
      <c r="DF256">
        <f>9.17454871</f>
        <v>9.1745487099999998</v>
      </c>
      <c r="DG256">
        <f>8.912623719</f>
        <v>8.9126237190000008</v>
      </c>
      <c r="DH256">
        <f>8.218869675</f>
        <v>8.2188696750000005</v>
      </c>
      <c r="DI256">
        <f>7.719229835</f>
        <v>7.7192298350000002</v>
      </c>
      <c r="DJ256">
        <f>7.33746056</f>
        <v>7.3374605600000002</v>
      </c>
      <c r="DK256">
        <f>6.782825843</f>
        <v>6.7828258430000004</v>
      </c>
      <c r="DL256">
        <f>7.726535421</f>
        <v>7.7265354210000003</v>
      </c>
      <c r="DM256">
        <f>7.457874567</f>
        <v>7.4578745670000002</v>
      </c>
      <c r="DN256">
        <f>7.386880237</f>
        <v>7.3868802369999997</v>
      </c>
      <c r="DO256">
        <f>7.221344403</f>
        <v>7.2213444029999998</v>
      </c>
      <c r="DP256">
        <f>9.137642188</f>
        <v>9.1376421879999992</v>
      </c>
      <c r="DQ256">
        <f>8.38624908</f>
        <v>8.3862490800000007</v>
      </c>
      <c r="DR256">
        <f>7.591622481</f>
        <v>7.5916224809999999</v>
      </c>
      <c r="DS256">
        <f>7.052033159</f>
        <v>7.0520331589999996</v>
      </c>
      <c r="DT256">
        <f>10.29490207</f>
        <v>10.294902069999999</v>
      </c>
      <c r="DU256">
        <f>10.25822455</f>
        <v>10.25822455</v>
      </c>
    </row>
    <row r="257" spans="1:125">
      <c r="A257" t="str">
        <f>"    VEREIT Inc"</f>
        <v xml:space="preserve">    VEREIT Inc</v>
      </c>
      <c r="B257" t="str">
        <f>"VER US Equity"</f>
        <v>VER US Equity</v>
      </c>
      <c r="C257" t="str">
        <f t="shared" si="45"/>
        <v>RR554</v>
      </c>
      <c r="D257" t="str">
        <f t="shared" si="46"/>
        <v>FFO_RE_ASSET</v>
      </c>
      <c r="E257" t="str">
        <f t="shared" si="47"/>
        <v>动态</v>
      </c>
      <c r="F257" t="str">
        <f ca="1">IF(AND(ISNUMBER($F$703),$B$419=1),$F$703,HLOOKUP(INDIRECT(ADDRESS(2,COLUMN())),OFFSET($BN$2,0,0,ROW()-1,60),ROW()-1,FALSE))</f>
        <v/>
      </c>
      <c r="G257">
        <f ca="1">IF(AND(ISNUMBER($G$703),$B$419=1),$G$703,HLOOKUP(INDIRECT(ADDRESS(2,COLUMN())),OFFSET($BN$2,0,0,ROW()-1,60),ROW()-1,FALSE))</f>
        <v>5.0031252869999996</v>
      </c>
      <c r="H257">
        <f ca="1">IF(AND(ISNUMBER($H$703),$B$419=1),$H$703,HLOOKUP(INDIRECT(ADDRESS(2,COLUMN())),OFFSET($BN$2,0,0,ROW()-1,60),ROW()-1,FALSE))</f>
        <v>4.3278892859999996</v>
      </c>
      <c r="I257">
        <f ca="1">IF(AND(ISNUMBER($I$703),$B$419=1),$I$703,HLOOKUP(INDIRECT(ADDRESS(2,COLUMN())),OFFSET($BN$2,0,0,ROW()-1,60),ROW()-1,FALSE))</f>
        <v>4.2715371559999999</v>
      </c>
      <c r="J257">
        <f ca="1">IF(AND(ISNUMBER($J$703),$B$419=1),$J$703,HLOOKUP(INDIRECT(ADDRESS(2,COLUMN())),OFFSET($BN$2,0,0,ROW()-1,60),ROW()-1,FALSE))</f>
        <v>4.244476841</v>
      </c>
      <c r="K257">
        <f ca="1">IF(AND(ISNUMBER($K$703),$B$419=1),$K$703,HLOOKUP(INDIRECT(ADDRESS(2,COLUMN())),OFFSET($BN$2,0,0,ROW()-1,60),ROW()-1,FALSE))</f>
        <v>4.3126041849999996</v>
      </c>
      <c r="L257">
        <f ca="1">IF(AND(ISNUMBER($L$703),$B$419=1),$L$703,HLOOKUP(INDIRECT(ADDRESS(2,COLUMN())),OFFSET($BN$2,0,0,ROW()-1,60),ROW()-1,FALSE))</f>
        <v>3.8361539869999999</v>
      </c>
      <c r="M257">
        <f ca="1">IF(AND(ISNUMBER($M$703),$B$419=1),$M$703,HLOOKUP(INDIRECT(ADDRESS(2,COLUMN())),OFFSET($BN$2,0,0,ROW()-1,60),ROW()-1,FALSE))</f>
        <v>3.795324913</v>
      </c>
      <c r="N257">
        <f ca="1">IF(AND(ISNUMBER($N$703),$B$419=1),$N$703,HLOOKUP(INDIRECT(ADDRESS(2,COLUMN())),OFFSET($BN$2,0,0,ROW()-1,60),ROW()-1,FALSE))</f>
        <v>3.7268712750000001</v>
      </c>
      <c r="O257">
        <f ca="1">IF(AND(ISNUMBER($O$703),$B$419=1),$O$703,HLOOKUP(INDIRECT(ADDRESS(2,COLUMN())),OFFSET($BN$2,0,0,ROW()-1,60),ROW()-1,FALSE))</f>
        <v>3.5986047160000001</v>
      </c>
      <c r="P257">
        <f ca="1">IF(AND(ISNUMBER($P$703),$B$419=1),$P$703,HLOOKUP(INDIRECT(ADDRESS(2,COLUMN())),OFFSET($BN$2,0,0,ROW()-1,60),ROW()-1,FALSE))</f>
        <v>3.1223865050000001</v>
      </c>
      <c r="Q257">
        <f ca="1">IF(AND(ISNUMBER($Q$703),$B$419=1),$Q$703,HLOOKUP(INDIRECT(ADDRESS(2,COLUMN())),OFFSET($BN$2,0,0,ROW()-1,60),ROW()-1,FALSE))</f>
        <v>3.1029586230000001</v>
      </c>
      <c r="R257">
        <f ca="1">IF(AND(ISNUMBER($R$703),$B$419=1),$R$703,HLOOKUP(INDIRECT(ADDRESS(2,COLUMN())),OFFSET($BN$2,0,0,ROW()-1,60),ROW()-1,FALSE))</f>
        <v>2.87923763</v>
      </c>
      <c r="S257">
        <f ca="1">IF(AND(ISNUMBER($S$703),$B$419=1),$S$703,HLOOKUP(INDIRECT(ADDRESS(2,COLUMN())),OFFSET($BN$2,0,0,ROW()-1,60),ROW()-1,FALSE))</f>
        <v>1.2090208149999999</v>
      </c>
      <c r="T257">
        <f ca="1">IF(AND(ISNUMBER($T$703),$B$419=1),$T$703,HLOOKUP(INDIRECT(ADDRESS(2,COLUMN())),OFFSET($BN$2,0,0,ROW()-1,60),ROW()-1,FALSE))</f>
        <v>0.85659141000000005</v>
      </c>
      <c r="U257">
        <f ca="1">IF(AND(ISNUMBER($U$703),$B$419=1),$U$703,HLOOKUP(INDIRECT(ADDRESS(2,COLUMN())),OFFSET($BN$2,0,0,ROW()-1,60),ROW()-1,FALSE))</f>
        <v>-1.2810103370000001</v>
      </c>
      <c r="V257">
        <f ca="1">IF(AND(ISNUMBER($V$703),$B$419=1),$V$703,HLOOKUP(INDIRECT(ADDRESS(2,COLUMN())),OFFSET($BN$2,0,0,ROW()-1,60),ROW()-1,FALSE))</f>
        <v>-2.8944504869999998</v>
      </c>
      <c r="W257">
        <f ca="1">IF(AND(ISNUMBER($W$703),$B$419=1),$W$703,HLOOKUP(INDIRECT(ADDRESS(2,COLUMN())),OFFSET($BN$2,0,0,ROW()-1,60),ROW()-1,FALSE))</f>
        <v>-5.3730541330000001</v>
      </c>
      <c r="X257">
        <f ca="1">IF(AND(ISNUMBER($X$703),$B$419=1),$X$703,HLOOKUP(INDIRECT(ADDRESS(2,COLUMN())),OFFSET($BN$2,0,0,ROW()-1,60),ROW()-1,FALSE))</f>
        <v>-8.8091210029999996</v>
      </c>
      <c r="Y257">
        <f ca="1">IF(AND(ISNUMBER($Y$703),$B$419=1),$Y$703,HLOOKUP(INDIRECT(ADDRESS(2,COLUMN())),OFFSET($BN$2,0,0,ROW()-1,60),ROW()-1,FALSE))</f>
        <v>-7.4111882480000002</v>
      </c>
      <c r="Z257">
        <f ca="1">IF(AND(ISNUMBER($Z$703),$B$419=1),$Z$703,HLOOKUP(INDIRECT(ADDRESS(2,COLUMN())),OFFSET($BN$2,0,0,ROW()-1,60),ROW()-1,FALSE))</f>
        <v>-12.19683199</v>
      </c>
      <c r="AA257">
        <f ca="1">IF(AND(ISNUMBER($AA$703),$B$419=1),$AA$703,HLOOKUP(INDIRECT(ADDRESS(2,COLUMN())),OFFSET($BN$2,0,0,ROW()-1,60),ROW()-1,FALSE))</f>
        <v>1.0683253E-2</v>
      </c>
      <c r="AB257">
        <f ca="1">IF(AND(ISNUMBER($AB$703),$B$419=1),$AB$703,HLOOKUP(INDIRECT(ADDRESS(2,COLUMN())),OFFSET($BN$2,0,0,ROW()-1,60),ROW()-1,FALSE))</f>
        <v>0.309701697</v>
      </c>
      <c r="AC257" t="str">
        <f ca="1">IF(AND(ISNUMBER($AC$703),$B$419=1),$AC$703,HLOOKUP(INDIRECT(ADDRESS(2,COLUMN())),OFFSET($BN$2,0,0,ROW()-1,60),ROW()-1,FALSE))</f>
        <v/>
      </c>
      <c r="AD257" t="str">
        <f ca="1">IF(AND(ISNUMBER($AD$703),$B$419=1),$AD$703,HLOOKUP(INDIRECT(ADDRESS(2,COLUMN())),OFFSET($BN$2,0,0,ROW()-1,60),ROW()-1,FALSE))</f>
        <v/>
      </c>
      <c r="AE257" t="str">
        <f ca="1">IF(AND(ISNUMBER($AE$703),$B$419=1),$AE$703,HLOOKUP(INDIRECT(ADDRESS(2,COLUMN())),OFFSET($BN$2,0,0,ROW()-1,60),ROW()-1,FALSE))</f>
        <v/>
      </c>
      <c r="AF257" t="str">
        <f ca="1">IF(AND(ISNUMBER($AF$703),$B$419=1),$AF$703,HLOOKUP(INDIRECT(ADDRESS(2,COLUMN())),OFFSET($BN$2,0,0,ROW()-1,60),ROW()-1,FALSE))</f>
        <v/>
      </c>
      <c r="AG257" t="str">
        <f ca="1">IF(AND(ISNUMBER($AG$703),$B$419=1),$AG$703,HLOOKUP(INDIRECT(ADDRESS(2,COLUMN())),OFFSET($BN$2,0,0,ROW()-1,60),ROW()-1,FALSE))</f>
        <v/>
      </c>
      <c r="AH257" t="str">
        <f ca="1">IF(AND(ISNUMBER($AH$703),$B$419=1),$AH$703,HLOOKUP(INDIRECT(ADDRESS(2,COLUMN())),OFFSET($BN$2,0,0,ROW()-1,60),ROW()-1,FALSE))</f>
        <v/>
      </c>
      <c r="AI257" t="str">
        <f ca="1">IF(AND(ISNUMBER($AI$703),$B$419=1),$AI$703,HLOOKUP(INDIRECT(ADDRESS(2,COLUMN())),OFFSET($BN$2,0,0,ROW()-1,60),ROW()-1,FALSE))</f>
        <v/>
      </c>
      <c r="AJ257" t="str">
        <f ca="1">IF(AND(ISNUMBER($AJ$703),$B$419=1),$AJ$703,HLOOKUP(INDIRECT(ADDRESS(2,COLUMN())),OFFSET($BN$2,0,0,ROW()-1,60),ROW()-1,FALSE))</f>
        <v/>
      </c>
      <c r="AK257" t="str">
        <f ca="1">IF(AND(ISNUMBER($AK$703),$B$419=1),$AK$703,HLOOKUP(INDIRECT(ADDRESS(2,COLUMN())),OFFSET($BN$2,0,0,ROW()-1,60),ROW()-1,FALSE))</f>
        <v/>
      </c>
      <c r="AL257" t="str">
        <f ca="1">IF(AND(ISNUMBER($AL$703),$B$419=1),$AL$703,HLOOKUP(INDIRECT(ADDRESS(2,COLUMN())),OFFSET($BN$2,0,0,ROW()-1,60),ROW()-1,FALSE))</f>
        <v/>
      </c>
      <c r="AM257" t="str">
        <f ca="1">IF(AND(ISNUMBER($AM$703),$B$419=1),$AM$703,HLOOKUP(INDIRECT(ADDRESS(2,COLUMN())),OFFSET($BN$2,0,0,ROW()-1,60),ROW()-1,FALSE))</f>
        <v/>
      </c>
      <c r="AN257" t="str">
        <f ca="1">IF(AND(ISNUMBER($AN$703),$B$419=1),$AN$703,HLOOKUP(INDIRECT(ADDRESS(2,COLUMN())),OFFSET($BN$2,0,0,ROW()-1,60),ROW()-1,FALSE))</f>
        <v/>
      </c>
      <c r="AO257" t="str">
        <f ca="1">IF(AND(ISNUMBER($AO$703),$B$419=1),$AO$703,HLOOKUP(INDIRECT(ADDRESS(2,COLUMN())),OFFSET($BN$2,0,0,ROW()-1,60),ROW()-1,FALSE))</f>
        <v/>
      </c>
      <c r="AP257" t="str">
        <f ca="1">IF(AND(ISNUMBER($AP$703),$B$419=1),$AP$703,HLOOKUP(INDIRECT(ADDRESS(2,COLUMN())),OFFSET($BN$2,0,0,ROW()-1,60),ROW()-1,FALSE))</f>
        <v/>
      </c>
      <c r="AQ257" t="str">
        <f ca="1">IF(AND(ISNUMBER($AQ$703),$B$419=1),$AQ$703,HLOOKUP(INDIRECT(ADDRESS(2,COLUMN())),OFFSET($BN$2,0,0,ROW()-1,60),ROW()-1,FALSE))</f>
        <v/>
      </c>
      <c r="AR257" t="str">
        <f ca="1">IF(AND(ISNUMBER($AR$703),$B$419=1),$AR$703,HLOOKUP(INDIRECT(ADDRESS(2,COLUMN())),OFFSET($BN$2,0,0,ROW()-1,60),ROW()-1,FALSE))</f>
        <v/>
      </c>
      <c r="AS257" t="str">
        <f ca="1">IF(AND(ISNUMBER($AS$703),$B$419=1),$AS$703,HLOOKUP(INDIRECT(ADDRESS(2,COLUMN())),OFFSET($BN$2,0,0,ROW()-1,60),ROW()-1,FALSE))</f>
        <v/>
      </c>
      <c r="AT257" t="str">
        <f ca="1">IF(AND(ISNUMBER($AT$703),$B$419=1),$AT$703,HLOOKUP(INDIRECT(ADDRESS(2,COLUMN())),OFFSET($BN$2,0,0,ROW()-1,60),ROW()-1,FALSE))</f>
        <v/>
      </c>
      <c r="AU257" t="str">
        <f ca="1">IF(AND(ISNUMBER($AU$703),$B$419=1),$AU$703,HLOOKUP(INDIRECT(ADDRESS(2,COLUMN())),OFFSET($BN$2,0,0,ROW()-1,60),ROW()-1,FALSE))</f>
        <v/>
      </c>
      <c r="AV257" t="str">
        <f ca="1">IF(AND(ISNUMBER($AV$703),$B$419=1),$AV$703,HLOOKUP(INDIRECT(ADDRESS(2,COLUMN())),OFFSET($BN$2,0,0,ROW()-1,60),ROW()-1,FALSE))</f>
        <v/>
      </c>
      <c r="AW257" t="str">
        <f ca="1">IF(AND(ISNUMBER($AW$703),$B$419=1),$AW$703,HLOOKUP(INDIRECT(ADDRESS(2,COLUMN())),OFFSET($BN$2,0,0,ROW()-1,60),ROW()-1,FALSE))</f>
        <v/>
      </c>
      <c r="AX257" t="str">
        <f ca="1">IF(AND(ISNUMBER($AX$703),$B$419=1),$AX$703,HLOOKUP(INDIRECT(ADDRESS(2,COLUMN())),OFFSET($BN$2,0,0,ROW()-1,60),ROW()-1,FALSE))</f>
        <v/>
      </c>
      <c r="AY257" t="str">
        <f ca="1">IF(AND(ISNUMBER($AY$703),$B$419=1),$AY$703,HLOOKUP(INDIRECT(ADDRESS(2,COLUMN())),OFFSET($BN$2,0,0,ROW()-1,60),ROW()-1,FALSE))</f>
        <v/>
      </c>
      <c r="AZ257" t="str">
        <f ca="1">IF(AND(ISNUMBER($AZ$703),$B$419=1),$AZ$703,HLOOKUP(INDIRECT(ADDRESS(2,COLUMN())),OFFSET($BN$2,0,0,ROW()-1,60),ROW()-1,FALSE))</f>
        <v/>
      </c>
      <c r="BA257" t="str">
        <f ca="1">IF(AND(ISNUMBER($BA$703),$B$419=1),$BA$703,HLOOKUP(INDIRECT(ADDRESS(2,COLUMN())),OFFSET($BN$2,0,0,ROW()-1,60),ROW()-1,FALSE))</f>
        <v/>
      </c>
      <c r="BB257" t="str">
        <f ca="1">IF(AND(ISNUMBER($BB$703),$B$419=1),$BB$703,HLOOKUP(INDIRECT(ADDRESS(2,COLUMN())),OFFSET($BN$2,0,0,ROW()-1,60),ROW()-1,FALSE))</f>
        <v/>
      </c>
      <c r="BC257" t="str">
        <f ca="1">IF(AND(ISNUMBER($BC$703),$B$419=1),$BC$703,HLOOKUP(INDIRECT(ADDRESS(2,COLUMN())),OFFSET($BN$2,0,0,ROW()-1,60),ROW()-1,FALSE))</f>
        <v/>
      </c>
      <c r="BD257" t="str">
        <f ca="1">IF(AND(ISNUMBER($BD$703),$B$419=1),$BD$703,HLOOKUP(INDIRECT(ADDRESS(2,COLUMN())),OFFSET($BN$2,0,0,ROW()-1,60),ROW()-1,FALSE))</f>
        <v/>
      </c>
      <c r="BE257" t="str">
        <f ca="1">IF(AND(ISNUMBER($BE$703),$B$419=1),$BE$703,HLOOKUP(INDIRECT(ADDRESS(2,COLUMN())),OFFSET($BN$2,0,0,ROW()-1,60),ROW()-1,FALSE))</f>
        <v/>
      </c>
      <c r="BF257" t="str">
        <f ca="1">IF(AND(ISNUMBER($BF$703),$B$419=1),$BF$703,HLOOKUP(INDIRECT(ADDRESS(2,COLUMN())),OFFSET($BN$2,0,0,ROW()-1,60),ROW()-1,FALSE))</f>
        <v/>
      </c>
      <c r="BG257" t="str">
        <f ca="1">IF(AND(ISNUMBER($BG$703),$B$419=1),$BG$703,HLOOKUP(INDIRECT(ADDRESS(2,COLUMN())),OFFSET($BN$2,0,0,ROW()-1,60),ROW()-1,FALSE))</f>
        <v/>
      </c>
      <c r="BH257" t="str">
        <f ca="1">IF(AND(ISNUMBER($BH$703),$B$419=1),$BH$703,HLOOKUP(INDIRECT(ADDRESS(2,COLUMN())),OFFSET($BN$2,0,0,ROW()-1,60),ROW()-1,FALSE))</f>
        <v/>
      </c>
      <c r="BI257" t="str">
        <f ca="1">IF(AND(ISNUMBER($BI$703),$B$419=1),$BI$703,HLOOKUP(INDIRECT(ADDRESS(2,COLUMN())),OFFSET($BN$2,0,0,ROW()-1,60),ROW()-1,FALSE))</f>
        <v/>
      </c>
      <c r="BJ257" t="str">
        <f ca="1">IF(AND(ISNUMBER($BJ$703),$B$419=1),$BJ$703,HLOOKUP(INDIRECT(ADDRESS(2,COLUMN())),OFFSET($BN$2,0,0,ROW()-1,60),ROW()-1,FALSE))</f>
        <v/>
      </c>
      <c r="BK257" t="str">
        <f ca="1">IF(AND(ISNUMBER($BK$703),$B$419=1),$BK$703,HLOOKUP(INDIRECT(ADDRESS(2,COLUMN())),OFFSET($BN$2,0,0,ROW()-1,60),ROW()-1,FALSE))</f>
        <v/>
      </c>
      <c r="BL257" t="str">
        <f ca="1">IF(AND(ISNUMBER($BL$703),$B$419=1),$BL$703,HLOOKUP(INDIRECT(ADDRESS(2,COLUMN())),OFFSET($BN$2,0,0,ROW()-1,60),ROW()-1,FALSE))</f>
        <v/>
      </c>
      <c r="BM257" t="str">
        <f ca="1">IF(AND(ISNUMBER($BM$703),$B$419=1),$BM$703,HLOOKUP(INDIRECT(ADDRESS(2,COLUMN())),OFFSET($BN$2,0,0,ROW()-1,60),ROW()-1,FALSE))</f>
        <v/>
      </c>
      <c r="BN257" t="str">
        <f>""</f>
        <v/>
      </c>
      <c r="BO257">
        <f>5.003125287</f>
        <v>5.0031252869999996</v>
      </c>
      <c r="BP257">
        <f>4.327889286</f>
        <v>4.3278892859999996</v>
      </c>
      <c r="BQ257">
        <f>4.271537156</f>
        <v>4.2715371559999999</v>
      </c>
      <c r="BR257">
        <f>4.244476841</f>
        <v>4.244476841</v>
      </c>
      <c r="BS257">
        <f>4.312604185</f>
        <v>4.3126041849999996</v>
      </c>
      <c r="BT257">
        <f>3.836153987</f>
        <v>3.8361539869999999</v>
      </c>
      <c r="BU257">
        <f>3.795324913</f>
        <v>3.795324913</v>
      </c>
      <c r="BV257">
        <f>3.726871275</f>
        <v>3.7268712750000001</v>
      </c>
      <c r="BW257">
        <f>3.598604716</f>
        <v>3.5986047160000001</v>
      </c>
      <c r="BX257">
        <f>3.122386505</f>
        <v>3.1223865050000001</v>
      </c>
      <c r="BY257">
        <f>3.102958623</f>
        <v>3.1029586230000001</v>
      </c>
      <c r="BZ257">
        <f>2.87923763</f>
        <v>2.87923763</v>
      </c>
      <c r="CA257">
        <f>1.209020815</f>
        <v>1.2090208149999999</v>
      </c>
      <c r="CB257">
        <f>0.85659141</f>
        <v>0.85659141000000005</v>
      </c>
      <c r="CC257">
        <f>-1.281010337</f>
        <v>-1.2810103370000001</v>
      </c>
      <c r="CD257">
        <f>-2.894450487</f>
        <v>-2.8944504869999998</v>
      </c>
      <c r="CE257">
        <f>-5.373054133</f>
        <v>-5.3730541330000001</v>
      </c>
      <c r="CF257">
        <f>-8.809121003</f>
        <v>-8.8091210029999996</v>
      </c>
      <c r="CG257">
        <f>-7.411188248</f>
        <v>-7.4111882480000002</v>
      </c>
      <c r="CH257">
        <f>-12.19683199</f>
        <v>-12.19683199</v>
      </c>
      <c r="CI257">
        <f>0.010683253</f>
        <v>1.0683253E-2</v>
      </c>
      <c r="CJ257">
        <f>0.309701697</f>
        <v>0.309701697</v>
      </c>
      <c r="CK257" t="str">
        <f>""</f>
        <v/>
      </c>
      <c r="CL257" t="str">
        <f>""</f>
        <v/>
      </c>
      <c r="CM257" t="str">
        <f>""</f>
        <v/>
      </c>
      <c r="CN257" t="str">
        <f>""</f>
        <v/>
      </c>
      <c r="CO257" t="str">
        <f>""</f>
        <v/>
      </c>
      <c r="CP257" t="str">
        <f>""</f>
        <v/>
      </c>
      <c r="CQ257" t="str">
        <f>""</f>
        <v/>
      </c>
      <c r="CR257" t="str">
        <f>""</f>
        <v/>
      </c>
      <c r="CS257" t="str">
        <f>""</f>
        <v/>
      </c>
      <c r="CT257" t="str">
        <f>""</f>
        <v/>
      </c>
      <c r="CU257" t="str">
        <f>""</f>
        <v/>
      </c>
      <c r="CV257" t="str">
        <f>""</f>
        <v/>
      </c>
      <c r="CW257" t="str">
        <f>""</f>
        <v/>
      </c>
      <c r="CX257" t="str">
        <f>""</f>
        <v/>
      </c>
      <c r="CY257" t="str">
        <f>""</f>
        <v/>
      </c>
      <c r="CZ257" t="str">
        <f>""</f>
        <v/>
      </c>
      <c r="DA257" t="str">
        <f>""</f>
        <v/>
      </c>
      <c r="DB257" t="str">
        <f>""</f>
        <v/>
      </c>
      <c r="DC257" t="str">
        <f>""</f>
        <v/>
      </c>
      <c r="DD257" t="str">
        <f>""</f>
        <v/>
      </c>
      <c r="DE257" t="str">
        <f>""</f>
        <v/>
      </c>
      <c r="DF257" t="str">
        <f>""</f>
        <v/>
      </c>
      <c r="DG257" t="str">
        <f>""</f>
        <v/>
      </c>
      <c r="DH257" t="str">
        <f>""</f>
        <v/>
      </c>
      <c r="DI257" t="str">
        <f>""</f>
        <v/>
      </c>
      <c r="DJ257" t="str">
        <f>""</f>
        <v/>
      </c>
      <c r="DK257" t="str">
        <f>""</f>
        <v/>
      </c>
      <c r="DL257" t="str">
        <f>""</f>
        <v/>
      </c>
      <c r="DM257" t="str">
        <f>""</f>
        <v/>
      </c>
      <c r="DN257" t="str">
        <f>""</f>
        <v/>
      </c>
      <c r="DO257" t="str">
        <f>""</f>
        <v/>
      </c>
      <c r="DP257" t="str">
        <f>""</f>
        <v/>
      </c>
      <c r="DQ257" t="str">
        <f>""</f>
        <v/>
      </c>
      <c r="DR257" t="str">
        <f>""</f>
        <v/>
      </c>
      <c r="DS257" t="str">
        <f>""</f>
        <v/>
      </c>
      <c r="DT257" t="str">
        <f>""</f>
        <v/>
      </c>
      <c r="DU257" t="str">
        <f>""</f>
        <v/>
      </c>
    </row>
    <row r="258" spans="1:125">
      <c r="A258" t="str">
        <f>"    Washington Prime Group Inc"</f>
        <v xml:space="preserve">    Washington Prime Group Inc</v>
      </c>
      <c r="B258" t="str">
        <f>"WPG US Equity"</f>
        <v>WPG US Equity</v>
      </c>
      <c r="C258" t="str">
        <f t="shared" si="45"/>
        <v>RR554</v>
      </c>
      <c r="D258" t="str">
        <f t="shared" si="46"/>
        <v>FFO_RE_ASSET</v>
      </c>
      <c r="E258" t="str">
        <f t="shared" si="47"/>
        <v>动态</v>
      </c>
      <c r="F258" t="str">
        <f ca="1">IF(AND(ISNUMBER($F$704),$B$419=1),$F$704,HLOOKUP(INDIRECT(ADDRESS(2,COLUMN())),OFFSET($BN$2,0,0,ROW()-1,60),ROW()-1,FALSE))</f>
        <v/>
      </c>
      <c r="G258">
        <f ca="1">IF(AND(ISNUMBER($G$704),$B$419=1),$G$704,HLOOKUP(INDIRECT(ADDRESS(2,COLUMN())),OFFSET($BN$2,0,0,ROW()-1,60),ROW()-1,FALSE))</f>
        <v>10.042684619999999</v>
      </c>
      <c r="H258">
        <f ca="1">IF(AND(ISNUMBER($H$704),$B$419=1),$H$704,HLOOKUP(INDIRECT(ADDRESS(2,COLUMN())),OFFSET($BN$2,0,0,ROW()-1,60),ROW()-1,FALSE))</f>
        <v>8.5167914119999999</v>
      </c>
      <c r="I258">
        <f ca="1">IF(AND(ISNUMBER($I$704),$B$419=1),$I$704,HLOOKUP(INDIRECT(ADDRESS(2,COLUMN())),OFFSET($BN$2,0,0,ROW()-1,60),ROW()-1,FALSE))</f>
        <v>8.8139939589999994</v>
      </c>
      <c r="J258">
        <f ca="1">IF(AND(ISNUMBER($J$704),$B$419=1),$J$704,HLOOKUP(INDIRECT(ADDRESS(2,COLUMN())),OFFSET($BN$2,0,0,ROW()-1,60),ROW()-1,FALSE))</f>
        <v>8.1440698210000004</v>
      </c>
      <c r="K258">
        <f ca="1">IF(AND(ISNUMBER($K$704),$B$419=1),$K$704,HLOOKUP(INDIRECT(ADDRESS(2,COLUMN())),OFFSET($BN$2,0,0,ROW()-1,60),ROW()-1,FALSE))</f>
        <v>8.0093877469999999</v>
      </c>
      <c r="L258">
        <f ca="1">IF(AND(ISNUMBER($L$704),$B$419=1),$L$704,HLOOKUP(INDIRECT(ADDRESS(2,COLUMN())),OFFSET($BN$2,0,0,ROW()-1,60),ROW()-1,FALSE))</f>
        <v>7.7333953949999996</v>
      </c>
      <c r="M258">
        <f ca="1">IF(AND(ISNUMBER($M$704),$B$419=1),$M$704,HLOOKUP(INDIRECT(ADDRESS(2,COLUMN())),OFFSET($BN$2,0,0,ROW()-1,60),ROW()-1,FALSE))</f>
        <v>7.6496292319999997</v>
      </c>
      <c r="N258">
        <f ca="1">IF(AND(ISNUMBER($N$704),$B$419=1),$N$704,HLOOKUP(INDIRECT(ADDRESS(2,COLUMN())),OFFSET($BN$2,0,0,ROW()-1,60),ROW()-1,FALSE))</f>
        <v>6.750423659</v>
      </c>
      <c r="O258">
        <f ca="1">IF(AND(ISNUMBER($O$704),$B$419=1),$O$704,HLOOKUP(INDIRECT(ADDRESS(2,COLUMN())),OFFSET($BN$2,0,0,ROW()-1,60),ROW()-1,FALSE))</f>
        <v>8.8888125939999991</v>
      </c>
      <c r="P258">
        <f ca="1">IF(AND(ISNUMBER($P$704),$B$419=1),$P$704,HLOOKUP(INDIRECT(ADDRESS(2,COLUMN())),OFFSET($BN$2,0,0,ROW()-1,60),ROW()-1,FALSE))</f>
        <v>8.3032813310000009</v>
      </c>
      <c r="Q258">
        <f ca="1">IF(AND(ISNUMBER($Q$704),$B$419=1),$Q$704,HLOOKUP(INDIRECT(ADDRESS(2,COLUMN())),OFFSET($BN$2,0,0,ROW()-1,60),ROW()-1,FALSE))</f>
        <v>8.1308722699999993</v>
      </c>
      <c r="R258">
        <f ca="1">IF(AND(ISNUMBER($R$704),$B$419=1),$R$704,HLOOKUP(INDIRECT(ADDRESS(2,COLUMN())),OFFSET($BN$2,0,0,ROW()-1,60),ROW()-1,FALSE))</f>
        <v>6.2914857150000003</v>
      </c>
      <c r="S258" t="str">
        <f ca="1">IF(AND(ISNUMBER($S$704),$B$419=1),$S$704,HLOOKUP(INDIRECT(ADDRESS(2,COLUMN())),OFFSET($BN$2,0,0,ROW()-1,60),ROW()-1,FALSE))</f>
        <v/>
      </c>
      <c r="T258" t="str">
        <f ca="1">IF(AND(ISNUMBER($T$704),$B$419=1),$T$704,HLOOKUP(INDIRECT(ADDRESS(2,COLUMN())),OFFSET($BN$2,0,0,ROW()-1,60),ROW()-1,FALSE))</f>
        <v/>
      </c>
      <c r="U258" t="str">
        <f ca="1">IF(AND(ISNUMBER($U$704),$B$419=1),$U$704,HLOOKUP(INDIRECT(ADDRESS(2,COLUMN())),OFFSET($BN$2,0,0,ROW()-1,60),ROW()-1,FALSE))</f>
        <v/>
      </c>
      <c r="V258" t="str">
        <f ca="1">IF(AND(ISNUMBER($V$704),$B$419=1),$V$704,HLOOKUP(INDIRECT(ADDRESS(2,COLUMN())),OFFSET($BN$2,0,0,ROW()-1,60),ROW()-1,FALSE))</f>
        <v/>
      </c>
      <c r="W258" t="str">
        <f ca="1">IF(AND(ISNUMBER($W$704),$B$419=1),$W$704,HLOOKUP(INDIRECT(ADDRESS(2,COLUMN())),OFFSET($BN$2,0,0,ROW()-1,60),ROW()-1,FALSE))</f>
        <v/>
      </c>
      <c r="X258" t="str">
        <f ca="1">IF(AND(ISNUMBER($X$704),$B$419=1),$X$704,HLOOKUP(INDIRECT(ADDRESS(2,COLUMN())),OFFSET($BN$2,0,0,ROW()-1,60),ROW()-1,FALSE))</f>
        <v/>
      </c>
      <c r="Y258" t="str">
        <f ca="1">IF(AND(ISNUMBER($Y$704),$B$419=1),$Y$704,HLOOKUP(INDIRECT(ADDRESS(2,COLUMN())),OFFSET($BN$2,0,0,ROW()-1,60),ROW()-1,FALSE))</f>
        <v/>
      </c>
      <c r="Z258" t="str">
        <f ca="1">IF(AND(ISNUMBER($Z$704),$B$419=1),$Z$704,HLOOKUP(INDIRECT(ADDRESS(2,COLUMN())),OFFSET($BN$2,0,0,ROW()-1,60),ROW()-1,FALSE))</f>
        <v/>
      </c>
      <c r="AA258" t="str">
        <f ca="1">IF(AND(ISNUMBER($AA$704),$B$419=1),$AA$704,HLOOKUP(INDIRECT(ADDRESS(2,COLUMN())),OFFSET($BN$2,0,0,ROW()-1,60),ROW()-1,FALSE))</f>
        <v/>
      </c>
      <c r="AB258" t="str">
        <f ca="1">IF(AND(ISNUMBER($AB$704),$B$419=1),$AB$704,HLOOKUP(INDIRECT(ADDRESS(2,COLUMN())),OFFSET($BN$2,0,0,ROW()-1,60),ROW()-1,FALSE))</f>
        <v/>
      </c>
      <c r="AC258" t="str">
        <f ca="1">IF(AND(ISNUMBER($AC$704),$B$419=1),$AC$704,HLOOKUP(INDIRECT(ADDRESS(2,COLUMN())),OFFSET($BN$2,0,0,ROW()-1,60),ROW()-1,FALSE))</f>
        <v/>
      </c>
      <c r="AD258" t="str">
        <f ca="1">IF(AND(ISNUMBER($AD$704),$B$419=1),$AD$704,HLOOKUP(INDIRECT(ADDRESS(2,COLUMN())),OFFSET($BN$2,0,0,ROW()-1,60),ROW()-1,FALSE))</f>
        <v/>
      </c>
      <c r="AE258" t="str">
        <f ca="1">IF(AND(ISNUMBER($AE$704),$B$419=1),$AE$704,HLOOKUP(INDIRECT(ADDRESS(2,COLUMN())),OFFSET($BN$2,0,0,ROW()-1,60),ROW()-1,FALSE))</f>
        <v/>
      </c>
      <c r="AF258" t="str">
        <f ca="1">IF(AND(ISNUMBER($AF$704),$B$419=1),$AF$704,HLOOKUP(INDIRECT(ADDRESS(2,COLUMN())),OFFSET($BN$2,0,0,ROW()-1,60),ROW()-1,FALSE))</f>
        <v/>
      </c>
      <c r="AG258" t="str">
        <f ca="1">IF(AND(ISNUMBER($AG$704),$B$419=1),$AG$704,HLOOKUP(INDIRECT(ADDRESS(2,COLUMN())),OFFSET($BN$2,0,0,ROW()-1,60),ROW()-1,FALSE))</f>
        <v/>
      </c>
      <c r="AH258" t="str">
        <f ca="1">IF(AND(ISNUMBER($AH$704),$B$419=1),$AH$704,HLOOKUP(INDIRECT(ADDRESS(2,COLUMN())),OFFSET($BN$2,0,0,ROW()-1,60),ROW()-1,FALSE))</f>
        <v/>
      </c>
      <c r="AI258" t="str">
        <f ca="1">IF(AND(ISNUMBER($AI$704),$B$419=1),$AI$704,HLOOKUP(INDIRECT(ADDRESS(2,COLUMN())),OFFSET($BN$2,0,0,ROW()-1,60),ROW()-1,FALSE))</f>
        <v/>
      </c>
      <c r="AJ258" t="str">
        <f ca="1">IF(AND(ISNUMBER($AJ$704),$B$419=1),$AJ$704,HLOOKUP(INDIRECT(ADDRESS(2,COLUMN())),OFFSET($BN$2,0,0,ROW()-1,60),ROW()-1,FALSE))</f>
        <v/>
      </c>
      <c r="AK258" t="str">
        <f ca="1">IF(AND(ISNUMBER($AK$704),$B$419=1),$AK$704,HLOOKUP(INDIRECT(ADDRESS(2,COLUMN())),OFFSET($BN$2,0,0,ROW()-1,60),ROW()-1,FALSE))</f>
        <v/>
      </c>
      <c r="AL258" t="str">
        <f ca="1">IF(AND(ISNUMBER($AL$704),$B$419=1),$AL$704,HLOOKUP(INDIRECT(ADDRESS(2,COLUMN())),OFFSET($BN$2,0,0,ROW()-1,60),ROW()-1,FALSE))</f>
        <v/>
      </c>
      <c r="AM258" t="str">
        <f ca="1">IF(AND(ISNUMBER($AM$704),$B$419=1),$AM$704,HLOOKUP(INDIRECT(ADDRESS(2,COLUMN())),OFFSET($BN$2,0,0,ROW()-1,60),ROW()-1,FALSE))</f>
        <v/>
      </c>
      <c r="AN258" t="str">
        <f ca="1">IF(AND(ISNUMBER($AN$704),$B$419=1),$AN$704,HLOOKUP(INDIRECT(ADDRESS(2,COLUMN())),OFFSET($BN$2,0,0,ROW()-1,60),ROW()-1,FALSE))</f>
        <v/>
      </c>
      <c r="AO258" t="str">
        <f ca="1">IF(AND(ISNUMBER($AO$704),$B$419=1),$AO$704,HLOOKUP(INDIRECT(ADDRESS(2,COLUMN())),OFFSET($BN$2,0,0,ROW()-1,60),ROW()-1,FALSE))</f>
        <v/>
      </c>
      <c r="AP258" t="str">
        <f ca="1">IF(AND(ISNUMBER($AP$704),$B$419=1),$AP$704,HLOOKUP(INDIRECT(ADDRESS(2,COLUMN())),OFFSET($BN$2,0,0,ROW()-1,60),ROW()-1,FALSE))</f>
        <v/>
      </c>
      <c r="AQ258" t="str">
        <f ca="1">IF(AND(ISNUMBER($AQ$704),$B$419=1),$AQ$704,HLOOKUP(INDIRECT(ADDRESS(2,COLUMN())),OFFSET($BN$2,0,0,ROW()-1,60),ROW()-1,FALSE))</f>
        <v/>
      </c>
      <c r="AR258" t="str">
        <f ca="1">IF(AND(ISNUMBER($AR$704),$B$419=1),$AR$704,HLOOKUP(INDIRECT(ADDRESS(2,COLUMN())),OFFSET($BN$2,0,0,ROW()-1,60),ROW()-1,FALSE))</f>
        <v/>
      </c>
      <c r="AS258" t="str">
        <f ca="1">IF(AND(ISNUMBER($AS$704),$B$419=1),$AS$704,HLOOKUP(INDIRECT(ADDRESS(2,COLUMN())),OFFSET($BN$2,0,0,ROW()-1,60),ROW()-1,FALSE))</f>
        <v/>
      </c>
      <c r="AT258" t="str">
        <f ca="1">IF(AND(ISNUMBER($AT$704),$B$419=1),$AT$704,HLOOKUP(INDIRECT(ADDRESS(2,COLUMN())),OFFSET($BN$2,0,0,ROW()-1,60),ROW()-1,FALSE))</f>
        <v/>
      </c>
      <c r="AU258" t="str">
        <f ca="1">IF(AND(ISNUMBER($AU$704),$B$419=1),$AU$704,HLOOKUP(INDIRECT(ADDRESS(2,COLUMN())),OFFSET($BN$2,0,0,ROW()-1,60),ROW()-1,FALSE))</f>
        <v/>
      </c>
      <c r="AV258" t="str">
        <f ca="1">IF(AND(ISNUMBER($AV$704),$B$419=1),$AV$704,HLOOKUP(INDIRECT(ADDRESS(2,COLUMN())),OFFSET($BN$2,0,0,ROW()-1,60),ROW()-1,FALSE))</f>
        <v/>
      </c>
      <c r="AW258" t="str">
        <f ca="1">IF(AND(ISNUMBER($AW$704),$B$419=1),$AW$704,HLOOKUP(INDIRECT(ADDRESS(2,COLUMN())),OFFSET($BN$2,0,0,ROW()-1,60),ROW()-1,FALSE))</f>
        <v/>
      </c>
      <c r="AX258" t="str">
        <f ca="1">IF(AND(ISNUMBER($AX$704),$B$419=1),$AX$704,HLOOKUP(INDIRECT(ADDRESS(2,COLUMN())),OFFSET($BN$2,0,0,ROW()-1,60),ROW()-1,FALSE))</f>
        <v/>
      </c>
      <c r="AY258" t="str">
        <f ca="1">IF(AND(ISNUMBER($AY$704),$B$419=1),$AY$704,HLOOKUP(INDIRECT(ADDRESS(2,COLUMN())),OFFSET($BN$2,0,0,ROW()-1,60),ROW()-1,FALSE))</f>
        <v/>
      </c>
      <c r="AZ258" t="str">
        <f ca="1">IF(AND(ISNUMBER($AZ$704),$B$419=1),$AZ$704,HLOOKUP(INDIRECT(ADDRESS(2,COLUMN())),OFFSET($BN$2,0,0,ROW()-1,60),ROW()-1,FALSE))</f>
        <v/>
      </c>
      <c r="BA258" t="str">
        <f ca="1">IF(AND(ISNUMBER($BA$704),$B$419=1),$BA$704,HLOOKUP(INDIRECT(ADDRESS(2,COLUMN())),OFFSET($BN$2,0,0,ROW()-1,60),ROW()-1,FALSE))</f>
        <v/>
      </c>
      <c r="BB258" t="str">
        <f ca="1">IF(AND(ISNUMBER($BB$704),$B$419=1),$BB$704,HLOOKUP(INDIRECT(ADDRESS(2,COLUMN())),OFFSET($BN$2,0,0,ROW()-1,60),ROW()-1,FALSE))</f>
        <v/>
      </c>
      <c r="BC258" t="str">
        <f ca="1">IF(AND(ISNUMBER($BC$704),$B$419=1),$BC$704,HLOOKUP(INDIRECT(ADDRESS(2,COLUMN())),OFFSET($BN$2,0,0,ROW()-1,60),ROW()-1,FALSE))</f>
        <v/>
      </c>
      <c r="BD258" t="str">
        <f ca="1">IF(AND(ISNUMBER($BD$704),$B$419=1),$BD$704,HLOOKUP(INDIRECT(ADDRESS(2,COLUMN())),OFFSET($BN$2,0,0,ROW()-1,60),ROW()-1,FALSE))</f>
        <v/>
      </c>
      <c r="BE258" t="str">
        <f ca="1">IF(AND(ISNUMBER($BE$704),$B$419=1),$BE$704,HLOOKUP(INDIRECT(ADDRESS(2,COLUMN())),OFFSET($BN$2,0,0,ROW()-1,60),ROW()-1,FALSE))</f>
        <v/>
      </c>
      <c r="BF258" t="str">
        <f ca="1">IF(AND(ISNUMBER($BF$704),$B$419=1),$BF$704,HLOOKUP(INDIRECT(ADDRESS(2,COLUMN())),OFFSET($BN$2,0,0,ROW()-1,60),ROW()-1,FALSE))</f>
        <v/>
      </c>
      <c r="BG258" t="str">
        <f ca="1">IF(AND(ISNUMBER($BG$704),$B$419=1),$BG$704,HLOOKUP(INDIRECT(ADDRESS(2,COLUMN())),OFFSET($BN$2,0,0,ROW()-1,60),ROW()-1,FALSE))</f>
        <v/>
      </c>
      <c r="BH258" t="str">
        <f ca="1">IF(AND(ISNUMBER($BH$704),$B$419=1),$BH$704,HLOOKUP(INDIRECT(ADDRESS(2,COLUMN())),OFFSET($BN$2,0,0,ROW()-1,60),ROW()-1,FALSE))</f>
        <v/>
      </c>
      <c r="BI258" t="str">
        <f ca="1">IF(AND(ISNUMBER($BI$704),$B$419=1),$BI$704,HLOOKUP(INDIRECT(ADDRESS(2,COLUMN())),OFFSET($BN$2,0,0,ROW()-1,60),ROW()-1,FALSE))</f>
        <v/>
      </c>
      <c r="BJ258" t="str">
        <f ca="1">IF(AND(ISNUMBER($BJ$704),$B$419=1),$BJ$704,HLOOKUP(INDIRECT(ADDRESS(2,COLUMN())),OFFSET($BN$2,0,0,ROW()-1,60),ROW()-1,FALSE))</f>
        <v/>
      </c>
      <c r="BK258" t="str">
        <f ca="1">IF(AND(ISNUMBER($BK$704),$B$419=1),$BK$704,HLOOKUP(INDIRECT(ADDRESS(2,COLUMN())),OFFSET($BN$2,0,0,ROW()-1,60),ROW()-1,FALSE))</f>
        <v/>
      </c>
      <c r="BL258" t="str">
        <f ca="1">IF(AND(ISNUMBER($BL$704),$B$419=1),$BL$704,HLOOKUP(INDIRECT(ADDRESS(2,COLUMN())),OFFSET($BN$2,0,0,ROW()-1,60),ROW()-1,FALSE))</f>
        <v/>
      </c>
      <c r="BM258" t="str">
        <f ca="1">IF(AND(ISNUMBER($BM$704),$B$419=1),$BM$704,HLOOKUP(INDIRECT(ADDRESS(2,COLUMN())),OFFSET($BN$2,0,0,ROW()-1,60),ROW()-1,FALSE))</f>
        <v/>
      </c>
      <c r="BN258" t="str">
        <f>""</f>
        <v/>
      </c>
      <c r="BO258">
        <f>10.04268462</f>
        <v>10.042684619999999</v>
      </c>
      <c r="BP258">
        <f>8.516791412</f>
        <v>8.5167914119999999</v>
      </c>
      <c r="BQ258">
        <f>8.813993959</f>
        <v>8.8139939589999994</v>
      </c>
      <c r="BR258">
        <f>8.144069821</f>
        <v>8.1440698210000004</v>
      </c>
      <c r="BS258">
        <f>8.009387747</f>
        <v>8.0093877469999999</v>
      </c>
      <c r="BT258">
        <f>7.733395395</f>
        <v>7.7333953949999996</v>
      </c>
      <c r="BU258">
        <f>7.649629232</f>
        <v>7.6496292319999997</v>
      </c>
      <c r="BV258">
        <f>6.750423659</f>
        <v>6.750423659</v>
      </c>
      <c r="BW258">
        <f>8.888812594</f>
        <v>8.8888125939999991</v>
      </c>
      <c r="BX258">
        <f>8.303281331</f>
        <v>8.3032813310000009</v>
      </c>
      <c r="BY258">
        <f>8.13087227</f>
        <v>8.1308722699999993</v>
      </c>
      <c r="BZ258">
        <f>6.291485715</f>
        <v>6.2914857150000003</v>
      </c>
      <c r="CA258" t="str">
        <f>""</f>
        <v/>
      </c>
      <c r="CB258" t="str">
        <f>""</f>
        <v/>
      </c>
      <c r="CC258" t="str">
        <f>""</f>
        <v/>
      </c>
      <c r="CD258" t="str">
        <f>""</f>
        <v/>
      </c>
      <c r="CE258" t="str">
        <f>""</f>
        <v/>
      </c>
      <c r="CF258" t="str">
        <f>""</f>
        <v/>
      </c>
      <c r="CG258" t="str">
        <f>""</f>
        <v/>
      </c>
      <c r="CH258" t="str">
        <f>""</f>
        <v/>
      </c>
      <c r="CI258" t="str">
        <f>""</f>
        <v/>
      </c>
      <c r="CJ258" t="str">
        <f>""</f>
        <v/>
      </c>
      <c r="CK258" t="str">
        <f>""</f>
        <v/>
      </c>
      <c r="CL258" t="str">
        <f>""</f>
        <v/>
      </c>
      <c r="CM258" t="str">
        <f>""</f>
        <v/>
      </c>
      <c r="CN258" t="str">
        <f>""</f>
        <v/>
      </c>
      <c r="CO258" t="str">
        <f>""</f>
        <v/>
      </c>
      <c r="CP258" t="str">
        <f>""</f>
        <v/>
      </c>
      <c r="CQ258" t="str">
        <f>""</f>
        <v/>
      </c>
      <c r="CR258" t="str">
        <f>""</f>
        <v/>
      </c>
      <c r="CS258" t="str">
        <f>""</f>
        <v/>
      </c>
      <c r="CT258" t="str">
        <f>""</f>
        <v/>
      </c>
      <c r="CU258" t="str">
        <f>""</f>
        <v/>
      </c>
      <c r="CV258" t="str">
        <f>""</f>
        <v/>
      </c>
      <c r="CW258" t="str">
        <f>""</f>
        <v/>
      </c>
      <c r="CX258" t="str">
        <f>""</f>
        <v/>
      </c>
      <c r="CY258" t="str">
        <f>""</f>
        <v/>
      </c>
      <c r="CZ258" t="str">
        <f>""</f>
        <v/>
      </c>
      <c r="DA258" t="str">
        <f>""</f>
        <v/>
      </c>
      <c r="DB258" t="str">
        <f>""</f>
        <v/>
      </c>
      <c r="DC258" t="str">
        <f>""</f>
        <v/>
      </c>
      <c r="DD258" t="str">
        <f>""</f>
        <v/>
      </c>
      <c r="DE258" t="str">
        <f>""</f>
        <v/>
      </c>
      <c r="DF258" t="str">
        <f>""</f>
        <v/>
      </c>
      <c r="DG258" t="str">
        <f>""</f>
        <v/>
      </c>
      <c r="DH258" t="str">
        <f>""</f>
        <v/>
      </c>
      <c r="DI258" t="str">
        <f>""</f>
        <v/>
      </c>
      <c r="DJ258" t="str">
        <f>""</f>
        <v/>
      </c>
      <c r="DK258" t="str">
        <f>""</f>
        <v/>
      </c>
      <c r="DL258" t="str">
        <f>""</f>
        <v/>
      </c>
      <c r="DM258" t="str">
        <f>""</f>
        <v/>
      </c>
      <c r="DN258" t="str">
        <f>""</f>
        <v/>
      </c>
      <c r="DO258" t="str">
        <f>""</f>
        <v/>
      </c>
      <c r="DP258" t="str">
        <f>""</f>
        <v/>
      </c>
      <c r="DQ258" t="str">
        <f>""</f>
        <v/>
      </c>
      <c r="DR258" t="str">
        <f>""</f>
        <v/>
      </c>
      <c r="DS258" t="str">
        <f>""</f>
        <v/>
      </c>
      <c r="DT258" t="str">
        <f>""</f>
        <v/>
      </c>
      <c r="DU258" t="str">
        <f>""</f>
        <v/>
      </c>
    </row>
    <row r="259" spans="1:125">
      <c r="A259" t="str">
        <f>"    Weingarten Realty Investors"</f>
        <v xml:space="preserve">    Weingarten Realty Investors</v>
      </c>
      <c r="B259" t="str">
        <f>"WRI US Equity"</f>
        <v>WRI US Equity</v>
      </c>
      <c r="C259" t="str">
        <f t="shared" si="45"/>
        <v>RR554</v>
      </c>
      <c r="D259" t="str">
        <f t="shared" si="46"/>
        <v>FFO_RE_ASSET</v>
      </c>
      <c r="E259" t="str">
        <f t="shared" si="47"/>
        <v>动态</v>
      </c>
      <c r="F259" t="str">
        <f ca="1">IF(AND(ISNUMBER($F$705),$B$419=1),$F$705,HLOOKUP(INDIRECT(ADDRESS(2,COLUMN())),OFFSET($BN$2,0,0,ROW()-1,60),ROW()-1,FALSE))</f>
        <v/>
      </c>
      <c r="G259">
        <f ca="1">IF(AND(ISNUMBER($G$705),$B$419=1),$G$705,HLOOKUP(INDIRECT(ADDRESS(2,COLUMN())),OFFSET($BN$2,0,0,ROW()-1,60),ROW()-1,FALSE))</f>
        <v>8.1605798650000008</v>
      </c>
      <c r="H259">
        <f ca="1">IF(AND(ISNUMBER($H$705),$B$419=1),$H$705,HLOOKUP(INDIRECT(ADDRESS(2,COLUMN())),OFFSET($BN$2,0,0,ROW()-1,60),ROW()-1,FALSE))</f>
        <v>8.1541688889999993</v>
      </c>
      <c r="I259">
        <f ca="1">IF(AND(ISNUMBER($I$705),$B$419=1),$I$705,HLOOKUP(INDIRECT(ADDRESS(2,COLUMN())),OFFSET($BN$2,0,0,ROW()-1,60),ROW()-1,FALSE))</f>
        <v>8.2113100600000006</v>
      </c>
      <c r="J259">
        <f ca="1">IF(AND(ISNUMBER($J$705),$B$419=1),$J$705,HLOOKUP(INDIRECT(ADDRESS(2,COLUMN())),OFFSET($BN$2,0,0,ROW()-1,60),ROW()-1,FALSE))</f>
        <v>8.198285168</v>
      </c>
      <c r="K259">
        <f ca="1">IF(AND(ISNUMBER($K$705),$B$419=1),$K$705,HLOOKUP(INDIRECT(ADDRESS(2,COLUMN())),OFFSET($BN$2,0,0,ROW()-1,60),ROW()-1,FALSE))</f>
        <v>7.9677752960000001</v>
      </c>
      <c r="L259">
        <f ca="1">IF(AND(ISNUMBER($L$705),$B$419=1),$L$705,HLOOKUP(INDIRECT(ADDRESS(2,COLUMN())),OFFSET($BN$2,0,0,ROW()-1,60),ROW()-1,FALSE))</f>
        <v>7.8061583419999998</v>
      </c>
      <c r="M259">
        <f ca="1">IF(AND(ISNUMBER($M$705),$B$419=1),$M$705,HLOOKUP(INDIRECT(ADDRESS(2,COLUMN())),OFFSET($BN$2,0,0,ROW()-1,60),ROW()-1,FALSE))</f>
        <v>8.0361746979999999</v>
      </c>
      <c r="N259">
        <f ca="1">IF(AND(ISNUMBER($N$705),$B$419=1),$N$705,HLOOKUP(INDIRECT(ADDRESS(2,COLUMN())),OFFSET($BN$2,0,0,ROW()-1,60),ROW()-1,FALSE))</f>
        <v>7.6969675899999999</v>
      </c>
      <c r="O259">
        <f ca="1">IF(AND(ISNUMBER($O$705),$B$419=1),$O$705,HLOOKUP(INDIRECT(ADDRESS(2,COLUMN())),OFFSET($BN$2,0,0,ROW()-1,60),ROW()-1,FALSE))</f>
        <v>7.6228787469999997</v>
      </c>
      <c r="P259">
        <f ca="1">IF(AND(ISNUMBER($P$705),$B$419=1),$P$705,HLOOKUP(INDIRECT(ADDRESS(2,COLUMN())),OFFSET($BN$2,0,0,ROW()-1,60),ROW()-1,FALSE))</f>
        <v>7.3079354429999999</v>
      </c>
      <c r="Q259">
        <f ca="1">IF(AND(ISNUMBER($Q$705),$B$419=1),$Q$705,HLOOKUP(INDIRECT(ADDRESS(2,COLUMN())),OFFSET($BN$2,0,0,ROW()-1,60),ROW()-1,FALSE))</f>
        <v>7.1802593540000004</v>
      </c>
      <c r="R259">
        <f ca="1">IF(AND(ISNUMBER($R$705),$B$419=1),$R$705,HLOOKUP(INDIRECT(ADDRESS(2,COLUMN())),OFFSET($BN$2,0,0,ROW()-1,60),ROW()-1,FALSE))</f>
        <v>7.427318262</v>
      </c>
      <c r="S259">
        <f ca="1">IF(AND(ISNUMBER($S$705),$B$419=1),$S$705,HLOOKUP(INDIRECT(ADDRESS(2,COLUMN())),OFFSET($BN$2,0,0,ROW()-1,60),ROW()-1,FALSE))</f>
        <v>7.3724951699999997</v>
      </c>
      <c r="T259">
        <f ca="1">IF(AND(ISNUMBER($T$705),$B$419=1),$T$705,HLOOKUP(INDIRECT(ADDRESS(2,COLUMN())),OFFSET($BN$2,0,0,ROW()-1,60),ROW()-1,FALSE))</f>
        <v>7.0089556200000001</v>
      </c>
      <c r="U259">
        <f ca="1">IF(AND(ISNUMBER($U$705),$B$419=1),$U$705,HLOOKUP(INDIRECT(ADDRESS(2,COLUMN())),OFFSET($BN$2,0,0,ROW()-1,60),ROW()-1,FALSE))</f>
        <v>6.7747850060000001</v>
      </c>
      <c r="V259">
        <f ca="1">IF(AND(ISNUMBER($V$705),$B$419=1),$V$705,HLOOKUP(INDIRECT(ADDRESS(2,COLUMN())),OFFSET($BN$2,0,0,ROW()-1,60),ROW()-1,FALSE))</f>
        <v>6.1766392620000001</v>
      </c>
      <c r="W259">
        <f ca="1">IF(AND(ISNUMBER($W$705),$B$419=1),$W$705,HLOOKUP(INDIRECT(ADDRESS(2,COLUMN())),OFFSET($BN$2,0,0,ROW()-1,60),ROW()-1,FALSE))</f>
        <v>6.0795200329999997</v>
      </c>
      <c r="X259">
        <f ca="1">IF(AND(ISNUMBER($X$705),$B$419=1),$X$705,HLOOKUP(INDIRECT(ADDRESS(2,COLUMN())),OFFSET($BN$2,0,0,ROW()-1,60),ROW()-1,FALSE))</f>
        <v>6.1450475400000002</v>
      </c>
      <c r="Y259">
        <f ca="1">IF(AND(ISNUMBER($Y$705),$B$419=1),$Y$705,HLOOKUP(INDIRECT(ADDRESS(2,COLUMN())),OFFSET($BN$2,0,0,ROW()-1,60),ROW()-1,FALSE))</f>
        <v>5.9518833710000001</v>
      </c>
      <c r="Z259">
        <f ca="1">IF(AND(ISNUMBER($Z$705),$B$419=1),$Z$705,HLOOKUP(INDIRECT(ADDRESS(2,COLUMN())),OFFSET($BN$2,0,0,ROW()-1,60),ROW()-1,FALSE))</f>
        <v>5.9335511089999997</v>
      </c>
      <c r="AA259">
        <f ca="1">IF(AND(ISNUMBER($AA$705),$B$419=1),$AA$705,HLOOKUP(INDIRECT(ADDRESS(2,COLUMN())),OFFSET($BN$2,0,0,ROW()-1,60),ROW()-1,FALSE))</f>
        <v>5.6123630100000002</v>
      </c>
      <c r="AB259">
        <f ca="1">IF(AND(ISNUMBER($AB$705),$B$419=1),$AB$705,HLOOKUP(INDIRECT(ADDRESS(2,COLUMN())),OFFSET($BN$2,0,0,ROW()-1,60),ROW()-1,FALSE))</f>
        <v>5.5320921189999996</v>
      </c>
      <c r="AC259">
        <f ca="1">IF(AND(ISNUMBER($AC$705),$B$419=1),$AC$705,HLOOKUP(INDIRECT(ADDRESS(2,COLUMN())),OFFSET($BN$2,0,0,ROW()-1,60),ROW()-1,FALSE))</f>
        <v>4.9067135789999998</v>
      </c>
      <c r="AD259">
        <f ca="1">IF(AND(ISNUMBER($AD$705),$B$419=1),$AD$705,HLOOKUP(INDIRECT(ADDRESS(2,COLUMN())),OFFSET($BN$2,0,0,ROW()-1,60),ROW()-1,FALSE))</f>
        <v>4.2303877490000001</v>
      </c>
      <c r="AE259">
        <f ca="1">IF(AND(ISNUMBER($AE$705),$B$419=1),$AE$705,HLOOKUP(INDIRECT(ADDRESS(2,COLUMN())),OFFSET($BN$2,0,0,ROW()-1,60),ROW()-1,FALSE))</f>
        <v>4.0629838090000003</v>
      </c>
      <c r="AF259">
        <f ca="1">IF(AND(ISNUMBER($AF$705),$B$419=1),$AF$705,HLOOKUP(INDIRECT(ADDRESS(2,COLUMN())),OFFSET($BN$2,0,0,ROW()-1,60),ROW()-1,FALSE))</f>
        <v>3.623210619</v>
      </c>
      <c r="AG259">
        <f ca="1">IF(AND(ISNUMBER($AG$705),$B$419=1),$AG$705,HLOOKUP(INDIRECT(ADDRESS(2,COLUMN())),OFFSET($BN$2,0,0,ROW()-1,60),ROW()-1,FALSE))</f>
        <v>4.0182908790000003</v>
      </c>
      <c r="AH259">
        <f ca="1">IF(AND(ISNUMBER($AH$705),$B$419=1),$AH$705,HLOOKUP(INDIRECT(ADDRESS(2,COLUMN())),OFFSET($BN$2,0,0,ROW()-1,60),ROW()-1,FALSE))</f>
        <v>3.9645724250000001</v>
      </c>
      <c r="AI259">
        <f ca="1">IF(AND(ISNUMBER($AI$705),$B$419=1),$AI$705,HLOOKUP(INDIRECT(ADDRESS(2,COLUMN())),OFFSET($BN$2,0,0,ROW()-1,60),ROW()-1,FALSE))</f>
        <v>3.898674046</v>
      </c>
      <c r="AJ259">
        <f ca="1">IF(AND(ISNUMBER($AJ$705),$B$419=1),$AJ$705,HLOOKUP(INDIRECT(ADDRESS(2,COLUMN())),OFFSET($BN$2,0,0,ROW()-1,60),ROW()-1,FALSE))</f>
        <v>4.1150317899999997</v>
      </c>
      <c r="AK259">
        <f ca="1">IF(AND(ISNUMBER($AK$705),$B$419=1),$AK$705,HLOOKUP(INDIRECT(ADDRESS(2,COLUMN())),OFFSET($BN$2,0,0,ROW()-1,60),ROW()-1,FALSE))</f>
        <v>3.6687987230000001</v>
      </c>
      <c r="AL259">
        <f ca="1">IF(AND(ISNUMBER($AL$705),$B$419=1),$AL$705,HLOOKUP(INDIRECT(ADDRESS(2,COLUMN())),OFFSET($BN$2,0,0,ROW()-1,60),ROW()-1,FALSE))</f>
        <v>4.3994316270000002</v>
      </c>
      <c r="AM259">
        <f ca="1">IF(AND(ISNUMBER($AM$705),$B$419=1),$AM$705,HLOOKUP(INDIRECT(ADDRESS(2,COLUMN())),OFFSET($BN$2,0,0,ROW()-1,60),ROW()-1,FALSE))</f>
        <v>4.7707363110000003</v>
      </c>
      <c r="AN259">
        <f ca="1">IF(AND(ISNUMBER($AN$705),$B$419=1),$AN$705,HLOOKUP(INDIRECT(ADDRESS(2,COLUMN())),OFFSET($BN$2,0,0,ROW()-1,60),ROW()-1,FALSE))</f>
        <v>3.8342678669999999</v>
      </c>
      <c r="AO259">
        <f ca="1">IF(AND(ISNUMBER($AO$705),$B$419=1),$AO$705,HLOOKUP(INDIRECT(ADDRESS(2,COLUMN())),OFFSET($BN$2,0,0,ROW()-1,60),ROW()-1,FALSE))</f>
        <v>4.4249175010000004</v>
      </c>
      <c r="AP259">
        <f ca="1">IF(AND(ISNUMBER($AP$705),$B$419=1),$AP$705,HLOOKUP(INDIRECT(ADDRESS(2,COLUMN())),OFFSET($BN$2,0,0,ROW()-1,60),ROW()-1,FALSE))</f>
        <v>4.3888906959999998</v>
      </c>
      <c r="AQ259">
        <f ca="1">IF(AND(ISNUMBER($AQ$705),$B$419=1),$AQ$705,HLOOKUP(INDIRECT(ADDRESS(2,COLUMN())),OFFSET($BN$2,0,0,ROW()-1,60),ROW()-1,FALSE))</f>
        <v>4.3359855009999997</v>
      </c>
      <c r="AR259">
        <f ca="1">IF(AND(ISNUMBER($AR$705),$B$419=1),$AR$705,HLOOKUP(INDIRECT(ADDRESS(2,COLUMN())),OFFSET($BN$2,0,0,ROW()-1,60),ROW()-1,FALSE))</f>
        <v>5.5849459860000001</v>
      </c>
      <c r="AS259">
        <f ca="1">IF(AND(ISNUMBER($AS$705),$B$419=1),$AS$705,HLOOKUP(INDIRECT(ADDRESS(2,COLUMN())),OFFSET($BN$2,0,0,ROW()-1,60),ROW()-1,FALSE))</f>
        <v>6.0581428429999997</v>
      </c>
      <c r="AT259">
        <f ca="1">IF(AND(ISNUMBER($AT$705),$B$419=1),$AT$705,HLOOKUP(INDIRECT(ADDRESS(2,COLUMN())),OFFSET($BN$2,0,0,ROW()-1,60),ROW()-1,FALSE))</f>
        <v>6.1215115920000001</v>
      </c>
      <c r="AU259">
        <f ca="1">IF(AND(ISNUMBER($AU$705),$B$419=1),$AU$705,HLOOKUP(INDIRECT(ADDRESS(2,COLUMN())),OFFSET($BN$2,0,0,ROW()-1,60),ROW()-1,FALSE))</f>
        <v>6.3824028500000001</v>
      </c>
      <c r="AV259">
        <f ca="1">IF(AND(ISNUMBER($AV$705),$B$419=1),$AV$705,HLOOKUP(INDIRECT(ADDRESS(2,COLUMN())),OFFSET($BN$2,0,0,ROW()-1,60),ROW()-1,FALSE))</f>
        <v>6.4540586129999999</v>
      </c>
      <c r="AW259">
        <f ca="1">IF(AND(ISNUMBER($AW$705),$B$419=1),$AW$705,HLOOKUP(INDIRECT(ADDRESS(2,COLUMN())),OFFSET($BN$2,0,0,ROW()-1,60),ROW()-1,FALSE))</f>
        <v>6.82632701</v>
      </c>
      <c r="AX259">
        <f ca="1">IF(AND(ISNUMBER($AX$705),$B$419=1),$AX$705,HLOOKUP(INDIRECT(ADDRESS(2,COLUMN())),OFFSET($BN$2,0,0,ROW()-1,60),ROW()-1,FALSE))</f>
        <v>6.7597928219999996</v>
      </c>
      <c r="AY259">
        <f ca="1">IF(AND(ISNUMBER($AY$705),$B$419=1),$AY$705,HLOOKUP(INDIRECT(ADDRESS(2,COLUMN())),OFFSET($BN$2,0,0,ROW()-1,60),ROW()-1,FALSE))</f>
        <v>7.0039300280000001</v>
      </c>
      <c r="AZ259">
        <f ca="1">IF(AND(ISNUMBER($AZ$705),$B$419=1),$AZ$705,HLOOKUP(INDIRECT(ADDRESS(2,COLUMN())),OFFSET($BN$2,0,0,ROW()-1,60),ROW()-1,FALSE))</f>
        <v>7.109171409</v>
      </c>
      <c r="BA259">
        <f ca="1">IF(AND(ISNUMBER($BA$705),$B$419=1),$BA$705,HLOOKUP(INDIRECT(ADDRESS(2,COLUMN())),OFFSET($BN$2,0,0,ROW()-1,60),ROW()-1,FALSE))</f>
        <v>3.7054031749999998</v>
      </c>
      <c r="BB259">
        <f ca="1">IF(AND(ISNUMBER($BB$705),$B$419=1),$BB$705,HLOOKUP(INDIRECT(ADDRESS(2,COLUMN())),OFFSET($BN$2,0,0,ROW()-1,60),ROW()-1,FALSE))</f>
        <v>3.8318541590000001</v>
      </c>
      <c r="BC259">
        <f ca="1">IF(AND(ISNUMBER($BC$705),$B$419=1),$BC$705,HLOOKUP(INDIRECT(ADDRESS(2,COLUMN())),OFFSET($BN$2,0,0,ROW()-1,60),ROW()-1,FALSE))</f>
        <v>3.6941122640000001</v>
      </c>
      <c r="BD259">
        <f ca="1">IF(AND(ISNUMBER($BD$705),$B$419=1),$BD$705,HLOOKUP(INDIRECT(ADDRESS(2,COLUMN())),OFFSET($BN$2,0,0,ROW()-1,60),ROW()-1,FALSE))</f>
        <v>3.76710886</v>
      </c>
      <c r="BE259">
        <f ca="1">IF(AND(ISNUMBER($BE$705),$B$419=1),$BE$705,HLOOKUP(INDIRECT(ADDRESS(2,COLUMN())),OFFSET($BN$2,0,0,ROW()-1,60),ROW()-1,FALSE))</f>
        <v>4.2875649960000004</v>
      </c>
      <c r="BF259">
        <f ca="1">IF(AND(ISNUMBER($BF$705),$B$419=1),$BF$705,HLOOKUP(INDIRECT(ADDRESS(2,COLUMN())),OFFSET($BN$2,0,0,ROW()-1,60),ROW()-1,FALSE))</f>
        <v>4.0676901990000003</v>
      </c>
      <c r="BG259">
        <f ca="1">IF(AND(ISNUMBER($BG$705),$B$419=1),$BG$705,HLOOKUP(INDIRECT(ADDRESS(2,COLUMN())),OFFSET($BN$2,0,0,ROW()-1,60),ROW()-1,FALSE))</f>
        <v>3.995607175</v>
      </c>
      <c r="BH259">
        <f ca="1">IF(AND(ISNUMBER($BH$705),$B$419=1),$BH$705,HLOOKUP(INDIRECT(ADDRESS(2,COLUMN())),OFFSET($BN$2,0,0,ROW()-1,60),ROW()-1,FALSE))</f>
        <v>3.6678173109999999</v>
      </c>
      <c r="BI259">
        <f ca="1">IF(AND(ISNUMBER($BI$705),$B$419=1),$BI$705,HLOOKUP(INDIRECT(ADDRESS(2,COLUMN())),OFFSET($BN$2,0,0,ROW()-1,60),ROW()-1,FALSE))</f>
        <v>7.2144773659999997</v>
      </c>
      <c r="BJ259">
        <f ca="1">IF(AND(ISNUMBER($BJ$705),$B$419=1),$BJ$705,HLOOKUP(INDIRECT(ADDRESS(2,COLUMN())),OFFSET($BN$2,0,0,ROW()-1,60),ROW()-1,FALSE))</f>
        <v>7.2478204450000003</v>
      </c>
      <c r="BK259">
        <f ca="1">IF(AND(ISNUMBER($BK$705),$B$419=1),$BK$705,HLOOKUP(INDIRECT(ADDRESS(2,COLUMN())),OFFSET($BN$2,0,0,ROW()-1,60),ROW()-1,FALSE))</f>
        <v>7.3274911969999996</v>
      </c>
      <c r="BL259">
        <f ca="1">IF(AND(ISNUMBER($BL$705),$B$419=1),$BL$705,HLOOKUP(INDIRECT(ADDRESS(2,COLUMN())),OFFSET($BN$2,0,0,ROW()-1,60),ROW()-1,FALSE))</f>
        <v>7.5753327449999999</v>
      </c>
      <c r="BM259">
        <f ca="1">IF(AND(ISNUMBER($BM$705),$B$419=1),$BM$705,HLOOKUP(INDIRECT(ADDRESS(2,COLUMN())),OFFSET($BN$2,0,0,ROW()-1,60),ROW()-1,FALSE))</f>
        <v>7.7433419810000004</v>
      </c>
      <c r="BN259" t="str">
        <f>""</f>
        <v/>
      </c>
      <c r="BO259">
        <f>8.160579865</f>
        <v>8.1605798650000008</v>
      </c>
      <c r="BP259">
        <f>8.154168889</f>
        <v>8.1541688889999993</v>
      </c>
      <c r="BQ259">
        <f>8.21131006</f>
        <v>8.2113100600000006</v>
      </c>
      <c r="BR259">
        <f>8.198285168</f>
        <v>8.198285168</v>
      </c>
      <c r="BS259">
        <f>7.967775296</f>
        <v>7.9677752960000001</v>
      </c>
      <c r="BT259">
        <f>7.806158342</f>
        <v>7.8061583419999998</v>
      </c>
      <c r="BU259">
        <f>8.036174698</f>
        <v>8.0361746979999999</v>
      </c>
      <c r="BV259">
        <f>7.69696759</f>
        <v>7.6969675899999999</v>
      </c>
      <c r="BW259">
        <f>7.622878747</f>
        <v>7.6228787469999997</v>
      </c>
      <c r="BX259">
        <f>7.307935443</f>
        <v>7.3079354429999999</v>
      </c>
      <c r="BY259">
        <f>7.180259354</f>
        <v>7.1802593540000004</v>
      </c>
      <c r="BZ259">
        <f>7.427318262</f>
        <v>7.427318262</v>
      </c>
      <c r="CA259">
        <f>7.37249517</f>
        <v>7.3724951699999997</v>
      </c>
      <c r="CB259">
        <f>7.00895562</f>
        <v>7.0089556200000001</v>
      </c>
      <c r="CC259">
        <f>6.774785006</f>
        <v>6.7747850060000001</v>
      </c>
      <c r="CD259">
        <f>6.176639262</f>
        <v>6.1766392620000001</v>
      </c>
      <c r="CE259">
        <f>6.079520033</f>
        <v>6.0795200329999997</v>
      </c>
      <c r="CF259">
        <f>6.14504754</f>
        <v>6.1450475400000002</v>
      </c>
      <c r="CG259">
        <f>5.951883371</f>
        <v>5.9518833710000001</v>
      </c>
      <c r="CH259">
        <f>5.933551109</f>
        <v>5.9335511089999997</v>
      </c>
      <c r="CI259">
        <f>5.61236301</f>
        <v>5.6123630100000002</v>
      </c>
      <c r="CJ259">
        <f>5.532092119</f>
        <v>5.5320921189999996</v>
      </c>
      <c r="CK259">
        <f>4.906713579</f>
        <v>4.9067135789999998</v>
      </c>
      <c r="CL259">
        <f>4.230387749</f>
        <v>4.2303877490000001</v>
      </c>
      <c r="CM259">
        <f>4.062983809</f>
        <v>4.0629838090000003</v>
      </c>
      <c r="CN259">
        <f>3.623210619</f>
        <v>3.623210619</v>
      </c>
      <c r="CO259">
        <f>4.018290879</f>
        <v>4.0182908790000003</v>
      </c>
      <c r="CP259">
        <f>3.964572425</f>
        <v>3.9645724250000001</v>
      </c>
      <c r="CQ259">
        <f>3.898674046</f>
        <v>3.898674046</v>
      </c>
      <c r="CR259">
        <f>4.11503179</f>
        <v>4.1150317899999997</v>
      </c>
      <c r="CS259">
        <f>3.668798723</f>
        <v>3.6687987230000001</v>
      </c>
      <c r="CT259">
        <f>4.399431627</f>
        <v>4.3994316270000002</v>
      </c>
      <c r="CU259">
        <f>4.770736311</f>
        <v>4.7707363110000003</v>
      </c>
      <c r="CV259">
        <f>3.834267867</f>
        <v>3.8342678669999999</v>
      </c>
      <c r="CW259">
        <f>4.424917501</f>
        <v>4.4249175010000004</v>
      </c>
      <c r="CX259">
        <f>4.388890696</f>
        <v>4.3888906959999998</v>
      </c>
      <c r="CY259">
        <f>4.335985501</f>
        <v>4.3359855009999997</v>
      </c>
      <c r="CZ259">
        <f>5.584945986</f>
        <v>5.5849459860000001</v>
      </c>
      <c r="DA259">
        <f>6.058142843</f>
        <v>6.0581428429999997</v>
      </c>
      <c r="DB259">
        <f>6.121511592</f>
        <v>6.1215115920000001</v>
      </c>
      <c r="DC259">
        <f>6.38240285</f>
        <v>6.3824028500000001</v>
      </c>
      <c r="DD259">
        <f>6.454058613</f>
        <v>6.4540586129999999</v>
      </c>
      <c r="DE259">
        <f>6.82632701</f>
        <v>6.82632701</v>
      </c>
      <c r="DF259">
        <f>6.759792822</f>
        <v>6.7597928219999996</v>
      </c>
      <c r="DG259">
        <f>7.003930028</f>
        <v>7.0039300280000001</v>
      </c>
      <c r="DH259">
        <f>7.109171409</f>
        <v>7.109171409</v>
      </c>
      <c r="DI259">
        <f>3.705403175</f>
        <v>3.7054031749999998</v>
      </c>
      <c r="DJ259">
        <f>3.831854159</f>
        <v>3.8318541590000001</v>
      </c>
      <c r="DK259">
        <f>3.694112264</f>
        <v>3.6941122640000001</v>
      </c>
      <c r="DL259">
        <f>3.76710886</f>
        <v>3.76710886</v>
      </c>
      <c r="DM259">
        <f>4.287564996</f>
        <v>4.2875649960000004</v>
      </c>
      <c r="DN259">
        <f>4.067690199</f>
        <v>4.0676901990000003</v>
      </c>
      <c r="DO259">
        <f>3.995607175</f>
        <v>3.995607175</v>
      </c>
      <c r="DP259">
        <f>3.667817311</f>
        <v>3.6678173109999999</v>
      </c>
      <c r="DQ259">
        <f>7.214477366</f>
        <v>7.2144773659999997</v>
      </c>
      <c r="DR259">
        <f>7.247820445</f>
        <v>7.2478204450000003</v>
      </c>
      <c r="DS259">
        <f>7.327491197</f>
        <v>7.3274911969999996</v>
      </c>
      <c r="DT259">
        <f>7.575332745</f>
        <v>7.5753327449999999</v>
      </c>
      <c r="DU259">
        <f>7.743341981</f>
        <v>7.7433419810000004</v>
      </c>
    </row>
    <row r="260" spans="1:125">
      <c r="A260" t="str">
        <f>"债务/EBITDA"</f>
        <v>债务/EBITDA</v>
      </c>
      <c r="B260" t="str">
        <f>""</f>
        <v/>
      </c>
      <c r="E260" t="str">
        <f>"Median"</f>
        <v>Median</v>
      </c>
      <c r="F260" t="str">
        <f ca="1">IF(ISERROR(IF(MEDIAN($F$261:$F$275) = 0, "", MEDIAN($F$261:$F$275))), "", (IF(MEDIAN($F$261:$F$275) = 0, "", MEDIAN($F$261:$F$275))))</f>
        <v/>
      </c>
      <c r="G260">
        <f ca="1">IF(ISERROR(IF(MEDIAN($G$261:$G$275) = 0, "", MEDIAN($G$261:$G$275))), "", (IF(MEDIAN($G$261:$G$275) = 0, "", MEDIAN($G$261:$G$275))))</f>
        <v>6.2623278940000002</v>
      </c>
      <c r="H260">
        <f ca="1">IF(ISERROR(IF(MEDIAN($H$261:$H$275) = 0, "", MEDIAN($H$261:$H$275))), "", (IF(MEDIAN($H$261:$H$275) = 0, "", MEDIAN($H$261:$H$275))))</f>
        <v>6.4828011969999997</v>
      </c>
      <c r="I260">
        <f ca="1">IF(ISERROR(IF(MEDIAN($I$261:$I$275) = 0, "", MEDIAN($I$261:$I$275))), "", (IF(MEDIAN($I$261:$I$275) = 0, "", MEDIAN($I$261:$I$275))))</f>
        <v>6.444705065</v>
      </c>
      <c r="J260">
        <f ca="1">IF(ISERROR(IF(MEDIAN($J$261:$J$275) = 0, "", MEDIAN($J$261:$J$275))), "", (IF(MEDIAN($J$261:$J$275) = 0, "", MEDIAN($J$261:$J$275))))</f>
        <v>6.7497131269999997</v>
      </c>
      <c r="K260">
        <f ca="1">IF(ISERROR(IF(MEDIAN($K$261:$K$275) = 0, "", MEDIAN($K$261:$K$275))), "", (IF(MEDIAN($K$261:$K$275) = 0, "", MEDIAN($K$261:$K$275))))</f>
        <v>6.6013255720000004</v>
      </c>
      <c r="L260">
        <f ca="1">IF(ISERROR(IF(MEDIAN($L$261:$L$275) = 0, "", MEDIAN($L$261:$L$275))), "", (IF(MEDIAN($L$261:$L$275) = 0, "", MEDIAN($L$261:$L$275))))</f>
        <v>6.706467935</v>
      </c>
      <c r="M260">
        <f ca="1">IF(ISERROR(IF(MEDIAN($M$261:$M$275) = 0, "", MEDIAN($M$261:$M$275))), "", (IF(MEDIAN($M$261:$M$275) = 0, "", MEDIAN($M$261:$M$275))))</f>
        <v>6.4466887389999998</v>
      </c>
      <c r="N260">
        <f ca="1">IF(ISERROR(IF(MEDIAN($N$261:$N$275) = 0, "", MEDIAN($N$261:$N$275))), "", (IF(MEDIAN($N$261:$N$275) = 0, "", MEDIAN($N$261:$N$275))))</f>
        <v>6.5138678140000001</v>
      </c>
      <c r="O260">
        <f ca="1">IF(ISERROR(IF(MEDIAN($O$261:$O$275) = 0, "", MEDIAN($O$261:$O$275))), "", (IF(MEDIAN($O$261:$O$275) = 0, "", MEDIAN($O$261:$O$275))))</f>
        <v>6.3915900969999999</v>
      </c>
      <c r="P260">
        <f ca="1">IF(ISERROR(IF(MEDIAN($P$261:$P$275) = 0, "", MEDIAN($P$261:$P$275))), "", (IF(MEDIAN($P$261:$P$275) = 0, "", MEDIAN($P$261:$P$275))))</f>
        <v>6.4372819120000004</v>
      </c>
      <c r="Q260">
        <f ca="1">IF(ISERROR(IF(MEDIAN($Q$261:$Q$275) = 0, "", MEDIAN($Q$261:$Q$275))), "", (IF(MEDIAN($Q$261:$Q$275) = 0, "", MEDIAN($Q$261:$Q$275))))</f>
        <v>7.152979073</v>
      </c>
      <c r="R260">
        <f ca="1">IF(ISERROR(IF(MEDIAN($R$261:$R$275) = 0, "", MEDIAN($R$261:$R$275))), "", (IF(MEDIAN($R$261:$R$275) = 0, "", MEDIAN($R$261:$R$275))))</f>
        <v>6.8418067589999998</v>
      </c>
      <c r="S260">
        <f ca="1">IF(ISERROR(IF(MEDIAN($S$261:$S$275) = 0, "", MEDIAN($S$261:$S$275))), "", (IF(MEDIAN($S$261:$S$275) = 0, "", MEDIAN($S$261:$S$275))))</f>
        <v>6.2454007630000001</v>
      </c>
      <c r="T260">
        <f ca="1">IF(ISERROR(IF(MEDIAN($T$261:$T$275) = 0, "", MEDIAN($T$261:$T$275))), "", (IF(MEDIAN($T$261:$T$275) = 0, "", MEDIAN($T$261:$T$275))))</f>
        <v>6.6203737645</v>
      </c>
      <c r="U260">
        <f ca="1">IF(ISERROR(IF(MEDIAN($U$261:$U$275) = 0, "", MEDIAN($U$261:$U$275))), "", (IF(MEDIAN($U$261:$U$275) = 0, "", MEDIAN($U$261:$U$275))))</f>
        <v>7.1756739325000005</v>
      </c>
      <c r="V260">
        <f ca="1">IF(ISERROR(IF(MEDIAN($V$261:$V$275) = 0, "", MEDIAN($V$261:$V$275))), "", (IF(MEDIAN($V$261:$V$275) = 0, "", MEDIAN($V$261:$V$275))))</f>
        <v>6.9452903644999999</v>
      </c>
      <c r="W260">
        <f ca="1">IF(ISERROR(IF(MEDIAN($W$261:$W$275) = 0, "", MEDIAN($W$261:$W$275))), "", (IF(MEDIAN($W$261:$W$275) = 0, "", MEDIAN($W$261:$W$275))))</f>
        <v>7.2428503490000002</v>
      </c>
      <c r="X260">
        <f ca="1">IF(ISERROR(IF(MEDIAN($X$261:$X$275) = 0, "", MEDIAN($X$261:$X$275))), "", (IF(MEDIAN($X$261:$X$275) = 0, "", MEDIAN($X$261:$X$275))))</f>
        <v>7.2528131990000002</v>
      </c>
      <c r="Y260">
        <f ca="1">IF(ISERROR(IF(MEDIAN($Y$261:$Y$275) = 0, "", MEDIAN($Y$261:$Y$275))), "", (IF(MEDIAN($Y$261:$Y$275) = 0, "", MEDIAN($Y$261:$Y$275))))</f>
        <v>7.2539789900000002</v>
      </c>
      <c r="Z260">
        <f ca="1">IF(ISERROR(IF(MEDIAN($Z$261:$Z$275) = 0, "", MEDIAN($Z$261:$Z$275))), "", (IF(MEDIAN($Z$261:$Z$275) = 0, "", MEDIAN($Z$261:$Z$275))))</f>
        <v>6.9234933270000001</v>
      </c>
      <c r="AA260">
        <f ca="1">IF(ISERROR(IF(MEDIAN($AA$261:$AA$275) = 0, "", MEDIAN($AA$261:$AA$275))), "", (IF(MEDIAN($AA$261:$AA$275) = 0, "", MEDIAN($AA$261:$AA$275))))</f>
        <v>7.1215177384999997</v>
      </c>
      <c r="AB260">
        <f ca="1">IF(ISERROR(IF(MEDIAN($AB$261:$AB$275) = 0, "", MEDIAN($AB$261:$AB$275))), "", (IF(MEDIAN($AB$261:$AB$275) = 0, "", MEDIAN($AB$261:$AB$275))))</f>
        <v>6.7541839890000004</v>
      </c>
      <c r="AC260">
        <f ca="1">IF(ISERROR(IF(MEDIAN($AC$261:$AC$275) = 0, "", MEDIAN($AC$261:$AC$275))), "", (IF(MEDIAN($AC$261:$AC$275) = 0, "", MEDIAN($AC$261:$AC$275))))</f>
        <v>6.9143890880000001</v>
      </c>
      <c r="AD260">
        <f ca="1">IF(ISERROR(IF(MEDIAN($AD$261:$AD$275) = 0, "", MEDIAN($AD$261:$AD$275))), "", (IF(MEDIAN($AD$261:$AD$275) = 0, "", MEDIAN($AD$261:$AD$275))))</f>
        <v>6.8696780010000005</v>
      </c>
      <c r="AE260">
        <f ca="1">IF(ISERROR(IF(MEDIAN($AE$261:$AE$275) = 0, "", MEDIAN($AE$261:$AE$275))), "", (IF(MEDIAN($AE$261:$AE$275) = 0, "", MEDIAN($AE$261:$AE$275))))</f>
        <v>6.4813449654999999</v>
      </c>
      <c r="AF260">
        <f ca="1">IF(ISERROR(IF(MEDIAN($AF$261:$AF$275) = 0, "", MEDIAN($AF$261:$AF$275))), "", (IF(MEDIAN($AF$261:$AF$275) = 0, "", MEDIAN($AF$261:$AF$275))))</f>
        <v>7.2663790795000001</v>
      </c>
      <c r="AG260">
        <f ca="1">IF(ISERROR(IF(MEDIAN($AG$261:$AG$275) = 0, "", MEDIAN($AG$261:$AG$275))), "", (IF(MEDIAN($AG$261:$AG$275) = 0, "", MEDIAN($AG$261:$AG$275))))</f>
        <v>6.3945082835000004</v>
      </c>
      <c r="AH260">
        <f ca="1">IF(ISERROR(IF(MEDIAN($AH$261:$AH$275) = 0, "", MEDIAN($AH$261:$AH$275))), "", (IF(MEDIAN($AH$261:$AH$275) = 0, "", MEDIAN($AH$261:$AH$275))))</f>
        <v>6.5430295750000003</v>
      </c>
      <c r="AI260">
        <f ca="1">IF(ISERROR(IF(MEDIAN($AI$261:$AI$275) = 0, "", MEDIAN($AI$261:$AI$275))), "", (IF(MEDIAN($AI$261:$AI$275) = 0, "", MEDIAN($AI$261:$AI$275))))</f>
        <v>6.2008347150000001</v>
      </c>
      <c r="AJ260">
        <f ca="1">IF(ISERROR(IF(MEDIAN($AJ$261:$AJ$275) = 0, "", MEDIAN($AJ$261:$AJ$275))), "", (IF(MEDIAN($AJ$261:$AJ$275) = 0, "", MEDIAN($AJ$261:$AJ$275))))</f>
        <v>6.7071443559999997</v>
      </c>
      <c r="AK260">
        <f ca="1">IF(ISERROR(IF(MEDIAN($AK$261:$AK$275) = 0, "", MEDIAN($AK$261:$AK$275))), "", (IF(MEDIAN($AK$261:$AK$275) = 0, "", MEDIAN($AK$261:$AK$275))))</f>
        <v>6.5649853939999998</v>
      </c>
      <c r="AL260">
        <f ca="1">IF(ISERROR(IF(MEDIAN($AL$261:$AL$275) = 0, "", MEDIAN($AL$261:$AL$275))), "", (IF(MEDIAN($AL$261:$AL$275) = 0, "", MEDIAN($AL$261:$AL$275))))</f>
        <v>6.7908749005000004</v>
      </c>
      <c r="AM260">
        <f ca="1">IF(ISERROR(IF(MEDIAN($AM$261:$AM$275) = 0, "", MEDIAN($AM$261:$AM$275))), "", (IF(MEDIAN($AM$261:$AM$275) = 0, "", MEDIAN($AM$261:$AM$275))))</f>
        <v>6.8606909749999998</v>
      </c>
      <c r="AN260">
        <f ca="1">IF(ISERROR(IF(MEDIAN($AN$261:$AN$275) = 0, "", MEDIAN($AN$261:$AN$275))), "", (IF(MEDIAN($AN$261:$AN$275) = 0, "", MEDIAN($AN$261:$AN$275))))</f>
        <v>6.7595322810000003</v>
      </c>
      <c r="AO260">
        <f ca="1">IF(ISERROR(IF(MEDIAN($AO$261:$AO$275) = 0, "", MEDIAN($AO$261:$AO$275))), "", (IF(MEDIAN($AO$261:$AO$275) = 0, "", MEDIAN($AO$261:$AO$275))))</f>
        <v>6.7639634184999995</v>
      </c>
      <c r="AP260">
        <f ca="1">IF(ISERROR(IF(MEDIAN($AP$261:$AP$275) = 0, "", MEDIAN($AP$261:$AP$275))), "", (IF(MEDIAN($AP$261:$AP$275) = 0, "", MEDIAN($AP$261:$AP$275))))</f>
        <v>6.8620481840000007</v>
      </c>
      <c r="AQ260">
        <f ca="1">IF(ISERROR(IF(MEDIAN($AQ$261:$AQ$275) = 0, "", MEDIAN($AQ$261:$AQ$275))), "", (IF(MEDIAN($AQ$261:$AQ$275) = 0, "", MEDIAN($AQ$261:$AQ$275))))</f>
        <v>6.8560936205000003</v>
      </c>
      <c r="AR260">
        <f ca="1">IF(ISERROR(IF(MEDIAN($AR$261:$AR$275) = 0, "", MEDIAN($AR$261:$AR$275))), "", (IF(MEDIAN($AR$261:$AR$275) = 0, "", MEDIAN($AR$261:$AR$275))))</f>
        <v>7.092574892</v>
      </c>
      <c r="AS260">
        <f ca="1">IF(ISERROR(IF(MEDIAN($AS$261:$AS$275) = 0, "", MEDIAN($AS$261:$AS$275))), "", (IF(MEDIAN($AS$261:$AS$275) = 0, "", MEDIAN($AS$261:$AS$275))))</f>
        <v>7.1351012840000001</v>
      </c>
      <c r="AT260">
        <f ca="1">IF(ISERROR(IF(MEDIAN($AT$261:$AT$275) = 0, "", MEDIAN($AT$261:$AT$275))), "", (IF(MEDIAN($AT$261:$AT$275) = 0, "", MEDIAN($AT$261:$AT$275))))</f>
        <v>7.2913141110000002</v>
      </c>
      <c r="AU260">
        <f ca="1">IF(ISERROR(IF(MEDIAN($AU$261:$AU$275) = 0, "", MEDIAN($AU$261:$AU$275))), "", (IF(MEDIAN($AU$261:$AU$275) = 0, "", MEDIAN($AU$261:$AU$275))))</f>
        <v>7.1140458100000004</v>
      </c>
      <c r="AV260">
        <f ca="1">IF(ISERROR(IF(MEDIAN($AV$261:$AV$275) = 0, "", MEDIAN($AV$261:$AV$275))), "", (IF(MEDIAN($AV$261:$AV$275) = 0, "", MEDIAN($AV$261:$AV$275))))</f>
        <v>7.1578464190000002</v>
      </c>
      <c r="AW260">
        <f ca="1">IF(ISERROR(IF(MEDIAN($AW$261:$AW$275) = 0, "", MEDIAN($AW$261:$AW$275))), "", (IF(MEDIAN($AW$261:$AW$275) = 0, "", MEDIAN($AW$261:$AW$275))))</f>
        <v>7.0133852650000001</v>
      </c>
      <c r="AX260">
        <f ca="1">IF(ISERROR(IF(MEDIAN($AX$261:$AX$275) = 0, "", MEDIAN($AX$261:$AX$275))), "", (IF(MEDIAN($AX$261:$AX$275) = 0, "", MEDIAN($AX$261:$AX$275))))</f>
        <v>6.2566551830000003</v>
      </c>
      <c r="AY260">
        <f ca="1">IF(ISERROR(IF(MEDIAN($AY$261:$AY$275) = 0, "", MEDIAN($AY$261:$AY$275))), "", (IF(MEDIAN($AY$261:$AY$275) = 0, "", MEDIAN($AY$261:$AY$275))))</f>
        <v>6.6763824119999997</v>
      </c>
      <c r="AZ260">
        <f ca="1">IF(ISERROR(IF(MEDIAN($AZ$261:$AZ$275) = 0, "", MEDIAN($AZ$261:$AZ$275))), "", (IF(MEDIAN($AZ$261:$AZ$275) = 0, "", MEDIAN($AZ$261:$AZ$275))))</f>
        <v>6.7981014689999997</v>
      </c>
      <c r="BA260">
        <f ca="1">IF(ISERROR(IF(MEDIAN($BA$261:$BA$275) = 0, "", MEDIAN($BA$261:$BA$275))), "", (IF(MEDIAN($BA$261:$BA$275) = 0, "", MEDIAN($BA$261:$BA$275))))</f>
        <v>6.3447142950000002</v>
      </c>
      <c r="BB260">
        <f ca="1">IF(ISERROR(IF(MEDIAN($BB$261:$BB$275) = 0, "", MEDIAN($BB$261:$BB$275))), "", (IF(MEDIAN($BB$261:$BB$275) = 0, "", MEDIAN($BB$261:$BB$275))))</f>
        <v>6.2618814279999997</v>
      </c>
      <c r="BC260">
        <f ca="1">IF(ISERROR(IF(MEDIAN($BC$261:$BC$275) = 0, "", MEDIAN($BC$261:$BC$275))), "", (IF(MEDIAN($BC$261:$BC$275) = 0, "", MEDIAN($BC$261:$BC$275))))</f>
        <v>6.1867436400000004</v>
      </c>
      <c r="BD260">
        <f ca="1">IF(ISERROR(IF(MEDIAN($BD$261:$BD$275) = 0, "", MEDIAN($BD$261:$BD$275))), "", (IF(MEDIAN($BD$261:$BD$275) = 0, "", MEDIAN($BD$261:$BD$275))))</f>
        <v>5.9844567040000003</v>
      </c>
      <c r="BE260">
        <f ca="1">IF(ISERROR(IF(MEDIAN($BE$261:$BE$275) = 0, "", MEDIAN($BE$261:$BE$275))), "", (IF(MEDIAN($BE$261:$BE$275) = 0, "", MEDIAN($BE$261:$BE$275))))</f>
        <v>6.0029182959999998</v>
      </c>
      <c r="BF260">
        <f ca="1">IF(ISERROR(IF(MEDIAN($BF$261:$BF$275) = 0, "", MEDIAN($BF$261:$BF$275))), "", (IF(MEDIAN($BF$261:$BF$275) = 0, "", MEDIAN($BF$261:$BF$275))))</f>
        <v>5.6919048999999999</v>
      </c>
      <c r="BG260">
        <f ca="1">IF(ISERROR(IF(MEDIAN($BG$261:$BG$275) = 0, "", MEDIAN($BG$261:$BG$275))), "", (IF(MEDIAN($BG$261:$BG$275) = 0, "", MEDIAN($BG$261:$BG$275))))</f>
        <v>5.7610800360000001</v>
      </c>
      <c r="BH260">
        <f ca="1">IF(ISERROR(IF(MEDIAN($BH$261:$BH$275) = 0, "", MEDIAN($BH$261:$BH$275))), "", (IF(MEDIAN($BH$261:$BH$275) = 0, "", MEDIAN($BH$261:$BH$275))))</f>
        <v>6.1033913549999994</v>
      </c>
      <c r="BI260">
        <f ca="1">IF(ISERROR(IF(MEDIAN($BI$261:$BI$275) = 0, "", MEDIAN($BI$261:$BI$275))), "", (IF(MEDIAN($BI$261:$BI$275) = 0, "", MEDIAN($BI$261:$BI$275))))</f>
        <v>6.2304148274999998</v>
      </c>
      <c r="BJ260">
        <f ca="1">IF(ISERROR(IF(MEDIAN($BJ$261:$BJ$275) = 0, "", MEDIAN($BJ$261:$BJ$275))), "", (IF(MEDIAN($BJ$261:$BJ$275) = 0, "", MEDIAN($BJ$261:$BJ$275))))</f>
        <v>6.1769181670000002</v>
      </c>
      <c r="BK260">
        <f ca="1">IF(ISERROR(IF(MEDIAN($BK$261:$BK$275) = 0, "", MEDIAN($BK$261:$BK$275))), "", (IF(MEDIAN($BK$261:$BK$275) = 0, "", MEDIAN($BK$261:$BK$275))))</f>
        <v>6.1410875689999997</v>
      </c>
      <c r="BL260">
        <f ca="1">IF(ISERROR(IF(MEDIAN($BL$261:$BL$275) = 0, "", MEDIAN($BL$261:$BL$275))), "", (IF(MEDIAN($BL$261:$BL$275) = 0, "", MEDIAN($BL$261:$BL$275))))</f>
        <v>5.8981202044999996</v>
      </c>
      <c r="BM260">
        <f ca="1">IF(ISERROR(IF(MEDIAN($BM$261:$BM$275) = 0, "", MEDIAN($BM$261:$BM$275))), "", (IF(MEDIAN($BM$261:$BM$275) = 0, "", MEDIAN($BM$261:$BM$275))))</f>
        <v>5.5472221990000001</v>
      </c>
      <c r="BN260" t="str">
        <f>""</f>
        <v/>
      </c>
      <c r="BO260">
        <f>6.262327894</f>
        <v>6.2623278940000002</v>
      </c>
      <c r="BP260">
        <f>6.482801197</f>
        <v>6.4828011969999997</v>
      </c>
      <c r="BQ260">
        <f>6.444705065</f>
        <v>6.444705065</v>
      </c>
      <c r="BR260">
        <f>6.749713127</f>
        <v>6.7497131269999997</v>
      </c>
      <c r="BS260">
        <f>6.601325572</f>
        <v>6.6013255720000004</v>
      </c>
      <c r="BT260">
        <f>6.706467935</f>
        <v>6.706467935</v>
      </c>
      <c r="BU260">
        <f>6.446688739</f>
        <v>6.4466887389999998</v>
      </c>
      <c r="BV260">
        <f>6.513867814</f>
        <v>6.5138678140000001</v>
      </c>
      <c r="BW260">
        <f>6.391590097</f>
        <v>6.3915900969999999</v>
      </c>
      <c r="BX260">
        <f>6.437281912</f>
        <v>6.4372819120000004</v>
      </c>
      <c r="BY260">
        <f>7.152979073</f>
        <v>7.152979073</v>
      </c>
      <c r="BZ260">
        <f>6.841806759</f>
        <v>6.8418067589999998</v>
      </c>
      <c r="CA260">
        <f>6.245400763</f>
        <v>6.2454007630000001</v>
      </c>
      <c r="CB260">
        <f>6.620373765</f>
        <v>6.6203737650000001</v>
      </c>
      <c r="CC260">
        <f>7.175673932</f>
        <v>7.1756739319999996</v>
      </c>
      <c r="CD260">
        <f>6.945290364</f>
        <v>6.9452903639999999</v>
      </c>
      <c r="CE260">
        <f>7.242850349</f>
        <v>7.2428503490000002</v>
      </c>
      <c r="CF260">
        <f>7.252813199</f>
        <v>7.2528131990000002</v>
      </c>
      <c r="CG260">
        <f>7.25397899</f>
        <v>7.2539789900000002</v>
      </c>
      <c r="CH260">
        <f>6.923493327</f>
        <v>6.9234933270000001</v>
      </c>
      <c r="CI260">
        <f>7.121517739</f>
        <v>7.1215177389999997</v>
      </c>
      <c r="CJ260">
        <f>6.754183989</f>
        <v>6.7541839890000004</v>
      </c>
      <c r="CK260">
        <f>6.914389088</f>
        <v>6.9143890880000001</v>
      </c>
      <c r="CL260">
        <f>6.869678001</f>
        <v>6.8696780009999996</v>
      </c>
      <c r="CM260">
        <f>6.481344966</f>
        <v>6.481344966</v>
      </c>
      <c r="CN260">
        <f>7.26637908</f>
        <v>7.2663790800000001</v>
      </c>
      <c r="CO260">
        <f>6.394508284</f>
        <v>6.3945082839999996</v>
      </c>
      <c r="CP260">
        <f>6.543029575</f>
        <v>6.5430295750000003</v>
      </c>
      <c r="CQ260">
        <f>6.200834715</f>
        <v>6.2008347150000001</v>
      </c>
      <c r="CR260">
        <f>6.707144356</f>
        <v>6.7071443559999997</v>
      </c>
      <c r="CS260">
        <f>6.564985394</f>
        <v>6.5649853939999998</v>
      </c>
      <c r="CT260">
        <f>6.790874901</f>
        <v>6.7908749009999996</v>
      </c>
      <c r="CU260">
        <f>6.860690975</f>
        <v>6.8606909749999998</v>
      </c>
      <c r="CV260">
        <f>6.759532281</f>
        <v>6.7595322810000003</v>
      </c>
      <c r="CW260">
        <f>6.763963419</f>
        <v>6.7639634190000004</v>
      </c>
      <c r="CX260">
        <f>6.862048184</f>
        <v>6.8620481839999998</v>
      </c>
      <c r="CY260">
        <f>6.85609362</f>
        <v>6.8560936200000002</v>
      </c>
      <c r="CZ260">
        <f>7.092574892</f>
        <v>7.092574892</v>
      </c>
      <c r="DA260">
        <f>7.135101284</f>
        <v>7.1351012840000001</v>
      </c>
      <c r="DB260">
        <f>7.291314111</f>
        <v>7.2913141110000002</v>
      </c>
      <c r="DC260">
        <f>7.11404581</f>
        <v>7.1140458100000004</v>
      </c>
      <c r="DD260">
        <f>7.157846419</f>
        <v>7.1578464190000002</v>
      </c>
      <c r="DE260">
        <f>7.013385265</f>
        <v>7.0133852650000001</v>
      </c>
      <c r="DF260">
        <f>6.256655183</f>
        <v>6.2566551830000003</v>
      </c>
      <c r="DG260">
        <f>6.676382412</f>
        <v>6.6763824119999997</v>
      </c>
      <c r="DH260">
        <f>6.798101469</f>
        <v>6.7981014689999997</v>
      </c>
      <c r="DI260">
        <f>6.344714295</f>
        <v>6.3447142950000002</v>
      </c>
      <c r="DJ260">
        <f>6.261881428</f>
        <v>6.2618814279999997</v>
      </c>
      <c r="DK260">
        <f>6.18674364</f>
        <v>6.1867436400000004</v>
      </c>
      <c r="DL260">
        <f>5.984456704</f>
        <v>5.9844567040000003</v>
      </c>
      <c r="DM260">
        <f>6.002918296</f>
        <v>6.0029182959999998</v>
      </c>
      <c r="DN260">
        <f>5.6919049</f>
        <v>5.6919048999999999</v>
      </c>
      <c r="DO260">
        <f>5.761080036</f>
        <v>5.7610800360000001</v>
      </c>
      <c r="DP260">
        <f>6.103391355</f>
        <v>6.1033913550000003</v>
      </c>
      <c r="DQ260">
        <f>6.230414827</f>
        <v>6.2304148269999997</v>
      </c>
      <c r="DR260">
        <f>6.176918167</f>
        <v>6.1769181670000002</v>
      </c>
      <c r="DS260">
        <f>6.141087569</f>
        <v>6.1410875689999997</v>
      </c>
      <c r="DT260">
        <f>5.898120205</f>
        <v>5.8981202049999997</v>
      </c>
      <c r="DU260">
        <f>5.547222199</f>
        <v>5.5472221990000001</v>
      </c>
    </row>
    <row r="261" spans="1:125">
      <c r="A261" t="str">
        <f>"    Brixmor Property Group Inc"</f>
        <v xml:space="preserve">    Brixmor Property Group Inc</v>
      </c>
      <c r="B261" t="str">
        <f>"BRX US Equity"</f>
        <v>BRX US Equity</v>
      </c>
      <c r="C261" t="str">
        <f t="shared" ref="C261:C275" si="48">"RR052"</f>
        <v>RR052</v>
      </c>
      <c r="D261" t="str">
        <f t="shared" ref="D261:D275" si="49">"TOT_DEBT_TO_EBITDA"</f>
        <v>TOT_DEBT_TO_EBITDA</v>
      </c>
      <c r="E261" t="str">
        <f t="shared" ref="E261:E275" si="50">"动态"</f>
        <v>动态</v>
      </c>
      <c r="F261" t="str">
        <f ca="1">IF(AND(ISNUMBER($F$706),$B$419=1),$F$706,HLOOKUP(INDIRECT(ADDRESS(2,COLUMN())),OFFSET($BN$2,0,0,ROW()-1,60),ROW()-1,FALSE))</f>
        <v/>
      </c>
      <c r="G261">
        <f ca="1">IF(AND(ISNUMBER($G$706),$B$419=1),$G$706,HLOOKUP(INDIRECT(ADDRESS(2,COLUMN())),OFFSET($BN$2,0,0,ROW()-1,60),ROW()-1,FALSE))</f>
        <v>7.0892450570000003</v>
      </c>
      <c r="H261">
        <f ca="1">IF(AND(ISNUMBER($H$706),$B$419=1),$H$706,HLOOKUP(INDIRECT(ADDRESS(2,COLUMN())),OFFSET($BN$2,0,0,ROW()-1,60),ROW()-1,FALSE))</f>
        <v>7.0276990589999997</v>
      </c>
      <c r="I261">
        <f ca="1">IF(AND(ISNUMBER($I$706),$B$419=1),$I$706,HLOOKUP(INDIRECT(ADDRESS(2,COLUMN())),OFFSET($BN$2,0,0,ROW()-1,60),ROW()-1,FALSE))</f>
        <v>7.0865738670000002</v>
      </c>
      <c r="J261">
        <f ca="1">IF(AND(ISNUMBER($J$706),$B$419=1),$J$706,HLOOKUP(INDIRECT(ADDRESS(2,COLUMN())),OFFSET($BN$2,0,0,ROW()-1,60),ROW()-1,FALSE))</f>
        <v>7.2184793379999999</v>
      </c>
      <c r="K261">
        <f ca="1">IF(AND(ISNUMBER($K$706),$B$419=1),$K$706,HLOOKUP(INDIRECT(ADDRESS(2,COLUMN())),OFFSET($BN$2,0,0,ROW()-1,60),ROW()-1,FALSE))</f>
        <v>7.0899711249999999</v>
      </c>
      <c r="L261">
        <f ca="1">IF(AND(ISNUMBER($L$706),$B$419=1),$L$706,HLOOKUP(INDIRECT(ADDRESS(2,COLUMN())),OFFSET($BN$2,0,0,ROW()-1,60),ROW()-1,FALSE))</f>
        <v>7.1728358480000001</v>
      </c>
      <c r="M261">
        <f ca="1">IF(AND(ISNUMBER($M$706),$B$419=1),$M$706,HLOOKUP(INDIRECT(ADDRESS(2,COLUMN())),OFFSET($BN$2,0,0,ROW()-1,60),ROW()-1,FALSE))</f>
        <v>7.2948705719999998</v>
      </c>
      <c r="N261">
        <f ca="1">IF(AND(ISNUMBER($N$706),$B$419=1),$N$706,HLOOKUP(INDIRECT(ADDRESS(2,COLUMN())),OFFSET($BN$2,0,0,ROW()-1,60),ROW()-1,FALSE))</f>
        <v>7.329499438</v>
      </c>
      <c r="O261">
        <f ca="1">IF(AND(ISNUMBER($O$706),$B$419=1),$O$706,HLOOKUP(INDIRECT(ADDRESS(2,COLUMN())),OFFSET($BN$2,0,0,ROW()-1,60),ROW()-1,FALSE))</f>
        <v>7.4787140289999998</v>
      </c>
      <c r="P261">
        <f ca="1">IF(AND(ISNUMBER($P$706),$B$419=1),$P$706,HLOOKUP(INDIRECT(ADDRESS(2,COLUMN())),OFFSET($BN$2,0,0,ROW()-1,60),ROW()-1,FALSE))</f>
        <v>7.4837939660000004</v>
      </c>
      <c r="Q261">
        <f ca="1">IF(AND(ISNUMBER($Q$706),$B$419=1),$Q$706,HLOOKUP(INDIRECT(ADDRESS(2,COLUMN())),OFFSET($BN$2,0,0,ROW()-1,60),ROW()-1,FALSE))</f>
        <v>7.5834282530000001</v>
      </c>
      <c r="R261">
        <f ca="1">IF(AND(ISNUMBER($R$706),$B$419=1),$R$706,HLOOKUP(INDIRECT(ADDRESS(2,COLUMN())),OFFSET($BN$2,0,0,ROW()-1,60),ROW()-1,FALSE))</f>
        <v>7.718200242</v>
      </c>
      <c r="S261">
        <f ca="1">IF(AND(ISNUMBER($S$706),$B$419=1),$S$706,HLOOKUP(INDIRECT(ADDRESS(2,COLUMN())),OFFSET($BN$2,0,0,ROW()-1,60),ROW()-1,FALSE))</f>
        <v>7.6110670899999997</v>
      </c>
      <c r="T261">
        <f ca="1">IF(AND(ISNUMBER($T$706),$B$419=1),$T$706,HLOOKUP(INDIRECT(ADDRESS(2,COLUMN())),OFFSET($BN$2,0,0,ROW()-1,60),ROW()-1,FALSE))</f>
        <v>7.8774495230000001</v>
      </c>
      <c r="U261">
        <f ca="1">IF(AND(ISNUMBER($U$706),$B$419=1),$U$706,HLOOKUP(INDIRECT(ADDRESS(2,COLUMN())),OFFSET($BN$2,0,0,ROW()-1,60),ROW()-1,FALSE))</f>
        <v>8.1289996299999991</v>
      </c>
      <c r="V261">
        <f ca="1">IF(AND(ISNUMBER($V$706),$B$419=1),$V$706,HLOOKUP(INDIRECT(ADDRESS(2,COLUMN())),OFFSET($BN$2,0,0,ROW()-1,60),ROW()-1,FALSE))</f>
        <v>8.4012588059999995</v>
      </c>
      <c r="W261">
        <f ca="1">IF(AND(ISNUMBER($W$706),$B$419=1),$W$706,HLOOKUP(INDIRECT(ADDRESS(2,COLUMN())),OFFSET($BN$2,0,0,ROW()-1,60),ROW()-1,FALSE))</f>
        <v>8.6854903700000001</v>
      </c>
      <c r="X261">
        <f ca="1">IF(AND(ISNUMBER($X$706),$B$419=1),$X$706,HLOOKUP(INDIRECT(ADDRESS(2,COLUMN())),OFFSET($BN$2,0,0,ROW()-1,60),ROW()-1,FALSE))</f>
        <v>9.188497881</v>
      </c>
      <c r="Y261">
        <f ca="1">IF(AND(ISNUMBER($Y$706),$B$419=1),$Y$706,HLOOKUP(INDIRECT(ADDRESS(2,COLUMN())),OFFSET($BN$2,0,0,ROW()-1,60),ROW()-1,FALSE))</f>
        <v>9.2072144649999998</v>
      </c>
      <c r="Z261">
        <f ca="1">IF(AND(ISNUMBER($Z$706),$B$419=1),$Z$706,HLOOKUP(INDIRECT(ADDRESS(2,COLUMN())),OFFSET($BN$2,0,0,ROW()-1,60),ROW()-1,FALSE))</f>
        <v>9.3310904820000005</v>
      </c>
      <c r="AA261">
        <f ca="1">IF(AND(ISNUMBER($AA$706),$B$419=1),$AA$706,HLOOKUP(INDIRECT(ADDRESS(2,COLUMN())),OFFSET($BN$2,0,0,ROW()-1,60),ROW()-1,FALSE))</f>
        <v>9.3835494409999995</v>
      </c>
      <c r="AB261" t="str">
        <f ca="1">IF(AND(ISNUMBER($AB$706),$B$419=1),$AB$706,HLOOKUP(INDIRECT(ADDRESS(2,COLUMN())),OFFSET($BN$2,0,0,ROW()-1,60),ROW()-1,FALSE))</f>
        <v/>
      </c>
      <c r="AC261" t="str">
        <f ca="1">IF(AND(ISNUMBER($AC$706),$B$419=1),$AC$706,HLOOKUP(INDIRECT(ADDRESS(2,COLUMN())),OFFSET($BN$2,0,0,ROW()-1,60),ROW()-1,FALSE))</f>
        <v/>
      </c>
      <c r="AD261" t="str">
        <f ca="1">IF(AND(ISNUMBER($AD$706),$B$419=1),$AD$706,HLOOKUP(INDIRECT(ADDRESS(2,COLUMN())),OFFSET($BN$2,0,0,ROW()-1,60),ROW()-1,FALSE))</f>
        <v/>
      </c>
      <c r="AE261" t="str">
        <f ca="1">IF(AND(ISNUMBER($AE$706),$B$419=1),$AE$706,HLOOKUP(INDIRECT(ADDRESS(2,COLUMN())),OFFSET($BN$2,0,0,ROW()-1,60),ROW()-1,FALSE))</f>
        <v/>
      </c>
      <c r="AF261" t="str">
        <f ca="1">IF(AND(ISNUMBER($AF$706),$B$419=1),$AF$706,HLOOKUP(INDIRECT(ADDRESS(2,COLUMN())),OFFSET($BN$2,0,0,ROW()-1,60),ROW()-1,FALSE))</f>
        <v/>
      </c>
      <c r="AG261" t="str">
        <f ca="1">IF(AND(ISNUMBER($AG$706),$B$419=1),$AG$706,HLOOKUP(INDIRECT(ADDRESS(2,COLUMN())),OFFSET($BN$2,0,0,ROW()-1,60),ROW()-1,FALSE))</f>
        <v/>
      </c>
      <c r="AH261" t="str">
        <f ca="1">IF(AND(ISNUMBER($AH$706),$B$419=1),$AH$706,HLOOKUP(INDIRECT(ADDRESS(2,COLUMN())),OFFSET($BN$2,0,0,ROW()-1,60),ROW()-1,FALSE))</f>
        <v/>
      </c>
      <c r="AI261" t="str">
        <f ca="1">IF(AND(ISNUMBER($AI$706),$B$419=1),$AI$706,HLOOKUP(INDIRECT(ADDRESS(2,COLUMN())),OFFSET($BN$2,0,0,ROW()-1,60),ROW()-1,FALSE))</f>
        <v/>
      </c>
      <c r="AJ261" t="str">
        <f ca="1">IF(AND(ISNUMBER($AJ$706),$B$419=1),$AJ$706,HLOOKUP(INDIRECT(ADDRESS(2,COLUMN())),OFFSET($BN$2,0,0,ROW()-1,60),ROW()-1,FALSE))</f>
        <v/>
      </c>
      <c r="AK261" t="str">
        <f ca="1">IF(AND(ISNUMBER($AK$706),$B$419=1),$AK$706,HLOOKUP(INDIRECT(ADDRESS(2,COLUMN())),OFFSET($BN$2,0,0,ROW()-1,60),ROW()-1,FALSE))</f>
        <v/>
      </c>
      <c r="AL261" t="str">
        <f ca="1">IF(AND(ISNUMBER($AL$706),$B$419=1),$AL$706,HLOOKUP(INDIRECT(ADDRESS(2,COLUMN())),OFFSET($BN$2,0,0,ROW()-1,60),ROW()-1,FALSE))</f>
        <v/>
      </c>
      <c r="AM261" t="str">
        <f ca="1">IF(AND(ISNUMBER($AM$706),$B$419=1),$AM$706,HLOOKUP(INDIRECT(ADDRESS(2,COLUMN())),OFFSET($BN$2,0,0,ROW()-1,60),ROW()-1,FALSE))</f>
        <v/>
      </c>
      <c r="AN261" t="str">
        <f ca="1">IF(AND(ISNUMBER($AN$706),$B$419=1),$AN$706,HLOOKUP(INDIRECT(ADDRESS(2,COLUMN())),OFFSET($BN$2,0,0,ROW()-1,60),ROW()-1,FALSE))</f>
        <v/>
      </c>
      <c r="AO261" t="str">
        <f ca="1">IF(AND(ISNUMBER($AO$706),$B$419=1),$AO$706,HLOOKUP(INDIRECT(ADDRESS(2,COLUMN())),OFFSET($BN$2,0,0,ROW()-1,60),ROW()-1,FALSE))</f>
        <v/>
      </c>
      <c r="AP261" t="str">
        <f ca="1">IF(AND(ISNUMBER($AP$706),$B$419=1),$AP$706,HLOOKUP(INDIRECT(ADDRESS(2,COLUMN())),OFFSET($BN$2,0,0,ROW()-1,60),ROW()-1,FALSE))</f>
        <v/>
      </c>
      <c r="AQ261" t="str">
        <f ca="1">IF(AND(ISNUMBER($AQ$706),$B$419=1),$AQ$706,HLOOKUP(INDIRECT(ADDRESS(2,COLUMN())),OFFSET($BN$2,0,0,ROW()-1,60),ROW()-1,FALSE))</f>
        <v/>
      </c>
      <c r="AR261" t="str">
        <f ca="1">IF(AND(ISNUMBER($AR$706),$B$419=1),$AR$706,HLOOKUP(INDIRECT(ADDRESS(2,COLUMN())),OFFSET($BN$2,0,0,ROW()-1,60),ROW()-1,FALSE))</f>
        <v/>
      </c>
      <c r="AS261" t="str">
        <f ca="1">IF(AND(ISNUMBER($AS$706),$B$419=1),$AS$706,HLOOKUP(INDIRECT(ADDRESS(2,COLUMN())),OFFSET($BN$2,0,0,ROW()-1,60),ROW()-1,FALSE))</f>
        <v/>
      </c>
      <c r="AT261" t="str">
        <f ca="1">IF(AND(ISNUMBER($AT$706),$B$419=1),$AT$706,HLOOKUP(INDIRECT(ADDRESS(2,COLUMN())),OFFSET($BN$2,0,0,ROW()-1,60),ROW()-1,FALSE))</f>
        <v/>
      </c>
      <c r="AU261" t="str">
        <f ca="1">IF(AND(ISNUMBER($AU$706),$B$419=1),$AU$706,HLOOKUP(INDIRECT(ADDRESS(2,COLUMN())),OFFSET($BN$2,0,0,ROW()-1,60),ROW()-1,FALSE))</f>
        <v/>
      </c>
      <c r="AV261" t="str">
        <f ca="1">IF(AND(ISNUMBER($AV$706),$B$419=1),$AV$706,HLOOKUP(INDIRECT(ADDRESS(2,COLUMN())),OFFSET($BN$2,0,0,ROW()-1,60),ROW()-1,FALSE))</f>
        <v/>
      </c>
      <c r="AW261" t="str">
        <f ca="1">IF(AND(ISNUMBER($AW$706),$B$419=1),$AW$706,HLOOKUP(INDIRECT(ADDRESS(2,COLUMN())),OFFSET($BN$2,0,0,ROW()-1,60),ROW()-1,FALSE))</f>
        <v/>
      </c>
      <c r="AX261" t="str">
        <f ca="1">IF(AND(ISNUMBER($AX$706),$B$419=1),$AX$706,HLOOKUP(INDIRECT(ADDRESS(2,COLUMN())),OFFSET($BN$2,0,0,ROW()-1,60),ROW()-1,FALSE))</f>
        <v/>
      </c>
      <c r="AY261" t="str">
        <f ca="1">IF(AND(ISNUMBER($AY$706),$B$419=1),$AY$706,HLOOKUP(INDIRECT(ADDRESS(2,COLUMN())),OFFSET($BN$2,0,0,ROW()-1,60),ROW()-1,FALSE))</f>
        <v/>
      </c>
      <c r="AZ261" t="str">
        <f ca="1">IF(AND(ISNUMBER($AZ$706),$B$419=1),$AZ$706,HLOOKUP(INDIRECT(ADDRESS(2,COLUMN())),OFFSET($BN$2,0,0,ROW()-1,60),ROW()-1,FALSE))</f>
        <v/>
      </c>
      <c r="BA261" t="str">
        <f ca="1">IF(AND(ISNUMBER($BA$706),$B$419=1),$BA$706,HLOOKUP(INDIRECT(ADDRESS(2,COLUMN())),OFFSET($BN$2,0,0,ROW()-1,60),ROW()-1,FALSE))</f>
        <v/>
      </c>
      <c r="BB261" t="str">
        <f ca="1">IF(AND(ISNUMBER($BB$706),$B$419=1),$BB$706,HLOOKUP(INDIRECT(ADDRESS(2,COLUMN())),OFFSET($BN$2,0,0,ROW()-1,60),ROW()-1,FALSE))</f>
        <v/>
      </c>
      <c r="BC261" t="str">
        <f ca="1">IF(AND(ISNUMBER($BC$706),$B$419=1),$BC$706,HLOOKUP(INDIRECT(ADDRESS(2,COLUMN())),OFFSET($BN$2,0,0,ROW()-1,60),ROW()-1,FALSE))</f>
        <v/>
      </c>
      <c r="BD261" t="str">
        <f ca="1">IF(AND(ISNUMBER($BD$706),$B$419=1),$BD$706,HLOOKUP(INDIRECT(ADDRESS(2,COLUMN())),OFFSET($BN$2,0,0,ROW()-1,60),ROW()-1,FALSE))</f>
        <v/>
      </c>
      <c r="BE261" t="str">
        <f ca="1">IF(AND(ISNUMBER($BE$706),$B$419=1),$BE$706,HLOOKUP(INDIRECT(ADDRESS(2,COLUMN())),OFFSET($BN$2,0,0,ROW()-1,60),ROW()-1,FALSE))</f>
        <v/>
      </c>
      <c r="BF261" t="str">
        <f ca="1">IF(AND(ISNUMBER($BF$706),$B$419=1),$BF$706,HLOOKUP(INDIRECT(ADDRESS(2,COLUMN())),OFFSET($BN$2,0,0,ROW()-1,60),ROW()-1,FALSE))</f>
        <v/>
      </c>
      <c r="BG261" t="str">
        <f ca="1">IF(AND(ISNUMBER($BG$706),$B$419=1),$BG$706,HLOOKUP(INDIRECT(ADDRESS(2,COLUMN())),OFFSET($BN$2,0,0,ROW()-1,60),ROW()-1,FALSE))</f>
        <v/>
      </c>
      <c r="BH261" t="str">
        <f ca="1">IF(AND(ISNUMBER($BH$706),$B$419=1),$BH$706,HLOOKUP(INDIRECT(ADDRESS(2,COLUMN())),OFFSET($BN$2,0,0,ROW()-1,60),ROW()-1,FALSE))</f>
        <v/>
      </c>
      <c r="BI261" t="str">
        <f ca="1">IF(AND(ISNUMBER($BI$706),$B$419=1),$BI$706,HLOOKUP(INDIRECT(ADDRESS(2,COLUMN())),OFFSET($BN$2,0,0,ROW()-1,60),ROW()-1,FALSE))</f>
        <v/>
      </c>
      <c r="BJ261" t="str">
        <f ca="1">IF(AND(ISNUMBER($BJ$706),$B$419=1),$BJ$706,HLOOKUP(INDIRECT(ADDRESS(2,COLUMN())),OFFSET($BN$2,0,0,ROW()-1,60),ROW()-1,FALSE))</f>
        <v/>
      </c>
      <c r="BK261" t="str">
        <f ca="1">IF(AND(ISNUMBER($BK$706),$B$419=1),$BK$706,HLOOKUP(INDIRECT(ADDRESS(2,COLUMN())),OFFSET($BN$2,0,0,ROW()-1,60),ROW()-1,FALSE))</f>
        <v/>
      </c>
      <c r="BL261" t="str">
        <f ca="1">IF(AND(ISNUMBER($BL$706),$B$419=1),$BL$706,HLOOKUP(INDIRECT(ADDRESS(2,COLUMN())),OFFSET($BN$2,0,0,ROW()-1,60),ROW()-1,FALSE))</f>
        <v/>
      </c>
      <c r="BM261" t="str">
        <f ca="1">IF(AND(ISNUMBER($BM$706),$B$419=1),$BM$706,HLOOKUP(INDIRECT(ADDRESS(2,COLUMN())),OFFSET($BN$2,0,0,ROW()-1,60),ROW()-1,FALSE))</f>
        <v/>
      </c>
      <c r="BN261" t="str">
        <f>""</f>
        <v/>
      </c>
      <c r="BO261">
        <f>7.089245057</f>
        <v>7.0892450570000003</v>
      </c>
      <c r="BP261">
        <f>7.027699059</f>
        <v>7.0276990589999997</v>
      </c>
      <c r="BQ261">
        <f>7.086573867</f>
        <v>7.0865738670000002</v>
      </c>
      <c r="BR261">
        <f>7.218479338</f>
        <v>7.2184793379999999</v>
      </c>
      <c r="BS261">
        <f>7.089971125</f>
        <v>7.0899711249999999</v>
      </c>
      <c r="BT261">
        <f>7.172835848</f>
        <v>7.1728358480000001</v>
      </c>
      <c r="BU261">
        <f>7.294870572</f>
        <v>7.2948705719999998</v>
      </c>
      <c r="BV261">
        <f>7.329499438</f>
        <v>7.329499438</v>
      </c>
      <c r="BW261">
        <f>7.478714029</f>
        <v>7.4787140289999998</v>
      </c>
      <c r="BX261">
        <f>7.483793966</f>
        <v>7.4837939660000004</v>
      </c>
      <c r="BY261">
        <f>7.583428253</f>
        <v>7.5834282530000001</v>
      </c>
      <c r="BZ261">
        <f>7.718200242</f>
        <v>7.718200242</v>
      </c>
      <c r="CA261">
        <f>7.61106709</f>
        <v>7.6110670899999997</v>
      </c>
      <c r="CB261">
        <f>7.877449523</f>
        <v>7.8774495230000001</v>
      </c>
      <c r="CC261">
        <f>8.12899963</f>
        <v>8.1289996299999991</v>
      </c>
      <c r="CD261">
        <f>8.401258806</f>
        <v>8.4012588059999995</v>
      </c>
      <c r="CE261">
        <f>8.68549037</f>
        <v>8.6854903700000001</v>
      </c>
      <c r="CF261">
        <f>9.188497881</f>
        <v>9.188497881</v>
      </c>
      <c r="CG261">
        <f>9.207214465</f>
        <v>9.2072144649999998</v>
      </c>
      <c r="CH261">
        <f>9.331090482</f>
        <v>9.3310904820000005</v>
      </c>
      <c r="CI261">
        <f>9.383549441</f>
        <v>9.3835494409999995</v>
      </c>
      <c r="CJ261" t="str">
        <f>""</f>
        <v/>
      </c>
      <c r="CK261" t="str">
        <f>""</f>
        <v/>
      </c>
      <c r="CL261" t="str">
        <f>""</f>
        <v/>
      </c>
      <c r="CM261" t="str">
        <f>""</f>
        <v/>
      </c>
      <c r="CN261" t="str">
        <f>""</f>
        <v/>
      </c>
      <c r="CO261" t="str">
        <f>""</f>
        <v/>
      </c>
      <c r="CP261" t="str">
        <f>""</f>
        <v/>
      </c>
      <c r="CQ261" t="str">
        <f>""</f>
        <v/>
      </c>
      <c r="CR261" t="str">
        <f>""</f>
        <v/>
      </c>
      <c r="CS261" t="str">
        <f>""</f>
        <v/>
      </c>
      <c r="CT261" t="str">
        <f>""</f>
        <v/>
      </c>
      <c r="CU261" t="str">
        <f>""</f>
        <v/>
      </c>
      <c r="CV261" t="str">
        <f>""</f>
        <v/>
      </c>
      <c r="CW261" t="str">
        <f>""</f>
        <v/>
      </c>
      <c r="CX261" t="str">
        <f>""</f>
        <v/>
      </c>
      <c r="CY261" t="str">
        <f>""</f>
        <v/>
      </c>
      <c r="CZ261" t="str">
        <f>""</f>
        <v/>
      </c>
      <c r="DA261" t="str">
        <f>""</f>
        <v/>
      </c>
      <c r="DB261" t="str">
        <f>""</f>
        <v/>
      </c>
      <c r="DC261" t="str">
        <f>""</f>
        <v/>
      </c>
      <c r="DD261" t="str">
        <f>""</f>
        <v/>
      </c>
      <c r="DE261" t="str">
        <f>""</f>
        <v/>
      </c>
      <c r="DF261" t="str">
        <f>""</f>
        <v/>
      </c>
      <c r="DG261" t="str">
        <f>""</f>
        <v/>
      </c>
      <c r="DH261" t="str">
        <f>""</f>
        <v/>
      </c>
      <c r="DI261" t="str">
        <f>""</f>
        <v/>
      </c>
      <c r="DJ261" t="str">
        <f>""</f>
        <v/>
      </c>
      <c r="DK261" t="str">
        <f>""</f>
        <v/>
      </c>
      <c r="DL261" t="str">
        <f>""</f>
        <v/>
      </c>
      <c r="DM261" t="str">
        <f>""</f>
        <v/>
      </c>
      <c r="DN261" t="str">
        <f>""</f>
        <v/>
      </c>
      <c r="DO261" t="str">
        <f>""</f>
        <v/>
      </c>
      <c r="DP261" t="str">
        <f>""</f>
        <v/>
      </c>
      <c r="DQ261" t="str">
        <f>""</f>
        <v/>
      </c>
      <c r="DR261" t="str">
        <f>""</f>
        <v/>
      </c>
      <c r="DS261" t="str">
        <f>""</f>
        <v/>
      </c>
      <c r="DT261" t="str">
        <f>""</f>
        <v/>
      </c>
      <c r="DU261" t="str">
        <f>""</f>
        <v/>
      </c>
    </row>
    <row r="262" spans="1:125">
      <c r="A262" t="str">
        <f>"    CBL &amp; Associates Properties In"</f>
        <v xml:space="preserve">    CBL &amp; Associates Properties In</v>
      </c>
      <c r="B262" t="str">
        <f>"CBL US Equity"</f>
        <v>CBL US Equity</v>
      </c>
      <c r="C262" t="str">
        <f t="shared" si="48"/>
        <v>RR052</v>
      </c>
      <c r="D262" t="str">
        <f t="shared" si="49"/>
        <v>TOT_DEBT_TO_EBITDA</v>
      </c>
      <c r="E262" t="str">
        <f t="shared" si="50"/>
        <v>动态</v>
      </c>
      <c r="F262" t="str">
        <f ca="1">IF(AND(ISNUMBER($F$707),$B$419=1),$F$707,HLOOKUP(INDIRECT(ADDRESS(2,COLUMN())),OFFSET($BN$2,0,0,ROW()-1,60),ROW()-1,FALSE))</f>
        <v/>
      </c>
      <c r="G262">
        <f ca="1">IF(AND(ISNUMBER($G$707),$B$419=1),$G$707,HLOOKUP(INDIRECT(ADDRESS(2,COLUMN())),OFFSET($BN$2,0,0,ROW()-1,60),ROW()-1,FALSE))</f>
        <v>7.9847753389999996</v>
      </c>
      <c r="H262">
        <f ca="1">IF(AND(ISNUMBER($H$707),$B$419=1),$H$707,HLOOKUP(INDIRECT(ADDRESS(2,COLUMN())),OFFSET($BN$2,0,0,ROW()-1,60),ROW()-1,FALSE))</f>
        <v>7.70342693</v>
      </c>
      <c r="I262">
        <f ca="1">IF(AND(ISNUMBER($I$707),$B$419=1),$I$707,HLOOKUP(INDIRECT(ADDRESS(2,COLUMN())),OFFSET($BN$2,0,0,ROW()-1,60),ROW()-1,FALSE))</f>
        <v>7.9521535400000003</v>
      </c>
      <c r="J262">
        <f ca="1">IF(AND(ISNUMBER($J$707),$B$419=1),$J$707,HLOOKUP(INDIRECT(ADDRESS(2,COLUMN())),OFFSET($BN$2,0,0,ROW()-1,60),ROW()-1,FALSE))</f>
        <v>8.1590355970000008</v>
      </c>
      <c r="K262">
        <f ca="1">IF(AND(ISNUMBER($K$707),$B$419=1),$K$707,HLOOKUP(INDIRECT(ADDRESS(2,COLUMN())),OFFSET($BN$2,0,0,ROW()-1,60),ROW()-1,FALSE))</f>
        <v>8.1716986859999992</v>
      </c>
      <c r="L262">
        <f ca="1">IF(AND(ISNUMBER($L$707),$B$419=1),$L$707,HLOOKUP(INDIRECT(ADDRESS(2,COLUMN())),OFFSET($BN$2,0,0,ROW()-1,60),ROW()-1,FALSE))</f>
        <v>9.8882892590000004</v>
      </c>
      <c r="M262">
        <f ca="1">IF(AND(ISNUMBER($M$707),$B$419=1),$M$707,HLOOKUP(INDIRECT(ADDRESS(2,COLUMN())),OFFSET($BN$2,0,0,ROW()-1,60),ROW()-1,FALSE))</f>
        <v>8.8555121680000006</v>
      </c>
      <c r="N262">
        <f ca="1">IF(AND(ISNUMBER($N$707),$B$419=1),$N$707,HLOOKUP(INDIRECT(ADDRESS(2,COLUMN())),OFFSET($BN$2,0,0,ROW()-1,60),ROW()-1,FALSE))</f>
        <v>8.4576574200000003</v>
      </c>
      <c r="O262">
        <f ca="1">IF(AND(ISNUMBER($O$707),$B$419=1),$O$707,HLOOKUP(INDIRECT(ADDRESS(2,COLUMN())),OFFSET($BN$2,0,0,ROW()-1,60),ROW()-1,FALSE))</f>
        <v>8.1900320949999994</v>
      </c>
      <c r="P262">
        <f ca="1">IF(AND(ISNUMBER($P$707),$B$419=1),$P$707,HLOOKUP(INDIRECT(ADDRESS(2,COLUMN())),OFFSET($BN$2,0,0,ROW()-1,60),ROW()-1,FALSE))</f>
        <v>7.1631419039999997</v>
      </c>
      <c r="Q262">
        <f ca="1">IF(AND(ISNUMBER($Q$707),$B$419=1),$Q$707,HLOOKUP(INDIRECT(ADDRESS(2,COLUMN())),OFFSET($BN$2,0,0,ROW()-1,60),ROW()-1,FALSE))</f>
        <v>7.152979073</v>
      </c>
      <c r="R262">
        <f ca="1">IF(AND(ISNUMBER($R$707),$B$419=1),$R$707,HLOOKUP(INDIRECT(ADDRESS(2,COLUMN())),OFFSET($BN$2,0,0,ROW()-1,60),ROW()-1,FALSE))</f>
        <v>6.8418067589999998</v>
      </c>
      <c r="S262">
        <f ca="1">IF(AND(ISNUMBER($S$707),$B$419=1),$S$707,HLOOKUP(INDIRECT(ADDRESS(2,COLUMN())),OFFSET($BN$2,0,0,ROW()-1,60),ROW()-1,FALSE))</f>
        <v>7.0237633180000003</v>
      </c>
      <c r="T262">
        <f ca="1">IF(AND(ISNUMBER($T$707),$B$419=1),$T$707,HLOOKUP(INDIRECT(ADDRESS(2,COLUMN())),OFFSET($BN$2,0,0,ROW()-1,60),ROW()-1,FALSE))</f>
        <v>7.6130397409999997</v>
      </c>
      <c r="U262">
        <f ca="1">IF(AND(ISNUMBER($U$707),$B$419=1),$U$707,HLOOKUP(INDIRECT(ADDRESS(2,COLUMN())),OFFSET($BN$2,0,0,ROW()-1,60),ROW()-1,FALSE))</f>
        <v>7.7961907200000002</v>
      </c>
      <c r="V262">
        <f ca="1">IF(AND(ISNUMBER($V$707),$B$419=1),$V$707,HLOOKUP(INDIRECT(ADDRESS(2,COLUMN())),OFFSET($BN$2,0,0,ROW()-1,60),ROW()-1,FALSE))</f>
        <v>8.0425483789999994</v>
      </c>
      <c r="W262">
        <f ca="1">IF(AND(ISNUMBER($W$707),$B$419=1),$W$707,HLOOKUP(INDIRECT(ADDRESS(2,COLUMN())),OFFSET($BN$2,0,0,ROW()-1,60),ROW()-1,FALSE))</f>
        <v>7.8807661539999998</v>
      </c>
      <c r="X262">
        <f ca="1">IF(AND(ISNUMBER($X$707),$B$419=1),$X$707,HLOOKUP(INDIRECT(ADDRESS(2,COLUMN())),OFFSET($BN$2,0,0,ROW()-1,60),ROW()-1,FALSE))</f>
        <v>7.5554108610000004</v>
      </c>
      <c r="Y262">
        <f ca="1">IF(AND(ISNUMBER($Y$707),$B$419=1),$Y$707,HLOOKUP(INDIRECT(ADDRESS(2,COLUMN())),OFFSET($BN$2,0,0,ROW()-1,60),ROW()-1,FALSE))</f>
        <v>7.2539789900000002</v>
      </c>
      <c r="Z262">
        <f ca="1">IF(AND(ISNUMBER($Z$707),$B$419=1),$Z$707,HLOOKUP(INDIRECT(ADDRESS(2,COLUMN())),OFFSET($BN$2,0,0,ROW()-1,60),ROW()-1,FALSE))</f>
        <v>7.1831420599999998</v>
      </c>
      <c r="AA262">
        <f ca="1">IF(AND(ISNUMBER($AA$707),$B$419=1),$AA$707,HLOOKUP(INDIRECT(ADDRESS(2,COLUMN())),OFFSET($BN$2,0,0,ROW()-1,60),ROW()-1,FALSE))</f>
        <v>7.3932963589999998</v>
      </c>
      <c r="AB262">
        <f ca="1">IF(AND(ISNUMBER($AB$707),$B$419=1),$AB$707,HLOOKUP(INDIRECT(ADDRESS(2,COLUMN())),OFFSET($BN$2,0,0,ROW()-1,60),ROW()-1,FALSE))</f>
        <v>7.1552130859999998</v>
      </c>
      <c r="AC262">
        <f ca="1">IF(AND(ISNUMBER($AC$707),$B$419=1),$AC$707,HLOOKUP(INDIRECT(ADDRESS(2,COLUMN())),OFFSET($BN$2,0,0,ROW()-1,60),ROW()-1,FALSE))</f>
        <v>7.5888092260000004</v>
      </c>
      <c r="AD262">
        <f ca="1">IF(AND(ISNUMBER($AD$707),$B$419=1),$AD$707,HLOOKUP(INDIRECT(ADDRESS(2,COLUMN())),OFFSET($BN$2,0,0,ROW()-1,60),ROW()-1,FALSE))</f>
        <v>7.1346940600000002</v>
      </c>
      <c r="AE262">
        <f ca="1">IF(AND(ISNUMBER($AE$707),$B$419=1),$AE$707,HLOOKUP(INDIRECT(ADDRESS(2,COLUMN())),OFFSET($BN$2,0,0,ROW()-1,60),ROW()-1,FALSE))</f>
        <v>7.0537434210000001</v>
      </c>
      <c r="AF262">
        <f ca="1">IF(AND(ISNUMBER($AF$707),$B$419=1),$AF$707,HLOOKUP(INDIRECT(ADDRESS(2,COLUMN())),OFFSET($BN$2,0,0,ROW()-1,60),ROW()-1,FALSE))</f>
        <v>8.2025934700000001</v>
      </c>
      <c r="AG262">
        <f ca="1">IF(AND(ISNUMBER($AG$707),$B$419=1),$AG$707,HLOOKUP(INDIRECT(ADDRESS(2,COLUMN())),OFFSET($BN$2,0,0,ROW()-1,60),ROW()-1,FALSE))</f>
        <v>7.5913894730000004</v>
      </c>
      <c r="AH262">
        <f ca="1">IF(AND(ISNUMBER($AH$707),$B$419=1),$AH$707,HLOOKUP(INDIRECT(ADDRESS(2,COLUMN())),OFFSET($BN$2,0,0,ROW()-1,60),ROW()-1,FALSE))</f>
        <v>7.5762883030000001</v>
      </c>
      <c r="AI262">
        <f ca="1">IF(AND(ISNUMBER($AI$707),$B$419=1),$AI$707,HLOOKUP(INDIRECT(ADDRESS(2,COLUMN())),OFFSET($BN$2,0,0,ROW()-1,60),ROW()-1,FALSE))</f>
        <v>7.602229415</v>
      </c>
      <c r="AJ262">
        <f ca="1">IF(AND(ISNUMBER($AJ$707),$B$419=1),$AJ$707,HLOOKUP(INDIRECT(ADDRESS(2,COLUMN())),OFFSET($BN$2,0,0,ROW()-1,60),ROW()-1,FALSE))</f>
        <v>9.258247291</v>
      </c>
      <c r="AK262">
        <f ca="1">IF(AND(ISNUMBER($AK$707),$B$419=1),$AK$707,HLOOKUP(INDIRECT(ADDRESS(2,COLUMN())),OFFSET($BN$2,0,0,ROW()-1,60),ROW()-1,FALSE))</f>
        <v>9.3970110019999993</v>
      </c>
      <c r="AL262">
        <f ca="1">IF(AND(ISNUMBER($AL$707),$B$419=1),$AL$707,HLOOKUP(INDIRECT(ADDRESS(2,COLUMN())),OFFSET($BN$2,0,0,ROW()-1,60),ROW()-1,FALSE))</f>
        <v>9.3322249139999993</v>
      </c>
      <c r="AM262">
        <f ca="1">IF(AND(ISNUMBER($AM$707),$B$419=1),$AM$707,HLOOKUP(INDIRECT(ADDRESS(2,COLUMN())),OFFSET($BN$2,0,0,ROW()-1,60),ROW()-1,FALSE))</f>
        <v>9.5476520770000004</v>
      </c>
      <c r="AN262">
        <f ca="1">IF(AND(ISNUMBER($AN$707),$B$419=1),$AN$707,HLOOKUP(INDIRECT(ADDRESS(2,COLUMN())),OFFSET($BN$2,0,0,ROW()-1,60),ROW()-1,FALSE))</f>
        <v>8.313061695</v>
      </c>
      <c r="AO262">
        <f ca="1">IF(AND(ISNUMBER($AO$707),$B$419=1),$AO$707,HLOOKUP(INDIRECT(ADDRESS(2,COLUMN())),OFFSET($BN$2,0,0,ROW()-1,60),ROW()-1,FALSE))</f>
        <v>8.0872816499999995</v>
      </c>
      <c r="AP262">
        <f ca="1">IF(AND(ISNUMBER($AP$707),$B$419=1),$AP$707,HLOOKUP(INDIRECT(ADDRESS(2,COLUMN())),OFFSET($BN$2,0,0,ROW()-1,60),ROW()-1,FALSE))</f>
        <v>8.6811012289999994</v>
      </c>
      <c r="AQ262">
        <f ca="1">IF(AND(ISNUMBER($AQ$707),$B$419=1),$AQ$707,HLOOKUP(INDIRECT(ADDRESS(2,COLUMN())),OFFSET($BN$2,0,0,ROW()-1,60),ROW()-1,FALSE))</f>
        <v>8.6787496009999998</v>
      </c>
      <c r="AR262">
        <f ca="1">IF(AND(ISNUMBER($AR$707),$B$419=1),$AR$707,HLOOKUP(INDIRECT(ADDRESS(2,COLUMN())),OFFSET($BN$2,0,0,ROW()-1,60),ROW()-1,FALSE))</f>
        <v>8.3901834659999999</v>
      </c>
      <c r="AS262">
        <f ca="1">IF(AND(ISNUMBER($AS$707),$B$419=1),$AS$707,HLOOKUP(INDIRECT(ADDRESS(2,COLUMN())),OFFSET($BN$2,0,0,ROW()-1,60),ROW()-1,FALSE))</f>
        <v>8.6535899619999999</v>
      </c>
      <c r="AT262">
        <f ca="1">IF(AND(ISNUMBER($AT$707),$B$419=1),$AT$707,HLOOKUP(INDIRECT(ADDRESS(2,COLUMN())),OFFSET($BN$2,0,0,ROW()-1,60),ROW()-1,FALSE))</f>
        <v>8.6653729070000001</v>
      </c>
      <c r="AU262">
        <f ca="1">IF(AND(ISNUMBER($AU$707),$B$419=1),$AU$707,HLOOKUP(INDIRECT(ADDRESS(2,COLUMN())),OFFSET($BN$2,0,0,ROW()-1,60),ROW()-1,FALSE))</f>
        <v>8.8075264329999996</v>
      </c>
      <c r="AV262">
        <f ca="1">IF(AND(ISNUMBER($AV$707),$B$419=1),$AV$707,HLOOKUP(INDIRECT(ADDRESS(2,COLUMN())),OFFSET($BN$2,0,0,ROW()-1,60),ROW()-1,FALSE))</f>
        <v>7.7053367169999998</v>
      </c>
      <c r="AW262">
        <f ca="1">IF(AND(ISNUMBER($AW$707),$B$419=1),$AW$707,HLOOKUP(INDIRECT(ADDRESS(2,COLUMN())),OFFSET($BN$2,0,0,ROW()-1,60),ROW()-1,FALSE))</f>
        <v>7.5984403240000002</v>
      </c>
      <c r="AX262">
        <f ca="1">IF(AND(ISNUMBER($AX$707),$B$419=1),$AX$707,HLOOKUP(INDIRECT(ADDRESS(2,COLUMN())),OFFSET($BN$2,0,0,ROW()-1,60),ROW()-1,FALSE))</f>
        <v>7.2906635990000002</v>
      </c>
      <c r="AY262">
        <f ca="1">IF(AND(ISNUMBER($AY$707),$B$419=1),$AY$707,HLOOKUP(INDIRECT(ADDRESS(2,COLUMN())),OFFSET($BN$2,0,0,ROW()-1,60),ROW()-1,FALSE))</f>
        <v>7.0343307230000001</v>
      </c>
      <c r="AZ262">
        <f ca="1">IF(AND(ISNUMBER($AZ$707),$B$419=1),$AZ$707,HLOOKUP(INDIRECT(ADDRESS(2,COLUMN())),OFFSET($BN$2,0,0,ROW()-1,60),ROW()-1,FALSE))</f>
        <v>6.9089142069999996</v>
      </c>
      <c r="BA262">
        <f ca="1">IF(AND(ISNUMBER($BA$707),$B$419=1),$BA$707,HLOOKUP(INDIRECT(ADDRESS(2,COLUMN())),OFFSET($BN$2,0,0,ROW()-1,60),ROW()-1,FALSE))</f>
        <v>6.8299496040000003</v>
      </c>
      <c r="BB262">
        <f ca="1">IF(AND(ISNUMBER($BB$707),$B$419=1),$BB$707,HLOOKUP(INDIRECT(ADDRESS(2,COLUMN())),OFFSET($BN$2,0,0,ROW()-1,60),ROW()-1,FALSE))</f>
        <v>7.096106732</v>
      </c>
      <c r="BC262">
        <f ca="1">IF(AND(ISNUMBER($BC$707),$B$419=1),$BC$707,HLOOKUP(INDIRECT(ADDRESS(2,COLUMN())),OFFSET($BN$2,0,0,ROW()-1,60),ROW()-1,FALSE))</f>
        <v>7.2374076369999996</v>
      </c>
      <c r="BD262">
        <f ca="1">IF(AND(ISNUMBER($BD$707),$B$419=1),$BD$707,HLOOKUP(INDIRECT(ADDRESS(2,COLUMN())),OFFSET($BN$2,0,0,ROW()-1,60),ROW()-1,FALSE))</f>
        <v>6.4185931629999997</v>
      </c>
      <c r="BE262">
        <f ca="1">IF(AND(ISNUMBER($BE$707),$B$419=1),$BE$707,HLOOKUP(INDIRECT(ADDRESS(2,COLUMN())),OFFSET($BN$2,0,0,ROW()-1,60),ROW()-1,FALSE))</f>
        <v>6.0744723240000003</v>
      </c>
      <c r="BF262">
        <f ca="1">IF(AND(ISNUMBER($BF$707),$B$419=1),$BF$707,HLOOKUP(INDIRECT(ADDRESS(2,COLUMN())),OFFSET($BN$2,0,0,ROW()-1,60),ROW()-1,FALSE))</f>
        <v>6.2359836900000003</v>
      </c>
      <c r="BG262">
        <f ca="1">IF(AND(ISNUMBER($BG$707),$B$419=1),$BG$707,HLOOKUP(INDIRECT(ADDRESS(2,COLUMN())),OFFSET($BN$2,0,0,ROW()-1,60),ROW()-1,FALSE))</f>
        <v>6.7313492330000004</v>
      </c>
      <c r="BH262">
        <f ca="1">IF(AND(ISNUMBER($BH$707),$B$419=1),$BH$707,HLOOKUP(INDIRECT(ADDRESS(2,COLUMN())),OFFSET($BN$2,0,0,ROW()-1,60),ROW()-1,FALSE))</f>
        <v>7.0039091879999997</v>
      </c>
      <c r="BI262">
        <f ca="1">IF(AND(ISNUMBER($BI$707),$B$419=1),$BI$707,HLOOKUP(INDIRECT(ADDRESS(2,COLUMN())),OFFSET($BN$2,0,0,ROW()-1,60),ROW()-1,FALSE))</f>
        <v>6.929669981</v>
      </c>
      <c r="BJ262">
        <f ca="1">IF(AND(ISNUMBER($BJ$707),$B$419=1),$BJ$707,HLOOKUP(INDIRECT(ADDRESS(2,COLUMN())),OFFSET($BN$2,0,0,ROW()-1,60),ROW()-1,FALSE))</f>
        <v>6.3721147619999998</v>
      </c>
      <c r="BK262">
        <f ca="1">IF(AND(ISNUMBER($BK$707),$B$419=1),$BK$707,HLOOKUP(INDIRECT(ADDRESS(2,COLUMN())),OFFSET($BN$2,0,0,ROW()-1,60),ROW()-1,FALSE))</f>
        <v>6.2353875810000003</v>
      </c>
      <c r="BL262">
        <f ca="1">IF(AND(ISNUMBER($BL$707),$B$419=1),$BL$707,HLOOKUP(INDIRECT(ADDRESS(2,COLUMN())),OFFSET($BN$2,0,0,ROW()-1,60),ROW()-1,FALSE))</f>
        <v>5.9359346860000004</v>
      </c>
      <c r="BM262">
        <f ca="1">IF(AND(ISNUMBER($BM$707),$B$419=1),$BM$707,HLOOKUP(INDIRECT(ADDRESS(2,COLUMN())),OFFSET($BN$2,0,0,ROW()-1,60),ROW()-1,FALSE))</f>
        <v>6.2605679900000002</v>
      </c>
      <c r="BN262" t="str">
        <f>""</f>
        <v/>
      </c>
      <c r="BO262">
        <f>7.984775339</f>
        <v>7.9847753389999996</v>
      </c>
      <c r="BP262">
        <f>7.70342693</f>
        <v>7.70342693</v>
      </c>
      <c r="BQ262">
        <f>7.95215354</f>
        <v>7.9521535400000003</v>
      </c>
      <c r="BR262">
        <f>8.159035597</f>
        <v>8.1590355970000008</v>
      </c>
      <c r="BS262">
        <f>8.171698686</f>
        <v>8.1716986859999992</v>
      </c>
      <c r="BT262">
        <f>9.888289259</f>
        <v>9.8882892590000004</v>
      </c>
      <c r="BU262">
        <f>8.855512168</f>
        <v>8.8555121680000006</v>
      </c>
      <c r="BV262">
        <f>8.45765742</f>
        <v>8.4576574200000003</v>
      </c>
      <c r="BW262">
        <f>8.190032095</f>
        <v>8.1900320949999994</v>
      </c>
      <c r="BX262">
        <f>7.163141904</f>
        <v>7.1631419039999997</v>
      </c>
      <c r="BY262">
        <f>7.152979073</f>
        <v>7.152979073</v>
      </c>
      <c r="BZ262">
        <f>6.841806759</f>
        <v>6.8418067589999998</v>
      </c>
      <c r="CA262">
        <f>7.023763318</f>
        <v>7.0237633180000003</v>
      </c>
      <c r="CB262">
        <f>7.613039741</f>
        <v>7.6130397409999997</v>
      </c>
      <c r="CC262">
        <f>7.79619072</f>
        <v>7.7961907200000002</v>
      </c>
      <c r="CD262">
        <f>8.042548379</f>
        <v>8.0425483789999994</v>
      </c>
      <c r="CE262">
        <f>7.880766154</f>
        <v>7.8807661539999998</v>
      </c>
      <c r="CF262">
        <f>7.555410861</f>
        <v>7.5554108610000004</v>
      </c>
      <c r="CG262">
        <f>7.25397899</f>
        <v>7.2539789900000002</v>
      </c>
      <c r="CH262">
        <f>7.18314206</f>
        <v>7.1831420599999998</v>
      </c>
      <c r="CI262">
        <f>7.393296359</f>
        <v>7.3932963589999998</v>
      </c>
      <c r="CJ262">
        <f>7.155213086</f>
        <v>7.1552130859999998</v>
      </c>
      <c r="CK262">
        <f>7.588809226</f>
        <v>7.5888092260000004</v>
      </c>
      <c r="CL262">
        <f>7.13469406</f>
        <v>7.1346940600000002</v>
      </c>
      <c r="CM262">
        <f>7.053743421</f>
        <v>7.0537434210000001</v>
      </c>
      <c r="CN262">
        <f>8.20259347</f>
        <v>8.2025934700000001</v>
      </c>
      <c r="CO262">
        <f>7.591389473</f>
        <v>7.5913894730000004</v>
      </c>
      <c r="CP262">
        <f>7.576288303</f>
        <v>7.5762883030000001</v>
      </c>
      <c r="CQ262">
        <f>7.602229415</f>
        <v>7.602229415</v>
      </c>
      <c r="CR262">
        <f>9.258247291</f>
        <v>9.258247291</v>
      </c>
      <c r="CS262">
        <f>9.397011002</f>
        <v>9.3970110019999993</v>
      </c>
      <c r="CT262">
        <f>9.332224914</f>
        <v>9.3322249139999993</v>
      </c>
      <c r="CU262">
        <f>9.547652077</f>
        <v>9.5476520770000004</v>
      </c>
      <c r="CV262">
        <f>8.313061695</f>
        <v>8.313061695</v>
      </c>
      <c r="CW262">
        <f>8.08728165</f>
        <v>8.0872816499999995</v>
      </c>
      <c r="CX262">
        <f>8.681101229</f>
        <v>8.6811012289999994</v>
      </c>
      <c r="CY262">
        <f>8.678749601</f>
        <v>8.6787496009999998</v>
      </c>
      <c r="CZ262">
        <f>8.390183466</f>
        <v>8.3901834659999999</v>
      </c>
      <c r="DA262">
        <f>8.653589962</f>
        <v>8.6535899619999999</v>
      </c>
      <c r="DB262">
        <f>8.665372907</f>
        <v>8.6653729070000001</v>
      </c>
      <c r="DC262">
        <f>8.807526433</f>
        <v>8.8075264329999996</v>
      </c>
      <c r="DD262">
        <f>7.705336717</f>
        <v>7.7053367169999998</v>
      </c>
      <c r="DE262">
        <f>7.598440324</f>
        <v>7.5984403240000002</v>
      </c>
      <c r="DF262">
        <f>7.290663599</f>
        <v>7.2906635990000002</v>
      </c>
      <c r="DG262">
        <f>7.034330723</f>
        <v>7.0343307230000001</v>
      </c>
      <c r="DH262">
        <f>6.908914207</f>
        <v>6.9089142069999996</v>
      </c>
      <c r="DI262">
        <f>6.829949604</f>
        <v>6.8299496040000003</v>
      </c>
      <c r="DJ262">
        <f>7.096106732</f>
        <v>7.096106732</v>
      </c>
      <c r="DK262">
        <f>7.237407637</f>
        <v>7.2374076369999996</v>
      </c>
      <c r="DL262">
        <f>6.418593163</f>
        <v>6.4185931629999997</v>
      </c>
      <c r="DM262">
        <f>6.074472324</f>
        <v>6.0744723240000003</v>
      </c>
      <c r="DN262">
        <f>6.23598369</f>
        <v>6.2359836900000003</v>
      </c>
      <c r="DO262">
        <f>6.731349233</f>
        <v>6.7313492330000004</v>
      </c>
      <c r="DP262">
        <f>7.003909188</f>
        <v>7.0039091879999997</v>
      </c>
      <c r="DQ262">
        <f>6.929669981</f>
        <v>6.929669981</v>
      </c>
      <c r="DR262">
        <f>6.372114762</f>
        <v>6.3721147619999998</v>
      </c>
      <c r="DS262">
        <f>6.235387581</f>
        <v>6.2353875810000003</v>
      </c>
      <c r="DT262">
        <f>5.935934686</f>
        <v>5.9359346860000004</v>
      </c>
      <c r="DU262">
        <f>6.26056799</f>
        <v>6.2605679900000002</v>
      </c>
    </row>
    <row r="263" spans="1:125">
      <c r="A263" t="str">
        <f>"    DDR Corp"</f>
        <v xml:space="preserve">    DDR Corp</v>
      </c>
      <c r="B263" t="str">
        <f>"DDR US Equity"</f>
        <v>DDR US Equity</v>
      </c>
      <c r="C263" t="str">
        <f t="shared" si="48"/>
        <v>RR052</v>
      </c>
      <c r="D263" t="str">
        <f t="shared" si="49"/>
        <v>TOT_DEBT_TO_EBITDA</v>
      </c>
      <c r="E263" t="str">
        <f t="shared" si="50"/>
        <v>动态</v>
      </c>
      <c r="F263" t="str">
        <f ca="1">IF(AND(ISNUMBER($F$708),$B$419=1),$F$708,HLOOKUP(INDIRECT(ADDRESS(2,COLUMN())),OFFSET($BN$2,0,0,ROW()-1,60),ROW()-1,FALSE))</f>
        <v/>
      </c>
      <c r="G263">
        <f ca="1">IF(AND(ISNUMBER($G$708),$B$419=1),$G$708,HLOOKUP(INDIRECT(ADDRESS(2,COLUMN())),OFFSET($BN$2,0,0,ROW()-1,60),ROW()-1,FALSE))</f>
        <v>17.011052530000001</v>
      </c>
      <c r="H263">
        <f ca="1">IF(AND(ISNUMBER($H$708),$B$419=1),$H$708,HLOOKUP(INDIRECT(ADDRESS(2,COLUMN())),OFFSET($BN$2,0,0,ROW()-1,60),ROW()-1,FALSE))</f>
        <v>7.7897774870000003</v>
      </c>
      <c r="I263">
        <f ca="1">IF(AND(ISNUMBER($I$708),$B$419=1),$I$708,HLOOKUP(INDIRECT(ADDRESS(2,COLUMN())),OFFSET($BN$2,0,0,ROW()-1,60),ROW()-1,FALSE))</f>
        <v>10.31653545</v>
      </c>
      <c r="J263">
        <f ca="1">IF(AND(ISNUMBER($J$708),$B$419=1),$J$708,HLOOKUP(INDIRECT(ADDRESS(2,COLUMN())),OFFSET($BN$2,0,0,ROW()-1,60),ROW()-1,FALSE))</f>
        <v>9.2231420810000007</v>
      </c>
      <c r="K263">
        <f ca="1">IF(AND(ISNUMBER($K$708),$B$419=1),$K$708,HLOOKUP(INDIRECT(ADDRESS(2,COLUMN())),OFFSET($BN$2,0,0,ROW()-1,60),ROW()-1,FALSE))</f>
        <v>8.4216475739999996</v>
      </c>
      <c r="L263">
        <f ca="1">IF(AND(ISNUMBER($L$708),$B$419=1),$L$708,HLOOKUP(INDIRECT(ADDRESS(2,COLUMN())),OFFSET($BN$2,0,0,ROW()-1,60),ROW()-1,FALSE))</f>
        <v>9.0467385230000001</v>
      </c>
      <c r="M263">
        <f ca="1">IF(AND(ISNUMBER($M$708),$B$419=1),$M$708,HLOOKUP(INDIRECT(ADDRESS(2,COLUMN())),OFFSET($BN$2,0,0,ROW()-1,60),ROW()-1,FALSE))</f>
        <v>7.561045697</v>
      </c>
      <c r="N263">
        <f ca="1">IF(AND(ISNUMBER($N$708),$B$419=1),$N$708,HLOOKUP(INDIRECT(ADDRESS(2,COLUMN())),OFFSET($BN$2,0,0,ROW()-1,60),ROW()-1,FALSE))</f>
        <v>7.7355728800000003</v>
      </c>
      <c r="O263">
        <f ca="1">IF(AND(ISNUMBER($O$708),$B$419=1),$O$708,HLOOKUP(INDIRECT(ADDRESS(2,COLUMN())),OFFSET($BN$2,0,0,ROW()-1,60),ROW()-1,FALSE))</f>
        <v>13.82309418</v>
      </c>
      <c r="P263">
        <f ca="1">IF(AND(ISNUMBER($P$708),$B$419=1),$P$708,HLOOKUP(INDIRECT(ADDRESS(2,COLUMN())),OFFSET($BN$2,0,0,ROW()-1,60),ROW()-1,FALSE))</f>
        <v>15.505105459999999</v>
      </c>
      <c r="Q263">
        <f ca="1">IF(AND(ISNUMBER($Q$708),$B$419=1),$Q$708,HLOOKUP(INDIRECT(ADDRESS(2,COLUMN())),OFFSET($BN$2,0,0,ROW()-1,60),ROW()-1,FALSE))</f>
        <v>16.027410280000002</v>
      </c>
      <c r="R263">
        <f ca="1">IF(AND(ISNUMBER($R$708),$B$419=1),$R$708,HLOOKUP(INDIRECT(ADDRESS(2,COLUMN())),OFFSET($BN$2,0,0,ROW()-1,60),ROW()-1,FALSE))</f>
        <v>17.024327490000001</v>
      </c>
      <c r="S263">
        <f ca="1">IF(AND(ISNUMBER($S$708),$B$419=1),$S$708,HLOOKUP(INDIRECT(ADDRESS(2,COLUMN())),OFFSET($BN$2,0,0,ROW()-1,60),ROW()-1,FALSE))</f>
        <v>9.1715742690000006</v>
      </c>
      <c r="T263">
        <f ca="1">IF(AND(ISNUMBER($T$708),$B$419=1),$T$708,HLOOKUP(INDIRECT(ADDRESS(2,COLUMN())),OFFSET($BN$2,0,0,ROW()-1,60),ROW()-1,FALSE))</f>
        <v>8.7893199580000001</v>
      </c>
      <c r="U263">
        <f ca="1">IF(AND(ISNUMBER($U$708),$B$419=1),$U$708,HLOOKUP(INDIRECT(ADDRESS(2,COLUMN())),OFFSET($BN$2,0,0,ROW()-1,60),ROW()-1,FALSE))</f>
        <v>9.5506671569999995</v>
      </c>
      <c r="V263">
        <f ca="1">IF(AND(ISNUMBER($V$708),$B$419=1),$V$708,HLOOKUP(INDIRECT(ADDRESS(2,COLUMN())),OFFSET($BN$2,0,0,ROW()-1,60),ROW()-1,FALSE))</f>
        <v>9.7994042520000004</v>
      </c>
      <c r="W263">
        <f ca="1">IF(AND(ISNUMBER($W$708),$B$419=1),$W$708,HLOOKUP(INDIRECT(ADDRESS(2,COLUMN())),OFFSET($BN$2,0,0,ROW()-1,60),ROW()-1,FALSE))</f>
        <v>10.3277059</v>
      </c>
      <c r="X263">
        <f ca="1">IF(AND(ISNUMBER($X$708),$B$419=1),$X$708,HLOOKUP(INDIRECT(ADDRESS(2,COLUMN())),OFFSET($BN$2,0,0,ROW()-1,60),ROW()-1,FALSE))</f>
        <v>9.6078053039999993</v>
      </c>
      <c r="Y263">
        <f ca="1">IF(AND(ISNUMBER($Y$708),$B$419=1),$Y$708,HLOOKUP(INDIRECT(ADDRESS(2,COLUMN())),OFFSET($BN$2,0,0,ROW()-1,60),ROW()-1,FALSE))</f>
        <v>9.7826280269999994</v>
      </c>
      <c r="Z263">
        <f ca="1">IF(AND(ISNUMBER($Z$708),$B$419=1),$Z$708,HLOOKUP(INDIRECT(ADDRESS(2,COLUMN())),OFFSET($BN$2,0,0,ROW()-1,60),ROW()-1,FALSE))</f>
        <v>10.67781347</v>
      </c>
      <c r="AA263">
        <f ca="1">IF(AND(ISNUMBER($AA$708),$B$419=1),$AA$708,HLOOKUP(INDIRECT(ADDRESS(2,COLUMN())),OFFSET($BN$2,0,0,ROW()-1,60),ROW()-1,FALSE))</f>
        <v>10.83613615</v>
      </c>
      <c r="AB263">
        <f ca="1">IF(AND(ISNUMBER($AB$708),$B$419=1),$AB$708,HLOOKUP(INDIRECT(ADDRESS(2,COLUMN())),OFFSET($BN$2,0,0,ROW()-1,60),ROW()-1,FALSE))</f>
        <v>10.90711318</v>
      </c>
      <c r="AC263">
        <f ca="1">IF(AND(ISNUMBER($AC$708),$B$419=1),$AC$708,HLOOKUP(INDIRECT(ADDRESS(2,COLUMN())),OFFSET($BN$2,0,0,ROW()-1,60),ROW()-1,FALSE))</f>
        <v>11.219453740000001</v>
      </c>
      <c r="AD263">
        <f ca="1">IF(AND(ISNUMBER($AD$708),$B$419=1),$AD$708,HLOOKUP(INDIRECT(ADDRESS(2,COLUMN())),OFFSET($BN$2,0,0,ROW()-1,60),ROW()-1,FALSE))</f>
        <v>10.426381259999999</v>
      </c>
      <c r="AE263">
        <f ca="1">IF(AND(ISNUMBER($AE$708),$B$419=1),$AE$708,HLOOKUP(INDIRECT(ADDRESS(2,COLUMN())),OFFSET($BN$2,0,0,ROW()-1,60),ROW()-1,FALSE))</f>
        <v>10.708541609999999</v>
      </c>
      <c r="AF263">
        <f ca="1">IF(AND(ISNUMBER($AF$708),$B$419=1),$AF$708,HLOOKUP(INDIRECT(ADDRESS(2,COLUMN())),OFFSET($BN$2,0,0,ROW()-1,60),ROW()-1,FALSE))</f>
        <v>11.54470796</v>
      </c>
      <c r="AG263">
        <f ca="1">IF(AND(ISNUMBER($AG$708),$B$419=1),$AG$708,HLOOKUP(INDIRECT(ADDRESS(2,COLUMN())),OFFSET($BN$2,0,0,ROW()-1,60),ROW()-1,FALSE))</f>
        <v>10.294813449999999</v>
      </c>
      <c r="AH263">
        <f ca="1">IF(AND(ISNUMBER($AH$708),$B$419=1),$AH$708,HLOOKUP(INDIRECT(ADDRESS(2,COLUMN())),OFFSET($BN$2,0,0,ROW()-1,60),ROW()-1,FALSE))</f>
        <v>12.47905744</v>
      </c>
      <c r="AI263">
        <f ca="1">IF(AND(ISNUMBER($AI$708),$B$419=1),$AI$708,HLOOKUP(INDIRECT(ADDRESS(2,COLUMN())),OFFSET($BN$2,0,0,ROW()-1,60),ROW()-1,FALSE))</f>
        <v>11.88338701</v>
      </c>
      <c r="AJ263">
        <f ca="1">IF(AND(ISNUMBER($AJ$708),$B$419=1),$AJ$708,HLOOKUP(INDIRECT(ADDRESS(2,COLUMN())),OFFSET($BN$2,0,0,ROW()-1,60),ROW()-1,FALSE))</f>
        <v>11.05825375</v>
      </c>
      <c r="AK263">
        <f ca="1">IF(AND(ISNUMBER($AK$708),$B$419=1),$AK$708,HLOOKUP(INDIRECT(ADDRESS(2,COLUMN())),OFFSET($BN$2,0,0,ROW()-1,60),ROW()-1,FALSE))</f>
        <v>13.805407799999999</v>
      </c>
      <c r="AL263">
        <f ca="1">IF(AND(ISNUMBER($AL$708),$B$419=1),$AL$708,HLOOKUP(INDIRECT(ADDRESS(2,COLUMN())),OFFSET($BN$2,0,0,ROW()-1,60),ROW()-1,FALSE))</f>
        <v>14.93080747</v>
      </c>
      <c r="AM263">
        <f ca="1">IF(AND(ISNUMBER($AM$708),$B$419=1),$AM$708,HLOOKUP(INDIRECT(ADDRESS(2,COLUMN())),OFFSET($BN$2,0,0,ROW()-1,60),ROW()-1,FALSE))</f>
        <v>16.26955049</v>
      </c>
      <c r="AN263">
        <f ca="1">IF(AND(ISNUMBER($AN$708),$B$419=1),$AN$708,HLOOKUP(INDIRECT(ADDRESS(2,COLUMN())),OFFSET($BN$2,0,0,ROW()-1,60),ROW()-1,FALSE))</f>
        <v>13.24245462</v>
      </c>
      <c r="AO263">
        <f ca="1">IF(AND(ISNUMBER($AO$708),$B$419=1),$AO$708,HLOOKUP(INDIRECT(ADDRESS(2,COLUMN())),OFFSET($BN$2,0,0,ROW()-1,60),ROW()-1,FALSE))</f>
        <v>11.490480870000001</v>
      </c>
      <c r="AP263">
        <f ca="1">IF(AND(ISNUMBER($AP$708),$B$419=1),$AP$708,HLOOKUP(INDIRECT(ADDRESS(2,COLUMN())),OFFSET($BN$2,0,0,ROW()-1,60),ROW()-1,FALSE))</f>
        <v>10.46362508</v>
      </c>
      <c r="AQ263">
        <f ca="1">IF(AND(ISNUMBER($AQ$708),$B$419=1),$AQ$708,HLOOKUP(INDIRECT(ADDRESS(2,COLUMN())),OFFSET($BN$2,0,0,ROW()-1,60),ROW()-1,FALSE))</f>
        <v>10.068485859999999</v>
      </c>
      <c r="AR263" t="str">
        <f ca="1">IF(AND(ISNUMBER($AR$708),$B$419=1),$AR$708,HLOOKUP(INDIRECT(ADDRESS(2,COLUMN())),OFFSET($BN$2,0,0,ROW()-1,60),ROW()-1,FALSE))</f>
        <v/>
      </c>
      <c r="AS263" t="str">
        <f ca="1">IF(AND(ISNUMBER($AS$708),$B$419=1),$AS$708,HLOOKUP(INDIRECT(ADDRESS(2,COLUMN())),OFFSET($BN$2,0,0,ROW()-1,60),ROW()-1,FALSE))</f>
        <v/>
      </c>
      <c r="AT263" t="str">
        <f ca="1">IF(AND(ISNUMBER($AT$708),$B$419=1),$AT$708,HLOOKUP(INDIRECT(ADDRESS(2,COLUMN())),OFFSET($BN$2,0,0,ROW()-1,60),ROW()-1,FALSE))</f>
        <v/>
      </c>
      <c r="AU263" t="str">
        <f ca="1">IF(AND(ISNUMBER($AU$708),$B$419=1),$AU$708,HLOOKUP(INDIRECT(ADDRESS(2,COLUMN())),OFFSET($BN$2,0,0,ROW()-1,60),ROW()-1,FALSE))</f>
        <v/>
      </c>
      <c r="AV263" t="str">
        <f ca="1">IF(AND(ISNUMBER($AV$708),$B$419=1),$AV$708,HLOOKUP(INDIRECT(ADDRESS(2,COLUMN())),OFFSET($BN$2,0,0,ROW()-1,60),ROW()-1,FALSE))</f>
        <v/>
      </c>
      <c r="AW263" t="str">
        <f ca="1">IF(AND(ISNUMBER($AW$708),$B$419=1),$AW$708,HLOOKUP(INDIRECT(ADDRESS(2,COLUMN())),OFFSET($BN$2,0,0,ROW()-1,60),ROW()-1,FALSE))</f>
        <v/>
      </c>
      <c r="AX263" t="str">
        <f ca="1">IF(AND(ISNUMBER($AX$708),$B$419=1),$AX$708,HLOOKUP(INDIRECT(ADDRESS(2,COLUMN())),OFFSET($BN$2,0,0,ROW()-1,60),ROW()-1,FALSE))</f>
        <v/>
      </c>
      <c r="AY263" t="str">
        <f ca="1">IF(AND(ISNUMBER($AY$708),$B$419=1),$AY$708,HLOOKUP(INDIRECT(ADDRESS(2,COLUMN())),OFFSET($BN$2,0,0,ROW()-1,60),ROW()-1,FALSE))</f>
        <v/>
      </c>
      <c r="AZ263" t="str">
        <f ca="1">IF(AND(ISNUMBER($AZ$708),$B$419=1),$AZ$708,HLOOKUP(INDIRECT(ADDRESS(2,COLUMN())),OFFSET($BN$2,0,0,ROW()-1,60),ROW()-1,FALSE))</f>
        <v/>
      </c>
      <c r="BA263" t="str">
        <f ca="1">IF(AND(ISNUMBER($BA$708),$B$419=1),$BA$708,HLOOKUP(INDIRECT(ADDRESS(2,COLUMN())),OFFSET($BN$2,0,0,ROW()-1,60),ROW()-1,FALSE))</f>
        <v/>
      </c>
      <c r="BB263" t="str">
        <f ca="1">IF(AND(ISNUMBER($BB$708),$B$419=1),$BB$708,HLOOKUP(INDIRECT(ADDRESS(2,COLUMN())),OFFSET($BN$2,0,0,ROW()-1,60),ROW()-1,FALSE))</f>
        <v/>
      </c>
      <c r="BC263" t="str">
        <f ca="1">IF(AND(ISNUMBER($BC$708),$B$419=1),$BC$708,HLOOKUP(INDIRECT(ADDRESS(2,COLUMN())),OFFSET($BN$2,0,0,ROW()-1,60),ROW()-1,FALSE))</f>
        <v/>
      </c>
      <c r="BD263" t="str">
        <f ca="1">IF(AND(ISNUMBER($BD$708),$B$419=1),$BD$708,HLOOKUP(INDIRECT(ADDRESS(2,COLUMN())),OFFSET($BN$2,0,0,ROW()-1,60),ROW()-1,FALSE))</f>
        <v/>
      </c>
      <c r="BE263" t="str">
        <f ca="1">IF(AND(ISNUMBER($BE$708),$B$419=1),$BE$708,HLOOKUP(INDIRECT(ADDRESS(2,COLUMN())),OFFSET($BN$2,0,0,ROW()-1,60),ROW()-1,FALSE))</f>
        <v/>
      </c>
      <c r="BF263" t="str">
        <f ca="1">IF(AND(ISNUMBER($BF$708),$B$419=1),$BF$708,HLOOKUP(INDIRECT(ADDRESS(2,COLUMN())),OFFSET($BN$2,0,0,ROW()-1,60),ROW()-1,FALSE))</f>
        <v/>
      </c>
      <c r="BG263" t="str">
        <f ca="1">IF(AND(ISNUMBER($BG$708),$B$419=1),$BG$708,HLOOKUP(INDIRECT(ADDRESS(2,COLUMN())),OFFSET($BN$2,0,0,ROW()-1,60),ROW()-1,FALSE))</f>
        <v/>
      </c>
      <c r="BH263" t="str">
        <f ca="1">IF(AND(ISNUMBER($BH$708),$B$419=1),$BH$708,HLOOKUP(INDIRECT(ADDRESS(2,COLUMN())),OFFSET($BN$2,0,0,ROW()-1,60),ROW()-1,FALSE))</f>
        <v/>
      </c>
      <c r="BI263" t="str">
        <f ca="1">IF(AND(ISNUMBER($BI$708),$B$419=1),$BI$708,HLOOKUP(INDIRECT(ADDRESS(2,COLUMN())),OFFSET($BN$2,0,0,ROW()-1,60),ROW()-1,FALSE))</f>
        <v/>
      </c>
      <c r="BJ263" t="str">
        <f ca="1">IF(AND(ISNUMBER($BJ$708),$B$419=1),$BJ$708,HLOOKUP(INDIRECT(ADDRESS(2,COLUMN())),OFFSET($BN$2,0,0,ROW()-1,60),ROW()-1,FALSE))</f>
        <v/>
      </c>
      <c r="BK263" t="str">
        <f ca="1">IF(AND(ISNUMBER($BK$708),$B$419=1),$BK$708,HLOOKUP(INDIRECT(ADDRESS(2,COLUMN())),OFFSET($BN$2,0,0,ROW()-1,60),ROW()-1,FALSE))</f>
        <v/>
      </c>
      <c r="BL263" t="str">
        <f ca="1">IF(AND(ISNUMBER($BL$708),$B$419=1),$BL$708,HLOOKUP(INDIRECT(ADDRESS(2,COLUMN())),OFFSET($BN$2,0,0,ROW()-1,60),ROW()-1,FALSE))</f>
        <v/>
      </c>
      <c r="BM263" t="str">
        <f ca="1">IF(AND(ISNUMBER($BM$708),$B$419=1),$BM$708,HLOOKUP(INDIRECT(ADDRESS(2,COLUMN())),OFFSET($BN$2,0,0,ROW()-1,60),ROW()-1,FALSE))</f>
        <v/>
      </c>
      <c r="BN263" t="str">
        <f>""</f>
        <v/>
      </c>
      <c r="BO263">
        <f>17.01105253</f>
        <v>17.011052530000001</v>
      </c>
      <c r="BP263">
        <f>7.789777487</f>
        <v>7.7897774870000003</v>
      </c>
      <c r="BQ263">
        <f>10.31653545</f>
        <v>10.31653545</v>
      </c>
      <c r="BR263">
        <f>9.223142081</f>
        <v>9.2231420810000007</v>
      </c>
      <c r="BS263">
        <f>8.421647574</f>
        <v>8.4216475739999996</v>
      </c>
      <c r="BT263">
        <f>9.046738523</f>
        <v>9.0467385230000001</v>
      </c>
      <c r="BU263">
        <f>7.561045697</f>
        <v>7.561045697</v>
      </c>
      <c r="BV263">
        <f>7.73557288</f>
        <v>7.7355728800000003</v>
      </c>
      <c r="BW263">
        <f>13.82309418</f>
        <v>13.82309418</v>
      </c>
      <c r="BX263">
        <f>15.50510546</f>
        <v>15.505105459999999</v>
      </c>
      <c r="BY263">
        <f>16.02741028</f>
        <v>16.027410280000002</v>
      </c>
      <c r="BZ263">
        <f>17.02432749</f>
        <v>17.024327490000001</v>
      </c>
      <c r="CA263">
        <f>9.171574269</f>
        <v>9.1715742690000006</v>
      </c>
      <c r="CB263">
        <f>8.789319958</f>
        <v>8.7893199580000001</v>
      </c>
      <c r="CC263">
        <f>9.550667157</f>
        <v>9.5506671569999995</v>
      </c>
      <c r="CD263">
        <f>9.799404252</f>
        <v>9.7994042520000004</v>
      </c>
      <c r="CE263">
        <f>10.3277059</f>
        <v>10.3277059</v>
      </c>
      <c r="CF263">
        <f>9.607805304</f>
        <v>9.6078053039999993</v>
      </c>
      <c r="CG263">
        <f>9.782628027</f>
        <v>9.7826280269999994</v>
      </c>
      <c r="CH263">
        <f>10.67781347</f>
        <v>10.67781347</v>
      </c>
      <c r="CI263">
        <f>10.83613615</f>
        <v>10.83613615</v>
      </c>
      <c r="CJ263">
        <f>10.90711318</f>
        <v>10.90711318</v>
      </c>
      <c r="CK263">
        <f>11.21945374</f>
        <v>11.219453740000001</v>
      </c>
      <c r="CL263">
        <f>10.42638126</f>
        <v>10.426381259999999</v>
      </c>
      <c r="CM263">
        <f>10.70854161</f>
        <v>10.708541609999999</v>
      </c>
      <c r="CN263">
        <f>11.54470796</f>
        <v>11.54470796</v>
      </c>
      <c r="CO263">
        <f>10.29481345</f>
        <v>10.294813449999999</v>
      </c>
      <c r="CP263">
        <f>12.47905744</f>
        <v>12.47905744</v>
      </c>
      <c r="CQ263">
        <f>11.88338701</f>
        <v>11.88338701</v>
      </c>
      <c r="CR263">
        <f>11.05825375</f>
        <v>11.05825375</v>
      </c>
      <c r="CS263">
        <f>13.8054078</f>
        <v>13.805407799999999</v>
      </c>
      <c r="CT263">
        <f>14.93080747</f>
        <v>14.93080747</v>
      </c>
      <c r="CU263">
        <f>16.26955049</f>
        <v>16.26955049</v>
      </c>
      <c r="CV263">
        <f>13.24245462</f>
        <v>13.24245462</v>
      </c>
      <c r="CW263">
        <f>11.49048087</f>
        <v>11.490480870000001</v>
      </c>
      <c r="CX263">
        <f>10.46362508</f>
        <v>10.46362508</v>
      </c>
      <c r="CY263">
        <f>10.06848586</f>
        <v>10.068485859999999</v>
      </c>
      <c r="CZ263" t="str">
        <f>""</f>
        <v/>
      </c>
      <c r="DA263" t="str">
        <f>""</f>
        <v/>
      </c>
      <c r="DB263" t="str">
        <f>""</f>
        <v/>
      </c>
      <c r="DC263" t="str">
        <f>""</f>
        <v/>
      </c>
      <c r="DD263" t="str">
        <f>""</f>
        <v/>
      </c>
      <c r="DE263" t="str">
        <f>""</f>
        <v/>
      </c>
      <c r="DF263" t="str">
        <f>""</f>
        <v/>
      </c>
      <c r="DG263" t="str">
        <f>""</f>
        <v/>
      </c>
      <c r="DH263" t="str">
        <f>""</f>
        <v/>
      </c>
      <c r="DI263" t="str">
        <f>""</f>
        <v/>
      </c>
      <c r="DJ263" t="str">
        <f>""</f>
        <v/>
      </c>
      <c r="DK263" t="str">
        <f>""</f>
        <v/>
      </c>
      <c r="DL263" t="str">
        <f>""</f>
        <v/>
      </c>
      <c r="DM263" t="str">
        <f>""</f>
        <v/>
      </c>
      <c r="DN263" t="str">
        <f>""</f>
        <v/>
      </c>
      <c r="DO263" t="str">
        <f>""</f>
        <v/>
      </c>
      <c r="DP263" t="str">
        <f>""</f>
        <v/>
      </c>
      <c r="DQ263" t="str">
        <f>""</f>
        <v/>
      </c>
      <c r="DR263" t="str">
        <f>""</f>
        <v/>
      </c>
      <c r="DS263" t="str">
        <f>""</f>
        <v/>
      </c>
      <c r="DT263" t="str">
        <f>""</f>
        <v/>
      </c>
      <c r="DU263" t="str">
        <f>""</f>
        <v/>
      </c>
    </row>
    <row r="264" spans="1:125">
      <c r="A264" t="str">
        <f>"    Federal Realty Investment Trus"</f>
        <v xml:space="preserve">    Federal Realty Investment Trus</v>
      </c>
      <c r="B264" t="str">
        <f>"FRT US Equity"</f>
        <v>FRT US Equity</v>
      </c>
      <c r="C264" t="str">
        <f t="shared" si="48"/>
        <v>RR052</v>
      </c>
      <c r="D264" t="str">
        <f t="shared" si="49"/>
        <v>TOT_DEBT_TO_EBITDA</v>
      </c>
      <c r="E264" t="str">
        <f t="shared" si="50"/>
        <v>动态</v>
      </c>
      <c r="F264" t="str">
        <f ca="1">IF(AND(ISNUMBER($F$709),$B$419=1),$F$709,HLOOKUP(INDIRECT(ADDRESS(2,COLUMN())),OFFSET($BN$2,0,0,ROW()-1,60),ROW()-1,FALSE))</f>
        <v/>
      </c>
      <c r="G264">
        <f ca="1">IF(AND(ISNUMBER($G$709),$B$419=1),$G$709,HLOOKUP(INDIRECT(ADDRESS(2,COLUMN())),OFFSET($BN$2,0,0,ROW()-1,60),ROW()-1,FALSE))</f>
        <v>5.9904037289999996</v>
      </c>
      <c r="H264">
        <f ca="1">IF(AND(ISNUMBER($H$709),$B$419=1),$H$709,HLOOKUP(INDIRECT(ADDRESS(2,COLUMN())),OFFSET($BN$2,0,0,ROW()-1,60),ROW()-1,FALSE))</f>
        <v>6.0354902419999998</v>
      </c>
      <c r="I264">
        <f ca="1">IF(AND(ISNUMBER($I$709),$B$419=1),$I$709,HLOOKUP(INDIRECT(ADDRESS(2,COLUMN())),OFFSET($BN$2,0,0,ROW()-1,60),ROW()-1,FALSE))</f>
        <v>5.9305241070000001</v>
      </c>
      <c r="J264">
        <f ca="1">IF(AND(ISNUMBER($J$709),$B$419=1),$J$709,HLOOKUP(INDIRECT(ADDRESS(2,COLUMN())),OFFSET($BN$2,0,0,ROW()-1,60),ROW()-1,FALSE))</f>
        <v>5.764102437</v>
      </c>
      <c r="K264">
        <f ca="1">IF(AND(ISNUMBER($K$709),$B$419=1),$K$709,HLOOKUP(INDIRECT(ADDRESS(2,COLUMN())),OFFSET($BN$2,0,0,ROW()-1,60),ROW()-1,FALSE))</f>
        <v>5.4383225150000003</v>
      </c>
      <c r="L264">
        <f ca="1">IF(AND(ISNUMBER($L$709),$B$419=1),$L$709,HLOOKUP(INDIRECT(ADDRESS(2,COLUMN())),OFFSET($BN$2,0,0,ROW()-1,60),ROW()-1,FALSE))</f>
        <v>5.5635812050000002</v>
      </c>
      <c r="M264">
        <f ca="1">IF(AND(ISNUMBER($M$709),$B$419=1),$M$709,HLOOKUP(INDIRECT(ADDRESS(2,COLUMN())),OFFSET($BN$2,0,0,ROW()-1,60),ROW()-1,FALSE))</f>
        <v>5.3808844999999996</v>
      </c>
      <c r="N264">
        <f ca="1">IF(AND(ISNUMBER($N$709),$B$419=1),$N$709,HLOOKUP(INDIRECT(ADDRESS(2,COLUMN())),OFFSET($BN$2,0,0,ROW()-1,60),ROW()-1,FALSE))</f>
        <v>5.4767580039999997</v>
      </c>
      <c r="O264">
        <f ca="1">IF(AND(ISNUMBER($O$709),$B$419=1),$O$709,HLOOKUP(INDIRECT(ADDRESS(2,COLUMN())),OFFSET($BN$2,0,0,ROW()-1,60),ROW()-1,FALSE))</f>
        <v>5.5315633220000002</v>
      </c>
      <c r="P264">
        <f ca="1">IF(AND(ISNUMBER($P$709),$B$419=1),$P$709,HLOOKUP(INDIRECT(ADDRESS(2,COLUMN())),OFFSET($BN$2,0,0,ROW()-1,60),ROW()-1,FALSE))</f>
        <v>5.4162550200000004</v>
      </c>
      <c r="Q264">
        <f ca="1">IF(AND(ISNUMBER($Q$709),$B$419=1),$Q$709,HLOOKUP(INDIRECT(ADDRESS(2,COLUMN())),OFFSET($BN$2,0,0,ROW()-1,60),ROW()-1,FALSE))</f>
        <v>5.541370906</v>
      </c>
      <c r="R264">
        <f ca="1">IF(AND(ISNUMBER($R$709),$B$419=1),$R$709,HLOOKUP(INDIRECT(ADDRESS(2,COLUMN())),OFFSET($BN$2,0,0,ROW()-1,60),ROW()-1,FALSE))</f>
        <v>5.8768674929999998</v>
      </c>
      <c r="S264">
        <f ca="1">IF(AND(ISNUMBER($S$709),$B$419=1),$S$709,HLOOKUP(INDIRECT(ADDRESS(2,COLUMN())),OFFSET($BN$2,0,0,ROW()-1,60),ROW()-1,FALSE))</f>
        <v>5.4535963479999996</v>
      </c>
      <c r="T264">
        <f ca="1">IF(AND(ISNUMBER($T$709),$B$419=1),$T$709,HLOOKUP(INDIRECT(ADDRESS(2,COLUMN())),OFFSET($BN$2,0,0,ROW()-1,60),ROW()-1,FALSE))</f>
        <v>5.3145042800000004</v>
      </c>
      <c r="U264">
        <f ca="1">IF(AND(ISNUMBER($U$709),$B$419=1),$U$709,HLOOKUP(INDIRECT(ADDRESS(2,COLUMN())),OFFSET($BN$2,0,0,ROW()-1,60),ROW()-1,FALSE))</f>
        <v>5.543201807</v>
      </c>
      <c r="V264">
        <f ca="1">IF(AND(ISNUMBER($V$709),$B$419=1),$V$709,HLOOKUP(INDIRECT(ADDRESS(2,COLUMN())),OFFSET($BN$2,0,0,ROW()-1,60),ROW()-1,FALSE))</f>
        <v>5.7028548399999996</v>
      </c>
      <c r="W264">
        <f ca="1">IF(AND(ISNUMBER($W$709),$B$419=1),$W$709,HLOOKUP(INDIRECT(ADDRESS(2,COLUMN())),OFFSET($BN$2,0,0,ROW()-1,60),ROW()-1,FALSE))</f>
        <v>5.5913451810000003</v>
      </c>
      <c r="X264">
        <f ca="1">IF(AND(ISNUMBER($X$709),$B$419=1),$X$709,HLOOKUP(INDIRECT(ADDRESS(2,COLUMN())),OFFSET($BN$2,0,0,ROW()-1,60),ROW()-1,FALSE))</f>
        <v>5.6056907699999998</v>
      </c>
      <c r="Y264">
        <f ca="1">IF(AND(ISNUMBER($Y$709),$B$419=1),$Y$709,HLOOKUP(INDIRECT(ADDRESS(2,COLUMN())),OFFSET($BN$2,0,0,ROW()-1,60),ROW()-1,FALSE))</f>
        <v>5.6430527499999998</v>
      </c>
      <c r="Z264">
        <f ca="1">IF(AND(ISNUMBER($Z$709),$B$419=1),$Z$709,HLOOKUP(INDIRECT(ADDRESS(2,COLUMN())),OFFSET($BN$2,0,0,ROW()-1,60),ROW()-1,FALSE))</f>
        <v>5.449060265</v>
      </c>
      <c r="AA264">
        <f ca="1">IF(AND(ISNUMBER($AA$709),$B$419=1),$AA$709,HLOOKUP(INDIRECT(ADDRESS(2,COLUMN())),OFFSET($BN$2,0,0,ROW()-1,60),ROW()-1,FALSE))</f>
        <v>5.5635375260000002</v>
      </c>
      <c r="AB264">
        <f ca="1">IF(AND(ISNUMBER($AB$709),$B$419=1),$AB$709,HLOOKUP(INDIRECT(ADDRESS(2,COLUMN())),OFFSET($BN$2,0,0,ROW()-1,60),ROW()-1,FALSE))</f>
        <v>5.6547398099999997</v>
      </c>
      <c r="AC264">
        <f ca="1">IF(AND(ISNUMBER($AC$709),$B$419=1),$AC$709,HLOOKUP(INDIRECT(ADDRESS(2,COLUMN())),OFFSET($BN$2,0,0,ROW()-1,60),ROW()-1,FALSE))</f>
        <v>5.6725704390000002</v>
      </c>
      <c r="AD264">
        <f ca="1">IF(AND(ISNUMBER($AD$709),$B$419=1),$AD$709,HLOOKUP(INDIRECT(ADDRESS(2,COLUMN())),OFFSET($BN$2,0,0,ROW()-1,60),ROW()-1,FALSE))</f>
        <v>5.8041603439999996</v>
      </c>
      <c r="AE264">
        <f ca="1">IF(AND(ISNUMBER($AE$709),$B$419=1),$AE$709,HLOOKUP(INDIRECT(ADDRESS(2,COLUMN())),OFFSET($BN$2,0,0,ROW()-1,60),ROW()-1,FALSE))</f>
        <v>5.9571507209999996</v>
      </c>
      <c r="AF264">
        <f ca="1">IF(AND(ISNUMBER($AF$709),$B$419=1),$AF$709,HLOOKUP(INDIRECT(ADDRESS(2,COLUMN())),OFFSET($BN$2,0,0,ROW()-1,60),ROW()-1,FALSE))</f>
        <v>4.8886902389999998</v>
      </c>
      <c r="AG264">
        <f ca="1">IF(AND(ISNUMBER($AG$709),$B$419=1),$AG$709,HLOOKUP(INDIRECT(ADDRESS(2,COLUMN())),OFFSET($BN$2,0,0,ROW()-1,60),ROW()-1,FALSE))</f>
        <v>5.0193097309999999</v>
      </c>
      <c r="AH264">
        <f ca="1">IF(AND(ISNUMBER($AH$709),$B$419=1),$AH$709,HLOOKUP(INDIRECT(ADDRESS(2,COLUMN())),OFFSET($BN$2,0,0,ROW()-1,60),ROW()-1,FALSE))</f>
        <v>5.1792142989999999</v>
      </c>
      <c r="AI264">
        <f ca="1">IF(AND(ISNUMBER($AI$709),$B$419=1),$AI$709,HLOOKUP(INDIRECT(ADDRESS(2,COLUMN())),OFFSET($BN$2,0,0,ROW()-1,60),ROW()-1,FALSE))</f>
        <v>5.0591443409999997</v>
      </c>
      <c r="AJ264">
        <f ca="1">IF(AND(ISNUMBER($AJ$709),$B$419=1),$AJ$709,HLOOKUP(INDIRECT(ADDRESS(2,COLUMN())),OFFSET($BN$2,0,0,ROW()-1,60),ROW()-1,FALSE))</f>
        <v>4.8872145649999998</v>
      </c>
      <c r="AK264">
        <f ca="1">IF(AND(ISNUMBER($AK$709),$B$419=1),$AK$709,HLOOKUP(INDIRECT(ADDRESS(2,COLUMN())),OFFSET($BN$2,0,0,ROW()-1,60),ROW()-1,FALSE))</f>
        <v>4.8110818809999998</v>
      </c>
      <c r="AL264">
        <f ca="1">IF(AND(ISNUMBER($AL$709),$B$419=1),$AL$709,HLOOKUP(INDIRECT(ADDRESS(2,COLUMN())),OFFSET($BN$2,0,0,ROW()-1,60),ROW()-1,FALSE))</f>
        <v>4.819889216</v>
      </c>
      <c r="AM264">
        <f ca="1">IF(AND(ISNUMBER($AM$709),$B$419=1),$AM$709,HLOOKUP(INDIRECT(ADDRESS(2,COLUMN())),OFFSET($BN$2,0,0,ROW()-1,60),ROW()-1,FALSE))</f>
        <v>5.5088705239999998</v>
      </c>
      <c r="AN264">
        <f ca="1">IF(AND(ISNUMBER($AN$709),$B$419=1),$AN$709,HLOOKUP(INDIRECT(ADDRESS(2,COLUMN())),OFFSET($BN$2,0,0,ROW()-1,60),ROW()-1,FALSE))</f>
        <v>6.4412479930000002</v>
      </c>
      <c r="AO264">
        <f ca="1">IF(AND(ISNUMBER($AO$709),$B$419=1),$AO$709,HLOOKUP(INDIRECT(ADDRESS(2,COLUMN())),OFFSET($BN$2,0,0,ROW()-1,60),ROW()-1,FALSE))</f>
        <v>6.0182397539999997</v>
      </c>
      <c r="AP264">
        <f ca="1">IF(AND(ISNUMBER($AP$709),$B$419=1),$AP$709,HLOOKUP(INDIRECT(ADDRESS(2,COLUMN())),OFFSET($BN$2,0,0,ROW()-1,60),ROW()-1,FALSE))</f>
        <v>5.6225819399999999</v>
      </c>
      <c r="AQ264">
        <f ca="1">IF(AND(ISNUMBER($AQ$709),$B$419=1),$AQ$709,HLOOKUP(INDIRECT(ADDRESS(2,COLUMN())),OFFSET($BN$2,0,0,ROW()-1,60),ROW()-1,FALSE))</f>
        <v>5.3164855710000003</v>
      </c>
      <c r="AR264">
        <f ca="1">IF(AND(ISNUMBER($AR$709),$B$419=1),$AR$709,HLOOKUP(INDIRECT(ADDRESS(2,COLUMN())),OFFSET($BN$2,0,0,ROW()-1,60),ROW()-1,FALSE))</f>
        <v>5.4006698039999996</v>
      </c>
      <c r="AS264">
        <f ca="1">IF(AND(ISNUMBER($AS$709),$B$419=1),$AS$709,HLOOKUP(INDIRECT(ADDRESS(2,COLUMN())),OFFSET($BN$2,0,0,ROW()-1,60),ROW()-1,FALSE))</f>
        <v>5.1906987469999999</v>
      </c>
      <c r="AT264">
        <f ca="1">IF(AND(ISNUMBER($AT$709),$B$419=1),$AT$709,HLOOKUP(INDIRECT(ADDRESS(2,COLUMN())),OFFSET($BN$2,0,0,ROW()-1,60),ROW()-1,FALSE))</f>
        <v>5.123935812</v>
      </c>
      <c r="AU264">
        <f ca="1">IF(AND(ISNUMBER($AU$709),$B$419=1),$AU$709,HLOOKUP(INDIRECT(ADDRESS(2,COLUMN())),OFFSET($BN$2,0,0,ROW()-1,60),ROW()-1,FALSE))</f>
        <v>5.1821465399999997</v>
      </c>
      <c r="AV264">
        <f ca="1">IF(AND(ISNUMBER($AV$709),$B$419=1),$AV$709,HLOOKUP(INDIRECT(ADDRESS(2,COLUMN())),OFFSET($BN$2,0,0,ROW()-1,60),ROW()-1,FALSE))</f>
        <v>6.0142021339999996</v>
      </c>
      <c r="AW264">
        <f ca="1">IF(AND(ISNUMBER($AW$709),$B$419=1),$AW$709,HLOOKUP(INDIRECT(ADDRESS(2,COLUMN())),OFFSET($BN$2,0,0,ROW()-1,60),ROW()-1,FALSE))</f>
        <v>6.0688278479999997</v>
      </c>
      <c r="AX264">
        <f ca="1">IF(AND(ISNUMBER($AX$709),$B$419=1),$AX$709,HLOOKUP(INDIRECT(ADDRESS(2,COLUMN())),OFFSET($BN$2,0,0,ROW()-1,60),ROW()-1,FALSE))</f>
        <v>6.2566551830000003</v>
      </c>
      <c r="AY264">
        <f ca="1">IF(AND(ISNUMBER($AY$709),$B$419=1),$AY$709,HLOOKUP(INDIRECT(ADDRESS(2,COLUMN())),OFFSET($BN$2,0,0,ROW()-1,60),ROW()-1,FALSE))</f>
        <v>5.905199713</v>
      </c>
      <c r="AZ264">
        <f ca="1">IF(AND(ISNUMBER($AZ$709),$B$419=1),$AZ$709,HLOOKUP(INDIRECT(ADDRESS(2,COLUMN())),OFFSET($BN$2,0,0,ROW()-1,60),ROW()-1,FALSE))</f>
        <v>5.2593763789999999</v>
      </c>
      <c r="BA264">
        <f ca="1">IF(AND(ISNUMBER($BA$709),$B$419=1),$BA$709,HLOOKUP(INDIRECT(ADDRESS(2,COLUMN())),OFFSET($BN$2,0,0,ROW()-1,60),ROW()-1,FALSE))</f>
        <v>4.966791035</v>
      </c>
      <c r="BB264">
        <f ca="1">IF(AND(ISNUMBER($BB$709),$B$419=1),$BB$709,HLOOKUP(INDIRECT(ADDRESS(2,COLUMN())),OFFSET($BN$2,0,0,ROW()-1,60),ROW()-1,FALSE))</f>
        <v>5.0503880329999999</v>
      </c>
      <c r="BC264">
        <f ca="1">IF(AND(ISNUMBER($BC$709),$B$419=1),$BC$709,HLOOKUP(INDIRECT(ADDRESS(2,COLUMN())),OFFSET($BN$2,0,0,ROW()-1,60),ROW()-1,FALSE))</f>
        <v>5.1631537310000004</v>
      </c>
      <c r="BD264">
        <f ca="1">IF(AND(ISNUMBER($BD$709),$B$419=1),$BD$709,HLOOKUP(INDIRECT(ADDRESS(2,COLUMN())),OFFSET($BN$2,0,0,ROW()-1,60),ROW()-1,FALSE))</f>
        <v>5.0897033350000003</v>
      </c>
      <c r="BE264">
        <f ca="1">IF(AND(ISNUMBER($BE$709),$B$419=1),$BE$709,HLOOKUP(INDIRECT(ADDRESS(2,COLUMN())),OFFSET($BN$2,0,0,ROW()-1,60),ROW()-1,FALSE))</f>
        <v>4.4454555219999996</v>
      </c>
      <c r="BF264">
        <f ca="1">IF(AND(ISNUMBER($BF$709),$B$419=1),$BF$709,HLOOKUP(INDIRECT(ADDRESS(2,COLUMN())),OFFSET($BN$2,0,0,ROW()-1,60),ROW()-1,FALSE))</f>
        <v>4.5708805249999997</v>
      </c>
      <c r="BG264">
        <f ca="1">IF(AND(ISNUMBER($BG$709),$B$419=1),$BG$709,HLOOKUP(INDIRECT(ADDRESS(2,COLUMN())),OFFSET($BN$2,0,0,ROW()-1,60),ROW()-1,FALSE))</f>
        <v>4.4581468910000002</v>
      </c>
      <c r="BH264">
        <f ca="1">IF(AND(ISNUMBER($BH$709),$B$419=1),$BH$709,HLOOKUP(INDIRECT(ADDRESS(2,COLUMN())),OFFSET($BN$2,0,0,ROW()-1,60),ROW()-1,FALSE))</f>
        <v>4.4094484530000004</v>
      </c>
      <c r="BI264">
        <f ca="1">IF(AND(ISNUMBER($BI$709),$B$419=1),$BI$709,HLOOKUP(INDIRECT(ADDRESS(2,COLUMN())),OFFSET($BN$2,0,0,ROW()-1,60),ROW()-1,FALSE))</f>
        <v>4.727695411</v>
      </c>
      <c r="BJ264">
        <f ca="1">IF(AND(ISNUMBER($BJ$709),$B$419=1),$BJ$709,HLOOKUP(INDIRECT(ADDRESS(2,COLUMN())),OFFSET($BN$2,0,0,ROW()-1,60),ROW()-1,FALSE))</f>
        <v>4.8900356030000003</v>
      </c>
      <c r="BK264">
        <f ca="1">IF(AND(ISNUMBER($BK$709),$B$419=1),$BK$709,HLOOKUP(INDIRECT(ADDRESS(2,COLUMN())),OFFSET($BN$2,0,0,ROW()-1,60),ROW()-1,FALSE))</f>
        <v>4.6715900829999999</v>
      </c>
      <c r="BL264">
        <f ca="1">IF(AND(ISNUMBER($BL$709),$B$419=1),$BL$709,HLOOKUP(INDIRECT(ADDRESS(2,COLUMN())),OFFSET($BN$2,0,0,ROW()-1,60),ROW()-1,FALSE))</f>
        <v>4.5733135679999997</v>
      </c>
      <c r="BM264">
        <f ca="1">IF(AND(ISNUMBER($BM$709),$B$419=1),$BM$709,HLOOKUP(INDIRECT(ADDRESS(2,COLUMN())),OFFSET($BN$2,0,0,ROW()-1,60),ROW()-1,FALSE))</f>
        <v>4.745662029</v>
      </c>
      <c r="BN264" t="str">
        <f>""</f>
        <v/>
      </c>
      <c r="BO264">
        <f>5.990403729</f>
        <v>5.9904037289999996</v>
      </c>
      <c r="BP264">
        <f>6.035490242</f>
        <v>6.0354902419999998</v>
      </c>
      <c r="BQ264">
        <f>5.930524107</f>
        <v>5.9305241070000001</v>
      </c>
      <c r="BR264">
        <f>5.764102437</f>
        <v>5.764102437</v>
      </c>
      <c r="BS264">
        <f>5.438322515</f>
        <v>5.4383225150000003</v>
      </c>
      <c r="BT264">
        <f>5.563581205</f>
        <v>5.5635812050000002</v>
      </c>
      <c r="BU264">
        <f>5.3808845</f>
        <v>5.3808844999999996</v>
      </c>
      <c r="BV264">
        <f>5.476758004</f>
        <v>5.4767580039999997</v>
      </c>
      <c r="BW264">
        <f>5.531563322</f>
        <v>5.5315633220000002</v>
      </c>
      <c r="BX264">
        <f>5.41625502</f>
        <v>5.4162550200000004</v>
      </c>
      <c r="BY264">
        <f>5.541370906</f>
        <v>5.541370906</v>
      </c>
      <c r="BZ264">
        <f>5.876867493</f>
        <v>5.8768674929999998</v>
      </c>
      <c r="CA264">
        <f>5.453596348</f>
        <v>5.4535963479999996</v>
      </c>
      <c r="CB264">
        <f>5.31450428</f>
        <v>5.3145042800000004</v>
      </c>
      <c r="CC264">
        <f>5.543201807</f>
        <v>5.543201807</v>
      </c>
      <c r="CD264">
        <f>5.70285484</f>
        <v>5.7028548399999996</v>
      </c>
      <c r="CE264">
        <f>5.591345181</f>
        <v>5.5913451810000003</v>
      </c>
      <c r="CF264">
        <f>5.60569077</f>
        <v>5.6056907699999998</v>
      </c>
      <c r="CG264">
        <f>5.64305275</f>
        <v>5.6430527499999998</v>
      </c>
      <c r="CH264">
        <f>5.449060265</f>
        <v>5.449060265</v>
      </c>
      <c r="CI264">
        <f>5.563537526</f>
        <v>5.5635375260000002</v>
      </c>
      <c r="CJ264">
        <f>5.65473981</f>
        <v>5.6547398099999997</v>
      </c>
      <c r="CK264">
        <f>5.672570439</f>
        <v>5.6725704390000002</v>
      </c>
      <c r="CL264">
        <f>5.804160344</f>
        <v>5.8041603439999996</v>
      </c>
      <c r="CM264">
        <f>5.957150721</f>
        <v>5.9571507209999996</v>
      </c>
      <c r="CN264">
        <f>4.888690239</f>
        <v>4.8886902389999998</v>
      </c>
      <c r="CO264">
        <f>5.019309731</f>
        <v>5.0193097309999999</v>
      </c>
      <c r="CP264">
        <f>5.179214299</f>
        <v>5.1792142989999999</v>
      </c>
      <c r="CQ264">
        <f>5.059144341</f>
        <v>5.0591443409999997</v>
      </c>
      <c r="CR264">
        <f>4.887214565</f>
        <v>4.8872145649999998</v>
      </c>
      <c r="CS264">
        <f>4.811081881</f>
        <v>4.8110818809999998</v>
      </c>
      <c r="CT264">
        <f>4.819889216</f>
        <v>4.819889216</v>
      </c>
      <c r="CU264">
        <f>5.508870524</f>
        <v>5.5088705239999998</v>
      </c>
      <c r="CV264">
        <f>6.441247993</f>
        <v>6.4412479930000002</v>
      </c>
      <c r="CW264">
        <f>6.018239754</f>
        <v>6.0182397539999997</v>
      </c>
      <c r="CX264">
        <f>5.62258194</f>
        <v>5.6225819399999999</v>
      </c>
      <c r="CY264">
        <f>5.316485571</f>
        <v>5.3164855710000003</v>
      </c>
      <c r="CZ264">
        <f>5.400669804</f>
        <v>5.4006698039999996</v>
      </c>
      <c r="DA264">
        <f>5.190698747</f>
        <v>5.1906987469999999</v>
      </c>
      <c r="DB264">
        <f>5.123935812</f>
        <v>5.123935812</v>
      </c>
      <c r="DC264">
        <f>5.18214654</f>
        <v>5.1821465399999997</v>
      </c>
      <c r="DD264">
        <f>6.014202134</f>
        <v>6.0142021339999996</v>
      </c>
      <c r="DE264">
        <f>6.068827848</f>
        <v>6.0688278479999997</v>
      </c>
      <c r="DF264">
        <f>6.256655183</f>
        <v>6.2566551830000003</v>
      </c>
      <c r="DG264">
        <f>5.905199713</f>
        <v>5.905199713</v>
      </c>
      <c r="DH264">
        <f>5.259376379</f>
        <v>5.2593763789999999</v>
      </c>
      <c r="DI264">
        <f>4.966791035</f>
        <v>4.966791035</v>
      </c>
      <c r="DJ264">
        <f>5.050388033</f>
        <v>5.0503880329999999</v>
      </c>
      <c r="DK264">
        <f>5.163153731</f>
        <v>5.1631537310000004</v>
      </c>
      <c r="DL264">
        <f>5.089703335</f>
        <v>5.0897033350000003</v>
      </c>
      <c r="DM264">
        <f>4.445455522</f>
        <v>4.4454555219999996</v>
      </c>
      <c r="DN264">
        <f>4.570880525</f>
        <v>4.5708805249999997</v>
      </c>
      <c r="DO264">
        <f>4.458146891</f>
        <v>4.4581468910000002</v>
      </c>
      <c r="DP264">
        <f>4.409448453</f>
        <v>4.4094484530000004</v>
      </c>
      <c r="DQ264">
        <f>4.727695411</f>
        <v>4.727695411</v>
      </c>
      <c r="DR264">
        <f>4.890035603</f>
        <v>4.8900356030000003</v>
      </c>
      <c r="DS264">
        <f>4.671590083</f>
        <v>4.6715900829999999</v>
      </c>
      <c r="DT264">
        <f>4.573313568</f>
        <v>4.5733135679999997</v>
      </c>
      <c r="DU264">
        <f>4.745662029</f>
        <v>4.745662029</v>
      </c>
    </row>
    <row r="265" spans="1:125">
      <c r="A265" t="str">
        <f>"    Kimco Realty Corp"</f>
        <v xml:space="preserve">    Kimco Realty Corp</v>
      </c>
      <c r="B265" t="str">
        <f>"KIM US Equity"</f>
        <v>KIM US Equity</v>
      </c>
      <c r="C265" t="str">
        <f t="shared" si="48"/>
        <v>RR052</v>
      </c>
      <c r="D265" t="str">
        <f t="shared" si="49"/>
        <v>TOT_DEBT_TO_EBITDA</v>
      </c>
      <c r="E265" t="str">
        <f t="shared" si="50"/>
        <v>动态</v>
      </c>
      <c r="F265" t="str">
        <f ca="1">IF(AND(ISNUMBER($F$710),$B$419=1),$F$710,HLOOKUP(INDIRECT(ADDRESS(2,COLUMN())),OFFSET($BN$2,0,0,ROW()-1,60),ROW()-1,FALSE))</f>
        <v/>
      </c>
      <c r="G265">
        <f ca="1">IF(AND(ISNUMBER($G$710),$B$419=1),$G$710,HLOOKUP(INDIRECT(ADDRESS(2,COLUMN())),OFFSET($BN$2,0,0,ROW()-1,60),ROW()-1,FALSE))</f>
        <v>7.8462057310000004</v>
      </c>
      <c r="H265">
        <f ca="1">IF(AND(ISNUMBER($H$710),$B$419=1),$H$710,HLOOKUP(INDIRECT(ADDRESS(2,COLUMN())),OFFSET($BN$2,0,0,ROW()-1,60),ROW()-1,FALSE))</f>
        <v>7.9658808319999999</v>
      </c>
      <c r="I265">
        <f ca="1">IF(AND(ISNUMBER($I$710),$B$419=1),$I$710,HLOOKUP(INDIRECT(ADDRESS(2,COLUMN())),OFFSET($BN$2,0,0,ROW()-1,60),ROW()-1,FALSE))</f>
        <v>7.9092883350000003</v>
      </c>
      <c r="J265">
        <f ca="1">IF(AND(ISNUMBER($J$710),$B$419=1),$J$710,HLOOKUP(INDIRECT(ADDRESS(2,COLUMN())),OFFSET($BN$2,0,0,ROW()-1,60),ROW()-1,FALSE))</f>
        <v>7.8035307789999999</v>
      </c>
      <c r="K265">
        <f ca="1">IF(AND(ISNUMBER($K$710),$B$419=1),$K$710,HLOOKUP(INDIRECT(ADDRESS(2,COLUMN())),OFFSET($BN$2,0,0,ROW()-1,60),ROW()-1,FALSE))</f>
        <v>7.721438772</v>
      </c>
      <c r="L265">
        <f ca="1">IF(AND(ISNUMBER($L$710),$B$419=1),$L$710,HLOOKUP(INDIRECT(ADDRESS(2,COLUMN())),OFFSET($BN$2,0,0,ROW()-1,60),ROW()-1,FALSE))</f>
        <v>7.5535709969999996</v>
      </c>
      <c r="M265">
        <f ca="1">IF(AND(ISNUMBER($M$710),$B$419=1),$M$710,HLOOKUP(INDIRECT(ADDRESS(2,COLUMN())),OFFSET($BN$2,0,0,ROW()-1,60),ROW()-1,FALSE))</f>
        <v>7.7708077490000003</v>
      </c>
      <c r="N265">
        <f ca="1">IF(AND(ISNUMBER($N$710),$B$419=1),$N$710,HLOOKUP(INDIRECT(ADDRESS(2,COLUMN())),OFFSET($BN$2,0,0,ROW()-1,60),ROW()-1,FALSE))</f>
        <v>7.3363877559999997</v>
      </c>
      <c r="O265">
        <f ca="1">IF(AND(ISNUMBER($O$710),$B$419=1),$O$710,HLOOKUP(INDIRECT(ADDRESS(2,COLUMN())),OFFSET($BN$2,0,0,ROW()-1,60),ROW()-1,FALSE))</f>
        <v>7.8132797749999998</v>
      </c>
      <c r="P265">
        <f ca="1">IF(AND(ISNUMBER($P$710),$B$419=1),$P$710,HLOOKUP(INDIRECT(ADDRESS(2,COLUMN())),OFFSET($BN$2,0,0,ROW()-1,60),ROW()-1,FALSE))</f>
        <v>8.1636747770000007</v>
      </c>
      <c r="Q265">
        <f ca="1">IF(AND(ISNUMBER($Q$710),$B$419=1),$Q$710,HLOOKUP(INDIRECT(ADDRESS(2,COLUMN())),OFFSET($BN$2,0,0,ROW()-1,60),ROW()-1,FALSE))</f>
        <v>8.4435790780000008</v>
      </c>
      <c r="R265">
        <f ca="1">IF(AND(ISNUMBER($R$710),$B$419=1),$R$710,HLOOKUP(INDIRECT(ADDRESS(2,COLUMN())),OFFSET($BN$2,0,0,ROW()-1,60),ROW()-1,FALSE))</f>
        <v>9.2936441799999994</v>
      </c>
      <c r="S265">
        <f ca="1">IF(AND(ISNUMBER($S$710),$B$419=1),$S$710,HLOOKUP(INDIRECT(ADDRESS(2,COLUMN())),OFFSET($BN$2,0,0,ROW()-1,60),ROW()-1,FALSE))</f>
        <v>7.8777973560000003</v>
      </c>
      <c r="T265">
        <f ca="1">IF(AND(ISNUMBER($T$710),$B$419=1),$T$710,HLOOKUP(INDIRECT(ADDRESS(2,COLUMN())),OFFSET($BN$2,0,0,ROW()-1,60),ROW()-1,FALSE))</f>
        <v>8.2643807589999998</v>
      </c>
      <c r="U265">
        <f ca="1">IF(AND(ISNUMBER($U$710),$B$419=1),$U$710,HLOOKUP(INDIRECT(ADDRESS(2,COLUMN())),OFFSET($BN$2,0,0,ROW()-1,60),ROW()-1,FALSE))</f>
        <v>9.6841951179999999</v>
      </c>
      <c r="V265">
        <f ca="1">IF(AND(ISNUMBER($V$710),$B$419=1),$V$710,HLOOKUP(INDIRECT(ADDRESS(2,COLUMN())),OFFSET($BN$2,0,0,ROW()-1,60),ROW()-1,FALSE))</f>
        <v>9.2845052149999994</v>
      </c>
      <c r="W265">
        <f ca="1">IF(AND(ISNUMBER($W$710),$B$419=1),$W$710,HLOOKUP(INDIRECT(ADDRESS(2,COLUMN())),OFFSET($BN$2,0,0,ROW()-1,60),ROW()-1,FALSE))</f>
        <v>8.9327641119999992</v>
      </c>
      <c r="X265">
        <f ca="1">IF(AND(ISNUMBER($X$710),$B$419=1),$X$710,HLOOKUP(INDIRECT(ADDRESS(2,COLUMN())),OFFSET($BN$2,0,0,ROW()-1,60),ROW()-1,FALSE))</f>
        <v>9.5181284670000004</v>
      </c>
      <c r="Y265">
        <f ca="1">IF(AND(ISNUMBER($Y$710),$B$419=1),$Y$710,HLOOKUP(INDIRECT(ADDRESS(2,COLUMN())),OFFSET($BN$2,0,0,ROW()-1,60),ROW()-1,FALSE))</f>
        <v>8.6402549830000002</v>
      </c>
      <c r="Z265">
        <f ca="1">IF(AND(ISNUMBER($Z$710),$B$419=1),$Z$710,HLOOKUP(INDIRECT(ADDRESS(2,COLUMN())),OFFSET($BN$2,0,0,ROW()-1,60),ROW()-1,FALSE))</f>
        <v>8.1946072230000002</v>
      </c>
      <c r="AA265">
        <f ca="1">IF(AND(ISNUMBER($AA$710),$B$419=1),$AA$710,HLOOKUP(INDIRECT(ADDRESS(2,COLUMN())),OFFSET($BN$2,0,0,ROW()-1,60),ROW()-1,FALSE))</f>
        <v>7.7720272619999999</v>
      </c>
      <c r="AB265">
        <f ca="1">IF(AND(ISNUMBER($AB$710),$B$419=1),$AB$710,HLOOKUP(INDIRECT(ADDRESS(2,COLUMN())),OFFSET($BN$2,0,0,ROW()-1,60),ROW()-1,FALSE))</f>
        <v>7.8196899699999998</v>
      </c>
      <c r="AC265">
        <f ca="1">IF(AND(ISNUMBER($AC$710),$B$419=1),$AC$710,HLOOKUP(INDIRECT(ADDRESS(2,COLUMN())),OFFSET($BN$2,0,0,ROW()-1,60),ROW()-1,FALSE))</f>
        <v>7.9833461889999997</v>
      </c>
      <c r="AD265">
        <f ca="1">IF(AND(ISNUMBER($AD$710),$B$419=1),$AD$710,HLOOKUP(INDIRECT(ADDRESS(2,COLUMN())),OFFSET($BN$2,0,0,ROW()-1,60),ROW()-1,FALSE))</f>
        <v>7.6151853909999998</v>
      </c>
      <c r="AE265">
        <f ca="1">IF(AND(ISNUMBER($AE$710),$B$419=1),$AE$710,HLOOKUP(INDIRECT(ADDRESS(2,COLUMN())),OFFSET($BN$2,0,0,ROW()-1,60),ROW()-1,FALSE))</f>
        <v>8.0291022840000004</v>
      </c>
      <c r="AF265">
        <f ca="1">IF(AND(ISNUMBER($AF$710),$B$419=1),$AF$710,HLOOKUP(INDIRECT(ADDRESS(2,COLUMN())),OFFSET($BN$2,0,0,ROW()-1,60),ROW()-1,FALSE))</f>
        <v>7.8157430249999997</v>
      </c>
      <c r="AG265">
        <f ca="1">IF(AND(ISNUMBER($AG$710),$B$419=1),$AG$710,HLOOKUP(INDIRECT(ADDRESS(2,COLUMN())),OFFSET($BN$2,0,0,ROW()-1,60),ROW()-1,FALSE))</f>
        <v>7.6659662649999998</v>
      </c>
      <c r="AH265">
        <f ca="1">IF(AND(ISNUMBER($AH$710),$B$419=1),$AH$710,HLOOKUP(INDIRECT(ADDRESS(2,COLUMN())),OFFSET($BN$2,0,0,ROW()-1,60),ROW()-1,FALSE))</f>
        <v>7.9028617240000001</v>
      </c>
      <c r="AI265">
        <f ca="1">IF(AND(ISNUMBER($AI$710),$B$419=1),$AI$710,HLOOKUP(INDIRECT(ADDRESS(2,COLUMN())),OFFSET($BN$2,0,0,ROW()-1,60),ROW()-1,FALSE))</f>
        <v>7.6216806430000004</v>
      </c>
      <c r="AJ265">
        <f ca="1">IF(AND(ISNUMBER($AJ$710),$B$419=1),$AJ$710,HLOOKUP(INDIRECT(ADDRESS(2,COLUMN())),OFFSET($BN$2,0,0,ROW()-1,60),ROW()-1,FALSE))</f>
        <v>7.3419752440000003</v>
      </c>
      <c r="AK265">
        <f ca="1">IF(AND(ISNUMBER($AK$710),$B$419=1),$AK$710,HLOOKUP(INDIRECT(ADDRESS(2,COLUMN())),OFFSET($BN$2,0,0,ROW()-1,60),ROW()-1,FALSE))</f>
        <v>7.7969655930000004</v>
      </c>
      <c r="AL265">
        <f ca="1">IF(AND(ISNUMBER($AL$710),$B$419=1),$AL$710,HLOOKUP(INDIRECT(ADDRESS(2,COLUMN())),OFFSET($BN$2,0,0,ROW()-1,60),ROW()-1,FALSE))</f>
        <v>9.0196002600000007</v>
      </c>
      <c r="AM265">
        <f ca="1">IF(AND(ISNUMBER($AM$710),$B$419=1),$AM$710,HLOOKUP(INDIRECT(ADDRESS(2,COLUMN())),OFFSET($BN$2,0,0,ROW()-1,60),ROW()-1,FALSE))</f>
        <v>9.0594307799999996</v>
      </c>
      <c r="AN265">
        <f ca="1">IF(AND(ISNUMBER($AN$710),$B$419=1),$AN$710,HLOOKUP(INDIRECT(ADDRESS(2,COLUMN())),OFFSET($BN$2,0,0,ROW()-1,60),ROW()-1,FALSE))</f>
        <v>8.3241740049999997</v>
      </c>
      <c r="AO265">
        <f ca="1">IF(AND(ISNUMBER($AO$710),$B$419=1),$AO$710,HLOOKUP(INDIRECT(ADDRESS(2,COLUMN())),OFFSET($BN$2,0,0,ROW()-1,60),ROW()-1,FALSE))</f>
        <v>8.3514972959999998</v>
      </c>
      <c r="AP265">
        <f ca="1">IF(AND(ISNUMBER($AP$710),$B$419=1),$AP$710,HLOOKUP(INDIRECT(ADDRESS(2,COLUMN())),OFFSET($BN$2,0,0,ROW()-1,60),ROW()-1,FALSE))</f>
        <v>8.3094972709999997</v>
      </c>
      <c r="AQ265">
        <f ca="1">IF(AND(ISNUMBER($AQ$710),$B$419=1),$AQ$710,HLOOKUP(INDIRECT(ADDRESS(2,COLUMN())),OFFSET($BN$2,0,0,ROW()-1,60),ROW()-1,FALSE))</f>
        <v>7.8615995639999996</v>
      </c>
      <c r="AR265">
        <f ca="1">IF(AND(ISNUMBER($AR$710),$B$419=1),$AR$710,HLOOKUP(INDIRECT(ADDRESS(2,COLUMN())),OFFSET($BN$2,0,0,ROW()-1,60),ROW()-1,FALSE))</f>
        <v>7.7026538310000001</v>
      </c>
      <c r="AS265">
        <f ca="1">IF(AND(ISNUMBER($AS$710),$B$419=1),$AS$710,HLOOKUP(INDIRECT(ADDRESS(2,COLUMN())),OFFSET($BN$2,0,0,ROW()-1,60),ROW()-1,FALSE))</f>
        <v>8.5123704670000002</v>
      </c>
      <c r="AT265">
        <f ca="1">IF(AND(ISNUMBER($AT$710),$B$419=1),$AT$710,HLOOKUP(INDIRECT(ADDRESS(2,COLUMN())),OFFSET($BN$2,0,0,ROW()-1,60),ROW()-1,FALSE))</f>
        <v>8.2442655200000008</v>
      </c>
      <c r="AU265">
        <f ca="1">IF(AND(ISNUMBER($AU$710),$B$419=1),$AU$710,HLOOKUP(INDIRECT(ADDRESS(2,COLUMN())),OFFSET($BN$2,0,0,ROW()-1,60),ROW()-1,FALSE))</f>
        <v>7.9348096100000003</v>
      </c>
      <c r="AV265">
        <f ca="1">IF(AND(ISNUMBER($AV$710),$B$419=1),$AV$710,HLOOKUP(INDIRECT(ADDRESS(2,COLUMN())),OFFSET($BN$2,0,0,ROW()-1,60),ROW()-1,FALSE))</f>
        <v>7.2902326979999996</v>
      </c>
      <c r="AW265">
        <f ca="1">IF(AND(ISNUMBER($AW$710),$B$419=1),$AW$710,HLOOKUP(INDIRECT(ADDRESS(2,COLUMN())),OFFSET($BN$2,0,0,ROW()-1,60),ROW()-1,FALSE))</f>
        <v>7.4861974179999997</v>
      </c>
      <c r="AX265">
        <f ca="1">IF(AND(ISNUMBER($AX$710),$B$419=1),$AX$710,HLOOKUP(INDIRECT(ADDRESS(2,COLUMN())),OFFSET($BN$2,0,0,ROW()-1,60),ROW()-1,FALSE))</f>
        <v>6.5956063409999999</v>
      </c>
      <c r="AY265">
        <f ca="1">IF(AND(ISNUMBER($AY$710),$B$419=1),$AY$710,HLOOKUP(INDIRECT(ADDRESS(2,COLUMN())),OFFSET($BN$2,0,0,ROW()-1,60),ROW()-1,FALSE))</f>
        <v>6.6803784860000004</v>
      </c>
      <c r="AZ265">
        <f ca="1">IF(AND(ISNUMBER($AZ$710),$B$419=1),$AZ$710,HLOOKUP(INDIRECT(ADDRESS(2,COLUMN())),OFFSET($BN$2,0,0,ROW()-1,60),ROW()-1,FALSE))</f>
        <v>7.9315979480000003</v>
      </c>
      <c r="BA265">
        <f ca="1">IF(AND(ISNUMBER($BA$710),$B$419=1),$BA$710,HLOOKUP(INDIRECT(ADDRESS(2,COLUMN())),OFFSET($BN$2,0,0,ROW()-1,60),ROW()-1,FALSE))</f>
        <v>7.2136005330000001</v>
      </c>
      <c r="BB265">
        <f ca="1">IF(AND(ISNUMBER($BB$710),$B$419=1),$BB$710,HLOOKUP(INDIRECT(ADDRESS(2,COLUMN())),OFFSET($BN$2,0,0,ROW()-1,60),ROW()-1,FALSE))</f>
        <v>6.9908838680000001</v>
      </c>
      <c r="BC265">
        <f ca="1">IF(AND(ISNUMBER($BC$710),$B$419=1),$BC$710,HLOOKUP(INDIRECT(ADDRESS(2,COLUMN())),OFFSET($BN$2,0,0,ROW()-1,60),ROW()-1,FALSE))</f>
        <v>6.6450268399999999</v>
      </c>
      <c r="BD265">
        <f ca="1">IF(AND(ISNUMBER($BD$710),$B$419=1),$BD$710,HLOOKUP(INDIRECT(ADDRESS(2,COLUMN())),OFFSET($BN$2,0,0,ROW()-1,60),ROW()-1,FALSE))</f>
        <v>5.4902499239999996</v>
      </c>
      <c r="BE265">
        <f ca="1">IF(AND(ISNUMBER($BE$710),$B$419=1),$BE$710,HLOOKUP(INDIRECT(ADDRESS(2,COLUMN())),OFFSET($BN$2,0,0,ROW()-1,60),ROW()-1,FALSE))</f>
        <v>5.2533005140000002</v>
      </c>
      <c r="BF265">
        <f ca="1">IF(AND(ISNUMBER($BF$710),$B$419=1),$BF$710,HLOOKUP(INDIRECT(ADDRESS(2,COLUMN())),OFFSET($BN$2,0,0,ROW()-1,60),ROW()-1,FALSE))</f>
        <v>5.1976263579999999</v>
      </c>
      <c r="BG265">
        <f ca="1">IF(AND(ISNUMBER($BG$710),$B$419=1),$BG$710,HLOOKUP(INDIRECT(ADDRESS(2,COLUMN())),OFFSET($BN$2,0,0,ROW()-1,60),ROW()-1,FALSE))</f>
        <v>5.2174197849999997</v>
      </c>
      <c r="BH265" t="str">
        <f ca="1">IF(AND(ISNUMBER($BH$710),$B$419=1),$BH$710,HLOOKUP(INDIRECT(ADDRESS(2,COLUMN())),OFFSET($BN$2,0,0,ROW()-1,60),ROW()-1,FALSE))</f>
        <v/>
      </c>
      <c r="BI265" t="str">
        <f ca="1">IF(AND(ISNUMBER($BI$710),$B$419=1),$BI$710,HLOOKUP(INDIRECT(ADDRESS(2,COLUMN())),OFFSET($BN$2,0,0,ROW()-1,60),ROW()-1,FALSE))</f>
        <v/>
      </c>
      <c r="BJ265" t="str">
        <f ca="1">IF(AND(ISNUMBER($BJ$710),$B$419=1),$BJ$710,HLOOKUP(INDIRECT(ADDRESS(2,COLUMN())),OFFSET($BN$2,0,0,ROW()-1,60),ROW()-1,FALSE))</f>
        <v/>
      </c>
      <c r="BK265" t="str">
        <f ca="1">IF(AND(ISNUMBER($BK$710),$B$419=1),$BK$710,HLOOKUP(INDIRECT(ADDRESS(2,COLUMN())),OFFSET($BN$2,0,0,ROW()-1,60),ROW()-1,FALSE))</f>
        <v/>
      </c>
      <c r="BL265" t="str">
        <f ca="1">IF(AND(ISNUMBER($BL$710),$B$419=1),$BL$710,HLOOKUP(INDIRECT(ADDRESS(2,COLUMN())),OFFSET($BN$2,0,0,ROW()-1,60),ROW()-1,FALSE))</f>
        <v/>
      </c>
      <c r="BM265" t="str">
        <f ca="1">IF(AND(ISNUMBER($BM$710),$B$419=1),$BM$710,HLOOKUP(INDIRECT(ADDRESS(2,COLUMN())),OFFSET($BN$2,0,0,ROW()-1,60),ROW()-1,FALSE))</f>
        <v/>
      </c>
      <c r="BN265" t="str">
        <f>""</f>
        <v/>
      </c>
      <c r="BO265">
        <f>7.846205731</f>
        <v>7.8462057310000004</v>
      </c>
      <c r="BP265">
        <f>7.965880832</f>
        <v>7.9658808319999999</v>
      </c>
      <c r="BQ265">
        <f>7.909288335</f>
        <v>7.9092883350000003</v>
      </c>
      <c r="BR265">
        <f>7.803530779</f>
        <v>7.8035307789999999</v>
      </c>
      <c r="BS265">
        <f>7.721438772</f>
        <v>7.721438772</v>
      </c>
      <c r="BT265">
        <f>7.553570997</f>
        <v>7.5535709969999996</v>
      </c>
      <c r="BU265">
        <f>7.770807749</f>
        <v>7.7708077490000003</v>
      </c>
      <c r="BV265">
        <f>7.336387756</f>
        <v>7.3363877559999997</v>
      </c>
      <c r="BW265">
        <f>7.813279775</f>
        <v>7.8132797749999998</v>
      </c>
      <c r="BX265">
        <f>8.163674777</f>
        <v>8.1636747770000007</v>
      </c>
      <c r="BY265">
        <f>8.443579078</f>
        <v>8.4435790780000008</v>
      </c>
      <c r="BZ265">
        <f>9.29364418</f>
        <v>9.2936441799999994</v>
      </c>
      <c r="CA265">
        <f>7.877797356</f>
        <v>7.8777973560000003</v>
      </c>
      <c r="CB265">
        <f>8.264380759</f>
        <v>8.2643807589999998</v>
      </c>
      <c r="CC265">
        <f>9.684195118</f>
        <v>9.6841951179999999</v>
      </c>
      <c r="CD265">
        <f>9.284505215</f>
        <v>9.2845052149999994</v>
      </c>
      <c r="CE265">
        <f>8.932764112</f>
        <v>8.9327641119999992</v>
      </c>
      <c r="CF265">
        <f>9.518128467</f>
        <v>9.5181284670000004</v>
      </c>
      <c r="CG265">
        <f>8.640254983</f>
        <v>8.6402549830000002</v>
      </c>
      <c r="CH265">
        <f>8.194607223</f>
        <v>8.1946072230000002</v>
      </c>
      <c r="CI265">
        <f>7.772027262</f>
        <v>7.7720272619999999</v>
      </c>
      <c r="CJ265">
        <f>7.81968997</f>
        <v>7.8196899699999998</v>
      </c>
      <c r="CK265">
        <f>7.983346189</f>
        <v>7.9833461889999997</v>
      </c>
      <c r="CL265">
        <f>7.615185391</f>
        <v>7.6151853909999998</v>
      </c>
      <c r="CM265">
        <f>8.029102284</f>
        <v>8.0291022840000004</v>
      </c>
      <c r="CN265">
        <f>7.815743025</f>
        <v>7.8157430249999997</v>
      </c>
      <c r="CO265">
        <f>7.665966265</f>
        <v>7.6659662649999998</v>
      </c>
      <c r="CP265">
        <f>7.902861724</f>
        <v>7.9028617240000001</v>
      </c>
      <c r="CQ265">
        <f>7.621680643</f>
        <v>7.6216806430000004</v>
      </c>
      <c r="CR265">
        <f>7.341975244</f>
        <v>7.3419752440000003</v>
      </c>
      <c r="CS265">
        <f>7.796965593</f>
        <v>7.7969655930000004</v>
      </c>
      <c r="CT265">
        <f>9.01960026</f>
        <v>9.0196002600000007</v>
      </c>
      <c r="CU265">
        <f>9.05943078</f>
        <v>9.0594307799999996</v>
      </c>
      <c r="CV265">
        <f>8.324174005</f>
        <v>8.3241740049999997</v>
      </c>
      <c r="CW265">
        <f>8.351497296</f>
        <v>8.3514972959999998</v>
      </c>
      <c r="CX265">
        <f>8.309497271</f>
        <v>8.3094972709999997</v>
      </c>
      <c r="CY265">
        <f>7.861599564</f>
        <v>7.8615995639999996</v>
      </c>
      <c r="CZ265">
        <f>7.702653831</f>
        <v>7.7026538310000001</v>
      </c>
      <c r="DA265">
        <f>8.512370467</f>
        <v>8.5123704670000002</v>
      </c>
      <c r="DB265">
        <f>8.24426552</f>
        <v>8.2442655200000008</v>
      </c>
      <c r="DC265">
        <f>7.93480961</f>
        <v>7.9348096100000003</v>
      </c>
      <c r="DD265">
        <f>7.290232698</f>
        <v>7.2902326979999996</v>
      </c>
      <c r="DE265">
        <f>7.486197418</f>
        <v>7.4861974179999997</v>
      </c>
      <c r="DF265">
        <f>6.595606341</f>
        <v>6.5956063409999999</v>
      </c>
      <c r="DG265">
        <f>6.680378486</f>
        <v>6.6803784860000004</v>
      </c>
      <c r="DH265">
        <f>7.931597948</f>
        <v>7.9315979480000003</v>
      </c>
      <c r="DI265">
        <f>7.213600533</f>
        <v>7.2136005330000001</v>
      </c>
      <c r="DJ265">
        <f>6.990883868</f>
        <v>6.9908838680000001</v>
      </c>
      <c r="DK265">
        <f>6.64502684</f>
        <v>6.6450268399999999</v>
      </c>
      <c r="DL265">
        <f>5.490249924</f>
        <v>5.4902499239999996</v>
      </c>
      <c r="DM265">
        <f>5.253300514</f>
        <v>5.2533005140000002</v>
      </c>
      <c r="DN265">
        <f>5.197626358</f>
        <v>5.1976263579999999</v>
      </c>
      <c r="DO265">
        <f>5.217419785</f>
        <v>5.2174197849999997</v>
      </c>
      <c r="DP265" t="str">
        <f>""</f>
        <v/>
      </c>
      <c r="DQ265" t="str">
        <f>""</f>
        <v/>
      </c>
      <c r="DR265" t="str">
        <f>""</f>
        <v/>
      </c>
      <c r="DS265" t="str">
        <f>""</f>
        <v/>
      </c>
      <c r="DT265" t="str">
        <f>""</f>
        <v/>
      </c>
      <c r="DU265" t="str">
        <f>""</f>
        <v/>
      </c>
    </row>
    <row r="266" spans="1:125">
      <c r="A266" t="str">
        <f>"    National Retail Properties Inc"</f>
        <v xml:space="preserve">    National Retail Properties Inc</v>
      </c>
      <c r="B266" t="str">
        <f>"NNN US Equity"</f>
        <v>NNN US Equity</v>
      </c>
      <c r="C266" t="str">
        <f t="shared" si="48"/>
        <v>RR052</v>
      </c>
      <c r="D266" t="str">
        <f t="shared" si="49"/>
        <v>TOT_DEBT_TO_EBITDA</v>
      </c>
      <c r="E266" t="str">
        <f t="shared" si="50"/>
        <v>动态</v>
      </c>
      <c r="F266" t="str">
        <f ca="1">IF(AND(ISNUMBER($F$711),$B$419=1),$F$711,HLOOKUP(INDIRECT(ADDRESS(2,COLUMN())),OFFSET($BN$2,0,0,ROW()-1,60),ROW()-1,FALSE))</f>
        <v/>
      </c>
      <c r="G266">
        <f ca="1">IF(AND(ISNUMBER($G$711),$B$419=1),$G$711,HLOOKUP(INDIRECT(ADDRESS(2,COLUMN())),OFFSET($BN$2,0,0,ROW()-1,60),ROW()-1,FALSE))</f>
        <v>5.0471262049999996</v>
      </c>
      <c r="H266">
        <f ca="1">IF(AND(ISNUMBER($H$711),$B$419=1),$H$711,HLOOKUP(INDIRECT(ADDRESS(2,COLUMN())),OFFSET($BN$2,0,0,ROW()-1,60),ROW()-1,FALSE))</f>
        <v>5.3224292269999998</v>
      </c>
      <c r="I266">
        <f ca="1">IF(AND(ISNUMBER($I$711),$B$419=1),$I$711,HLOOKUP(INDIRECT(ADDRESS(2,COLUMN())),OFFSET($BN$2,0,0,ROW()-1,60),ROW()-1,FALSE))</f>
        <v>5.2242881370000003</v>
      </c>
      <c r="J266">
        <f ca="1">IF(AND(ISNUMBER($J$711),$B$419=1),$J$711,HLOOKUP(INDIRECT(ADDRESS(2,COLUMN())),OFFSET($BN$2,0,0,ROW()-1,60),ROW()-1,FALSE))</f>
        <v>4.9028416479999999</v>
      </c>
      <c r="K266">
        <f ca="1">IF(AND(ISNUMBER($K$711),$B$419=1),$K$711,HLOOKUP(INDIRECT(ADDRESS(2,COLUMN())),OFFSET($BN$2,0,0,ROW()-1,60),ROW()-1,FALSE))</f>
        <v>5.045472105</v>
      </c>
      <c r="L266">
        <f ca="1">IF(AND(ISNUMBER($L$711),$B$419=1),$L$711,HLOOKUP(INDIRECT(ADDRESS(2,COLUMN())),OFFSET($BN$2,0,0,ROW()-1,60),ROW()-1,FALSE))</f>
        <v>4.857730825</v>
      </c>
      <c r="M266">
        <f ca="1">IF(AND(ISNUMBER($M$711),$B$419=1),$M$711,HLOOKUP(INDIRECT(ADDRESS(2,COLUMN())),OFFSET($BN$2,0,0,ROW()-1,60),ROW()-1,FALSE))</f>
        <v>4.7723526669999998</v>
      </c>
      <c r="N266">
        <f ca="1">IF(AND(ISNUMBER($N$711),$B$419=1),$N$711,HLOOKUP(INDIRECT(ADDRESS(2,COLUMN())),OFFSET($BN$2,0,0,ROW()-1,60),ROW()-1,FALSE))</f>
        <v>4.5406512499999998</v>
      </c>
      <c r="O266">
        <f ca="1">IF(AND(ISNUMBER($O$711),$B$419=1),$O$711,HLOOKUP(INDIRECT(ADDRESS(2,COLUMN())),OFFSET($BN$2,0,0,ROW()-1,60),ROW()-1,FALSE))</f>
        <v>4.6662431660000001</v>
      </c>
      <c r="P266">
        <f ca="1">IF(AND(ISNUMBER($P$711),$B$419=1),$P$711,HLOOKUP(INDIRECT(ADDRESS(2,COLUMN())),OFFSET($BN$2,0,0,ROW()-1,60),ROW()-1,FALSE))</f>
        <v>4.8709676640000001</v>
      </c>
      <c r="Q266">
        <f ca="1">IF(AND(ISNUMBER($Q$711),$B$419=1),$Q$711,HLOOKUP(INDIRECT(ADDRESS(2,COLUMN())),OFFSET($BN$2,0,0,ROW()-1,60),ROW()-1,FALSE))</f>
        <v>4.6496813860000001</v>
      </c>
      <c r="R266">
        <f ca="1">IF(AND(ISNUMBER($R$711),$B$419=1),$R$711,HLOOKUP(INDIRECT(ADDRESS(2,COLUMN())),OFFSET($BN$2,0,0,ROW()-1,60),ROW()-1,FALSE))</f>
        <v>4.5391726779999999</v>
      </c>
      <c r="S266">
        <f ca="1">IF(AND(ISNUMBER($S$711),$B$419=1),$S$711,HLOOKUP(INDIRECT(ADDRESS(2,COLUMN())),OFFSET($BN$2,0,0,ROW()-1,60),ROW()-1,FALSE))</f>
        <v>4.5670464109999998</v>
      </c>
      <c r="T266">
        <f ca="1">IF(AND(ISNUMBER($T$711),$B$419=1),$T$711,HLOOKUP(INDIRECT(ADDRESS(2,COLUMN())),OFFSET($BN$2,0,0,ROW()-1,60),ROW()-1,FALSE))</f>
        <v>5.0443590250000003</v>
      </c>
      <c r="U266">
        <f ca="1">IF(AND(ISNUMBER($U$711),$B$419=1),$U$711,HLOOKUP(INDIRECT(ADDRESS(2,COLUMN())),OFFSET($BN$2,0,0,ROW()-1,60),ROW()-1,FALSE))</f>
        <v>4.7658355649999997</v>
      </c>
      <c r="V266">
        <f ca="1">IF(AND(ISNUMBER($V$711),$B$419=1),$V$711,HLOOKUP(INDIRECT(ADDRESS(2,COLUMN())),OFFSET($BN$2,0,0,ROW()-1,60),ROW()-1,FALSE))</f>
        <v>4.5986544279999997</v>
      </c>
      <c r="W266">
        <f ca="1">IF(AND(ISNUMBER($W$711),$B$419=1),$W$711,HLOOKUP(INDIRECT(ADDRESS(2,COLUMN())),OFFSET($BN$2,0,0,ROW()-1,60),ROW()-1,FALSE))</f>
        <v>4.6390373619999998</v>
      </c>
      <c r="X266">
        <f ca="1">IF(AND(ISNUMBER($X$711),$B$419=1),$X$711,HLOOKUP(INDIRECT(ADDRESS(2,COLUMN())),OFFSET($BN$2,0,0,ROW()-1,60),ROW()-1,FALSE))</f>
        <v>4.699411821</v>
      </c>
      <c r="Y266">
        <f ca="1">IF(AND(ISNUMBER($Y$711),$B$419=1),$Y$711,HLOOKUP(INDIRECT(ADDRESS(2,COLUMN())),OFFSET($BN$2,0,0,ROW()-1,60),ROW()-1,FALSE))</f>
        <v>5.7378702019999999</v>
      </c>
      <c r="Z266">
        <f ca="1">IF(AND(ISNUMBER($Z$711),$B$419=1),$Z$711,HLOOKUP(INDIRECT(ADDRESS(2,COLUMN())),OFFSET($BN$2,0,0,ROW()-1,60),ROW()-1,FALSE))</f>
        <v>5.0195035280000004</v>
      </c>
      <c r="AA266">
        <f ca="1">IF(AND(ISNUMBER($AA$711),$B$419=1),$AA$711,HLOOKUP(INDIRECT(ADDRESS(2,COLUMN())),OFFSET($BN$2,0,0,ROW()-1,60),ROW()-1,FALSE))</f>
        <v>5.6928380540000001</v>
      </c>
      <c r="AB266">
        <f ca="1">IF(AND(ISNUMBER($AB$711),$B$419=1),$AB$711,HLOOKUP(INDIRECT(ADDRESS(2,COLUMN())),OFFSET($BN$2,0,0,ROW()-1,60),ROW()-1,FALSE))</f>
        <v>5.8005820000000003</v>
      </c>
      <c r="AC266">
        <f ca="1">IF(AND(ISNUMBER($AC$711),$B$419=1),$AC$711,HLOOKUP(INDIRECT(ADDRESS(2,COLUMN())),OFFSET($BN$2,0,0,ROW()-1,60),ROW()-1,FALSE))</f>
        <v>5.455572621</v>
      </c>
      <c r="AD266">
        <f ca="1">IF(AND(ISNUMBER($AD$711),$B$419=1),$AD$711,HLOOKUP(INDIRECT(ADDRESS(2,COLUMN())),OFFSET($BN$2,0,0,ROW()-1,60),ROW()-1,FALSE))</f>
        <v>5.5185549780000001</v>
      </c>
      <c r="AE266">
        <f ca="1">IF(AND(ISNUMBER($AE$711),$B$419=1),$AE$711,HLOOKUP(INDIRECT(ADDRESS(2,COLUMN())),OFFSET($BN$2,0,0,ROW()-1,60),ROW()-1,FALSE))</f>
        <v>6.0544129419999999</v>
      </c>
      <c r="AF266">
        <f ca="1">IF(AND(ISNUMBER($AF$711),$B$419=1),$AF$711,HLOOKUP(INDIRECT(ADDRESS(2,COLUMN())),OFFSET($BN$2,0,0,ROW()-1,60),ROW()-1,FALSE))</f>
        <v>6.2742847560000001</v>
      </c>
      <c r="AG266">
        <f ca="1">IF(AND(ISNUMBER($AG$711),$B$419=1),$AG$711,HLOOKUP(INDIRECT(ADDRESS(2,COLUMN())),OFFSET($BN$2,0,0,ROW()-1,60),ROW()-1,FALSE))</f>
        <v>6.1321250569999997</v>
      </c>
      <c r="AH266">
        <f ca="1">IF(AND(ISNUMBER($AH$711),$B$419=1),$AH$711,HLOOKUP(INDIRECT(ADDRESS(2,COLUMN())),OFFSET($BN$2,0,0,ROW()-1,60),ROW()-1,FALSE))</f>
        <v>6.0718546870000001</v>
      </c>
      <c r="AI266">
        <f ca="1">IF(AND(ISNUMBER($AI$711),$B$419=1),$AI$711,HLOOKUP(INDIRECT(ADDRESS(2,COLUMN())),OFFSET($BN$2,0,0,ROW()-1,60),ROW()-1,FALSE))</f>
        <v>6.1851308290000002</v>
      </c>
      <c r="AJ266">
        <f ca="1">IF(AND(ISNUMBER($AJ$711),$B$419=1),$AJ$711,HLOOKUP(INDIRECT(ADDRESS(2,COLUMN())),OFFSET($BN$2,0,0,ROW()-1,60),ROW()-1,FALSE))</f>
        <v>6.2461488909999998</v>
      </c>
      <c r="AK266">
        <f ca="1">IF(AND(ISNUMBER($AK$711),$B$419=1),$AK$711,HLOOKUP(INDIRECT(ADDRESS(2,COLUMN())),OFFSET($BN$2,0,0,ROW()-1,60),ROW()-1,FALSE))</f>
        <v>6.1469462110000004</v>
      </c>
      <c r="AL266">
        <f ca="1">IF(AND(ISNUMBER($AL$711),$B$419=1),$AL$711,HLOOKUP(INDIRECT(ADDRESS(2,COLUMN())),OFFSET($BN$2,0,0,ROW()-1,60),ROW()-1,FALSE))</f>
        <v>6.0903744</v>
      </c>
      <c r="AM266">
        <f ca="1">IF(AND(ISNUMBER($AM$711),$B$419=1),$AM$711,HLOOKUP(INDIRECT(ADDRESS(2,COLUMN())),OFFSET($BN$2,0,0,ROW()-1,60),ROW()-1,FALSE))</f>
        <v>5.863482769</v>
      </c>
      <c r="AN266">
        <f ca="1">IF(AND(ISNUMBER($AN$711),$B$419=1),$AN$711,HLOOKUP(INDIRECT(ADDRESS(2,COLUMN())),OFFSET($BN$2,0,0,ROW()-1,60),ROW()-1,FALSE))</f>
        <v>5.0450385000000004</v>
      </c>
      <c r="AO266">
        <f ca="1">IF(AND(ISNUMBER($AO$711),$B$419=1),$AO$711,HLOOKUP(INDIRECT(ADDRESS(2,COLUMN())),OFFSET($BN$2,0,0,ROW()-1,60),ROW()-1,FALSE))</f>
        <v>5.0916658239999997</v>
      </c>
      <c r="AP266">
        <f ca="1">IF(AND(ISNUMBER($AP$711),$B$419=1),$AP$711,HLOOKUP(INDIRECT(ADDRESS(2,COLUMN())),OFFSET($BN$2,0,0,ROW()-1,60),ROW()-1,FALSE))</f>
        <v>5.1263021489999998</v>
      </c>
      <c r="AQ266">
        <f ca="1">IF(AND(ISNUMBER($AQ$711),$B$419=1),$AQ$711,HLOOKUP(INDIRECT(ADDRESS(2,COLUMN())),OFFSET($BN$2,0,0,ROW()-1,60),ROW()-1,FALSE))</f>
        <v>5.3491281690000001</v>
      </c>
      <c r="AR266">
        <f ca="1">IF(AND(ISNUMBER($AR$711),$B$419=1),$AR$711,HLOOKUP(INDIRECT(ADDRESS(2,COLUMN())),OFFSET($BN$2,0,0,ROW()-1,60),ROW()-1,FALSE))</f>
        <v>6.0518472250000004</v>
      </c>
      <c r="AS266">
        <f ca="1">IF(AND(ISNUMBER($AS$711),$B$419=1),$AS$711,HLOOKUP(INDIRECT(ADDRESS(2,COLUMN())),OFFSET($BN$2,0,0,ROW()-1,60),ROW()-1,FALSE))</f>
        <v>6.8858104000000004</v>
      </c>
      <c r="AT266">
        <f ca="1">IF(AND(ISNUMBER($AT$711),$B$419=1),$AT$711,HLOOKUP(INDIRECT(ADDRESS(2,COLUMN())),OFFSET($BN$2,0,0,ROW()-1,60),ROW()-1,FALSE))</f>
        <v>7.2913141110000002</v>
      </c>
      <c r="AU266">
        <f ca="1">IF(AND(ISNUMBER($AU$711),$B$419=1),$AU$711,HLOOKUP(INDIRECT(ADDRESS(2,COLUMN())),OFFSET($BN$2,0,0,ROW()-1,60),ROW()-1,FALSE))</f>
        <v>7.050025217</v>
      </c>
      <c r="AV266">
        <f ca="1">IF(AND(ISNUMBER($AV$711),$B$419=1),$AV$711,HLOOKUP(INDIRECT(ADDRESS(2,COLUMN())),OFFSET($BN$2,0,0,ROW()-1,60),ROW()-1,FALSE))</f>
        <v>7.1578464190000002</v>
      </c>
      <c r="AW266">
        <f ca="1">IF(AND(ISNUMBER($AW$711),$B$419=1),$AW$711,HLOOKUP(INDIRECT(ADDRESS(2,COLUMN())),OFFSET($BN$2,0,0,ROW()-1,60),ROW()-1,FALSE))</f>
        <v>7.0133852650000001</v>
      </c>
      <c r="AX266">
        <f ca="1">IF(AND(ISNUMBER($AX$711),$B$419=1),$AX$711,HLOOKUP(INDIRECT(ADDRESS(2,COLUMN())),OFFSET($BN$2,0,0,ROW()-1,60),ROW()-1,FALSE))</f>
        <v>6.0019610290000003</v>
      </c>
      <c r="AY266">
        <f ca="1">IF(AND(ISNUMBER($AY$711),$B$419=1),$AY$711,HLOOKUP(INDIRECT(ADDRESS(2,COLUMN())),OFFSET($BN$2,0,0,ROW()-1,60),ROW()-1,FALSE))</f>
        <v>6.6763824119999997</v>
      </c>
      <c r="AZ266">
        <f ca="1">IF(AND(ISNUMBER($AZ$711),$B$419=1),$AZ$711,HLOOKUP(INDIRECT(ADDRESS(2,COLUMN())),OFFSET($BN$2,0,0,ROW()-1,60),ROW()-1,FALSE))</f>
        <v>7.508914399</v>
      </c>
      <c r="BA266">
        <f ca="1">IF(AND(ISNUMBER($BA$711),$B$419=1),$BA$711,HLOOKUP(INDIRECT(ADDRESS(2,COLUMN())),OFFSET($BN$2,0,0,ROW()-1,60),ROW()-1,FALSE))</f>
        <v>6.8058892120000003</v>
      </c>
      <c r="BB266">
        <f ca="1">IF(AND(ISNUMBER($BB$711),$B$419=1),$BB$711,HLOOKUP(INDIRECT(ADDRESS(2,COLUMN())),OFFSET($BN$2,0,0,ROW()-1,60),ROW()-1,FALSE))</f>
        <v>8.0368406790000009</v>
      </c>
      <c r="BC266">
        <f ca="1">IF(AND(ISNUMBER($BC$711),$B$419=1),$BC$711,HLOOKUP(INDIRECT(ADDRESS(2,COLUMN())),OFFSET($BN$2,0,0,ROW()-1,60),ROW()-1,FALSE))</f>
        <v>8.8164909910000002</v>
      </c>
      <c r="BD266">
        <f ca="1">IF(AND(ISNUMBER($BD$711),$B$419=1),$BD$711,HLOOKUP(INDIRECT(ADDRESS(2,COLUMN())),OFFSET($BN$2,0,0,ROW()-1,60),ROW()-1,FALSE))</f>
        <v>6.6311286330000003</v>
      </c>
      <c r="BE266">
        <f ca="1">IF(AND(ISNUMBER($BE$711),$B$419=1),$BE$711,HLOOKUP(INDIRECT(ADDRESS(2,COLUMN())),OFFSET($BN$2,0,0,ROW()-1,60),ROW()-1,FALSE))</f>
        <v>6.3797412549999999</v>
      </c>
      <c r="BF266">
        <f ca="1">IF(AND(ISNUMBER($BF$711),$B$419=1),$BF$711,HLOOKUP(INDIRECT(ADDRESS(2,COLUMN())),OFFSET($BN$2,0,0,ROW()-1,60),ROW()-1,FALSE))</f>
        <v>5.6919048999999999</v>
      </c>
      <c r="BG266">
        <f ca="1">IF(AND(ISNUMBER($BG$711),$B$419=1),$BG$711,HLOOKUP(INDIRECT(ADDRESS(2,COLUMN())),OFFSET($BN$2,0,0,ROW()-1,60),ROW()-1,FALSE))</f>
        <v>5.7610800360000001</v>
      </c>
      <c r="BH266">
        <f ca="1">IF(AND(ISNUMBER($BH$711),$B$419=1),$BH$711,HLOOKUP(INDIRECT(ADDRESS(2,COLUMN())),OFFSET($BN$2,0,0,ROW()-1,60),ROW()-1,FALSE))</f>
        <v>6.1107436210000001</v>
      </c>
      <c r="BI266">
        <f ca="1">IF(AND(ISNUMBER($BI$711),$B$419=1),$BI$711,HLOOKUP(INDIRECT(ADDRESS(2,COLUMN())),OFFSET($BN$2,0,0,ROW()-1,60),ROW()-1,FALSE))</f>
        <v>6.2188584889999996</v>
      </c>
      <c r="BJ266">
        <f ca="1">IF(AND(ISNUMBER($BJ$711),$B$419=1),$BJ$711,HLOOKUP(INDIRECT(ADDRESS(2,COLUMN())),OFFSET($BN$2,0,0,ROW()-1,60),ROW()-1,FALSE))</f>
        <v>5.8862800750000002</v>
      </c>
      <c r="BK266">
        <f ca="1">IF(AND(ISNUMBER($BK$711),$B$419=1),$BK$711,HLOOKUP(INDIRECT(ADDRESS(2,COLUMN())),OFFSET($BN$2,0,0,ROW()-1,60),ROW()-1,FALSE))</f>
        <v>5.811900241</v>
      </c>
      <c r="BL266">
        <f ca="1">IF(AND(ISNUMBER($BL$711),$B$419=1),$BL$711,HLOOKUP(INDIRECT(ADDRESS(2,COLUMN())),OFFSET($BN$2,0,0,ROW()-1,60),ROW()-1,FALSE))</f>
        <v>6.2128109939999998</v>
      </c>
      <c r="BM266">
        <f ca="1">IF(AND(ISNUMBER($BM$711),$B$419=1),$BM$711,HLOOKUP(INDIRECT(ADDRESS(2,COLUMN())),OFFSET($BN$2,0,0,ROW()-1,60),ROW()-1,FALSE))</f>
        <v>5.8959531390000004</v>
      </c>
      <c r="BN266" t="str">
        <f>""</f>
        <v/>
      </c>
      <c r="BO266">
        <f>5.047126205</f>
        <v>5.0471262049999996</v>
      </c>
      <c r="BP266">
        <f>5.322429227</f>
        <v>5.3224292269999998</v>
      </c>
      <c r="BQ266">
        <f>5.224288137</f>
        <v>5.2242881370000003</v>
      </c>
      <c r="BR266">
        <f>4.902841648</f>
        <v>4.9028416479999999</v>
      </c>
      <c r="BS266">
        <f>5.045472105</f>
        <v>5.045472105</v>
      </c>
      <c r="BT266">
        <f>4.857730825</f>
        <v>4.857730825</v>
      </c>
      <c r="BU266">
        <f>4.772352667</f>
        <v>4.7723526669999998</v>
      </c>
      <c r="BV266">
        <f>4.54065125</f>
        <v>4.5406512499999998</v>
      </c>
      <c r="BW266">
        <f>4.666243166</f>
        <v>4.6662431660000001</v>
      </c>
      <c r="BX266">
        <f>4.870967664</f>
        <v>4.8709676640000001</v>
      </c>
      <c r="BY266">
        <f>4.649681386</f>
        <v>4.6496813860000001</v>
      </c>
      <c r="BZ266">
        <f>4.539172678</f>
        <v>4.5391726779999999</v>
      </c>
      <c r="CA266">
        <f>4.567046411</f>
        <v>4.5670464109999998</v>
      </c>
      <c r="CB266">
        <f>5.044359025</f>
        <v>5.0443590250000003</v>
      </c>
      <c r="CC266">
        <f>4.765835565</f>
        <v>4.7658355649999997</v>
      </c>
      <c r="CD266">
        <f>4.598654428</f>
        <v>4.5986544279999997</v>
      </c>
      <c r="CE266">
        <f>4.639037362</f>
        <v>4.6390373619999998</v>
      </c>
      <c r="CF266">
        <f>4.699411821</f>
        <v>4.699411821</v>
      </c>
      <c r="CG266">
        <f>5.737870202</f>
        <v>5.7378702019999999</v>
      </c>
      <c r="CH266">
        <f>5.019503528</f>
        <v>5.0195035280000004</v>
      </c>
      <c r="CI266">
        <f>5.692838054</f>
        <v>5.6928380540000001</v>
      </c>
      <c r="CJ266">
        <f>5.800582</f>
        <v>5.8005820000000003</v>
      </c>
      <c r="CK266">
        <f>5.455572621</f>
        <v>5.455572621</v>
      </c>
      <c r="CL266">
        <f>5.518554978</f>
        <v>5.5185549780000001</v>
      </c>
      <c r="CM266">
        <f>6.054412942</f>
        <v>6.0544129419999999</v>
      </c>
      <c r="CN266">
        <f>6.274284756</f>
        <v>6.2742847560000001</v>
      </c>
      <c r="CO266">
        <f>6.132125057</f>
        <v>6.1321250569999997</v>
      </c>
      <c r="CP266">
        <f>6.071854687</f>
        <v>6.0718546870000001</v>
      </c>
      <c r="CQ266">
        <f>6.185130829</f>
        <v>6.1851308290000002</v>
      </c>
      <c r="CR266">
        <f>6.246148891</f>
        <v>6.2461488909999998</v>
      </c>
      <c r="CS266">
        <f>6.146946211</f>
        <v>6.1469462110000004</v>
      </c>
      <c r="CT266">
        <f>6.0903744</f>
        <v>6.0903744</v>
      </c>
      <c r="CU266">
        <f>5.863482769</f>
        <v>5.863482769</v>
      </c>
      <c r="CV266">
        <f>5.0450385</f>
        <v>5.0450385000000004</v>
      </c>
      <c r="CW266">
        <f>5.091665824</f>
        <v>5.0916658239999997</v>
      </c>
      <c r="CX266">
        <f>5.126302149</f>
        <v>5.1263021489999998</v>
      </c>
      <c r="CY266">
        <f>5.349128169</f>
        <v>5.3491281690000001</v>
      </c>
      <c r="CZ266">
        <f>6.051847225</f>
        <v>6.0518472250000004</v>
      </c>
      <c r="DA266">
        <f>6.8858104</f>
        <v>6.8858104000000004</v>
      </c>
      <c r="DB266">
        <f>7.291314111</f>
        <v>7.2913141110000002</v>
      </c>
      <c r="DC266">
        <f>7.050025217</f>
        <v>7.050025217</v>
      </c>
      <c r="DD266">
        <f>7.157846419</f>
        <v>7.1578464190000002</v>
      </c>
      <c r="DE266">
        <f>7.013385265</f>
        <v>7.0133852650000001</v>
      </c>
      <c r="DF266">
        <f>6.001961029</f>
        <v>6.0019610290000003</v>
      </c>
      <c r="DG266">
        <f>6.676382412</f>
        <v>6.6763824119999997</v>
      </c>
      <c r="DH266">
        <f>7.508914399</f>
        <v>7.508914399</v>
      </c>
      <c r="DI266">
        <f>6.805889212</f>
        <v>6.8058892120000003</v>
      </c>
      <c r="DJ266">
        <f>8.036840679</f>
        <v>8.0368406790000009</v>
      </c>
      <c r="DK266">
        <f>8.816490991</f>
        <v>8.8164909910000002</v>
      </c>
      <c r="DL266">
        <f>6.631128633</f>
        <v>6.6311286330000003</v>
      </c>
      <c r="DM266">
        <f>6.379741255</f>
        <v>6.3797412549999999</v>
      </c>
      <c r="DN266">
        <f>5.6919049</f>
        <v>5.6919048999999999</v>
      </c>
      <c r="DO266">
        <f>5.761080036</f>
        <v>5.7610800360000001</v>
      </c>
      <c r="DP266">
        <f>6.110743621</f>
        <v>6.1107436210000001</v>
      </c>
      <c r="DQ266">
        <f>6.218858489</f>
        <v>6.2188584889999996</v>
      </c>
      <c r="DR266">
        <f>5.886280075</f>
        <v>5.8862800750000002</v>
      </c>
      <c r="DS266">
        <f>5.811900241</f>
        <v>5.811900241</v>
      </c>
      <c r="DT266">
        <f>6.212810994</f>
        <v>6.2128109939999998</v>
      </c>
      <c r="DU266">
        <f>5.895953139</f>
        <v>5.8959531390000004</v>
      </c>
    </row>
    <row r="267" spans="1:125">
      <c r="A267" t="str">
        <f>"    Realty Income Corp"</f>
        <v xml:space="preserve">    Realty Income Corp</v>
      </c>
      <c r="B267" t="str">
        <f>"O US Equity"</f>
        <v>O US Equity</v>
      </c>
      <c r="C267" t="str">
        <f t="shared" si="48"/>
        <v>RR052</v>
      </c>
      <c r="D267" t="str">
        <f t="shared" si="49"/>
        <v>TOT_DEBT_TO_EBITDA</v>
      </c>
      <c r="E267" t="str">
        <f t="shared" si="50"/>
        <v>动态</v>
      </c>
      <c r="F267" t="str">
        <f ca="1">IF(AND(ISNUMBER($F$712),$B$419=1),$F$712,HLOOKUP(INDIRECT(ADDRESS(2,COLUMN())),OFFSET($BN$2,0,0,ROW()-1,60),ROW()-1,FALSE))</f>
        <v/>
      </c>
      <c r="G267">
        <f ca="1">IF(AND(ISNUMBER($G$712),$B$419=1),$G$712,HLOOKUP(INDIRECT(ADDRESS(2,COLUMN())),OFFSET($BN$2,0,0,ROW()-1,60),ROW()-1,FALSE))</f>
        <v>5.6951976159999997</v>
      </c>
      <c r="H267">
        <f ca="1">IF(AND(ISNUMBER($H$712),$B$419=1),$H$712,HLOOKUP(INDIRECT(ADDRESS(2,COLUMN())),OFFSET($BN$2,0,0,ROW()-1,60),ROW()-1,FALSE))</f>
        <v>5.4897514679999997</v>
      </c>
      <c r="I267">
        <f ca="1">IF(AND(ISNUMBER($I$712),$B$419=1),$I$712,HLOOKUP(INDIRECT(ADDRESS(2,COLUMN())),OFFSET($BN$2,0,0,ROW()-1,60),ROW()-1,FALSE))</f>
        <v>5.8742404649999997</v>
      </c>
      <c r="J267">
        <f ca="1">IF(AND(ISNUMBER($J$712),$B$419=1),$J$712,HLOOKUP(INDIRECT(ADDRESS(2,COLUMN())),OFFSET($BN$2,0,0,ROW()-1,60),ROW()-1,FALSE))</f>
        <v>5.4791904709999999</v>
      </c>
      <c r="K267">
        <f ca="1">IF(AND(ISNUMBER($K$712),$B$419=1),$K$712,HLOOKUP(INDIRECT(ADDRESS(2,COLUMN())),OFFSET($BN$2,0,0,ROW()-1,60),ROW()-1,FALSE))</f>
        <v>6.0346634259999998</v>
      </c>
      <c r="L267">
        <f ca="1">IF(AND(ISNUMBER($L$712),$B$419=1),$L$712,HLOOKUP(INDIRECT(ADDRESS(2,COLUMN())),OFFSET($BN$2,0,0,ROW()-1,60),ROW()-1,FALSE))</f>
        <v>5.5215802030000001</v>
      </c>
      <c r="M267">
        <f ca="1">IF(AND(ISNUMBER($M$712),$B$419=1),$M$712,HLOOKUP(INDIRECT(ADDRESS(2,COLUMN())),OFFSET($BN$2,0,0,ROW()-1,60),ROW()-1,FALSE))</f>
        <v>5.2581894780000002</v>
      </c>
      <c r="N267">
        <f ca="1">IF(AND(ISNUMBER($N$712),$B$419=1),$N$712,HLOOKUP(INDIRECT(ADDRESS(2,COLUMN())),OFFSET($BN$2,0,0,ROW()-1,60),ROW()-1,FALSE))</f>
        <v>5.4826732590000002</v>
      </c>
      <c r="O267">
        <f ca="1">IF(AND(ISNUMBER($O$712),$B$419=1),$O$712,HLOOKUP(INDIRECT(ADDRESS(2,COLUMN())),OFFSET($BN$2,0,0,ROW()-1,60),ROW()-1,FALSE))</f>
        <v>5.2902101930000001</v>
      </c>
      <c r="P267">
        <f ca="1">IF(AND(ISNUMBER($P$712),$B$419=1),$P$712,HLOOKUP(INDIRECT(ADDRESS(2,COLUMN())),OFFSET($BN$2,0,0,ROW()-1,60),ROW()-1,FALSE))</f>
        <v>5.9855920850000004</v>
      </c>
      <c r="Q267">
        <f ca="1">IF(AND(ISNUMBER($Q$712),$B$419=1),$Q$712,HLOOKUP(INDIRECT(ADDRESS(2,COLUMN())),OFFSET($BN$2,0,0,ROW()-1,60),ROW()-1,FALSE))</f>
        <v>6.1242505600000001</v>
      </c>
      <c r="R267">
        <f ca="1">IF(AND(ISNUMBER($R$712),$B$419=1),$R$712,HLOOKUP(INDIRECT(ADDRESS(2,COLUMN())),OFFSET($BN$2,0,0,ROW()-1,60),ROW()-1,FALSE))</f>
        <v>5.9332225019999996</v>
      </c>
      <c r="S267">
        <f ca="1">IF(AND(ISNUMBER($S$712),$B$419=1),$S$712,HLOOKUP(INDIRECT(ADDRESS(2,COLUMN())),OFFSET($BN$2,0,0,ROW()-1,60),ROW()-1,FALSE))</f>
        <v>5.9617373489999999</v>
      </c>
      <c r="T267">
        <f ca="1">IF(AND(ISNUMBER($T$712),$B$419=1),$T$712,HLOOKUP(INDIRECT(ADDRESS(2,COLUMN())),OFFSET($BN$2,0,0,ROW()-1,60),ROW()-1,FALSE))</f>
        <v>5.8716742310000001</v>
      </c>
      <c r="U267">
        <f ca="1">IF(AND(ISNUMBER($U$712),$B$419=1),$U$712,HLOOKUP(INDIRECT(ADDRESS(2,COLUMN())),OFFSET($BN$2,0,0,ROW()-1,60),ROW()-1,FALSE))</f>
        <v>5.9790618780000004</v>
      </c>
      <c r="V267">
        <f ca="1">IF(AND(ISNUMBER($V$712),$B$419=1),$V$712,HLOOKUP(INDIRECT(ADDRESS(2,COLUMN())),OFFSET($BN$2,0,0,ROW()-1,60),ROW()-1,FALSE))</f>
        <v>6.6249120010000002</v>
      </c>
      <c r="W267">
        <f ca="1">IF(AND(ISNUMBER($W$712),$B$419=1),$W$712,HLOOKUP(INDIRECT(ADDRESS(2,COLUMN())),OFFSET($BN$2,0,0,ROW()-1,60),ROW()-1,FALSE))</f>
        <v>6.2056137119999999</v>
      </c>
      <c r="X267">
        <f ca="1">IF(AND(ISNUMBER($X$712),$B$419=1),$X$712,HLOOKUP(INDIRECT(ADDRESS(2,COLUMN())),OFFSET($BN$2,0,0,ROW()-1,60),ROW()-1,FALSE))</f>
        <v>7.5965469160000003</v>
      </c>
      <c r="Y267">
        <f ca="1">IF(AND(ISNUMBER($Y$712),$B$419=1),$Y$712,HLOOKUP(INDIRECT(ADDRESS(2,COLUMN())),OFFSET($BN$2,0,0,ROW()-1,60),ROW()-1,FALSE))</f>
        <v>7.7455906050000003</v>
      </c>
      <c r="Z267">
        <f ca="1">IF(AND(ISNUMBER($Z$712),$B$419=1),$Z$712,HLOOKUP(INDIRECT(ADDRESS(2,COLUMN())),OFFSET($BN$2,0,0,ROW()-1,60),ROW()-1,FALSE))</f>
        <v>7.4166948369999997</v>
      </c>
      <c r="AA267">
        <f ca="1">IF(AND(ISNUMBER($AA$712),$B$419=1),$AA$712,HLOOKUP(INDIRECT(ADDRESS(2,COLUMN())),OFFSET($BN$2,0,0,ROW()-1,60),ROW()-1,FALSE))</f>
        <v>6.8785949689999999</v>
      </c>
      <c r="AB267">
        <f ca="1">IF(AND(ISNUMBER($AB$712),$B$419=1),$AB$712,HLOOKUP(INDIRECT(ADDRESS(2,COLUMN())),OFFSET($BN$2,0,0,ROW()-1,60),ROW()-1,FALSE))</f>
        <v>6.2087885810000003</v>
      </c>
      <c r="AC267">
        <f ca="1">IF(AND(ISNUMBER($AC$712),$B$419=1),$AC$712,HLOOKUP(INDIRECT(ADDRESS(2,COLUMN())),OFFSET($BN$2,0,0,ROW()-1,60),ROW()-1,FALSE))</f>
        <v>4.9966634699999997</v>
      </c>
      <c r="AD267">
        <f ca="1">IF(AND(ISNUMBER($AD$712),$B$419=1),$AD$712,HLOOKUP(INDIRECT(ADDRESS(2,COLUMN())),OFFSET($BN$2,0,0,ROW()-1,60),ROW()-1,FALSE))</f>
        <v>4.7641659580000004</v>
      </c>
      <c r="AE267">
        <f ca="1">IF(AND(ISNUMBER($AE$712),$B$419=1),$AE$712,HLOOKUP(INDIRECT(ADDRESS(2,COLUMN())),OFFSET($BN$2,0,0,ROW()-1,60),ROW()-1,FALSE))</f>
        <v>5.4802342289999997</v>
      </c>
      <c r="AF267">
        <f ca="1">IF(AND(ISNUMBER($AF$712),$B$419=1),$AF$712,HLOOKUP(INDIRECT(ADDRESS(2,COLUMN())),OFFSET($BN$2,0,0,ROW()-1,60),ROW()-1,FALSE))</f>
        <v>5.3449998880000003</v>
      </c>
      <c r="AG267">
        <f ca="1">IF(AND(ISNUMBER($AG$712),$B$419=1),$AG$712,HLOOKUP(INDIRECT(ADDRESS(2,COLUMN())),OFFSET($BN$2,0,0,ROW()-1,60),ROW()-1,FALSE))</f>
        <v>5.326898452</v>
      </c>
      <c r="AH267">
        <f ca="1">IF(AND(ISNUMBER($AH$712),$B$419=1),$AH$712,HLOOKUP(INDIRECT(ADDRESS(2,COLUMN())),OFFSET($BN$2,0,0,ROW()-1,60),ROW()-1,FALSE))</f>
        <v>4.9704105250000001</v>
      </c>
      <c r="AI267">
        <f ca="1">IF(AND(ISNUMBER($AI$712),$B$419=1),$AI$712,HLOOKUP(INDIRECT(ADDRESS(2,COLUMN())),OFFSET($BN$2,0,0,ROW()-1,60),ROW()-1,FALSE))</f>
        <v>5.1925798030000001</v>
      </c>
      <c r="AJ267">
        <f ca="1">IF(AND(ISNUMBER($AJ$712),$B$419=1),$AJ$712,HLOOKUP(INDIRECT(ADDRESS(2,COLUMN())),OFFSET($BN$2,0,0,ROW()-1,60),ROW()-1,FALSE))</f>
        <v>5.3161268030000004</v>
      </c>
      <c r="AK267">
        <f ca="1">IF(AND(ISNUMBER($AK$712),$B$419=1),$AK$712,HLOOKUP(INDIRECT(ADDRESS(2,COLUMN())),OFFSET($BN$2,0,0,ROW()-1,60),ROW()-1,FALSE))</f>
        <v>5.4782758029999998</v>
      </c>
      <c r="AL267">
        <f ca="1">IF(AND(ISNUMBER($AL$712),$B$419=1),$AL$712,HLOOKUP(INDIRECT(ADDRESS(2,COLUMN())),OFFSET($BN$2,0,0,ROW()-1,60),ROW()-1,FALSE))</f>
        <v>4.6732994190000001</v>
      </c>
      <c r="AM267">
        <f ca="1">IF(AND(ISNUMBER($AM$712),$B$419=1),$AM$712,HLOOKUP(INDIRECT(ADDRESS(2,COLUMN())),OFFSET($BN$2,0,0,ROW()-1,60),ROW()-1,FALSE))</f>
        <v>4.5468734790000003</v>
      </c>
      <c r="AN267">
        <f ca="1">IF(AND(ISNUMBER($AN$712),$B$419=1),$AN$712,HLOOKUP(INDIRECT(ADDRESS(2,COLUMN())),OFFSET($BN$2,0,0,ROW()-1,60),ROW()-1,FALSE))</f>
        <v>4.4321729799999998</v>
      </c>
      <c r="AO267">
        <f ca="1">IF(AND(ISNUMBER($AO$712),$B$419=1),$AO$712,HLOOKUP(INDIRECT(ADDRESS(2,COLUMN())),OFFSET($BN$2,0,0,ROW()-1,60),ROW()-1,FALSE))</f>
        <v>4.4776713460000002</v>
      </c>
      <c r="AP267">
        <f ca="1">IF(AND(ISNUMBER($AP$712),$B$419=1),$AP$712,HLOOKUP(INDIRECT(ADDRESS(2,COLUMN())),OFFSET($BN$2,0,0,ROW()-1,60),ROW()-1,FALSE))</f>
        <v>4.4258522219999996</v>
      </c>
      <c r="AQ267">
        <f ca="1">IF(AND(ISNUMBER($AQ$712),$B$419=1),$AQ$712,HLOOKUP(INDIRECT(ADDRESS(2,COLUMN())),OFFSET($BN$2,0,0,ROW()-1,60),ROW()-1,FALSE))</f>
        <v>4.4567773920000002</v>
      </c>
      <c r="AR267">
        <f ca="1">IF(AND(ISNUMBER($AR$712),$B$419=1),$AR$712,HLOOKUP(INDIRECT(ADDRESS(2,COLUMN())),OFFSET($BN$2,0,0,ROW()-1,60),ROW()-1,FALSE))</f>
        <v>4.8721637050000002</v>
      </c>
      <c r="AS267">
        <f ca="1">IF(AND(ISNUMBER($AS$712),$B$419=1),$AS$712,HLOOKUP(INDIRECT(ADDRESS(2,COLUMN())),OFFSET($BN$2,0,0,ROW()-1,60),ROW()-1,FALSE))</f>
        <v>4.9482453919999996</v>
      </c>
      <c r="AT267">
        <f ca="1">IF(AND(ISNUMBER($AT$712),$B$419=1),$AT$712,HLOOKUP(INDIRECT(ADDRESS(2,COLUMN())),OFFSET($BN$2,0,0,ROW()-1,60),ROW()-1,FALSE))</f>
        <v>5.1777518950000001</v>
      </c>
      <c r="AU267">
        <f ca="1">IF(AND(ISNUMBER($AU$712),$B$419=1),$AU$712,HLOOKUP(INDIRECT(ADDRESS(2,COLUMN())),OFFSET($BN$2,0,0,ROW()-1,60),ROW()-1,FALSE))</f>
        <v>5.3788031519999997</v>
      </c>
      <c r="AV267">
        <f ca="1">IF(AND(ISNUMBER($AV$712),$B$419=1),$AV$712,HLOOKUP(INDIRECT(ADDRESS(2,COLUMN())),OFFSET($BN$2,0,0,ROW()-1,60),ROW()-1,FALSE))</f>
        <v>5.6141584020000002</v>
      </c>
      <c r="AW267">
        <f ca="1">IF(AND(ISNUMBER($AW$712),$B$419=1),$AW$712,HLOOKUP(INDIRECT(ADDRESS(2,COLUMN())),OFFSET($BN$2,0,0,ROW()-1,60),ROW()-1,FALSE))</f>
        <v>3.7260660570000002</v>
      </c>
      <c r="AX267">
        <f ca="1">IF(AND(ISNUMBER($AX$712),$B$419=1),$AX$712,HLOOKUP(INDIRECT(ADDRESS(2,COLUMN())),OFFSET($BN$2,0,0,ROW()-1,60),ROW()-1,FALSE))</f>
        <v>4.0721501529999999</v>
      </c>
      <c r="AY267">
        <f ca="1">IF(AND(ISNUMBER($AY$712),$B$419=1),$AY$712,HLOOKUP(INDIRECT(ADDRESS(2,COLUMN())),OFFSET($BN$2,0,0,ROW()-1,60),ROW()-1,FALSE))</f>
        <v>4.151212407</v>
      </c>
      <c r="AZ267">
        <f ca="1">IF(AND(ISNUMBER($AZ$712),$B$419=1),$AZ$712,HLOOKUP(INDIRECT(ADDRESS(2,COLUMN())),OFFSET($BN$2,0,0,ROW()-1,60),ROW()-1,FALSE))</f>
        <v>4.4332648859999999</v>
      </c>
      <c r="BA267">
        <f ca="1">IF(AND(ISNUMBER($BA$712),$B$419=1),$BA$712,HLOOKUP(INDIRECT(ADDRESS(2,COLUMN())),OFFSET($BN$2,0,0,ROW()-1,60),ROW()-1,FALSE))</f>
        <v>4.2522827530000002</v>
      </c>
      <c r="BB267">
        <f ca="1">IF(AND(ISNUMBER($BB$712),$B$419=1),$BB$712,HLOOKUP(INDIRECT(ADDRESS(2,COLUMN())),OFFSET($BN$2,0,0,ROW()-1,60),ROW()-1,FALSE))</f>
        <v>4.2075721440000002</v>
      </c>
      <c r="BC267">
        <f ca="1">IF(AND(ISNUMBER($BC$712),$B$419=1),$BC$712,HLOOKUP(INDIRECT(ADDRESS(2,COLUMN())),OFFSET($BN$2,0,0,ROW()-1,60),ROW()-1,FALSE))</f>
        <v>4.9805903950000001</v>
      </c>
      <c r="BD267">
        <f ca="1">IF(AND(ISNUMBER($BD$712),$B$419=1),$BD$712,HLOOKUP(INDIRECT(ADDRESS(2,COLUMN())),OFFSET($BN$2,0,0,ROW()-1,60),ROW()-1,FALSE))</f>
        <v>4.5312068200000004</v>
      </c>
      <c r="BE267">
        <f ca="1">IF(AND(ISNUMBER($BE$712),$B$419=1),$BE$712,HLOOKUP(INDIRECT(ADDRESS(2,COLUMN())),OFFSET($BN$2,0,0,ROW()-1,60),ROW()-1,FALSE))</f>
        <v>3.8211958699999999</v>
      </c>
      <c r="BF267">
        <f ca="1">IF(AND(ISNUMBER($BF$712),$B$419=1),$BF$712,HLOOKUP(INDIRECT(ADDRESS(2,COLUMN())),OFFSET($BN$2,0,0,ROW()-1,60),ROW()-1,FALSE))</f>
        <v>3.3580970699999999</v>
      </c>
      <c r="BG267">
        <f ca="1">IF(AND(ISNUMBER($BG$712),$B$419=1),$BG$712,HLOOKUP(INDIRECT(ADDRESS(2,COLUMN())),OFFSET($BN$2,0,0,ROW()-1,60),ROW()-1,FALSE))</f>
        <v>2.9677997189999998</v>
      </c>
      <c r="BH267">
        <f ca="1">IF(AND(ISNUMBER($BH$712),$B$419=1),$BH$712,HLOOKUP(INDIRECT(ADDRESS(2,COLUMN())),OFFSET($BN$2,0,0,ROW()-1,60),ROW()-1,FALSE))</f>
        <v>3.159635878</v>
      </c>
      <c r="BI267">
        <f ca="1">IF(AND(ISNUMBER($BI$712),$B$419=1),$BI$712,HLOOKUP(INDIRECT(ADDRESS(2,COLUMN())),OFFSET($BN$2,0,0,ROW()-1,60),ROW()-1,FALSE))</f>
        <v>3.031527901</v>
      </c>
      <c r="BJ267">
        <f ca="1">IF(AND(ISNUMBER($BJ$712),$B$419=1),$BJ$712,HLOOKUP(INDIRECT(ADDRESS(2,COLUMN())),OFFSET($BN$2,0,0,ROW()-1,60),ROW()-1,FALSE))</f>
        <v>3.6683870860000001</v>
      </c>
      <c r="BK267">
        <f ca="1">IF(AND(ISNUMBER($BK$712),$B$419=1),$BK$712,HLOOKUP(INDIRECT(ADDRESS(2,COLUMN())),OFFSET($BN$2,0,0,ROW()-1,60),ROW()-1,FALSE))</f>
        <v>3.808377803</v>
      </c>
      <c r="BL267">
        <f ca="1">IF(AND(ISNUMBER($BL$712),$B$419=1),$BL$712,HLOOKUP(INDIRECT(ADDRESS(2,COLUMN())),OFFSET($BN$2,0,0,ROW()-1,60),ROW()-1,FALSE))</f>
        <v>3.3022749280000001</v>
      </c>
      <c r="BM267">
        <f ca="1">IF(AND(ISNUMBER($BM$712),$B$419=1),$BM$712,HLOOKUP(INDIRECT(ADDRESS(2,COLUMN())),OFFSET($BN$2,0,0,ROW()-1,60),ROW()-1,FALSE))</f>
        <v>3.009016881</v>
      </c>
      <c r="BN267" t="str">
        <f>""</f>
        <v/>
      </c>
      <c r="BO267">
        <f>5.695197616</f>
        <v>5.6951976159999997</v>
      </c>
      <c r="BP267">
        <f>5.489751468</f>
        <v>5.4897514679999997</v>
      </c>
      <c r="BQ267">
        <f>5.874240465</f>
        <v>5.8742404649999997</v>
      </c>
      <c r="BR267">
        <f>5.479190471</f>
        <v>5.4791904709999999</v>
      </c>
      <c r="BS267">
        <f>6.034663426</f>
        <v>6.0346634259999998</v>
      </c>
      <c r="BT267">
        <f>5.521580203</f>
        <v>5.5215802030000001</v>
      </c>
      <c r="BU267">
        <f>5.258189478</f>
        <v>5.2581894780000002</v>
      </c>
      <c r="BV267">
        <f>5.482673259</f>
        <v>5.4826732590000002</v>
      </c>
      <c r="BW267">
        <f>5.290210193</f>
        <v>5.2902101930000001</v>
      </c>
      <c r="BX267">
        <f>5.985592085</f>
        <v>5.9855920850000004</v>
      </c>
      <c r="BY267">
        <f>6.12425056</f>
        <v>6.1242505600000001</v>
      </c>
      <c r="BZ267">
        <f>5.933222502</f>
        <v>5.9332225019999996</v>
      </c>
      <c r="CA267">
        <f>5.961737349</f>
        <v>5.9617373489999999</v>
      </c>
      <c r="CB267">
        <f>5.871674231</f>
        <v>5.8716742310000001</v>
      </c>
      <c r="CC267">
        <f>5.979061878</f>
        <v>5.9790618780000004</v>
      </c>
      <c r="CD267">
        <f>6.624912001</f>
        <v>6.6249120010000002</v>
      </c>
      <c r="CE267">
        <f>6.205613712</f>
        <v>6.2056137119999999</v>
      </c>
      <c r="CF267">
        <f>7.596546916</f>
        <v>7.5965469160000003</v>
      </c>
      <c r="CG267">
        <f>7.745590605</f>
        <v>7.7455906050000003</v>
      </c>
      <c r="CH267">
        <f>7.416694837</f>
        <v>7.4166948369999997</v>
      </c>
      <c r="CI267">
        <f>6.878594969</f>
        <v>6.8785949689999999</v>
      </c>
      <c r="CJ267">
        <f>6.208788581</f>
        <v>6.2087885810000003</v>
      </c>
      <c r="CK267">
        <f>4.99666347</f>
        <v>4.9966634699999997</v>
      </c>
      <c r="CL267">
        <f>4.764165958</f>
        <v>4.7641659580000004</v>
      </c>
      <c r="CM267">
        <f>5.480234229</f>
        <v>5.4802342289999997</v>
      </c>
      <c r="CN267">
        <f>5.344999888</f>
        <v>5.3449998880000003</v>
      </c>
      <c r="CO267">
        <f>5.326898452</f>
        <v>5.326898452</v>
      </c>
      <c r="CP267">
        <f>4.970410525</f>
        <v>4.9704105250000001</v>
      </c>
      <c r="CQ267">
        <f>5.192579803</f>
        <v>5.1925798030000001</v>
      </c>
      <c r="CR267">
        <f>5.316126803</f>
        <v>5.3161268030000004</v>
      </c>
      <c r="CS267">
        <f>5.478275803</f>
        <v>5.4782758029999998</v>
      </c>
      <c r="CT267">
        <f>4.673299419</f>
        <v>4.6732994190000001</v>
      </c>
      <c r="CU267">
        <f>4.546873479</f>
        <v>4.5468734790000003</v>
      </c>
      <c r="CV267">
        <f>4.43217298</f>
        <v>4.4321729799999998</v>
      </c>
      <c r="CW267">
        <f>4.477671346</f>
        <v>4.4776713460000002</v>
      </c>
      <c r="CX267">
        <f>4.425852222</f>
        <v>4.4258522219999996</v>
      </c>
      <c r="CY267">
        <f>4.456777392</f>
        <v>4.4567773920000002</v>
      </c>
      <c r="CZ267">
        <f>4.872163705</f>
        <v>4.8721637050000002</v>
      </c>
      <c r="DA267">
        <f>4.948245392</f>
        <v>4.9482453919999996</v>
      </c>
      <c r="DB267">
        <f>5.177751895</f>
        <v>5.1777518950000001</v>
      </c>
      <c r="DC267">
        <f>5.378803152</f>
        <v>5.3788031519999997</v>
      </c>
      <c r="DD267">
        <f>5.614158402</f>
        <v>5.6141584020000002</v>
      </c>
      <c r="DE267">
        <f>3.726066057</f>
        <v>3.7260660570000002</v>
      </c>
      <c r="DF267">
        <f>4.072150153</f>
        <v>4.0721501529999999</v>
      </c>
      <c r="DG267">
        <f>4.151212407</f>
        <v>4.151212407</v>
      </c>
      <c r="DH267">
        <f>4.433264886</f>
        <v>4.4332648859999999</v>
      </c>
      <c r="DI267">
        <f>4.252282753</f>
        <v>4.2522827530000002</v>
      </c>
      <c r="DJ267">
        <f>4.207572144</f>
        <v>4.2075721440000002</v>
      </c>
      <c r="DK267">
        <f>4.980590395</f>
        <v>4.9805903950000001</v>
      </c>
      <c r="DL267">
        <f>4.53120682</f>
        <v>4.5312068200000004</v>
      </c>
      <c r="DM267">
        <f>3.82119587</f>
        <v>3.8211958699999999</v>
      </c>
      <c r="DN267">
        <f>3.35809707</f>
        <v>3.3580970699999999</v>
      </c>
      <c r="DO267">
        <f>2.967799719</f>
        <v>2.9677997189999998</v>
      </c>
      <c r="DP267">
        <f>3.159635878</f>
        <v>3.159635878</v>
      </c>
      <c r="DQ267">
        <f>3.031527901</f>
        <v>3.031527901</v>
      </c>
      <c r="DR267">
        <f>3.668387086</f>
        <v>3.6683870860000001</v>
      </c>
      <c r="DS267">
        <f>3.808377803</f>
        <v>3.808377803</v>
      </c>
      <c r="DT267">
        <f>3.302274928</f>
        <v>3.3022749280000001</v>
      </c>
      <c r="DU267">
        <f>3.009016881</f>
        <v>3.009016881</v>
      </c>
    </row>
    <row r="268" spans="1:125">
      <c r="A268" t="str">
        <f>"    Regency Centers Corp"</f>
        <v xml:space="preserve">    Regency Centers Corp</v>
      </c>
      <c r="B268" t="str">
        <f>"REG US Equity"</f>
        <v>REG US Equity</v>
      </c>
      <c r="C268" t="str">
        <f t="shared" si="48"/>
        <v>RR052</v>
      </c>
      <c r="D268" t="str">
        <f t="shared" si="49"/>
        <v>TOT_DEBT_TO_EBITDA</v>
      </c>
      <c r="E268" t="str">
        <f t="shared" si="50"/>
        <v>动态</v>
      </c>
      <c r="F268" t="str">
        <f ca="1">IF(AND(ISNUMBER($F$713),$B$419=1),$F$713,HLOOKUP(INDIRECT(ADDRESS(2,COLUMN())),OFFSET($BN$2,0,0,ROW()-1,60),ROW()-1,FALSE))</f>
        <v/>
      </c>
      <c r="G268">
        <f ca="1">IF(AND(ISNUMBER($G$713),$B$419=1),$G$713,HLOOKUP(INDIRECT(ADDRESS(2,COLUMN())),OFFSET($BN$2,0,0,ROW()-1,60),ROW()-1,FALSE))</f>
        <v>6.2623278940000002</v>
      </c>
      <c r="H268">
        <f ca="1">IF(AND(ISNUMBER($H$713),$B$419=1),$H$713,HLOOKUP(INDIRECT(ADDRESS(2,COLUMN())),OFFSET($BN$2,0,0,ROW()-1,60),ROW()-1,FALSE))</f>
        <v>7.0754059370000002</v>
      </c>
      <c r="I268">
        <f ca="1">IF(AND(ISNUMBER($I$713),$B$419=1),$I$713,HLOOKUP(INDIRECT(ADDRESS(2,COLUMN())),OFFSET($BN$2,0,0,ROW()-1,60),ROW()-1,FALSE))</f>
        <v>8.4199225220000002</v>
      </c>
      <c r="J268">
        <f ca="1">IF(AND(ISNUMBER($J$713),$B$419=1),$J$713,HLOOKUP(INDIRECT(ADDRESS(2,COLUMN())),OFFSET($BN$2,0,0,ROW()-1,60),ROW()-1,FALSE))</f>
        <v>10.116166379999999</v>
      </c>
      <c r="K268">
        <f ca="1">IF(AND(ISNUMBER($K$713),$B$419=1),$K$713,HLOOKUP(INDIRECT(ADDRESS(2,COLUMN())),OFFSET($BN$2,0,0,ROW()-1,60),ROW()-1,FALSE))</f>
        <v>4.3968464310000002</v>
      </c>
      <c r="L268">
        <f ca="1">IF(AND(ISNUMBER($L$713),$B$419=1),$L$713,HLOOKUP(INDIRECT(ADDRESS(2,COLUMN())),OFFSET($BN$2,0,0,ROW()-1,60),ROW()-1,FALSE))</f>
        <v>4.4256732510000001</v>
      </c>
      <c r="M268">
        <f ca="1">IF(AND(ISNUMBER($M$713),$B$419=1),$M$713,HLOOKUP(INDIRECT(ADDRESS(2,COLUMN())),OFFSET($BN$2,0,0,ROW()-1,60),ROW()-1,FALSE))</f>
        <v>5.4789288530000002</v>
      </c>
      <c r="N268">
        <f ca="1">IF(AND(ISNUMBER($N$713),$B$419=1),$N$713,HLOOKUP(INDIRECT(ADDRESS(2,COLUMN())),OFFSET($BN$2,0,0,ROW()-1,60),ROW()-1,FALSE))</f>
        <v>5.1349990209999996</v>
      </c>
      <c r="O268">
        <f ca="1">IF(AND(ISNUMBER($O$713),$B$419=1),$O$713,HLOOKUP(INDIRECT(ADDRESS(2,COLUMN())),OFFSET($BN$2,0,0,ROW()-1,60),ROW()-1,FALSE))</f>
        <v>5.3038885440000003</v>
      </c>
      <c r="P268">
        <f ca="1">IF(AND(ISNUMBER($P$713),$B$419=1),$P$713,HLOOKUP(INDIRECT(ADDRESS(2,COLUMN())),OFFSET($BN$2,0,0,ROW()-1,60),ROW()-1,FALSE))</f>
        <v>5.8249676179999996</v>
      </c>
      <c r="Q268">
        <f ca="1">IF(AND(ISNUMBER($Q$713),$B$419=1),$Q$713,HLOOKUP(INDIRECT(ADDRESS(2,COLUMN())),OFFSET($BN$2,0,0,ROW()-1,60),ROW()-1,FALSE))</f>
        <v>5.8176169619999998</v>
      </c>
      <c r="R268">
        <f ca="1">IF(AND(ISNUMBER($R$713),$B$419=1),$R$713,HLOOKUP(INDIRECT(ADDRESS(2,COLUMN())),OFFSET($BN$2,0,0,ROW()-1,60),ROW()-1,FALSE))</f>
        <v>5.9204942430000003</v>
      </c>
      <c r="S268">
        <f ca="1">IF(AND(ISNUMBER($S$713),$B$419=1),$S$713,HLOOKUP(INDIRECT(ADDRESS(2,COLUMN())),OFFSET($BN$2,0,0,ROW()-1,60),ROW()-1,FALSE))</f>
        <v>6.0889382239999996</v>
      </c>
      <c r="T268">
        <f ca="1">IF(AND(ISNUMBER($T$713),$B$419=1),$T$713,HLOOKUP(INDIRECT(ADDRESS(2,COLUMN())),OFFSET($BN$2,0,0,ROW()-1,60),ROW()-1,FALSE))</f>
        <v>6.2270108400000002</v>
      </c>
      <c r="U268">
        <f ca="1">IF(AND(ISNUMBER($U$713),$B$419=1),$U$713,HLOOKUP(INDIRECT(ADDRESS(2,COLUMN())),OFFSET($BN$2,0,0,ROW()-1,60),ROW()-1,FALSE))</f>
        <v>6.5551571449999999</v>
      </c>
      <c r="V268">
        <f ca="1">IF(AND(ISNUMBER($V$713),$B$419=1),$V$713,HLOOKUP(INDIRECT(ADDRESS(2,COLUMN())),OFFSET($BN$2,0,0,ROW()-1,60),ROW()-1,FALSE))</f>
        <v>6.6200007279999999</v>
      </c>
      <c r="W268">
        <f ca="1">IF(AND(ISNUMBER($W$713),$B$419=1),$W$713,HLOOKUP(INDIRECT(ADDRESS(2,COLUMN())),OFFSET($BN$2,0,0,ROW()-1,60),ROW()-1,FALSE))</f>
        <v>6.3349102039999998</v>
      </c>
      <c r="X268">
        <f ca="1">IF(AND(ISNUMBER($X$713),$B$419=1),$X$713,HLOOKUP(INDIRECT(ADDRESS(2,COLUMN())),OFFSET($BN$2,0,0,ROW()-1,60),ROW()-1,FALSE))</f>
        <v>6.4967489020000002</v>
      </c>
      <c r="Y268">
        <f ca="1">IF(AND(ISNUMBER($Y$713),$B$419=1),$Y$713,HLOOKUP(INDIRECT(ADDRESS(2,COLUMN())),OFFSET($BN$2,0,0,ROW()-1,60),ROW()-1,FALSE))</f>
        <v>6.5308486439999998</v>
      </c>
      <c r="Z268">
        <f ca="1">IF(AND(ISNUMBER($Z$713),$B$419=1),$Z$713,HLOOKUP(INDIRECT(ADDRESS(2,COLUMN())),OFFSET($BN$2,0,0,ROW()-1,60),ROW()-1,FALSE))</f>
        <v>6.5289134049999999</v>
      </c>
      <c r="AA268">
        <f ca="1">IF(AND(ISNUMBER($AA$713),$B$419=1),$AA$713,HLOOKUP(INDIRECT(ADDRESS(2,COLUMN())),OFFSET($BN$2,0,0,ROW()-1,60),ROW()-1,FALSE))</f>
        <v>6.4924690490000003</v>
      </c>
      <c r="AB268">
        <f ca="1">IF(AND(ISNUMBER($AB$713),$B$419=1),$AB$713,HLOOKUP(INDIRECT(ADDRESS(2,COLUMN())),OFFSET($BN$2,0,0,ROW()-1,60),ROW()-1,FALSE))</f>
        <v>5.9967142410000003</v>
      </c>
      <c r="AC268">
        <f ca="1">IF(AND(ISNUMBER($AC$713),$B$419=1),$AC$713,HLOOKUP(INDIRECT(ADDRESS(2,COLUMN())),OFFSET($BN$2,0,0,ROW()-1,60),ROW()-1,FALSE))</f>
        <v>6.6331648760000004</v>
      </c>
      <c r="AD268">
        <f ca="1">IF(AND(ISNUMBER($AD$713),$B$419=1),$AD$713,HLOOKUP(INDIRECT(ADDRESS(2,COLUMN())),OFFSET($BN$2,0,0,ROW()-1,60),ROW()-1,FALSE))</f>
        <v>6.6046619419999999</v>
      </c>
      <c r="AE268">
        <f ca="1">IF(AND(ISNUMBER($AE$713),$B$419=1),$AE$713,HLOOKUP(INDIRECT(ADDRESS(2,COLUMN())),OFFSET($BN$2,0,0,ROW()-1,60),ROW()-1,FALSE))</f>
        <v>6.4824600410000004</v>
      </c>
      <c r="AF268">
        <f ca="1">IF(AND(ISNUMBER($AF$713),$B$419=1),$AF$713,HLOOKUP(INDIRECT(ADDRESS(2,COLUMN())),OFFSET($BN$2,0,0,ROW()-1,60),ROW()-1,FALSE))</f>
        <v>6.7170151340000004</v>
      </c>
      <c r="AG268">
        <f ca="1">IF(AND(ISNUMBER($AG$713),$B$419=1),$AG$713,HLOOKUP(INDIRECT(ADDRESS(2,COLUMN())),OFFSET($BN$2,0,0,ROW()-1,60),ROW()-1,FALSE))</f>
        <v>6.6568915100000003</v>
      </c>
      <c r="AH268">
        <f ca="1">IF(AND(ISNUMBER($AH$713),$B$419=1),$AH$713,HLOOKUP(INDIRECT(ADDRESS(2,COLUMN())),OFFSET($BN$2,0,0,ROW()-1,60),ROW()-1,FALSE))</f>
        <v>6.5430295750000003</v>
      </c>
      <c r="AI268">
        <f ca="1">IF(AND(ISNUMBER($AI$713),$B$419=1),$AI$713,HLOOKUP(INDIRECT(ADDRESS(2,COLUMN())),OFFSET($BN$2,0,0,ROW()-1,60),ROW()-1,FALSE))</f>
        <v>7.1580889159999996</v>
      </c>
      <c r="AJ268">
        <f ca="1">IF(AND(ISNUMBER($AJ$713),$B$419=1),$AJ$713,HLOOKUP(INDIRECT(ADDRESS(2,COLUMN())),OFFSET($BN$2,0,0,ROW()-1,60),ROW()-1,FALSE))</f>
        <v>6.9341653169999997</v>
      </c>
      <c r="AK268">
        <f ca="1">IF(AND(ISNUMBER($AK$713),$B$419=1),$AK$713,HLOOKUP(INDIRECT(ADDRESS(2,COLUMN())),OFFSET($BN$2,0,0,ROW()-1,60),ROW()-1,FALSE))</f>
        <v>6.6437688149999996</v>
      </c>
      <c r="AL268">
        <f ca="1">IF(AND(ISNUMBER($AL$713),$B$419=1),$AL$713,HLOOKUP(INDIRECT(ADDRESS(2,COLUMN())),OFFSET($BN$2,0,0,ROW()-1,60),ROW()-1,FALSE))</f>
        <v>6.2977497079999996</v>
      </c>
      <c r="AM268">
        <f ca="1">IF(AND(ISNUMBER($AM$713),$B$419=1),$AM$713,HLOOKUP(INDIRECT(ADDRESS(2,COLUMN())),OFFSET($BN$2,0,0,ROW()-1,60),ROW()-1,FALSE))</f>
        <v>6.307742019</v>
      </c>
      <c r="AN268">
        <f ca="1">IF(AND(ISNUMBER($AN$713),$B$419=1),$AN$713,HLOOKUP(INDIRECT(ADDRESS(2,COLUMN())),OFFSET($BN$2,0,0,ROW()-1,60),ROW()-1,FALSE))</f>
        <v>6.5705352299999999</v>
      </c>
      <c r="AO268">
        <f ca="1">IF(AND(ISNUMBER($AO$713),$B$419=1),$AO$713,HLOOKUP(INDIRECT(ADDRESS(2,COLUMN())),OFFSET($BN$2,0,0,ROW()-1,60),ROW()-1,FALSE))</f>
        <v>6.5507176190000003</v>
      </c>
      <c r="AP268">
        <f ca="1">IF(AND(ISNUMBER($AP$713),$B$419=1),$AP$713,HLOOKUP(INDIRECT(ADDRESS(2,COLUMN())),OFFSET($BN$2,0,0,ROW()-1,60),ROW()-1,FALSE))</f>
        <v>6.9367742000000003</v>
      </c>
      <c r="AQ268">
        <f ca="1">IF(AND(ISNUMBER($AQ$713),$B$419=1),$AQ$713,HLOOKUP(INDIRECT(ADDRESS(2,COLUMN())),OFFSET($BN$2,0,0,ROW()-1,60),ROW()-1,FALSE))</f>
        <v>6.5426283180000002</v>
      </c>
      <c r="AR268">
        <f ca="1">IF(AND(ISNUMBER($AR$713),$B$419=1),$AR$713,HLOOKUP(INDIRECT(ADDRESS(2,COLUMN())),OFFSET($BN$2,0,0,ROW()-1,60),ROW()-1,FALSE))</f>
        <v>7.092574892</v>
      </c>
      <c r="AS268">
        <f ca="1">IF(AND(ISNUMBER($AS$713),$B$419=1),$AS$713,HLOOKUP(INDIRECT(ADDRESS(2,COLUMN())),OFFSET($BN$2,0,0,ROW()-1,60),ROW()-1,FALSE))</f>
        <v>7.3456326079999998</v>
      </c>
      <c r="AT268">
        <f ca="1">IF(AND(ISNUMBER($AT$713),$B$419=1),$AT$713,HLOOKUP(INDIRECT(ADDRESS(2,COLUMN())),OFFSET($BN$2,0,0,ROW()-1,60),ROW()-1,FALSE))</f>
        <v>7.352710407</v>
      </c>
      <c r="AU268">
        <f ca="1">IF(AND(ISNUMBER($AU$713),$B$419=1),$AU$713,HLOOKUP(INDIRECT(ADDRESS(2,COLUMN())),OFFSET($BN$2,0,0,ROW()-1,60),ROW()-1,FALSE))</f>
        <v>7.1140458100000004</v>
      </c>
      <c r="AV268">
        <f ca="1">IF(AND(ISNUMBER($AV$713),$B$419=1),$AV$713,HLOOKUP(INDIRECT(ADDRESS(2,COLUMN())),OFFSET($BN$2,0,0,ROW()-1,60),ROW()-1,FALSE))</f>
        <v>7.1179623689999998</v>
      </c>
      <c r="AW268">
        <f ca="1">IF(AND(ISNUMBER($AW$713),$B$419=1),$AW$713,HLOOKUP(INDIRECT(ADDRESS(2,COLUMN())),OFFSET($BN$2,0,0,ROW()-1,60),ROW()-1,FALSE))</f>
        <v>6.8603825069999997</v>
      </c>
      <c r="AX268">
        <f ca="1">IF(AND(ISNUMBER($AX$713),$B$419=1),$AX$713,HLOOKUP(INDIRECT(ADDRESS(2,COLUMN())),OFFSET($BN$2,0,0,ROW()-1,60),ROW()-1,FALSE))</f>
        <v>6.1996172740000004</v>
      </c>
      <c r="AY268">
        <f ca="1">IF(AND(ISNUMBER($AY$713),$B$419=1),$AY$713,HLOOKUP(INDIRECT(ADDRESS(2,COLUMN())),OFFSET($BN$2,0,0,ROW()-1,60),ROW()-1,FALSE))</f>
        <v>5.9443817660000002</v>
      </c>
      <c r="AZ268">
        <f ca="1">IF(AND(ISNUMBER($AZ$713),$B$419=1),$AZ$713,HLOOKUP(INDIRECT(ADDRESS(2,COLUMN())),OFFSET($BN$2,0,0,ROW()-1,60),ROW()-1,FALSE))</f>
        <v>6.1080001800000003</v>
      </c>
      <c r="BA268">
        <f ca="1">IF(AND(ISNUMBER($BA$713),$B$419=1),$BA$713,HLOOKUP(INDIRECT(ADDRESS(2,COLUMN())),OFFSET($BN$2,0,0,ROW()-1,60),ROW()-1,FALSE))</f>
        <v>6.1907940119999996</v>
      </c>
      <c r="BB268">
        <f ca="1">IF(AND(ISNUMBER($BB$713),$B$419=1),$BB$713,HLOOKUP(INDIRECT(ADDRESS(2,COLUMN())),OFFSET($BN$2,0,0,ROW()-1,60),ROW()-1,FALSE))</f>
        <v>5.968307373</v>
      </c>
      <c r="BC268">
        <f ca="1">IF(AND(ISNUMBER($BC$713),$B$419=1),$BC$713,HLOOKUP(INDIRECT(ADDRESS(2,COLUMN())),OFFSET($BN$2,0,0,ROW()-1,60),ROW()-1,FALSE))</f>
        <v>6.1867436400000004</v>
      </c>
      <c r="BD268">
        <f ca="1">IF(AND(ISNUMBER($BD$713),$B$419=1),$BD$713,HLOOKUP(INDIRECT(ADDRESS(2,COLUMN())),OFFSET($BN$2,0,0,ROW()-1,60),ROW()-1,FALSE))</f>
        <v>6.003481786</v>
      </c>
      <c r="BE268">
        <f ca="1">IF(AND(ISNUMBER($BE$713),$B$419=1),$BE$713,HLOOKUP(INDIRECT(ADDRESS(2,COLUMN())),OFFSET($BN$2,0,0,ROW()-1,60),ROW()-1,FALSE))</f>
        <v>6.6183693459999997</v>
      </c>
      <c r="BF268">
        <f ca="1">IF(AND(ISNUMBER($BF$713),$B$419=1),$BF$713,HLOOKUP(INDIRECT(ADDRESS(2,COLUMN())),OFFSET($BN$2,0,0,ROW()-1,60),ROW()-1,FALSE))</f>
        <v>5.7748536399999999</v>
      </c>
      <c r="BG268">
        <f ca="1">IF(AND(ISNUMBER($BG$713),$B$419=1),$BG$713,HLOOKUP(INDIRECT(ADDRESS(2,COLUMN())),OFFSET($BN$2,0,0,ROW()-1,60),ROW()-1,FALSE))</f>
        <v>5.9719299970000002</v>
      </c>
      <c r="BH268">
        <f ca="1">IF(AND(ISNUMBER($BH$713),$B$419=1),$BH$713,HLOOKUP(INDIRECT(ADDRESS(2,COLUMN())),OFFSET($BN$2,0,0,ROW()-1,60),ROW()-1,FALSE))</f>
        <v>6.0960390889999996</v>
      </c>
      <c r="BI268">
        <f ca="1">IF(AND(ISNUMBER($BI$713),$B$419=1),$BI$713,HLOOKUP(INDIRECT(ADDRESS(2,COLUMN())),OFFSET($BN$2,0,0,ROW()-1,60),ROW()-1,FALSE))</f>
        <v>6.2419711659999999</v>
      </c>
      <c r="BJ268">
        <f ca="1">IF(AND(ISNUMBER($BJ$713),$B$419=1),$BJ$713,HLOOKUP(INDIRECT(ADDRESS(2,COLUMN())),OFFSET($BN$2,0,0,ROW()-1,60),ROW()-1,FALSE))</f>
        <v>6.1848601680000002</v>
      </c>
      <c r="BK268">
        <f ca="1">IF(AND(ISNUMBER($BK$713),$B$419=1),$BK$713,HLOOKUP(INDIRECT(ADDRESS(2,COLUMN())),OFFSET($BN$2,0,0,ROW()-1,60),ROW()-1,FALSE))</f>
        <v>6.046787557</v>
      </c>
      <c r="BL268">
        <f ca="1">IF(AND(ISNUMBER($BL$713),$B$419=1),$BL$713,HLOOKUP(INDIRECT(ADDRESS(2,COLUMN())),OFFSET($BN$2,0,0,ROW()-1,60),ROW()-1,FALSE))</f>
        <v>6.0161945729999999</v>
      </c>
      <c r="BM268" t="str">
        <f ca="1">IF(AND(ISNUMBER($BM$713),$B$419=1),$BM$713,HLOOKUP(INDIRECT(ADDRESS(2,COLUMN())),OFFSET($BN$2,0,0,ROW()-1,60),ROW()-1,FALSE))</f>
        <v/>
      </c>
      <c r="BN268" t="str">
        <f>""</f>
        <v/>
      </c>
      <c r="BO268">
        <f>6.262327894</f>
        <v>6.2623278940000002</v>
      </c>
      <c r="BP268">
        <f>7.075405937</f>
        <v>7.0754059370000002</v>
      </c>
      <c r="BQ268">
        <f>8.419922522</f>
        <v>8.4199225220000002</v>
      </c>
      <c r="BR268">
        <f>10.11616638</f>
        <v>10.116166379999999</v>
      </c>
      <c r="BS268">
        <f>4.396846431</f>
        <v>4.3968464310000002</v>
      </c>
      <c r="BT268">
        <f>4.425673251</f>
        <v>4.4256732510000001</v>
      </c>
      <c r="BU268">
        <f>5.478928853</f>
        <v>5.4789288530000002</v>
      </c>
      <c r="BV268">
        <f>5.134999021</f>
        <v>5.1349990209999996</v>
      </c>
      <c r="BW268">
        <f>5.303888544</f>
        <v>5.3038885440000003</v>
      </c>
      <c r="BX268">
        <f>5.824967618</f>
        <v>5.8249676179999996</v>
      </c>
      <c r="BY268">
        <f>5.817616962</f>
        <v>5.8176169619999998</v>
      </c>
      <c r="BZ268">
        <f>5.920494243</f>
        <v>5.9204942430000003</v>
      </c>
      <c r="CA268">
        <f>6.088938224</f>
        <v>6.0889382239999996</v>
      </c>
      <c r="CB268">
        <f>6.22701084</f>
        <v>6.2270108400000002</v>
      </c>
      <c r="CC268">
        <f>6.555157145</f>
        <v>6.5551571449999999</v>
      </c>
      <c r="CD268">
        <f>6.620000728</f>
        <v>6.6200007279999999</v>
      </c>
      <c r="CE268">
        <f>6.334910204</f>
        <v>6.3349102039999998</v>
      </c>
      <c r="CF268">
        <f>6.496748902</f>
        <v>6.4967489020000002</v>
      </c>
      <c r="CG268">
        <f>6.530848644</f>
        <v>6.5308486439999998</v>
      </c>
      <c r="CH268">
        <f>6.528913405</f>
        <v>6.5289134049999999</v>
      </c>
      <c r="CI268">
        <f>6.492469049</f>
        <v>6.4924690490000003</v>
      </c>
      <c r="CJ268">
        <f>5.996714241</f>
        <v>5.9967142410000003</v>
      </c>
      <c r="CK268">
        <f>6.633164876</f>
        <v>6.6331648760000004</v>
      </c>
      <c r="CL268">
        <f>6.604661942</f>
        <v>6.6046619419999999</v>
      </c>
      <c r="CM268">
        <f>6.482460041</f>
        <v>6.4824600410000004</v>
      </c>
      <c r="CN268">
        <f>6.717015134</f>
        <v>6.7170151340000004</v>
      </c>
      <c r="CO268">
        <f>6.65689151</f>
        <v>6.6568915100000003</v>
      </c>
      <c r="CP268">
        <f>6.543029575</f>
        <v>6.5430295750000003</v>
      </c>
      <c r="CQ268">
        <f>7.158088916</f>
        <v>7.1580889159999996</v>
      </c>
      <c r="CR268">
        <f>6.934165317</f>
        <v>6.9341653169999997</v>
      </c>
      <c r="CS268">
        <f>6.643768815</f>
        <v>6.6437688149999996</v>
      </c>
      <c r="CT268">
        <f>6.297749708</f>
        <v>6.2977497079999996</v>
      </c>
      <c r="CU268">
        <f>6.307742019</f>
        <v>6.307742019</v>
      </c>
      <c r="CV268">
        <f>6.57053523</f>
        <v>6.5705352299999999</v>
      </c>
      <c r="CW268">
        <f>6.550717619</f>
        <v>6.5507176190000003</v>
      </c>
      <c r="CX268">
        <f>6.9367742</f>
        <v>6.9367742000000003</v>
      </c>
      <c r="CY268">
        <f>6.542628318</f>
        <v>6.5426283180000002</v>
      </c>
      <c r="CZ268">
        <f>7.092574892</f>
        <v>7.092574892</v>
      </c>
      <c r="DA268">
        <f>7.345632608</f>
        <v>7.3456326079999998</v>
      </c>
      <c r="DB268">
        <f>7.352710407</f>
        <v>7.352710407</v>
      </c>
      <c r="DC268">
        <f>7.11404581</f>
        <v>7.1140458100000004</v>
      </c>
      <c r="DD268">
        <f>7.117962369</f>
        <v>7.1179623689999998</v>
      </c>
      <c r="DE268">
        <f>6.860382507</f>
        <v>6.8603825069999997</v>
      </c>
      <c r="DF268">
        <f>6.199617274</f>
        <v>6.1996172740000004</v>
      </c>
      <c r="DG268">
        <f>5.944381766</f>
        <v>5.9443817660000002</v>
      </c>
      <c r="DH268">
        <f>6.10800018</f>
        <v>6.1080001800000003</v>
      </c>
      <c r="DI268">
        <f>6.190794012</f>
        <v>6.1907940119999996</v>
      </c>
      <c r="DJ268">
        <f>5.968307373</f>
        <v>5.968307373</v>
      </c>
      <c r="DK268">
        <f>6.18674364</f>
        <v>6.1867436400000004</v>
      </c>
      <c r="DL268">
        <f>6.003481786</f>
        <v>6.003481786</v>
      </c>
      <c r="DM268">
        <f>6.618369346</f>
        <v>6.6183693459999997</v>
      </c>
      <c r="DN268">
        <f>5.77485364</f>
        <v>5.7748536399999999</v>
      </c>
      <c r="DO268">
        <f>5.971929997</f>
        <v>5.9719299970000002</v>
      </c>
      <c r="DP268">
        <f>6.096039089</f>
        <v>6.0960390889999996</v>
      </c>
      <c r="DQ268">
        <f>6.241971166</f>
        <v>6.2419711659999999</v>
      </c>
      <c r="DR268">
        <f>6.184860168</f>
        <v>6.1848601680000002</v>
      </c>
      <c r="DS268">
        <f>6.046787557</f>
        <v>6.046787557</v>
      </c>
      <c r="DT268">
        <f>6.016194573</f>
        <v>6.0161945729999999</v>
      </c>
      <c r="DU268" t="str">
        <f>""</f>
        <v/>
      </c>
    </row>
    <row r="269" spans="1:125">
      <c r="A269" t="str">
        <f>"    Retail Opportunity Investments"</f>
        <v xml:space="preserve">    Retail Opportunity Investments</v>
      </c>
      <c r="B269" t="str">
        <f>"ROIC US Equity"</f>
        <v>ROIC US Equity</v>
      </c>
      <c r="C269" t="str">
        <f t="shared" si="48"/>
        <v>RR052</v>
      </c>
      <c r="D269" t="str">
        <f t="shared" si="49"/>
        <v>TOT_DEBT_TO_EBITDA</v>
      </c>
      <c r="E269" t="str">
        <f t="shared" si="50"/>
        <v>动态</v>
      </c>
      <c r="F269" t="str">
        <f ca="1">IF(AND(ISNUMBER($F$714),$B$419=1),$F$714,HLOOKUP(INDIRECT(ADDRESS(2,COLUMN())),OFFSET($BN$2,0,0,ROW()-1,60),ROW()-1,FALSE))</f>
        <v/>
      </c>
      <c r="G269">
        <f ca="1">IF(AND(ISNUMBER($G$714),$B$419=1),$G$714,HLOOKUP(INDIRECT(ADDRESS(2,COLUMN())),OFFSET($BN$2,0,0,ROW()-1,60),ROW()-1,FALSE))</f>
        <v>7.830339983</v>
      </c>
      <c r="H269">
        <f ca="1">IF(AND(ISNUMBER($H$714),$B$419=1),$H$714,HLOOKUP(INDIRECT(ADDRESS(2,COLUMN())),OFFSET($BN$2,0,0,ROW()-1,60),ROW()-1,FALSE))</f>
        <v>7.4442736610000004</v>
      </c>
      <c r="I269">
        <f ca="1">IF(AND(ISNUMBER($I$714),$B$419=1),$I$714,HLOOKUP(INDIRECT(ADDRESS(2,COLUMN())),OFFSET($BN$2,0,0,ROW()-1,60),ROW()-1,FALSE))</f>
        <v>7.5192802780000001</v>
      </c>
      <c r="J269">
        <f ca="1">IF(AND(ISNUMBER($J$714),$B$419=1),$J$714,HLOOKUP(INDIRECT(ADDRESS(2,COLUMN())),OFFSET($BN$2,0,0,ROW()-1,60),ROW()-1,FALSE))</f>
        <v>7.2343218220000001</v>
      </c>
      <c r="K269">
        <f ca="1">IF(AND(ISNUMBER($K$714),$B$419=1),$K$714,HLOOKUP(INDIRECT(ADDRESS(2,COLUMN())),OFFSET($BN$2,0,0,ROW()-1,60),ROW()-1,FALSE))</f>
        <v>6.9853198819999998</v>
      </c>
      <c r="L269">
        <f ca="1">IF(AND(ISNUMBER($L$714),$B$419=1),$L$714,HLOOKUP(INDIRECT(ADDRESS(2,COLUMN())),OFFSET($BN$2,0,0,ROW()-1,60),ROW()-1,FALSE))</f>
        <v>6.845242453</v>
      </c>
      <c r="M269">
        <f ca="1">IF(AND(ISNUMBER($M$714),$B$419=1),$M$714,HLOOKUP(INDIRECT(ADDRESS(2,COLUMN())),OFFSET($BN$2,0,0,ROW()-1,60),ROW()-1,FALSE))</f>
        <v>8.0052141779999992</v>
      </c>
      <c r="N269">
        <f ca="1">IF(AND(ISNUMBER($N$714),$B$419=1),$N$714,HLOOKUP(INDIRECT(ADDRESS(2,COLUMN())),OFFSET($BN$2,0,0,ROW()-1,60),ROW()-1,FALSE))</f>
        <v>7.4338341000000003</v>
      </c>
      <c r="O269">
        <f ca="1">IF(AND(ISNUMBER($O$714),$B$419=1),$O$714,HLOOKUP(INDIRECT(ADDRESS(2,COLUMN())),OFFSET($BN$2,0,0,ROW()-1,60),ROW()-1,FALSE))</f>
        <v>7.5387974699999996</v>
      </c>
      <c r="P269">
        <f ca="1">IF(AND(ISNUMBER($P$714),$B$419=1),$P$714,HLOOKUP(INDIRECT(ADDRESS(2,COLUMN())),OFFSET($BN$2,0,0,ROW()-1,60),ROW()-1,FALSE))</f>
        <v>7.1090932899999997</v>
      </c>
      <c r="Q269">
        <f ca="1">IF(AND(ISNUMBER($Q$714),$B$419=1),$Q$714,HLOOKUP(INDIRECT(ADDRESS(2,COLUMN())),OFFSET($BN$2,0,0,ROW()-1,60),ROW()-1,FALSE))</f>
        <v>7.3755913340000001</v>
      </c>
      <c r="R269">
        <f ca="1">IF(AND(ISNUMBER($R$714),$B$419=1),$R$714,HLOOKUP(INDIRECT(ADDRESS(2,COLUMN())),OFFSET($BN$2,0,0,ROW()-1,60),ROW()-1,FALSE))</f>
        <v>7.5498403500000002</v>
      </c>
      <c r="S269">
        <f ca="1">IF(AND(ISNUMBER($S$714),$B$419=1),$S$714,HLOOKUP(INDIRECT(ADDRESS(2,COLUMN())),OFFSET($BN$2,0,0,ROW()-1,60),ROW()-1,FALSE))</f>
        <v>7.2731623279999997</v>
      </c>
      <c r="T269">
        <f ca="1">IF(AND(ISNUMBER($T$714),$B$419=1),$T$714,HLOOKUP(INDIRECT(ADDRESS(2,COLUMN())),OFFSET($BN$2,0,0,ROW()-1,60),ROW()-1,FALSE))</f>
        <v>7.0101983690000003</v>
      </c>
      <c r="U269">
        <f ca="1">IF(AND(ISNUMBER($U$714),$B$419=1),$U$714,HLOOKUP(INDIRECT(ADDRESS(2,COLUMN())),OFFSET($BN$2,0,0,ROW()-1,60),ROW()-1,FALSE))</f>
        <v>8.0419107140000001</v>
      </c>
      <c r="V269">
        <f ca="1">IF(AND(ISNUMBER($V$714),$B$419=1),$V$714,HLOOKUP(INDIRECT(ADDRESS(2,COLUMN())),OFFSET($BN$2,0,0,ROW()-1,60),ROW()-1,FALSE))</f>
        <v>8.9204656179999997</v>
      </c>
      <c r="W269">
        <f ca="1">IF(AND(ISNUMBER($W$714),$B$419=1),$W$714,HLOOKUP(INDIRECT(ADDRESS(2,COLUMN())),OFFSET($BN$2,0,0,ROW()-1,60),ROW()-1,FALSE))</f>
        <v>9.1194160259999997</v>
      </c>
      <c r="X269">
        <f ca="1">IF(AND(ISNUMBER($X$714),$B$419=1),$X$714,HLOOKUP(INDIRECT(ADDRESS(2,COLUMN())),OFFSET($BN$2,0,0,ROW()-1,60),ROW()-1,FALSE))</f>
        <v>8.6749511080000001</v>
      </c>
      <c r="Y269">
        <f ca="1">IF(AND(ISNUMBER($Y$714),$B$419=1),$Y$714,HLOOKUP(INDIRECT(ADDRESS(2,COLUMN())),OFFSET($BN$2,0,0,ROW()-1,60),ROW()-1,FALSE))</f>
        <v>7.4647818709999996</v>
      </c>
      <c r="Z269">
        <f ca="1">IF(AND(ISNUMBER($Z$714),$B$419=1),$Z$714,HLOOKUP(INDIRECT(ADDRESS(2,COLUMN())),OFFSET($BN$2,0,0,ROW()-1,60),ROW()-1,FALSE))</f>
        <v>6.536696729</v>
      </c>
      <c r="AA269">
        <f ca="1">IF(AND(ISNUMBER($AA$714),$B$419=1),$AA$714,HLOOKUP(INDIRECT(ADDRESS(2,COLUMN())),OFFSET($BN$2,0,0,ROW()-1,60),ROW()-1,FALSE))</f>
        <v>9.6407657590000007</v>
      </c>
      <c r="AB269">
        <f ca="1">IF(AND(ISNUMBER($AB$714),$B$419=1),$AB$714,HLOOKUP(INDIRECT(ADDRESS(2,COLUMN())),OFFSET($BN$2,0,0,ROW()-1,60),ROW()-1,FALSE))</f>
        <v>6.7541839890000004</v>
      </c>
      <c r="AC269">
        <f ca="1">IF(AND(ISNUMBER($AC$714),$B$419=1),$AC$714,HLOOKUP(INDIRECT(ADDRESS(2,COLUMN())),OFFSET($BN$2,0,0,ROW()-1,60),ROW()-1,FALSE))</f>
        <v>6.7609601760000002</v>
      </c>
      <c r="AD269">
        <f ca="1">IF(AND(ISNUMBER($AD$714),$B$419=1),$AD$714,HLOOKUP(INDIRECT(ADDRESS(2,COLUMN())),OFFSET($BN$2,0,0,ROW()-1,60),ROW()-1,FALSE))</f>
        <v>6.3346807900000002</v>
      </c>
      <c r="AE269">
        <f ca="1">IF(AND(ISNUMBER($AE$714),$B$419=1),$AE$714,HLOOKUP(INDIRECT(ADDRESS(2,COLUMN())),OFFSET($BN$2,0,0,ROW()-1,60),ROW()-1,FALSE))</f>
        <v>6.4802298900000004</v>
      </c>
      <c r="AF269">
        <f ca="1">IF(AND(ISNUMBER($AF$714),$B$419=1),$AF$714,HLOOKUP(INDIRECT(ADDRESS(2,COLUMN())),OFFSET($BN$2,0,0,ROW()-1,60),ROW()-1,FALSE))</f>
        <v>10.692814630000001</v>
      </c>
      <c r="AG269">
        <f ca="1">IF(AND(ISNUMBER($AG$714),$B$419=1),$AG$714,HLOOKUP(INDIRECT(ADDRESS(2,COLUMN())),OFFSET($BN$2,0,0,ROW()-1,60),ROW()-1,FALSE))</f>
        <v>4.9047512290000004</v>
      </c>
      <c r="AH269">
        <f ca="1">IF(AND(ISNUMBER($AH$714),$B$419=1),$AH$714,HLOOKUP(INDIRECT(ADDRESS(2,COLUMN())),OFFSET($BN$2,0,0,ROW()-1,60),ROW()-1,FALSE))</f>
        <v>7.396539282</v>
      </c>
      <c r="AI269">
        <f ca="1">IF(AND(ISNUMBER($AI$714),$B$419=1),$AI$714,HLOOKUP(INDIRECT(ADDRESS(2,COLUMN())),OFFSET($BN$2,0,0,ROW()-1,60),ROW()-1,FALSE))</f>
        <v>0</v>
      </c>
      <c r="AJ269" t="str">
        <f ca="1">IF(AND(ISNUMBER($AJ$714),$B$419=1),$AJ$714,HLOOKUP(INDIRECT(ADDRESS(2,COLUMN())),OFFSET($BN$2,0,0,ROW()-1,60),ROW()-1,FALSE))</f>
        <v/>
      </c>
      <c r="AK269" t="str">
        <f ca="1">IF(AND(ISNUMBER($AK$714),$B$419=1),$AK$714,HLOOKUP(INDIRECT(ADDRESS(2,COLUMN())),OFFSET($BN$2,0,0,ROW()-1,60),ROW()-1,FALSE))</f>
        <v/>
      </c>
      <c r="AL269" t="str">
        <f ca="1">IF(AND(ISNUMBER($AL$714),$B$419=1),$AL$714,HLOOKUP(INDIRECT(ADDRESS(2,COLUMN())),OFFSET($BN$2,0,0,ROW()-1,60),ROW()-1,FALSE))</f>
        <v/>
      </c>
      <c r="AM269" t="str">
        <f ca="1">IF(AND(ISNUMBER($AM$714),$B$419=1),$AM$714,HLOOKUP(INDIRECT(ADDRESS(2,COLUMN())),OFFSET($BN$2,0,0,ROW()-1,60),ROW()-1,FALSE))</f>
        <v/>
      </c>
      <c r="AN269" t="str">
        <f ca="1">IF(AND(ISNUMBER($AN$714),$B$419=1),$AN$714,HLOOKUP(INDIRECT(ADDRESS(2,COLUMN())),OFFSET($BN$2,0,0,ROW()-1,60),ROW()-1,FALSE))</f>
        <v/>
      </c>
      <c r="AO269" t="str">
        <f ca="1">IF(AND(ISNUMBER($AO$714),$B$419=1),$AO$714,HLOOKUP(INDIRECT(ADDRESS(2,COLUMN())),OFFSET($BN$2,0,0,ROW()-1,60),ROW()-1,FALSE))</f>
        <v/>
      </c>
      <c r="AP269" t="str">
        <f ca="1">IF(AND(ISNUMBER($AP$714),$B$419=1),$AP$714,HLOOKUP(INDIRECT(ADDRESS(2,COLUMN())),OFFSET($BN$2,0,0,ROW()-1,60),ROW()-1,FALSE))</f>
        <v/>
      </c>
      <c r="AQ269" t="str">
        <f ca="1">IF(AND(ISNUMBER($AQ$714),$B$419=1),$AQ$714,HLOOKUP(INDIRECT(ADDRESS(2,COLUMN())),OFFSET($BN$2,0,0,ROW()-1,60),ROW()-1,FALSE))</f>
        <v/>
      </c>
      <c r="AR269" t="str">
        <f ca="1">IF(AND(ISNUMBER($AR$714),$B$419=1),$AR$714,HLOOKUP(INDIRECT(ADDRESS(2,COLUMN())),OFFSET($BN$2,0,0,ROW()-1,60),ROW()-1,FALSE))</f>
        <v/>
      </c>
      <c r="AS269" t="str">
        <f ca="1">IF(AND(ISNUMBER($AS$714),$B$419=1),$AS$714,HLOOKUP(INDIRECT(ADDRESS(2,COLUMN())),OFFSET($BN$2,0,0,ROW()-1,60),ROW()-1,FALSE))</f>
        <v/>
      </c>
      <c r="AT269" t="str">
        <f ca="1">IF(AND(ISNUMBER($AT$714),$B$419=1),$AT$714,HLOOKUP(INDIRECT(ADDRESS(2,COLUMN())),OFFSET($BN$2,0,0,ROW()-1,60),ROW()-1,FALSE))</f>
        <v/>
      </c>
      <c r="AU269" t="str">
        <f ca="1">IF(AND(ISNUMBER($AU$714),$B$419=1),$AU$714,HLOOKUP(INDIRECT(ADDRESS(2,COLUMN())),OFFSET($BN$2,0,0,ROW()-1,60),ROW()-1,FALSE))</f>
        <v/>
      </c>
      <c r="AV269" t="str">
        <f ca="1">IF(AND(ISNUMBER($AV$714),$B$419=1),$AV$714,HLOOKUP(INDIRECT(ADDRESS(2,COLUMN())),OFFSET($BN$2,0,0,ROW()-1,60),ROW()-1,FALSE))</f>
        <v/>
      </c>
      <c r="AW269" t="str">
        <f ca="1">IF(AND(ISNUMBER($AW$714),$B$419=1),$AW$714,HLOOKUP(INDIRECT(ADDRESS(2,COLUMN())),OFFSET($BN$2,0,0,ROW()-1,60),ROW()-1,FALSE))</f>
        <v/>
      </c>
      <c r="AX269" t="str">
        <f ca="1">IF(AND(ISNUMBER($AX$714),$B$419=1),$AX$714,HLOOKUP(INDIRECT(ADDRESS(2,COLUMN())),OFFSET($BN$2,0,0,ROW()-1,60),ROW()-1,FALSE))</f>
        <v/>
      </c>
      <c r="AY269" t="str">
        <f ca="1">IF(AND(ISNUMBER($AY$714),$B$419=1),$AY$714,HLOOKUP(INDIRECT(ADDRESS(2,COLUMN())),OFFSET($BN$2,0,0,ROW()-1,60),ROW()-1,FALSE))</f>
        <v/>
      </c>
      <c r="AZ269" t="str">
        <f ca="1">IF(AND(ISNUMBER($AZ$714),$B$419=1),$AZ$714,HLOOKUP(INDIRECT(ADDRESS(2,COLUMN())),OFFSET($BN$2,0,0,ROW()-1,60),ROW()-1,FALSE))</f>
        <v/>
      </c>
      <c r="BA269" t="str">
        <f ca="1">IF(AND(ISNUMBER($BA$714),$B$419=1),$BA$714,HLOOKUP(INDIRECT(ADDRESS(2,COLUMN())),OFFSET($BN$2,0,0,ROW()-1,60),ROW()-1,FALSE))</f>
        <v/>
      </c>
      <c r="BB269" t="str">
        <f ca="1">IF(AND(ISNUMBER($BB$714),$B$419=1),$BB$714,HLOOKUP(INDIRECT(ADDRESS(2,COLUMN())),OFFSET($BN$2,0,0,ROW()-1,60),ROW()-1,FALSE))</f>
        <v/>
      </c>
      <c r="BC269" t="str">
        <f ca="1">IF(AND(ISNUMBER($BC$714),$B$419=1),$BC$714,HLOOKUP(INDIRECT(ADDRESS(2,COLUMN())),OFFSET($BN$2,0,0,ROW()-1,60),ROW()-1,FALSE))</f>
        <v/>
      </c>
      <c r="BD269" t="str">
        <f ca="1">IF(AND(ISNUMBER($BD$714),$B$419=1),$BD$714,HLOOKUP(INDIRECT(ADDRESS(2,COLUMN())),OFFSET($BN$2,0,0,ROW()-1,60),ROW()-1,FALSE))</f>
        <v/>
      </c>
      <c r="BE269" t="str">
        <f ca="1">IF(AND(ISNUMBER($BE$714),$B$419=1),$BE$714,HLOOKUP(INDIRECT(ADDRESS(2,COLUMN())),OFFSET($BN$2,0,0,ROW()-1,60),ROW()-1,FALSE))</f>
        <v/>
      </c>
      <c r="BF269" t="str">
        <f ca="1">IF(AND(ISNUMBER($BF$714),$B$419=1),$BF$714,HLOOKUP(INDIRECT(ADDRESS(2,COLUMN())),OFFSET($BN$2,0,0,ROW()-1,60),ROW()-1,FALSE))</f>
        <v/>
      </c>
      <c r="BG269" t="str">
        <f ca="1">IF(AND(ISNUMBER($BG$714),$B$419=1),$BG$714,HLOOKUP(INDIRECT(ADDRESS(2,COLUMN())),OFFSET($BN$2,0,0,ROW()-1,60),ROW()-1,FALSE))</f>
        <v/>
      </c>
      <c r="BH269" t="str">
        <f ca="1">IF(AND(ISNUMBER($BH$714),$B$419=1),$BH$714,HLOOKUP(INDIRECT(ADDRESS(2,COLUMN())),OFFSET($BN$2,0,0,ROW()-1,60),ROW()-1,FALSE))</f>
        <v/>
      </c>
      <c r="BI269" t="str">
        <f ca="1">IF(AND(ISNUMBER($BI$714),$B$419=1),$BI$714,HLOOKUP(INDIRECT(ADDRESS(2,COLUMN())),OFFSET($BN$2,0,0,ROW()-1,60),ROW()-1,FALSE))</f>
        <v/>
      </c>
      <c r="BJ269" t="str">
        <f ca="1">IF(AND(ISNUMBER($BJ$714),$B$419=1),$BJ$714,HLOOKUP(INDIRECT(ADDRESS(2,COLUMN())),OFFSET($BN$2,0,0,ROW()-1,60),ROW()-1,FALSE))</f>
        <v/>
      </c>
      <c r="BK269" t="str">
        <f ca="1">IF(AND(ISNUMBER($BK$714),$B$419=1),$BK$714,HLOOKUP(INDIRECT(ADDRESS(2,COLUMN())),OFFSET($BN$2,0,0,ROW()-1,60),ROW()-1,FALSE))</f>
        <v/>
      </c>
      <c r="BL269" t="str">
        <f ca="1">IF(AND(ISNUMBER($BL$714),$B$419=1),$BL$714,HLOOKUP(INDIRECT(ADDRESS(2,COLUMN())),OFFSET($BN$2,0,0,ROW()-1,60),ROW()-1,FALSE))</f>
        <v/>
      </c>
      <c r="BM269" t="str">
        <f ca="1">IF(AND(ISNUMBER($BM$714),$B$419=1),$BM$714,HLOOKUP(INDIRECT(ADDRESS(2,COLUMN())),OFFSET($BN$2,0,0,ROW()-1,60),ROW()-1,FALSE))</f>
        <v/>
      </c>
      <c r="BN269" t="str">
        <f>""</f>
        <v/>
      </c>
      <c r="BO269">
        <f>7.830339983</f>
        <v>7.830339983</v>
      </c>
      <c r="BP269">
        <f>7.444273661</f>
        <v>7.4442736610000004</v>
      </c>
      <c r="BQ269">
        <f>7.519280278</f>
        <v>7.5192802780000001</v>
      </c>
      <c r="BR269">
        <f>7.234321822</f>
        <v>7.2343218220000001</v>
      </c>
      <c r="BS269">
        <f>6.985319882</f>
        <v>6.9853198819999998</v>
      </c>
      <c r="BT269">
        <f>6.845242453</f>
        <v>6.845242453</v>
      </c>
      <c r="BU269">
        <f>8.005214178</f>
        <v>8.0052141779999992</v>
      </c>
      <c r="BV269">
        <f>7.4338341</f>
        <v>7.4338341000000003</v>
      </c>
      <c r="BW269">
        <f>7.53879747</f>
        <v>7.5387974699999996</v>
      </c>
      <c r="BX269">
        <f>7.10909329</f>
        <v>7.1090932899999997</v>
      </c>
      <c r="BY269">
        <f>7.375591334</f>
        <v>7.3755913340000001</v>
      </c>
      <c r="BZ269">
        <f>7.54984035</f>
        <v>7.5498403500000002</v>
      </c>
      <c r="CA269">
        <f>7.273162328</f>
        <v>7.2731623279999997</v>
      </c>
      <c r="CB269">
        <f>7.010198369</f>
        <v>7.0101983690000003</v>
      </c>
      <c r="CC269">
        <f>8.041910714</f>
        <v>8.0419107140000001</v>
      </c>
      <c r="CD269">
        <f>8.920465618</f>
        <v>8.9204656179999997</v>
      </c>
      <c r="CE269">
        <f>9.119416026</f>
        <v>9.1194160259999997</v>
      </c>
      <c r="CF269">
        <f>8.674951108</f>
        <v>8.6749511080000001</v>
      </c>
      <c r="CG269">
        <f>7.464781871</f>
        <v>7.4647818709999996</v>
      </c>
      <c r="CH269">
        <f>6.536696729</f>
        <v>6.536696729</v>
      </c>
      <c r="CI269">
        <f>9.640765759</f>
        <v>9.6407657590000007</v>
      </c>
      <c r="CJ269">
        <f>6.754183989</f>
        <v>6.7541839890000004</v>
      </c>
      <c r="CK269">
        <f>6.760960176</f>
        <v>6.7609601760000002</v>
      </c>
      <c r="CL269">
        <f>6.33468079</f>
        <v>6.3346807900000002</v>
      </c>
      <c r="CM269">
        <f>6.48022989</f>
        <v>6.4802298900000004</v>
      </c>
      <c r="CN269">
        <f>10.69281463</f>
        <v>10.692814630000001</v>
      </c>
      <c r="CO269">
        <f>4.904751229</f>
        <v>4.9047512290000004</v>
      </c>
      <c r="CP269">
        <f>7.396539282</f>
        <v>7.396539282</v>
      </c>
      <c r="CQ269">
        <f>0</f>
        <v>0</v>
      </c>
      <c r="CR269" t="str">
        <f>""</f>
        <v/>
      </c>
      <c r="CS269" t="str">
        <f>""</f>
        <v/>
      </c>
      <c r="CT269" t="str">
        <f>""</f>
        <v/>
      </c>
      <c r="CU269" t="str">
        <f>""</f>
        <v/>
      </c>
      <c r="CV269" t="str">
        <f>""</f>
        <v/>
      </c>
      <c r="CW269" t="str">
        <f>""</f>
        <v/>
      </c>
      <c r="CX269" t="str">
        <f>""</f>
        <v/>
      </c>
      <c r="CY269" t="str">
        <f>""</f>
        <v/>
      </c>
      <c r="CZ269" t="str">
        <f>""</f>
        <v/>
      </c>
      <c r="DA269" t="str">
        <f>""</f>
        <v/>
      </c>
      <c r="DB269" t="str">
        <f>""</f>
        <v/>
      </c>
      <c r="DC269" t="str">
        <f>""</f>
        <v/>
      </c>
      <c r="DD269" t="str">
        <f>""</f>
        <v/>
      </c>
      <c r="DE269" t="str">
        <f>""</f>
        <v/>
      </c>
      <c r="DF269" t="str">
        <f>""</f>
        <v/>
      </c>
      <c r="DG269" t="str">
        <f>""</f>
        <v/>
      </c>
      <c r="DH269" t="str">
        <f>""</f>
        <v/>
      </c>
      <c r="DI269" t="str">
        <f>""</f>
        <v/>
      </c>
      <c r="DJ269" t="str">
        <f>""</f>
        <v/>
      </c>
      <c r="DK269" t="str">
        <f>""</f>
        <v/>
      </c>
      <c r="DL269" t="str">
        <f>""</f>
        <v/>
      </c>
      <c r="DM269" t="str">
        <f>""</f>
        <v/>
      </c>
      <c r="DN269" t="str">
        <f>""</f>
        <v/>
      </c>
      <c r="DO269" t="str">
        <f>""</f>
        <v/>
      </c>
      <c r="DP269" t="str">
        <f>""</f>
        <v/>
      </c>
      <c r="DQ269" t="str">
        <f>""</f>
        <v/>
      </c>
      <c r="DR269" t="str">
        <f>""</f>
        <v/>
      </c>
      <c r="DS269" t="str">
        <f>""</f>
        <v/>
      </c>
      <c r="DT269" t="str">
        <f>""</f>
        <v/>
      </c>
      <c r="DU269" t="str">
        <f>""</f>
        <v/>
      </c>
    </row>
    <row r="270" spans="1:125">
      <c r="A270" t="str">
        <f>"    Retail Properties of America I"</f>
        <v xml:space="preserve">    Retail Properties of America I</v>
      </c>
      <c r="B270" t="str">
        <f>"RPAI US Equity"</f>
        <v>RPAI US Equity</v>
      </c>
      <c r="C270" t="str">
        <f t="shared" si="48"/>
        <v>RR052</v>
      </c>
      <c r="D270" t="str">
        <f t="shared" si="49"/>
        <v>TOT_DEBT_TO_EBITDA</v>
      </c>
      <c r="E270" t="str">
        <f t="shared" si="50"/>
        <v>动态</v>
      </c>
      <c r="F270" t="str">
        <f ca="1">IF(AND(ISNUMBER($F$715),$B$419=1),$F$715,HLOOKUP(INDIRECT(ADDRESS(2,COLUMN())),OFFSET($BN$2,0,0,ROW()-1,60),ROW()-1,FALSE))</f>
        <v/>
      </c>
      <c r="G270">
        <f ca="1">IF(AND(ISNUMBER($G$715),$B$419=1),$G$715,HLOOKUP(INDIRECT(ADDRESS(2,COLUMN())),OFFSET($BN$2,0,0,ROW()-1,60),ROW()-1,FALSE))</f>
        <v>6.6365616249999997</v>
      </c>
      <c r="H270">
        <f ca="1">IF(AND(ISNUMBER($H$715),$B$419=1),$H$715,HLOOKUP(INDIRECT(ADDRESS(2,COLUMN())),OFFSET($BN$2,0,0,ROW()-1,60),ROW()-1,FALSE))</f>
        <v>6.255313492</v>
      </c>
      <c r="I270">
        <f ca="1">IF(AND(ISNUMBER($I$715),$B$419=1),$I$715,HLOOKUP(INDIRECT(ADDRESS(2,COLUMN())),OFFSET($BN$2,0,0,ROW()-1,60),ROW()-1,FALSE))</f>
        <v>5.7370855330000001</v>
      </c>
      <c r="J270">
        <f ca="1">IF(AND(ISNUMBER($J$715),$B$419=1),$J$715,HLOOKUP(INDIRECT(ADDRESS(2,COLUMN())),OFFSET($BN$2,0,0,ROW()-1,60),ROW()-1,FALSE))</f>
        <v>5.9834064810000003</v>
      </c>
      <c r="K270">
        <f ca="1">IF(AND(ISNUMBER($K$715),$B$419=1),$K$715,HLOOKUP(INDIRECT(ADDRESS(2,COLUMN())),OFFSET($BN$2,0,0,ROW()-1,60),ROW()-1,FALSE))</f>
        <v>5.6989782529999999</v>
      </c>
      <c r="L270">
        <f ca="1">IF(AND(ISNUMBER($L$715),$B$419=1),$L$715,HLOOKUP(INDIRECT(ADDRESS(2,COLUMN())),OFFSET($BN$2,0,0,ROW()-1,60),ROW()-1,FALSE))</f>
        <v>5.9043509429999999</v>
      </c>
      <c r="M270">
        <f ca="1">IF(AND(ISNUMBER($M$715),$B$419=1),$M$715,HLOOKUP(INDIRECT(ADDRESS(2,COLUMN())),OFFSET($BN$2,0,0,ROW()-1,60),ROW()-1,FALSE))</f>
        <v>6.4466887389999998</v>
      </c>
      <c r="N270">
        <f ca="1">IF(AND(ISNUMBER($N$715),$B$419=1),$N$715,HLOOKUP(INDIRECT(ADDRESS(2,COLUMN())),OFFSET($BN$2,0,0,ROW()-1,60),ROW()-1,FALSE))</f>
        <v>6.3916213109999997</v>
      </c>
      <c r="O270">
        <f ca="1">IF(AND(ISNUMBER($O$715),$B$419=1),$O$715,HLOOKUP(INDIRECT(ADDRESS(2,COLUMN())),OFFSET($BN$2,0,0,ROW()-1,60),ROW()-1,FALSE))</f>
        <v>6.0887693379999996</v>
      </c>
      <c r="P270">
        <f ca="1">IF(AND(ISNUMBER($P$715),$B$419=1),$P$715,HLOOKUP(INDIRECT(ADDRESS(2,COLUMN())),OFFSET($BN$2,0,0,ROW()-1,60),ROW()-1,FALSE))</f>
        <v>6.2708288080000001</v>
      </c>
      <c r="Q270">
        <f ca="1">IF(AND(ISNUMBER($Q$715),$B$419=1),$Q$715,HLOOKUP(INDIRECT(ADDRESS(2,COLUMN())),OFFSET($BN$2,0,0,ROW()-1,60),ROW()-1,FALSE))</f>
        <v>7.8736543120000002</v>
      </c>
      <c r="R270">
        <f ca="1">IF(AND(ISNUMBER($R$715),$B$419=1),$R$715,HLOOKUP(INDIRECT(ADDRESS(2,COLUMN())),OFFSET($BN$2,0,0,ROW()-1,60),ROW()-1,FALSE))</f>
        <v>7.9664222789999997</v>
      </c>
      <c r="S270">
        <f ca="1">IF(AND(ISNUMBER($S$715),$B$419=1),$S$715,HLOOKUP(INDIRECT(ADDRESS(2,COLUMN())),OFFSET($BN$2,0,0,ROW()-1,60),ROW()-1,FALSE))</f>
        <v>7.327006914</v>
      </c>
      <c r="T270">
        <f ca="1">IF(AND(ISNUMBER($T$715),$B$419=1),$T$715,HLOOKUP(INDIRECT(ADDRESS(2,COLUMN())),OFFSET($BN$2,0,0,ROW()-1,60),ROW()-1,FALSE))</f>
        <v>8.0667126210000006</v>
      </c>
      <c r="U270">
        <f ca="1">IF(AND(ISNUMBER($U$715),$B$419=1),$U$715,HLOOKUP(INDIRECT(ADDRESS(2,COLUMN())),OFFSET($BN$2,0,0,ROW()-1,60),ROW()-1,FALSE))</f>
        <v>7.8244846050000003</v>
      </c>
      <c r="V270">
        <f ca="1">IF(AND(ISNUMBER($V$715),$B$419=1),$V$715,HLOOKUP(INDIRECT(ADDRESS(2,COLUMN())),OFFSET($BN$2,0,0,ROW()-1,60),ROW()-1,FALSE))</f>
        <v>7.2656687279999996</v>
      </c>
      <c r="W270">
        <f ca="1">IF(AND(ISNUMBER($W$715),$B$419=1),$W$715,HLOOKUP(INDIRECT(ADDRESS(2,COLUMN())),OFFSET($BN$2,0,0,ROW()-1,60),ROW()-1,FALSE))</f>
        <v>7.4614715719999998</v>
      </c>
      <c r="X270">
        <f ca="1">IF(AND(ISNUMBER($X$715),$B$419=1),$X$715,HLOOKUP(INDIRECT(ADDRESS(2,COLUMN())),OFFSET($BN$2,0,0,ROW()-1,60),ROW()-1,FALSE))</f>
        <v>7.0337083759999999</v>
      </c>
      <c r="Y270">
        <f ca="1">IF(AND(ISNUMBER($Y$715),$B$419=1),$Y$715,HLOOKUP(INDIRECT(ADDRESS(2,COLUMN())),OFFSET($BN$2,0,0,ROW()-1,60),ROW()-1,FALSE))</f>
        <v>6.6618253320000003</v>
      </c>
      <c r="Z270">
        <f ca="1">IF(AND(ISNUMBER($Z$715),$B$419=1),$Z$715,HLOOKUP(INDIRECT(ADDRESS(2,COLUMN())),OFFSET($BN$2,0,0,ROW()-1,60),ROW()-1,FALSE))</f>
        <v>6.9234933270000001</v>
      </c>
      <c r="AA270">
        <f ca="1">IF(AND(ISNUMBER($AA$715),$B$419=1),$AA$715,HLOOKUP(INDIRECT(ADDRESS(2,COLUMN())),OFFSET($BN$2,0,0,ROW()-1,60),ROW()-1,FALSE))</f>
        <v>7.0230517250000002</v>
      </c>
      <c r="AB270">
        <f ca="1">IF(AND(ISNUMBER($AB$715),$B$419=1),$AB$715,HLOOKUP(INDIRECT(ADDRESS(2,COLUMN())),OFFSET($BN$2,0,0,ROW()-1,60),ROW()-1,FALSE))</f>
        <v>7.9371369009999997</v>
      </c>
      <c r="AC270">
        <f ca="1">IF(AND(ISNUMBER($AC$715),$B$419=1),$AC$715,HLOOKUP(INDIRECT(ADDRESS(2,COLUMN())),OFFSET($BN$2,0,0,ROW()-1,60),ROW()-1,FALSE))</f>
        <v>8.3239322480000002</v>
      </c>
      <c r="AD270">
        <f ca="1">IF(AND(ISNUMBER($AD$715),$B$419=1),$AD$715,HLOOKUP(INDIRECT(ADDRESS(2,COLUMN())),OFFSET($BN$2,0,0,ROW()-1,60),ROW()-1,FALSE))</f>
        <v>9.2035685409999992</v>
      </c>
      <c r="AE270">
        <f ca="1">IF(AND(ISNUMBER($AE$715),$B$419=1),$AE$715,HLOOKUP(INDIRECT(ADDRESS(2,COLUMN())),OFFSET($BN$2,0,0,ROW()-1,60),ROW()-1,FALSE))</f>
        <v>10.075355979999999</v>
      </c>
      <c r="AF270">
        <f ca="1">IF(AND(ISNUMBER($AF$715),$B$419=1),$AF$715,HLOOKUP(INDIRECT(ADDRESS(2,COLUMN())),OFFSET($BN$2,0,0,ROW()-1,60),ROW()-1,FALSE))</f>
        <v>9.5645828319999993</v>
      </c>
      <c r="AG270">
        <f ca="1">IF(AND(ISNUMBER($AG$715),$B$419=1),$AG$715,HLOOKUP(INDIRECT(ADDRESS(2,COLUMN())),OFFSET($BN$2,0,0,ROW()-1,60),ROW()-1,FALSE))</f>
        <v>9.9100565550000006</v>
      </c>
      <c r="AH270" t="str">
        <f ca="1">IF(AND(ISNUMBER($AH$715),$B$419=1),$AH$715,HLOOKUP(INDIRECT(ADDRESS(2,COLUMN())),OFFSET($BN$2,0,0,ROW()-1,60),ROW()-1,FALSE))</f>
        <v/>
      </c>
      <c r="AI270" t="str">
        <f ca="1">IF(AND(ISNUMBER($AI$715),$B$419=1),$AI$715,HLOOKUP(INDIRECT(ADDRESS(2,COLUMN())),OFFSET($BN$2,0,0,ROW()-1,60),ROW()-1,FALSE))</f>
        <v/>
      </c>
      <c r="AJ270" t="str">
        <f ca="1">IF(AND(ISNUMBER($AJ$715),$B$419=1),$AJ$715,HLOOKUP(INDIRECT(ADDRESS(2,COLUMN())),OFFSET($BN$2,0,0,ROW()-1,60),ROW()-1,FALSE))</f>
        <v/>
      </c>
      <c r="AK270" t="str">
        <f ca="1">IF(AND(ISNUMBER($AK$715),$B$419=1),$AK$715,HLOOKUP(INDIRECT(ADDRESS(2,COLUMN())),OFFSET($BN$2,0,0,ROW()-1,60),ROW()-1,FALSE))</f>
        <v/>
      </c>
      <c r="AL270" t="str">
        <f ca="1">IF(AND(ISNUMBER($AL$715),$B$419=1),$AL$715,HLOOKUP(INDIRECT(ADDRESS(2,COLUMN())),OFFSET($BN$2,0,0,ROW()-1,60),ROW()-1,FALSE))</f>
        <v/>
      </c>
      <c r="AM270" t="str">
        <f ca="1">IF(AND(ISNUMBER($AM$715),$B$419=1),$AM$715,HLOOKUP(INDIRECT(ADDRESS(2,COLUMN())),OFFSET($BN$2,0,0,ROW()-1,60),ROW()-1,FALSE))</f>
        <v/>
      </c>
      <c r="AN270" t="str">
        <f ca="1">IF(AND(ISNUMBER($AN$715),$B$419=1),$AN$715,HLOOKUP(INDIRECT(ADDRESS(2,COLUMN())),OFFSET($BN$2,0,0,ROW()-1,60),ROW()-1,FALSE))</f>
        <v/>
      </c>
      <c r="AO270" t="str">
        <f ca="1">IF(AND(ISNUMBER($AO$715),$B$419=1),$AO$715,HLOOKUP(INDIRECT(ADDRESS(2,COLUMN())),OFFSET($BN$2,0,0,ROW()-1,60),ROW()-1,FALSE))</f>
        <v/>
      </c>
      <c r="AP270" t="str">
        <f ca="1">IF(AND(ISNUMBER($AP$715),$B$419=1),$AP$715,HLOOKUP(INDIRECT(ADDRESS(2,COLUMN())),OFFSET($BN$2,0,0,ROW()-1,60),ROW()-1,FALSE))</f>
        <v/>
      </c>
      <c r="AQ270" t="str">
        <f ca="1">IF(AND(ISNUMBER($AQ$715),$B$419=1),$AQ$715,HLOOKUP(INDIRECT(ADDRESS(2,COLUMN())),OFFSET($BN$2,0,0,ROW()-1,60),ROW()-1,FALSE))</f>
        <v/>
      </c>
      <c r="AR270" t="str">
        <f ca="1">IF(AND(ISNUMBER($AR$715),$B$419=1),$AR$715,HLOOKUP(INDIRECT(ADDRESS(2,COLUMN())),OFFSET($BN$2,0,0,ROW()-1,60),ROW()-1,FALSE))</f>
        <v/>
      </c>
      <c r="AS270" t="str">
        <f ca="1">IF(AND(ISNUMBER($AS$715),$B$419=1),$AS$715,HLOOKUP(INDIRECT(ADDRESS(2,COLUMN())),OFFSET($BN$2,0,0,ROW()-1,60),ROW()-1,FALSE))</f>
        <v/>
      </c>
      <c r="AT270" t="str">
        <f ca="1">IF(AND(ISNUMBER($AT$715),$B$419=1),$AT$715,HLOOKUP(INDIRECT(ADDRESS(2,COLUMN())),OFFSET($BN$2,0,0,ROW()-1,60),ROW()-1,FALSE))</f>
        <v/>
      </c>
      <c r="AU270" t="str">
        <f ca="1">IF(AND(ISNUMBER($AU$715),$B$419=1),$AU$715,HLOOKUP(INDIRECT(ADDRESS(2,COLUMN())),OFFSET($BN$2,0,0,ROW()-1,60),ROW()-1,FALSE))</f>
        <v/>
      </c>
      <c r="AV270" t="str">
        <f ca="1">IF(AND(ISNUMBER($AV$715),$B$419=1),$AV$715,HLOOKUP(INDIRECT(ADDRESS(2,COLUMN())),OFFSET($BN$2,0,0,ROW()-1,60),ROW()-1,FALSE))</f>
        <v/>
      </c>
      <c r="AW270" t="str">
        <f ca="1">IF(AND(ISNUMBER($AW$715),$B$419=1),$AW$715,HLOOKUP(INDIRECT(ADDRESS(2,COLUMN())),OFFSET($BN$2,0,0,ROW()-1,60),ROW()-1,FALSE))</f>
        <v/>
      </c>
      <c r="AX270" t="str">
        <f ca="1">IF(AND(ISNUMBER($AX$715),$B$419=1),$AX$715,HLOOKUP(INDIRECT(ADDRESS(2,COLUMN())),OFFSET($BN$2,0,0,ROW()-1,60),ROW()-1,FALSE))</f>
        <v/>
      </c>
      <c r="AY270" t="str">
        <f ca="1">IF(AND(ISNUMBER($AY$715),$B$419=1),$AY$715,HLOOKUP(INDIRECT(ADDRESS(2,COLUMN())),OFFSET($BN$2,0,0,ROW()-1,60),ROW()-1,FALSE))</f>
        <v/>
      </c>
      <c r="AZ270" t="str">
        <f ca="1">IF(AND(ISNUMBER($AZ$715),$B$419=1),$AZ$715,HLOOKUP(INDIRECT(ADDRESS(2,COLUMN())),OFFSET($BN$2,0,0,ROW()-1,60),ROW()-1,FALSE))</f>
        <v/>
      </c>
      <c r="BA270" t="str">
        <f ca="1">IF(AND(ISNUMBER($BA$715),$B$419=1),$BA$715,HLOOKUP(INDIRECT(ADDRESS(2,COLUMN())),OFFSET($BN$2,0,0,ROW()-1,60),ROW()-1,FALSE))</f>
        <v/>
      </c>
      <c r="BB270" t="str">
        <f ca="1">IF(AND(ISNUMBER($BB$715),$B$419=1),$BB$715,HLOOKUP(INDIRECT(ADDRESS(2,COLUMN())),OFFSET($BN$2,0,0,ROW()-1,60),ROW()-1,FALSE))</f>
        <v/>
      </c>
      <c r="BC270" t="str">
        <f ca="1">IF(AND(ISNUMBER($BC$715),$B$419=1),$BC$715,HLOOKUP(INDIRECT(ADDRESS(2,COLUMN())),OFFSET($BN$2,0,0,ROW()-1,60),ROW()-1,FALSE))</f>
        <v/>
      </c>
      <c r="BD270" t="str">
        <f ca="1">IF(AND(ISNUMBER($BD$715),$B$419=1),$BD$715,HLOOKUP(INDIRECT(ADDRESS(2,COLUMN())),OFFSET($BN$2,0,0,ROW()-1,60),ROW()-1,FALSE))</f>
        <v/>
      </c>
      <c r="BE270" t="str">
        <f ca="1">IF(AND(ISNUMBER($BE$715),$B$419=1),$BE$715,HLOOKUP(INDIRECT(ADDRESS(2,COLUMN())),OFFSET($BN$2,0,0,ROW()-1,60),ROW()-1,FALSE))</f>
        <v/>
      </c>
      <c r="BF270" t="str">
        <f ca="1">IF(AND(ISNUMBER($BF$715),$B$419=1),$BF$715,HLOOKUP(INDIRECT(ADDRESS(2,COLUMN())),OFFSET($BN$2,0,0,ROW()-1,60),ROW()-1,FALSE))</f>
        <v/>
      </c>
      <c r="BG270" t="str">
        <f ca="1">IF(AND(ISNUMBER($BG$715),$B$419=1),$BG$715,HLOOKUP(INDIRECT(ADDRESS(2,COLUMN())),OFFSET($BN$2,0,0,ROW()-1,60),ROW()-1,FALSE))</f>
        <v/>
      </c>
      <c r="BH270" t="str">
        <f ca="1">IF(AND(ISNUMBER($BH$715),$B$419=1),$BH$715,HLOOKUP(INDIRECT(ADDRESS(2,COLUMN())),OFFSET($BN$2,0,0,ROW()-1,60),ROW()-1,FALSE))</f>
        <v/>
      </c>
      <c r="BI270" t="str">
        <f ca="1">IF(AND(ISNUMBER($BI$715),$B$419=1),$BI$715,HLOOKUP(INDIRECT(ADDRESS(2,COLUMN())),OFFSET($BN$2,0,0,ROW()-1,60),ROW()-1,FALSE))</f>
        <v/>
      </c>
      <c r="BJ270" t="str">
        <f ca="1">IF(AND(ISNUMBER($BJ$715),$B$419=1),$BJ$715,HLOOKUP(INDIRECT(ADDRESS(2,COLUMN())),OFFSET($BN$2,0,0,ROW()-1,60),ROW()-1,FALSE))</f>
        <v/>
      </c>
      <c r="BK270" t="str">
        <f ca="1">IF(AND(ISNUMBER($BK$715),$B$419=1),$BK$715,HLOOKUP(INDIRECT(ADDRESS(2,COLUMN())),OFFSET($BN$2,0,0,ROW()-1,60),ROW()-1,FALSE))</f>
        <v/>
      </c>
      <c r="BL270" t="str">
        <f ca="1">IF(AND(ISNUMBER($BL$715),$B$419=1),$BL$715,HLOOKUP(INDIRECT(ADDRESS(2,COLUMN())),OFFSET($BN$2,0,0,ROW()-1,60),ROW()-1,FALSE))</f>
        <v/>
      </c>
      <c r="BM270" t="str">
        <f ca="1">IF(AND(ISNUMBER($BM$715),$B$419=1),$BM$715,HLOOKUP(INDIRECT(ADDRESS(2,COLUMN())),OFFSET($BN$2,0,0,ROW()-1,60),ROW()-1,FALSE))</f>
        <v/>
      </c>
      <c r="BN270" t="str">
        <f>""</f>
        <v/>
      </c>
      <c r="BO270">
        <f>6.636561625</f>
        <v>6.6365616249999997</v>
      </c>
      <c r="BP270">
        <f>6.255313492</f>
        <v>6.255313492</v>
      </c>
      <c r="BQ270">
        <f>5.737085533</f>
        <v>5.7370855330000001</v>
      </c>
      <c r="BR270">
        <f>5.983406481</f>
        <v>5.9834064810000003</v>
      </c>
      <c r="BS270">
        <f>5.698978253</f>
        <v>5.6989782529999999</v>
      </c>
      <c r="BT270">
        <f>5.904350943</f>
        <v>5.9043509429999999</v>
      </c>
      <c r="BU270">
        <f>6.446688739</f>
        <v>6.4466887389999998</v>
      </c>
      <c r="BV270">
        <f>6.391621311</f>
        <v>6.3916213109999997</v>
      </c>
      <c r="BW270">
        <f>6.088769338</f>
        <v>6.0887693379999996</v>
      </c>
      <c r="BX270">
        <f>6.270828808</f>
        <v>6.2708288080000001</v>
      </c>
      <c r="BY270">
        <f>7.873654312</f>
        <v>7.8736543120000002</v>
      </c>
      <c r="BZ270">
        <f>7.966422279</f>
        <v>7.9664222789999997</v>
      </c>
      <c r="CA270">
        <f>7.327006914</f>
        <v>7.327006914</v>
      </c>
      <c r="CB270">
        <f>8.066712621</f>
        <v>8.0667126210000006</v>
      </c>
      <c r="CC270">
        <f>7.824484605</f>
        <v>7.8244846050000003</v>
      </c>
      <c r="CD270">
        <f>7.265668728</f>
        <v>7.2656687279999996</v>
      </c>
      <c r="CE270">
        <f>7.461471572</f>
        <v>7.4614715719999998</v>
      </c>
      <c r="CF270">
        <f>7.033708376</f>
        <v>7.0337083759999999</v>
      </c>
      <c r="CG270">
        <f>6.661825332</f>
        <v>6.6618253320000003</v>
      </c>
      <c r="CH270">
        <f>6.923493327</f>
        <v>6.9234933270000001</v>
      </c>
      <c r="CI270">
        <f>7.023051725</f>
        <v>7.0230517250000002</v>
      </c>
      <c r="CJ270">
        <f>7.937136901</f>
        <v>7.9371369009999997</v>
      </c>
      <c r="CK270">
        <f>8.323932248</f>
        <v>8.3239322480000002</v>
      </c>
      <c r="CL270">
        <f>9.203568541</f>
        <v>9.2035685409999992</v>
      </c>
      <c r="CM270">
        <f>10.07535598</f>
        <v>10.075355979999999</v>
      </c>
      <c r="CN270">
        <f>9.564582832</f>
        <v>9.5645828319999993</v>
      </c>
      <c r="CO270">
        <f>9.910056555</f>
        <v>9.9100565550000006</v>
      </c>
      <c r="CP270" t="str">
        <f>""</f>
        <v/>
      </c>
      <c r="CQ270" t="str">
        <f>""</f>
        <v/>
      </c>
      <c r="CR270" t="str">
        <f>""</f>
        <v/>
      </c>
      <c r="CS270" t="str">
        <f>""</f>
        <v/>
      </c>
      <c r="CT270" t="str">
        <f>""</f>
        <v/>
      </c>
      <c r="CU270" t="str">
        <f>""</f>
        <v/>
      </c>
      <c r="CV270" t="str">
        <f>""</f>
        <v/>
      </c>
      <c r="CW270" t="str">
        <f>""</f>
        <v/>
      </c>
      <c r="CX270" t="str">
        <f>""</f>
        <v/>
      </c>
      <c r="CY270" t="str">
        <f>""</f>
        <v/>
      </c>
      <c r="CZ270" t="str">
        <f>""</f>
        <v/>
      </c>
      <c r="DA270" t="str">
        <f>""</f>
        <v/>
      </c>
      <c r="DB270" t="str">
        <f>""</f>
        <v/>
      </c>
      <c r="DC270" t="str">
        <f>""</f>
        <v/>
      </c>
      <c r="DD270" t="str">
        <f>""</f>
        <v/>
      </c>
      <c r="DE270" t="str">
        <f>""</f>
        <v/>
      </c>
      <c r="DF270" t="str">
        <f>""</f>
        <v/>
      </c>
      <c r="DG270" t="str">
        <f>""</f>
        <v/>
      </c>
      <c r="DH270" t="str">
        <f>""</f>
        <v/>
      </c>
      <c r="DI270" t="str">
        <f>""</f>
        <v/>
      </c>
      <c r="DJ270" t="str">
        <f>""</f>
        <v/>
      </c>
      <c r="DK270" t="str">
        <f>""</f>
        <v/>
      </c>
      <c r="DL270" t="str">
        <f>""</f>
        <v/>
      </c>
      <c r="DM270" t="str">
        <f>""</f>
        <v/>
      </c>
      <c r="DN270" t="str">
        <f>""</f>
        <v/>
      </c>
      <c r="DO270" t="str">
        <f>""</f>
        <v/>
      </c>
      <c r="DP270" t="str">
        <f>""</f>
        <v/>
      </c>
      <c r="DQ270" t="str">
        <f>""</f>
        <v/>
      </c>
      <c r="DR270" t="str">
        <f>""</f>
        <v/>
      </c>
      <c r="DS270" t="str">
        <f>""</f>
        <v/>
      </c>
      <c r="DT270" t="str">
        <f>""</f>
        <v/>
      </c>
      <c r="DU270" t="str">
        <f>""</f>
        <v/>
      </c>
    </row>
    <row r="271" spans="1:125">
      <c r="A271" t="str">
        <f>"    Simon Property Group Inc"</f>
        <v xml:space="preserve">    Simon Property Group Inc</v>
      </c>
      <c r="B271" t="str">
        <f>"SPG US Equity"</f>
        <v>SPG US Equity</v>
      </c>
      <c r="C271" t="str">
        <f t="shared" si="48"/>
        <v>RR052</v>
      </c>
      <c r="D271" t="str">
        <f t="shared" si="49"/>
        <v>TOT_DEBT_TO_EBITDA</v>
      </c>
      <c r="E271" t="str">
        <f t="shared" si="50"/>
        <v>动态</v>
      </c>
      <c r="F271" t="str">
        <f ca="1">IF(AND(ISNUMBER($F$716),$B$419=1),$F$716,HLOOKUP(INDIRECT(ADDRESS(2,COLUMN())),OFFSET($BN$2,0,0,ROW()-1,60),ROW()-1,FALSE))</f>
        <v/>
      </c>
      <c r="G271">
        <f ca="1">IF(AND(ISNUMBER($G$716),$B$419=1),$G$716,HLOOKUP(INDIRECT(ADDRESS(2,COLUMN())),OFFSET($BN$2,0,0,ROW()-1,60),ROW()-1,FALSE))</f>
        <v>5.9217050020000004</v>
      </c>
      <c r="H271">
        <f ca="1">IF(AND(ISNUMBER($H$716),$B$419=1),$H$716,HLOOKUP(INDIRECT(ADDRESS(2,COLUMN())),OFFSET($BN$2,0,0,ROW()-1,60),ROW()-1,FALSE))</f>
        <v>5.6798866180000003</v>
      </c>
      <c r="I271">
        <f ca="1">IF(AND(ISNUMBER($I$716),$B$419=1),$I$716,HLOOKUP(INDIRECT(ADDRESS(2,COLUMN())),OFFSET($BN$2,0,0,ROW()-1,60),ROW()-1,FALSE))</f>
        <v>5.7122648409999996</v>
      </c>
      <c r="J271">
        <f ca="1">IF(AND(ISNUMBER($J$716),$B$419=1),$J$716,HLOOKUP(INDIRECT(ADDRESS(2,COLUMN())),OFFSET($BN$2,0,0,ROW()-1,60),ROW()-1,FALSE))</f>
        <v>5.7038515509999996</v>
      </c>
      <c r="K271">
        <f ca="1">IF(AND(ISNUMBER($K$716),$B$419=1),$K$716,HLOOKUP(INDIRECT(ADDRESS(2,COLUMN())),OFFSET($BN$2,0,0,ROW()-1,60),ROW()-1,FALSE))</f>
        <v>5.6750755479999997</v>
      </c>
      <c r="L271">
        <f ca="1">IF(AND(ISNUMBER($L$716),$B$419=1),$L$716,HLOOKUP(INDIRECT(ADDRESS(2,COLUMN())),OFFSET($BN$2,0,0,ROW()-1,60),ROW()-1,FALSE))</f>
        <v>5.7400260010000004</v>
      </c>
      <c r="M271">
        <f ca="1">IF(AND(ISNUMBER($M$716),$B$419=1),$M$716,HLOOKUP(INDIRECT(ADDRESS(2,COLUMN())),OFFSET($BN$2,0,0,ROW()-1,60),ROW()-1,FALSE))</f>
        <v>5.7625858299999999</v>
      </c>
      <c r="N271">
        <f ca="1">IF(AND(ISNUMBER($N$716),$B$419=1),$N$716,HLOOKUP(INDIRECT(ADDRESS(2,COLUMN())),OFFSET($BN$2,0,0,ROW()-1,60),ROW()-1,FALSE))</f>
        <v>5.7311332720000001</v>
      </c>
      <c r="O271">
        <f ca="1">IF(AND(ISNUMBER($O$716),$B$419=1),$O$716,HLOOKUP(INDIRECT(ADDRESS(2,COLUMN())),OFFSET($BN$2,0,0,ROW()-1,60),ROW()-1,FALSE))</f>
        <v>5.735973124</v>
      </c>
      <c r="P271">
        <f ca="1">IF(AND(ISNUMBER($P$716),$B$419=1),$P$716,HLOOKUP(INDIRECT(ADDRESS(2,COLUMN())),OFFSET($BN$2,0,0,ROW()-1,60),ROW()-1,FALSE))</f>
        <v>5.8818471280000004</v>
      </c>
      <c r="Q271">
        <f ca="1">IF(AND(ISNUMBER($Q$716),$B$419=1),$Q$716,HLOOKUP(INDIRECT(ADDRESS(2,COLUMN())),OFFSET($BN$2,0,0,ROW()-1,60),ROW()-1,FALSE))</f>
        <v>5.8161806399999998</v>
      </c>
      <c r="R271">
        <f ca="1">IF(AND(ISNUMBER($R$716),$B$419=1),$R$716,HLOOKUP(INDIRECT(ADDRESS(2,COLUMN())),OFFSET($BN$2,0,0,ROW()-1,60),ROW()-1,FALSE))</f>
        <v>5.8928241589999999</v>
      </c>
      <c r="S271">
        <f ca="1">IF(AND(ISNUMBER($S$716),$B$419=1),$S$716,HLOOKUP(INDIRECT(ADDRESS(2,COLUMN())),OFFSET($BN$2,0,0,ROW()-1,60),ROW()-1,FALSE))</f>
        <v>5.6802732130000004</v>
      </c>
      <c r="T271">
        <f ca="1">IF(AND(ISNUMBER($T$716),$B$419=1),$T$716,HLOOKUP(INDIRECT(ADDRESS(2,COLUMN())),OFFSET($BN$2,0,0,ROW()-1,60),ROW()-1,FALSE))</f>
        <v>5.772976817</v>
      </c>
      <c r="U271">
        <f ca="1">IF(AND(ISNUMBER($U$716),$B$419=1),$U$716,HLOOKUP(INDIRECT(ADDRESS(2,COLUMN())),OFFSET($BN$2,0,0,ROW()-1,60),ROW()-1,FALSE))</f>
        <v>6.0018476029999999</v>
      </c>
      <c r="V271">
        <f ca="1">IF(AND(ISNUMBER($V$716),$B$419=1),$V$716,HLOOKUP(INDIRECT(ADDRESS(2,COLUMN())),OFFSET($BN$2,0,0,ROW()-1,60),ROW()-1,FALSE))</f>
        <v>6.4610251820000002</v>
      </c>
      <c r="W271">
        <f ca="1">IF(AND(ISNUMBER($W$716),$B$419=1),$W$716,HLOOKUP(INDIRECT(ADDRESS(2,COLUMN())),OFFSET($BN$2,0,0,ROW()-1,60),ROW()-1,FALSE))</f>
        <v>6.5948239009999998</v>
      </c>
      <c r="X271">
        <f ca="1">IF(AND(ISNUMBER($X$716),$B$419=1),$X$716,HLOOKUP(INDIRECT(ADDRESS(2,COLUMN())),OFFSET($BN$2,0,0,ROW()-1,60),ROW()-1,FALSE))</f>
        <v>6.3430182339999996</v>
      </c>
      <c r="Y271">
        <f ca="1">IF(AND(ISNUMBER($Y$716),$B$419=1),$Y$716,HLOOKUP(INDIRECT(ADDRESS(2,COLUMN())),OFFSET($BN$2,0,0,ROW()-1,60),ROW()-1,FALSE))</f>
        <v>6.3344086300000004</v>
      </c>
      <c r="Z271">
        <f ca="1">IF(AND(ISNUMBER($Z$716),$B$419=1),$Z$716,HLOOKUP(INDIRECT(ADDRESS(2,COLUMN())),OFFSET($BN$2,0,0,ROW()-1,60),ROW()-1,FALSE))</f>
        <v>6.2940480040000004</v>
      </c>
      <c r="AA271">
        <f ca="1">IF(AND(ISNUMBER($AA$716),$B$419=1),$AA$716,HLOOKUP(INDIRECT(ADDRESS(2,COLUMN())),OFFSET($BN$2,0,0,ROW()-1,60),ROW()-1,FALSE))</f>
        <v>6.5626472390000004</v>
      </c>
      <c r="AB271">
        <f ca="1">IF(AND(ISNUMBER($AB$716),$B$419=1),$AB$716,HLOOKUP(INDIRECT(ADDRESS(2,COLUMN())),OFFSET($BN$2,0,0,ROW()-1,60),ROW()-1,FALSE))</f>
        <v>6.6851498109999996</v>
      </c>
      <c r="AC271">
        <f ca="1">IF(AND(ISNUMBER($AC$716),$B$419=1),$AC$716,HLOOKUP(INDIRECT(ADDRESS(2,COLUMN())),OFFSET($BN$2,0,0,ROW()-1,60),ROW()-1,FALSE))</f>
        <v>6.9143890880000001</v>
      </c>
      <c r="AD271">
        <f ca="1">IF(AND(ISNUMBER($AD$716),$B$419=1),$AD$716,HLOOKUP(INDIRECT(ADDRESS(2,COLUMN())),OFFSET($BN$2,0,0,ROW()-1,60),ROW()-1,FALSE))</f>
        <v>7.2591500450000002</v>
      </c>
      <c r="AE271">
        <f ca="1">IF(AND(ISNUMBER($AE$716),$B$419=1),$AE$716,HLOOKUP(INDIRECT(ADDRESS(2,COLUMN())),OFFSET($BN$2,0,0,ROW()-1,60),ROW()-1,FALSE))</f>
        <v>6.0462547449999997</v>
      </c>
      <c r="AF271">
        <f ca="1">IF(AND(ISNUMBER($AF$716),$B$419=1),$AF$716,HLOOKUP(INDIRECT(ADDRESS(2,COLUMN())),OFFSET($BN$2,0,0,ROW()-1,60),ROW()-1,FALSE))</f>
        <v>5.9482050190000004</v>
      </c>
      <c r="AG271">
        <f ca="1">IF(AND(ISNUMBER($AG$716),$B$419=1),$AG$716,HLOOKUP(INDIRECT(ADDRESS(2,COLUMN())),OFFSET($BN$2,0,0,ROW()-1,60),ROW()-1,FALSE))</f>
        <v>5.7466088920000002</v>
      </c>
      <c r="AH271">
        <f ca="1">IF(AND(ISNUMBER($AH$716),$B$419=1),$AH$716,HLOOKUP(INDIRECT(ADDRESS(2,COLUMN())),OFFSET($BN$2,0,0,ROW()-1,60),ROW()-1,FALSE))</f>
        <v>5.9651658090000002</v>
      </c>
      <c r="AI271">
        <f ca="1">IF(AND(ISNUMBER($AI$716),$B$419=1),$AI$716,HLOOKUP(INDIRECT(ADDRESS(2,COLUMN())),OFFSET($BN$2,0,0,ROW()-1,60),ROW()-1,FALSE))</f>
        <v>6.2008347150000001</v>
      </c>
      <c r="AJ271">
        <f ca="1">IF(AND(ISNUMBER($AJ$716),$B$419=1),$AJ$716,HLOOKUP(INDIRECT(ADDRESS(2,COLUMN())),OFFSET($BN$2,0,0,ROW()-1,60),ROW()-1,FALSE))</f>
        <v>6.4801233949999997</v>
      </c>
      <c r="AK271">
        <f ca="1">IF(AND(ISNUMBER($AK$716),$B$419=1),$AK$716,HLOOKUP(INDIRECT(ADDRESS(2,COLUMN())),OFFSET($BN$2,0,0,ROW()-1,60),ROW()-1,FALSE))</f>
        <v>6.486201973</v>
      </c>
      <c r="AL271">
        <f ca="1">IF(AND(ISNUMBER($AL$716),$B$419=1),$AL$716,HLOOKUP(INDIRECT(ADDRESS(2,COLUMN())),OFFSET($BN$2,0,0,ROW()-1,60),ROW()-1,FALSE))</f>
        <v>7.2840000930000004</v>
      </c>
      <c r="AM271">
        <f ca="1">IF(AND(ISNUMBER($AM$716),$B$419=1),$AM$716,HLOOKUP(INDIRECT(ADDRESS(2,COLUMN())),OFFSET($BN$2,0,0,ROW()-1,60),ROW()-1,FALSE))</f>
        <v>7.7106368639999996</v>
      </c>
      <c r="AN271">
        <f ca="1">IF(AND(ISNUMBER($AN$716),$B$419=1),$AN$716,HLOOKUP(INDIRECT(ADDRESS(2,COLUMN())),OFFSET($BN$2,0,0,ROW()-1,60),ROW()-1,FALSE))</f>
        <v>6.9485293319999997</v>
      </c>
      <c r="AO271">
        <f ca="1">IF(AND(ISNUMBER($AO$716),$B$419=1),$AO$716,HLOOKUP(INDIRECT(ADDRESS(2,COLUMN())),OFFSET($BN$2,0,0,ROW()-1,60),ROW()-1,FALSE))</f>
        <v>7.3637144049999996</v>
      </c>
      <c r="AP271">
        <f ca="1">IF(AND(ISNUMBER($AP$716),$B$419=1),$AP$716,HLOOKUP(INDIRECT(ADDRESS(2,COLUMN())),OFFSET($BN$2,0,0,ROW()-1,60),ROW()-1,FALSE))</f>
        <v>6.7873221680000002</v>
      </c>
      <c r="AQ271">
        <f ca="1">IF(AND(ISNUMBER($AQ$716),$B$419=1),$AQ$716,HLOOKUP(INDIRECT(ADDRESS(2,COLUMN())),OFFSET($BN$2,0,0,ROW()-1,60),ROW()-1,FALSE))</f>
        <v>7.1695589230000003</v>
      </c>
      <c r="AR271">
        <f ca="1">IF(AND(ISNUMBER($AR$716),$B$419=1),$AR$716,HLOOKUP(INDIRECT(ADDRESS(2,COLUMN())),OFFSET($BN$2,0,0,ROW()-1,60),ROW()-1,FALSE))</f>
        <v>7.8476277510000001</v>
      </c>
      <c r="AS271">
        <f ca="1">IF(AND(ISNUMBER($AS$716),$B$419=1),$AS$716,HLOOKUP(INDIRECT(ADDRESS(2,COLUMN())),OFFSET($BN$2,0,0,ROW()-1,60),ROW()-1,FALSE))</f>
        <v>7.1351012840000001</v>
      </c>
      <c r="AT271">
        <f ca="1">IF(AND(ISNUMBER($AT$716),$B$419=1),$AT$716,HLOOKUP(INDIRECT(ADDRESS(2,COLUMN())),OFFSET($BN$2,0,0,ROW()-1,60),ROW()-1,FALSE))</f>
        <v>7.177042181</v>
      </c>
      <c r="AU271">
        <f ca="1">IF(AND(ISNUMBER($AU$716),$B$419=1),$AU$716,HLOOKUP(INDIRECT(ADDRESS(2,COLUMN())),OFFSET($BN$2,0,0,ROW()-1,60),ROW()-1,FALSE))</f>
        <v>7.1436435139999999</v>
      </c>
      <c r="AV271">
        <f ca="1">IF(AND(ISNUMBER($AV$716),$B$419=1),$AV$716,HLOOKUP(INDIRECT(ADDRESS(2,COLUMN())),OFFSET($BN$2,0,0,ROW()-1,60),ROW()-1,FALSE))</f>
        <v>7.4726419990000004</v>
      </c>
      <c r="AW271">
        <f ca="1">IF(AND(ISNUMBER($AW$716),$B$419=1),$AW$716,HLOOKUP(INDIRECT(ADDRESS(2,COLUMN())),OFFSET($BN$2,0,0,ROW()-1,60),ROW()-1,FALSE))</f>
        <v>7.3567020510000001</v>
      </c>
      <c r="AX271">
        <f ca="1">IF(AND(ISNUMBER($AX$716),$B$419=1),$AX$716,HLOOKUP(INDIRECT(ADDRESS(2,COLUMN())),OFFSET($BN$2,0,0,ROW()-1,60),ROW()-1,FALSE))</f>
        <v>7.8302164489999999</v>
      </c>
      <c r="AY271">
        <f ca="1">IF(AND(ISNUMBER($AY$716),$B$419=1),$AY$716,HLOOKUP(INDIRECT(ADDRESS(2,COLUMN())),OFFSET($BN$2,0,0,ROW()-1,60),ROW()-1,FALSE))</f>
        <v>7.2174737579999997</v>
      </c>
      <c r="AZ271">
        <f ca="1">IF(AND(ISNUMBER($AZ$716),$B$419=1),$AZ$716,HLOOKUP(INDIRECT(ADDRESS(2,COLUMN())),OFFSET($BN$2,0,0,ROW()-1,60),ROW()-1,FALSE))</f>
        <v>6.7981014689999997</v>
      </c>
      <c r="BA271">
        <f ca="1">IF(AND(ISNUMBER($BA$716),$B$419=1),$BA$716,HLOOKUP(INDIRECT(ADDRESS(2,COLUMN())),OFFSET($BN$2,0,0,ROW()-1,60),ROW()-1,FALSE))</f>
        <v>6.8261470129999999</v>
      </c>
      <c r="BB271">
        <f ca="1">IF(AND(ISNUMBER($BB$716),$B$419=1),$BB$716,HLOOKUP(INDIRECT(ADDRESS(2,COLUMN())),OFFSET($BN$2,0,0,ROW()-1,60),ROW()-1,FALSE))</f>
        <v>6.906718283</v>
      </c>
      <c r="BC271">
        <f ca="1">IF(AND(ISNUMBER($BC$716),$B$419=1),$BC$716,HLOOKUP(INDIRECT(ADDRESS(2,COLUMN())),OFFSET($BN$2,0,0,ROW()-1,60),ROW()-1,FALSE))</f>
        <v>6.9698007449999997</v>
      </c>
      <c r="BD271">
        <f ca="1">IF(AND(ISNUMBER($BD$716),$B$419=1),$BD$716,HLOOKUP(INDIRECT(ADDRESS(2,COLUMN())),OFFSET($BN$2,0,0,ROW()-1,60),ROW()-1,FALSE))</f>
        <v>7.2370726879999996</v>
      </c>
      <c r="BE271">
        <f ca="1">IF(AND(ISNUMBER($BE$716),$B$419=1),$BE$716,HLOOKUP(INDIRECT(ADDRESS(2,COLUMN())),OFFSET($BN$2,0,0,ROW()-1,60),ROW()-1,FALSE))</f>
        <v>7.5807077239999998</v>
      </c>
      <c r="BF271">
        <f ca="1">IF(AND(ISNUMBER($BF$716),$B$419=1),$BF$716,HLOOKUP(INDIRECT(ADDRESS(2,COLUMN())),OFFSET($BN$2,0,0,ROW()-1,60),ROW()-1,FALSE))</f>
        <v>8.1599396350000006</v>
      </c>
      <c r="BG271">
        <f ca="1">IF(AND(ISNUMBER($BG$716),$B$419=1),$BG$716,HLOOKUP(INDIRECT(ADDRESS(2,COLUMN())),OFFSET($BN$2,0,0,ROW()-1,60),ROW()-1,FALSE))</f>
        <v>8.7109102020000009</v>
      </c>
      <c r="BH271">
        <f ca="1">IF(AND(ISNUMBER($BH$716),$B$419=1),$BH$716,HLOOKUP(INDIRECT(ADDRESS(2,COLUMN())),OFFSET($BN$2,0,0,ROW()-1,60),ROW()-1,FALSE))</f>
        <v>6.9536528569999998</v>
      </c>
      <c r="BI271">
        <f ca="1">IF(AND(ISNUMBER($BI$716),$B$419=1),$BI$716,HLOOKUP(INDIRECT(ADDRESS(2,COLUMN())),OFFSET($BN$2,0,0,ROW()-1,60),ROW()-1,FALSE))</f>
        <v>7.0947645890000004</v>
      </c>
      <c r="BJ271">
        <f ca="1">IF(AND(ISNUMBER($BJ$716),$B$419=1),$BJ$716,HLOOKUP(INDIRECT(ADDRESS(2,COLUMN())),OFFSET($BN$2,0,0,ROW()-1,60),ROW()-1,FALSE))</f>
        <v>6.9077178889999997</v>
      </c>
      <c r="BK271">
        <f ca="1">IF(AND(ISNUMBER($BK$716),$B$419=1),$BK$716,HLOOKUP(INDIRECT(ADDRESS(2,COLUMN())),OFFSET($BN$2,0,0,ROW()-1,60),ROW()-1,FALSE))</f>
        <v>6.8593904820000002</v>
      </c>
      <c r="BL271">
        <f ca="1">IF(AND(ISNUMBER($BL$716),$B$419=1),$BL$716,HLOOKUP(INDIRECT(ADDRESS(2,COLUMN())),OFFSET($BN$2,0,0,ROW()-1,60),ROW()-1,FALSE))</f>
        <v>6.8408910719999998</v>
      </c>
      <c r="BM271">
        <f ca="1">IF(AND(ISNUMBER($BM$716),$B$419=1),$BM$716,HLOOKUP(INDIRECT(ADDRESS(2,COLUMN())),OFFSET($BN$2,0,0,ROW()-1,60),ROW()-1,FALSE))</f>
        <v>6.6835131030000001</v>
      </c>
      <c r="BN271" t="str">
        <f>""</f>
        <v/>
      </c>
      <c r="BO271">
        <f>5.921705002</f>
        <v>5.9217050020000004</v>
      </c>
      <c r="BP271">
        <f>5.679886618</f>
        <v>5.6798866180000003</v>
      </c>
      <c r="BQ271">
        <f>5.712264841</f>
        <v>5.7122648409999996</v>
      </c>
      <c r="BR271">
        <f>5.703851551</f>
        <v>5.7038515509999996</v>
      </c>
      <c r="BS271">
        <f>5.675075548</f>
        <v>5.6750755479999997</v>
      </c>
      <c r="BT271">
        <f>5.740026001</f>
        <v>5.7400260010000004</v>
      </c>
      <c r="BU271">
        <f>5.76258583</f>
        <v>5.7625858299999999</v>
      </c>
      <c r="BV271">
        <f>5.731133272</f>
        <v>5.7311332720000001</v>
      </c>
      <c r="BW271">
        <f>5.735973124</f>
        <v>5.735973124</v>
      </c>
      <c r="BX271">
        <f>5.881847128</f>
        <v>5.8818471280000004</v>
      </c>
      <c r="BY271">
        <f>5.81618064</f>
        <v>5.8161806399999998</v>
      </c>
      <c r="BZ271">
        <f>5.892824159</f>
        <v>5.8928241589999999</v>
      </c>
      <c r="CA271">
        <f>5.680273213</f>
        <v>5.6802732130000004</v>
      </c>
      <c r="CB271">
        <f>5.772976817</f>
        <v>5.772976817</v>
      </c>
      <c r="CC271">
        <f>6.001847603</f>
        <v>6.0018476029999999</v>
      </c>
      <c r="CD271">
        <f>6.461025182</f>
        <v>6.4610251820000002</v>
      </c>
      <c r="CE271">
        <f>6.594823901</f>
        <v>6.5948239009999998</v>
      </c>
      <c r="CF271">
        <f>6.343018234</f>
        <v>6.3430182339999996</v>
      </c>
      <c r="CG271">
        <f>6.33440863</f>
        <v>6.3344086300000004</v>
      </c>
      <c r="CH271">
        <f>6.294048004</f>
        <v>6.2940480040000004</v>
      </c>
      <c r="CI271">
        <f>6.562647239</f>
        <v>6.5626472390000004</v>
      </c>
      <c r="CJ271">
        <f>6.685149811</f>
        <v>6.6851498109999996</v>
      </c>
      <c r="CK271">
        <f>6.914389088</f>
        <v>6.9143890880000001</v>
      </c>
      <c r="CL271">
        <f>7.259150045</f>
        <v>7.2591500450000002</v>
      </c>
      <c r="CM271">
        <f>6.046254745</f>
        <v>6.0462547449999997</v>
      </c>
      <c r="CN271">
        <f>5.948205019</f>
        <v>5.9482050190000004</v>
      </c>
      <c r="CO271">
        <f>5.746608892</f>
        <v>5.7466088920000002</v>
      </c>
      <c r="CP271">
        <f>5.965165809</f>
        <v>5.9651658090000002</v>
      </c>
      <c r="CQ271">
        <f>6.200834715</f>
        <v>6.2008347150000001</v>
      </c>
      <c r="CR271">
        <f>6.480123395</f>
        <v>6.4801233949999997</v>
      </c>
      <c r="CS271">
        <f>6.486201973</f>
        <v>6.486201973</v>
      </c>
      <c r="CT271">
        <f>7.284000093</f>
        <v>7.2840000930000004</v>
      </c>
      <c r="CU271">
        <f>7.710636864</f>
        <v>7.7106368639999996</v>
      </c>
      <c r="CV271">
        <f>6.948529332</f>
        <v>6.9485293319999997</v>
      </c>
      <c r="CW271">
        <f>7.363714405</f>
        <v>7.3637144049999996</v>
      </c>
      <c r="CX271">
        <f>6.787322168</f>
        <v>6.7873221680000002</v>
      </c>
      <c r="CY271">
        <f>7.169558923</f>
        <v>7.1695589230000003</v>
      </c>
      <c r="CZ271">
        <f>7.847627751</f>
        <v>7.8476277510000001</v>
      </c>
      <c r="DA271">
        <f>7.135101284</f>
        <v>7.1351012840000001</v>
      </c>
      <c r="DB271">
        <f>7.177042181</f>
        <v>7.177042181</v>
      </c>
      <c r="DC271">
        <f>7.143643514</f>
        <v>7.1436435139999999</v>
      </c>
      <c r="DD271">
        <f>7.472641999</f>
        <v>7.4726419990000004</v>
      </c>
      <c r="DE271">
        <f>7.356702051</f>
        <v>7.3567020510000001</v>
      </c>
      <c r="DF271">
        <f>7.830216449</f>
        <v>7.8302164489999999</v>
      </c>
      <c r="DG271">
        <f>7.217473758</f>
        <v>7.2174737579999997</v>
      </c>
      <c r="DH271">
        <f>6.798101469</f>
        <v>6.7981014689999997</v>
      </c>
      <c r="DI271">
        <f>6.826147013</f>
        <v>6.8261470129999999</v>
      </c>
      <c r="DJ271">
        <f>6.906718283</f>
        <v>6.906718283</v>
      </c>
      <c r="DK271">
        <f>6.969800745</f>
        <v>6.9698007449999997</v>
      </c>
      <c r="DL271">
        <f>7.237072688</f>
        <v>7.2370726879999996</v>
      </c>
      <c r="DM271">
        <f>7.580707724</f>
        <v>7.5807077239999998</v>
      </c>
      <c r="DN271">
        <f>8.159939635</f>
        <v>8.1599396350000006</v>
      </c>
      <c r="DO271">
        <f>8.710910202</f>
        <v>8.7109102020000009</v>
      </c>
      <c r="DP271">
        <f>6.953652857</f>
        <v>6.9536528569999998</v>
      </c>
      <c r="DQ271">
        <f>7.094764589</f>
        <v>7.0947645890000004</v>
      </c>
      <c r="DR271">
        <f>6.907717889</f>
        <v>6.9077178889999997</v>
      </c>
      <c r="DS271">
        <f>6.859390482</f>
        <v>6.8593904820000002</v>
      </c>
      <c r="DT271">
        <f>6.840891072</f>
        <v>6.8408910719999998</v>
      </c>
      <c r="DU271">
        <f>6.683513103</f>
        <v>6.6835131030000001</v>
      </c>
    </row>
    <row r="272" spans="1:125">
      <c r="A272" t="str">
        <f>"    Tanger Factory Outlet Centers"</f>
        <v xml:space="preserve">    Tanger Factory Outlet Centers</v>
      </c>
      <c r="B272" t="str">
        <f>"SKT US Equity"</f>
        <v>SKT US Equity</v>
      </c>
      <c r="C272" t="str">
        <f t="shared" si="48"/>
        <v>RR052</v>
      </c>
      <c r="D272" t="str">
        <f t="shared" si="49"/>
        <v>TOT_DEBT_TO_EBITDA</v>
      </c>
      <c r="E272" t="str">
        <f t="shared" si="50"/>
        <v>动态</v>
      </c>
      <c r="F272" t="str">
        <f ca="1">IF(AND(ISNUMBER($F$717),$B$419=1),$F$717,HLOOKUP(INDIRECT(ADDRESS(2,COLUMN())),OFFSET($BN$2,0,0,ROW()-1,60),ROW()-1,FALSE))</f>
        <v/>
      </c>
      <c r="G272">
        <f ca="1">IF(AND(ISNUMBER($G$717),$B$419=1),$G$717,HLOOKUP(INDIRECT(ADDRESS(2,COLUMN())),OFFSET($BN$2,0,0,ROW()-1,60),ROW()-1,FALSE))</f>
        <v>6.1138743770000001</v>
      </c>
      <c r="H272">
        <f ca="1">IF(AND(ISNUMBER($H$717),$B$419=1),$H$717,HLOOKUP(INDIRECT(ADDRESS(2,COLUMN())),OFFSET($BN$2,0,0,ROW()-1,60),ROW()-1,FALSE))</f>
        <v>6.2499110419999999</v>
      </c>
      <c r="I272">
        <f ca="1">IF(AND(ISNUMBER($I$717),$B$419=1),$I$717,HLOOKUP(INDIRECT(ADDRESS(2,COLUMN())),OFFSET($BN$2,0,0,ROW()-1,60),ROW()-1,FALSE))</f>
        <v>6.1626378480000001</v>
      </c>
      <c r="J272">
        <f ca="1">IF(AND(ISNUMBER($J$717),$B$419=1),$J$717,HLOOKUP(INDIRECT(ADDRESS(2,COLUMN())),OFFSET($BN$2,0,0,ROW()-1,60),ROW()-1,FALSE))</f>
        <v>6.1976623760000003</v>
      </c>
      <c r="K272">
        <f ca="1">IF(AND(ISNUMBER($K$717),$B$419=1),$K$717,HLOOKUP(INDIRECT(ADDRESS(2,COLUMN())),OFFSET($BN$2,0,0,ROW()-1,60),ROW()-1,FALSE))</f>
        <v>6.3302729580000001</v>
      </c>
      <c r="L272">
        <f ca="1">IF(AND(ISNUMBER($L$717),$B$419=1),$L$717,HLOOKUP(INDIRECT(ADDRESS(2,COLUMN())),OFFSET($BN$2,0,0,ROW()-1,60),ROW()-1,FALSE))</f>
        <v>6.6262962349999999</v>
      </c>
      <c r="M272">
        <f ca="1">IF(AND(ISNUMBER($M$717),$B$419=1),$M$717,HLOOKUP(INDIRECT(ADDRESS(2,COLUMN())),OFFSET($BN$2,0,0,ROW()-1,60),ROW()-1,FALSE))</f>
        <v>6.2524750930000002</v>
      </c>
      <c r="N272">
        <f ca="1">IF(AND(ISNUMBER($N$717),$B$419=1),$N$717,HLOOKUP(INDIRECT(ADDRESS(2,COLUMN())),OFFSET($BN$2,0,0,ROW()-1,60),ROW()-1,FALSE))</f>
        <v>5.8355861019999997</v>
      </c>
      <c r="O272">
        <f ca="1">IF(AND(ISNUMBER($O$717),$B$419=1),$O$717,HLOOKUP(INDIRECT(ADDRESS(2,COLUMN())),OFFSET($BN$2,0,0,ROW()-1,60),ROW()-1,FALSE))</f>
        <v>6.2477566150000001</v>
      </c>
      <c r="P272">
        <f ca="1">IF(AND(ISNUMBER($P$717),$B$419=1),$P$717,HLOOKUP(INDIRECT(ADDRESS(2,COLUMN())),OFFSET($BN$2,0,0,ROW()-1,60),ROW()-1,FALSE))</f>
        <v>6.3031027719999999</v>
      </c>
      <c r="Q272">
        <f ca="1">IF(AND(ISNUMBER($Q$717),$B$419=1),$Q$717,HLOOKUP(INDIRECT(ADDRESS(2,COLUMN())),OFFSET($BN$2,0,0,ROW()-1,60),ROW()-1,FALSE))</f>
        <v>6.307825587</v>
      </c>
      <c r="R272">
        <f ca="1">IF(AND(ISNUMBER($R$717),$B$419=1),$R$717,HLOOKUP(INDIRECT(ADDRESS(2,COLUMN())),OFFSET($BN$2,0,0,ROW()-1,60),ROW()-1,FALSE))</f>
        <v>6.1743969449999998</v>
      </c>
      <c r="S272">
        <f ca="1">IF(AND(ISNUMBER($S$717),$B$419=1),$S$717,HLOOKUP(INDIRECT(ADDRESS(2,COLUMN())),OFFSET($BN$2,0,0,ROW()-1,60),ROW()-1,FALSE))</f>
        <v>6.1597565449999996</v>
      </c>
      <c r="T272">
        <f ca="1">IF(AND(ISNUMBER($T$717),$B$419=1),$T$717,HLOOKUP(INDIRECT(ADDRESS(2,COLUMN())),OFFSET($BN$2,0,0,ROW()-1,60),ROW()-1,FALSE))</f>
        <v>6.2305491599999998</v>
      </c>
      <c r="U272">
        <f ca="1">IF(AND(ISNUMBER($U$717),$B$419=1),$U$717,HLOOKUP(INDIRECT(ADDRESS(2,COLUMN())),OFFSET($BN$2,0,0,ROW()-1,60),ROW()-1,FALSE))</f>
        <v>6.0803699809999996</v>
      </c>
      <c r="V272">
        <f ca="1">IF(AND(ISNUMBER($V$717),$B$419=1),$V$717,HLOOKUP(INDIRECT(ADDRESS(2,COLUMN())),OFFSET($BN$2,0,0,ROW()-1,60),ROW()-1,FALSE))</f>
        <v>6.0360533649999999</v>
      </c>
      <c r="W272">
        <f ca="1">IF(AND(ISNUMBER($W$717),$B$419=1),$W$717,HLOOKUP(INDIRECT(ADDRESS(2,COLUMN())),OFFSET($BN$2,0,0,ROW()-1,60),ROW()-1,FALSE))</f>
        <v>5.9840806210000004</v>
      </c>
      <c r="X272">
        <f ca="1">IF(AND(ISNUMBER($X$717),$B$419=1),$X$717,HLOOKUP(INDIRECT(ADDRESS(2,COLUMN())),OFFSET($BN$2,0,0,ROW()-1,60),ROW()-1,FALSE))</f>
        <v>6.1566500780000002</v>
      </c>
      <c r="Y272">
        <f ca="1">IF(AND(ISNUMBER($Y$717),$B$419=1),$Y$717,HLOOKUP(INDIRECT(ADDRESS(2,COLUMN())),OFFSET($BN$2,0,0,ROW()-1,60),ROW()-1,FALSE))</f>
        <v>5.3255175340000003</v>
      </c>
      <c r="Z272">
        <f ca="1">IF(AND(ISNUMBER($Z$717),$B$419=1),$Z$717,HLOOKUP(INDIRECT(ADDRESS(2,COLUMN())),OFFSET($BN$2,0,0,ROW()-1,60),ROW()-1,FALSE))</f>
        <v>5.193997231</v>
      </c>
      <c r="AA272">
        <f ca="1">IF(AND(ISNUMBER($AA$717),$B$419=1),$AA$717,HLOOKUP(INDIRECT(ADDRESS(2,COLUMN())),OFFSET($BN$2,0,0,ROW()-1,60),ROW()-1,FALSE))</f>
        <v>5.284638062</v>
      </c>
      <c r="AB272">
        <f ca="1">IF(AND(ISNUMBER($AB$717),$B$419=1),$AB$717,HLOOKUP(INDIRECT(ADDRESS(2,COLUMN())),OFFSET($BN$2,0,0,ROW()-1,60),ROW()-1,FALSE))</f>
        <v>5.1583931229999997</v>
      </c>
      <c r="AC272">
        <f ca="1">IF(AND(ISNUMBER($AC$717),$B$419=1),$AC$717,HLOOKUP(INDIRECT(ADDRESS(2,COLUMN())),OFFSET($BN$2,0,0,ROW()-1,60),ROW()-1,FALSE))</f>
        <v>5.3260900859999998</v>
      </c>
      <c r="AD272">
        <f ca="1">IF(AND(ISNUMBER($AD$717),$B$419=1),$AD$717,HLOOKUP(INDIRECT(ADDRESS(2,COLUMN())),OFFSET($BN$2,0,0,ROW()-1,60),ROW()-1,FALSE))</f>
        <v>5.522092518</v>
      </c>
      <c r="AE272">
        <f ca="1">IF(AND(ISNUMBER($AE$717),$B$419=1),$AE$717,HLOOKUP(INDIRECT(ADDRESS(2,COLUMN())),OFFSET($BN$2,0,0,ROW()-1,60),ROW()-1,FALSE))</f>
        <v>5.7114168100000002</v>
      </c>
      <c r="AF272">
        <f ca="1">IF(AND(ISNUMBER($AF$717),$B$419=1),$AF$717,HLOOKUP(INDIRECT(ADDRESS(2,COLUMN())),OFFSET($BN$2,0,0,ROW()-1,60),ROW()-1,FALSE))</f>
        <v>5.8597380110000001</v>
      </c>
      <c r="AG272">
        <f ca="1">IF(AND(ISNUMBER($AG$717),$B$419=1),$AG$717,HLOOKUP(INDIRECT(ADDRESS(2,COLUMN())),OFFSET($BN$2,0,0,ROW()-1,60),ROW()-1,FALSE))</f>
        <v>5.6319253170000003</v>
      </c>
      <c r="AH272">
        <f ca="1">IF(AND(ISNUMBER($AH$717),$B$419=1),$AH$717,HLOOKUP(INDIRECT(ADDRESS(2,COLUMN())),OFFSET($BN$2,0,0,ROW()-1,60),ROW()-1,FALSE))</f>
        <v>4.7188533489999998</v>
      </c>
      <c r="AI272">
        <f ca="1">IF(AND(ISNUMBER($AI$717),$B$419=1),$AI$717,HLOOKUP(INDIRECT(ADDRESS(2,COLUMN())),OFFSET($BN$2,0,0,ROW()-1,60),ROW()-1,FALSE))</f>
        <v>4.7316252209999998</v>
      </c>
      <c r="AJ272">
        <f ca="1">IF(AND(ISNUMBER($AJ$717),$B$419=1),$AJ$717,HLOOKUP(INDIRECT(ADDRESS(2,COLUMN())),OFFSET($BN$2,0,0,ROW()-1,60),ROW()-1,FALSE))</f>
        <v>4.0806877129999997</v>
      </c>
      <c r="AK272">
        <f ca="1">IF(AND(ISNUMBER($AK$717),$B$419=1),$AK$717,HLOOKUP(INDIRECT(ADDRESS(2,COLUMN())),OFFSET($BN$2,0,0,ROW()-1,60),ROW()-1,FALSE))</f>
        <v>4.2533653429999996</v>
      </c>
      <c r="AL272">
        <f ca="1">IF(AND(ISNUMBER($AL$717),$B$419=1),$AL$717,HLOOKUP(INDIRECT(ADDRESS(2,COLUMN())),OFFSET($BN$2,0,0,ROW()-1,60),ROW()-1,FALSE))</f>
        <v>4.0367312210000001</v>
      </c>
      <c r="AM272">
        <f ca="1">IF(AND(ISNUMBER($AM$717),$B$419=1),$AM$717,HLOOKUP(INDIRECT(ADDRESS(2,COLUMN())),OFFSET($BN$2,0,0,ROW()-1,60),ROW()-1,FALSE))</f>
        <v>3.887584038</v>
      </c>
      <c r="AN272">
        <f ca="1">IF(AND(ISNUMBER($AN$717),$B$419=1),$AN$717,HLOOKUP(INDIRECT(ADDRESS(2,COLUMN())),OFFSET($BN$2,0,0,ROW()-1,60),ROW()-1,FALSE))</f>
        <v>3.988883918</v>
      </c>
      <c r="AO272">
        <f ca="1">IF(AND(ISNUMBER($AO$717),$B$419=1),$AO$717,HLOOKUP(INDIRECT(ADDRESS(2,COLUMN())),OFFSET($BN$2,0,0,ROW()-1,60),ROW()-1,FALSE))</f>
        <v>4.7946754650000001</v>
      </c>
      <c r="AP272">
        <f ca="1">IF(AND(ISNUMBER($AP$717),$B$419=1),$AP$717,HLOOKUP(INDIRECT(ADDRESS(2,COLUMN())),OFFSET($BN$2,0,0,ROW()-1,60),ROW()-1,FALSE))</f>
        <v>5.8781343100000001</v>
      </c>
      <c r="AQ272">
        <f ca="1">IF(AND(ISNUMBER($AQ$717),$B$419=1),$AQ$717,HLOOKUP(INDIRECT(ADDRESS(2,COLUMN())),OFFSET($BN$2,0,0,ROW()-1,60),ROW()-1,FALSE))</f>
        <v>5.654079726</v>
      </c>
      <c r="AR272">
        <f ca="1">IF(AND(ISNUMBER($AR$717),$B$419=1),$AR$717,HLOOKUP(INDIRECT(ADDRESS(2,COLUMN())),OFFSET($BN$2,0,0,ROW()-1,60),ROW()-1,FALSE))</f>
        <v>5.6324081399999999</v>
      </c>
      <c r="AS272">
        <f ca="1">IF(AND(ISNUMBER($AS$717),$B$419=1),$AS$717,HLOOKUP(INDIRECT(ADDRESS(2,COLUMN())),OFFSET($BN$2,0,0,ROW()-1,60),ROW()-1,FALSE))</f>
        <v>5.5413852029999999</v>
      </c>
      <c r="AT272">
        <f ca="1">IF(AND(ISNUMBER($AT$717),$B$419=1),$AT$717,HLOOKUP(INDIRECT(ADDRESS(2,COLUMN())),OFFSET($BN$2,0,0,ROW()-1,60),ROW()-1,FALSE))</f>
        <v>5.336420296</v>
      </c>
      <c r="AU272">
        <f ca="1">IF(AND(ISNUMBER($AU$717),$B$419=1),$AU$717,HLOOKUP(INDIRECT(ADDRESS(2,COLUMN())),OFFSET($BN$2,0,0,ROW()-1,60),ROW()-1,FALSE))</f>
        <v>5.3878644319999998</v>
      </c>
      <c r="AV272">
        <f ca="1">IF(AND(ISNUMBER($AV$717),$B$419=1),$AV$717,HLOOKUP(INDIRECT(ADDRESS(2,COLUMN())),OFFSET($BN$2,0,0,ROW()-1,60),ROW()-1,FALSE))</f>
        <v>5.461217575</v>
      </c>
      <c r="AW272">
        <f ca="1">IF(AND(ISNUMBER($AW$717),$B$419=1),$AW$717,HLOOKUP(INDIRECT(ADDRESS(2,COLUMN())),OFFSET($BN$2,0,0,ROW()-1,60),ROW()-1,FALSE))</f>
        <v>5.2175645660000001</v>
      </c>
      <c r="AX272">
        <f ca="1">IF(AND(ISNUMBER($AX$717),$B$419=1),$AX$717,HLOOKUP(INDIRECT(ADDRESS(2,COLUMN())),OFFSET($BN$2,0,0,ROW()-1,60),ROW()-1,FALSE))</f>
        <v>5.2570328210000001</v>
      </c>
      <c r="AY272">
        <f ca="1">IF(AND(ISNUMBER($AY$717),$B$419=1),$AY$717,HLOOKUP(INDIRECT(ADDRESS(2,COLUMN())),OFFSET($BN$2,0,0,ROW()-1,60),ROW()-1,FALSE))</f>
        <v>5.5574438779999999</v>
      </c>
      <c r="AZ272">
        <f ca="1">IF(AND(ISNUMBER($AZ$717),$B$419=1),$AZ$717,HLOOKUP(INDIRECT(ADDRESS(2,COLUMN())),OFFSET($BN$2,0,0,ROW()-1,60),ROW()-1,FALSE))</f>
        <v>5.4221680059999997</v>
      </c>
      <c r="BA272">
        <f ca="1">IF(AND(ISNUMBER($BA$717),$B$419=1),$BA$717,HLOOKUP(INDIRECT(ADDRESS(2,COLUMN())),OFFSET($BN$2,0,0,ROW()-1,60),ROW()-1,FALSE))</f>
        <v>5.2247679160000002</v>
      </c>
      <c r="BB272">
        <f ca="1">IF(AND(ISNUMBER($BB$717),$B$419=1),$BB$717,HLOOKUP(INDIRECT(ADDRESS(2,COLUMN())),OFFSET($BN$2,0,0,ROW()-1,60),ROW()-1,FALSE))</f>
        <v>5.2382631000000002</v>
      </c>
      <c r="BC272">
        <f ca="1">IF(AND(ISNUMBER($BC$717),$B$419=1),$BC$717,HLOOKUP(INDIRECT(ADDRESS(2,COLUMN())),OFFSET($BN$2,0,0,ROW()-1,60),ROW()-1,FALSE))</f>
        <v>5.5091660630000003</v>
      </c>
      <c r="BD272">
        <f ca="1">IF(AND(ISNUMBER($BD$717),$B$419=1),$BD$717,HLOOKUP(INDIRECT(ADDRESS(2,COLUMN())),OFFSET($BN$2,0,0,ROW()-1,60),ROW()-1,FALSE))</f>
        <v>3.5540879830000001</v>
      </c>
      <c r="BE272">
        <f ca="1">IF(AND(ISNUMBER($BE$717),$B$419=1),$BE$717,HLOOKUP(INDIRECT(ADDRESS(2,COLUMN())),OFFSET($BN$2,0,0,ROW()-1,60),ROW()-1,FALSE))</f>
        <v>4.0256756420000004</v>
      </c>
      <c r="BF272">
        <f ca="1">IF(AND(ISNUMBER($BF$717),$B$419=1),$BF$717,HLOOKUP(INDIRECT(ADDRESS(2,COLUMN())),OFFSET($BN$2,0,0,ROW()-1,60),ROW()-1,FALSE))</f>
        <v>4.0263501809999998</v>
      </c>
      <c r="BG272">
        <f ca="1">IF(AND(ISNUMBER($BG$717),$B$419=1),$BG$717,HLOOKUP(INDIRECT(ADDRESS(2,COLUMN())),OFFSET($BN$2,0,0,ROW()-1,60),ROW()-1,FALSE))</f>
        <v>4.0664475879999999</v>
      </c>
      <c r="BH272">
        <f ca="1">IF(AND(ISNUMBER($BH$717),$B$419=1),$BH$717,HLOOKUP(INDIRECT(ADDRESS(2,COLUMN())),OFFSET($BN$2,0,0,ROW()-1,60),ROW()-1,FALSE))</f>
        <v>4.5737943750000003</v>
      </c>
      <c r="BI272">
        <f ca="1">IF(AND(ISNUMBER($BI$717),$B$419=1),$BI$717,HLOOKUP(INDIRECT(ADDRESS(2,COLUMN())),OFFSET($BN$2,0,0,ROW()-1,60),ROW()-1,FALSE))</f>
        <v>5.2255674909999996</v>
      </c>
      <c r="BJ272">
        <f ca="1">IF(AND(ISNUMBER($BJ$717),$B$419=1),$BJ$717,HLOOKUP(INDIRECT(ADDRESS(2,COLUMN())),OFFSET($BN$2,0,0,ROW()-1,60),ROW()-1,FALSE))</f>
        <v>6.1689761660000002</v>
      </c>
      <c r="BK272">
        <f ca="1">IF(AND(ISNUMBER($BK$717),$B$419=1),$BK$717,HLOOKUP(INDIRECT(ADDRESS(2,COLUMN())),OFFSET($BN$2,0,0,ROW()-1,60),ROW()-1,FALSE))</f>
        <v>7.4860273810000004</v>
      </c>
      <c r="BL272">
        <f ca="1">IF(AND(ISNUMBER($BL$717),$B$419=1),$BL$717,HLOOKUP(INDIRECT(ADDRESS(2,COLUMN())),OFFSET($BN$2,0,0,ROW()-1,60),ROW()-1,FALSE))</f>
        <v>4.6539134290000002</v>
      </c>
      <c r="BM272">
        <f ca="1">IF(AND(ISNUMBER($BM$717),$B$419=1),$BM$717,HLOOKUP(INDIRECT(ADDRESS(2,COLUMN())),OFFSET($BN$2,0,0,ROW()-1,60),ROW()-1,FALSE))</f>
        <v>4.767998983</v>
      </c>
      <c r="BN272" t="str">
        <f>""</f>
        <v/>
      </c>
      <c r="BO272">
        <f>6.113874377</f>
        <v>6.1138743770000001</v>
      </c>
      <c r="BP272">
        <f>6.249911042</f>
        <v>6.2499110419999999</v>
      </c>
      <c r="BQ272">
        <f>6.162637848</f>
        <v>6.1626378480000001</v>
      </c>
      <c r="BR272">
        <f>6.197662376</f>
        <v>6.1976623760000003</v>
      </c>
      <c r="BS272">
        <f>6.330272958</f>
        <v>6.3302729580000001</v>
      </c>
      <c r="BT272">
        <f>6.626296235</f>
        <v>6.6262962349999999</v>
      </c>
      <c r="BU272">
        <f>6.252475093</f>
        <v>6.2524750930000002</v>
      </c>
      <c r="BV272">
        <f>5.835586102</f>
        <v>5.8355861019999997</v>
      </c>
      <c r="BW272">
        <f>6.247756615</f>
        <v>6.2477566150000001</v>
      </c>
      <c r="BX272">
        <f>6.303102772</f>
        <v>6.3031027719999999</v>
      </c>
      <c r="BY272">
        <f>6.307825587</f>
        <v>6.307825587</v>
      </c>
      <c r="BZ272">
        <f>6.174396945</f>
        <v>6.1743969449999998</v>
      </c>
      <c r="CA272">
        <f>6.159756545</f>
        <v>6.1597565449999996</v>
      </c>
      <c r="CB272">
        <f>6.23054916</f>
        <v>6.2305491599999998</v>
      </c>
      <c r="CC272">
        <f>6.080369981</f>
        <v>6.0803699809999996</v>
      </c>
      <c r="CD272">
        <f>6.036053365</f>
        <v>6.0360533649999999</v>
      </c>
      <c r="CE272">
        <f>5.984080621</f>
        <v>5.9840806210000004</v>
      </c>
      <c r="CF272">
        <f>6.156650078</f>
        <v>6.1566500780000002</v>
      </c>
      <c r="CG272">
        <f>5.325517534</f>
        <v>5.3255175340000003</v>
      </c>
      <c r="CH272">
        <f>5.193997231</f>
        <v>5.193997231</v>
      </c>
      <c r="CI272">
        <f>5.284638062</f>
        <v>5.284638062</v>
      </c>
      <c r="CJ272">
        <f>5.158393123</f>
        <v>5.1583931229999997</v>
      </c>
      <c r="CK272">
        <f>5.326090086</f>
        <v>5.3260900859999998</v>
      </c>
      <c r="CL272">
        <f>5.522092518</f>
        <v>5.522092518</v>
      </c>
      <c r="CM272">
        <f>5.71141681</f>
        <v>5.7114168100000002</v>
      </c>
      <c r="CN272">
        <f>5.859738011</f>
        <v>5.8597380110000001</v>
      </c>
      <c r="CO272">
        <f>5.631925317</f>
        <v>5.6319253170000003</v>
      </c>
      <c r="CP272">
        <f>4.718853349</f>
        <v>4.7188533489999998</v>
      </c>
      <c r="CQ272">
        <f>4.731625221</f>
        <v>4.7316252209999998</v>
      </c>
      <c r="CR272">
        <f>4.080687713</f>
        <v>4.0806877129999997</v>
      </c>
      <c r="CS272">
        <f>4.253365343</f>
        <v>4.2533653429999996</v>
      </c>
      <c r="CT272">
        <f>4.036731221</f>
        <v>4.0367312210000001</v>
      </c>
      <c r="CU272">
        <f>3.887584038</f>
        <v>3.887584038</v>
      </c>
      <c r="CV272">
        <f>3.988883918</f>
        <v>3.988883918</v>
      </c>
      <c r="CW272">
        <f>4.794675465</f>
        <v>4.7946754650000001</v>
      </c>
      <c r="CX272">
        <f>5.87813431</f>
        <v>5.8781343100000001</v>
      </c>
      <c r="CY272">
        <f>5.654079726</f>
        <v>5.654079726</v>
      </c>
      <c r="CZ272">
        <f>5.63240814</f>
        <v>5.6324081399999999</v>
      </c>
      <c r="DA272">
        <f>5.541385203</f>
        <v>5.5413852029999999</v>
      </c>
      <c r="DB272">
        <f>5.336420296</f>
        <v>5.336420296</v>
      </c>
      <c r="DC272">
        <f>5.387864432</f>
        <v>5.3878644319999998</v>
      </c>
      <c r="DD272">
        <f>5.461217575</f>
        <v>5.461217575</v>
      </c>
      <c r="DE272">
        <f>5.217564566</f>
        <v>5.2175645660000001</v>
      </c>
      <c r="DF272">
        <f>5.257032821</f>
        <v>5.2570328210000001</v>
      </c>
      <c r="DG272">
        <f>5.557443878</f>
        <v>5.5574438779999999</v>
      </c>
      <c r="DH272">
        <f>5.422168006</f>
        <v>5.4221680059999997</v>
      </c>
      <c r="DI272">
        <f>5.224767916</f>
        <v>5.2247679160000002</v>
      </c>
      <c r="DJ272">
        <f>5.2382631</f>
        <v>5.2382631000000002</v>
      </c>
      <c r="DK272">
        <f>5.509166063</f>
        <v>5.5091660630000003</v>
      </c>
      <c r="DL272">
        <f>3.554087983</f>
        <v>3.5540879830000001</v>
      </c>
      <c r="DM272">
        <f>4.025675642</f>
        <v>4.0256756420000004</v>
      </c>
      <c r="DN272">
        <f>4.026350181</f>
        <v>4.0263501809999998</v>
      </c>
      <c r="DO272">
        <f>4.066447588</f>
        <v>4.0664475879999999</v>
      </c>
      <c r="DP272">
        <f>4.573794375</f>
        <v>4.5737943750000003</v>
      </c>
      <c r="DQ272">
        <f>5.225567491</f>
        <v>5.2255674909999996</v>
      </c>
      <c r="DR272">
        <f>6.168976166</f>
        <v>6.1689761660000002</v>
      </c>
      <c r="DS272">
        <f>7.486027381</f>
        <v>7.4860273810000004</v>
      </c>
      <c r="DT272">
        <f>4.653913429</f>
        <v>4.6539134290000002</v>
      </c>
      <c r="DU272">
        <f>4.767998983</f>
        <v>4.767998983</v>
      </c>
    </row>
    <row r="273" spans="1:125">
      <c r="A273" t="str">
        <f>"    VEREIT Inc"</f>
        <v xml:space="preserve">    VEREIT Inc</v>
      </c>
      <c r="B273" t="str">
        <f>"VER US Equity"</f>
        <v>VER US Equity</v>
      </c>
      <c r="C273" t="str">
        <f t="shared" si="48"/>
        <v>RR052</v>
      </c>
      <c r="D273" t="str">
        <f t="shared" si="49"/>
        <v>TOT_DEBT_TO_EBITDA</v>
      </c>
      <c r="E273" t="str">
        <f t="shared" si="50"/>
        <v>动态</v>
      </c>
      <c r="F273" t="str">
        <f ca="1">IF(AND(ISNUMBER($F$718),$B$419=1),$F$718,HLOOKUP(INDIRECT(ADDRESS(2,COLUMN())),OFFSET($BN$2,0,0,ROW()-1,60),ROW()-1,FALSE))</f>
        <v/>
      </c>
      <c r="G273">
        <f ca="1">IF(AND(ISNUMBER($G$718),$B$419=1),$G$718,HLOOKUP(INDIRECT(ADDRESS(2,COLUMN())),OFFSET($BN$2,0,0,ROW()-1,60),ROW()-1,FALSE))</f>
        <v>6.0546805450000001</v>
      </c>
      <c r="H273">
        <f ca="1">IF(AND(ISNUMBER($H$718),$B$419=1),$H$718,HLOOKUP(INDIRECT(ADDRESS(2,COLUMN())),OFFSET($BN$2,0,0,ROW()-1,60),ROW()-1,FALSE))</f>
        <v>6.4828011969999997</v>
      </c>
      <c r="I273">
        <f ca="1">IF(AND(ISNUMBER($I$718),$B$419=1),$I$718,HLOOKUP(INDIRECT(ADDRESS(2,COLUMN())),OFFSET($BN$2,0,0,ROW()-1,60),ROW()-1,FALSE))</f>
        <v>6.444705065</v>
      </c>
      <c r="J273">
        <f ca="1">IF(AND(ISNUMBER($J$718),$B$419=1),$J$718,HLOOKUP(INDIRECT(ADDRESS(2,COLUMN())),OFFSET($BN$2,0,0,ROW()-1,60),ROW()-1,FALSE))</f>
        <v>6.3927166130000002</v>
      </c>
      <c r="K273">
        <f ca="1">IF(AND(ISNUMBER($K$718),$B$419=1),$K$718,HLOOKUP(INDIRECT(ADDRESS(2,COLUMN())),OFFSET($BN$2,0,0,ROW()-1,60),ROW()-1,FALSE))</f>
        <v>7.4036131760000004</v>
      </c>
      <c r="L273">
        <f ca="1">IF(AND(ISNUMBER($L$718),$B$419=1),$L$718,HLOOKUP(INDIRECT(ADDRESS(2,COLUMN())),OFFSET($BN$2,0,0,ROW()-1,60),ROW()-1,FALSE))</f>
        <v>8.1974395920000003</v>
      </c>
      <c r="M273">
        <f ca="1">IF(AND(ISNUMBER($M$718),$B$419=1),$M$718,HLOOKUP(INDIRECT(ADDRESS(2,COLUMN())),OFFSET($BN$2,0,0,ROW()-1,60),ROW()-1,FALSE))</f>
        <v>10.239126000000001</v>
      </c>
      <c r="N273">
        <f ca="1">IF(AND(ISNUMBER($N$718),$B$419=1),$N$718,HLOOKUP(INDIRECT(ADDRESS(2,COLUMN())),OFFSET($BN$2,0,0,ROW()-1,60),ROW()-1,FALSE))</f>
        <v>10.200951509999999</v>
      </c>
      <c r="O273">
        <f ca="1">IF(AND(ISNUMBER($O$718),$B$419=1),$O$718,HLOOKUP(INDIRECT(ADDRESS(2,COLUMN())),OFFSET($BN$2,0,0,ROW()-1,60),ROW()-1,FALSE))</f>
        <v>8.6305026159999993</v>
      </c>
      <c r="P273">
        <f ca="1">IF(AND(ISNUMBER($P$718),$B$419=1),$P$718,HLOOKUP(INDIRECT(ADDRESS(2,COLUMN())),OFFSET($BN$2,0,0,ROW()-1,60),ROW()-1,FALSE))</f>
        <v>11.206410139999999</v>
      </c>
      <c r="Q273">
        <f ca="1">IF(AND(ISNUMBER($Q$718),$B$419=1),$Q$718,HLOOKUP(INDIRECT(ADDRESS(2,COLUMN())),OFFSET($BN$2,0,0,ROW()-1,60),ROW()-1,FALSE))</f>
        <v>11.40089079</v>
      </c>
      <c r="R273">
        <f ca="1">IF(AND(ISNUMBER($R$718),$B$419=1),$R$718,HLOOKUP(INDIRECT(ADDRESS(2,COLUMN())),OFFSET($BN$2,0,0,ROW()-1,60),ROW()-1,FALSE))</f>
        <v>11.214702519999999</v>
      </c>
      <c r="S273">
        <f ca="1">IF(AND(ISNUMBER($S$718),$B$419=1),$S$718,HLOOKUP(INDIRECT(ADDRESS(2,COLUMN())),OFFSET($BN$2,0,0,ROW()-1,60),ROW()-1,FALSE))</f>
        <v>15.660482050000001</v>
      </c>
      <c r="T273">
        <f ca="1">IF(AND(ISNUMBER($T$718),$B$419=1),$T$718,HLOOKUP(INDIRECT(ADDRESS(2,COLUMN())),OFFSET($BN$2,0,0,ROW()-1,60),ROW()-1,FALSE))</f>
        <v>16.379427369999998</v>
      </c>
      <c r="U273">
        <f ca="1">IF(AND(ISNUMBER($U$718),$B$419=1),$U$718,HLOOKUP(INDIRECT(ADDRESS(2,COLUMN())),OFFSET($BN$2,0,0,ROW()-1,60),ROW()-1,FALSE))</f>
        <v>23.995686500000001</v>
      </c>
      <c r="V273">
        <f ca="1">IF(AND(ISNUMBER($V$718),$B$419=1),$V$718,HLOOKUP(INDIRECT(ADDRESS(2,COLUMN())),OFFSET($BN$2,0,0,ROW()-1,60),ROW()-1,FALSE))</f>
        <v>111.1375366</v>
      </c>
      <c r="W273" t="str">
        <f ca="1">IF(AND(ISNUMBER($W$718),$B$419=1),$W$718,HLOOKUP(INDIRECT(ADDRESS(2,COLUMN())),OFFSET($BN$2,0,0,ROW()-1,60),ROW()-1,FALSE))</f>
        <v/>
      </c>
      <c r="X273" t="str">
        <f ca="1">IF(AND(ISNUMBER($X$718),$B$419=1),$X$718,HLOOKUP(INDIRECT(ADDRESS(2,COLUMN())),OFFSET($BN$2,0,0,ROW()-1,60),ROW()-1,FALSE))</f>
        <v/>
      </c>
      <c r="Y273" t="str">
        <f ca="1">IF(AND(ISNUMBER($Y$718),$B$419=1),$Y$718,HLOOKUP(INDIRECT(ADDRESS(2,COLUMN())),OFFSET($BN$2,0,0,ROW()-1,60),ROW()-1,FALSE))</f>
        <v/>
      </c>
      <c r="Z273" t="str">
        <f ca="1">IF(AND(ISNUMBER($Z$718),$B$419=1),$Z$718,HLOOKUP(INDIRECT(ADDRESS(2,COLUMN())),OFFSET($BN$2,0,0,ROW()-1,60),ROW()-1,FALSE))</f>
        <v/>
      </c>
      <c r="AA273">
        <f ca="1">IF(AND(ISNUMBER($AA$718),$B$419=1),$AA$718,HLOOKUP(INDIRECT(ADDRESS(2,COLUMN())),OFFSET($BN$2,0,0,ROW()-1,60),ROW()-1,FALSE))</f>
        <v>26.48827567</v>
      </c>
      <c r="AB273">
        <f ca="1">IF(AND(ISNUMBER($AB$718),$B$419=1),$AB$718,HLOOKUP(INDIRECT(ADDRESS(2,COLUMN())),OFFSET($BN$2,0,0,ROW()-1,60),ROW()-1,FALSE))</f>
        <v>23.178733529999999</v>
      </c>
      <c r="AC273">
        <f ca="1">IF(AND(ISNUMBER($AC$718),$B$419=1),$AC$718,HLOOKUP(INDIRECT(ADDRESS(2,COLUMN())),OFFSET($BN$2,0,0,ROW()-1,60),ROW()-1,FALSE))</f>
        <v>41.420197590000001</v>
      </c>
      <c r="AD273" t="str">
        <f ca="1">IF(AND(ISNUMBER($AD$718),$B$419=1),$AD$718,HLOOKUP(INDIRECT(ADDRESS(2,COLUMN())),OFFSET($BN$2,0,0,ROW()-1,60),ROW()-1,FALSE))</f>
        <v/>
      </c>
      <c r="AE273" t="str">
        <f ca="1">IF(AND(ISNUMBER($AE$718),$B$419=1),$AE$718,HLOOKUP(INDIRECT(ADDRESS(2,COLUMN())),OFFSET($BN$2,0,0,ROW()-1,60),ROW()-1,FALSE))</f>
        <v/>
      </c>
      <c r="AF273" t="str">
        <f ca="1">IF(AND(ISNUMBER($AF$718),$B$419=1),$AF$718,HLOOKUP(INDIRECT(ADDRESS(2,COLUMN())),OFFSET($BN$2,0,0,ROW()-1,60),ROW()-1,FALSE))</f>
        <v/>
      </c>
      <c r="AG273" t="str">
        <f ca="1">IF(AND(ISNUMBER($AG$718),$B$419=1),$AG$718,HLOOKUP(INDIRECT(ADDRESS(2,COLUMN())),OFFSET($BN$2,0,0,ROW()-1,60),ROW()-1,FALSE))</f>
        <v/>
      </c>
      <c r="AH273" t="str">
        <f ca="1">IF(AND(ISNUMBER($AH$718),$B$419=1),$AH$718,HLOOKUP(INDIRECT(ADDRESS(2,COLUMN())),OFFSET($BN$2,0,0,ROW()-1,60),ROW()-1,FALSE))</f>
        <v/>
      </c>
      <c r="AI273" t="str">
        <f ca="1">IF(AND(ISNUMBER($AI$718),$B$419=1),$AI$718,HLOOKUP(INDIRECT(ADDRESS(2,COLUMN())),OFFSET($BN$2,0,0,ROW()-1,60),ROW()-1,FALSE))</f>
        <v/>
      </c>
      <c r="AJ273" t="str">
        <f ca="1">IF(AND(ISNUMBER($AJ$718),$B$419=1),$AJ$718,HLOOKUP(INDIRECT(ADDRESS(2,COLUMN())),OFFSET($BN$2,0,0,ROW()-1,60),ROW()-1,FALSE))</f>
        <v/>
      </c>
      <c r="AK273" t="str">
        <f ca="1">IF(AND(ISNUMBER($AK$718),$B$419=1),$AK$718,HLOOKUP(INDIRECT(ADDRESS(2,COLUMN())),OFFSET($BN$2,0,0,ROW()-1,60),ROW()-1,FALSE))</f>
        <v/>
      </c>
      <c r="AL273" t="str">
        <f ca="1">IF(AND(ISNUMBER($AL$718),$B$419=1),$AL$718,HLOOKUP(INDIRECT(ADDRESS(2,COLUMN())),OFFSET($BN$2,0,0,ROW()-1,60),ROW()-1,FALSE))</f>
        <v/>
      </c>
      <c r="AM273" t="str">
        <f ca="1">IF(AND(ISNUMBER($AM$718),$B$419=1),$AM$718,HLOOKUP(INDIRECT(ADDRESS(2,COLUMN())),OFFSET($BN$2,0,0,ROW()-1,60),ROW()-1,FALSE))</f>
        <v/>
      </c>
      <c r="AN273" t="str">
        <f ca="1">IF(AND(ISNUMBER($AN$718),$B$419=1),$AN$718,HLOOKUP(INDIRECT(ADDRESS(2,COLUMN())),OFFSET($BN$2,0,0,ROW()-1,60),ROW()-1,FALSE))</f>
        <v/>
      </c>
      <c r="AO273" t="str">
        <f ca="1">IF(AND(ISNUMBER($AO$718),$B$419=1),$AO$718,HLOOKUP(INDIRECT(ADDRESS(2,COLUMN())),OFFSET($BN$2,0,0,ROW()-1,60),ROW()-1,FALSE))</f>
        <v/>
      </c>
      <c r="AP273" t="str">
        <f ca="1">IF(AND(ISNUMBER($AP$718),$B$419=1),$AP$718,HLOOKUP(INDIRECT(ADDRESS(2,COLUMN())),OFFSET($BN$2,0,0,ROW()-1,60),ROW()-1,FALSE))</f>
        <v/>
      </c>
      <c r="AQ273" t="str">
        <f ca="1">IF(AND(ISNUMBER($AQ$718),$B$419=1),$AQ$718,HLOOKUP(INDIRECT(ADDRESS(2,COLUMN())),OFFSET($BN$2,0,0,ROW()-1,60),ROW()-1,FALSE))</f>
        <v/>
      </c>
      <c r="AR273" t="str">
        <f ca="1">IF(AND(ISNUMBER($AR$718),$B$419=1),$AR$718,HLOOKUP(INDIRECT(ADDRESS(2,COLUMN())),OFFSET($BN$2,0,0,ROW()-1,60),ROW()-1,FALSE))</f>
        <v/>
      </c>
      <c r="AS273" t="str">
        <f ca="1">IF(AND(ISNUMBER($AS$718),$B$419=1),$AS$718,HLOOKUP(INDIRECT(ADDRESS(2,COLUMN())),OFFSET($BN$2,0,0,ROW()-1,60),ROW()-1,FALSE))</f>
        <v/>
      </c>
      <c r="AT273" t="str">
        <f ca="1">IF(AND(ISNUMBER($AT$718),$B$419=1),$AT$718,HLOOKUP(INDIRECT(ADDRESS(2,COLUMN())),OFFSET($BN$2,0,0,ROW()-1,60),ROW()-1,FALSE))</f>
        <v/>
      </c>
      <c r="AU273" t="str">
        <f ca="1">IF(AND(ISNUMBER($AU$718),$B$419=1),$AU$718,HLOOKUP(INDIRECT(ADDRESS(2,COLUMN())),OFFSET($BN$2,0,0,ROW()-1,60),ROW()-1,FALSE))</f>
        <v/>
      </c>
      <c r="AV273" t="str">
        <f ca="1">IF(AND(ISNUMBER($AV$718),$B$419=1),$AV$718,HLOOKUP(INDIRECT(ADDRESS(2,COLUMN())),OFFSET($BN$2,0,0,ROW()-1,60),ROW()-1,FALSE))</f>
        <v/>
      </c>
      <c r="AW273" t="str">
        <f ca="1">IF(AND(ISNUMBER($AW$718),$B$419=1),$AW$718,HLOOKUP(INDIRECT(ADDRESS(2,COLUMN())),OFFSET($BN$2,0,0,ROW()-1,60),ROW()-1,FALSE))</f>
        <v/>
      </c>
      <c r="AX273" t="str">
        <f ca="1">IF(AND(ISNUMBER($AX$718),$B$419=1),$AX$718,HLOOKUP(INDIRECT(ADDRESS(2,COLUMN())),OFFSET($BN$2,0,0,ROW()-1,60),ROW()-1,FALSE))</f>
        <v/>
      </c>
      <c r="AY273" t="str">
        <f ca="1">IF(AND(ISNUMBER($AY$718),$B$419=1),$AY$718,HLOOKUP(INDIRECT(ADDRESS(2,COLUMN())),OFFSET($BN$2,0,0,ROW()-1,60),ROW()-1,FALSE))</f>
        <v/>
      </c>
      <c r="AZ273" t="str">
        <f ca="1">IF(AND(ISNUMBER($AZ$718),$B$419=1),$AZ$718,HLOOKUP(INDIRECT(ADDRESS(2,COLUMN())),OFFSET($BN$2,0,0,ROW()-1,60),ROW()-1,FALSE))</f>
        <v/>
      </c>
      <c r="BA273" t="str">
        <f ca="1">IF(AND(ISNUMBER($BA$718),$B$419=1),$BA$718,HLOOKUP(INDIRECT(ADDRESS(2,COLUMN())),OFFSET($BN$2,0,0,ROW()-1,60),ROW()-1,FALSE))</f>
        <v/>
      </c>
      <c r="BB273" t="str">
        <f ca="1">IF(AND(ISNUMBER($BB$718),$B$419=1),$BB$718,HLOOKUP(INDIRECT(ADDRESS(2,COLUMN())),OFFSET($BN$2,0,0,ROW()-1,60),ROW()-1,FALSE))</f>
        <v/>
      </c>
      <c r="BC273" t="str">
        <f ca="1">IF(AND(ISNUMBER($BC$718),$B$419=1),$BC$718,HLOOKUP(INDIRECT(ADDRESS(2,COLUMN())),OFFSET($BN$2,0,0,ROW()-1,60),ROW()-1,FALSE))</f>
        <v/>
      </c>
      <c r="BD273" t="str">
        <f ca="1">IF(AND(ISNUMBER($BD$718),$B$419=1),$BD$718,HLOOKUP(INDIRECT(ADDRESS(2,COLUMN())),OFFSET($BN$2,0,0,ROW()-1,60),ROW()-1,FALSE))</f>
        <v/>
      </c>
      <c r="BE273" t="str">
        <f ca="1">IF(AND(ISNUMBER($BE$718),$B$419=1),$BE$718,HLOOKUP(INDIRECT(ADDRESS(2,COLUMN())),OFFSET($BN$2,0,0,ROW()-1,60),ROW()-1,FALSE))</f>
        <v/>
      </c>
      <c r="BF273" t="str">
        <f ca="1">IF(AND(ISNUMBER($BF$718),$B$419=1),$BF$718,HLOOKUP(INDIRECT(ADDRESS(2,COLUMN())),OFFSET($BN$2,0,0,ROW()-1,60),ROW()-1,FALSE))</f>
        <v/>
      </c>
      <c r="BG273" t="str">
        <f ca="1">IF(AND(ISNUMBER($BG$718),$B$419=1),$BG$718,HLOOKUP(INDIRECT(ADDRESS(2,COLUMN())),OFFSET($BN$2,0,0,ROW()-1,60),ROW()-1,FALSE))</f>
        <v/>
      </c>
      <c r="BH273" t="str">
        <f ca="1">IF(AND(ISNUMBER($BH$718),$B$419=1),$BH$718,HLOOKUP(INDIRECT(ADDRESS(2,COLUMN())),OFFSET($BN$2,0,0,ROW()-1,60),ROW()-1,FALSE))</f>
        <v/>
      </c>
      <c r="BI273" t="str">
        <f ca="1">IF(AND(ISNUMBER($BI$718),$B$419=1),$BI$718,HLOOKUP(INDIRECT(ADDRESS(2,COLUMN())),OFFSET($BN$2,0,0,ROW()-1,60),ROW()-1,FALSE))</f>
        <v/>
      </c>
      <c r="BJ273" t="str">
        <f ca="1">IF(AND(ISNUMBER($BJ$718),$B$419=1),$BJ$718,HLOOKUP(INDIRECT(ADDRESS(2,COLUMN())),OFFSET($BN$2,0,0,ROW()-1,60),ROW()-1,FALSE))</f>
        <v/>
      </c>
      <c r="BK273" t="str">
        <f ca="1">IF(AND(ISNUMBER($BK$718),$B$419=1),$BK$718,HLOOKUP(INDIRECT(ADDRESS(2,COLUMN())),OFFSET($BN$2,0,0,ROW()-1,60),ROW()-1,FALSE))</f>
        <v/>
      </c>
      <c r="BL273" t="str">
        <f ca="1">IF(AND(ISNUMBER($BL$718),$B$419=1),$BL$718,HLOOKUP(INDIRECT(ADDRESS(2,COLUMN())),OFFSET($BN$2,0,0,ROW()-1,60),ROW()-1,FALSE))</f>
        <v/>
      </c>
      <c r="BM273" t="str">
        <f ca="1">IF(AND(ISNUMBER($BM$718),$B$419=1),$BM$718,HLOOKUP(INDIRECT(ADDRESS(2,COLUMN())),OFFSET($BN$2,0,0,ROW()-1,60),ROW()-1,FALSE))</f>
        <v/>
      </c>
      <c r="BN273" t="str">
        <f>""</f>
        <v/>
      </c>
      <c r="BO273">
        <f>6.054680545</f>
        <v>6.0546805450000001</v>
      </c>
      <c r="BP273">
        <f>6.482801197</f>
        <v>6.4828011969999997</v>
      </c>
      <c r="BQ273">
        <f>6.444705065</f>
        <v>6.444705065</v>
      </c>
      <c r="BR273">
        <f>6.392716613</f>
        <v>6.3927166130000002</v>
      </c>
      <c r="BS273">
        <f>7.403613176</f>
        <v>7.4036131760000004</v>
      </c>
      <c r="BT273">
        <f>8.197439592</f>
        <v>8.1974395920000003</v>
      </c>
      <c r="BU273">
        <f>10.239126</f>
        <v>10.239126000000001</v>
      </c>
      <c r="BV273">
        <f>10.20095151</f>
        <v>10.200951509999999</v>
      </c>
      <c r="BW273">
        <f>8.630502616</f>
        <v>8.6305026159999993</v>
      </c>
      <c r="BX273">
        <f>11.20641014</f>
        <v>11.206410139999999</v>
      </c>
      <c r="BY273">
        <f>11.40089079</f>
        <v>11.40089079</v>
      </c>
      <c r="BZ273">
        <f>11.21470252</f>
        <v>11.214702519999999</v>
      </c>
      <c r="CA273">
        <f>15.66048205</f>
        <v>15.660482050000001</v>
      </c>
      <c r="CB273">
        <f>16.37942737</f>
        <v>16.379427369999998</v>
      </c>
      <c r="CC273">
        <f>23.9956865</f>
        <v>23.995686500000001</v>
      </c>
      <c r="CD273">
        <f>111.1375366</f>
        <v>111.1375366</v>
      </c>
      <c r="CE273" t="str">
        <f>""</f>
        <v/>
      </c>
      <c r="CF273" t="str">
        <f>""</f>
        <v/>
      </c>
      <c r="CG273" t="str">
        <f>""</f>
        <v/>
      </c>
      <c r="CH273" t="str">
        <f>""</f>
        <v/>
      </c>
      <c r="CI273">
        <f>26.48827567</f>
        <v>26.48827567</v>
      </c>
      <c r="CJ273">
        <f>23.17873353</f>
        <v>23.178733529999999</v>
      </c>
      <c r="CK273">
        <f>41.42019759</f>
        <v>41.420197590000001</v>
      </c>
      <c r="CL273" t="str">
        <f>""</f>
        <v/>
      </c>
      <c r="CM273" t="str">
        <f>""</f>
        <v/>
      </c>
      <c r="CN273" t="str">
        <f>""</f>
        <v/>
      </c>
      <c r="CO273" t="str">
        <f>""</f>
        <v/>
      </c>
      <c r="CP273" t="str">
        <f>""</f>
        <v/>
      </c>
      <c r="CQ273" t="str">
        <f>""</f>
        <v/>
      </c>
      <c r="CR273" t="str">
        <f>""</f>
        <v/>
      </c>
      <c r="CS273" t="str">
        <f>""</f>
        <v/>
      </c>
      <c r="CT273" t="str">
        <f>""</f>
        <v/>
      </c>
      <c r="CU273" t="str">
        <f>""</f>
        <v/>
      </c>
      <c r="CV273" t="str">
        <f>""</f>
        <v/>
      </c>
      <c r="CW273" t="str">
        <f>""</f>
        <v/>
      </c>
      <c r="CX273" t="str">
        <f>""</f>
        <v/>
      </c>
      <c r="CY273" t="str">
        <f>""</f>
        <v/>
      </c>
      <c r="CZ273" t="str">
        <f>""</f>
        <v/>
      </c>
      <c r="DA273" t="str">
        <f>""</f>
        <v/>
      </c>
      <c r="DB273" t="str">
        <f>""</f>
        <v/>
      </c>
      <c r="DC273" t="str">
        <f>""</f>
        <v/>
      </c>
      <c r="DD273" t="str">
        <f>""</f>
        <v/>
      </c>
      <c r="DE273" t="str">
        <f>""</f>
        <v/>
      </c>
      <c r="DF273" t="str">
        <f>""</f>
        <v/>
      </c>
      <c r="DG273" t="str">
        <f>""</f>
        <v/>
      </c>
      <c r="DH273" t="str">
        <f>""</f>
        <v/>
      </c>
      <c r="DI273" t="str">
        <f>""</f>
        <v/>
      </c>
      <c r="DJ273" t="str">
        <f>""</f>
        <v/>
      </c>
      <c r="DK273" t="str">
        <f>""</f>
        <v/>
      </c>
      <c r="DL273" t="str">
        <f>""</f>
        <v/>
      </c>
      <c r="DM273" t="str">
        <f>""</f>
        <v/>
      </c>
      <c r="DN273" t="str">
        <f>""</f>
        <v/>
      </c>
      <c r="DO273" t="str">
        <f>""</f>
        <v/>
      </c>
      <c r="DP273" t="str">
        <f>""</f>
        <v/>
      </c>
      <c r="DQ273" t="str">
        <f>""</f>
        <v/>
      </c>
      <c r="DR273" t="str">
        <f>""</f>
        <v/>
      </c>
      <c r="DS273" t="str">
        <f>""</f>
        <v/>
      </c>
      <c r="DT273" t="str">
        <f>""</f>
        <v/>
      </c>
      <c r="DU273" t="str">
        <f>""</f>
        <v/>
      </c>
    </row>
    <row r="274" spans="1:125">
      <c r="A274" t="str">
        <f>"    Washington Prime Group Inc"</f>
        <v xml:space="preserve">    Washington Prime Group Inc</v>
      </c>
      <c r="B274" t="str">
        <f>"WPG US Equity"</f>
        <v>WPG US Equity</v>
      </c>
      <c r="C274" t="str">
        <f t="shared" si="48"/>
        <v>RR052</v>
      </c>
      <c r="D274" t="str">
        <f t="shared" si="49"/>
        <v>TOT_DEBT_TO_EBITDA</v>
      </c>
      <c r="E274" t="str">
        <f t="shared" si="50"/>
        <v>动态</v>
      </c>
      <c r="F274" t="str">
        <f ca="1">IF(AND(ISNUMBER($F$719),$B$419=1),$F$719,HLOOKUP(INDIRECT(ADDRESS(2,COLUMN())),OFFSET($BN$2,0,0,ROW()-1,60),ROW()-1,FALSE))</f>
        <v/>
      </c>
      <c r="G274">
        <f ca="1">IF(AND(ISNUMBER($G$719),$B$419=1),$G$719,HLOOKUP(INDIRECT(ADDRESS(2,COLUMN())),OFFSET($BN$2,0,0,ROW()-1,60),ROW()-1,FALSE))</f>
        <v>7.1419990440000003</v>
      </c>
      <c r="H274">
        <f ca="1">IF(AND(ISNUMBER($H$719),$B$419=1),$H$719,HLOOKUP(INDIRECT(ADDRESS(2,COLUMN())),OFFSET($BN$2,0,0,ROW()-1,60),ROW()-1,FALSE))</f>
        <v>6.5515819090000003</v>
      </c>
      <c r="I274">
        <f ca="1">IF(AND(ISNUMBER($I$719),$B$419=1),$I$719,HLOOKUP(INDIRECT(ADDRESS(2,COLUMN())),OFFSET($BN$2,0,0,ROW()-1,60),ROW()-1,FALSE))</f>
        <v>6.3406378840000004</v>
      </c>
      <c r="J274">
        <f ca="1">IF(AND(ISNUMBER($J$719),$B$419=1),$J$719,HLOOKUP(INDIRECT(ADDRESS(2,COLUMN())),OFFSET($BN$2,0,0,ROW()-1,60),ROW()-1,FALSE))</f>
        <v>7.5523857000000003</v>
      </c>
      <c r="K274">
        <f ca="1">IF(AND(ISNUMBER($K$719),$B$419=1),$K$719,HLOOKUP(INDIRECT(ADDRESS(2,COLUMN())),OFFSET($BN$2,0,0,ROW()-1,60),ROW()-1,FALSE))</f>
        <v>7.4505264279999999</v>
      </c>
      <c r="L274">
        <f ca="1">IF(AND(ISNUMBER($L$719),$B$419=1),$L$719,HLOOKUP(INDIRECT(ADDRESS(2,COLUMN())),OFFSET($BN$2,0,0,ROW()-1,60),ROW()-1,FALSE))</f>
        <v>10.638169550000001</v>
      </c>
      <c r="M274">
        <f ca="1">IF(AND(ISNUMBER($M$719),$B$419=1),$M$719,HLOOKUP(INDIRECT(ADDRESS(2,COLUMN())),OFFSET($BN$2,0,0,ROW()-1,60),ROW()-1,FALSE))</f>
        <v>10.27660727</v>
      </c>
      <c r="N274">
        <f ca="1">IF(AND(ISNUMBER($N$719),$B$419=1),$N$719,HLOOKUP(INDIRECT(ADDRESS(2,COLUMN())),OFFSET($BN$2,0,0,ROW()-1,60),ROW()-1,FALSE))</f>
        <v>9.7831130159999997</v>
      </c>
      <c r="O274">
        <f ca="1">IF(AND(ISNUMBER($O$719),$B$419=1),$O$719,HLOOKUP(INDIRECT(ADDRESS(2,COLUMN())),OFFSET($BN$2,0,0,ROW()-1,60),ROW()-1,FALSE))</f>
        <v>10.03385594</v>
      </c>
      <c r="P274">
        <f ca="1">IF(AND(ISNUMBER($P$719),$B$419=1),$P$719,HLOOKUP(INDIRECT(ADDRESS(2,COLUMN())),OFFSET($BN$2,0,0,ROW()-1,60),ROW()-1,FALSE))</f>
        <v>7.6574541070000004</v>
      </c>
      <c r="Q274">
        <f ca="1">IF(AND(ISNUMBER($Q$719),$B$419=1),$Q$719,HLOOKUP(INDIRECT(ADDRESS(2,COLUMN())),OFFSET($BN$2,0,0,ROW()-1,60),ROW()-1,FALSE))</f>
        <v>7.8416042670000001</v>
      </c>
      <c r="R274">
        <f ca="1">IF(AND(ISNUMBER($R$719),$B$419=1),$R$719,HLOOKUP(INDIRECT(ADDRESS(2,COLUMN())),OFFSET($BN$2,0,0,ROW()-1,60),ROW()-1,FALSE))</f>
        <v>12.36904144</v>
      </c>
      <c r="S274">
        <f ca="1">IF(AND(ISNUMBER($S$719),$B$419=1),$S$719,HLOOKUP(INDIRECT(ADDRESS(2,COLUMN())),OFFSET($BN$2,0,0,ROW()-1,60),ROW()-1,FALSE))</f>
        <v>6.2454007630000001</v>
      </c>
      <c r="T274" t="str">
        <f ca="1">IF(AND(ISNUMBER($T$719),$B$419=1),$T$719,HLOOKUP(INDIRECT(ADDRESS(2,COLUMN())),OFFSET($BN$2,0,0,ROW()-1,60),ROW()-1,FALSE))</f>
        <v/>
      </c>
      <c r="U274" t="str">
        <f ca="1">IF(AND(ISNUMBER($U$719),$B$419=1),$U$719,HLOOKUP(INDIRECT(ADDRESS(2,COLUMN())),OFFSET($BN$2,0,0,ROW()-1,60),ROW()-1,FALSE))</f>
        <v/>
      </c>
      <c r="V274" t="str">
        <f ca="1">IF(AND(ISNUMBER($V$719),$B$419=1),$V$719,HLOOKUP(INDIRECT(ADDRESS(2,COLUMN())),OFFSET($BN$2,0,0,ROW()-1,60),ROW()-1,FALSE))</f>
        <v/>
      </c>
      <c r="W274" t="str">
        <f ca="1">IF(AND(ISNUMBER($W$719),$B$419=1),$W$719,HLOOKUP(INDIRECT(ADDRESS(2,COLUMN())),OFFSET($BN$2,0,0,ROW()-1,60),ROW()-1,FALSE))</f>
        <v/>
      </c>
      <c r="X274" t="str">
        <f ca="1">IF(AND(ISNUMBER($X$719),$B$419=1),$X$719,HLOOKUP(INDIRECT(ADDRESS(2,COLUMN())),OFFSET($BN$2,0,0,ROW()-1,60),ROW()-1,FALSE))</f>
        <v/>
      </c>
      <c r="Y274" t="str">
        <f ca="1">IF(AND(ISNUMBER($Y$719),$B$419=1),$Y$719,HLOOKUP(INDIRECT(ADDRESS(2,COLUMN())),OFFSET($BN$2,0,0,ROW()-1,60),ROW()-1,FALSE))</f>
        <v/>
      </c>
      <c r="Z274" t="str">
        <f ca="1">IF(AND(ISNUMBER($Z$719),$B$419=1),$Z$719,HLOOKUP(INDIRECT(ADDRESS(2,COLUMN())),OFFSET($BN$2,0,0,ROW()-1,60),ROW()-1,FALSE))</f>
        <v/>
      </c>
      <c r="AA274" t="str">
        <f ca="1">IF(AND(ISNUMBER($AA$719),$B$419=1),$AA$719,HLOOKUP(INDIRECT(ADDRESS(2,COLUMN())),OFFSET($BN$2,0,0,ROW()-1,60),ROW()-1,FALSE))</f>
        <v/>
      </c>
      <c r="AB274" t="str">
        <f ca="1">IF(AND(ISNUMBER($AB$719),$B$419=1),$AB$719,HLOOKUP(INDIRECT(ADDRESS(2,COLUMN())),OFFSET($BN$2,0,0,ROW()-1,60),ROW()-1,FALSE))</f>
        <v/>
      </c>
      <c r="AC274" t="str">
        <f ca="1">IF(AND(ISNUMBER($AC$719),$B$419=1),$AC$719,HLOOKUP(INDIRECT(ADDRESS(2,COLUMN())),OFFSET($BN$2,0,0,ROW()-1,60),ROW()-1,FALSE))</f>
        <v/>
      </c>
      <c r="AD274" t="str">
        <f ca="1">IF(AND(ISNUMBER($AD$719),$B$419=1),$AD$719,HLOOKUP(INDIRECT(ADDRESS(2,COLUMN())),OFFSET($BN$2,0,0,ROW()-1,60),ROW()-1,FALSE))</f>
        <v/>
      </c>
      <c r="AE274" t="str">
        <f ca="1">IF(AND(ISNUMBER($AE$719),$B$419=1),$AE$719,HLOOKUP(INDIRECT(ADDRESS(2,COLUMN())),OFFSET($BN$2,0,0,ROW()-1,60),ROW()-1,FALSE))</f>
        <v/>
      </c>
      <c r="AF274" t="str">
        <f ca="1">IF(AND(ISNUMBER($AF$719),$B$419=1),$AF$719,HLOOKUP(INDIRECT(ADDRESS(2,COLUMN())),OFFSET($BN$2,0,0,ROW()-1,60),ROW()-1,FALSE))</f>
        <v/>
      </c>
      <c r="AG274" t="str">
        <f ca="1">IF(AND(ISNUMBER($AG$719),$B$419=1),$AG$719,HLOOKUP(INDIRECT(ADDRESS(2,COLUMN())),OFFSET($BN$2,0,0,ROW()-1,60),ROW()-1,FALSE))</f>
        <v/>
      </c>
      <c r="AH274" t="str">
        <f ca="1">IF(AND(ISNUMBER($AH$719),$B$419=1),$AH$719,HLOOKUP(INDIRECT(ADDRESS(2,COLUMN())),OFFSET($BN$2,0,0,ROW()-1,60),ROW()-1,FALSE))</f>
        <v/>
      </c>
      <c r="AI274" t="str">
        <f ca="1">IF(AND(ISNUMBER($AI$719),$B$419=1),$AI$719,HLOOKUP(INDIRECT(ADDRESS(2,COLUMN())),OFFSET($BN$2,0,0,ROW()-1,60),ROW()-1,FALSE))</f>
        <v/>
      </c>
      <c r="AJ274" t="str">
        <f ca="1">IF(AND(ISNUMBER($AJ$719),$B$419=1),$AJ$719,HLOOKUP(INDIRECT(ADDRESS(2,COLUMN())),OFFSET($BN$2,0,0,ROW()-1,60),ROW()-1,FALSE))</f>
        <v/>
      </c>
      <c r="AK274" t="str">
        <f ca="1">IF(AND(ISNUMBER($AK$719),$B$419=1),$AK$719,HLOOKUP(INDIRECT(ADDRESS(2,COLUMN())),OFFSET($BN$2,0,0,ROW()-1,60),ROW()-1,FALSE))</f>
        <v/>
      </c>
      <c r="AL274" t="str">
        <f ca="1">IF(AND(ISNUMBER($AL$719),$B$419=1),$AL$719,HLOOKUP(INDIRECT(ADDRESS(2,COLUMN())),OFFSET($BN$2,0,0,ROW()-1,60),ROW()-1,FALSE))</f>
        <v/>
      </c>
      <c r="AM274" t="str">
        <f ca="1">IF(AND(ISNUMBER($AM$719),$B$419=1),$AM$719,HLOOKUP(INDIRECT(ADDRESS(2,COLUMN())),OFFSET($BN$2,0,0,ROW()-1,60),ROW()-1,FALSE))</f>
        <v/>
      </c>
      <c r="AN274" t="str">
        <f ca="1">IF(AND(ISNUMBER($AN$719),$B$419=1),$AN$719,HLOOKUP(INDIRECT(ADDRESS(2,COLUMN())),OFFSET($BN$2,0,0,ROW()-1,60),ROW()-1,FALSE))</f>
        <v/>
      </c>
      <c r="AO274" t="str">
        <f ca="1">IF(AND(ISNUMBER($AO$719),$B$419=1),$AO$719,HLOOKUP(INDIRECT(ADDRESS(2,COLUMN())),OFFSET($BN$2,0,0,ROW()-1,60),ROW()-1,FALSE))</f>
        <v/>
      </c>
      <c r="AP274" t="str">
        <f ca="1">IF(AND(ISNUMBER($AP$719),$B$419=1),$AP$719,HLOOKUP(INDIRECT(ADDRESS(2,COLUMN())),OFFSET($BN$2,0,0,ROW()-1,60),ROW()-1,FALSE))</f>
        <v/>
      </c>
      <c r="AQ274" t="str">
        <f ca="1">IF(AND(ISNUMBER($AQ$719),$B$419=1),$AQ$719,HLOOKUP(INDIRECT(ADDRESS(2,COLUMN())),OFFSET($BN$2,0,0,ROW()-1,60),ROW()-1,FALSE))</f>
        <v/>
      </c>
      <c r="AR274" t="str">
        <f ca="1">IF(AND(ISNUMBER($AR$719),$B$419=1),$AR$719,HLOOKUP(INDIRECT(ADDRESS(2,COLUMN())),OFFSET($BN$2,0,0,ROW()-1,60),ROW()-1,FALSE))</f>
        <v/>
      </c>
      <c r="AS274" t="str">
        <f ca="1">IF(AND(ISNUMBER($AS$719),$B$419=1),$AS$719,HLOOKUP(INDIRECT(ADDRESS(2,COLUMN())),OFFSET($BN$2,0,0,ROW()-1,60),ROW()-1,FALSE))</f>
        <v/>
      </c>
      <c r="AT274" t="str">
        <f ca="1">IF(AND(ISNUMBER($AT$719),$B$419=1),$AT$719,HLOOKUP(INDIRECT(ADDRESS(2,COLUMN())),OFFSET($BN$2,0,0,ROW()-1,60),ROW()-1,FALSE))</f>
        <v/>
      </c>
      <c r="AU274" t="str">
        <f ca="1">IF(AND(ISNUMBER($AU$719),$B$419=1),$AU$719,HLOOKUP(INDIRECT(ADDRESS(2,COLUMN())),OFFSET($BN$2,0,0,ROW()-1,60),ROW()-1,FALSE))</f>
        <v/>
      </c>
      <c r="AV274" t="str">
        <f ca="1">IF(AND(ISNUMBER($AV$719),$B$419=1),$AV$719,HLOOKUP(INDIRECT(ADDRESS(2,COLUMN())),OFFSET($BN$2,0,0,ROW()-1,60),ROW()-1,FALSE))</f>
        <v/>
      </c>
      <c r="AW274" t="str">
        <f ca="1">IF(AND(ISNUMBER($AW$719),$B$419=1),$AW$719,HLOOKUP(INDIRECT(ADDRESS(2,COLUMN())),OFFSET($BN$2,0,0,ROW()-1,60),ROW()-1,FALSE))</f>
        <v/>
      </c>
      <c r="AX274" t="str">
        <f ca="1">IF(AND(ISNUMBER($AX$719),$B$419=1),$AX$719,HLOOKUP(INDIRECT(ADDRESS(2,COLUMN())),OFFSET($BN$2,0,0,ROW()-1,60),ROW()-1,FALSE))</f>
        <v/>
      </c>
      <c r="AY274" t="str">
        <f ca="1">IF(AND(ISNUMBER($AY$719),$B$419=1),$AY$719,HLOOKUP(INDIRECT(ADDRESS(2,COLUMN())),OFFSET($BN$2,0,0,ROW()-1,60),ROW()-1,FALSE))</f>
        <v/>
      </c>
      <c r="AZ274" t="str">
        <f ca="1">IF(AND(ISNUMBER($AZ$719),$B$419=1),$AZ$719,HLOOKUP(INDIRECT(ADDRESS(2,COLUMN())),OFFSET($BN$2,0,0,ROW()-1,60),ROW()-1,FALSE))</f>
        <v/>
      </c>
      <c r="BA274" t="str">
        <f ca="1">IF(AND(ISNUMBER($BA$719),$B$419=1),$BA$719,HLOOKUP(INDIRECT(ADDRESS(2,COLUMN())),OFFSET($BN$2,0,0,ROW()-1,60),ROW()-1,FALSE))</f>
        <v/>
      </c>
      <c r="BB274" t="str">
        <f ca="1">IF(AND(ISNUMBER($BB$719),$B$419=1),$BB$719,HLOOKUP(INDIRECT(ADDRESS(2,COLUMN())),OFFSET($BN$2,0,0,ROW()-1,60),ROW()-1,FALSE))</f>
        <v/>
      </c>
      <c r="BC274" t="str">
        <f ca="1">IF(AND(ISNUMBER($BC$719),$B$419=1),$BC$719,HLOOKUP(INDIRECT(ADDRESS(2,COLUMN())),OFFSET($BN$2,0,0,ROW()-1,60),ROW()-1,FALSE))</f>
        <v/>
      </c>
      <c r="BD274" t="str">
        <f ca="1">IF(AND(ISNUMBER($BD$719),$B$419=1),$BD$719,HLOOKUP(INDIRECT(ADDRESS(2,COLUMN())),OFFSET($BN$2,0,0,ROW()-1,60),ROW()-1,FALSE))</f>
        <v/>
      </c>
      <c r="BE274" t="str">
        <f ca="1">IF(AND(ISNUMBER($BE$719),$B$419=1),$BE$719,HLOOKUP(INDIRECT(ADDRESS(2,COLUMN())),OFFSET($BN$2,0,0,ROW()-1,60),ROW()-1,FALSE))</f>
        <v/>
      </c>
      <c r="BF274" t="str">
        <f ca="1">IF(AND(ISNUMBER($BF$719),$B$419=1),$BF$719,HLOOKUP(INDIRECT(ADDRESS(2,COLUMN())),OFFSET($BN$2,0,0,ROW()-1,60),ROW()-1,FALSE))</f>
        <v/>
      </c>
      <c r="BG274" t="str">
        <f ca="1">IF(AND(ISNUMBER($BG$719),$B$419=1),$BG$719,HLOOKUP(INDIRECT(ADDRESS(2,COLUMN())),OFFSET($BN$2,0,0,ROW()-1,60),ROW()-1,FALSE))</f>
        <v/>
      </c>
      <c r="BH274" t="str">
        <f ca="1">IF(AND(ISNUMBER($BH$719),$B$419=1),$BH$719,HLOOKUP(INDIRECT(ADDRESS(2,COLUMN())),OFFSET($BN$2,0,0,ROW()-1,60),ROW()-1,FALSE))</f>
        <v/>
      </c>
      <c r="BI274" t="str">
        <f ca="1">IF(AND(ISNUMBER($BI$719),$B$419=1),$BI$719,HLOOKUP(INDIRECT(ADDRESS(2,COLUMN())),OFFSET($BN$2,0,0,ROW()-1,60),ROW()-1,FALSE))</f>
        <v/>
      </c>
      <c r="BJ274" t="str">
        <f ca="1">IF(AND(ISNUMBER($BJ$719),$B$419=1),$BJ$719,HLOOKUP(INDIRECT(ADDRESS(2,COLUMN())),OFFSET($BN$2,0,0,ROW()-1,60),ROW()-1,FALSE))</f>
        <v/>
      </c>
      <c r="BK274" t="str">
        <f ca="1">IF(AND(ISNUMBER($BK$719),$B$419=1),$BK$719,HLOOKUP(INDIRECT(ADDRESS(2,COLUMN())),OFFSET($BN$2,0,0,ROW()-1,60),ROW()-1,FALSE))</f>
        <v/>
      </c>
      <c r="BL274" t="str">
        <f ca="1">IF(AND(ISNUMBER($BL$719),$B$419=1),$BL$719,HLOOKUP(INDIRECT(ADDRESS(2,COLUMN())),OFFSET($BN$2,0,0,ROW()-1,60),ROW()-1,FALSE))</f>
        <v/>
      </c>
      <c r="BM274" t="str">
        <f ca="1">IF(AND(ISNUMBER($BM$719),$B$419=1),$BM$719,HLOOKUP(INDIRECT(ADDRESS(2,COLUMN())),OFFSET($BN$2,0,0,ROW()-1,60),ROW()-1,FALSE))</f>
        <v/>
      </c>
      <c r="BN274" t="str">
        <f>""</f>
        <v/>
      </c>
      <c r="BO274">
        <f>7.141999044</f>
        <v>7.1419990440000003</v>
      </c>
      <c r="BP274">
        <f>6.551581909</f>
        <v>6.5515819090000003</v>
      </c>
      <c r="BQ274">
        <f>6.340637884</f>
        <v>6.3406378840000004</v>
      </c>
      <c r="BR274">
        <f>7.5523857</f>
        <v>7.5523857000000003</v>
      </c>
      <c r="BS274">
        <f>7.450526428</f>
        <v>7.4505264279999999</v>
      </c>
      <c r="BT274">
        <f>10.63816955</f>
        <v>10.638169550000001</v>
      </c>
      <c r="BU274">
        <f>10.27660727</f>
        <v>10.27660727</v>
      </c>
      <c r="BV274">
        <f>9.783113016</f>
        <v>9.7831130159999997</v>
      </c>
      <c r="BW274">
        <f>10.03385594</f>
        <v>10.03385594</v>
      </c>
      <c r="BX274">
        <f>7.657454107</f>
        <v>7.6574541070000004</v>
      </c>
      <c r="BY274">
        <f>7.841604267</f>
        <v>7.8416042670000001</v>
      </c>
      <c r="BZ274">
        <f>12.36904144</f>
        <v>12.36904144</v>
      </c>
      <c r="CA274">
        <f>6.245400763</f>
        <v>6.2454007630000001</v>
      </c>
      <c r="CB274" t="str">
        <f>""</f>
        <v/>
      </c>
      <c r="CC274" t="str">
        <f>""</f>
        <v/>
      </c>
      <c r="CD274" t="str">
        <f>""</f>
        <v/>
      </c>
      <c r="CE274" t="str">
        <f>""</f>
        <v/>
      </c>
      <c r="CF274" t="str">
        <f>""</f>
        <v/>
      </c>
      <c r="CG274" t="str">
        <f>""</f>
        <v/>
      </c>
      <c r="CH274" t="str">
        <f>""</f>
        <v/>
      </c>
      <c r="CI274" t="str">
        <f>""</f>
        <v/>
      </c>
      <c r="CJ274" t="str">
        <f>""</f>
        <v/>
      </c>
      <c r="CK274" t="str">
        <f>""</f>
        <v/>
      </c>
      <c r="CL274" t="str">
        <f>""</f>
        <v/>
      </c>
      <c r="CM274" t="str">
        <f>""</f>
        <v/>
      </c>
      <c r="CN274" t="str">
        <f>""</f>
        <v/>
      </c>
      <c r="CO274" t="str">
        <f>""</f>
        <v/>
      </c>
      <c r="CP274" t="str">
        <f>""</f>
        <v/>
      </c>
      <c r="CQ274" t="str">
        <f>""</f>
        <v/>
      </c>
      <c r="CR274" t="str">
        <f>""</f>
        <v/>
      </c>
      <c r="CS274" t="str">
        <f>""</f>
        <v/>
      </c>
      <c r="CT274" t="str">
        <f>""</f>
        <v/>
      </c>
      <c r="CU274" t="str">
        <f>""</f>
        <v/>
      </c>
      <c r="CV274" t="str">
        <f>""</f>
        <v/>
      </c>
      <c r="CW274" t="str">
        <f>""</f>
        <v/>
      </c>
      <c r="CX274" t="str">
        <f>""</f>
        <v/>
      </c>
      <c r="CY274" t="str">
        <f>""</f>
        <v/>
      </c>
      <c r="CZ274" t="str">
        <f>""</f>
        <v/>
      </c>
      <c r="DA274" t="str">
        <f>""</f>
        <v/>
      </c>
      <c r="DB274" t="str">
        <f>""</f>
        <v/>
      </c>
      <c r="DC274" t="str">
        <f>""</f>
        <v/>
      </c>
      <c r="DD274" t="str">
        <f>""</f>
        <v/>
      </c>
      <c r="DE274" t="str">
        <f>""</f>
        <v/>
      </c>
      <c r="DF274" t="str">
        <f>""</f>
        <v/>
      </c>
      <c r="DG274" t="str">
        <f>""</f>
        <v/>
      </c>
      <c r="DH274" t="str">
        <f>""</f>
        <v/>
      </c>
      <c r="DI274" t="str">
        <f>""</f>
        <v/>
      </c>
      <c r="DJ274" t="str">
        <f>""</f>
        <v/>
      </c>
      <c r="DK274" t="str">
        <f>""</f>
        <v/>
      </c>
      <c r="DL274" t="str">
        <f>""</f>
        <v/>
      </c>
      <c r="DM274" t="str">
        <f>""</f>
        <v/>
      </c>
      <c r="DN274" t="str">
        <f>""</f>
        <v/>
      </c>
      <c r="DO274" t="str">
        <f>""</f>
        <v/>
      </c>
      <c r="DP274" t="str">
        <f>""</f>
        <v/>
      </c>
      <c r="DQ274" t="str">
        <f>""</f>
        <v/>
      </c>
      <c r="DR274" t="str">
        <f>""</f>
        <v/>
      </c>
      <c r="DS274" t="str">
        <f>""</f>
        <v/>
      </c>
      <c r="DT274" t="str">
        <f>""</f>
        <v/>
      </c>
      <c r="DU274" t="str">
        <f>""</f>
        <v/>
      </c>
    </row>
    <row r="275" spans="1:125">
      <c r="A275" t="str">
        <f>"    Weingarten Realty Investors"</f>
        <v xml:space="preserve">    Weingarten Realty Investors</v>
      </c>
      <c r="B275" t="str">
        <f>"WRI US Equity"</f>
        <v>WRI US Equity</v>
      </c>
      <c r="C275" t="str">
        <f t="shared" si="48"/>
        <v>RR052</v>
      </c>
      <c r="D275" t="str">
        <f t="shared" si="49"/>
        <v>TOT_DEBT_TO_EBITDA</v>
      </c>
      <c r="E275" t="str">
        <f t="shared" si="50"/>
        <v>动态</v>
      </c>
      <c r="F275" t="str">
        <f ca="1">IF(AND(ISNUMBER($F$720),$B$419=1),$F$720,HLOOKUP(INDIRECT(ADDRESS(2,COLUMN())),OFFSET($BN$2,0,0,ROW()-1,60),ROW()-1,FALSE))</f>
        <v/>
      </c>
      <c r="G275">
        <f ca="1">IF(AND(ISNUMBER($G$720),$B$419=1),$G$720,HLOOKUP(INDIRECT(ADDRESS(2,COLUMN())),OFFSET($BN$2,0,0,ROW()-1,60),ROW()-1,FALSE))</f>
        <v>6.040641463</v>
      </c>
      <c r="H275">
        <f ca="1">IF(AND(ISNUMBER($H$720),$B$419=1),$H$720,HLOOKUP(INDIRECT(ADDRESS(2,COLUMN())),OFFSET($BN$2,0,0,ROW()-1,60),ROW()-1,FALSE))</f>
        <v>6.3266980190000002</v>
      </c>
      <c r="I275">
        <f ca="1">IF(AND(ISNUMBER($I$720),$B$419=1),$I$720,HLOOKUP(INDIRECT(ADDRESS(2,COLUMN())),OFFSET($BN$2,0,0,ROW()-1,60),ROW()-1,FALSE))</f>
        <v>6.5760973439999999</v>
      </c>
      <c r="J275">
        <f ca="1">IF(AND(ISNUMBER($J$720),$B$419=1),$J$720,HLOOKUP(INDIRECT(ADDRESS(2,COLUMN())),OFFSET($BN$2,0,0,ROW()-1,60),ROW()-1,FALSE))</f>
        <v>6.7497131269999997</v>
      </c>
      <c r="K275">
        <f ca="1">IF(AND(ISNUMBER($K$720),$B$419=1),$K$720,HLOOKUP(INDIRECT(ADDRESS(2,COLUMN())),OFFSET($BN$2,0,0,ROW()-1,60),ROW()-1,FALSE))</f>
        <v>6.6013255720000004</v>
      </c>
      <c r="L275">
        <f ca="1">IF(AND(ISNUMBER($L$720),$B$419=1),$L$720,HLOOKUP(INDIRECT(ADDRESS(2,COLUMN())),OFFSET($BN$2,0,0,ROW()-1,60),ROW()-1,FALSE))</f>
        <v>6.706467935</v>
      </c>
      <c r="M275">
        <f ca="1">IF(AND(ISNUMBER($M$720),$B$419=1),$M$720,HLOOKUP(INDIRECT(ADDRESS(2,COLUMN())),OFFSET($BN$2,0,0,ROW()-1,60),ROW()-1,FALSE))</f>
        <v>6.0180403150000004</v>
      </c>
      <c r="N275">
        <f ca="1">IF(AND(ISNUMBER($N$720),$B$419=1),$N$720,HLOOKUP(INDIRECT(ADDRESS(2,COLUMN())),OFFSET($BN$2,0,0,ROW()-1,60),ROW()-1,FALSE))</f>
        <v>6.5138678140000001</v>
      </c>
      <c r="O275">
        <f ca="1">IF(AND(ISNUMBER($O$720),$B$419=1),$O$720,HLOOKUP(INDIRECT(ADDRESS(2,COLUMN())),OFFSET($BN$2,0,0,ROW()-1,60),ROW()-1,FALSE))</f>
        <v>6.3915900969999999</v>
      </c>
      <c r="P275">
        <f ca="1">IF(AND(ISNUMBER($P$720),$B$419=1),$P$720,HLOOKUP(INDIRECT(ADDRESS(2,COLUMN())),OFFSET($BN$2,0,0,ROW()-1,60),ROW()-1,FALSE))</f>
        <v>6.4372819120000004</v>
      </c>
      <c r="Q275">
        <f ca="1">IF(AND(ISNUMBER($Q$720),$B$419=1),$Q$720,HLOOKUP(INDIRECT(ADDRESS(2,COLUMN())),OFFSET($BN$2,0,0,ROW()-1,60),ROW()-1,FALSE))</f>
        <v>6.3388019780000002</v>
      </c>
      <c r="R275">
        <f ca="1">IF(AND(ISNUMBER($R$720),$B$419=1),$R$720,HLOOKUP(INDIRECT(ADDRESS(2,COLUMN())),OFFSET($BN$2,0,0,ROW()-1,60),ROW()-1,FALSE))</f>
        <v>5.8638434530000003</v>
      </c>
      <c r="S275">
        <f ca="1">IF(AND(ISNUMBER($S$720),$B$419=1),$S$720,HLOOKUP(INDIRECT(ADDRESS(2,COLUMN())),OFFSET($BN$2,0,0,ROW()-1,60),ROW()-1,FALSE))</f>
        <v>5.8018511730000002</v>
      </c>
      <c r="T275">
        <f ca="1">IF(AND(ISNUMBER($T$720),$B$419=1),$T$720,HLOOKUP(INDIRECT(ADDRESS(2,COLUMN())),OFFSET($BN$2,0,0,ROW()-1,60),ROW()-1,FALSE))</f>
        <v>6.0373077779999997</v>
      </c>
      <c r="U275">
        <f ca="1">IF(AND(ISNUMBER($U$720),$B$419=1),$U$720,HLOOKUP(INDIRECT(ADDRESS(2,COLUMN())),OFFSET($BN$2,0,0,ROW()-1,60),ROW()-1,FALSE))</f>
        <v>6.3770863899999997</v>
      </c>
      <c r="V275">
        <f ca="1">IF(AND(ISNUMBER($V$720),$B$419=1),$V$720,HLOOKUP(INDIRECT(ADDRESS(2,COLUMN())),OFFSET($BN$2,0,0,ROW()-1,60),ROW()-1,FALSE))</f>
        <v>6.5057870480000002</v>
      </c>
      <c r="W275">
        <f ca="1">IF(AND(ISNUMBER($W$720),$B$419=1),$W$720,HLOOKUP(INDIRECT(ADDRESS(2,COLUMN())),OFFSET($BN$2,0,0,ROW()-1,60),ROW()-1,FALSE))</f>
        <v>7.2428503490000002</v>
      </c>
      <c r="X275">
        <f ca="1">IF(AND(ISNUMBER($X$720),$B$419=1),$X$720,HLOOKUP(INDIRECT(ADDRESS(2,COLUMN())),OFFSET($BN$2,0,0,ROW()-1,60),ROW()-1,FALSE))</f>
        <v>7.2528131990000002</v>
      </c>
      <c r="Y275">
        <f ca="1">IF(AND(ISNUMBER($Y$720),$B$419=1),$Y$720,HLOOKUP(INDIRECT(ADDRESS(2,COLUMN())),OFFSET($BN$2,0,0,ROW()-1,60),ROW()-1,FALSE))</f>
        <v>7.4262418339999998</v>
      </c>
      <c r="Z275">
        <f ca="1">IF(AND(ISNUMBER($Z$720),$B$419=1),$Z$720,HLOOKUP(INDIRECT(ADDRESS(2,COLUMN())),OFFSET($BN$2,0,0,ROW()-1,60),ROW()-1,FALSE))</f>
        <v>7.4893153440000004</v>
      </c>
      <c r="AA275">
        <f ca="1">IF(AND(ISNUMBER($AA$720),$B$419=1),$AA$720,HLOOKUP(INDIRECT(ADDRESS(2,COLUMN())),OFFSET($BN$2,0,0,ROW()-1,60),ROW()-1,FALSE))</f>
        <v>7.2199837520000001</v>
      </c>
      <c r="AB275">
        <f ca="1">IF(AND(ISNUMBER($AB$720),$B$419=1),$AB$720,HLOOKUP(INDIRECT(ADDRESS(2,COLUMN())),OFFSET($BN$2,0,0,ROW()-1,60),ROW()-1,FALSE))</f>
        <v>7.3002366309999998</v>
      </c>
      <c r="AC275">
        <f ca="1">IF(AND(ISNUMBER($AC$720),$B$419=1),$AC$720,HLOOKUP(INDIRECT(ADDRESS(2,COLUMN())),OFFSET($BN$2,0,0,ROW()-1,60),ROW()-1,FALSE))</f>
        <v>7.7872101110000003</v>
      </c>
      <c r="AD275">
        <f ca="1">IF(AND(ISNUMBER($AD$720),$B$419=1),$AD$720,HLOOKUP(INDIRECT(ADDRESS(2,COLUMN())),OFFSET($BN$2,0,0,ROW()-1,60),ROW()-1,FALSE))</f>
        <v>9.122010994</v>
      </c>
      <c r="AE275">
        <f ca="1">IF(AND(ISNUMBER($AE$720),$B$419=1),$AE$720,HLOOKUP(INDIRECT(ADDRESS(2,COLUMN())),OFFSET($BN$2,0,0,ROW()-1,60),ROW()-1,FALSE))</f>
        <v>8.9924951160000006</v>
      </c>
      <c r="AF275">
        <f ca="1">IF(AND(ISNUMBER($AF$720),$B$419=1),$AF$720,HLOOKUP(INDIRECT(ADDRESS(2,COLUMN())),OFFSET($BN$2,0,0,ROW()-1,60),ROW()-1,FALSE))</f>
        <v>9.3795651699999993</v>
      </c>
      <c r="AG275">
        <f ca="1">IF(AND(ISNUMBER($AG$720),$B$419=1),$AG$720,HLOOKUP(INDIRECT(ADDRESS(2,COLUMN())),OFFSET($BN$2,0,0,ROW()-1,60),ROW()-1,FALSE))</f>
        <v>8.510421784</v>
      </c>
      <c r="AH275">
        <f ca="1">IF(AND(ISNUMBER($AH$720),$B$419=1),$AH$720,HLOOKUP(INDIRECT(ADDRESS(2,COLUMN())),OFFSET($BN$2,0,0,ROW()-1,60),ROW()-1,FALSE))</f>
        <v>8.3968017629999991</v>
      </c>
      <c r="AI275">
        <f ca="1">IF(AND(ISNUMBER($AI$720),$B$419=1),$AI$720,HLOOKUP(INDIRECT(ADDRESS(2,COLUMN())),OFFSET($BN$2,0,0,ROW()-1,60),ROW()-1,FALSE))</f>
        <v>8.0520666189999996</v>
      </c>
      <c r="AJ275">
        <f ca="1">IF(AND(ISNUMBER($AJ$720),$B$419=1),$AJ$720,HLOOKUP(INDIRECT(ADDRESS(2,COLUMN())),OFFSET($BN$2,0,0,ROW()-1,60),ROW()-1,FALSE))</f>
        <v>7.6617925810000003</v>
      </c>
      <c r="AK275">
        <f ca="1">IF(AND(ISNUMBER($AK$720),$B$419=1),$AK$720,HLOOKUP(INDIRECT(ADDRESS(2,COLUMN())),OFFSET($BN$2,0,0,ROW()-1,60),ROW()-1,FALSE))</f>
        <v>8.1295530130000007</v>
      </c>
      <c r="AL275">
        <f ca="1">IF(AND(ISNUMBER($AL$720),$B$419=1),$AL$720,HLOOKUP(INDIRECT(ADDRESS(2,COLUMN())),OFFSET($BN$2,0,0,ROW()-1,60),ROW()-1,FALSE))</f>
        <v>7.5132160389999996</v>
      </c>
      <c r="AM275">
        <f ca="1">IF(AND(ISNUMBER($AM$720),$B$419=1),$AM$720,HLOOKUP(INDIRECT(ADDRESS(2,COLUMN())),OFFSET($BN$2,0,0,ROW()-1,60),ROW()-1,FALSE))</f>
        <v>7.4136399309999996</v>
      </c>
      <c r="AN275">
        <f ca="1">IF(AND(ISNUMBER($AN$720),$B$419=1),$AN$720,HLOOKUP(INDIRECT(ADDRESS(2,COLUMN())),OFFSET($BN$2,0,0,ROW()-1,60),ROW()-1,FALSE))</f>
        <v>8.0300823670000003</v>
      </c>
      <c r="AO275">
        <f ca="1">IF(AND(ISNUMBER($AO$720),$B$419=1),$AO$720,HLOOKUP(INDIRECT(ADDRESS(2,COLUMN())),OFFSET($BN$2,0,0,ROW()-1,60),ROW()-1,FALSE))</f>
        <v>6.9772092179999996</v>
      </c>
      <c r="AP275">
        <f ca="1">IF(AND(ISNUMBER($AP$720),$B$419=1),$AP$720,HLOOKUP(INDIRECT(ADDRESS(2,COLUMN())),OFFSET($BN$2,0,0,ROW()-1,60),ROW()-1,FALSE))</f>
        <v>8.0819902450000001</v>
      </c>
      <c r="AQ275">
        <f ca="1">IF(AND(ISNUMBER($AQ$720),$B$419=1),$AQ$720,HLOOKUP(INDIRECT(ADDRESS(2,COLUMN())),OFFSET($BN$2,0,0,ROW()-1,60),ROW()-1,FALSE))</f>
        <v>7.9681439850000002</v>
      </c>
      <c r="AR275">
        <f ca="1">IF(AND(ISNUMBER($AR$720),$B$419=1),$AR$720,HLOOKUP(INDIRECT(ADDRESS(2,COLUMN())),OFFSET($BN$2,0,0,ROW()-1,60),ROW()-1,FALSE))</f>
        <v>8.1454724420000009</v>
      </c>
      <c r="AS275">
        <f ca="1">IF(AND(ISNUMBER($AS$720),$B$419=1),$AS$720,HLOOKUP(INDIRECT(ADDRESS(2,COLUMN())),OFFSET($BN$2,0,0,ROW()-1,60),ROW()-1,FALSE))</f>
        <v>7.881433167</v>
      </c>
      <c r="AT275">
        <f ca="1">IF(AND(ISNUMBER($AT$720),$B$419=1),$AT$720,HLOOKUP(INDIRECT(ADDRESS(2,COLUMN())),OFFSET($BN$2,0,0,ROW()-1,60),ROW()-1,FALSE))</f>
        <v>8.0705767749999993</v>
      </c>
      <c r="AU275">
        <f ca="1">IF(AND(ISNUMBER($AU$720),$B$419=1),$AU$720,HLOOKUP(INDIRECT(ADDRESS(2,COLUMN())),OFFSET($BN$2,0,0,ROW()-1,60),ROW()-1,FALSE))</f>
        <v>7.9747106859999999</v>
      </c>
      <c r="AV275">
        <f ca="1">IF(AND(ISNUMBER($AV$720),$B$419=1),$AV$720,HLOOKUP(INDIRECT(ADDRESS(2,COLUMN())),OFFSET($BN$2,0,0,ROW()-1,60),ROW()-1,FALSE))</f>
        <v>7.7075560940000001</v>
      </c>
      <c r="AW275">
        <f ca="1">IF(AND(ISNUMBER($AW$720),$B$419=1),$AW$720,HLOOKUP(INDIRECT(ADDRESS(2,COLUMN())),OFFSET($BN$2,0,0,ROW()-1,60),ROW()-1,FALSE))</f>
        <v>7.4280452370000001</v>
      </c>
      <c r="AX275">
        <f ca="1">IF(AND(ISNUMBER($AX$720),$B$419=1),$AX$720,HLOOKUP(INDIRECT(ADDRESS(2,COLUMN())),OFFSET($BN$2,0,0,ROW()-1,60),ROW()-1,FALSE))</f>
        <v>7.4773828919999996</v>
      </c>
      <c r="AY275">
        <f ca="1">IF(AND(ISNUMBER($AY$720),$B$419=1),$AY$720,HLOOKUP(INDIRECT(ADDRESS(2,COLUMN())),OFFSET($BN$2,0,0,ROW()-1,60),ROW()-1,FALSE))</f>
        <v>7.6903982429999997</v>
      </c>
      <c r="AZ275">
        <f ca="1">IF(AND(ISNUMBER($AZ$720),$B$419=1),$AZ$720,HLOOKUP(INDIRECT(ADDRESS(2,COLUMN())),OFFSET($BN$2,0,0,ROW()-1,60),ROW()-1,FALSE))</f>
        <v>8.0160223599999991</v>
      </c>
      <c r="BA275">
        <f ca="1">IF(AND(ISNUMBER($BA$720),$B$419=1),$BA$720,HLOOKUP(INDIRECT(ADDRESS(2,COLUMN())),OFFSET($BN$2,0,0,ROW()-1,60),ROW()-1,FALSE))</f>
        <v>6.3447142950000002</v>
      </c>
      <c r="BB275">
        <f ca="1">IF(AND(ISNUMBER($BB$720),$B$419=1),$BB$720,HLOOKUP(INDIRECT(ADDRESS(2,COLUMN())),OFFSET($BN$2,0,0,ROW()-1,60),ROW()-1,FALSE))</f>
        <v>6.2618814279999997</v>
      </c>
      <c r="BC275">
        <f ca="1">IF(AND(ISNUMBER($BC$720),$B$419=1),$BC$720,HLOOKUP(INDIRECT(ADDRESS(2,COLUMN())),OFFSET($BN$2,0,0,ROW()-1,60),ROW()-1,FALSE))</f>
        <v>6.184949724</v>
      </c>
      <c r="BD275">
        <f ca="1">IF(AND(ISNUMBER($BD$720),$B$419=1),$BD$720,HLOOKUP(INDIRECT(ADDRESS(2,COLUMN())),OFFSET($BN$2,0,0,ROW()-1,60),ROW()-1,FALSE))</f>
        <v>5.9844567040000003</v>
      </c>
      <c r="BE275">
        <f ca="1">IF(AND(ISNUMBER($BE$720),$B$419=1),$BE$720,HLOOKUP(INDIRECT(ADDRESS(2,COLUMN())),OFFSET($BN$2,0,0,ROW()-1,60),ROW()-1,FALSE))</f>
        <v>6.0029182959999998</v>
      </c>
      <c r="BF275">
        <f ca="1">IF(AND(ISNUMBER($BF$720),$B$419=1),$BF$720,HLOOKUP(INDIRECT(ADDRESS(2,COLUMN())),OFFSET($BN$2,0,0,ROW()-1,60),ROW()-1,FALSE))</f>
        <v>5.9830477049999997</v>
      </c>
      <c r="BG275">
        <f ca="1">IF(AND(ISNUMBER($BG$720),$B$419=1),$BG$720,HLOOKUP(INDIRECT(ADDRESS(2,COLUMN())),OFFSET($BN$2,0,0,ROW()-1,60),ROW()-1,FALSE))</f>
        <v>6.0326274350000002</v>
      </c>
      <c r="BH275">
        <f ca="1">IF(AND(ISNUMBER($BH$720),$B$419=1),$BH$720,HLOOKUP(INDIRECT(ADDRESS(2,COLUMN())),OFFSET($BN$2,0,0,ROW()-1,60),ROW()-1,FALSE))</f>
        <v>6.1777841410000001</v>
      </c>
      <c r="BI275">
        <f ca="1">IF(AND(ISNUMBER($BI$720),$B$419=1),$BI$720,HLOOKUP(INDIRECT(ADDRESS(2,COLUMN())),OFFSET($BN$2,0,0,ROW()-1,60),ROW()-1,FALSE))</f>
        <v>6.9409371039999996</v>
      </c>
      <c r="BJ275">
        <f ca="1">IF(AND(ISNUMBER($BJ$720),$B$419=1),$BJ$720,HLOOKUP(INDIRECT(ADDRESS(2,COLUMN())),OFFSET($BN$2,0,0,ROW()-1,60),ROW()-1,FALSE))</f>
        <v>6.7732507100000001</v>
      </c>
      <c r="BK275">
        <f ca="1">IF(AND(ISNUMBER($BK$720),$B$419=1),$BK$720,HLOOKUP(INDIRECT(ADDRESS(2,COLUMN())),OFFSET($BN$2,0,0,ROW()-1,60),ROW()-1,FALSE))</f>
        <v>6.583202752</v>
      </c>
      <c r="BL275">
        <f ca="1">IF(AND(ISNUMBER($BL$720),$B$419=1),$BL$720,HLOOKUP(INDIRECT(ADDRESS(2,COLUMN())),OFFSET($BN$2,0,0,ROW()-1,60),ROW()-1,FALSE))</f>
        <v>5.8603057229999997</v>
      </c>
      <c r="BM275">
        <f ca="1">IF(AND(ISNUMBER($BM$720),$B$419=1),$BM$720,HLOOKUP(INDIRECT(ADDRESS(2,COLUMN())),OFFSET($BN$2,0,0,ROW()-1,60),ROW()-1,FALSE))</f>
        <v>5.5472221990000001</v>
      </c>
      <c r="BN275" t="str">
        <f>""</f>
        <v/>
      </c>
      <c r="BO275">
        <f>6.040641463</f>
        <v>6.040641463</v>
      </c>
      <c r="BP275">
        <f>6.326698019</f>
        <v>6.3266980190000002</v>
      </c>
      <c r="BQ275">
        <f>6.576097344</f>
        <v>6.5760973439999999</v>
      </c>
      <c r="BR275">
        <f>6.749713127</f>
        <v>6.7497131269999997</v>
      </c>
      <c r="BS275">
        <f>6.601325572</f>
        <v>6.6013255720000004</v>
      </c>
      <c r="BT275">
        <f>6.706467935</f>
        <v>6.706467935</v>
      </c>
      <c r="BU275">
        <f>6.018040315</f>
        <v>6.0180403150000004</v>
      </c>
      <c r="BV275">
        <f>6.513867814</f>
        <v>6.5138678140000001</v>
      </c>
      <c r="BW275">
        <f>6.391590097</f>
        <v>6.3915900969999999</v>
      </c>
      <c r="BX275">
        <f>6.437281912</f>
        <v>6.4372819120000004</v>
      </c>
      <c r="BY275">
        <f>6.338801978</f>
        <v>6.3388019780000002</v>
      </c>
      <c r="BZ275">
        <f>5.863843453</f>
        <v>5.8638434530000003</v>
      </c>
      <c r="CA275">
        <f>5.801851173</f>
        <v>5.8018511730000002</v>
      </c>
      <c r="CB275">
        <f>6.037307778</f>
        <v>6.0373077779999997</v>
      </c>
      <c r="CC275">
        <f>6.37708639</f>
        <v>6.3770863899999997</v>
      </c>
      <c r="CD275">
        <f>6.505787048</f>
        <v>6.5057870480000002</v>
      </c>
      <c r="CE275">
        <f>7.242850349</f>
        <v>7.2428503490000002</v>
      </c>
      <c r="CF275">
        <f>7.252813199</f>
        <v>7.2528131990000002</v>
      </c>
      <c r="CG275">
        <f>7.426241834</f>
        <v>7.4262418339999998</v>
      </c>
      <c r="CH275">
        <f>7.489315344</f>
        <v>7.4893153440000004</v>
      </c>
      <c r="CI275">
        <f>7.219983752</f>
        <v>7.2199837520000001</v>
      </c>
      <c r="CJ275">
        <f>7.300236631</f>
        <v>7.3002366309999998</v>
      </c>
      <c r="CK275">
        <f>7.787210111</f>
        <v>7.7872101110000003</v>
      </c>
      <c r="CL275">
        <f>9.122010994</f>
        <v>9.122010994</v>
      </c>
      <c r="CM275">
        <f>8.992495116</f>
        <v>8.9924951160000006</v>
      </c>
      <c r="CN275">
        <f>9.37956517</f>
        <v>9.3795651699999993</v>
      </c>
      <c r="CO275">
        <f>8.510421784</f>
        <v>8.510421784</v>
      </c>
      <c r="CP275">
        <f>8.396801763</f>
        <v>8.3968017629999991</v>
      </c>
      <c r="CQ275">
        <f>8.052066619</f>
        <v>8.0520666189999996</v>
      </c>
      <c r="CR275">
        <f>7.661792581</f>
        <v>7.6617925810000003</v>
      </c>
      <c r="CS275">
        <f>8.129553013</f>
        <v>8.1295530130000007</v>
      </c>
      <c r="CT275">
        <f>7.513216039</f>
        <v>7.5132160389999996</v>
      </c>
      <c r="CU275">
        <f>7.413639931</f>
        <v>7.4136399309999996</v>
      </c>
      <c r="CV275">
        <f>8.030082367</f>
        <v>8.0300823670000003</v>
      </c>
      <c r="CW275">
        <f>6.977209218</f>
        <v>6.9772092179999996</v>
      </c>
      <c r="CX275">
        <f>8.081990245</f>
        <v>8.0819902450000001</v>
      </c>
      <c r="CY275">
        <f>7.968143985</f>
        <v>7.9681439850000002</v>
      </c>
      <c r="CZ275">
        <f>8.145472442</f>
        <v>8.1454724420000009</v>
      </c>
      <c r="DA275">
        <f>7.881433167</f>
        <v>7.881433167</v>
      </c>
      <c r="DB275">
        <f>8.070576775</f>
        <v>8.0705767749999993</v>
      </c>
      <c r="DC275">
        <f>7.974710686</f>
        <v>7.9747106859999999</v>
      </c>
      <c r="DD275">
        <f>7.707556094</f>
        <v>7.7075560940000001</v>
      </c>
      <c r="DE275">
        <f>7.428045237</f>
        <v>7.4280452370000001</v>
      </c>
      <c r="DF275">
        <f>7.477382892</f>
        <v>7.4773828919999996</v>
      </c>
      <c r="DG275">
        <f>7.690398243</f>
        <v>7.6903982429999997</v>
      </c>
      <c r="DH275">
        <f>8.01602236</f>
        <v>8.0160223599999991</v>
      </c>
      <c r="DI275">
        <f>6.344714295</f>
        <v>6.3447142950000002</v>
      </c>
      <c r="DJ275">
        <f>6.261881428</f>
        <v>6.2618814279999997</v>
      </c>
      <c r="DK275">
        <f>6.184949724</f>
        <v>6.184949724</v>
      </c>
      <c r="DL275">
        <f>5.984456704</f>
        <v>5.9844567040000003</v>
      </c>
      <c r="DM275">
        <f>6.002918296</f>
        <v>6.0029182959999998</v>
      </c>
      <c r="DN275">
        <f>5.983047705</f>
        <v>5.9830477049999997</v>
      </c>
      <c r="DO275">
        <f>6.032627435</f>
        <v>6.0326274350000002</v>
      </c>
      <c r="DP275">
        <f>6.177784141</f>
        <v>6.1777841410000001</v>
      </c>
      <c r="DQ275">
        <f>6.940937104</f>
        <v>6.9409371039999996</v>
      </c>
      <c r="DR275">
        <f>6.77325071</f>
        <v>6.7732507100000001</v>
      </c>
      <c r="DS275">
        <f>6.583202752</f>
        <v>6.583202752</v>
      </c>
      <c r="DT275">
        <f>5.860305723</f>
        <v>5.8603057229999997</v>
      </c>
      <c r="DU275">
        <f>5.547222199</f>
        <v>5.5472221990000001</v>
      </c>
    </row>
    <row r="276" spans="1:125">
      <c r="A276" t="str">
        <f>"净债务/调整后EBITIDA"</f>
        <v>净债务/调整后EBITIDA</v>
      </c>
      <c r="B276" t="str">
        <f>""</f>
        <v/>
      </c>
      <c r="E276" t="str">
        <f>"Median"</f>
        <v>Median</v>
      </c>
      <c r="F276" t="str">
        <f ca="1">IF(ISERROR(IF(MEDIAN($F$277:$F$291) = 0, "", MEDIAN($F$277:$F$291))), "", (IF(MEDIAN($F$277:$F$291) = 0, "", MEDIAN($F$277:$F$291))))</f>
        <v/>
      </c>
      <c r="G276">
        <f ca="1">IF(ISERROR(IF(MEDIAN($G$277:$G$291) = 0, "", MEDIAN($G$277:$G$291))), "", (IF(MEDIAN($G$277:$G$291) = 0, "", MEDIAN($G$277:$G$291))))</f>
        <v>6.0206415470000003</v>
      </c>
      <c r="H276">
        <f ca="1">IF(ISERROR(IF(MEDIAN($H$277:$H$291) = 0, "", MEDIAN($H$277:$H$291))), "", (IF(MEDIAN($H$277:$H$291) = 0, "", MEDIAN($H$277:$H$291))))</f>
        <v>6.0424785539999997</v>
      </c>
      <c r="I276">
        <f ca="1">IF(ISERROR(IF(MEDIAN($I$277:$I$291) = 0, "", MEDIAN($I$277:$I$291))), "", (IF(MEDIAN($I$277:$I$291) = 0, "", MEDIAN($I$277:$I$291))))</f>
        <v>6.2852234530000004</v>
      </c>
      <c r="J276">
        <f ca="1">IF(ISERROR(IF(MEDIAN($J$277:$J$291) = 0, "", MEDIAN($J$277:$J$291))), "", (IF(MEDIAN($J$277:$J$291) = 0, "", MEDIAN($J$277:$J$291))))</f>
        <v>6.4570712830000003</v>
      </c>
      <c r="K276">
        <f ca="1">IF(ISERROR(IF(MEDIAN($K$277:$K$291) = 0, "", MEDIAN($K$277:$K$291))), "", (IF(MEDIAN($K$277:$K$291) = 0, "", MEDIAN($K$277:$K$291))))</f>
        <v>6.1278425470000002</v>
      </c>
      <c r="L276">
        <f ca="1">IF(ISERROR(IF(MEDIAN($L$277:$L$291) = 0, "", MEDIAN($L$277:$L$291))), "", (IF(MEDIAN($L$277:$L$291) = 0, "", MEDIAN($L$277:$L$291))))</f>
        <v>6.1679904309999998</v>
      </c>
      <c r="M276">
        <f ca="1">IF(ISERROR(IF(MEDIAN($M$277:$M$291) = 0, "", MEDIAN($M$277:$M$291))), "", (IF(MEDIAN($M$277:$M$291) = 0, "", MEDIAN($M$277:$M$291))))</f>
        <v>6.1467345939999998</v>
      </c>
      <c r="N276">
        <f ca="1">IF(ISERROR(IF(MEDIAN($N$277:$N$291) = 0, "", MEDIAN($N$277:$N$291))), "", (IF(MEDIAN($N$277:$N$291) = 0, "", MEDIAN($N$277:$N$291))))</f>
        <v>6.2122360470000002</v>
      </c>
      <c r="O276">
        <f ca="1">IF(ISERROR(IF(MEDIAN($O$277:$O$291) = 0, "", MEDIAN($O$277:$O$291))), "", (IF(MEDIAN($O$277:$O$291) = 0, "", MEDIAN($O$277:$O$291))))</f>
        <v>6.1609681280000004</v>
      </c>
      <c r="P276">
        <f ca="1">IF(ISERROR(IF(MEDIAN($P$277:$P$291) = 0, "", MEDIAN($P$277:$P$291))), "", (IF(MEDIAN($P$277:$P$291) = 0, "", MEDIAN($P$277:$P$291))))</f>
        <v>6.3037478719999998</v>
      </c>
      <c r="Q276">
        <f ca="1">IF(ISERROR(IF(MEDIAN($Q$277:$Q$291) = 0, "", MEDIAN($Q$277:$Q$291))), "", (IF(MEDIAN($Q$277:$Q$291) = 0, "", MEDIAN($Q$277:$Q$291))))</f>
        <v>6.2760020570000004</v>
      </c>
      <c r="R276">
        <f ca="1">IF(ISERROR(IF(MEDIAN($R$277:$R$291) = 0, "", MEDIAN($R$277:$R$291))), "", (IF(MEDIAN($R$277:$R$291) = 0, "", MEDIAN($R$277:$R$291))))</f>
        <v>6.338407707</v>
      </c>
      <c r="S276">
        <f ca="1">IF(ISERROR(IF(MEDIAN($S$277:$S$291) = 0, "", MEDIAN($S$277:$S$291))), "", (IF(MEDIAN($S$277:$S$291) = 0, "", MEDIAN($S$277:$S$291))))</f>
        <v>5.9466549349999998</v>
      </c>
      <c r="T276">
        <f ca="1">IF(ISERROR(IF(MEDIAN($T$277:$T$291) = 0, "", MEDIAN($T$277:$T$291))), "", (IF(MEDIAN($T$277:$T$291) = 0, "", MEDIAN($T$277:$T$291))))</f>
        <v>6.0915163410000002</v>
      </c>
      <c r="U276">
        <f ca="1">IF(ISERROR(IF(MEDIAN($U$277:$U$291) = 0, "", MEDIAN($U$277:$U$291))), "", (IF(MEDIAN($U$277:$U$291) = 0, "", MEDIAN($U$277:$U$291))))</f>
        <v>6.5671261164999999</v>
      </c>
      <c r="V276">
        <f ca="1">IF(ISERROR(IF(MEDIAN($V$277:$V$291) = 0, "", MEDIAN($V$277:$V$291))), "", (IF(MEDIAN($V$277:$V$291) = 0, "", MEDIAN($V$277:$V$291))))</f>
        <v>6.5117288035000005</v>
      </c>
      <c r="W276">
        <f ca="1">IF(ISERROR(IF(MEDIAN($W$277:$W$291) = 0, "", MEDIAN($W$277:$W$291))), "", (IF(MEDIAN($W$277:$W$291) = 0, "", MEDIAN($W$277:$W$291))))</f>
        <v>6.7327324170000002</v>
      </c>
      <c r="X276">
        <f ca="1">IF(ISERROR(IF(MEDIAN($X$277:$X$291) = 0, "", MEDIAN($X$277:$X$291))), "", (IF(MEDIAN($X$277:$X$291) = 0, "", MEDIAN($X$277:$X$291))))</f>
        <v>7.0106426135</v>
      </c>
      <c r="Y276">
        <f ca="1">IF(ISERROR(IF(MEDIAN($Y$277:$Y$291) = 0, "", MEDIAN($Y$277:$Y$291))), "", (IF(MEDIAN($Y$277:$Y$291) = 0, "", MEDIAN($Y$277:$Y$291))))</f>
        <v>6.9993628814999997</v>
      </c>
      <c r="Z276">
        <f ca="1">IF(ISERROR(IF(MEDIAN($Z$277:$Z$291) = 0, "", MEDIAN($Z$277:$Z$291))), "", (IF(MEDIAN($Z$277:$Z$291) = 0, "", MEDIAN($Z$277:$Z$291))))</f>
        <v>6.7624820840000002</v>
      </c>
      <c r="AA276">
        <f ca="1">IF(ISERROR(IF(MEDIAN($AA$277:$AA$291) = 0, "", MEDIAN($AA$277:$AA$291))), "", (IF(MEDIAN($AA$277:$AA$291) = 0, "", MEDIAN($AA$277:$AA$291))))</f>
        <v>6.7832569075000002</v>
      </c>
      <c r="AB276">
        <f ca="1">IF(ISERROR(IF(MEDIAN($AB$277:$AB$291) = 0, "", MEDIAN($AB$277:$AB$291))), "", (IF(MEDIAN($AB$277:$AB$291) = 0, "", MEDIAN($AB$277:$AB$291))))</f>
        <v>6.5510560309999999</v>
      </c>
      <c r="AC276">
        <f ca="1">IF(ISERROR(IF(MEDIAN($AC$277:$AC$291) = 0, "", MEDIAN($AC$277:$AC$291))), "", (IF(MEDIAN($AC$277:$AC$291) = 0, "", MEDIAN($AC$277:$AC$291))))</f>
        <v>6.6862834720000004</v>
      </c>
      <c r="AD276">
        <f ca="1">IF(ISERROR(IF(MEDIAN($AD$277:$AD$291) = 0, "", MEDIAN($AD$277:$AD$291))), "", (IF(MEDIAN($AD$277:$AD$291) = 0, "", MEDIAN($AD$277:$AD$291))))</f>
        <v>6.5092183205000005</v>
      </c>
      <c r="AE276">
        <f ca="1">IF(ISERROR(IF(MEDIAN($AE$277:$AE$291) = 0, "", MEDIAN($AE$277:$AE$291))), "", (IF(MEDIAN($AE$277:$AE$291) = 0, "", MEDIAN($AE$277:$AE$291))))</f>
        <v>6.2531858580000002</v>
      </c>
      <c r="AF276">
        <f ca="1">IF(ISERROR(IF(MEDIAN($AF$277:$AF$291) = 0, "", MEDIAN($AF$277:$AF$291))), "", (IF(MEDIAN($AF$277:$AF$291) = 0, "", MEDIAN($AF$277:$AF$291))))</f>
        <v>6.9362367579999997</v>
      </c>
      <c r="AG276">
        <f ca="1">IF(ISERROR(IF(MEDIAN($AG$277:$AG$291) = 0, "", MEDIAN($AG$277:$AG$291))), "", (IF(MEDIAN($AG$277:$AG$291) = 0, "", MEDIAN($AG$277:$AG$291))))</f>
        <v>6.2539638530000001</v>
      </c>
      <c r="AH276">
        <f ca="1">IF(ISERROR(IF(MEDIAN($AH$277:$AH$291) = 0, "", MEDIAN($AH$277:$AH$291))), "", (IF(MEDIAN($AH$277:$AH$291) = 0, "", MEDIAN($AH$277:$AH$291))))</f>
        <v>5.8156246070000002</v>
      </c>
      <c r="AI276">
        <f ca="1">IF(ISERROR(IF(MEDIAN($AI$277:$AI$291) = 0, "", MEDIAN($AI$277:$AI$291))), "", (IF(MEDIAN($AI$277:$AI$291) = 0, "", MEDIAN($AI$277:$AI$291))))</f>
        <v>5.9181069769999999</v>
      </c>
      <c r="AJ276">
        <f ca="1">IF(ISERROR(IF(MEDIAN($AJ$277:$AJ$291) = 0, "", MEDIAN($AJ$277:$AJ$291))), "", (IF(MEDIAN($AJ$277:$AJ$291) = 0, "", MEDIAN($AJ$277:$AJ$291))))</f>
        <v>6.3894557005000001</v>
      </c>
      <c r="AK276">
        <f ca="1">IF(ISERROR(IF(MEDIAN($AK$277:$AK$291) = 0, "", MEDIAN($AK$277:$AK$291))), "", (IF(MEDIAN($AK$277:$AK$291) = 0, "", MEDIAN($AK$277:$AK$291))))</f>
        <v>5.8944955609999994</v>
      </c>
      <c r="AL276">
        <f ca="1">IF(ISERROR(IF(MEDIAN($AL$277:$AL$291) = 0, "", MEDIAN($AL$277:$AL$291))), "", (IF(MEDIAN($AL$277:$AL$291) = 0, "", MEDIAN($AL$277:$AL$291))))</f>
        <v>5.6932936529999996</v>
      </c>
      <c r="AM276">
        <f ca="1">IF(ISERROR(IF(MEDIAN($AM$277:$AM$291) = 0, "", MEDIAN($AM$277:$AM$291))), "", (IF(MEDIAN($AM$277:$AM$291) = 0, "", MEDIAN($AM$277:$AM$291))))</f>
        <v>5.7945916879999997</v>
      </c>
      <c r="AN276" t="str">
        <f ca="1">IF(ISERROR(IF(MEDIAN($AN$277:$AN$291) = 0, "", MEDIAN($AN$277:$AN$291))), "", (IF(MEDIAN($AN$277:$AN$291) = 0, "", MEDIAN($AN$277:$AN$291))))</f>
        <v/>
      </c>
      <c r="AO276" t="str">
        <f ca="1">IF(ISERROR(IF(MEDIAN($AO$277:$AO$291) = 0, "", MEDIAN($AO$277:$AO$291))), "", (IF(MEDIAN($AO$277:$AO$291) = 0, "", MEDIAN($AO$277:$AO$291))))</f>
        <v/>
      </c>
      <c r="AP276" t="str">
        <f ca="1">IF(ISERROR(IF(MEDIAN($AP$277:$AP$291) = 0, "", MEDIAN($AP$277:$AP$291))), "", (IF(MEDIAN($AP$277:$AP$291) = 0, "", MEDIAN($AP$277:$AP$291))))</f>
        <v/>
      </c>
      <c r="AQ276" t="str">
        <f ca="1">IF(ISERROR(IF(MEDIAN($AQ$277:$AQ$291) = 0, "", MEDIAN($AQ$277:$AQ$291))), "", (IF(MEDIAN($AQ$277:$AQ$291) = 0, "", MEDIAN($AQ$277:$AQ$291))))</f>
        <v/>
      </c>
      <c r="AR276" t="str">
        <f ca="1">IF(ISERROR(IF(MEDIAN($AR$277:$AR$291) = 0, "", MEDIAN($AR$277:$AR$291))), "", (IF(MEDIAN($AR$277:$AR$291) = 0, "", MEDIAN($AR$277:$AR$291))))</f>
        <v/>
      </c>
      <c r="AS276" t="str">
        <f ca="1">IF(ISERROR(IF(MEDIAN($AS$277:$AS$291) = 0, "", MEDIAN($AS$277:$AS$291))), "", (IF(MEDIAN($AS$277:$AS$291) = 0, "", MEDIAN($AS$277:$AS$291))))</f>
        <v/>
      </c>
      <c r="AT276" t="str">
        <f ca="1">IF(ISERROR(IF(MEDIAN($AT$277:$AT$291) = 0, "", MEDIAN($AT$277:$AT$291))), "", (IF(MEDIAN($AT$277:$AT$291) = 0, "", MEDIAN($AT$277:$AT$291))))</f>
        <v/>
      </c>
      <c r="AU276" t="str">
        <f ca="1">IF(ISERROR(IF(MEDIAN($AU$277:$AU$291) = 0, "", MEDIAN($AU$277:$AU$291))), "", (IF(MEDIAN($AU$277:$AU$291) = 0, "", MEDIAN($AU$277:$AU$291))))</f>
        <v/>
      </c>
      <c r="AV276" t="str">
        <f ca="1">IF(ISERROR(IF(MEDIAN($AV$277:$AV$291) = 0, "", MEDIAN($AV$277:$AV$291))), "", (IF(MEDIAN($AV$277:$AV$291) = 0, "", MEDIAN($AV$277:$AV$291))))</f>
        <v/>
      </c>
      <c r="AW276" t="str">
        <f ca="1">IF(ISERROR(IF(MEDIAN($AW$277:$AW$291) = 0, "", MEDIAN($AW$277:$AW$291))), "", (IF(MEDIAN($AW$277:$AW$291) = 0, "", MEDIAN($AW$277:$AW$291))))</f>
        <v/>
      </c>
      <c r="AX276" t="str">
        <f ca="1">IF(ISERROR(IF(MEDIAN($AX$277:$AX$291) = 0, "", MEDIAN($AX$277:$AX$291))), "", (IF(MEDIAN($AX$277:$AX$291) = 0, "", MEDIAN($AX$277:$AX$291))))</f>
        <v/>
      </c>
      <c r="AY276" t="str">
        <f ca="1">IF(ISERROR(IF(MEDIAN($AY$277:$AY$291) = 0, "", MEDIAN($AY$277:$AY$291))), "", (IF(MEDIAN($AY$277:$AY$291) = 0, "", MEDIAN($AY$277:$AY$291))))</f>
        <v/>
      </c>
      <c r="AZ276" t="str">
        <f ca="1">IF(ISERROR(IF(MEDIAN($AZ$277:$AZ$291) = 0, "", MEDIAN($AZ$277:$AZ$291))), "", (IF(MEDIAN($AZ$277:$AZ$291) = 0, "", MEDIAN($AZ$277:$AZ$291))))</f>
        <v/>
      </c>
      <c r="BA276" t="str">
        <f ca="1">IF(ISERROR(IF(MEDIAN($BA$277:$BA$291) = 0, "", MEDIAN($BA$277:$BA$291))), "", (IF(MEDIAN($BA$277:$BA$291) = 0, "", MEDIAN($BA$277:$BA$291))))</f>
        <v/>
      </c>
      <c r="BB276" t="str">
        <f ca="1">IF(ISERROR(IF(MEDIAN($BB$277:$BB$291) = 0, "", MEDIAN($BB$277:$BB$291))), "", (IF(MEDIAN($BB$277:$BB$291) = 0, "", MEDIAN($BB$277:$BB$291))))</f>
        <v/>
      </c>
      <c r="BC276" t="str">
        <f ca="1">IF(ISERROR(IF(MEDIAN($BC$277:$BC$291) = 0, "", MEDIAN($BC$277:$BC$291))), "", (IF(MEDIAN($BC$277:$BC$291) = 0, "", MEDIAN($BC$277:$BC$291))))</f>
        <v/>
      </c>
      <c r="BD276" t="str">
        <f ca="1">IF(ISERROR(IF(MEDIAN($BD$277:$BD$291) = 0, "", MEDIAN($BD$277:$BD$291))), "", (IF(MEDIAN($BD$277:$BD$291) = 0, "", MEDIAN($BD$277:$BD$291))))</f>
        <v/>
      </c>
      <c r="BE276" t="str">
        <f ca="1">IF(ISERROR(IF(MEDIAN($BE$277:$BE$291) = 0, "", MEDIAN($BE$277:$BE$291))), "", (IF(MEDIAN($BE$277:$BE$291) = 0, "", MEDIAN($BE$277:$BE$291))))</f>
        <v/>
      </c>
      <c r="BF276" t="str">
        <f ca="1">IF(ISERROR(IF(MEDIAN($BF$277:$BF$291) = 0, "", MEDIAN($BF$277:$BF$291))), "", (IF(MEDIAN($BF$277:$BF$291) = 0, "", MEDIAN($BF$277:$BF$291))))</f>
        <v/>
      </c>
      <c r="BG276" t="str">
        <f ca="1">IF(ISERROR(IF(MEDIAN($BG$277:$BG$291) = 0, "", MEDIAN($BG$277:$BG$291))), "", (IF(MEDIAN($BG$277:$BG$291) = 0, "", MEDIAN($BG$277:$BG$291))))</f>
        <v/>
      </c>
      <c r="BH276" t="str">
        <f ca="1">IF(ISERROR(IF(MEDIAN($BH$277:$BH$291) = 0, "", MEDIAN($BH$277:$BH$291))), "", (IF(MEDIAN($BH$277:$BH$291) = 0, "", MEDIAN($BH$277:$BH$291))))</f>
        <v/>
      </c>
      <c r="BI276" t="str">
        <f ca="1">IF(ISERROR(IF(MEDIAN($BI$277:$BI$291) = 0, "", MEDIAN($BI$277:$BI$291))), "", (IF(MEDIAN($BI$277:$BI$291) = 0, "", MEDIAN($BI$277:$BI$291))))</f>
        <v/>
      </c>
      <c r="BJ276" t="str">
        <f ca="1">IF(ISERROR(IF(MEDIAN($BJ$277:$BJ$291) = 0, "", MEDIAN($BJ$277:$BJ$291))), "", (IF(MEDIAN($BJ$277:$BJ$291) = 0, "", MEDIAN($BJ$277:$BJ$291))))</f>
        <v/>
      </c>
      <c r="BK276" t="str">
        <f ca="1">IF(ISERROR(IF(MEDIAN($BK$277:$BK$291) = 0, "", MEDIAN($BK$277:$BK$291))), "", (IF(MEDIAN($BK$277:$BK$291) = 0, "", MEDIAN($BK$277:$BK$291))))</f>
        <v/>
      </c>
      <c r="BL276" t="str">
        <f ca="1">IF(ISERROR(IF(MEDIAN($BL$277:$BL$291) = 0, "", MEDIAN($BL$277:$BL$291))), "", (IF(MEDIAN($BL$277:$BL$291) = 0, "", MEDIAN($BL$277:$BL$291))))</f>
        <v/>
      </c>
      <c r="BM276" t="str">
        <f ca="1">IF(ISERROR(IF(MEDIAN($BM$277:$BM$291) = 0, "", MEDIAN($BM$277:$BM$291))), "", (IF(MEDIAN($BM$277:$BM$291) = 0, "", MEDIAN($BM$277:$BM$291))))</f>
        <v/>
      </c>
      <c r="BN276" t="str">
        <f>""</f>
        <v/>
      </c>
      <c r="BO276">
        <f>6.020641547</f>
        <v>6.0206415470000003</v>
      </c>
      <c r="BP276">
        <f>6.042478554</f>
        <v>6.0424785539999997</v>
      </c>
      <c r="BQ276">
        <f>6.285223453</f>
        <v>6.2852234530000004</v>
      </c>
      <c r="BR276">
        <f>6.457071283</f>
        <v>6.4570712830000003</v>
      </c>
      <c r="BS276">
        <f>6.127842547</f>
        <v>6.1278425470000002</v>
      </c>
      <c r="BT276">
        <f>6.167990431</f>
        <v>6.1679904309999998</v>
      </c>
      <c r="BU276">
        <f>6.146734594</f>
        <v>6.1467345939999998</v>
      </c>
      <c r="BV276">
        <f>6.212236047</f>
        <v>6.2122360470000002</v>
      </c>
      <c r="BW276">
        <f>6.160968128</f>
        <v>6.1609681280000004</v>
      </c>
      <c r="BX276">
        <f>6.303747872</f>
        <v>6.3037478719999998</v>
      </c>
      <c r="BY276">
        <f>6.276002057</f>
        <v>6.2760020570000004</v>
      </c>
      <c r="BZ276">
        <f>6.338407707</f>
        <v>6.338407707</v>
      </c>
      <c r="CA276">
        <f>5.946654935</f>
        <v>5.9466549349999998</v>
      </c>
      <c r="CB276">
        <f>6.091516341</f>
        <v>6.0915163410000002</v>
      </c>
      <c r="CC276">
        <f>6.567126117</f>
        <v>6.5671261169999999</v>
      </c>
      <c r="CD276">
        <f>6.511728804</f>
        <v>6.5117288039999996</v>
      </c>
      <c r="CE276">
        <f>6.732732417</f>
        <v>6.7327324170000002</v>
      </c>
      <c r="CF276">
        <f>7.010642613</f>
        <v>7.0106426129999999</v>
      </c>
      <c r="CG276">
        <f>6.999362882</f>
        <v>6.9993628819999998</v>
      </c>
      <c r="CH276">
        <f>6.762482084</f>
        <v>6.7624820840000002</v>
      </c>
      <c r="CI276">
        <f>6.783256907</f>
        <v>6.7832569070000002</v>
      </c>
      <c r="CJ276">
        <f>6.551056031</f>
        <v>6.5510560309999999</v>
      </c>
      <c r="CK276">
        <f>6.686283472</f>
        <v>6.6862834720000004</v>
      </c>
      <c r="CL276">
        <f>6.50921832</f>
        <v>6.5092183199999996</v>
      </c>
      <c r="CM276">
        <f>6.253185858</f>
        <v>6.2531858580000002</v>
      </c>
      <c r="CN276">
        <f>6.936236758</f>
        <v>6.9362367579999997</v>
      </c>
      <c r="CO276">
        <f>6.253963853</f>
        <v>6.2539638530000001</v>
      </c>
      <c r="CP276">
        <f>5.815624607</f>
        <v>5.8156246070000002</v>
      </c>
      <c r="CQ276">
        <f>5.918106977</f>
        <v>5.9181069769999999</v>
      </c>
      <c r="CR276">
        <f>6.389455701</f>
        <v>6.3894557010000002</v>
      </c>
      <c r="CS276">
        <f>5.894495561</f>
        <v>5.8944955610000003</v>
      </c>
      <c r="CT276">
        <f>5.693293653</f>
        <v>5.6932936529999996</v>
      </c>
      <c r="CU276">
        <f>5.794591688</f>
        <v>5.7945916879999997</v>
      </c>
      <c r="CV276" t="str">
        <f>""</f>
        <v/>
      </c>
      <c r="CW276" t="str">
        <f>""</f>
        <v/>
      </c>
      <c r="CX276" t="str">
        <f>""</f>
        <v/>
      </c>
      <c r="CY276" t="str">
        <f>""</f>
        <v/>
      </c>
      <c r="CZ276" t="str">
        <f>""</f>
        <v/>
      </c>
      <c r="DA276" t="str">
        <f>""</f>
        <v/>
      </c>
      <c r="DB276" t="str">
        <f>""</f>
        <v/>
      </c>
      <c r="DC276" t="str">
        <f>""</f>
        <v/>
      </c>
      <c r="DD276" t="str">
        <f>""</f>
        <v/>
      </c>
      <c r="DE276" t="str">
        <f>""</f>
        <v/>
      </c>
      <c r="DF276" t="str">
        <f>""</f>
        <v/>
      </c>
      <c r="DG276" t="str">
        <f>""</f>
        <v/>
      </c>
      <c r="DH276" t="str">
        <f>""</f>
        <v/>
      </c>
      <c r="DI276" t="str">
        <f>""</f>
        <v/>
      </c>
      <c r="DJ276" t="str">
        <f>""</f>
        <v/>
      </c>
      <c r="DK276" t="str">
        <f>""</f>
        <v/>
      </c>
      <c r="DL276" t="str">
        <f>""</f>
        <v/>
      </c>
      <c r="DM276" t="str">
        <f>""</f>
        <v/>
      </c>
      <c r="DN276" t="str">
        <f>""</f>
        <v/>
      </c>
      <c r="DO276" t="str">
        <f>""</f>
        <v/>
      </c>
      <c r="DP276" t="str">
        <f>""</f>
        <v/>
      </c>
      <c r="DQ276" t="str">
        <f>""</f>
        <v/>
      </c>
      <c r="DR276" t="str">
        <f>""</f>
        <v/>
      </c>
      <c r="DS276" t="str">
        <f>""</f>
        <v/>
      </c>
      <c r="DT276" t="str">
        <f>""</f>
        <v/>
      </c>
      <c r="DU276" t="str">
        <f>""</f>
        <v/>
      </c>
    </row>
    <row r="277" spans="1:125">
      <c r="A277" t="str">
        <f>"    Brixmor Property Group Inc"</f>
        <v xml:space="preserve">    Brixmor Property Group Inc</v>
      </c>
      <c r="B277" t="str">
        <f>"BRX US Equity"</f>
        <v>BRX US Equity</v>
      </c>
      <c r="C277" t="str">
        <f t="shared" ref="C277:C291" si="51">"F1178"</f>
        <v>F1178</v>
      </c>
      <c r="D277" t="str">
        <f t="shared" ref="D277:D291" si="52">"NET_DEBT_EBITDA_ADJUSTED"</f>
        <v>NET_DEBT_EBITDA_ADJUSTED</v>
      </c>
      <c r="E277" t="str">
        <f t="shared" ref="E277:E291" si="53">"动态"</f>
        <v>动态</v>
      </c>
      <c r="F277" t="str">
        <f ca="1">IF(AND(ISNUMBER($F$721),$B$419=1),$F$721,HLOOKUP(INDIRECT(ADDRESS(2,COLUMN())),OFFSET($BN$2,0,0,ROW()-1,60),ROW()-1,FALSE))</f>
        <v/>
      </c>
      <c r="G277">
        <f ca="1">IF(AND(ISNUMBER($G$721),$B$419=1),$G$721,HLOOKUP(INDIRECT(ADDRESS(2,COLUMN())),OFFSET($BN$2,0,0,ROW()-1,60),ROW()-1,FALSE))</f>
        <v>6.8961581650000001</v>
      </c>
      <c r="H277">
        <f ca="1">IF(AND(ISNUMBER($H$721),$B$419=1),$H$721,HLOOKUP(INDIRECT(ADDRESS(2,COLUMN())),OFFSET($BN$2,0,0,ROW()-1,60),ROW()-1,FALSE))</f>
        <v>6.9512919990000004</v>
      </c>
      <c r="I277">
        <f ca="1">IF(AND(ISNUMBER($I$721),$B$419=1),$I$721,HLOOKUP(INDIRECT(ADDRESS(2,COLUMN())),OFFSET($BN$2,0,0,ROW()-1,60),ROW()-1,FALSE))</f>
        <v>6.8613174560000001</v>
      </c>
      <c r="J277">
        <f ca="1">IF(AND(ISNUMBER($J$721),$B$419=1),$J$721,HLOOKUP(INDIRECT(ADDRESS(2,COLUMN())),OFFSET($BN$2,0,0,ROW()-1,60),ROW()-1,FALSE))</f>
        <v>7.1402321659999997</v>
      </c>
      <c r="K277">
        <f ca="1">IF(AND(ISNUMBER($K$721),$B$419=1),$K$721,HLOOKUP(INDIRECT(ADDRESS(2,COLUMN())),OFFSET($BN$2,0,0,ROW()-1,60),ROW()-1,FALSE))</f>
        <v>7.071156459</v>
      </c>
      <c r="L277">
        <f ca="1">IF(AND(ISNUMBER($L$721),$B$419=1),$L$721,HLOOKUP(INDIRECT(ADDRESS(2,COLUMN())),OFFSET($BN$2,0,0,ROW()-1,60),ROW()-1,FALSE))</f>
        <v>7.2058475050000004</v>
      </c>
      <c r="M277">
        <f ca="1">IF(AND(ISNUMBER($M$721),$B$419=1),$M$721,HLOOKUP(INDIRECT(ADDRESS(2,COLUMN())),OFFSET($BN$2,0,0,ROW()-1,60),ROW()-1,FALSE))</f>
        <v>7.22212473</v>
      </c>
      <c r="N277">
        <f ca="1">IF(AND(ISNUMBER($N$721),$B$419=1),$N$721,HLOOKUP(INDIRECT(ADDRESS(2,COLUMN())),OFFSET($BN$2,0,0,ROW()-1,60),ROW()-1,FALSE))</f>
        <v>7.1986492110000002</v>
      </c>
      <c r="O277">
        <f ca="1">IF(AND(ISNUMBER($O$721),$B$419=1),$O$721,HLOOKUP(INDIRECT(ADDRESS(2,COLUMN())),OFFSET($BN$2,0,0,ROW()-1,60),ROW()-1,FALSE))</f>
        <v>7.3823897499999998</v>
      </c>
      <c r="P277">
        <f ca="1">IF(AND(ISNUMBER($P$721),$B$419=1),$P$721,HLOOKUP(INDIRECT(ADDRESS(2,COLUMN())),OFFSET($BN$2,0,0,ROW()-1,60),ROW()-1,FALSE))</f>
        <v>7.4286585629999999</v>
      </c>
      <c r="Q277">
        <f ca="1">IF(AND(ISNUMBER($Q$721),$B$419=1),$Q$721,HLOOKUP(INDIRECT(ADDRESS(2,COLUMN())),OFFSET($BN$2,0,0,ROW()-1,60),ROW()-1,FALSE))</f>
        <v>7.5217294670000001</v>
      </c>
      <c r="R277">
        <f ca="1">IF(AND(ISNUMBER($R$721),$B$419=1),$R$721,HLOOKUP(INDIRECT(ADDRESS(2,COLUMN())),OFFSET($BN$2,0,0,ROW()-1,60),ROW()-1,FALSE))</f>
        <v>7.6235118369999997</v>
      </c>
      <c r="S277">
        <f ca="1">IF(AND(ISNUMBER($S$721),$B$419=1),$S$721,HLOOKUP(INDIRECT(ADDRESS(2,COLUMN())),OFFSET($BN$2,0,0,ROW()-1,60),ROW()-1,FALSE))</f>
        <v>7.5344889249999998</v>
      </c>
      <c r="T277">
        <f ca="1">IF(AND(ISNUMBER($T$721),$B$419=1),$T$721,HLOOKUP(INDIRECT(ADDRESS(2,COLUMN())),OFFSET($BN$2,0,0,ROW()-1,60),ROW()-1,FALSE))</f>
        <v>7.7542989450000004</v>
      </c>
      <c r="U277">
        <f ca="1">IF(AND(ISNUMBER($U$721),$B$419=1),$U$721,HLOOKUP(INDIRECT(ADDRESS(2,COLUMN())),OFFSET($BN$2,0,0,ROW()-1,60),ROW()-1,FALSE))</f>
        <v>8.0444861190000001</v>
      </c>
      <c r="V277">
        <f ca="1">IF(AND(ISNUMBER($V$721),$B$419=1),$V$721,HLOOKUP(INDIRECT(ADDRESS(2,COLUMN())),OFFSET($BN$2,0,0,ROW()-1,60),ROW()-1,FALSE))</f>
        <v>7.8742017989999997</v>
      </c>
      <c r="W277">
        <f ca="1">IF(AND(ISNUMBER($W$721),$B$419=1),$W$721,HLOOKUP(INDIRECT(ADDRESS(2,COLUMN())),OFFSET($BN$2,0,0,ROW()-1,60),ROW()-1,FALSE))</f>
        <v>8.0464158220000002</v>
      </c>
      <c r="X277">
        <f ca="1">IF(AND(ISNUMBER($X$721),$B$419=1),$X$721,HLOOKUP(INDIRECT(ADDRESS(2,COLUMN())),OFFSET($BN$2,0,0,ROW()-1,60),ROW()-1,FALSE))</f>
        <v>8.5045535090000008</v>
      </c>
      <c r="Y277">
        <f ca="1">IF(AND(ISNUMBER($Y$721),$B$419=1),$Y$721,HLOOKUP(INDIRECT(ADDRESS(2,COLUMN())),OFFSET($BN$2,0,0,ROW()-1,60),ROW()-1,FALSE))</f>
        <v>8.5150247050000001</v>
      </c>
      <c r="Z277">
        <f ca="1">IF(AND(ISNUMBER($Z$721),$B$419=1),$Z$721,HLOOKUP(INDIRECT(ADDRESS(2,COLUMN())),OFFSET($BN$2,0,0,ROW()-1,60),ROW()-1,FALSE))</f>
        <v>9.1783238919999999</v>
      </c>
      <c r="AA277">
        <f ca="1">IF(AND(ISNUMBER($AA$721),$B$419=1),$AA$721,HLOOKUP(INDIRECT(ADDRESS(2,COLUMN())),OFFSET($BN$2,0,0,ROW()-1,60),ROW()-1,FALSE))</f>
        <v>9.2347000500000007</v>
      </c>
      <c r="AB277" t="str">
        <f ca="1">IF(AND(ISNUMBER($AB$721),$B$419=1),$AB$721,HLOOKUP(INDIRECT(ADDRESS(2,COLUMN())),OFFSET($BN$2,0,0,ROW()-1,60),ROW()-1,FALSE))</f>
        <v/>
      </c>
      <c r="AC277" t="str">
        <f ca="1">IF(AND(ISNUMBER($AC$721),$B$419=1),$AC$721,HLOOKUP(INDIRECT(ADDRESS(2,COLUMN())),OFFSET($BN$2,0,0,ROW()-1,60),ROW()-1,FALSE))</f>
        <v/>
      </c>
      <c r="AD277" t="str">
        <f ca="1">IF(AND(ISNUMBER($AD$721),$B$419=1),$AD$721,HLOOKUP(INDIRECT(ADDRESS(2,COLUMN())),OFFSET($BN$2,0,0,ROW()-1,60),ROW()-1,FALSE))</f>
        <v/>
      </c>
      <c r="AE277" t="str">
        <f ca="1">IF(AND(ISNUMBER($AE$721),$B$419=1),$AE$721,HLOOKUP(INDIRECT(ADDRESS(2,COLUMN())),OFFSET($BN$2,0,0,ROW()-1,60),ROW()-1,FALSE))</f>
        <v/>
      </c>
      <c r="AF277" t="str">
        <f ca="1">IF(AND(ISNUMBER($AF$721),$B$419=1),$AF$721,HLOOKUP(INDIRECT(ADDRESS(2,COLUMN())),OFFSET($BN$2,0,0,ROW()-1,60),ROW()-1,FALSE))</f>
        <v/>
      </c>
      <c r="AG277" t="str">
        <f ca="1">IF(AND(ISNUMBER($AG$721),$B$419=1),$AG$721,HLOOKUP(INDIRECT(ADDRESS(2,COLUMN())),OFFSET($BN$2,0,0,ROW()-1,60),ROW()-1,FALSE))</f>
        <v/>
      </c>
      <c r="AH277" t="str">
        <f ca="1">IF(AND(ISNUMBER($AH$721),$B$419=1),$AH$721,HLOOKUP(INDIRECT(ADDRESS(2,COLUMN())),OFFSET($BN$2,0,0,ROW()-1,60),ROW()-1,FALSE))</f>
        <v/>
      </c>
      <c r="AI277" t="str">
        <f ca="1">IF(AND(ISNUMBER($AI$721),$B$419=1),$AI$721,HLOOKUP(INDIRECT(ADDRESS(2,COLUMN())),OFFSET($BN$2,0,0,ROW()-1,60),ROW()-1,FALSE))</f>
        <v/>
      </c>
      <c r="AJ277" t="str">
        <f ca="1">IF(AND(ISNUMBER($AJ$721),$B$419=1),$AJ$721,HLOOKUP(INDIRECT(ADDRESS(2,COLUMN())),OFFSET($BN$2,0,0,ROW()-1,60),ROW()-1,FALSE))</f>
        <v/>
      </c>
      <c r="AK277" t="str">
        <f ca="1">IF(AND(ISNUMBER($AK$721),$B$419=1),$AK$721,HLOOKUP(INDIRECT(ADDRESS(2,COLUMN())),OFFSET($BN$2,0,0,ROW()-1,60),ROW()-1,FALSE))</f>
        <v/>
      </c>
      <c r="AL277" t="str">
        <f ca="1">IF(AND(ISNUMBER($AL$721),$B$419=1),$AL$721,HLOOKUP(INDIRECT(ADDRESS(2,COLUMN())),OFFSET($BN$2,0,0,ROW()-1,60),ROW()-1,FALSE))</f>
        <v/>
      </c>
      <c r="AM277" t="str">
        <f ca="1">IF(AND(ISNUMBER($AM$721),$B$419=1),$AM$721,HLOOKUP(INDIRECT(ADDRESS(2,COLUMN())),OFFSET($BN$2,0,0,ROW()-1,60),ROW()-1,FALSE))</f>
        <v/>
      </c>
      <c r="AN277" t="str">
        <f ca="1">IF(AND(ISNUMBER($AN$721),$B$419=1),$AN$721,HLOOKUP(INDIRECT(ADDRESS(2,COLUMN())),OFFSET($BN$2,0,0,ROW()-1,60),ROW()-1,FALSE))</f>
        <v/>
      </c>
      <c r="AO277" t="str">
        <f ca="1">IF(AND(ISNUMBER($AO$721),$B$419=1),$AO$721,HLOOKUP(INDIRECT(ADDRESS(2,COLUMN())),OFFSET($BN$2,0,0,ROW()-1,60),ROW()-1,FALSE))</f>
        <v/>
      </c>
      <c r="AP277" t="str">
        <f ca="1">IF(AND(ISNUMBER($AP$721),$B$419=1),$AP$721,HLOOKUP(INDIRECT(ADDRESS(2,COLUMN())),OFFSET($BN$2,0,0,ROW()-1,60),ROW()-1,FALSE))</f>
        <v/>
      </c>
      <c r="AQ277" t="str">
        <f ca="1">IF(AND(ISNUMBER($AQ$721),$B$419=1),$AQ$721,HLOOKUP(INDIRECT(ADDRESS(2,COLUMN())),OFFSET($BN$2,0,0,ROW()-1,60),ROW()-1,FALSE))</f>
        <v/>
      </c>
      <c r="AR277" t="str">
        <f ca="1">IF(AND(ISNUMBER($AR$721),$B$419=1),$AR$721,HLOOKUP(INDIRECT(ADDRESS(2,COLUMN())),OFFSET($BN$2,0,0,ROW()-1,60),ROW()-1,FALSE))</f>
        <v/>
      </c>
      <c r="AS277" t="str">
        <f ca="1">IF(AND(ISNUMBER($AS$721),$B$419=1),$AS$721,HLOOKUP(INDIRECT(ADDRESS(2,COLUMN())),OFFSET($BN$2,0,0,ROW()-1,60),ROW()-1,FALSE))</f>
        <v/>
      </c>
      <c r="AT277" t="str">
        <f ca="1">IF(AND(ISNUMBER($AT$721),$B$419=1),$AT$721,HLOOKUP(INDIRECT(ADDRESS(2,COLUMN())),OFFSET($BN$2,0,0,ROW()-1,60),ROW()-1,FALSE))</f>
        <v/>
      </c>
      <c r="AU277" t="str">
        <f ca="1">IF(AND(ISNUMBER($AU$721),$B$419=1),$AU$721,HLOOKUP(INDIRECT(ADDRESS(2,COLUMN())),OFFSET($BN$2,0,0,ROW()-1,60),ROW()-1,FALSE))</f>
        <v/>
      </c>
      <c r="AV277" t="str">
        <f ca="1">IF(AND(ISNUMBER($AV$721),$B$419=1),$AV$721,HLOOKUP(INDIRECT(ADDRESS(2,COLUMN())),OFFSET($BN$2,0,0,ROW()-1,60),ROW()-1,FALSE))</f>
        <v/>
      </c>
      <c r="AW277" t="str">
        <f ca="1">IF(AND(ISNUMBER($AW$721),$B$419=1),$AW$721,HLOOKUP(INDIRECT(ADDRESS(2,COLUMN())),OFFSET($BN$2,0,0,ROW()-1,60),ROW()-1,FALSE))</f>
        <v/>
      </c>
      <c r="AX277" t="str">
        <f ca="1">IF(AND(ISNUMBER($AX$721),$B$419=1),$AX$721,HLOOKUP(INDIRECT(ADDRESS(2,COLUMN())),OFFSET($BN$2,0,0,ROW()-1,60),ROW()-1,FALSE))</f>
        <v/>
      </c>
      <c r="AY277" t="str">
        <f ca="1">IF(AND(ISNUMBER($AY$721),$B$419=1),$AY$721,HLOOKUP(INDIRECT(ADDRESS(2,COLUMN())),OFFSET($BN$2,0,0,ROW()-1,60),ROW()-1,FALSE))</f>
        <v/>
      </c>
      <c r="AZ277" t="str">
        <f ca="1">IF(AND(ISNUMBER($AZ$721),$B$419=1),$AZ$721,HLOOKUP(INDIRECT(ADDRESS(2,COLUMN())),OFFSET($BN$2,0,0,ROW()-1,60),ROW()-1,FALSE))</f>
        <v/>
      </c>
      <c r="BA277" t="str">
        <f ca="1">IF(AND(ISNUMBER($BA$721),$B$419=1),$BA$721,HLOOKUP(INDIRECT(ADDRESS(2,COLUMN())),OFFSET($BN$2,0,0,ROW()-1,60),ROW()-1,FALSE))</f>
        <v/>
      </c>
      <c r="BB277" t="str">
        <f ca="1">IF(AND(ISNUMBER($BB$721),$B$419=1),$BB$721,HLOOKUP(INDIRECT(ADDRESS(2,COLUMN())),OFFSET($BN$2,0,0,ROW()-1,60),ROW()-1,FALSE))</f>
        <v/>
      </c>
      <c r="BC277" t="str">
        <f ca="1">IF(AND(ISNUMBER($BC$721),$B$419=1),$BC$721,HLOOKUP(INDIRECT(ADDRESS(2,COLUMN())),OFFSET($BN$2,0,0,ROW()-1,60),ROW()-1,FALSE))</f>
        <v/>
      </c>
      <c r="BD277" t="str">
        <f ca="1">IF(AND(ISNUMBER($BD$721),$B$419=1),$BD$721,HLOOKUP(INDIRECT(ADDRESS(2,COLUMN())),OFFSET($BN$2,0,0,ROW()-1,60),ROW()-1,FALSE))</f>
        <v/>
      </c>
      <c r="BE277" t="str">
        <f ca="1">IF(AND(ISNUMBER($BE$721),$B$419=1),$BE$721,HLOOKUP(INDIRECT(ADDRESS(2,COLUMN())),OFFSET($BN$2,0,0,ROW()-1,60),ROW()-1,FALSE))</f>
        <v/>
      </c>
      <c r="BF277" t="str">
        <f ca="1">IF(AND(ISNUMBER($BF$721),$B$419=1),$BF$721,HLOOKUP(INDIRECT(ADDRESS(2,COLUMN())),OFFSET($BN$2,0,0,ROW()-1,60),ROW()-1,FALSE))</f>
        <v/>
      </c>
      <c r="BG277" t="str">
        <f ca="1">IF(AND(ISNUMBER($BG$721),$B$419=1),$BG$721,HLOOKUP(INDIRECT(ADDRESS(2,COLUMN())),OFFSET($BN$2,0,0,ROW()-1,60),ROW()-1,FALSE))</f>
        <v/>
      </c>
      <c r="BH277" t="str">
        <f ca="1">IF(AND(ISNUMBER($BH$721),$B$419=1),$BH$721,HLOOKUP(INDIRECT(ADDRESS(2,COLUMN())),OFFSET($BN$2,0,0,ROW()-1,60),ROW()-1,FALSE))</f>
        <v/>
      </c>
      <c r="BI277" t="str">
        <f ca="1">IF(AND(ISNUMBER($BI$721),$B$419=1),$BI$721,HLOOKUP(INDIRECT(ADDRESS(2,COLUMN())),OFFSET($BN$2,0,0,ROW()-1,60),ROW()-1,FALSE))</f>
        <v/>
      </c>
      <c r="BJ277" t="str">
        <f ca="1">IF(AND(ISNUMBER($BJ$721),$B$419=1),$BJ$721,HLOOKUP(INDIRECT(ADDRESS(2,COLUMN())),OFFSET($BN$2,0,0,ROW()-1,60),ROW()-1,FALSE))</f>
        <v/>
      </c>
      <c r="BK277" t="str">
        <f ca="1">IF(AND(ISNUMBER($BK$721),$B$419=1),$BK$721,HLOOKUP(INDIRECT(ADDRESS(2,COLUMN())),OFFSET($BN$2,0,0,ROW()-1,60),ROW()-1,FALSE))</f>
        <v/>
      </c>
      <c r="BL277" t="str">
        <f ca="1">IF(AND(ISNUMBER($BL$721),$B$419=1),$BL$721,HLOOKUP(INDIRECT(ADDRESS(2,COLUMN())),OFFSET($BN$2,0,0,ROW()-1,60),ROW()-1,FALSE))</f>
        <v/>
      </c>
      <c r="BM277" t="str">
        <f ca="1">IF(AND(ISNUMBER($BM$721),$B$419=1),$BM$721,HLOOKUP(INDIRECT(ADDRESS(2,COLUMN())),OFFSET($BN$2,0,0,ROW()-1,60),ROW()-1,FALSE))</f>
        <v/>
      </c>
      <c r="BN277" t="str">
        <f>""</f>
        <v/>
      </c>
      <c r="BO277">
        <f>6.896158165</f>
        <v>6.8961581650000001</v>
      </c>
      <c r="BP277">
        <f>6.951291999</f>
        <v>6.9512919990000004</v>
      </c>
      <c r="BQ277">
        <f>6.861317456</f>
        <v>6.8613174560000001</v>
      </c>
      <c r="BR277">
        <f>7.140232166</f>
        <v>7.1402321659999997</v>
      </c>
      <c r="BS277">
        <f>7.071156459</f>
        <v>7.071156459</v>
      </c>
      <c r="BT277">
        <f>7.205847505</f>
        <v>7.2058475050000004</v>
      </c>
      <c r="BU277">
        <f>7.22212473</f>
        <v>7.22212473</v>
      </c>
      <c r="BV277">
        <f>7.198649211</f>
        <v>7.1986492110000002</v>
      </c>
      <c r="BW277">
        <f>7.38238975</f>
        <v>7.3823897499999998</v>
      </c>
      <c r="BX277">
        <f>7.428658563</f>
        <v>7.4286585629999999</v>
      </c>
      <c r="BY277">
        <f>7.521729467</f>
        <v>7.5217294670000001</v>
      </c>
      <c r="BZ277">
        <f>7.623511837</f>
        <v>7.6235118369999997</v>
      </c>
      <c r="CA277">
        <f>7.534488925</f>
        <v>7.5344889249999998</v>
      </c>
      <c r="CB277">
        <f>7.754298945</f>
        <v>7.7542989450000004</v>
      </c>
      <c r="CC277">
        <f>8.044486119</f>
        <v>8.0444861190000001</v>
      </c>
      <c r="CD277">
        <f>7.874201799</f>
        <v>7.8742017989999997</v>
      </c>
      <c r="CE277">
        <f>8.046415822</f>
        <v>8.0464158220000002</v>
      </c>
      <c r="CF277">
        <f>8.504553509</f>
        <v>8.5045535090000008</v>
      </c>
      <c r="CG277">
        <f>8.515024705</f>
        <v>8.5150247050000001</v>
      </c>
      <c r="CH277">
        <f>9.178323892</f>
        <v>9.1783238919999999</v>
      </c>
      <c r="CI277">
        <f>9.23470005</f>
        <v>9.2347000500000007</v>
      </c>
      <c r="CJ277" t="str">
        <f>""</f>
        <v/>
      </c>
      <c r="CK277" t="str">
        <f>""</f>
        <v/>
      </c>
      <c r="CL277" t="str">
        <f>""</f>
        <v/>
      </c>
      <c r="CM277" t="str">
        <f>""</f>
        <v/>
      </c>
      <c r="CN277" t="str">
        <f>""</f>
        <v/>
      </c>
      <c r="CO277" t="str">
        <f>""</f>
        <v/>
      </c>
      <c r="CP277" t="str">
        <f>""</f>
        <v/>
      </c>
      <c r="CQ277" t="str">
        <f>""</f>
        <v/>
      </c>
      <c r="CR277" t="str">
        <f>""</f>
        <v/>
      </c>
      <c r="CS277" t="str">
        <f>""</f>
        <v/>
      </c>
      <c r="CT277" t="str">
        <f>""</f>
        <v/>
      </c>
      <c r="CU277" t="str">
        <f>""</f>
        <v/>
      </c>
      <c r="CV277" t="str">
        <f>""</f>
        <v/>
      </c>
      <c r="CW277" t="str">
        <f>""</f>
        <v/>
      </c>
      <c r="CX277" t="str">
        <f>""</f>
        <v/>
      </c>
      <c r="CY277" t="str">
        <f>""</f>
        <v/>
      </c>
      <c r="CZ277" t="str">
        <f>""</f>
        <v/>
      </c>
      <c r="DA277" t="str">
        <f>""</f>
        <v/>
      </c>
      <c r="DB277" t="str">
        <f>""</f>
        <v/>
      </c>
      <c r="DC277" t="str">
        <f>""</f>
        <v/>
      </c>
      <c r="DD277" t="str">
        <f>""</f>
        <v/>
      </c>
      <c r="DE277" t="str">
        <f>""</f>
        <v/>
      </c>
      <c r="DF277" t="str">
        <f>""</f>
        <v/>
      </c>
      <c r="DG277" t="str">
        <f>""</f>
        <v/>
      </c>
      <c r="DH277" t="str">
        <f>""</f>
        <v/>
      </c>
      <c r="DI277" t="str">
        <f>""</f>
        <v/>
      </c>
      <c r="DJ277" t="str">
        <f>""</f>
        <v/>
      </c>
      <c r="DK277" t="str">
        <f>""</f>
        <v/>
      </c>
      <c r="DL277" t="str">
        <f>""</f>
        <v/>
      </c>
      <c r="DM277" t="str">
        <f>""</f>
        <v/>
      </c>
      <c r="DN277" t="str">
        <f>""</f>
        <v/>
      </c>
      <c r="DO277" t="str">
        <f>""</f>
        <v/>
      </c>
      <c r="DP277" t="str">
        <f>""</f>
        <v/>
      </c>
      <c r="DQ277" t="str">
        <f>""</f>
        <v/>
      </c>
      <c r="DR277" t="str">
        <f>""</f>
        <v/>
      </c>
      <c r="DS277" t="str">
        <f>""</f>
        <v/>
      </c>
      <c r="DT277" t="str">
        <f>""</f>
        <v/>
      </c>
      <c r="DU277" t="str">
        <f>""</f>
        <v/>
      </c>
    </row>
    <row r="278" spans="1:125">
      <c r="A278" t="str">
        <f>"    CBL &amp; Associates Properties In"</f>
        <v xml:space="preserve">    CBL &amp; Associates Properties In</v>
      </c>
      <c r="B278" t="str">
        <f>"CBL US Equity"</f>
        <v>CBL US Equity</v>
      </c>
      <c r="C278" t="str">
        <f t="shared" si="51"/>
        <v>F1178</v>
      </c>
      <c r="D278" t="str">
        <f t="shared" si="52"/>
        <v>NET_DEBT_EBITDA_ADJUSTED</v>
      </c>
      <c r="E278" t="str">
        <f t="shared" si="53"/>
        <v>动态</v>
      </c>
      <c r="F278" t="str">
        <f ca="1">IF(AND(ISNUMBER($F$722),$B$419=1),$F$722,HLOOKUP(INDIRECT(ADDRESS(2,COLUMN())),OFFSET($BN$2,0,0,ROW()-1,60),ROW()-1,FALSE))</f>
        <v/>
      </c>
      <c r="G278">
        <f ca="1">IF(AND(ISNUMBER($G$722),$B$419=1),$G$722,HLOOKUP(INDIRECT(ADDRESS(2,COLUMN())),OFFSET($BN$2,0,0,ROW()-1,60),ROW()-1,FALSE))</f>
        <v>8.0466944710000003</v>
      </c>
      <c r="H278">
        <f ca="1">IF(AND(ISNUMBER($H$722),$B$419=1),$H$722,HLOOKUP(INDIRECT(ADDRESS(2,COLUMN())),OFFSET($BN$2,0,0,ROW()-1,60),ROW()-1,FALSE))</f>
        <v>7.7602277910000002</v>
      </c>
      <c r="I278">
        <f ca="1">IF(AND(ISNUMBER($I$722),$B$419=1),$I$722,HLOOKUP(INDIRECT(ADDRESS(2,COLUMN())),OFFSET($BN$2,0,0,ROW()-1,60),ROW()-1,FALSE))</f>
        <v>7.6039196110000002</v>
      </c>
      <c r="J278">
        <f ca="1">IF(AND(ISNUMBER($J$722),$B$419=1),$J$722,HLOOKUP(INDIRECT(ADDRESS(2,COLUMN())),OFFSET($BN$2,0,0,ROW()-1,60),ROW()-1,FALSE))</f>
        <v>6.865722914</v>
      </c>
      <c r="K278">
        <f ca="1">IF(AND(ISNUMBER($K$722),$B$419=1),$K$722,HLOOKUP(INDIRECT(ADDRESS(2,COLUMN())),OFFSET($BN$2,0,0,ROW()-1,60),ROW()-1,FALSE))</f>
        <v>6.7038111980000004</v>
      </c>
      <c r="L278">
        <f ca="1">IF(AND(ISNUMBER($L$722),$B$419=1),$L$722,HLOOKUP(INDIRECT(ADDRESS(2,COLUMN())),OFFSET($BN$2,0,0,ROW()-1,60),ROW()-1,FALSE))</f>
        <v>6.654442446</v>
      </c>
      <c r="M278">
        <f ca="1">IF(AND(ISNUMBER($M$722),$B$419=1),$M$722,HLOOKUP(INDIRECT(ADDRESS(2,COLUMN())),OFFSET($BN$2,0,0,ROW()-1,60),ROW()-1,FALSE))</f>
        <v>6.6690815920000004</v>
      </c>
      <c r="N278">
        <f ca="1">IF(AND(ISNUMBER($N$722),$B$419=1),$N$722,HLOOKUP(INDIRECT(ADDRESS(2,COLUMN())),OFFSET($BN$2,0,0,ROW()-1,60),ROW()-1,FALSE))</f>
        <v>6.8568518379999999</v>
      </c>
      <c r="O278">
        <f ca="1">IF(AND(ISNUMBER($O$722),$B$419=1),$O$722,HLOOKUP(INDIRECT(ADDRESS(2,COLUMN())),OFFSET($BN$2,0,0,ROW()-1,60),ROW()-1,FALSE))</f>
        <v>6.8619299939999996</v>
      </c>
      <c r="P278">
        <f ca="1">IF(AND(ISNUMBER($P$722),$B$419=1),$P$722,HLOOKUP(INDIRECT(ADDRESS(2,COLUMN())),OFFSET($BN$2,0,0,ROW()-1,60),ROW()-1,FALSE))</f>
        <v>7.0753222579999999</v>
      </c>
      <c r="Q278">
        <f ca="1">IF(AND(ISNUMBER($Q$722),$B$419=1),$Q$722,HLOOKUP(INDIRECT(ADDRESS(2,COLUMN())),OFFSET($BN$2,0,0,ROW()-1,60),ROW()-1,FALSE))</f>
        <v>7.0722982740000004</v>
      </c>
      <c r="R278">
        <f ca="1">IF(AND(ISNUMBER($R$722),$B$419=1),$R$722,HLOOKUP(INDIRECT(ADDRESS(2,COLUMN())),OFFSET($BN$2,0,0,ROW()-1,60),ROW()-1,FALSE))</f>
        <v>6.7791313080000002</v>
      </c>
      <c r="S278">
        <f ca="1">IF(AND(ISNUMBER($S$722),$B$419=1),$S$722,HLOOKUP(INDIRECT(ADDRESS(2,COLUMN())),OFFSET($BN$2,0,0,ROW()-1,60),ROW()-1,FALSE))</f>
        <v>6.7851446449999999</v>
      </c>
      <c r="T278">
        <f ca="1">IF(AND(ISNUMBER($T$722),$B$419=1),$T$722,HLOOKUP(INDIRECT(ADDRESS(2,COLUMN())),OFFSET($BN$2,0,0,ROW()-1,60),ROW()-1,FALSE))</f>
        <v>6.8059700190000001</v>
      </c>
      <c r="U278">
        <f ca="1">IF(AND(ISNUMBER($U$722),$B$419=1),$U$722,HLOOKUP(INDIRECT(ADDRESS(2,COLUMN())),OFFSET($BN$2,0,0,ROW()-1,60),ROW()-1,FALSE))</f>
        <v>6.9472531200000001</v>
      </c>
      <c r="V278">
        <f ca="1">IF(AND(ISNUMBER($V$722),$B$419=1),$V$722,HLOOKUP(INDIRECT(ADDRESS(2,COLUMN())),OFFSET($BN$2,0,0,ROW()-1,60),ROW()-1,FALSE))</f>
        <v>6.9351069150000004</v>
      </c>
      <c r="W278">
        <f ca="1">IF(AND(ISNUMBER($W$722),$B$419=1),$W$722,HLOOKUP(INDIRECT(ADDRESS(2,COLUMN())),OFFSET($BN$2,0,0,ROW()-1,60),ROW()-1,FALSE))</f>
        <v>6.9811210529999999</v>
      </c>
      <c r="X278">
        <f ca="1">IF(AND(ISNUMBER($X$722),$B$419=1),$X$722,HLOOKUP(INDIRECT(ADDRESS(2,COLUMN())),OFFSET($BN$2,0,0,ROW()-1,60),ROW()-1,FALSE))</f>
        <v>6.9893711339999998</v>
      </c>
      <c r="Y278">
        <f ca="1">IF(AND(ISNUMBER($Y$722),$B$419=1),$Y$722,HLOOKUP(INDIRECT(ADDRESS(2,COLUMN())),OFFSET($BN$2,0,0,ROW()-1,60),ROW()-1,FALSE))</f>
        <v>6.6769771430000002</v>
      </c>
      <c r="Z278">
        <f ca="1">IF(AND(ISNUMBER($Z$722),$B$419=1),$Z$722,HLOOKUP(INDIRECT(ADDRESS(2,COLUMN())),OFFSET($BN$2,0,0,ROW()-1,60),ROW()-1,FALSE))</f>
        <v>6.8255887399999997</v>
      </c>
      <c r="AA278">
        <f ca="1">IF(AND(ISNUMBER($AA$722),$B$419=1),$AA$722,HLOOKUP(INDIRECT(ADDRESS(2,COLUMN())),OFFSET($BN$2,0,0,ROW()-1,60),ROW()-1,FALSE))</f>
        <v>7.0053311799999998</v>
      </c>
      <c r="AB278">
        <f ca="1">IF(AND(ISNUMBER($AB$722),$B$419=1),$AB$722,HLOOKUP(INDIRECT(ADDRESS(2,COLUMN())),OFFSET($BN$2,0,0,ROW()-1,60),ROW()-1,FALSE))</f>
        <v>7.0124816560000003</v>
      </c>
      <c r="AC278">
        <f ca="1">IF(AND(ISNUMBER($AC$722),$B$419=1),$AC$722,HLOOKUP(INDIRECT(ADDRESS(2,COLUMN())),OFFSET($BN$2,0,0,ROW()-1,60),ROW()-1,FALSE))</f>
        <v>6.9006736919999998</v>
      </c>
      <c r="AD278">
        <f ca="1">IF(AND(ISNUMBER($AD$722),$B$419=1),$AD$722,HLOOKUP(INDIRECT(ADDRESS(2,COLUMN())),OFFSET($BN$2,0,0,ROW()-1,60),ROW()-1,FALSE))</f>
        <v>6.5022837060000001</v>
      </c>
      <c r="AE278">
        <f ca="1">IF(AND(ISNUMBER($AE$722),$B$419=1),$AE$722,HLOOKUP(INDIRECT(ADDRESS(2,COLUMN())),OFFSET($BN$2,0,0,ROW()-1,60),ROW()-1,FALSE))</f>
        <v>6.4460010409999997</v>
      </c>
      <c r="AF278">
        <f ca="1">IF(AND(ISNUMBER($AF$722),$B$419=1),$AF$722,HLOOKUP(INDIRECT(ADDRESS(2,COLUMN())),OFFSET($BN$2,0,0,ROW()-1,60),ROW()-1,FALSE))</f>
        <v>7.3445041590000004</v>
      </c>
      <c r="AG278">
        <f ca="1">IF(AND(ISNUMBER($AG$722),$B$419=1),$AG$722,HLOOKUP(INDIRECT(ADDRESS(2,COLUMN())),OFFSET($BN$2,0,0,ROW()-1,60),ROW()-1,FALSE))</f>
        <v>7.3620928909999996</v>
      </c>
      <c r="AH278">
        <f ca="1">IF(AND(ISNUMBER($AH$722),$B$419=1),$AH$722,HLOOKUP(INDIRECT(ADDRESS(2,COLUMN())),OFFSET($BN$2,0,0,ROW()-1,60),ROW()-1,FALSE))</f>
        <v>7.3452531839999997</v>
      </c>
      <c r="AI278">
        <f ca="1">IF(AND(ISNUMBER($AI$722),$B$419=1),$AI$722,HLOOKUP(INDIRECT(ADDRESS(2,COLUMN())),OFFSET($BN$2,0,0,ROW()-1,60),ROW()-1,FALSE))</f>
        <v>7.3687660419999998</v>
      </c>
      <c r="AJ278">
        <f ca="1">IF(AND(ISNUMBER($AJ$722),$B$419=1),$AJ$722,HLOOKUP(INDIRECT(ADDRESS(2,COLUMN())),OFFSET($BN$2,0,0,ROW()-1,60),ROW()-1,FALSE))</f>
        <v>7.6599744300000001</v>
      </c>
      <c r="AK278">
        <f ca="1">IF(AND(ISNUMBER($AK$722),$B$419=1),$AK$722,HLOOKUP(INDIRECT(ADDRESS(2,COLUMN())),OFFSET($BN$2,0,0,ROW()-1,60),ROW()-1,FALSE))</f>
        <v>7.7577912680000001</v>
      </c>
      <c r="AL278">
        <f ca="1">IF(AND(ISNUMBER($AL$722),$B$419=1),$AL$722,HLOOKUP(INDIRECT(ADDRESS(2,COLUMN())),OFFSET($BN$2,0,0,ROW()-1,60),ROW()-1,FALSE))</f>
        <v>7.7286714810000001</v>
      </c>
      <c r="AM278">
        <f ca="1">IF(AND(ISNUMBER($AM$722),$B$419=1),$AM$722,HLOOKUP(INDIRECT(ADDRESS(2,COLUMN())),OFFSET($BN$2,0,0,ROW()-1,60),ROW()-1,FALSE))</f>
        <v>7.9195046400000004</v>
      </c>
      <c r="AN278" t="str">
        <f ca="1">IF(AND(ISNUMBER($AN$722),$B$419=1),$AN$722,HLOOKUP(INDIRECT(ADDRESS(2,COLUMN())),OFFSET($BN$2,0,0,ROW()-1,60),ROW()-1,FALSE))</f>
        <v/>
      </c>
      <c r="AO278" t="str">
        <f ca="1">IF(AND(ISNUMBER($AO$722),$B$419=1),$AO$722,HLOOKUP(INDIRECT(ADDRESS(2,COLUMN())),OFFSET($BN$2,0,0,ROW()-1,60),ROW()-1,FALSE))</f>
        <v/>
      </c>
      <c r="AP278" t="str">
        <f ca="1">IF(AND(ISNUMBER($AP$722),$B$419=1),$AP$722,HLOOKUP(INDIRECT(ADDRESS(2,COLUMN())),OFFSET($BN$2,0,0,ROW()-1,60),ROW()-1,FALSE))</f>
        <v/>
      </c>
      <c r="AQ278" t="str">
        <f ca="1">IF(AND(ISNUMBER($AQ$722),$B$419=1),$AQ$722,HLOOKUP(INDIRECT(ADDRESS(2,COLUMN())),OFFSET($BN$2,0,0,ROW()-1,60),ROW()-1,FALSE))</f>
        <v/>
      </c>
      <c r="AR278" t="str">
        <f ca="1">IF(AND(ISNUMBER($AR$722),$B$419=1),$AR$722,HLOOKUP(INDIRECT(ADDRESS(2,COLUMN())),OFFSET($BN$2,0,0,ROW()-1,60),ROW()-1,FALSE))</f>
        <v/>
      </c>
      <c r="AS278" t="str">
        <f ca="1">IF(AND(ISNUMBER($AS$722),$B$419=1),$AS$722,HLOOKUP(INDIRECT(ADDRESS(2,COLUMN())),OFFSET($BN$2,0,0,ROW()-1,60),ROW()-1,FALSE))</f>
        <v/>
      </c>
      <c r="AT278" t="str">
        <f ca="1">IF(AND(ISNUMBER($AT$722),$B$419=1),$AT$722,HLOOKUP(INDIRECT(ADDRESS(2,COLUMN())),OFFSET($BN$2,0,0,ROW()-1,60),ROW()-1,FALSE))</f>
        <v/>
      </c>
      <c r="AU278" t="str">
        <f ca="1">IF(AND(ISNUMBER($AU$722),$B$419=1),$AU$722,HLOOKUP(INDIRECT(ADDRESS(2,COLUMN())),OFFSET($BN$2,0,0,ROW()-1,60),ROW()-1,FALSE))</f>
        <v/>
      </c>
      <c r="AV278" t="str">
        <f ca="1">IF(AND(ISNUMBER($AV$722),$B$419=1),$AV$722,HLOOKUP(INDIRECT(ADDRESS(2,COLUMN())),OFFSET($BN$2,0,0,ROW()-1,60),ROW()-1,FALSE))</f>
        <v/>
      </c>
      <c r="AW278" t="str">
        <f ca="1">IF(AND(ISNUMBER($AW$722),$B$419=1),$AW$722,HLOOKUP(INDIRECT(ADDRESS(2,COLUMN())),OFFSET($BN$2,0,0,ROW()-1,60),ROW()-1,FALSE))</f>
        <v/>
      </c>
      <c r="AX278" t="str">
        <f ca="1">IF(AND(ISNUMBER($AX$722),$B$419=1),$AX$722,HLOOKUP(INDIRECT(ADDRESS(2,COLUMN())),OFFSET($BN$2,0,0,ROW()-1,60),ROW()-1,FALSE))</f>
        <v/>
      </c>
      <c r="AY278" t="str">
        <f ca="1">IF(AND(ISNUMBER($AY$722),$B$419=1),$AY$722,HLOOKUP(INDIRECT(ADDRESS(2,COLUMN())),OFFSET($BN$2,0,0,ROW()-1,60),ROW()-1,FALSE))</f>
        <v/>
      </c>
      <c r="AZ278" t="str">
        <f ca="1">IF(AND(ISNUMBER($AZ$722),$B$419=1),$AZ$722,HLOOKUP(INDIRECT(ADDRESS(2,COLUMN())),OFFSET($BN$2,0,0,ROW()-1,60),ROW()-1,FALSE))</f>
        <v/>
      </c>
      <c r="BA278" t="str">
        <f ca="1">IF(AND(ISNUMBER($BA$722),$B$419=1),$BA$722,HLOOKUP(INDIRECT(ADDRESS(2,COLUMN())),OFFSET($BN$2,0,0,ROW()-1,60),ROW()-1,FALSE))</f>
        <v/>
      </c>
      <c r="BB278" t="str">
        <f ca="1">IF(AND(ISNUMBER($BB$722),$B$419=1),$BB$722,HLOOKUP(INDIRECT(ADDRESS(2,COLUMN())),OFFSET($BN$2,0,0,ROW()-1,60),ROW()-1,FALSE))</f>
        <v/>
      </c>
      <c r="BC278" t="str">
        <f ca="1">IF(AND(ISNUMBER($BC$722),$B$419=1),$BC$722,HLOOKUP(INDIRECT(ADDRESS(2,COLUMN())),OFFSET($BN$2,0,0,ROW()-1,60),ROW()-1,FALSE))</f>
        <v/>
      </c>
      <c r="BD278" t="str">
        <f ca="1">IF(AND(ISNUMBER($BD$722),$B$419=1),$BD$722,HLOOKUP(INDIRECT(ADDRESS(2,COLUMN())),OFFSET($BN$2,0,0,ROW()-1,60),ROW()-1,FALSE))</f>
        <v/>
      </c>
      <c r="BE278" t="str">
        <f ca="1">IF(AND(ISNUMBER($BE$722),$B$419=1),$BE$722,HLOOKUP(INDIRECT(ADDRESS(2,COLUMN())),OFFSET($BN$2,0,0,ROW()-1,60),ROW()-1,FALSE))</f>
        <v/>
      </c>
      <c r="BF278" t="str">
        <f ca="1">IF(AND(ISNUMBER($BF$722),$B$419=1),$BF$722,HLOOKUP(INDIRECT(ADDRESS(2,COLUMN())),OFFSET($BN$2,0,0,ROW()-1,60),ROW()-1,FALSE))</f>
        <v/>
      </c>
      <c r="BG278" t="str">
        <f ca="1">IF(AND(ISNUMBER($BG$722),$B$419=1),$BG$722,HLOOKUP(INDIRECT(ADDRESS(2,COLUMN())),OFFSET($BN$2,0,0,ROW()-1,60),ROW()-1,FALSE))</f>
        <v/>
      </c>
      <c r="BH278" t="str">
        <f ca="1">IF(AND(ISNUMBER($BH$722),$B$419=1),$BH$722,HLOOKUP(INDIRECT(ADDRESS(2,COLUMN())),OFFSET($BN$2,0,0,ROW()-1,60),ROW()-1,FALSE))</f>
        <v/>
      </c>
      <c r="BI278" t="str">
        <f ca="1">IF(AND(ISNUMBER($BI$722),$B$419=1),$BI$722,HLOOKUP(INDIRECT(ADDRESS(2,COLUMN())),OFFSET($BN$2,0,0,ROW()-1,60),ROW()-1,FALSE))</f>
        <v/>
      </c>
      <c r="BJ278" t="str">
        <f ca="1">IF(AND(ISNUMBER($BJ$722),$B$419=1),$BJ$722,HLOOKUP(INDIRECT(ADDRESS(2,COLUMN())),OFFSET($BN$2,0,0,ROW()-1,60),ROW()-1,FALSE))</f>
        <v/>
      </c>
      <c r="BK278" t="str">
        <f ca="1">IF(AND(ISNUMBER($BK$722),$B$419=1),$BK$722,HLOOKUP(INDIRECT(ADDRESS(2,COLUMN())),OFFSET($BN$2,0,0,ROW()-1,60),ROW()-1,FALSE))</f>
        <v/>
      </c>
      <c r="BL278" t="str">
        <f ca="1">IF(AND(ISNUMBER($BL$722),$B$419=1),$BL$722,HLOOKUP(INDIRECT(ADDRESS(2,COLUMN())),OFFSET($BN$2,0,0,ROW()-1,60),ROW()-1,FALSE))</f>
        <v/>
      </c>
      <c r="BM278" t="str">
        <f ca="1">IF(AND(ISNUMBER($BM$722),$B$419=1),$BM$722,HLOOKUP(INDIRECT(ADDRESS(2,COLUMN())),OFFSET($BN$2,0,0,ROW()-1,60),ROW()-1,FALSE))</f>
        <v/>
      </c>
      <c r="BN278" t="str">
        <f>""</f>
        <v/>
      </c>
      <c r="BO278">
        <f>8.046694471</f>
        <v>8.0466944710000003</v>
      </c>
      <c r="BP278">
        <f>7.760227791</f>
        <v>7.7602277910000002</v>
      </c>
      <c r="BQ278">
        <f>7.603919611</f>
        <v>7.6039196110000002</v>
      </c>
      <c r="BR278">
        <f>6.865722914</f>
        <v>6.865722914</v>
      </c>
      <c r="BS278">
        <f>6.703811198</f>
        <v>6.7038111980000004</v>
      </c>
      <c r="BT278">
        <f>6.654442446</f>
        <v>6.654442446</v>
      </c>
      <c r="BU278">
        <f>6.669081592</f>
        <v>6.6690815920000004</v>
      </c>
      <c r="BV278">
        <f>6.856851838</f>
        <v>6.8568518379999999</v>
      </c>
      <c r="BW278">
        <f>6.861929994</f>
        <v>6.8619299939999996</v>
      </c>
      <c r="BX278">
        <f>7.075322258</f>
        <v>7.0753222579999999</v>
      </c>
      <c r="BY278">
        <f>7.072298274</f>
        <v>7.0722982740000004</v>
      </c>
      <c r="BZ278">
        <f>6.779131308</f>
        <v>6.7791313080000002</v>
      </c>
      <c r="CA278">
        <f>6.785144645</f>
        <v>6.7851446449999999</v>
      </c>
      <c r="CB278">
        <f>6.805970019</f>
        <v>6.8059700190000001</v>
      </c>
      <c r="CC278">
        <f>6.94725312</f>
        <v>6.9472531200000001</v>
      </c>
      <c r="CD278">
        <f>6.935106915</f>
        <v>6.9351069150000004</v>
      </c>
      <c r="CE278">
        <f>6.981121053</f>
        <v>6.9811210529999999</v>
      </c>
      <c r="CF278">
        <f>6.989371134</f>
        <v>6.9893711339999998</v>
      </c>
      <c r="CG278">
        <f>6.676977143</f>
        <v>6.6769771430000002</v>
      </c>
      <c r="CH278">
        <f>6.82558874</f>
        <v>6.8255887399999997</v>
      </c>
      <c r="CI278">
        <f>7.00533118</f>
        <v>7.0053311799999998</v>
      </c>
      <c r="CJ278">
        <f>7.012481656</f>
        <v>7.0124816560000003</v>
      </c>
      <c r="CK278">
        <f>6.900673692</f>
        <v>6.9006736919999998</v>
      </c>
      <c r="CL278">
        <f>6.502283706</f>
        <v>6.5022837060000001</v>
      </c>
      <c r="CM278">
        <f>6.446001041</f>
        <v>6.4460010409999997</v>
      </c>
      <c r="CN278">
        <f>7.344504159</f>
        <v>7.3445041590000004</v>
      </c>
      <c r="CO278">
        <f>7.362092891</f>
        <v>7.3620928909999996</v>
      </c>
      <c r="CP278">
        <f>7.345253184</f>
        <v>7.3452531839999997</v>
      </c>
      <c r="CQ278">
        <f>7.368766042</f>
        <v>7.3687660419999998</v>
      </c>
      <c r="CR278">
        <f>7.65997443</f>
        <v>7.6599744300000001</v>
      </c>
      <c r="CS278">
        <f>7.757791268</f>
        <v>7.7577912680000001</v>
      </c>
      <c r="CT278">
        <f>7.728671481</f>
        <v>7.7286714810000001</v>
      </c>
      <c r="CU278">
        <f>7.91950464</f>
        <v>7.9195046400000004</v>
      </c>
      <c r="CV278" t="str">
        <f>""</f>
        <v/>
      </c>
      <c r="CW278" t="str">
        <f>""</f>
        <v/>
      </c>
      <c r="CX278" t="str">
        <f>""</f>
        <v/>
      </c>
      <c r="CY278" t="str">
        <f>""</f>
        <v/>
      </c>
      <c r="CZ278" t="str">
        <f>""</f>
        <v/>
      </c>
      <c r="DA278" t="str">
        <f>""</f>
        <v/>
      </c>
      <c r="DB278" t="str">
        <f>""</f>
        <v/>
      </c>
      <c r="DC278" t="str">
        <f>""</f>
        <v/>
      </c>
      <c r="DD278" t="str">
        <f>""</f>
        <v/>
      </c>
      <c r="DE278" t="str">
        <f>""</f>
        <v/>
      </c>
      <c r="DF278" t="str">
        <f>""</f>
        <v/>
      </c>
      <c r="DG278" t="str">
        <f>""</f>
        <v/>
      </c>
      <c r="DH278" t="str">
        <f>""</f>
        <v/>
      </c>
      <c r="DI278" t="str">
        <f>""</f>
        <v/>
      </c>
      <c r="DJ278" t="str">
        <f>""</f>
        <v/>
      </c>
      <c r="DK278" t="str">
        <f>""</f>
        <v/>
      </c>
      <c r="DL278" t="str">
        <f>""</f>
        <v/>
      </c>
      <c r="DM278" t="str">
        <f>""</f>
        <v/>
      </c>
      <c r="DN278" t="str">
        <f>""</f>
        <v/>
      </c>
      <c r="DO278" t="str">
        <f>""</f>
        <v/>
      </c>
      <c r="DP278" t="str">
        <f>""</f>
        <v/>
      </c>
      <c r="DQ278" t="str">
        <f>""</f>
        <v/>
      </c>
      <c r="DR278" t="str">
        <f>""</f>
        <v/>
      </c>
      <c r="DS278" t="str">
        <f>""</f>
        <v/>
      </c>
      <c r="DT278" t="str">
        <f>""</f>
        <v/>
      </c>
      <c r="DU278" t="str">
        <f>""</f>
        <v/>
      </c>
    </row>
    <row r="279" spans="1:125">
      <c r="A279" t="str">
        <f>"    DDR Corp"</f>
        <v xml:space="preserve">    DDR Corp</v>
      </c>
      <c r="B279" t="str">
        <f>"DDR US Equity"</f>
        <v>DDR US Equity</v>
      </c>
      <c r="C279" t="str">
        <f t="shared" si="51"/>
        <v>F1178</v>
      </c>
      <c r="D279" t="str">
        <f t="shared" si="52"/>
        <v>NET_DEBT_EBITDA_ADJUSTED</v>
      </c>
      <c r="E279" t="str">
        <f t="shared" si="53"/>
        <v>动态</v>
      </c>
      <c r="F279" t="str">
        <f ca="1">IF(AND(ISNUMBER($F$723),$B$419=1),$F$723,HLOOKUP(INDIRECT(ADDRESS(2,COLUMN())),OFFSET($BN$2,0,0,ROW()-1,60),ROW()-1,FALSE))</f>
        <v/>
      </c>
      <c r="G279">
        <f ca="1">IF(AND(ISNUMBER($G$723),$B$419=1),$G$723,HLOOKUP(INDIRECT(ADDRESS(2,COLUMN())),OFFSET($BN$2,0,0,ROW()-1,60),ROW()-1,FALSE))</f>
        <v>6.5597117479999998</v>
      </c>
      <c r="H279">
        <f ca="1">IF(AND(ISNUMBER($H$723),$B$419=1),$H$723,HLOOKUP(INDIRECT(ADDRESS(2,COLUMN())),OFFSET($BN$2,0,0,ROW()-1,60),ROW()-1,FALSE))</f>
        <v>6.7989816650000003</v>
      </c>
      <c r="I279">
        <f ca="1">IF(AND(ISNUMBER($I$723),$B$419=1),$I$723,HLOOKUP(INDIRECT(ADDRESS(2,COLUMN())),OFFSET($BN$2,0,0,ROW()-1,60),ROW()-1,FALSE))</f>
        <v>6.8793664989999996</v>
      </c>
      <c r="J279">
        <f ca="1">IF(AND(ISNUMBER($J$723),$B$419=1),$J$723,HLOOKUP(INDIRECT(ADDRESS(2,COLUMN())),OFFSET($BN$2,0,0,ROW()-1,60),ROW()-1,FALSE))</f>
        <v>7.2244663759999996</v>
      </c>
      <c r="K279">
        <f ca="1">IF(AND(ISNUMBER($K$723),$B$419=1),$K$723,HLOOKUP(INDIRECT(ADDRESS(2,COLUMN())),OFFSET($BN$2,0,0,ROW()-1,60),ROW()-1,FALSE))</f>
        <v>6.9252925010000004</v>
      </c>
      <c r="L279">
        <f ca="1">IF(AND(ISNUMBER($L$723),$B$419=1),$L$723,HLOOKUP(INDIRECT(ADDRESS(2,COLUMN())),OFFSET($BN$2,0,0,ROW()-1,60),ROW()-1,FALSE))</f>
        <v>7.542025604</v>
      </c>
      <c r="M279">
        <f ca="1">IF(AND(ISNUMBER($M$723),$B$419=1),$M$723,HLOOKUP(INDIRECT(ADDRESS(2,COLUMN())),OFFSET($BN$2,0,0,ROW()-1,60),ROW()-1,FALSE))</f>
        <v>7.5115646470000002</v>
      </c>
      <c r="N279">
        <f ca="1">IF(AND(ISNUMBER($N$723),$B$419=1),$N$723,HLOOKUP(INDIRECT(ADDRESS(2,COLUMN())),OFFSET($BN$2,0,0,ROW()-1,60),ROW()-1,FALSE))</f>
        <v>7.6765767169999997</v>
      </c>
      <c r="O279">
        <f ca="1">IF(AND(ISNUMBER($O$723),$B$419=1),$O$723,HLOOKUP(INDIRECT(ADDRESS(2,COLUMN())),OFFSET($BN$2,0,0,ROW()-1,60),ROW()-1,FALSE))</f>
        <v>7.8394715799999997</v>
      </c>
      <c r="P279">
        <f ca="1">IF(AND(ISNUMBER($P$723),$B$419=1),$P$723,HLOOKUP(INDIRECT(ADDRESS(2,COLUMN())),OFFSET($BN$2,0,0,ROW()-1,60),ROW()-1,FALSE))</f>
        <v>8.0221441989999995</v>
      </c>
      <c r="Q279">
        <f ca="1">IF(AND(ISNUMBER($Q$723),$B$419=1),$Q$723,HLOOKUP(INDIRECT(ADDRESS(2,COLUMN())),OFFSET($BN$2,0,0,ROW()-1,60),ROW()-1,FALSE))</f>
        <v>8.1632749810000007</v>
      </c>
      <c r="R279">
        <f ca="1">IF(AND(ISNUMBER($R$723),$B$419=1),$R$723,HLOOKUP(INDIRECT(ADDRESS(2,COLUMN())),OFFSET($BN$2,0,0,ROW()-1,60),ROW()-1,FALSE))</f>
        <v>8.1668583399999992</v>
      </c>
      <c r="S279">
        <f ca="1">IF(AND(ISNUMBER($S$723),$B$419=1),$S$723,HLOOKUP(INDIRECT(ADDRESS(2,COLUMN())),OFFSET($BN$2,0,0,ROW()-1,60),ROW()-1,FALSE))</f>
        <v>8.2646960489999994</v>
      </c>
      <c r="T279">
        <f ca="1">IF(AND(ISNUMBER($T$723),$B$419=1),$T$723,HLOOKUP(INDIRECT(ADDRESS(2,COLUMN())),OFFSET($BN$2,0,0,ROW()-1,60),ROW()-1,FALSE))</f>
        <v>8.1710078500000005</v>
      </c>
      <c r="U279">
        <f ca="1">IF(AND(ISNUMBER($U$723),$B$419=1),$U$723,HLOOKUP(INDIRECT(ADDRESS(2,COLUMN())),OFFSET($BN$2,0,0,ROW()-1,60),ROW()-1,FALSE))</f>
        <v>8.3604433240000002</v>
      </c>
      <c r="V279">
        <f ca="1">IF(AND(ISNUMBER($V$723),$B$419=1),$V$723,HLOOKUP(INDIRECT(ADDRESS(2,COLUMN())),OFFSET($BN$2,0,0,ROW()-1,60),ROW()-1,FALSE))</f>
        <v>8.8987000750000007</v>
      </c>
      <c r="W279">
        <f ca="1">IF(AND(ISNUMBER($W$723),$B$419=1),$W$723,HLOOKUP(INDIRECT(ADDRESS(2,COLUMN())),OFFSET($BN$2,0,0,ROW()-1,60),ROW()-1,FALSE))</f>
        <v>9.6985051890000005</v>
      </c>
      <c r="X279">
        <f ca="1">IF(AND(ISNUMBER($X$723),$B$419=1),$X$723,HLOOKUP(INDIRECT(ADDRESS(2,COLUMN())),OFFSET($BN$2,0,0,ROW()-1,60),ROW()-1,FALSE))</f>
        <v>8.8495537100000004</v>
      </c>
      <c r="Y279">
        <f ca="1">IF(AND(ISNUMBER($Y$723),$B$419=1),$Y$723,HLOOKUP(INDIRECT(ADDRESS(2,COLUMN())),OFFSET($BN$2,0,0,ROW()-1,60),ROW()-1,FALSE))</f>
        <v>8.6205528640000004</v>
      </c>
      <c r="Z279">
        <f ca="1">IF(AND(ISNUMBER($Z$723),$B$419=1),$Z$723,HLOOKUP(INDIRECT(ADDRESS(2,COLUMN())),OFFSET($BN$2,0,0,ROW()-1,60),ROW()-1,FALSE))</f>
        <v>8.8001006830000001</v>
      </c>
      <c r="AA279">
        <f ca="1">IF(AND(ISNUMBER($AA$723),$B$419=1),$AA$723,HLOOKUP(INDIRECT(ADDRESS(2,COLUMN())),OFFSET($BN$2,0,0,ROW()-1,60),ROW()-1,FALSE))</f>
        <v>8.8311402920000006</v>
      </c>
      <c r="AB279">
        <f ca="1">IF(AND(ISNUMBER($AB$723),$B$419=1),$AB$723,HLOOKUP(INDIRECT(ADDRESS(2,COLUMN())),OFFSET($BN$2,0,0,ROW()-1,60),ROW()-1,FALSE))</f>
        <v>8.8193412230000003</v>
      </c>
      <c r="AC279">
        <f ca="1">IF(AND(ISNUMBER($AC$723),$B$419=1),$AC$723,HLOOKUP(INDIRECT(ADDRESS(2,COLUMN())),OFFSET($BN$2,0,0,ROW()-1,60),ROW()-1,FALSE))</f>
        <v>8.6062504489999991</v>
      </c>
      <c r="AD279">
        <f ca="1">IF(AND(ISNUMBER($AD$723),$B$419=1),$AD$723,HLOOKUP(INDIRECT(ADDRESS(2,COLUMN())),OFFSET($BN$2,0,0,ROW()-1,60),ROW()-1,FALSE))</f>
        <v>8.8464547240000009</v>
      </c>
      <c r="AE279">
        <f ca="1">IF(AND(ISNUMBER($AE$723),$B$419=1),$AE$723,HLOOKUP(INDIRECT(ADDRESS(2,COLUMN())),OFFSET($BN$2,0,0,ROW()-1,60),ROW()-1,FALSE))</f>
        <v>8.9475506070000002</v>
      </c>
      <c r="AF279">
        <f ca="1">IF(AND(ISNUMBER($AF$723),$B$419=1),$AF$723,HLOOKUP(INDIRECT(ADDRESS(2,COLUMN())),OFFSET($BN$2,0,0,ROW()-1,60),ROW()-1,FALSE))</f>
        <v>9.4635213419999999</v>
      </c>
      <c r="AG279">
        <f ca="1">IF(AND(ISNUMBER($AG$723),$B$419=1),$AG$723,HLOOKUP(INDIRECT(ADDRESS(2,COLUMN())),OFFSET($BN$2,0,0,ROW()-1,60),ROW()-1,FALSE))</f>
        <v>9.5103535749999999</v>
      </c>
      <c r="AH279">
        <f ca="1">IF(AND(ISNUMBER($AH$723),$B$419=1),$AH$723,HLOOKUP(INDIRECT(ADDRESS(2,COLUMN())),OFFSET($BN$2,0,0,ROW()-1,60),ROW()-1,FALSE))</f>
        <v>9.5090245440000007</v>
      </c>
      <c r="AI279">
        <f ca="1">IF(AND(ISNUMBER($AI$723),$B$419=1),$AI$723,HLOOKUP(INDIRECT(ADDRESS(2,COLUMN())),OFFSET($BN$2,0,0,ROW()-1,60),ROW()-1,FALSE))</f>
        <v>9.2375309259999998</v>
      </c>
      <c r="AJ279">
        <f ca="1">IF(AND(ISNUMBER($AJ$723),$B$419=1),$AJ$723,HLOOKUP(INDIRECT(ADDRESS(2,COLUMN())),OFFSET($BN$2,0,0,ROW()-1,60),ROW()-1,FALSE))</f>
        <v>9.2423634769999996</v>
      </c>
      <c r="AK279">
        <f ca="1">IF(AND(ISNUMBER($AK$723),$B$419=1),$AK$723,HLOOKUP(INDIRECT(ADDRESS(2,COLUMN())),OFFSET($BN$2,0,0,ROW()-1,60),ROW()-1,FALSE))</f>
        <v>9.7457583830000001</v>
      </c>
      <c r="AL279">
        <f ca="1">IF(AND(ISNUMBER($AL$723),$B$419=1),$AL$723,HLOOKUP(INDIRECT(ADDRESS(2,COLUMN())),OFFSET($BN$2,0,0,ROW()-1,60),ROW()-1,FALSE))</f>
        <v>10.047219330000001</v>
      </c>
      <c r="AM279">
        <f ca="1">IF(AND(ISNUMBER($AM$723),$B$419=1),$AM$723,HLOOKUP(INDIRECT(ADDRESS(2,COLUMN())),OFFSET($BN$2,0,0,ROW()-1,60),ROW()-1,FALSE))</f>
        <v>10.77627146</v>
      </c>
      <c r="AN279" t="str">
        <f ca="1">IF(AND(ISNUMBER($AN$723),$B$419=1),$AN$723,HLOOKUP(INDIRECT(ADDRESS(2,COLUMN())),OFFSET($BN$2,0,0,ROW()-1,60),ROW()-1,FALSE))</f>
        <v/>
      </c>
      <c r="AO279" t="str">
        <f ca="1">IF(AND(ISNUMBER($AO$723),$B$419=1),$AO$723,HLOOKUP(INDIRECT(ADDRESS(2,COLUMN())),OFFSET($BN$2,0,0,ROW()-1,60),ROW()-1,FALSE))</f>
        <v/>
      </c>
      <c r="AP279" t="str">
        <f ca="1">IF(AND(ISNUMBER($AP$723),$B$419=1),$AP$723,HLOOKUP(INDIRECT(ADDRESS(2,COLUMN())),OFFSET($BN$2,0,0,ROW()-1,60),ROW()-1,FALSE))</f>
        <v/>
      </c>
      <c r="AQ279" t="str">
        <f ca="1">IF(AND(ISNUMBER($AQ$723),$B$419=1),$AQ$723,HLOOKUP(INDIRECT(ADDRESS(2,COLUMN())),OFFSET($BN$2,0,0,ROW()-1,60),ROW()-1,FALSE))</f>
        <v/>
      </c>
      <c r="AR279" t="str">
        <f ca="1">IF(AND(ISNUMBER($AR$723),$B$419=1),$AR$723,HLOOKUP(INDIRECT(ADDRESS(2,COLUMN())),OFFSET($BN$2,0,0,ROW()-1,60),ROW()-1,FALSE))</f>
        <v/>
      </c>
      <c r="AS279" t="str">
        <f ca="1">IF(AND(ISNUMBER($AS$723),$B$419=1),$AS$723,HLOOKUP(INDIRECT(ADDRESS(2,COLUMN())),OFFSET($BN$2,0,0,ROW()-1,60),ROW()-1,FALSE))</f>
        <v/>
      </c>
      <c r="AT279" t="str">
        <f ca="1">IF(AND(ISNUMBER($AT$723),$B$419=1),$AT$723,HLOOKUP(INDIRECT(ADDRESS(2,COLUMN())),OFFSET($BN$2,0,0,ROW()-1,60),ROW()-1,FALSE))</f>
        <v/>
      </c>
      <c r="AU279" t="str">
        <f ca="1">IF(AND(ISNUMBER($AU$723),$B$419=1),$AU$723,HLOOKUP(INDIRECT(ADDRESS(2,COLUMN())),OFFSET($BN$2,0,0,ROW()-1,60),ROW()-1,FALSE))</f>
        <v/>
      </c>
      <c r="AV279" t="str">
        <f ca="1">IF(AND(ISNUMBER($AV$723),$B$419=1),$AV$723,HLOOKUP(INDIRECT(ADDRESS(2,COLUMN())),OFFSET($BN$2,0,0,ROW()-1,60),ROW()-1,FALSE))</f>
        <v/>
      </c>
      <c r="AW279" t="str">
        <f ca="1">IF(AND(ISNUMBER($AW$723),$B$419=1),$AW$723,HLOOKUP(INDIRECT(ADDRESS(2,COLUMN())),OFFSET($BN$2,0,0,ROW()-1,60),ROW()-1,FALSE))</f>
        <v/>
      </c>
      <c r="AX279" t="str">
        <f ca="1">IF(AND(ISNUMBER($AX$723),$B$419=1),$AX$723,HLOOKUP(INDIRECT(ADDRESS(2,COLUMN())),OFFSET($BN$2,0,0,ROW()-1,60),ROW()-1,FALSE))</f>
        <v/>
      </c>
      <c r="AY279" t="str">
        <f ca="1">IF(AND(ISNUMBER($AY$723),$B$419=1),$AY$723,HLOOKUP(INDIRECT(ADDRESS(2,COLUMN())),OFFSET($BN$2,0,0,ROW()-1,60),ROW()-1,FALSE))</f>
        <v/>
      </c>
      <c r="AZ279" t="str">
        <f ca="1">IF(AND(ISNUMBER($AZ$723),$B$419=1),$AZ$723,HLOOKUP(INDIRECT(ADDRESS(2,COLUMN())),OFFSET($BN$2,0,0,ROW()-1,60),ROW()-1,FALSE))</f>
        <v/>
      </c>
      <c r="BA279" t="str">
        <f ca="1">IF(AND(ISNUMBER($BA$723),$B$419=1),$BA$723,HLOOKUP(INDIRECT(ADDRESS(2,COLUMN())),OFFSET($BN$2,0,0,ROW()-1,60),ROW()-1,FALSE))</f>
        <v/>
      </c>
      <c r="BB279" t="str">
        <f ca="1">IF(AND(ISNUMBER($BB$723),$B$419=1),$BB$723,HLOOKUP(INDIRECT(ADDRESS(2,COLUMN())),OFFSET($BN$2,0,0,ROW()-1,60),ROW()-1,FALSE))</f>
        <v/>
      </c>
      <c r="BC279" t="str">
        <f ca="1">IF(AND(ISNUMBER($BC$723),$B$419=1),$BC$723,HLOOKUP(INDIRECT(ADDRESS(2,COLUMN())),OFFSET($BN$2,0,0,ROW()-1,60),ROW()-1,FALSE))</f>
        <v/>
      </c>
      <c r="BD279" t="str">
        <f ca="1">IF(AND(ISNUMBER($BD$723),$B$419=1),$BD$723,HLOOKUP(INDIRECT(ADDRESS(2,COLUMN())),OFFSET($BN$2,0,0,ROW()-1,60),ROW()-1,FALSE))</f>
        <v/>
      </c>
      <c r="BE279" t="str">
        <f ca="1">IF(AND(ISNUMBER($BE$723),$B$419=1),$BE$723,HLOOKUP(INDIRECT(ADDRESS(2,COLUMN())),OFFSET($BN$2,0,0,ROW()-1,60),ROW()-1,FALSE))</f>
        <v/>
      </c>
      <c r="BF279" t="str">
        <f ca="1">IF(AND(ISNUMBER($BF$723),$B$419=1),$BF$723,HLOOKUP(INDIRECT(ADDRESS(2,COLUMN())),OFFSET($BN$2,0,0,ROW()-1,60),ROW()-1,FALSE))</f>
        <v/>
      </c>
      <c r="BG279" t="str">
        <f ca="1">IF(AND(ISNUMBER($BG$723),$B$419=1),$BG$723,HLOOKUP(INDIRECT(ADDRESS(2,COLUMN())),OFFSET($BN$2,0,0,ROW()-1,60),ROW()-1,FALSE))</f>
        <v/>
      </c>
      <c r="BH279" t="str">
        <f ca="1">IF(AND(ISNUMBER($BH$723),$B$419=1),$BH$723,HLOOKUP(INDIRECT(ADDRESS(2,COLUMN())),OFFSET($BN$2,0,0,ROW()-1,60),ROW()-1,FALSE))</f>
        <v/>
      </c>
      <c r="BI279" t="str">
        <f ca="1">IF(AND(ISNUMBER($BI$723),$B$419=1),$BI$723,HLOOKUP(INDIRECT(ADDRESS(2,COLUMN())),OFFSET($BN$2,0,0,ROW()-1,60),ROW()-1,FALSE))</f>
        <v/>
      </c>
      <c r="BJ279" t="str">
        <f ca="1">IF(AND(ISNUMBER($BJ$723),$B$419=1),$BJ$723,HLOOKUP(INDIRECT(ADDRESS(2,COLUMN())),OFFSET($BN$2,0,0,ROW()-1,60),ROW()-1,FALSE))</f>
        <v/>
      </c>
      <c r="BK279" t="str">
        <f ca="1">IF(AND(ISNUMBER($BK$723),$B$419=1),$BK$723,HLOOKUP(INDIRECT(ADDRESS(2,COLUMN())),OFFSET($BN$2,0,0,ROW()-1,60),ROW()-1,FALSE))</f>
        <v/>
      </c>
      <c r="BL279" t="str">
        <f ca="1">IF(AND(ISNUMBER($BL$723),$B$419=1),$BL$723,HLOOKUP(INDIRECT(ADDRESS(2,COLUMN())),OFFSET($BN$2,0,0,ROW()-1,60),ROW()-1,FALSE))</f>
        <v/>
      </c>
      <c r="BM279" t="str">
        <f ca="1">IF(AND(ISNUMBER($BM$723),$B$419=1),$BM$723,HLOOKUP(INDIRECT(ADDRESS(2,COLUMN())),OFFSET($BN$2,0,0,ROW()-1,60),ROW()-1,FALSE))</f>
        <v/>
      </c>
      <c r="BN279" t="str">
        <f>""</f>
        <v/>
      </c>
      <c r="BO279">
        <f>6.559711748</f>
        <v>6.5597117479999998</v>
      </c>
      <c r="BP279">
        <f>6.798981665</f>
        <v>6.7989816650000003</v>
      </c>
      <c r="BQ279">
        <f>6.879366499</f>
        <v>6.8793664989999996</v>
      </c>
      <c r="BR279">
        <f>7.224466376</f>
        <v>7.2244663759999996</v>
      </c>
      <c r="BS279">
        <f>6.925292501</f>
        <v>6.9252925010000004</v>
      </c>
      <c r="BT279">
        <f>7.542025604</f>
        <v>7.542025604</v>
      </c>
      <c r="BU279">
        <f>7.511564647</f>
        <v>7.5115646470000002</v>
      </c>
      <c r="BV279">
        <f>7.676576717</f>
        <v>7.6765767169999997</v>
      </c>
      <c r="BW279">
        <f>7.83947158</f>
        <v>7.8394715799999997</v>
      </c>
      <c r="BX279">
        <f>8.022144199</f>
        <v>8.0221441989999995</v>
      </c>
      <c r="BY279">
        <f>8.163274981</f>
        <v>8.1632749810000007</v>
      </c>
      <c r="BZ279">
        <f>8.16685834</f>
        <v>8.1668583399999992</v>
      </c>
      <c r="CA279">
        <f>8.264696049</f>
        <v>8.2646960489999994</v>
      </c>
      <c r="CB279">
        <f>8.17100785</f>
        <v>8.1710078500000005</v>
      </c>
      <c r="CC279">
        <f>8.360443324</f>
        <v>8.3604433240000002</v>
      </c>
      <c r="CD279">
        <f>8.898700075</f>
        <v>8.8987000750000007</v>
      </c>
      <c r="CE279">
        <f>9.698505189</f>
        <v>9.6985051890000005</v>
      </c>
      <c r="CF279">
        <f>8.84955371</f>
        <v>8.8495537100000004</v>
      </c>
      <c r="CG279">
        <f>8.620552864</f>
        <v>8.6205528640000004</v>
      </c>
      <c r="CH279">
        <f>8.800100683</f>
        <v>8.8001006830000001</v>
      </c>
      <c r="CI279">
        <f>8.831140292</f>
        <v>8.8311402920000006</v>
      </c>
      <c r="CJ279">
        <f>8.819341223</f>
        <v>8.8193412230000003</v>
      </c>
      <c r="CK279">
        <f>8.606250449</f>
        <v>8.6062504489999991</v>
      </c>
      <c r="CL279">
        <f>8.846454724</f>
        <v>8.8464547240000009</v>
      </c>
      <c r="CM279">
        <f>8.947550607</f>
        <v>8.9475506070000002</v>
      </c>
      <c r="CN279">
        <f>9.463521342</f>
        <v>9.4635213419999999</v>
      </c>
      <c r="CO279">
        <f>9.510353575</f>
        <v>9.5103535749999999</v>
      </c>
      <c r="CP279">
        <f>9.509024544</f>
        <v>9.5090245440000007</v>
      </c>
      <c r="CQ279">
        <f>9.237530926</f>
        <v>9.2375309259999998</v>
      </c>
      <c r="CR279">
        <f>9.242363477</f>
        <v>9.2423634769999996</v>
      </c>
      <c r="CS279">
        <f>9.745758383</f>
        <v>9.7457583830000001</v>
      </c>
      <c r="CT279">
        <f>10.04721933</f>
        <v>10.047219330000001</v>
      </c>
      <c r="CU279">
        <f>10.77627146</f>
        <v>10.77627146</v>
      </c>
      <c r="CV279" t="str">
        <f>""</f>
        <v/>
      </c>
      <c r="CW279" t="str">
        <f>""</f>
        <v/>
      </c>
      <c r="CX279" t="str">
        <f>""</f>
        <v/>
      </c>
      <c r="CY279" t="str">
        <f>""</f>
        <v/>
      </c>
      <c r="CZ279" t="str">
        <f>""</f>
        <v/>
      </c>
      <c r="DA279" t="str">
        <f>""</f>
        <v/>
      </c>
      <c r="DB279" t="str">
        <f>""</f>
        <v/>
      </c>
      <c r="DC279" t="str">
        <f>""</f>
        <v/>
      </c>
      <c r="DD279" t="str">
        <f>""</f>
        <v/>
      </c>
      <c r="DE279" t="str">
        <f>""</f>
        <v/>
      </c>
      <c r="DF279" t="str">
        <f>""</f>
        <v/>
      </c>
      <c r="DG279" t="str">
        <f>""</f>
        <v/>
      </c>
      <c r="DH279" t="str">
        <f>""</f>
        <v/>
      </c>
      <c r="DI279" t="str">
        <f>""</f>
        <v/>
      </c>
      <c r="DJ279" t="str">
        <f>""</f>
        <v/>
      </c>
      <c r="DK279" t="str">
        <f>""</f>
        <v/>
      </c>
      <c r="DL279" t="str">
        <f>""</f>
        <v/>
      </c>
      <c r="DM279" t="str">
        <f>""</f>
        <v/>
      </c>
      <c r="DN279" t="str">
        <f>""</f>
        <v/>
      </c>
      <c r="DO279" t="str">
        <f>""</f>
        <v/>
      </c>
      <c r="DP279" t="str">
        <f>""</f>
        <v/>
      </c>
      <c r="DQ279" t="str">
        <f>""</f>
        <v/>
      </c>
      <c r="DR279" t="str">
        <f>""</f>
        <v/>
      </c>
      <c r="DS279" t="str">
        <f>""</f>
        <v/>
      </c>
      <c r="DT279" t="str">
        <f>""</f>
        <v/>
      </c>
      <c r="DU279" t="str">
        <f>""</f>
        <v/>
      </c>
    </row>
    <row r="280" spans="1:125">
      <c r="A280" t="str">
        <f>"    Federal Realty Investment Trus"</f>
        <v xml:space="preserve">    Federal Realty Investment Trus</v>
      </c>
      <c r="B280" t="str">
        <f>"FRT US Equity"</f>
        <v>FRT US Equity</v>
      </c>
      <c r="C280" t="str">
        <f t="shared" si="51"/>
        <v>F1178</v>
      </c>
      <c r="D280" t="str">
        <f t="shared" si="52"/>
        <v>NET_DEBT_EBITDA_ADJUSTED</v>
      </c>
      <c r="E280" t="str">
        <f t="shared" si="53"/>
        <v>动态</v>
      </c>
      <c r="F280" t="str">
        <f ca="1">IF(AND(ISNUMBER($F$724),$B$419=1),$F$724,HLOOKUP(INDIRECT(ADDRESS(2,COLUMN())),OFFSET($BN$2,0,0,ROW()-1,60),ROW()-1,FALSE))</f>
        <v/>
      </c>
      <c r="G280">
        <f ca="1">IF(AND(ISNUMBER($G$724),$B$419=1),$G$724,HLOOKUP(INDIRECT(ADDRESS(2,COLUMN())),OFFSET($BN$2,0,0,ROW()-1,60),ROW()-1,FALSE))</f>
        <v>5.9627054849999999</v>
      </c>
      <c r="H280">
        <f ca="1">IF(AND(ISNUMBER($H$724),$B$419=1),$H$724,HLOOKUP(INDIRECT(ADDRESS(2,COLUMN())),OFFSET($BN$2,0,0,ROW()-1,60),ROW()-1,FALSE))</f>
        <v>5.9932311470000004</v>
      </c>
      <c r="I280">
        <f ca="1">IF(AND(ISNUMBER($I$724),$B$419=1),$I$724,HLOOKUP(INDIRECT(ADDRESS(2,COLUMN())),OFFSET($BN$2,0,0,ROW()-1,60),ROW()-1,FALSE))</f>
        <v>5.7487659630000003</v>
      </c>
      <c r="J280">
        <f ca="1">IF(AND(ISNUMBER($J$724),$B$419=1),$J$724,HLOOKUP(INDIRECT(ADDRESS(2,COLUMN())),OFFSET($BN$2,0,0,ROW()-1,60),ROW()-1,FALSE))</f>
        <v>5.725631334</v>
      </c>
      <c r="K280">
        <f ca="1">IF(AND(ISNUMBER($K$724),$B$419=1),$K$724,HLOOKUP(INDIRECT(ADDRESS(2,COLUMN())),OFFSET($BN$2,0,0,ROW()-1,60),ROW()-1,FALSE))</f>
        <v>5.392910723</v>
      </c>
      <c r="L280">
        <f ca="1">IF(AND(ISNUMBER($L$724),$B$419=1),$L$724,HLOOKUP(INDIRECT(ADDRESS(2,COLUMN())),OFFSET($BN$2,0,0,ROW()-1,60),ROW()-1,FALSE))</f>
        <v>5.3630215919999999</v>
      </c>
      <c r="M280">
        <f ca="1">IF(AND(ISNUMBER($M$724),$B$419=1),$M$724,HLOOKUP(INDIRECT(ADDRESS(2,COLUMN())),OFFSET($BN$2,0,0,ROW()-1,60),ROW()-1,FALSE))</f>
        <v>5.3432842750000002</v>
      </c>
      <c r="N280">
        <f ca="1">IF(AND(ISNUMBER($N$724),$B$419=1),$N$724,HLOOKUP(INDIRECT(ADDRESS(2,COLUMN())),OFFSET($BN$2,0,0,ROW()-1,60),ROW()-1,FALSE))</f>
        <v>5.4361537589999998</v>
      </c>
      <c r="O280">
        <f ca="1">IF(AND(ISNUMBER($O$724),$B$419=1),$O$724,HLOOKUP(INDIRECT(ADDRESS(2,COLUMN())),OFFSET($BN$2,0,0,ROW()-1,60),ROW()-1,FALSE))</f>
        <v>5.4872512899999997</v>
      </c>
      <c r="P280">
        <f ca="1">IF(AND(ISNUMBER($P$724),$B$419=1),$P$724,HLOOKUP(INDIRECT(ADDRESS(2,COLUMN())),OFFSET($BN$2,0,0,ROW()-1,60),ROW()-1,FALSE))</f>
        <v>5.3887463269999998</v>
      </c>
      <c r="Q280">
        <f ca="1">IF(AND(ISNUMBER($Q$724),$B$419=1),$Q$724,HLOOKUP(INDIRECT(ADDRESS(2,COLUMN())),OFFSET($BN$2,0,0,ROW()-1,60),ROW()-1,FALSE))</f>
        <v>5.492983562</v>
      </c>
      <c r="R280">
        <f ca="1">IF(AND(ISNUMBER($R$724),$B$419=1),$R$724,HLOOKUP(INDIRECT(ADDRESS(2,COLUMN())),OFFSET($BN$2,0,0,ROW()-1,60),ROW()-1,FALSE))</f>
        <v>5.4947611009999999</v>
      </c>
      <c r="S280">
        <f ca="1">IF(AND(ISNUMBER($S$724),$B$419=1),$S$724,HLOOKUP(INDIRECT(ADDRESS(2,COLUMN())),OFFSET($BN$2,0,0,ROW()-1,60),ROW()-1,FALSE))</f>
        <v>5.3450733389999998</v>
      </c>
      <c r="T280">
        <f ca="1">IF(AND(ISNUMBER($T$724),$B$419=1),$T$724,HLOOKUP(INDIRECT(ADDRESS(2,COLUMN())),OFFSET($BN$2,0,0,ROW()-1,60),ROW()-1,FALSE))</f>
        <v>5.2590785000000002</v>
      </c>
      <c r="U280">
        <f ca="1">IF(AND(ISNUMBER($U$724),$B$419=1),$U$724,HLOOKUP(INDIRECT(ADDRESS(2,COLUMN())),OFFSET($BN$2,0,0,ROW()-1,60),ROW()-1,FALSE))</f>
        <v>5.4460750320000004</v>
      </c>
      <c r="V280">
        <f ca="1">IF(AND(ISNUMBER($V$724),$B$419=1),$V$724,HLOOKUP(INDIRECT(ADDRESS(2,COLUMN())),OFFSET($BN$2,0,0,ROW()-1,60),ROW()-1,FALSE))</f>
        <v>5.5223733270000004</v>
      </c>
      <c r="W280">
        <f ca="1">IF(AND(ISNUMBER($W$724),$B$419=1),$W$724,HLOOKUP(INDIRECT(ADDRESS(2,COLUMN())),OFFSET($BN$2,0,0,ROW()-1,60),ROW()-1,FALSE))</f>
        <v>5.3771974179999997</v>
      </c>
      <c r="X280">
        <f ca="1">IF(AND(ISNUMBER($X$724),$B$419=1),$X$724,HLOOKUP(INDIRECT(ADDRESS(2,COLUMN())),OFFSET($BN$2,0,0,ROW()-1,60),ROW()-1,FALSE))</f>
        <v>5.2949711109999997</v>
      </c>
      <c r="Y280">
        <f ca="1">IF(AND(ISNUMBER($Y$724),$B$419=1),$Y$724,HLOOKUP(INDIRECT(ADDRESS(2,COLUMN())),OFFSET($BN$2,0,0,ROW()-1,60),ROW()-1,FALSE))</f>
        <v>5.3783250970000003</v>
      </c>
      <c r="Z280">
        <f ca="1">IF(AND(ISNUMBER($Z$724),$B$419=1),$Z$724,HLOOKUP(INDIRECT(ADDRESS(2,COLUMN())),OFFSET($BN$2,0,0,ROW()-1,60),ROW()-1,FALSE))</f>
        <v>5.371454591</v>
      </c>
      <c r="AA280">
        <f ca="1">IF(AND(ISNUMBER($AA$724),$B$419=1),$AA$724,HLOOKUP(INDIRECT(ADDRESS(2,COLUMN())),OFFSET($BN$2,0,0,ROW()-1,60),ROW()-1,FALSE))</f>
        <v>5.4703635970000004</v>
      </c>
      <c r="AB280">
        <f ca="1">IF(AND(ISNUMBER($AB$724),$B$419=1),$AB$724,HLOOKUP(INDIRECT(ADDRESS(2,COLUMN())),OFFSET($BN$2,0,0,ROW()-1,60),ROW()-1,FALSE))</f>
        <v>5.2713913769999996</v>
      </c>
      <c r="AC280">
        <f ca="1">IF(AND(ISNUMBER($AC$724),$B$419=1),$AC$724,HLOOKUP(INDIRECT(ADDRESS(2,COLUMN())),OFFSET($BN$2,0,0,ROW()-1,60),ROW()-1,FALSE))</f>
        <v>5.4500728450000002</v>
      </c>
      <c r="AD280">
        <f ca="1">IF(AND(ISNUMBER($AD$724),$B$419=1),$AD$724,HLOOKUP(INDIRECT(ADDRESS(2,COLUMN())),OFFSET($BN$2,0,0,ROW()-1,60),ROW()-1,FALSE))</f>
        <v>5.6143298919999998</v>
      </c>
      <c r="AE280">
        <f ca="1">IF(AND(ISNUMBER($AE$724),$B$419=1),$AE$724,HLOOKUP(INDIRECT(ADDRESS(2,COLUMN())),OFFSET($BN$2,0,0,ROW()-1,60),ROW()-1,FALSE))</f>
        <v>5.7657516270000002</v>
      </c>
      <c r="AF280">
        <f ca="1">IF(AND(ISNUMBER($AF$724),$B$419=1),$AF$724,HLOOKUP(INDIRECT(ADDRESS(2,COLUMN())),OFFSET($BN$2,0,0,ROW()-1,60),ROW()-1,FALSE))</f>
        <v>4.8263556430000003</v>
      </c>
      <c r="AG280">
        <f ca="1">IF(AND(ISNUMBER($AG$724),$B$419=1),$AG$724,HLOOKUP(INDIRECT(ADDRESS(2,COLUMN())),OFFSET($BN$2,0,0,ROW()-1,60),ROW()-1,FALSE))</f>
        <v>4.9627149959999999</v>
      </c>
      <c r="AH280">
        <f ca="1">IF(AND(ISNUMBER($AH$724),$B$419=1),$AH$724,HLOOKUP(INDIRECT(ADDRESS(2,COLUMN())),OFFSET($BN$2,0,0,ROW()-1,60),ROW()-1,FALSE))</f>
        <v>5.1505026899999997</v>
      </c>
      <c r="AI280">
        <f ca="1">IF(AND(ISNUMBER($AI$724),$B$419=1),$AI$724,HLOOKUP(INDIRECT(ADDRESS(2,COLUMN())),OFFSET($BN$2,0,0,ROW()-1,60),ROW()-1,FALSE))</f>
        <v>5.0139193469999999</v>
      </c>
      <c r="AJ280">
        <f ca="1">IF(AND(ISNUMBER($AJ$724),$B$419=1),$AJ$724,HLOOKUP(INDIRECT(ADDRESS(2,COLUMN())),OFFSET($BN$2,0,0,ROW()-1,60),ROW()-1,FALSE))</f>
        <v>4.9273708450000004</v>
      </c>
      <c r="AK280">
        <f ca="1">IF(AND(ISNUMBER($AK$724),$B$419=1),$AK$724,HLOOKUP(INDIRECT(ADDRESS(2,COLUMN())),OFFSET($BN$2,0,0,ROW()-1,60),ROW()-1,FALSE))</f>
        <v>4.8042537190000001</v>
      </c>
      <c r="AL280">
        <f ca="1">IF(AND(ISNUMBER($AL$724),$B$419=1),$AL$724,HLOOKUP(INDIRECT(ADDRESS(2,COLUMN())),OFFSET($BN$2,0,0,ROW()-1,60),ROW()-1,FALSE))</f>
        <v>4.8141767870000001</v>
      </c>
      <c r="AM280">
        <f ca="1">IF(AND(ISNUMBER($AM$724),$B$419=1),$AM$724,HLOOKUP(INDIRECT(ADDRESS(2,COLUMN())),OFFSET($BN$2,0,0,ROW()-1,60),ROW()-1,FALSE))</f>
        <v>4.8495222</v>
      </c>
      <c r="AN280" t="str">
        <f ca="1">IF(AND(ISNUMBER($AN$724),$B$419=1),$AN$724,HLOOKUP(INDIRECT(ADDRESS(2,COLUMN())),OFFSET($BN$2,0,0,ROW()-1,60),ROW()-1,FALSE))</f>
        <v/>
      </c>
      <c r="AO280" t="str">
        <f ca="1">IF(AND(ISNUMBER($AO$724),$B$419=1),$AO$724,HLOOKUP(INDIRECT(ADDRESS(2,COLUMN())),OFFSET($BN$2,0,0,ROW()-1,60),ROW()-1,FALSE))</f>
        <v/>
      </c>
      <c r="AP280" t="str">
        <f ca="1">IF(AND(ISNUMBER($AP$724),$B$419=1),$AP$724,HLOOKUP(INDIRECT(ADDRESS(2,COLUMN())),OFFSET($BN$2,0,0,ROW()-1,60),ROW()-1,FALSE))</f>
        <v/>
      </c>
      <c r="AQ280" t="str">
        <f ca="1">IF(AND(ISNUMBER($AQ$724),$B$419=1),$AQ$724,HLOOKUP(INDIRECT(ADDRESS(2,COLUMN())),OFFSET($BN$2,0,0,ROW()-1,60),ROW()-1,FALSE))</f>
        <v/>
      </c>
      <c r="AR280" t="str">
        <f ca="1">IF(AND(ISNUMBER($AR$724),$B$419=1),$AR$724,HLOOKUP(INDIRECT(ADDRESS(2,COLUMN())),OFFSET($BN$2,0,0,ROW()-1,60),ROW()-1,FALSE))</f>
        <v/>
      </c>
      <c r="AS280" t="str">
        <f ca="1">IF(AND(ISNUMBER($AS$724),$B$419=1),$AS$724,HLOOKUP(INDIRECT(ADDRESS(2,COLUMN())),OFFSET($BN$2,0,0,ROW()-1,60),ROW()-1,FALSE))</f>
        <v/>
      </c>
      <c r="AT280" t="str">
        <f ca="1">IF(AND(ISNUMBER($AT$724),$B$419=1),$AT$724,HLOOKUP(INDIRECT(ADDRESS(2,COLUMN())),OFFSET($BN$2,0,0,ROW()-1,60),ROW()-1,FALSE))</f>
        <v/>
      </c>
      <c r="AU280" t="str">
        <f ca="1">IF(AND(ISNUMBER($AU$724),$B$419=1),$AU$724,HLOOKUP(INDIRECT(ADDRESS(2,COLUMN())),OFFSET($BN$2,0,0,ROW()-1,60),ROW()-1,FALSE))</f>
        <v/>
      </c>
      <c r="AV280" t="str">
        <f ca="1">IF(AND(ISNUMBER($AV$724),$B$419=1),$AV$724,HLOOKUP(INDIRECT(ADDRESS(2,COLUMN())),OFFSET($BN$2,0,0,ROW()-1,60),ROW()-1,FALSE))</f>
        <v/>
      </c>
      <c r="AW280" t="str">
        <f ca="1">IF(AND(ISNUMBER($AW$724),$B$419=1),$AW$724,HLOOKUP(INDIRECT(ADDRESS(2,COLUMN())),OFFSET($BN$2,0,0,ROW()-1,60),ROW()-1,FALSE))</f>
        <v/>
      </c>
      <c r="AX280" t="str">
        <f ca="1">IF(AND(ISNUMBER($AX$724),$B$419=1),$AX$724,HLOOKUP(INDIRECT(ADDRESS(2,COLUMN())),OFFSET($BN$2,0,0,ROW()-1,60),ROW()-1,FALSE))</f>
        <v/>
      </c>
      <c r="AY280" t="str">
        <f ca="1">IF(AND(ISNUMBER($AY$724),$B$419=1),$AY$724,HLOOKUP(INDIRECT(ADDRESS(2,COLUMN())),OFFSET($BN$2,0,0,ROW()-1,60),ROW()-1,FALSE))</f>
        <v/>
      </c>
      <c r="AZ280" t="str">
        <f ca="1">IF(AND(ISNUMBER($AZ$724),$B$419=1),$AZ$724,HLOOKUP(INDIRECT(ADDRESS(2,COLUMN())),OFFSET($BN$2,0,0,ROW()-1,60),ROW()-1,FALSE))</f>
        <v/>
      </c>
      <c r="BA280" t="str">
        <f ca="1">IF(AND(ISNUMBER($BA$724),$B$419=1),$BA$724,HLOOKUP(INDIRECT(ADDRESS(2,COLUMN())),OFFSET($BN$2,0,0,ROW()-1,60),ROW()-1,FALSE))</f>
        <v/>
      </c>
      <c r="BB280" t="str">
        <f ca="1">IF(AND(ISNUMBER($BB$724),$B$419=1),$BB$724,HLOOKUP(INDIRECT(ADDRESS(2,COLUMN())),OFFSET($BN$2,0,0,ROW()-1,60),ROW()-1,FALSE))</f>
        <v/>
      </c>
      <c r="BC280" t="str">
        <f ca="1">IF(AND(ISNUMBER($BC$724),$B$419=1),$BC$724,HLOOKUP(INDIRECT(ADDRESS(2,COLUMN())),OFFSET($BN$2,0,0,ROW()-1,60),ROW()-1,FALSE))</f>
        <v/>
      </c>
      <c r="BD280" t="str">
        <f ca="1">IF(AND(ISNUMBER($BD$724),$B$419=1),$BD$724,HLOOKUP(INDIRECT(ADDRESS(2,COLUMN())),OFFSET($BN$2,0,0,ROW()-1,60),ROW()-1,FALSE))</f>
        <v/>
      </c>
      <c r="BE280" t="str">
        <f ca="1">IF(AND(ISNUMBER($BE$724),$B$419=1),$BE$724,HLOOKUP(INDIRECT(ADDRESS(2,COLUMN())),OFFSET($BN$2,0,0,ROW()-1,60),ROW()-1,FALSE))</f>
        <v/>
      </c>
      <c r="BF280" t="str">
        <f ca="1">IF(AND(ISNUMBER($BF$724),$B$419=1),$BF$724,HLOOKUP(INDIRECT(ADDRESS(2,COLUMN())),OFFSET($BN$2,0,0,ROW()-1,60),ROW()-1,FALSE))</f>
        <v/>
      </c>
      <c r="BG280" t="str">
        <f ca="1">IF(AND(ISNUMBER($BG$724),$B$419=1),$BG$724,HLOOKUP(INDIRECT(ADDRESS(2,COLUMN())),OFFSET($BN$2,0,0,ROW()-1,60),ROW()-1,FALSE))</f>
        <v/>
      </c>
      <c r="BH280" t="str">
        <f ca="1">IF(AND(ISNUMBER($BH$724),$B$419=1),$BH$724,HLOOKUP(INDIRECT(ADDRESS(2,COLUMN())),OFFSET($BN$2,0,0,ROW()-1,60),ROW()-1,FALSE))</f>
        <v/>
      </c>
      <c r="BI280" t="str">
        <f ca="1">IF(AND(ISNUMBER($BI$724),$B$419=1),$BI$724,HLOOKUP(INDIRECT(ADDRESS(2,COLUMN())),OFFSET($BN$2,0,0,ROW()-1,60),ROW()-1,FALSE))</f>
        <v/>
      </c>
      <c r="BJ280" t="str">
        <f ca="1">IF(AND(ISNUMBER($BJ$724),$B$419=1),$BJ$724,HLOOKUP(INDIRECT(ADDRESS(2,COLUMN())),OFFSET($BN$2,0,0,ROW()-1,60),ROW()-1,FALSE))</f>
        <v/>
      </c>
      <c r="BK280" t="str">
        <f ca="1">IF(AND(ISNUMBER($BK$724),$B$419=1),$BK$724,HLOOKUP(INDIRECT(ADDRESS(2,COLUMN())),OFFSET($BN$2,0,0,ROW()-1,60),ROW()-1,FALSE))</f>
        <v/>
      </c>
      <c r="BL280" t="str">
        <f ca="1">IF(AND(ISNUMBER($BL$724),$B$419=1),$BL$724,HLOOKUP(INDIRECT(ADDRESS(2,COLUMN())),OFFSET($BN$2,0,0,ROW()-1,60),ROW()-1,FALSE))</f>
        <v/>
      </c>
      <c r="BM280" t="str">
        <f ca="1">IF(AND(ISNUMBER($BM$724),$B$419=1),$BM$724,HLOOKUP(INDIRECT(ADDRESS(2,COLUMN())),OFFSET($BN$2,0,0,ROW()-1,60),ROW()-1,FALSE))</f>
        <v/>
      </c>
      <c r="BN280" t="str">
        <f>""</f>
        <v/>
      </c>
      <c r="BO280">
        <f>5.962705485</f>
        <v>5.9627054849999999</v>
      </c>
      <c r="BP280">
        <f>5.993231147</f>
        <v>5.9932311470000004</v>
      </c>
      <c r="BQ280">
        <f>5.748765963</f>
        <v>5.7487659630000003</v>
      </c>
      <c r="BR280">
        <f>5.725631334</f>
        <v>5.725631334</v>
      </c>
      <c r="BS280">
        <f>5.392910723</f>
        <v>5.392910723</v>
      </c>
      <c r="BT280">
        <f>5.363021592</f>
        <v>5.3630215919999999</v>
      </c>
      <c r="BU280">
        <f>5.343284275</f>
        <v>5.3432842750000002</v>
      </c>
      <c r="BV280">
        <f>5.436153759</f>
        <v>5.4361537589999998</v>
      </c>
      <c r="BW280">
        <f>5.48725129</f>
        <v>5.4872512899999997</v>
      </c>
      <c r="BX280">
        <f>5.388746327</f>
        <v>5.3887463269999998</v>
      </c>
      <c r="BY280">
        <f>5.492983562</f>
        <v>5.492983562</v>
      </c>
      <c r="BZ280">
        <f>5.494761101</f>
        <v>5.4947611009999999</v>
      </c>
      <c r="CA280">
        <f>5.345073339</f>
        <v>5.3450733389999998</v>
      </c>
      <c r="CB280">
        <f>5.2590785</f>
        <v>5.2590785000000002</v>
      </c>
      <c r="CC280">
        <f>5.446075032</f>
        <v>5.4460750320000004</v>
      </c>
      <c r="CD280">
        <f>5.522373327</f>
        <v>5.5223733270000004</v>
      </c>
      <c r="CE280">
        <f>5.377197418</f>
        <v>5.3771974179999997</v>
      </c>
      <c r="CF280">
        <f>5.294971111</f>
        <v>5.2949711109999997</v>
      </c>
      <c r="CG280">
        <f>5.378325097</f>
        <v>5.3783250970000003</v>
      </c>
      <c r="CH280">
        <f>5.371454591</f>
        <v>5.371454591</v>
      </c>
      <c r="CI280">
        <f>5.470363597</f>
        <v>5.4703635970000004</v>
      </c>
      <c r="CJ280">
        <f>5.271391377</f>
        <v>5.2713913769999996</v>
      </c>
      <c r="CK280">
        <f>5.450072845</f>
        <v>5.4500728450000002</v>
      </c>
      <c r="CL280">
        <f>5.614329892</f>
        <v>5.6143298919999998</v>
      </c>
      <c r="CM280">
        <f>5.765751627</f>
        <v>5.7657516270000002</v>
      </c>
      <c r="CN280">
        <f>4.826355643</f>
        <v>4.8263556430000003</v>
      </c>
      <c r="CO280">
        <f>4.962714996</f>
        <v>4.9627149959999999</v>
      </c>
      <c r="CP280">
        <f>5.15050269</f>
        <v>5.1505026899999997</v>
      </c>
      <c r="CQ280">
        <f>5.013919347</f>
        <v>5.0139193469999999</v>
      </c>
      <c r="CR280">
        <f>4.927370845</f>
        <v>4.9273708450000004</v>
      </c>
      <c r="CS280">
        <f>4.804253719</f>
        <v>4.8042537190000001</v>
      </c>
      <c r="CT280">
        <f>4.814176787</f>
        <v>4.8141767870000001</v>
      </c>
      <c r="CU280">
        <f>4.8495222</f>
        <v>4.8495222</v>
      </c>
      <c r="CV280" t="str">
        <f>""</f>
        <v/>
      </c>
      <c r="CW280" t="str">
        <f>""</f>
        <v/>
      </c>
      <c r="CX280" t="str">
        <f>""</f>
        <v/>
      </c>
      <c r="CY280" t="str">
        <f>""</f>
        <v/>
      </c>
      <c r="CZ280" t="str">
        <f>""</f>
        <v/>
      </c>
      <c r="DA280" t="str">
        <f>""</f>
        <v/>
      </c>
      <c r="DB280" t="str">
        <f>""</f>
        <v/>
      </c>
      <c r="DC280" t="str">
        <f>""</f>
        <v/>
      </c>
      <c r="DD280" t="str">
        <f>""</f>
        <v/>
      </c>
      <c r="DE280" t="str">
        <f>""</f>
        <v/>
      </c>
      <c r="DF280" t="str">
        <f>""</f>
        <v/>
      </c>
      <c r="DG280" t="str">
        <f>""</f>
        <v/>
      </c>
      <c r="DH280" t="str">
        <f>""</f>
        <v/>
      </c>
      <c r="DI280" t="str">
        <f>""</f>
        <v/>
      </c>
      <c r="DJ280" t="str">
        <f>""</f>
        <v/>
      </c>
      <c r="DK280" t="str">
        <f>""</f>
        <v/>
      </c>
      <c r="DL280" t="str">
        <f>""</f>
        <v/>
      </c>
      <c r="DM280" t="str">
        <f>""</f>
        <v/>
      </c>
      <c r="DN280" t="str">
        <f>""</f>
        <v/>
      </c>
      <c r="DO280" t="str">
        <f>""</f>
        <v/>
      </c>
      <c r="DP280" t="str">
        <f>""</f>
        <v/>
      </c>
      <c r="DQ280" t="str">
        <f>""</f>
        <v/>
      </c>
      <c r="DR280" t="str">
        <f>""</f>
        <v/>
      </c>
      <c r="DS280" t="str">
        <f>""</f>
        <v/>
      </c>
      <c r="DT280" t="str">
        <f>""</f>
        <v/>
      </c>
      <c r="DU280" t="str">
        <f>""</f>
        <v/>
      </c>
    </row>
    <row r="281" spans="1:125">
      <c r="A281" t="str">
        <f>"    Kimco Realty Corp"</f>
        <v xml:space="preserve">    Kimco Realty Corp</v>
      </c>
      <c r="B281" t="str">
        <f>"KIM US Equity"</f>
        <v>KIM US Equity</v>
      </c>
      <c r="C281" t="str">
        <f t="shared" si="51"/>
        <v>F1178</v>
      </c>
      <c r="D281" t="str">
        <f t="shared" si="52"/>
        <v>NET_DEBT_EBITDA_ADJUSTED</v>
      </c>
      <c r="E281" t="str">
        <f t="shared" si="53"/>
        <v>动态</v>
      </c>
      <c r="F281" t="str">
        <f ca="1">IF(AND(ISNUMBER($F$725),$B$419=1),$F$725,HLOOKUP(INDIRECT(ADDRESS(2,COLUMN())),OFFSET($BN$2,0,0,ROW()-1,60),ROW()-1,FALSE))</f>
        <v/>
      </c>
      <c r="G281">
        <f ca="1">IF(AND(ISNUMBER($G$725),$B$419=1),$G$725,HLOOKUP(INDIRECT(ADDRESS(2,COLUMN())),OFFSET($BN$2,0,0,ROW()-1,60),ROW()-1,FALSE))</f>
        <v>6.8597642470000002</v>
      </c>
      <c r="H281">
        <f ca="1">IF(AND(ISNUMBER($H$725),$B$419=1),$H$725,HLOOKUP(INDIRECT(ADDRESS(2,COLUMN())),OFFSET($BN$2,0,0,ROW()-1,60),ROW()-1,FALSE))</f>
        <v>7.1489209730000001</v>
      </c>
      <c r="I281">
        <f ca="1">IF(AND(ISNUMBER($I$725),$B$419=1),$I$725,HLOOKUP(INDIRECT(ADDRESS(2,COLUMN())),OFFSET($BN$2,0,0,ROW()-1,60),ROW()-1,FALSE))</f>
        <v>7.0301997820000004</v>
      </c>
      <c r="J281">
        <f ca="1">IF(AND(ISNUMBER($J$725),$B$419=1),$J$725,HLOOKUP(INDIRECT(ADDRESS(2,COLUMN())),OFFSET($BN$2,0,0,ROW()-1,60),ROW()-1,FALSE))</f>
        <v>6.662351363</v>
      </c>
      <c r="K281">
        <f ca="1">IF(AND(ISNUMBER($K$725),$B$419=1),$K$725,HLOOKUP(INDIRECT(ADDRESS(2,COLUMN())),OFFSET($BN$2,0,0,ROW()-1,60),ROW()-1,FALSE))</f>
        <v>6.5703534389999998</v>
      </c>
      <c r="L281">
        <f ca="1">IF(AND(ISNUMBER($L$725),$B$419=1),$L$725,HLOOKUP(INDIRECT(ADDRESS(2,COLUMN())),OFFSET($BN$2,0,0,ROW()-1,60),ROW()-1,FALSE))</f>
        <v>6.4604752889999997</v>
      </c>
      <c r="M281">
        <f ca="1">IF(AND(ISNUMBER($M$725),$B$419=1),$M$725,HLOOKUP(INDIRECT(ADDRESS(2,COLUMN())),OFFSET($BN$2,0,0,ROW()-1,60),ROW()-1,FALSE))</f>
        <v>6.4738895899999997</v>
      </c>
      <c r="N281">
        <f ca="1">IF(AND(ISNUMBER($N$725),$B$419=1),$N$725,HLOOKUP(INDIRECT(ADDRESS(2,COLUMN())),OFFSET($BN$2,0,0,ROW()-1,60),ROW()-1,FALSE))</f>
        <v>6.6003866340000004</v>
      </c>
      <c r="O281">
        <f ca="1">IF(AND(ISNUMBER($O$725),$B$419=1),$O$725,HLOOKUP(INDIRECT(ADDRESS(2,COLUMN())),OFFSET($BN$2,0,0,ROW()-1,60),ROW()-1,FALSE))</f>
        <v>7.0714427889999998</v>
      </c>
      <c r="P281">
        <f ca="1">IF(AND(ISNUMBER($P$725),$B$419=1),$P$725,HLOOKUP(INDIRECT(ADDRESS(2,COLUMN())),OFFSET($BN$2,0,0,ROW()-1,60),ROW()-1,FALSE))</f>
        <v>7.459516518</v>
      </c>
      <c r="Q281">
        <f ca="1">IF(AND(ISNUMBER($Q$725),$B$419=1),$Q$725,HLOOKUP(INDIRECT(ADDRESS(2,COLUMN())),OFFSET($BN$2,0,0,ROW()-1,60),ROW()-1,FALSE))</f>
        <v>7.7950086519999999</v>
      </c>
      <c r="R281">
        <f ca="1">IF(AND(ISNUMBER($R$725),$B$419=1),$R$725,HLOOKUP(INDIRECT(ADDRESS(2,COLUMN())),OFFSET($BN$2,0,0,ROW()-1,60),ROW()-1,FALSE))</f>
        <v>8.3130037619999992</v>
      </c>
      <c r="S281">
        <f ca="1">IF(AND(ISNUMBER($S$725),$B$419=1),$S$725,HLOOKUP(INDIRECT(ADDRESS(2,COLUMN())),OFFSET($BN$2,0,0,ROW()-1,60),ROW()-1,FALSE))</f>
        <v>7.0740289079999998</v>
      </c>
      <c r="T281">
        <f ca="1">IF(AND(ISNUMBER($T$725),$B$419=1),$T$725,HLOOKUP(INDIRECT(ADDRESS(2,COLUMN())),OFFSET($BN$2,0,0,ROW()-1,60),ROW()-1,FALSE))</f>
        <v>7.6051126760000001</v>
      </c>
      <c r="U281">
        <f ca="1">IF(AND(ISNUMBER($U$725),$B$419=1),$U$725,HLOOKUP(INDIRECT(ADDRESS(2,COLUMN())),OFFSET($BN$2,0,0,ROW()-1,60),ROW()-1,FALSE))</f>
        <v>7.9128817009999999</v>
      </c>
      <c r="V281">
        <f ca="1">IF(AND(ISNUMBER($V$725),$B$419=1),$V$725,HLOOKUP(INDIRECT(ADDRESS(2,COLUMN())),OFFSET($BN$2,0,0,ROW()-1,60),ROW()-1,FALSE))</f>
        <v>7.2848443080000003</v>
      </c>
      <c r="W281">
        <f ca="1">IF(AND(ISNUMBER($W$725),$B$419=1),$W$725,HLOOKUP(INDIRECT(ADDRESS(2,COLUMN())),OFFSET($BN$2,0,0,ROW()-1,60),ROW()-1,FALSE))</f>
        <v>7.2030622409999996</v>
      </c>
      <c r="X281">
        <f ca="1">IF(AND(ISNUMBER($X$725),$B$419=1),$X$725,HLOOKUP(INDIRECT(ADDRESS(2,COLUMN())),OFFSET($BN$2,0,0,ROW()-1,60),ROW()-1,FALSE))</f>
        <v>7.0745949670000003</v>
      </c>
      <c r="Y281">
        <f ca="1">IF(AND(ISNUMBER($Y$725),$B$419=1),$Y$725,HLOOKUP(INDIRECT(ADDRESS(2,COLUMN())),OFFSET($BN$2,0,0,ROW()-1,60),ROW()-1,FALSE))</f>
        <v>7.689700717</v>
      </c>
      <c r="Z281">
        <f ca="1">IF(AND(ISNUMBER($Z$725),$B$419=1),$Z$725,HLOOKUP(INDIRECT(ADDRESS(2,COLUMN())),OFFSET($BN$2,0,0,ROW()-1,60),ROW()-1,FALSE))</f>
        <v>7.738441141</v>
      </c>
      <c r="AA281">
        <f ca="1">IF(AND(ISNUMBER($AA$725),$B$419=1),$AA$725,HLOOKUP(INDIRECT(ADDRESS(2,COLUMN())),OFFSET($BN$2,0,0,ROW()-1,60),ROW()-1,FALSE))</f>
        <v>7.3687691329999998</v>
      </c>
      <c r="AB281">
        <f ca="1">IF(AND(ISNUMBER($AB$725),$B$419=1),$AB$725,HLOOKUP(INDIRECT(ADDRESS(2,COLUMN())),OFFSET($BN$2,0,0,ROW()-1,60),ROW()-1,FALSE))</f>
        <v>6.9506913700000004</v>
      </c>
      <c r="AC281">
        <f ca="1">IF(AND(ISNUMBER($AC$725),$B$419=1),$AC$725,HLOOKUP(INDIRECT(ADDRESS(2,COLUMN())),OFFSET($BN$2,0,0,ROW()-1,60),ROW()-1,FALSE))</f>
        <v>7.1211795929999999</v>
      </c>
      <c r="AD281">
        <f ca="1">IF(AND(ISNUMBER($AD$725),$B$419=1),$AD$725,HLOOKUP(INDIRECT(ADDRESS(2,COLUMN())),OFFSET($BN$2,0,0,ROW()-1,60),ROW()-1,FALSE))</f>
        <v>6.9633477859999999</v>
      </c>
      <c r="AE281">
        <f ca="1">IF(AND(ISNUMBER($AE$725),$B$419=1),$AE$725,HLOOKUP(INDIRECT(ADDRESS(2,COLUMN())),OFFSET($BN$2,0,0,ROW()-1,60),ROW()-1,FALSE))</f>
        <v>7.6144845410000004</v>
      </c>
      <c r="AF281">
        <f ca="1">IF(AND(ISNUMBER($AF$725),$B$419=1),$AF$725,HLOOKUP(INDIRECT(ADDRESS(2,COLUMN())),OFFSET($BN$2,0,0,ROW()-1,60),ROW()-1,FALSE))</f>
        <v>7.1832577259999999</v>
      </c>
      <c r="AG281">
        <f ca="1">IF(AND(ISNUMBER($AG$725),$B$419=1),$AG$725,HLOOKUP(INDIRECT(ADDRESS(2,COLUMN())),OFFSET($BN$2,0,0,ROW()-1,60),ROW()-1,FALSE))</f>
        <v>7.1706579440000002</v>
      </c>
      <c r="AH281">
        <f ca="1">IF(AND(ISNUMBER($AH$725),$B$419=1),$AH$725,HLOOKUP(INDIRECT(ADDRESS(2,COLUMN())),OFFSET($BN$2,0,0,ROW()-1,60),ROW()-1,FALSE))</f>
        <v>7.423709541</v>
      </c>
      <c r="AI281">
        <f ca="1">IF(AND(ISNUMBER($AI$725),$B$419=1),$AI$725,HLOOKUP(INDIRECT(ADDRESS(2,COLUMN())),OFFSET($BN$2,0,0,ROW()-1,60),ROW()-1,FALSE))</f>
        <v>7.1980856739999997</v>
      </c>
      <c r="AJ281">
        <f ca="1">IF(AND(ISNUMBER($AJ$725),$B$419=1),$AJ$725,HLOOKUP(INDIRECT(ADDRESS(2,COLUMN())),OFFSET($BN$2,0,0,ROW()-1,60),ROW()-1,FALSE))</f>
        <v>7.0301585490000003</v>
      </c>
      <c r="AK281">
        <f ca="1">IF(AND(ISNUMBER($AK$725),$B$419=1),$AK$725,HLOOKUP(INDIRECT(ADDRESS(2,COLUMN())),OFFSET($BN$2,0,0,ROW()-1,60),ROW()-1,FALSE))</f>
        <v>7.5232153930000001</v>
      </c>
      <c r="AL281">
        <f ca="1">IF(AND(ISNUMBER($AL$725),$B$419=1),$AL$725,HLOOKUP(INDIRECT(ADDRESS(2,COLUMN())),OFFSET($BN$2,0,0,ROW()-1,60),ROW()-1,FALSE))</f>
        <v>8.1177237959999999</v>
      </c>
      <c r="AM281">
        <f ca="1">IF(AND(ISNUMBER($AM$725),$B$419=1),$AM$725,HLOOKUP(INDIRECT(ADDRESS(2,COLUMN())),OFFSET($BN$2,0,0,ROW()-1,60),ROW()-1,FALSE))</f>
        <v>8.1629997139999997</v>
      </c>
      <c r="AN281" t="str">
        <f ca="1">IF(AND(ISNUMBER($AN$725),$B$419=1),$AN$725,HLOOKUP(INDIRECT(ADDRESS(2,COLUMN())),OFFSET($BN$2,0,0,ROW()-1,60),ROW()-1,FALSE))</f>
        <v/>
      </c>
      <c r="AO281" t="str">
        <f ca="1">IF(AND(ISNUMBER($AO$725),$B$419=1),$AO$725,HLOOKUP(INDIRECT(ADDRESS(2,COLUMN())),OFFSET($BN$2,0,0,ROW()-1,60),ROW()-1,FALSE))</f>
        <v/>
      </c>
      <c r="AP281" t="str">
        <f ca="1">IF(AND(ISNUMBER($AP$725),$B$419=1),$AP$725,HLOOKUP(INDIRECT(ADDRESS(2,COLUMN())),OFFSET($BN$2,0,0,ROW()-1,60),ROW()-1,FALSE))</f>
        <v/>
      </c>
      <c r="AQ281" t="str">
        <f ca="1">IF(AND(ISNUMBER($AQ$725),$B$419=1),$AQ$725,HLOOKUP(INDIRECT(ADDRESS(2,COLUMN())),OFFSET($BN$2,0,0,ROW()-1,60),ROW()-1,FALSE))</f>
        <v/>
      </c>
      <c r="AR281" t="str">
        <f ca="1">IF(AND(ISNUMBER($AR$725),$B$419=1),$AR$725,HLOOKUP(INDIRECT(ADDRESS(2,COLUMN())),OFFSET($BN$2,0,0,ROW()-1,60),ROW()-1,FALSE))</f>
        <v/>
      </c>
      <c r="AS281" t="str">
        <f ca="1">IF(AND(ISNUMBER($AS$725),$B$419=1),$AS$725,HLOOKUP(INDIRECT(ADDRESS(2,COLUMN())),OFFSET($BN$2,0,0,ROW()-1,60),ROW()-1,FALSE))</f>
        <v/>
      </c>
      <c r="AT281" t="str">
        <f ca="1">IF(AND(ISNUMBER($AT$725),$B$419=1),$AT$725,HLOOKUP(INDIRECT(ADDRESS(2,COLUMN())),OFFSET($BN$2,0,0,ROW()-1,60),ROW()-1,FALSE))</f>
        <v/>
      </c>
      <c r="AU281" t="str">
        <f ca="1">IF(AND(ISNUMBER($AU$725),$B$419=1),$AU$725,HLOOKUP(INDIRECT(ADDRESS(2,COLUMN())),OFFSET($BN$2,0,0,ROW()-1,60),ROW()-1,FALSE))</f>
        <v/>
      </c>
      <c r="AV281" t="str">
        <f ca="1">IF(AND(ISNUMBER($AV$725),$B$419=1),$AV$725,HLOOKUP(INDIRECT(ADDRESS(2,COLUMN())),OFFSET($BN$2,0,0,ROW()-1,60),ROW()-1,FALSE))</f>
        <v/>
      </c>
      <c r="AW281" t="str">
        <f ca="1">IF(AND(ISNUMBER($AW$725),$B$419=1),$AW$725,HLOOKUP(INDIRECT(ADDRESS(2,COLUMN())),OFFSET($BN$2,0,0,ROW()-1,60),ROW()-1,FALSE))</f>
        <v/>
      </c>
      <c r="AX281" t="str">
        <f ca="1">IF(AND(ISNUMBER($AX$725),$B$419=1),$AX$725,HLOOKUP(INDIRECT(ADDRESS(2,COLUMN())),OFFSET($BN$2,0,0,ROW()-1,60),ROW()-1,FALSE))</f>
        <v/>
      </c>
      <c r="AY281" t="str">
        <f ca="1">IF(AND(ISNUMBER($AY$725),$B$419=1),$AY$725,HLOOKUP(INDIRECT(ADDRESS(2,COLUMN())),OFFSET($BN$2,0,0,ROW()-1,60),ROW()-1,FALSE))</f>
        <v/>
      </c>
      <c r="AZ281" t="str">
        <f ca="1">IF(AND(ISNUMBER($AZ$725),$B$419=1),$AZ$725,HLOOKUP(INDIRECT(ADDRESS(2,COLUMN())),OFFSET($BN$2,0,0,ROW()-1,60),ROW()-1,FALSE))</f>
        <v/>
      </c>
      <c r="BA281" t="str">
        <f ca="1">IF(AND(ISNUMBER($BA$725),$B$419=1),$BA$725,HLOOKUP(INDIRECT(ADDRESS(2,COLUMN())),OFFSET($BN$2,0,0,ROW()-1,60),ROW()-1,FALSE))</f>
        <v/>
      </c>
      <c r="BB281" t="str">
        <f ca="1">IF(AND(ISNUMBER($BB$725),$B$419=1),$BB$725,HLOOKUP(INDIRECT(ADDRESS(2,COLUMN())),OFFSET($BN$2,0,0,ROW()-1,60),ROW()-1,FALSE))</f>
        <v/>
      </c>
      <c r="BC281" t="str">
        <f ca="1">IF(AND(ISNUMBER($BC$725),$B$419=1),$BC$725,HLOOKUP(INDIRECT(ADDRESS(2,COLUMN())),OFFSET($BN$2,0,0,ROW()-1,60),ROW()-1,FALSE))</f>
        <v/>
      </c>
      <c r="BD281" t="str">
        <f ca="1">IF(AND(ISNUMBER($BD$725),$B$419=1),$BD$725,HLOOKUP(INDIRECT(ADDRESS(2,COLUMN())),OFFSET($BN$2,0,0,ROW()-1,60),ROW()-1,FALSE))</f>
        <v/>
      </c>
      <c r="BE281" t="str">
        <f ca="1">IF(AND(ISNUMBER($BE$725),$B$419=1),$BE$725,HLOOKUP(INDIRECT(ADDRESS(2,COLUMN())),OFFSET($BN$2,0,0,ROW()-1,60),ROW()-1,FALSE))</f>
        <v/>
      </c>
      <c r="BF281" t="str">
        <f ca="1">IF(AND(ISNUMBER($BF$725),$B$419=1),$BF$725,HLOOKUP(INDIRECT(ADDRESS(2,COLUMN())),OFFSET($BN$2,0,0,ROW()-1,60),ROW()-1,FALSE))</f>
        <v/>
      </c>
      <c r="BG281" t="str">
        <f ca="1">IF(AND(ISNUMBER($BG$725),$B$419=1),$BG$725,HLOOKUP(INDIRECT(ADDRESS(2,COLUMN())),OFFSET($BN$2,0,0,ROW()-1,60),ROW()-1,FALSE))</f>
        <v/>
      </c>
      <c r="BH281" t="str">
        <f ca="1">IF(AND(ISNUMBER($BH$725),$B$419=1),$BH$725,HLOOKUP(INDIRECT(ADDRESS(2,COLUMN())),OFFSET($BN$2,0,0,ROW()-1,60),ROW()-1,FALSE))</f>
        <v/>
      </c>
      <c r="BI281" t="str">
        <f ca="1">IF(AND(ISNUMBER($BI$725),$B$419=1),$BI$725,HLOOKUP(INDIRECT(ADDRESS(2,COLUMN())),OFFSET($BN$2,0,0,ROW()-1,60),ROW()-1,FALSE))</f>
        <v/>
      </c>
      <c r="BJ281" t="str">
        <f ca="1">IF(AND(ISNUMBER($BJ$725),$B$419=1),$BJ$725,HLOOKUP(INDIRECT(ADDRESS(2,COLUMN())),OFFSET($BN$2,0,0,ROW()-1,60),ROW()-1,FALSE))</f>
        <v/>
      </c>
      <c r="BK281" t="str">
        <f ca="1">IF(AND(ISNUMBER($BK$725),$B$419=1),$BK$725,HLOOKUP(INDIRECT(ADDRESS(2,COLUMN())),OFFSET($BN$2,0,0,ROW()-1,60),ROW()-1,FALSE))</f>
        <v/>
      </c>
      <c r="BL281" t="str">
        <f ca="1">IF(AND(ISNUMBER($BL$725),$B$419=1),$BL$725,HLOOKUP(INDIRECT(ADDRESS(2,COLUMN())),OFFSET($BN$2,0,0,ROW()-1,60),ROW()-1,FALSE))</f>
        <v/>
      </c>
      <c r="BM281" t="str">
        <f ca="1">IF(AND(ISNUMBER($BM$725),$B$419=1),$BM$725,HLOOKUP(INDIRECT(ADDRESS(2,COLUMN())),OFFSET($BN$2,0,0,ROW()-1,60),ROW()-1,FALSE))</f>
        <v/>
      </c>
      <c r="BN281" t="str">
        <f>""</f>
        <v/>
      </c>
      <c r="BO281">
        <f>6.859764247</f>
        <v>6.8597642470000002</v>
      </c>
      <c r="BP281">
        <f>7.148920973</f>
        <v>7.1489209730000001</v>
      </c>
      <c r="BQ281">
        <f>7.030199782</f>
        <v>7.0301997820000004</v>
      </c>
      <c r="BR281">
        <f>6.662351363</f>
        <v>6.662351363</v>
      </c>
      <c r="BS281">
        <f>6.570353439</f>
        <v>6.5703534389999998</v>
      </c>
      <c r="BT281">
        <f>6.460475289</f>
        <v>6.4604752889999997</v>
      </c>
      <c r="BU281">
        <f>6.47388959</f>
        <v>6.4738895899999997</v>
      </c>
      <c r="BV281">
        <f>6.600386634</f>
        <v>6.6003866340000004</v>
      </c>
      <c r="BW281">
        <f>7.071442789</f>
        <v>7.0714427889999998</v>
      </c>
      <c r="BX281">
        <f>7.459516518</f>
        <v>7.459516518</v>
      </c>
      <c r="BY281">
        <f>7.795008652</f>
        <v>7.7950086519999999</v>
      </c>
      <c r="BZ281">
        <f>8.313003762</f>
        <v>8.3130037619999992</v>
      </c>
      <c r="CA281">
        <f>7.074028908</f>
        <v>7.0740289079999998</v>
      </c>
      <c r="CB281">
        <f>7.605112676</f>
        <v>7.6051126760000001</v>
      </c>
      <c r="CC281">
        <f>7.912881701</f>
        <v>7.9128817009999999</v>
      </c>
      <c r="CD281">
        <f>7.284844308</f>
        <v>7.2848443080000003</v>
      </c>
      <c r="CE281">
        <f>7.203062241</f>
        <v>7.2030622409999996</v>
      </c>
      <c r="CF281">
        <f>7.074594967</f>
        <v>7.0745949670000003</v>
      </c>
      <c r="CG281">
        <f>7.689700717</f>
        <v>7.689700717</v>
      </c>
      <c r="CH281">
        <f>7.738441141</f>
        <v>7.738441141</v>
      </c>
      <c r="CI281">
        <f>7.368769133</f>
        <v>7.3687691329999998</v>
      </c>
      <c r="CJ281">
        <f>6.95069137</f>
        <v>6.9506913700000004</v>
      </c>
      <c r="CK281">
        <f>7.121179593</f>
        <v>7.1211795929999999</v>
      </c>
      <c r="CL281">
        <f>6.963347786</f>
        <v>6.9633477859999999</v>
      </c>
      <c r="CM281">
        <f>7.614484541</f>
        <v>7.6144845410000004</v>
      </c>
      <c r="CN281">
        <f>7.183257726</f>
        <v>7.1832577259999999</v>
      </c>
      <c r="CO281">
        <f>7.170657944</f>
        <v>7.1706579440000002</v>
      </c>
      <c r="CP281">
        <f>7.423709541</f>
        <v>7.423709541</v>
      </c>
      <c r="CQ281">
        <f>7.198085674</f>
        <v>7.1980856739999997</v>
      </c>
      <c r="CR281">
        <f>7.030158549</f>
        <v>7.0301585490000003</v>
      </c>
      <c r="CS281">
        <f>7.523215393</f>
        <v>7.5232153930000001</v>
      </c>
      <c r="CT281">
        <f>8.117723796</f>
        <v>8.1177237959999999</v>
      </c>
      <c r="CU281">
        <f>8.162999714</f>
        <v>8.1629997139999997</v>
      </c>
      <c r="CV281" t="str">
        <f>""</f>
        <v/>
      </c>
      <c r="CW281" t="str">
        <f>""</f>
        <v/>
      </c>
      <c r="CX281" t="str">
        <f>""</f>
        <v/>
      </c>
      <c r="CY281" t="str">
        <f>""</f>
        <v/>
      </c>
      <c r="CZ281" t="str">
        <f>""</f>
        <v/>
      </c>
      <c r="DA281" t="str">
        <f>""</f>
        <v/>
      </c>
      <c r="DB281" t="str">
        <f>""</f>
        <v/>
      </c>
      <c r="DC281" t="str">
        <f>""</f>
        <v/>
      </c>
      <c r="DD281" t="str">
        <f>""</f>
        <v/>
      </c>
      <c r="DE281" t="str">
        <f>""</f>
        <v/>
      </c>
      <c r="DF281" t="str">
        <f>""</f>
        <v/>
      </c>
      <c r="DG281" t="str">
        <f>""</f>
        <v/>
      </c>
      <c r="DH281" t="str">
        <f>""</f>
        <v/>
      </c>
      <c r="DI281" t="str">
        <f>""</f>
        <v/>
      </c>
      <c r="DJ281" t="str">
        <f>""</f>
        <v/>
      </c>
      <c r="DK281" t="str">
        <f>""</f>
        <v/>
      </c>
      <c r="DL281" t="str">
        <f>""</f>
        <v/>
      </c>
      <c r="DM281" t="str">
        <f>""</f>
        <v/>
      </c>
      <c r="DN281" t="str">
        <f>""</f>
        <v/>
      </c>
      <c r="DO281" t="str">
        <f>""</f>
        <v/>
      </c>
      <c r="DP281" t="str">
        <f>""</f>
        <v/>
      </c>
      <c r="DQ281" t="str">
        <f>""</f>
        <v/>
      </c>
      <c r="DR281" t="str">
        <f>""</f>
        <v/>
      </c>
      <c r="DS281" t="str">
        <f>""</f>
        <v/>
      </c>
      <c r="DT281" t="str">
        <f>""</f>
        <v/>
      </c>
      <c r="DU281" t="str">
        <f>""</f>
        <v/>
      </c>
    </row>
    <row r="282" spans="1:125">
      <c r="A282" t="str">
        <f>"    National Retail Properties Inc"</f>
        <v xml:space="preserve">    National Retail Properties Inc</v>
      </c>
      <c r="B282" t="str">
        <f>"NNN US Equity"</f>
        <v>NNN US Equity</v>
      </c>
      <c r="C282" t="str">
        <f t="shared" si="51"/>
        <v>F1178</v>
      </c>
      <c r="D282" t="str">
        <f t="shared" si="52"/>
        <v>NET_DEBT_EBITDA_ADJUSTED</v>
      </c>
      <c r="E282" t="str">
        <f t="shared" si="53"/>
        <v>动态</v>
      </c>
      <c r="F282" t="str">
        <f ca="1">IF(AND(ISNUMBER($F$726),$B$419=1),$F$726,HLOOKUP(INDIRECT(ADDRESS(2,COLUMN())),OFFSET($BN$2,0,0,ROW()-1,60),ROW()-1,FALSE))</f>
        <v/>
      </c>
      <c r="G282">
        <f ca="1">IF(AND(ISNUMBER($G$726),$B$419=1),$G$726,HLOOKUP(INDIRECT(ADDRESS(2,COLUMN())),OFFSET($BN$2,0,0,ROW()-1,60),ROW()-1,FALSE))</f>
        <v>5.0230775669999996</v>
      </c>
      <c r="H282">
        <f ca="1">IF(AND(ISNUMBER($H$726),$B$419=1),$H$726,HLOOKUP(INDIRECT(ADDRESS(2,COLUMN())),OFFSET($BN$2,0,0,ROW()-1,60),ROW()-1,FALSE))</f>
        <v>4.8744315540000001</v>
      </c>
      <c r="I282">
        <f ca="1">IF(AND(ISNUMBER($I$726),$B$419=1),$I$726,HLOOKUP(INDIRECT(ADDRESS(2,COLUMN())),OFFSET($BN$2,0,0,ROW()-1,60),ROW()-1,FALSE))</f>
        <v>5.1596235879999996</v>
      </c>
      <c r="J282">
        <f ca="1">IF(AND(ISNUMBER($J$726),$B$419=1),$J$726,HLOOKUP(INDIRECT(ADDRESS(2,COLUMN())),OFFSET($BN$2,0,0,ROW()-1,60),ROW()-1,FALSE))</f>
        <v>4.7902007910000002</v>
      </c>
      <c r="K282">
        <f ca="1">IF(AND(ISNUMBER($K$726),$B$419=1),$K$726,HLOOKUP(INDIRECT(ADDRESS(2,COLUMN())),OFFSET($BN$2,0,0,ROW()-1,60),ROW()-1,FALSE))</f>
        <v>4.3886174159999998</v>
      </c>
      <c r="L282">
        <f ca="1">IF(AND(ISNUMBER($L$726),$B$419=1),$L$726,HLOOKUP(INDIRECT(ADDRESS(2,COLUMN())),OFFSET($BN$2,0,0,ROW()-1,60),ROW()-1,FALSE))</f>
        <v>4.6501051499999999</v>
      </c>
      <c r="M282">
        <f ca="1">IF(AND(ISNUMBER($M$726),$B$419=1),$M$726,HLOOKUP(INDIRECT(ADDRESS(2,COLUMN())),OFFSET($BN$2,0,0,ROW()-1,60),ROW()-1,FALSE))</f>
        <v>4.6857836519999996</v>
      </c>
      <c r="N282">
        <f ca="1">IF(AND(ISNUMBER($N$726),$B$419=1),$N$726,HLOOKUP(INDIRECT(ADDRESS(2,COLUMN())),OFFSET($BN$2,0,0,ROW()-1,60),ROW()-1,FALSE))</f>
        <v>4.4731248020000001</v>
      </c>
      <c r="O282">
        <f ca="1">IF(AND(ISNUMBER($O$726),$B$419=1),$O$726,HLOOKUP(INDIRECT(ADDRESS(2,COLUMN())),OFFSET($BN$2,0,0,ROW()-1,60),ROW()-1,FALSE))</f>
        <v>4.5790301720000004</v>
      </c>
      <c r="P282">
        <f ca="1">IF(AND(ISNUMBER($P$726),$B$419=1),$P$726,HLOOKUP(INDIRECT(ADDRESS(2,COLUMN())),OFFSET($BN$2,0,0,ROW()-1,60),ROW()-1,FALSE))</f>
        <v>4.8137774740000001</v>
      </c>
      <c r="Q282">
        <f ca="1">IF(AND(ISNUMBER($Q$726),$B$419=1),$Q$726,HLOOKUP(INDIRECT(ADDRESS(2,COLUMN())),OFFSET($BN$2,0,0,ROW()-1,60),ROW()-1,FALSE))</f>
        <v>4.5928509179999999</v>
      </c>
      <c r="R282">
        <f ca="1">IF(AND(ISNUMBER($R$726),$B$419=1),$R$726,HLOOKUP(INDIRECT(ADDRESS(2,COLUMN())),OFFSET($BN$2,0,0,ROW()-1,60),ROW()-1,FALSE))</f>
        <v>4.510715255</v>
      </c>
      <c r="S282">
        <f ca="1">IF(AND(ISNUMBER($S$726),$B$419=1),$S$726,HLOOKUP(INDIRECT(ADDRESS(2,COLUMN())),OFFSET($BN$2,0,0,ROW()-1,60),ROW()-1,FALSE))</f>
        <v>4.5271650829999999</v>
      </c>
      <c r="T282">
        <f ca="1">IF(AND(ISNUMBER($T$726),$B$419=1),$T$726,HLOOKUP(INDIRECT(ADDRESS(2,COLUMN())),OFFSET($BN$2,0,0,ROW()-1,60),ROW()-1,FALSE))</f>
        <v>5.003707039</v>
      </c>
      <c r="U282">
        <f ca="1">IF(AND(ISNUMBER($U$726),$B$419=1),$U$726,HLOOKUP(INDIRECT(ADDRESS(2,COLUMN())),OFFSET($BN$2,0,0,ROW()-1,60),ROW()-1,FALSE))</f>
        <v>4.5056168029999997</v>
      </c>
      <c r="V282">
        <f ca="1">IF(AND(ISNUMBER($V$726),$B$419=1),$V$726,HLOOKUP(INDIRECT(ADDRESS(2,COLUMN())),OFFSET($BN$2,0,0,ROW()-1,60),ROW()-1,FALSE))</f>
        <v>4.5554269119999997</v>
      </c>
      <c r="W282">
        <f ca="1">IF(AND(ISNUMBER($W$726),$B$419=1),$W$726,HLOOKUP(INDIRECT(ADDRESS(2,COLUMN())),OFFSET($BN$2,0,0,ROW()-1,60),ROW()-1,FALSE))</f>
        <v>4.5761172080000003</v>
      </c>
      <c r="X282">
        <f ca="1">IF(AND(ISNUMBER($X$726),$B$419=1),$X$726,HLOOKUP(INDIRECT(ADDRESS(2,COLUMN())),OFFSET($BN$2,0,0,ROW()-1,60),ROW()-1,FALSE))</f>
        <v>4.633199469</v>
      </c>
      <c r="Y282">
        <f ca="1">IF(AND(ISNUMBER($Y$726),$B$419=1),$Y$726,HLOOKUP(INDIRECT(ADDRESS(2,COLUMN())),OFFSET($BN$2,0,0,ROW()-1,60),ROW()-1,FALSE))</f>
        <v>4.8569392520000001</v>
      </c>
      <c r="Z282">
        <f ca="1">IF(AND(ISNUMBER($Z$726),$B$419=1),$Z$726,HLOOKUP(INDIRECT(ADDRESS(2,COLUMN())),OFFSET($BN$2,0,0,ROW()-1,60),ROW()-1,FALSE))</f>
        <v>4.8617367319999998</v>
      </c>
      <c r="AA282">
        <f ca="1">IF(AND(ISNUMBER($AA$726),$B$419=1),$AA$726,HLOOKUP(INDIRECT(ADDRESS(2,COLUMN())),OFFSET($BN$2,0,0,ROW()-1,60),ROW()-1,FALSE))</f>
        <v>5.5675548450000001</v>
      </c>
      <c r="AB282">
        <f ca="1">IF(AND(ISNUMBER($AB$726),$B$419=1),$AB$726,HLOOKUP(INDIRECT(ADDRESS(2,COLUMN())),OFFSET($BN$2,0,0,ROW()-1,60),ROW()-1,FALSE))</f>
        <v>5.1718369559999999</v>
      </c>
      <c r="AC282">
        <f ca="1">IF(AND(ISNUMBER($AC$726),$B$419=1),$AC$726,HLOOKUP(INDIRECT(ADDRESS(2,COLUMN())),OFFSET($BN$2,0,0,ROW()-1,60),ROW()-1,FALSE))</f>
        <v>5.4097701220000003</v>
      </c>
      <c r="AD282">
        <f ca="1">IF(AND(ISNUMBER($AD$726),$B$419=1),$AD$726,HLOOKUP(INDIRECT(ADDRESS(2,COLUMN())),OFFSET($BN$2,0,0,ROW()-1,60),ROW()-1,FALSE))</f>
        <v>5.5217346899999997</v>
      </c>
      <c r="AE282">
        <f ca="1">IF(AND(ISNUMBER($AE$726),$B$419=1),$AE$726,HLOOKUP(INDIRECT(ADDRESS(2,COLUMN())),OFFSET($BN$2,0,0,ROW()-1,60),ROW()-1,FALSE))</f>
        <v>6.0611955320000002</v>
      </c>
      <c r="AF282">
        <f ca="1">IF(AND(ISNUMBER($AF$726),$B$419=1),$AF$726,HLOOKUP(INDIRECT(ADDRESS(2,COLUMN())),OFFSET($BN$2,0,0,ROW()-1,60),ROW()-1,FALSE))</f>
        <v>5.9409862489999998</v>
      </c>
      <c r="AG282">
        <f ca="1">IF(AND(ISNUMBER($AG$726),$B$419=1),$AG$726,HLOOKUP(INDIRECT(ADDRESS(2,COLUMN())),OFFSET($BN$2,0,0,ROW()-1,60),ROW()-1,FALSE))</f>
        <v>5.8706244759999997</v>
      </c>
      <c r="AH282">
        <f ca="1">IF(AND(ISNUMBER($AH$726),$B$419=1),$AH$726,HLOOKUP(INDIRECT(ADDRESS(2,COLUMN())),OFFSET($BN$2,0,0,ROW()-1,60),ROW()-1,FALSE))</f>
        <v>5.8156246070000002</v>
      </c>
      <c r="AI282">
        <f ca="1">IF(AND(ISNUMBER($AI$726),$B$419=1),$AI$726,HLOOKUP(INDIRECT(ADDRESS(2,COLUMN())),OFFSET($BN$2,0,0,ROW()-1,60),ROW()-1,FALSE))</f>
        <v>5.808896828</v>
      </c>
      <c r="AJ282">
        <f ca="1">IF(AND(ISNUMBER($AJ$726),$B$419=1),$AJ$726,HLOOKUP(INDIRECT(ADDRESS(2,COLUMN())),OFFSET($BN$2,0,0,ROW()-1,60),ROW()-1,FALSE))</f>
        <v>5.2044011960000001</v>
      </c>
      <c r="AK282">
        <f ca="1">IF(AND(ISNUMBER($AK$726),$B$419=1),$AK$726,HLOOKUP(INDIRECT(ADDRESS(2,COLUMN())),OFFSET($BN$2,0,0,ROW()-1,60),ROW()-1,FALSE))</f>
        <v>4.8767960879999999</v>
      </c>
      <c r="AL282">
        <f ca="1">IF(AND(ISNUMBER($AL$726),$B$419=1),$AL$726,HLOOKUP(INDIRECT(ADDRESS(2,COLUMN())),OFFSET($BN$2,0,0,ROW()-1,60),ROW()-1,FALSE))</f>
        <v>4.9208038189999996</v>
      </c>
      <c r="AM282">
        <f ca="1">IF(AND(ISNUMBER($AM$726),$B$419=1),$AM$726,HLOOKUP(INDIRECT(ADDRESS(2,COLUMN())),OFFSET($BN$2,0,0,ROW()-1,60),ROW()-1,FALSE))</f>
        <v>4.9126297489999997</v>
      </c>
      <c r="AN282" t="str">
        <f ca="1">IF(AND(ISNUMBER($AN$726),$B$419=1),$AN$726,HLOOKUP(INDIRECT(ADDRESS(2,COLUMN())),OFFSET($BN$2,0,0,ROW()-1,60),ROW()-1,FALSE))</f>
        <v/>
      </c>
      <c r="AO282" t="str">
        <f ca="1">IF(AND(ISNUMBER($AO$726),$B$419=1),$AO$726,HLOOKUP(INDIRECT(ADDRESS(2,COLUMN())),OFFSET($BN$2,0,0,ROW()-1,60),ROW()-1,FALSE))</f>
        <v/>
      </c>
      <c r="AP282" t="str">
        <f ca="1">IF(AND(ISNUMBER($AP$726),$B$419=1),$AP$726,HLOOKUP(INDIRECT(ADDRESS(2,COLUMN())),OFFSET($BN$2,0,0,ROW()-1,60),ROW()-1,FALSE))</f>
        <v/>
      </c>
      <c r="AQ282" t="str">
        <f ca="1">IF(AND(ISNUMBER($AQ$726),$B$419=1),$AQ$726,HLOOKUP(INDIRECT(ADDRESS(2,COLUMN())),OFFSET($BN$2,0,0,ROW()-1,60),ROW()-1,FALSE))</f>
        <v/>
      </c>
      <c r="AR282" t="str">
        <f ca="1">IF(AND(ISNUMBER($AR$726),$B$419=1),$AR$726,HLOOKUP(INDIRECT(ADDRESS(2,COLUMN())),OFFSET($BN$2,0,0,ROW()-1,60),ROW()-1,FALSE))</f>
        <v/>
      </c>
      <c r="AS282" t="str">
        <f ca="1">IF(AND(ISNUMBER($AS$726),$B$419=1),$AS$726,HLOOKUP(INDIRECT(ADDRESS(2,COLUMN())),OFFSET($BN$2,0,0,ROW()-1,60),ROW()-1,FALSE))</f>
        <v/>
      </c>
      <c r="AT282" t="str">
        <f ca="1">IF(AND(ISNUMBER($AT$726),$B$419=1),$AT$726,HLOOKUP(INDIRECT(ADDRESS(2,COLUMN())),OFFSET($BN$2,0,0,ROW()-1,60),ROW()-1,FALSE))</f>
        <v/>
      </c>
      <c r="AU282" t="str">
        <f ca="1">IF(AND(ISNUMBER($AU$726),$B$419=1),$AU$726,HLOOKUP(INDIRECT(ADDRESS(2,COLUMN())),OFFSET($BN$2,0,0,ROW()-1,60),ROW()-1,FALSE))</f>
        <v/>
      </c>
      <c r="AV282" t="str">
        <f ca="1">IF(AND(ISNUMBER($AV$726),$B$419=1),$AV$726,HLOOKUP(INDIRECT(ADDRESS(2,COLUMN())),OFFSET($BN$2,0,0,ROW()-1,60),ROW()-1,FALSE))</f>
        <v/>
      </c>
      <c r="AW282" t="str">
        <f ca="1">IF(AND(ISNUMBER($AW$726),$B$419=1),$AW$726,HLOOKUP(INDIRECT(ADDRESS(2,COLUMN())),OFFSET($BN$2,0,0,ROW()-1,60),ROW()-1,FALSE))</f>
        <v/>
      </c>
      <c r="AX282" t="str">
        <f ca="1">IF(AND(ISNUMBER($AX$726),$B$419=1),$AX$726,HLOOKUP(INDIRECT(ADDRESS(2,COLUMN())),OFFSET($BN$2,0,0,ROW()-1,60),ROW()-1,FALSE))</f>
        <v/>
      </c>
      <c r="AY282" t="str">
        <f ca="1">IF(AND(ISNUMBER($AY$726),$B$419=1),$AY$726,HLOOKUP(INDIRECT(ADDRESS(2,COLUMN())),OFFSET($BN$2,0,0,ROW()-1,60),ROW()-1,FALSE))</f>
        <v/>
      </c>
      <c r="AZ282" t="str">
        <f ca="1">IF(AND(ISNUMBER($AZ$726),$B$419=1),$AZ$726,HLOOKUP(INDIRECT(ADDRESS(2,COLUMN())),OFFSET($BN$2,0,0,ROW()-1,60),ROW()-1,FALSE))</f>
        <v/>
      </c>
      <c r="BA282" t="str">
        <f ca="1">IF(AND(ISNUMBER($BA$726),$B$419=1),$BA$726,HLOOKUP(INDIRECT(ADDRESS(2,COLUMN())),OFFSET($BN$2,0,0,ROW()-1,60),ROW()-1,FALSE))</f>
        <v/>
      </c>
      <c r="BB282" t="str">
        <f ca="1">IF(AND(ISNUMBER($BB$726),$B$419=1),$BB$726,HLOOKUP(INDIRECT(ADDRESS(2,COLUMN())),OFFSET($BN$2,0,0,ROW()-1,60),ROW()-1,FALSE))</f>
        <v/>
      </c>
      <c r="BC282" t="str">
        <f ca="1">IF(AND(ISNUMBER($BC$726),$B$419=1),$BC$726,HLOOKUP(INDIRECT(ADDRESS(2,COLUMN())),OFFSET($BN$2,0,0,ROW()-1,60),ROW()-1,FALSE))</f>
        <v/>
      </c>
      <c r="BD282" t="str">
        <f ca="1">IF(AND(ISNUMBER($BD$726),$B$419=1),$BD$726,HLOOKUP(INDIRECT(ADDRESS(2,COLUMN())),OFFSET($BN$2,0,0,ROW()-1,60),ROW()-1,FALSE))</f>
        <v/>
      </c>
      <c r="BE282" t="str">
        <f ca="1">IF(AND(ISNUMBER($BE$726),$B$419=1),$BE$726,HLOOKUP(INDIRECT(ADDRESS(2,COLUMN())),OFFSET($BN$2,0,0,ROW()-1,60),ROW()-1,FALSE))</f>
        <v/>
      </c>
      <c r="BF282" t="str">
        <f ca="1">IF(AND(ISNUMBER($BF$726),$B$419=1),$BF$726,HLOOKUP(INDIRECT(ADDRESS(2,COLUMN())),OFFSET($BN$2,0,0,ROW()-1,60),ROW()-1,FALSE))</f>
        <v/>
      </c>
      <c r="BG282" t="str">
        <f ca="1">IF(AND(ISNUMBER($BG$726),$B$419=1),$BG$726,HLOOKUP(INDIRECT(ADDRESS(2,COLUMN())),OFFSET($BN$2,0,0,ROW()-1,60),ROW()-1,FALSE))</f>
        <v/>
      </c>
      <c r="BH282" t="str">
        <f ca="1">IF(AND(ISNUMBER($BH$726),$B$419=1),$BH$726,HLOOKUP(INDIRECT(ADDRESS(2,COLUMN())),OFFSET($BN$2,0,0,ROW()-1,60),ROW()-1,FALSE))</f>
        <v/>
      </c>
      <c r="BI282" t="str">
        <f ca="1">IF(AND(ISNUMBER($BI$726),$B$419=1),$BI$726,HLOOKUP(INDIRECT(ADDRESS(2,COLUMN())),OFFSET($BN$2,0,0,ROW()-1,60),ROW()-1,FALSE))</f>
        <v/>
      </c>
      <c r="BJ282" t="str">
        <f ca="1">IF(AND(ISNUMBER($BJ$726),$B$419=1),$BJ$726,HLOOKUP(INDIRECT(ADDRESS(2,COLUMN())),OFFSET($BN$2,0,0,ROW()-1,60),ROW()-1,FALSE))</f>
        <v/>
      </c>
      <c r="BK282" t="str">
        <f ca="1">IF(AND(ISNUMBER($BK$726),$B$419=1),$BK$726,HLOOKUP(INDIRECT(ADDRESS(2,COLUMN())),OFFSET($BN$2,0,0,ROW()-1,60),ROW()-1,FALSE))</f>
        <v/>
      </c>
      <c r="BL282" t="str">
        <f ca="1">IF(AND(ISNUMBER($BL$726),$B$419=1),$BL$726,HLOOKUP(INDIRECT(ADDRESS(2,COLUMN())),OFFSET($BN$2,0,0,ROW()-1,60),ROW()-1,FALSE))</f>
        <v/>
      </c>
      <c r="BM282" t="str">
        <f ca="1">IF(AND(ISNUMBER($BM$726),$B$419=1),$BM$726,HLOOKUP(INDIRECT(ADDRESS(2,COLUMN())),OFFSET($BN$2,0,0,ROW()-1,60),ROW()-1,FALSE))</f>
        <v/>
      </c>
      <c r="BN282" t="str">
        <f>""</f>
        <v/>
      </c>
      <c r="BO282">
        <f>5.023077567</f>
        <v>5.0230775669999996</v>
      </c>
      <c r="BP282">
        <f>4.874431554</f>
        <v>4.8744315540000001</v>
      </c>
      <c r="BQ282">
        <f>5.159623588</f>
        <v>5.1596235879999996</v>
      </c>
      <c r="BR282">
        <f>4.790200791</f>
        <v>4.7902007910000002</v>
      </c>
      <c r="BS282">
        <f>4.388617416</f>
        <v>4.3886174159999998</v>
      </c>
      <c r="BT282">
        <f>4.65010515</f>
        <v>4.6501051499999999</v>
      </c>
      <c r="BU282">
        <f>4.685783652</f>
        <v>4.6857836519999996</v>
      </c>
      <c r="BV282">
        <f>4.473124802</f>
        <v>4.4731248020000001</v>
      </c>
      <c r="BW282">
        <f>4.579030172</f>
        <v>4.5790301720000004</v>
      </c>
      <c r="BX282">
        <f>4.813777474</f>
        <v>4.8137774740000001</v>
      </c>
      <c r="BY282">
        <f>4.592850918</f>
        <v>4.5928509179999999</v>
      </c>
      <c r="BZ282">
        <f>4.510715255</f>
        <v>4.510715255</v>
      </c>
      <c r="CA282">
        <f>4.527165083</f>
        <v>4.5271650829999999</v>
      </c>
      <c r="CB282">
        <f>5.003707039</f>
        <v>5.003707039</v>
      </c>
      <c r="CC282">
        <f>4.505616803</f>
        <v>4.5056168029999997</v>
      </c>
      <c r="CD282">
        <f>4.555426912</f>
        <v>4.5554269119999997</v>
      </c>
      <c r="CE282">
        <f>4.576117208</f>
        <v>4.5761172080000003</v>
      </c>
      <c r="CF282">
        <f>4.633199469</f>
        <v>4.633199469</v>
      </c>
      <c r="CG282">
        <f>4.856939252</f>
        <v>4.8569392520000001</v>
      </c>
      <c r="CH282">
        <f>4.861736732</f>
        <v>4.8617367319999998</v>
      </c>
      <c r="CI282">
        <f>5.567554845</f>
        <v>5.5675548450000001</v>
      </c>
      <c r="CJ282">
        <f>5.171836956</f>
        <v>5.1718369559999999</v>
      </c>
      <c r="CK282">
        <f>5.409770122</f>
        <v>5.4097701220000003</v>
      </c>
      <c r="CL282">
        <f>5.52173469</f>
        <v>5.5217346899999997</v>
      </c>
      <c r="CM282">
        <f>6.061195532</f>
        <v>6.0611955320000002</v>
      </c>
      <c r="CN282">
        <f>5.940986249</f>
        <v>5.9409862489999998</v>
      </c>
      <c r="CO282">
        <f>5.870624476</f>
        <v>5.8706244759999997</v>
      </c>
      <c r="CP282">
        <f>5.815624607</f>
        <v>5.8156246070000002</v>
      </c>
      <c r="CQ282">
        <f>5.808896828</f>
        <v>5.808896828</v>
      </c>
      <c r="CR282">
        <f>5.204401196</f>
        <v>5.2044011960000001</v>
      </c>
      <c r="CS282">
        <f>4.876796088</f>
        <v>4.8767960879999999</v>
      </c>
      <c r="CT282">
        <f>4.920803819</f>
        <v>4.9208038189999996</v>
      </c>
      <c r="CU282">
        <f>4.912629749</f>
        <v>4.9126297489999997</v>
      </c>
      <c r="CV282" t="str">
        <f>""</f>
        <v/>
      </c>
      <c r="CW282" t="str">
        <f>""</f>
        <v/>
      </c>
      <c r="CX282" t="str">
        <f>""</f>
        <v/>
      </c>
      <c r="CY282" t="str">
        <f>""</f>
        <v/>
      </c>
      <c r="CZ282" t="str">
        <f>""</f>
        <v/>
      </c>
      <c r="DA282" t="str">
        <f>""</f>
        <v/>
      </c>
      <c r="DB282" t="str">
        <f>""</f>
        <v/>
      </c>
      <c r="DC282" t="str">
        <f>""</f>
        <v/>
      </c>
      <c r="DD282" t="str">
        <f>""</f>
        <v/>
      </c>
      <c r="DE282" t="str">
        <f>""</f>
        <v/>
      </c>
      <c r="DF282" t="str">
        <f>""</f>
        <v/>
      </c>
      <c r="DG282" t="str">
        <f>""</f>
        <v/>
      </c>
      <c r="DH282" t="str">
        <f>""</f>
        <v/>
      </c>
      <c r="DI282" t="str">
        <f>""</f>
        <v/>
      </c>
      <c r="DJ282" t="str">
        <f>""</f>
        <v/>
      </c>
      <c r="DK282" t="str">
        <f>""</f>
        <v/>
      </c>
      <c r="DL282" t="str">
        <f>""</f>
        <v/>
      </c>
      <c r="DM282" t="str">
        <f>""</f>
        <v/>
      </c>
      <c r="DN282" t="str">
        <f>""</f>
        <v/>
      </c>
      <c r="DO282" t="str">
        <f>""</f>
        <v/>
      </c>
      <c r="DP282" t="str">
        <f>""</f>
        <v/>
      </c>
      <c r="DQ282" t="str">
        <f>""</f>
        <v/>
      </c>
      <c r="DR282" t="str">
        <f>""</f>
        <v/>
      </c>
      <c r="DS282" t="str">
        <f>""</f>
        <v/>
      </c>
      <c r="DT282" t="str">
        <f>""</f>
        <v/>
      </c>
      <c r="DU282" t="str">
        <f>""</f>
        <v/>
      </c>
    </row>
    <row r="283" spans="1:125">
      <c r="A283" t="str">
        <f>"    Realty Income Corp"</f>
        <v xml:space="preserve">    Realty Income Corp</v>
      </c>
      <c r="B283" t="str">
        <f>"O US Equity"</f>
        <v>O US Equity</v>
      </c>
      <c r="C283" t="str">
        <f t="shared" si="51"/>
        <v>F1178</v>
      </c>
      <c r="D283" t="str">
        <f t="shared" si="52"/>
        <v>NET_DEBT_EBITDA_ADJUSTED</v>
      </c>
      <c r="E283" t="str">
        <f t="shared" si="53"/>
        <v>动态</v>
      </c>
      <c r="F283" t="str">
        <f ca="1">IF(AND(ISNUMBER($F$727),$B$419=1),$F$727,HLOOKUP(INDIRECT(ADDRESS(2,COLUMN())),OFFSET($BN$2,0,0,ROW()-1,60),ROW()-1,FALSE))</f>
        <v/>
      </c>
      <c r="G283">
        <f ca="1">IF(AND(ISNUMBER($G$727),$B$419=1),$G$727,HLOOKUP(INDIRECT(ADDRESS(2,COLUMN())),OFFSET($BN$2,0,0,ROW()-1,60),ROW()-1,FALSE))</f>
        <v>5.6116305390000001</v>
      </c>
      <c r="H283">
        <f ca="1">IF(AND(ISNUMBER($H$727),$B$419=1),$H$727,HLOOKUP(INDIRECT(ADDRESS(2,COLUMN())),OFFSET($BN$2,0,0,ROW()-1,60),ROW()-1,FALSE))</f>
        <v>5.4260759600000004</v>
      </c>
      <c r="I283">
        <f ca="1">IF(AND(ISNUMBER($I$727),$B$419=1),$I$727,HLOOKUP(INDIRECT(ADDRESS(2,COLUMN())),OFFSET($BN$2,0,0,ROW()-1,60),ROW()-1,FALSE))</f>
        <v>5.749685682</v>
      </c>
      <c r="J283">
        <f ca="1">IF(AND(ISNUMBER($J$727),$B$419=1),$J$727,HLOOKUP(INDIRECT(ADDRESS(2,COLUMN())),OFFSET($BN$2,0,0,ROW()-1,60),ROW()-1,FALSE))</f>
        <v>5.3213534469999999</v>
      </c>
      <c r="K283">
        <f ca="1">IF(AND(ISNUMBER($K$727),$B$419=1),$K$727,HLOOKUP(INDIRECT(ADDRESS(2,COLUMN())),OFFSET($BN$2,0,0,ROW()-1,60),ROW()-1,FALSE))</f>
        <v>5.8989609859999996</v>
      </c>
      <c r="L283">
        <f ca="1">IF(AND(ISNUMBER($L$727),$B$419=1),$L$727,HLOOKUP(INDIRECT(ADDRESS(2,COLUMN())),OFFSET($BN$2,0,0,ROW()-1,60),ROW()-1,FALSE))</f>
        <v>5.3863984800000004</v>
      </c>
      <c r="M283">
        <f ca="1">IF(AND(ISNUMBER($M$727),$B$419=1),$M$727,HLOOKUP(INDIRECT(ADDRESS(2,COLUMN())),OFFSET($BN$2,0,0,ROW()-1,60),ROW()-1,FALSE))</f>
        <v>5.1627529030000003</v>
      </c>
      <c r="N283">
        <f ca="1">IF(AND(ISNUMBER($N$727),$B$419=1),$N$727,HLOOKUP(INDIRECT(ADDRESS(2,COLUMN())),OFFSET($BN$2,0,0,ROW()-1,60),ROW()-1,FALSE))</f>
        <v>5.4315398730000002</v>
      </c>
      <c r="O283">
        <f ca="1">IF(AND(ISNUMBER($O$727),$B$419=1),$O$727,HLOOKUP(INDIRECT(ADDRESS(2,COLUMN())),OFFSET($BN$2,0,0,ROW()-1,60),ROW()-1,FALSE))</f>
        <v>5.2041411489999998</v>
      </c>
      <c r="P283">
        <f ca="1">IF(AND(ISNUMBER($P$727),$B$419=1),$P$727,HLOOKUP(INDIRECT(ADDRESS(2,COLUMN())),OFFSET($BN$2,0,0,ROW()-1,60),ROW()-1,FALSE))</f>
        <v>5.9275277300000004</v>
      </c>
      <c r="Q283">
        <f ca="1">IF(AND(ISNUMBER($Q$727),$B$419=1),$Q$727,HLOOKUP(INDIRECT(ADDRESS(2,COLUMN())),OFFSET($BN$2,0,0,ROW()-1,60),ROW()-1,FALSE))</f>
        <v>6.0778029800000004</v>
      </c>
      <c r="R283">
        <f ca="1">IF(AND(ISNUMBER($R$727),$B$419=1),$R$727,HLOOKUP(INDIRECT(ADDRESS(2,COLUMN())),OFFSET($BN$2,0,0,ROW()-1,60),ROW()-1,FALSE))</f>
        <v>5.8942136630000004</v>
      </c>
      <c r="S283">
        <f ca="1">IF(AND(ISNUMBER($S$727),$B$419=1),$S$727,HLOOKUP(INDIRECT(ADDRESS(2,COLUMN())),OFFSET($BN$2,0,0,ROW()-1,60),ROW()-1,FALSE))</f>
        <v>5.9466549349999998</v>
      </c>
      <c r="T283">
        <f ca="1">IF(AND(ISNUMBER($T$727),$B$419=1),$T$727,HLOOKUP(INDIRECT(ADDRESS(2,COLUMN())),OFFSET($BN$2,0,0,ROW()-1,60),ROW()-1,FALSE))</f>
        <v>5.9457201069999996</v>
      </c>
      <c r="U283">
        <f ca="1">IF(AND(ISNUMBER($U$727),$B$419=1),$U$727,HLOOKUP(INDIRECT(ADDRESS(2,COLUMN())),OFFSET($BN$2,0,0,ROW()-1,60),ROW()-1,FALSE))</f>
        <v>5.9645313389999997</v>
      </c>
      <c r="V283">
        <f ca="1">IF(AND(ISNUMBER($V$727),$B$419=1),$V$727,HLOOKUP(INDIRECT(ADDRESS(2,COLUMN())),OFFSET($BN$2,0,0,ROW()-1,60),ROW()-1,FALSE))</f>
        <v>6.5965509710000001</v>
      </c>
      <c r="W283">
        <f ca="1">IF(AND(ISNUMBER($W$727),$B$419=1),$W$727,HLOOKUP(INDIRECT(ADDRESS(2,COLUMN())),OFFSET($BN$2,0,0,ROW()-1,60),ROW()-1,FALSE))</f>
        <v>6.0726497349999997</v>
      </c>
      <c r="X283">
        <f ca="1">IF(AND(ISNUMBER($X$727),$B$419=1),$X$727,HLOOKUP(INDIRECT(ADDRESS(2,COLUMN())),OFFSET($BN$2,0,0,ROW()-1,60),ROW()-1,FALSE))</f>
        <v>7.2710961190000001</v>
      </c>
      <c r="Y283">
        <f ca="1">IF(AND(ISNUMBER($Y$727),$B$419=1),$Y$727,HLOOKUP(INDIRECT(ADDRESS(2,COLUMN())),OFFSET($BN$2,0,0,ROW()-1,60),ROW()-1,FALSE))</f>
        <v>7.3217486200000002</v>
      </c>
      <c r="Z283">
        <f ca="1">IF(AND(ISNUMBER($Z$727),$B$419=1),$Z$727,HLOOKUP(INDIRECT(ADDRESS(2,COLUMN())),OFFSET($BN$2,0,0,ROW()-1,60),ROW()-1,FALSE))</f>
        <v>7.0057587549999996</v>
      </c>
      <c r="AA283">
        <f ca="1">IF(AND(ISNUMBER($AA$727),$B$419=1),$AA$727,HLOOKUP(INDIRECT(ADDRESS(2,COLUMN())),OFFSET($BN$2,0,0,ROW()-1,60),ROW()-1,FALSE))</f>
        <v>6.6285904029999996</v>
      </c>
      <c r="AB283">
        <f ca="1">IF(AND(ISNUMBER($AB$727),$B$419=1),$AB$727,HLOOKUP(INDIRECT(ADDRESS(2,COLUMN())),OFFSET($BN$2,0,0,ROW()-1,60),ROW()-1,FALSE))</f>
        <v>5.9516239310000003</v>
      </c>
      <c r="AC283">
        <f ca="1">IF(AND(ISNUMBER($AC$727),$B$419=1),$AC$727,HLOOKUP(INDIRECT(ADDRESS(2,COLUMN())),OFFSET($BN$2,0,0,ROW()-1,60),ROW()-1,FALSE))</f>
        <v>4.860452242</v>
      </c>
      <c r="AD283">
        <f ca="1">IF(AND(ISNUMBER($AD$727),$B$419=1),$AD$727,HLOOKUP(INDIRECT(ADDRESS(2,COLUMN())),OFFSET($BN$2,0,0,ROW()-1,60),ROW()-1,FALSE))</f>
        <v>4.6467581740000004</v>
      </c>
      <c r="AE283">
        <f ca="1">IF(AND(ISNUMBER($AE$727),$B$419=1),$AE$727,HLOOKUP(INDIRECT(ADDRESS(2,COLUMN())),OFFSET($BN$2,0,0,ROW()-1,60),ROW()-1,FALSE))</f>
        <v>5.3546018929999999</v>
      </c>
      <c r="AF283">
        <f ca="1">IF(AND(ISNUMBER($AF$727),$B$419=1),$AF$727,HLOOKUP(INDIRECT(ADDRESS(2,COLUMN())),OFFSET($BN$2,0,0,ROW()-1,60),ROW()-1,FALSE))</f>
        <v>5.2123964599999999</v>
      </c>
      <c r="AG283">
        <f ca="1">IF(AND(ISNUMBER($AG$727),$B$419=1),$AG$727,HLOOKUP(INDIRECT(ADDRESS(2,COLUMN())),OFFSET($BN$2,0,0,ROW()-1,60),ROW()-1,FALSE))</f>
        <v>4.7614571669999997</v>
      </c>
      <c r="AH283">
        <f ca="1">IF(AND(ISNUMBER($AH$727),$B$419=1),$AH$727,HLOOKUP(INDIRECT(ADDRESS(2,COLUMN())),OFFSET($BN$2,0,0,ROW()-1,60),ROW()-1,FALSE))</f>
        <v>4.4640638570000002</v>
      </c>
      <c r="AI283">
        <f ca="1">IF(AND(ISNUMBER($AI$727),$B$419=1),$AI$727,HLOOKUP(INDIRECT(ADDRESS(2,COLUMN())),OFFSET($BN$2,0,0,ROW()-1,60),ROW()-1,FALSE))</f>
        <v>5.1354387079999997</v>
      </c>
      <c r="AJ283">
        <f ca="1">IF(AND(ISNUMBER($AJ$727),$B$419=1),$AJ$727,HLOOKUP(INDIRECT(ADDRESS(2,COLUMN())),OFFSET($BN$2,0,0,ROW()-1,60),ROW()-1,FALSE))</f>
        <v>4.7165593450000003</v>
      </c>
      <c r="AK283">
        <f ca="1">IF(AND(ISNUMBER($AK$727),$B$419=1),$AK$727,HLOOKUP(INDIRECT(ADDRESS(2,COLUMN())),OFFSET($BN$2,0,0,ROW()-1,60),ROW()-1,FALSE))</f>
        <v>5.3729723659999999</v>
      </c>
      <c r="AL283">
        <f ca="1">IF(AND(ISNUMBER($AL$727),$B$419=1),$AL$727,HLOOKUP(INDIRECT(ADDRESS(2,COLUMN())),OFFSET($BN$2,0,0,ROW()-1,60),ROW()-1,FALSE))</f>
        <v>4.5928606619999996</v>
      </c>
      <c r="AM283">
        <f ca="1">IF(AND(ISNUMBER($AM$727),$B$419=1),$AM$727,HLOOKUP(INDIRECT(ADDRESS(2,COLUMN())),OFFSET($BN$2,0,0,ROW()-1,60),ROW()-1,FALSE))</f>
        <v>4.4415103939999998</v>
      </c>
      <c r="AN283" t="str">
        <f ca="1">IF(AND(ISNUMBER($AN$727),$B$419=1),$AN$727,HLOOKUP(INDIRECT(ADDRESS(2,COLUMN())),OFFSET($BN$2,0,0,ROW()-1,60),ROW()-1,FALSE))</f>
        <v/>
      </c>
      <c r="AO283" t="str">
        <f ca="1">IF(AND(ISNUMBER($AO$727),$B$419=1),$AO$727,HLOOKUP(INDIRECT(ADDRESS(2,COLUMN())),OFFSET($BN$2,0,0,ROW()-1,60),ROW()-1,FALSE))</f>
        <v/>
      </c>
      <c r="AP283" t="str">
        <f ca="1">IF(AND(ISNUMBER($AP$727),$B$419=1),$AP$727,HLOOKUP(INDIRECT(ADDRESS(2,COLUMN())),OFFSET($BN$2,0,0,ROW()-1,60),ROW()-1,FALSE))</f>
        <v/>
      </c>
      <c r="AQ283" t="str">
        <f ca="1">IF(AND(ISNUMBER($AQ$727),$B$419=1),$AQ$727,HLOOKUP(INDIRECT(ADDRESS(2,COLUMN())),OFFSET($BN$2,0,0,ROW()-1,60),ROW()-1,FALSE))</f>
        <v/>
      </c>
      <c r="AR283" t="str">
        <f ca="1">IF(AND(ISNUMBER($AR$727),$B$419=1),$AR$727,HLOOKUP(INDIRECT(ADDRESS(2,COLUMN())),OFFSET($BN$2,0,0,ROW()-1,60),ROW()-1,FALSE))</f>
        <v/>
      </c>
      <c r="AS283" t="str">
        <f ca="1">IF(AND(ISNUMBER($AS$727),$B$419=1),$AS$727,HLOOKUP(INDIRECT(ADDRESS(2,COLUMN())),OFFSET($BN$2,0,0,ROW()-1,60),ROW()-1,FALSE))</f>
        <v/>
      </c>
      <c r="AT283" t="str">
        <f ca="1">IF(AND(ISNUMBER($AT$727),$B$419=1),$AT$727,HLOOKUP(INDIRECT(ADDRESS(2,COLUMN())),OFFSET($BN$2,0,0,ROW()-1,60),ROW()-1,FALSE))</f>
        <v/>
      </c>
      <c r="AU283" t="str">
        <f ca="1">IF(AND(ISNUMBER($AU$727),$B$419=1),$AU$727,HLOOKUP(INDIRECT(ADDRESS(2,COLUMN())),OFFSET($BN$2,0,0,ROW()-1,60),ROW()-1,FALSE))</f>
        <v/>
      </c>
      <c r="AV283" t="str">
        <f ca="1">IF(AND(ISNUMBER($AV$727),$B$419=1),$AV$727,HLOOKUP(INDIRECT(ADDRESS(2,COLUMN())),OFFSET($BN$2,0,0,ROW()-1,60),ROW()-1,FALSE))</f>
        <v/>
      </c>
      <c r="AW283" t="str">
        <f ca="1">IF(AND(ISNUMBER($AW$727),$B$419=1),$AW$727,HLOOKUP(INDIRECT(ADDRESS(2,COLUMN())),OFFSET($BN$2,0,0,ROW()-1,60),ROW()-1,FALSE))</f>
        <v/>
      </c>
      <c r="AX283" t="str">
        <f ca="1">IF(AND(ISNUMBER($AX$727),$B$419=1),$AX$727,HLOOKUP(INDIRECT(ADDRESS(2,COLUMN())),OFFSET($BN$2,0,0,ROW()-1,60),ROW()-1,FALSE))</f>
        <v/>
      </c>
      <c r="AY283" t="str">
        <f ca="1">IF(AND(ISNUMBER($AY$727),$B$419=1),$AY$727,HLOOKUP(INDIRECT(ADDRESS(2,COLUMN())),OFFSET($BN$2,0,0,ROW()-1,60),ROW()-1,FALSE))</f>
        <v/>
      </c>
      <c r="AZ283" t="str">
        <f ca="1">IF(AND(ISNUMBER($AZ$727),$B$419=1),$AZ$727,HLOOKUP(INDIRECT(ADDRESS(2,COLUMN())),OFFSET($BN$2,0,0,ROW()-1,60),ROW()-1,FALSE))</f>
        <v/>
      </c>
      <c r="BA283" t="str">
        <f ca="1">IF(AND(ISNUMBER($BA$727),$B$419=1),$BA$727,HLOOKUP(INDIRECT(ADDRESS(2,COLUMN())),OFFSET($BN$2,0,0,ROW()-1,60),ROW()-1,FALSE))</f>
        <v/>
      </c>
      <c r="BB283" t="str">
        <f ca="1">IF(AND(ISNUMBER($BB$727),$B$419=1),$BB$727,HLOOKUP(INDIRECT(ADDRESS(2,COLUMN())),OFFSET($BN$2,0,0,ROW()-1,60),ROW()-1,FALSE))</f>
        <v/>
      </c>
      <c r="BC283" t="str">
        <f ca="1">IF(AND(ISNUMBER($BC$727),$B$419=1),$BC$727,HLOOKUP(INDIRECT(ADDRESS(2,COLUMN())),OFFSET($BN$2,0,0,ROW()-1,60),ROW()-1,FALSE))</f>
        <v/>
      </c>
      <c r="BD283" t="str">
        <f ca="1">IF(AND(ISNUMBER($BD$727),$B$419=1),$BD$727,HLOOKUP(INDIRECT(ADDRESS(2,COLUMN())),OFFSET($BN$2,0,0,ROW()-1,60),ROW()-1,FALSE))</f>
        <v/>
      </c>
      <c r="BE283" t="str">
        <f ca="1">IF(AND(ISNUMBER($BE$727),$B$419=1),$BE$727,HLOOKUP(INDIRECT(ADDRESS(2,COLUMN())),OFFSET($BN$2,0,0,ROW()-1,60),ROW()-1,FALSE))</f>
        <v/>
      </c>
      <c r="BF283" t="str">
        <f ca="1">IF(AND(ISNUMBER($BF$727),$B$419=1),$BF$727,HLOOKUP(INDIRECT(ADDRESS(2,COLUMN())),OFFSET($BN$2,0,0,ROW()-1,60),ROW()-1,FALSE))</f>
        <v/>
      </c>
      <c r="BG283" t="str">
        <f ca="1">IF(AND(ISNUMBER($BG$727),$B$419=1),$BG$727,HLOOKUP(INDIRECT(ADDRESS(2,COLUMN())),OFFSET($BN$2,0,0,ROW()-1,60),ROW()-1,FALSE))</f>
        <v/>
      </c>
      <c r="BH283" t="str">
        <f ca="1">IF(AND(ISNUMBER($BH$727),$B$419=1),$BH$727,HLOOKUP(INDIRECT(ADDRESS(2,COLUMN())),OFFSET($BN$2,0,0,ROW()-1,60),ROW()-1,FALSE))</f>
        <v/>
      </c>
      <c r="BI283" t="str">
        <f ca="1">IF(AND(ISNUMBER($BI$727),$B$419=1),$BI$727,HLOOKUP(INDIRECT(ADDRESS(2,COLUMN())),OFFSET($BN$2,0,0,ROW()-1,60),ROW()-1,FALSE))</f>
        <v/>
      </c>
      <c r="BJ283" t="str">
        <f ca="1">IF(AND(ISNUMBER($BJ$727),$B$419=1),$BJ$727,HLOOKUP(INDIRECT(ADDRESS(2,COLUMN())),OFFSET($BN$2,0,0,ROW()-1,60),ROW()-1,FALSE))</f>
        <v/>
      </c>
      <c r="BK283" t="str">
        <f ca="1">IF(AND(ISNUMBER($BK$727),$B$419=1),$BK$727,HLOOKUP(INDIRECT(ADDRESS(2,COLUMN())),OFFSET($BN$2,0,0,ROW()-1,60),ROW()-1,FALSE))</f>
        <v/>
      </c>
      <c r="BL283" t="str">
        <f ca="1">IF(AND(ISNUMBER($BL$727),$B$419=1),$BL$727,HLOOKUP(INDIRECT(ADDRESS(2,COLUMN())),OFFSET($BN$2,0,0,ROW()-1,60),ROW()-1,FALSE))</f>
        <v/>
      </c>
      <c r="BM283" t="str">
        <f ca="1">IF(AND(ISNUMBER($BM$727),$B$419=1),$BM$727,HLOOKUP(INDIRECT(ADDRESS(2,COLUMN())),OFFSET($BN$2,0,0,ROW()-1,60),ROW()-1,FALSE))</f>
        <v/>
      </c>
      <c r="BN283" t="str">
        <f>""</f>
        <v/>
      </c>
      <c r="BO283">
        <f>5.611630539</f>
        <v>5.6116305390000001</v>
      </c>
      <c r="BP283">
        <f>5.42607596</f>
        <v>5.4260759600000004</v>
      </c>
      <c r="BQ283">
        <f>5.749685682</f>
        <v>5.749685682</v>
      </c>
      <c r="BR283">
        <f>5.321353447</f>
        <v>5.3213534469999999</v>
      </c>
      <c r="BS283">
        <f>5.898960986</f>
        <v>5.8989609859999996</v>
      </c>
      <c r="BT283">
        <f>5.38639848</f>
        <v>5.3863984800000004</v>
      </c>
      <c r="BU283">
        <f>5.162752903</f>
        <v>5.1627529030000003</v>
      </c>
      <c r="BV283">
        <f>5.431539873</f>
        <v>5.4315398730000002</v>
      </c>
      <c r="BW283">
        <f>5.204141149</f>
        <v>5.2041411489999998</v>
      </c>
      <c r="BX283">
        <f>5.92752773</f>
        <v>5.9275277300000004</v>
      </c>
      <c r="BY283">
        <f>6.07780298</f>
        <v>6.0778029800000004</v>
      </c>
      <c r="BZ283">
        <f>5.894213663</f>
        <v>5.8942136630000004</v>
      </c>
      <c r="CA283">
        <f>5.946654935</f>
        <v>5.9466549349999998</v>
      </c>
      <c r="CB283">
        <f>5.945720107</f>
        <v>5.9457201069999996</v>
      </c>
      <c r="CC283">
        <f>5.964531339</f>
        <v>5.9645313389999997</v>
      </c>
      <c r="CD283">
        <f>6.596550971</f>
        <v>6.5965509710000001</v>
      </c>
      <c r="CE283">
        <f>6.072649735</f>
        <v>6.0726497349999997</v>
      </c>
      <c r="CF283">
        <f>7.271096119</f>
        <v>7.2710961190000001</v>
      </c>
      <c r="CG283">
        <f>7.32174862</f>
        <v>7.3217486200000002</v>
      </c>
      <c r="CH283">
        <f>7.005758755</f>
        <v>7.0057587549999996</v>
      </c>
      <c r="CI283">
        <f>6.628590403</f>
        <v>6.6285904029999996</v>
      </c>
      <c r="CJ283">
        <f>5.951623931</f>
        <v>5.9516239310000003</v>
      </c>
      <c r="CK283">
        <f>4.860452242</f>
        <v>4.860452242</v>
      </c>
      <c r="CL283">
        <f>4.646758174</f>
        <v>4.6467581740000004</v>
      </c>
      <c r="CM283">
        <f>5.354601893</f>
        <v>5.3546018929999999</v>
      </c>
      <c r="CN283">
        <f>5.21239646</f>
        <v>5.2123964599999999</v>
      </c>
      <c r="CO283">
        <f>4.761457167</f>
        <v>4.7614571669999997</v>
      </c>
      <c r="CP283">
        <f>4.464063857</f>
        <v>4.4640638570000002</v>
      </c>
      <c r="CQ283">
        <f>5.135438708</f>
        <v>5.1354387079999997</v>
      </c>
      <c r="CR283">
        <f>4.716559345</f>
        <v>4.7165593450000003</v>
      </c>
      <c r="CS283">
        <f>5.372972366</f>
        <v>5.3729723659999999</v>
      </c>
      <c r="CT283">
        <f>4.592860662</f>
        <v>4.5928606619999996</v>
      </c>
      <c r="CU283">
        <f>4.441510394</f>
        <v>4.4415103939999998</v>
      </c>
      <c r="CV283" t="str">
        <f>""</f>
        <v/>
      </c>
      <c r="CW283" t="str">
        <f>""</f>
        <v/>
      </c>
      <c r="CX283" t="str">
        <f>""</f>
        <v/>
      </c>
      <c r="CY283" t="str">
        <f>""</f>
        <v/>
      </c>
      <c r="CZ283" t="str">
        <f>""</f>
        <v/>
      </c>
      <c r="DA283" t="str">
        <f>""</f>
        <v/>
      </c>
      <c r="DB283" t="str">
        <f>""</f>
        <v/>
      </c>
      <c r="DC283" t="str">
        <f>""</f>
        <v/>
      </c>
      <c r="DD283" t="str">
        <f>""</f>
        <v/>
      </c>
      <c r="DE283" t="str">
        <f>""</f>
        <v/>
      </c>
      <c r="DF283" t="str">
        <f>""</f>
        <v/>
      </c>
      <c r="DG283" t="str">
        <f>""</f>
        <v/>
      </c>
      <c r="DH283" t="str">
        <f>""</f>
        <v/>
      </c>
      <c r="DI283" t="str">
        <f>""</f>
        <v/>
      </c>
      <c r="DJ283" t="str">
        <f>""</f>
        <v/>
      </c>
      <c r="DK283" t="str">
        <f>""</f>
        <v/>
      </c>
      <c r="DL283" t="str">
        <f>""</f>
        <v/>
      </c>
      <c r="DM283" t="str">
        <f>""</f>
        <v/>
      </c>
      <c r="DN283" t="str">
        <f>""</f>
        <v/>
      </c>
      <c r="DO283" t="str">
        <f>""</f>
        <v/>
      </c>
      <c r="DP283" t="str">
        <f>""</f>
        <v/>
      </c>
      <c r="DQ283" t="str">
        <f>""</f>
        <v/>
      </c>
      <c r="DR283" t="str">
        <f>""</f>
        <v/>
      </c>
      <c r="DS283" t="str">
        <f>""</f>
        <v/>
      </c>
      <c r="DT283" t="str">
        <f>""</f>
        <v/>
      </c>
      <c r="DU283" t="str">
        <f>""</f>
        <v/>
      </c>
    </row>
    <row r="284" spans="1:125">
      <c r="A284" t="str">
        <f>"    Regency Centers Corp"</f>
        <v xml:space="preserve">    Regency Centers Corp</v>
      </c>
      <c r="B284" t="str">
        <f>"REG US Equity"</f>
        <v>REG US Equity</v>
      </c>
      <c r="C284" t="str">
        <f t="shared" si="51"/>
        <v>F1178</v>
      </c>
      <c r="D284" t="str">
        <f t="shared" si="52"/>
        <v>NET_DEBT_EBITDA_ADJUSTED</v>
      </c>
      <c r="E284" t="str">
        <f t="shared" si="53"/>
        <v>动态</v>
      </c>
      <c r="F284" t="str">
        <f ca="1">IF(AND(ISNUMBER($F$728),$B$419=1),$F$728,HLOOKUP(INDIRECT(ADDRESS(2,COLUMN())),OFFSET($BN$2,0,0,ROW()-1,60),ROW()-1,FALSE))</f>
        <v/>
      </c>
      <c r="G284">
        <f ca="1">IF(AND(ISNUMBER($G$728),$B$419=1),$G$728,HLOOKUP(INDIRECT(ADDRESS(2,COLUMN())),OFFSET($BN$2,0,0,ROW()-1,60),ROW()-1,FALSE))</f>
        <v>6.4405984070000004</v>
      </c>
      <c r="H284">
        <f ca="1">IF(AND(ISNUMBER($H$728),$B$419=1),$H$728,HLOOKUP(INDIRECT(ADDRESS(2,COLUMN())),OFFSET($BN$2,0,0,ROW()-1,60),ROW()-1,FALSE))</f>
        <v>7.0339757609999998</v>
      </c>
      <c r="I284">
        <f ca="1">IF(AND(ISNUMBER($I$728),$B$419=1),$I$728,HLOOKUP(INDIRECT(ADDRESS(2,COLUMN())),OFFSET($BN$2,0,0,ROW()-1,60),ROW()-1,FALSE))</f>
        <v>8.1946283090000005</v>
      </c>
      <c r="J284">
        <f ca="1">IF(AND(ISNUMBER($J$728),$B$419=1),$J$728,HLOOKUP(INDIRECT(ADDRESS(2,COLUMN())),OFFSET($BN$2,0,0,ROW()-1,60),ROW()-1,FALSE))</f>
        <v>10.01908768</v>
      </c>
      <c r="K284">
        <f ca="1">IF(AND(ISNUMBER($K$728),$B$419=1),$K$728,HLOOKUP(INDIRECT(ADDRESS(2,COLUMN())),OFFSET($BN$2,0,0,ROW()-1,60),ROW()-1,FALSE))</f>
        <v>4.3613594080000002</v>
      </c>
      <c r="L284">
        <f ca="1">IF(AND(ISNUMBER($L$728),$B$419=1),$L$728,HLOOKUP(INDIRECT(ADDRESS(2,COLUMN())),OFFSET($BN$2,0,0,ROW()-1,60),ROW()-1,FALSE))</f>
        <v>4.3144563959999997</v>
      </c>
      <c r="M284">
        <f ca="1">IF(AND(ISNUMBER($M$728),$B$419=1),$M$728,HLOOKUP(INDIRECT(ADDRESS(2,COLUMN())),OFFSET($BN$2,0,0,ROW()-1,60),ROW()-1,FALSE))</f>
        <v>5.4100658839999998</v>
      </c>
      <c r="N284">
        <f ca="1">IF(AND(ISNUMBER($N$728),$B$419=1),$N$728,HLOOKUP(INDIRECT(ADDRESS(2,COLUMN())),OFFSET($BN$2,0,0,ROW()-1,60),ROW()-1,FALSE))</f>
        <v>5.0590722140000004</v>
      </c>
      <c r="O284">
        <f ca="1">IF(AND(ISNUMBER($O$728),$B$419=1),$O$728,HLOOKUP(INDIRECT(ADDRESS(2,COLUMN())),OFFSET($BN$2,0,0,ROW()-1,60),ROW()-1,FALSE))</f>
        <v>5.1990332690000001</v>
      </c>
      <c r="P284">
        <f ca="1">IF(AND(ISNUMBER($P$728),$B$419=1),$P$728,HLOOKUP(INDIRECT(ADDRESS(2,COLUMN())),OFFSET($BN$2,0,0,ROW()-1,60),ROW()-1,FALSE))</f>
        <v>5.7562303909999999</v>
      </c>
      <c r="Q284">
        <f ca="1">IF(AND(ISNUMBER($Q$728),$B$419=1),$Q$728,HLOOKUP(INDIRECT(ADDRESS(2,COLUMN())),OFFSET($BN$2,0,0,ROW()-1,60),ROW()-1,FALSE))</f>
        <v>5.7382993850000004</v>
      </c>
      <c r="R284">
        <f ca="1">IF(AND(ISNUMBER($R$728),$B$419=1),$R$728,HLOOKUP(INDIRECT(ADDRESS(2,COLUMN())),OFFSET($BN$2,0,0,ROW()-1,60),ROW()-1,FALSE))</f>
        <v>5.8121922479999997</v>
      </c>
      <c r="S284">
        <f ca="1">IF(AND(ISNUMBER($S$728),$B$419=1),$S$728,HLOOKUP(INDIRECT(ADDRESS(2,COLUMN())),OFFSET($BN$2,0,0,ROW()-1,60),ROW()-1,FALSE))</f>
        <v>5.7462105240000003</v>
      </c>
      <c r="T284">
        <f ca="1">IF(AND(ISNUMBER($T$728),$B$419=1),$T$728,HLOOKUP(INDIRECT(ADDRESS(2,COLUMN())),OFFSET($BN$2,0,0,ROW()-1,60),ROW()-1,FALSE))</f>
        <v>5.9170580519999998</v>
      </c>
      <c r="U284">
        <f ca="1">IF(AND(ISNUMBER($U$728),$B$419=1),$U$728,HLOOKUP(INDIRECT(ADDRESS(2,COLUMN())),OFFSET($BN$2,0,0,ROW()-1,60),ROW()-1,FALSE))</f>
        <v>6.3143185519999996</v>
      </c>
      <c r="V284">
        <f ca="1">IF(AND(ISNUMBER($V$728),$B$419=1),$V$728,HLOOKUP(INDIRECT(ADDRESS(2,COLUMN())),OFFSET($BN$2,0,0,ROW()-1,60),ROW()-1,FALSE))</f>
        <v>6.3770598180000002</v>
      </c>
      <c r="W284">
        <f ca="1">IF(AND(ISNUMBER($W$728),$B$419=1),$W$728,HLOOKUP(INDIRECT(ADDRESS(2,COLUMN())),OFFSET($BN$2,0,0,ROW()-1,60),ROW()-1,FALSE))</f>
        <v>5.9376418299999996</v>
      </c>
      <c r="X284">
        <f ca="1">IF(AND(ISNUMBER($X$728),$B$419=1),$X$728,HLOOKUP(INDIRECT(ADDRESS(2,COLUMN())),OFFSET($BN$2,0,0,ROW()-1,60),ROW()-1,FALSE))</f>
        <v>6.1496859849999996</v>
      </c>
      <c r="Y284">
        <f ca="1">IF(AND(ISNUMBER($Y$728),$B$419=1),$Y$728,HLOOKUP(INDIRECT(ADDRESS(2,COLUMN())),OFFSET($BN$2,0,0,ROW()-1,60),ROW()-1,FALSE))</f>
        <v>6.3267108700000003</v>
      </c>
      <c r="Z284">
        <f ca="1">IF(AND(ISNUMBER($Z$728),$B$419=1),$Z$728,HLOOKUP(INDIRECT(ADDRESS(2,COLUMN())),OFFSET($BN$2,0,0,ROW()-1,60),ROW()-1,FALSE))</f>
        <v>6.4531480400000003</v>
      </c>
      <c r="AA284">
        <f ca="1">IF(AND(ISNUMBER($AA$728),$B$419=1),$AA$728,HLOOKUP(INDIRECT(ADDRESS(2,COLUMN())),OFFSET($BN$2,0,0,ROW()-1,60),ROW()-1,FALSE))</f>
        <v>6.4177479699999997</v>
      </c>
      <c r="AB284">
        <f ca="1">IF(AND(ISNUMBER($AB$728),$B$419=1),$AB$728,HLOOKUP(INDIRECT(ADDRESS(2,COLUMN())),OFFSET($BN$2,0,0,ROW()-1,60),ROW()-1,FALSE))</f>
        <v>5.9264227040000002</v>
      </c>
      <c r="AC284">
        <f ca="1">IF(AND(ISNUMBER($AC$728),$B$419=1),$AC$728,HLOOKUP(INDIRECT(ADDRESS(2,COLUMN())),OFFSET($BN$2,0,0,ROW()-1,60),ROW()-1,FALSE))</f>
        <v>6.5591272370000002</v>
      </c>
      <c r="AD284">
        <f ca="1">IF(AND(ISNUMBER($AD$728),$B$419=1),$AD$728,HLOOKUP(INDIRECT(ADDRESS(2,COLUMN())),OFFSET($BN$2,0,0,ROW()-1,60),ROW()-1,FALSE))</f>
        <v>6.516152935</v>
      </c>
      <c r="AE284">
        <f ca="1">IF(AND(ISNUMBER($AE$728),$B$419=1),$AE$728,HLOOKUP(INDIRECT(ADDRESS(2,COLUMN())),OFFSET($BN$2,0,0,ROW()-1,60),ROW()-1,FALSE))</f>
        <v>6.4451761840000001</v>
      </c>
      <c r="AF284">
        <f ca="1">IF(AND(ISNUMBER($AF$728),$B$419=1),$AF$728,HLOOKUP(INDIRECT(ADDRESS(2,COLUMN())),OFFSET($BN$2,0,0,ROW()-1,60),ROW()-1,FALSE))</f>
        <v>6.6892157900000004</v>
      </c>
      <c r="AG284">
        <f ca="1">IF(AND(ISNUMBER($AG$728),$B$419=1),$AG$728,HLOOKUP(INDIRECT(ADDRESS(2,COLUMN())),OFFSET($BN$2,0,0,ROW()-1,60),ROW()-1,FALSE))</f>
        <v>6.6373032299999997</v>
      </c>
      <c r="AH284">
        <f ca="1">IF(AND(ISNUMBER($AH$728),$B$419=1),$AH$728,HLOOKUP(INDIRECT(ADDRESS(2,COLUMN())),OFFSET($BN$2,0,0,ROW()-1,60),ROW()-1,FALSE))</f>
        <v>6.3603342070000002</v>
      </c>
      <c r="AI284">
        <f ca="1">IF(AND(ISNUMBER($AI$728),$B$419=1),$AI$728,HLOOKUP(INDIRECT(ADDRESS(2,COLUMN())),OFFSET($BN$2,0,0,ROW()-1,60),ROW()-1,FALSE))</f>
        <v>7.138301706</v>
      </c>
      <c r="AJ284">
        <f ca="1">IF(AND(ISNUMBER($AJ$728),$B$419=1),$AJ$728,HLOOKUP(INDIRECT(ADDRESS(2,COLUMN())),OFFSET($BN$2,0,0,ROW()-1,60),ROW()-1,FALSE))</f>
        <v>6.799707003</v>
      </c>
      <c r="AK284">
        <f ca="1">IF(AND(ISNUMBER($AK$728),$B$419=1),$AK$728,HLOOKUP(INDIRECT(ADDRESS(2,COLUMN())),OFFSET($BN$2,0,0,ROW()-1,60),ROW()-1,FALSE))</f>
        <v>6.2928856489999996</v>
      </c>
      <c r="AL284">
        <f ca="1">IF(AND(ISNUMBER($AL$728),$B$419=1),$AL$728,HLOOKUP(INDIRECT(ADDRESS(2,COLUMN())),OFFSET($BN$2,0,0,ROW()-1,60),ROW()-1,FALSE))</f>
        <v>5.8986989630000002</v>
      </c>
      <c r="AM284">
        <f ca="1">IF(AND(ISNUMBER($AM$728),$B$419=1),$AM$728,HLOOKUP(INDIRECT(ADDRESS(2,COLUMN())),OFFSET($BN$2,0,0,ROW()-1,60),ROW()-1,FALSE))</f>
        <v>5.9751074209999997</v>
      </c>
      <c r="AN284" t="str">
        <f ca="1">IF(AND(ISNUMBER($AN$728),$B$419=1),$AN$728,HLOOKUP(INDIRECT(ADDRESS(2,COLUMN())),OFFSET($BN$2,0,0,ROW()-1,60),ROW()-1,FALSE))</f>
        <v/>
      </c>
      <c r="AO284" t="str">
        <f ca="1">IF(AND(ISNUMBER($AO$728),$B$419=1),$AO$728,HLOOKUP(INDIRECT(ADDRESS(2,COLUMN())),OFFSET($BN$2,0,0,ROW()-1,60),ROW()-1,FALSE))</f>
        <v/>
      </c>
      <c r="AP284" t="str">
        <f ca="1">IF(AND(ISNUMBER($AP$728),$B$419=1),$AP$728,HLOOKUP(INDIRECT(ADDRESS(2,COLUMN())),OFFSET($BN$2,0,0,ROW()-1,60),ROW()-1,FALSE))</f>
        <v/>
      </c>
      <c r="AQ284" t="str">
        <f ca="1">IF(AND(ISNUMBER($AQ$728),$B$419=1),$AQ$728,HLOOKUP(INDIRECT(ADDRESS(2,COLUMN())),OFFSET($BN$2,0,0,ROW()-1,60),ROW()-1,FALSE))</f>
        <v/>
      </c>
      <c r="AR284" t="str">
        <f ca="1">IF(AND(ISNUMBER($AR$728),$B$419=1),$AR$728,HLOOKUP(INDIRECT(ADDRESS(2,COLUMN())),OFFSET($BN$2,0,0,ROW()-1,60),ROW()-1,FALSE))</f>
        <v/>
      </c>
      <c r="AS284" t="str">
        <f ca="1">IF(AND(ISNUMBER($AS$728),$B$419=1),$AS$728,HLOOKUP(INDIRECT(ADDRESS(2,COLUMN())),OFFSET($BN$2,0,0,ROW()-1,60),ROW()-1,FALSE))</f>
        <v/>
      </c>
      <c r="AT284" t="str">
        <f ca="1">IF(AND(ISNUMBER($AT$728),$B$419=1),$AT$728,HLOOKUP(INDIRECT(ADDRESS(2,COLUMN())),OFFSET($BN$2,0,0,ROW()-1,60),ROW()-1,FALSE))</f>
        <v/>
      </c>
      <c r="AU284" t="str">
        <f ca="1">IF(AND(ISNUMBER($AU$728),$B$419=1),$AU$728,HLOOKUP(INDIRECT(ADDRESS(2,COLUMN())),OFFSET($BN$2,0,0,ROW()-1,60),ROW()-1,FALSE))</f>
        <v/>
      </c>
      <c r="AV284" t="str">
        <f ca="1">IF(AND(ISNUMBER($AV$728),$B$419=1),$AV$728,HLOOKUP(INDIRECT(ADDRESS(2,COLUMN())),OFFSET($BN$2,0,0,ROW()-1,60),ROW()-1,FALSE))</f>
        <v/>
      </c>
      <c r="AW284" t="str">
        <f ca="1">IF(AND(ISNUMBER($AW$728),$B$419=1),$AW$728,HLOOKUP(INDIRECT(ADDRESS(2,COLUMN())),OFFSET($BN$2,0,0,ROW()-1,60),ROW()-1,FALSE))</f>
        <v/>
      </c>
      <c r="AX284" t="str">
        <f ca="1">IF(AND(ISNUMBER($AX$728),$B$419=1),$AX$728,HLOOKUP(INDIRECT(ADDRESS(2,COLUMN())),OFFSET($BN$2,0,0,ROW()-1,60),ROW()-1,FALSE))</f>
        <v/>
      </c>
      <c r="AY284" t="str">
        <f ca="1">IF(AND(ISNUMBER($AY$728),$B$419=1),$AY$728,HLOOKUP(INDIRECT(ADDRESS(2,COLUMN())),OFFSET($BN$2,0,0,ROW()-1,60),ROW()-1,FALSE))</f>
        <v/>
      </c>
      <c r="AZ284" t="str">
        <f ca="1">IF(AND(ISNUMBER($AZ$728),$B$419=1),$AZ$728,HLOOKUP(INDIRECT(ADDRESS(2,COLUMN())),OFFSET($BN$2,0,0,ROW()-1,60),ROW()-1,FALSE))</f>
        <v/>
      </c>
      <c r="BA284" t="str">
        <f ca="1">IF(AND(ISNUMBER($BA$728),$B$419=1),$BA$728,HLOOKUP(INDIRECT(ADDRESS(2,COLUMN())),OFFSET($BN$2,0,0,ROW()-1,60),ROW()-1,FALSE))</f>
        <v/>
      </c>
      <c r="BB284" t="str">
        <f ca="1">IF(AND(ISNUMBER($BB$728),$B$419=1),$BB$728,HLOOKUP(INDIRECT(ADDRESS(2,COLUMN())),OFFSET($BN$2,0,0,ROW()-1,60),ROW()-1,FALSE))</f>
        <v/>
      </c>
      <c r="BC284" t="str">
        <f ca="1">IF(AND(ISNUMBER($BC$728),$B$419=1),$BC$728,HLOOKUP(INDIRECT(ADDRESS(2,COLUMN())),OFFSET($BN$2,0,0,ROW()-1,60),ROW()-1,FALSE))</f>
        <v/>
      </c>
      <c r="BD284" t="str">
        <f ca="1">IF(AND(ISNUMBER($BD$728),$B$419=1),$BD$728,HLOOKUP(INDIRECT(ADDRESS(2,COLUMN())),OFFSET($BN$2,0,0,ROW()-1,60),ROW()-1,FALSE))</f>
        <v/>
      </c>
      <c r="BE284" t="str">
        <f ca="1">IF(AND(ISNUMBER($BE$728),$B$419=1),$BE$728,HLOOKUP(INDIRECT(ADDRESS(2,COLUMN())),OFFSET($BN$2,0,0,ROW()-1,60),ROW()-1,FALSE))</f>
        <v/>
      </c>
      <c r="BF284" t="str">
        <f ca="1">IF(AND(ISNUMBER($BF$728),$B$419=1),$BF$728,HLOOKUP(INDIRECT(ADDRESS(2,COLUMN())),OFFSET($BN$2,0,0,ROW()-1,60),ROW()-1,FALSE))</f>
        <v/>
      </c>
      <c r="BG284" t="str">
        <f ca="1">IF(AND(ISNUMBER($BG$728),$B$419=1),$BG$728,HLOOKUP(INDIRECT(ADDRESS(2,COLUMN())),OFFSET($BN$2,0,0,ROW()-1,60),ROW()-1,FALSE))</f>
        <v/>
      </c>
      <c r="BH284" t="str">
        <f ca="1">IF(AND(ISNUMBER($BH$728),$B$419=1),$BH$728,HLOOKUP(INDIRECT(ADDRESS(2,COLUMN())),OFFSET($BN$2,0,0,ROW()-1,60),ROW()-1,FALSE))</f>
        <v/>
      </c>
      <c r="BI284" t="str">
        <f ca="1">IF(AND(ISNUMBER($BI$728),$B$419=1),$BI$728,HLOOKUP(INDIRECT(ADDRESS(2,COLUMN())),OFFSET($BN$2,0,0,ROW()-1,60),ROW()-1,FALSE))</f>
        <v/>
      </c>
      <c r="BJ284" t="str">
        <f ca="1">IF(AND(ISNUMBER($BJ$728),$B$419=1),$BJ$728,HLOOKUP(INDIRECT(ADDRESS(2,COLUMN())),OFFSET($BN$2,0,0,ROW()-1,60),ROW()-1,FALSE))</f>
        <v/>
      </c>
      <c r="BK284" t="str">
        <f ca="1">IF(AND(ISNUMBER($BK$728),$B$419=1),$BK$728,HLOOKUP(INDIRECT(ADDRESS(2,COLUMN())),OFFSET($BN$2,0,0,ROW()-1,60),ROW()-1,FALSE))</f>
        <v/>
      </c>
      <c r="BL284" t="str">
        <f ca="1">IF(AND(ISNUMBER($BL$728),$B$419=1),$BL$728,HLOOKUP(INDIRECT(ADDRESS(2,COLUMN())),OFFSET($BN$2,0,0,ROW()-1,60),ROW()-1,FALSE))</f>
        <v/>
      </c>
      <c r="BM284" t="str">
        <f ca="1">IF(AND(ISNUMBER($BM$728),$B$419=1),$BM$728,HLOOKUP(INDIRECT(ADDRESS(2,COLUMN())),OFFSET($BN$2,0,0,ROW()-1,60),ROW()-1,FALSE))</f>
        <v/>
      </c>
      <c r="BN284" t="str">
        <f>""</f>
        <v/>
      </c>
      <c r="BO284">
        <f>6.440598407</f>
        <v>6.4405984070000004</v>
      </c>
      <c r="BP284">
        <f>7.033975761</f>
        <v>7.0339757609999998</v>
      </c>
      <c r="BQ284">
        <f>8.194628309</f>
        <v>8.1946283090000005</v>
      </c>
      <c r="BR284">
        <f>10.01908768</f>
        <v>10.01908768</v>
      </c>
      <c r="BS284">
        <f>4.361359408</f>
        <v>4.3613594080000002</v>
      </c>
      <c r="BT284">
        <f>4.314456396</f>
        <v>4.3144563959999997</v>
      </c>
      <c r="BU284">
        <f>5.410065884</f>
        <v>5.4100658839999998</v>
      </c>
      <c r="BV284">
        <f>5.059072214</f>
        <v>5.0590722140000004</v>
      </c>
      <c r="BW284">
        <f>5.199033269</f>
        <v>5.1990332690000001</v>
      </c>
      <c r="BX284">
        <f>5.756230391</f>
        <v>5.7562303909999999</v>
      </c>
      <c r="BY284">
        <f>5.738299385</f>
        <v>5.7382993850000004</v>
      </c>
      <c r="BZ284">
        <f>5.812192248</f>
        <v>5.8121922479999997</v>
      </c>
      <c r="CA284">
        <f>5.746210524</f>
        <v>5.7462105240000003</v>
      </c>
      <c r="CB284">
        <f>5.917058052</f>
        <v>5.9170580519999998</v>
      </c>
      <c r="CC284">
        <f>6.314318552</f>
        <v>6.3143185519999996</v>
      </c>
      <c r="CD284">
        <f>6.377059818</f>
        <v>6.3770598180000002</v>
      </c>
      <c r="CE284">
        <f>5.93764183</f>
        <v>5.9376418299999996</v>
      </c>
      <c r="CF284">
        <f>6.149685985</f>
        <v>6.1496859849999996</v>
      </c>
      <c r="CG284">
        <f>6.32671087</f>
        <v>6.3267108700000003</v>
      </c>
      <c r="CH284">
        <f>6.45314804</f>
        <v>6.4531480400000003</v>
      </c>
      <c r="CI284">
        <f>6.41774797</f>
        <v>6.4177479699999997</v>
      </c>
      <c r="CJ284">
        <f>5.926422704</f>
        <v>5.9264227040000002</v>
      </c>
      <c r="CK284">
        <f>6.559127237</f>
        <v>6.5591272370000002</v>
      </c>
      <c r="CL284">
        <f>6.516152935</f>
        <v>6.516152935</v>
      </c>
      <c r="CM284">
        <f>6.445176184</f>
        <v>6.4451761840000001</v>
      </c>
      <c r="CN284">
        <f>6.68921579</f>
        <v>6.6892157900000004</v>
      </c>
      <c r="CO284">
        <f>6.63730323</f>
        <v>6.6373032299999997</v>
      </c>
      <c r="CP284">
        <f>6.360334207</f>
        <v>6.3603342070000002</v>
      </c>
      <c r="CQ284">
        <f>7.138301706</f>
        <v>7.138301706</v>
      </c>
      <c r="CR284">
        <f>6.799707003</f>
        <v>6.799707003</v>
      </c>
      <c r="CS284">
        <f>6.292885649</f>
        <v>6.2928856489999996</v>
      </c>
      <c r="CT284">
        <f>5.898698963</f>
        <v>5.8986989630000002</v>
      </c>
      <c r="CU284">
        <f>5.975107421</f>
        <v>5.9751074209999997</v>
      </c>
      <c r="CV284" t="str">
        <f>""</f>
        <v/>
      </c>
      <c r="CW284" t="str">
        <f>""</f>
        <v/>
      </c>
      <c r="CX284" t="str">
        <f>""</f>
        <v/>
      </c>
      <c r="CY284" t="str">
        <f>""</f>
        <v/>
      </c>
      <c r="CZ284" t="str">
        <f>""</f>
        <v/>
      </c>
      <c r="DA284" t="str">
        <f>""</f>
        <v/>
      </c>
      <c r="DB284" t="str">
        <f>""</f>
        <v/>
      </c>
      <c r="DC284" t="str">
        <f>""</f>
        <v/>
      </c>
      <c r="DD284" t="str">
        <f>""</f>
        <v/>
      </c>
      <c r="DE284" t="str">
        <f>""</f>
        <v/>
      </c>
      <c r="DF284" t="str">
        <f>""</f>
        <v/>
      </c>
      <c r="DG284" t="str">
        <f>""</f>
        <v/>
      </c>
      <c r="DH284" t="str">
        <f>""</f>
        <v/>
      </c>
      <c r="DI284" t="str">
        <f>""</f>
        <v/>
      </c>
      <c r="DJ284" t="str">
        <f>""</f>
        <v/>
      </c>
      <c r="DK284" t="str">
        <f>""</f>
        <v/>
      </c>
      <c r="DL284" t="str">
        <f>""</f>
        <v/>
      </c>
      <c r="DM284" t="str">
        <f>""</f>
        <v/>
      </c>
      <c r="DN284" t="str">
        <f>""</f>
        <v/>
      </c>
      <c r="DO284" t="str">
        <f>""</f>
        <v/>
      </c>
      <c r="DP284" t="str">
        <f>""</f>
        <v/>
      </c>
      <c r="DQ284" t="str">
        <f>""</f>
        <v/>
      </c>
      <c r="DR284" t="str">
        <f>""</f>
        <v/>
      </c>
      <c r="DS284" t="str">
        <f>""</f>
        <v/>
      </c>
      <c r="DT284" t="str">
        <f>""</f>
        <v/>
      </c>
      <c r="DU284" t="str">
        <f>""</f>
        <v/>
      </c>
    </row>
    <row r="285" spans="1:125">
      <c r="A285" t="str">
        <f>"    Retail Opportunity Investments"</f>
        <v xml:space="preserve">    Retail Opportunity Investments</v>
      </c>
      <c r="B285" t="str">
        <f>"ROIC US Equity"</f>
        <v>ROIC US Equity</v>
      </c>
      <c r="C285" t="str">
        <f t="shared" si="51"/>
        <v>F1178</v>
      </c>
      <c r="D285" t="str">
        <f t="shared" si="52"/>
        <v>NET_DEBT_EBITDA_ADJUSTED</v>
      </c>
      <c r="E285" t="str">
        <f t="shared" si="53"/>
        <v>动态</v>
      </c>
      <c r="F285" t="str">
        <f ca="1">IF(AND(ISNUMBER($F$729),$B$419=1),$F$729,HLOOKUP(INDIRECT(ADDRESS(2,COLUMN())),OFFSET($BN$2,0,0,ROW()-1,60),ROW()-1,FALSE))</f>
        <v/>
      </c>
      <c r="G285">
        <f ca="1">IF(AND(ISNUMBER($G$729),$B$419=1),$G$729,HLOOKUP(INDIRECT(ADDRESS(2,COLUMN())),OFFSET($BN$2,0,0,ROW()-1,60),ROW()-1,FALSE))</f>
        <v>7.7695094280000001</v>
      </c>
      <c r="H285">
        <f ca="1">IF(AND(ISNUMBER($H$729),$B$419=1),$H$729,HLOOKUP(INDIRECT(ADDRESS(2,COLUMN())),OFFSET($BN$2,0,0,ROW()-1,60),ROW()-1,FALSE))</f>
        <v>7.3893703530000003</v>
      </c>
      <c r="I285">
        <f ca="1">IF(AND(ISNUMBER($I$729),$B$419=1),$I$729,HLOOKUP(INDIRECT(ADDRESS(2,COLUMN())),OFFSET($BN$2,0,0,ROW()-1,60),ROW()-1,FALSE))</f>
        <v>7.4548734220000004</v>
      </c>
      <c r="J285">
        <f ca="1">IF(AND(ISNUMBER($J$729),$B$419=1),$J$729,HLOOKUP(INDIRECT(ADDRESS(2,COLUMN())),OFFSET($BN$2,0,0,ROW()-1,60),ROW()-1,FALSE))</f>
        <v>7.1214761119999999</v>
      </c>
      <c r="K285">
        <f ca="1">IF(AND(ISNUMBER($K$729),$B$419=1),$K$729,HLOOKUP(INDIRECT(ADDRESS(2,COLUMN())),OFFSET($BN$2,0,0,ROW()-1,60),ROW()-1,FALSE))</f>
        <v>6.9060291190000003</v>
      </c>
      <c r="L285">
        <f ca="1">IF(AND(ISNUMBER($L$729),$B$419=1),$L$729,HLOOKUP(INDIRECT(ADDRESS(2,COLUMN())),OFFSET($BN$2,0,0,ROW()-1,60),ROW()-1,FALSE))</f>
        <v>6.7781545200000002</v>
      </c>
      <c r="M285">
        <f ca="1">IF(AND(ISNUMBER($M$729),$B$419=1),$M$729,HLOOKUP(INDIRECT(ADDRESS(2,COLUMN())),OFFSET($BN$2,0,0,ROW()-1,60),ROW()-1,FALSE))</f>
        <v>7.8873912309999996</v>
      </c>
      <c r="N285">
        <f ca="1">IF(AND(ISNUMBER($N$729),$B$419=1),$N$729,HLOOKUP(INDIRECT(ADDRESS(2,COLUMN())),OFFSET($BN$2,0,0,ROW()-1,60),ROW()-1,FALSE))</f>
        <v>7.3261069579999996</v>
      </c>
      <c r="O285">
        <f ca="1">IF(AND(ISNUMBER($O$729),$B$419=1),$O$729,HLOOKUP(INDIRECT(ADDRESS(2,COLUMN())),OFFSET($BN$2,0,0,ROW()-1,60),ROW()-1,FALSE))</f>
        <v>7.4709191659999998</v>
      </c>
      <c r="P285">
        <f ca="1">IF(AND(ISNUMBER($P$729),$B$419=1),$P$729,HLOOKUP(INDIRECT(ADDRESS(2,COLUMN())),OFFSET($BN$2,0,0,ROW()-1,60),ROW()-1,FALSE))</f>
        <v>7.0524252110000001</v>
      </c>
      <c r="Q285">
        <f ca="1">IF(AND(ISNUMBER($Q$729),$B$419=1),$Q$729,HLOOKUP(INDIRECT(ADDRESS(2,COLUMN())),OFFSET($BN$2,0,0,ROW()-1,60),ROW()-1,FALSE))</f>
        <v>7.310546328</v>
      </c>
      <c r="R285">
        <f ca="1">IF(AND(ISNUMBER($R$729),$B$419=1),$R$729,HLOOKUP(INDIRECT(ADDRESS(2,COLUMN())),OFFSET($BN$2,0,0,ROW()-1,60),ROW()-1,FALSE))</f>
        <v>7.4428614020000001</v>
      </c>
      <c r="S285">
        <f ca="1">IF(AND(ISNUMBER($S$729),$B$419=1),$S$729,HLOOKUP(INDIRECT(ADDRESS(2,COLUMN())),OFFSET($BN$2,0,0,ROW()-1,60),ROW()-1,FALSE))</f>
        <v>7.1677560619999996</v>
      </c>
      <c r="T285">
        <f ca="1">IF(AND(ISNUMBER($T$729),$B$419=1),$T$729,HLOOKUP(INDIRECT(ADDRESS(2,COLUMN())),OFFSET($BN$2,0,0,ROW()-1,60),ROW()-1,FALSE))</f>
        <v>6.8962856840000004</v>
      </c>
      <c r="U285">
        <f ca="1">IF(AND(ISNUMBER($U$729),$B$419=1),$U$729,HLOOKUP(INDIRECT(ADDRESS(2,COLUMN())),OFFSET($BN$2,0,0,ROW()-1,60),ROW()-1,FALSE))</f>
        <v>7.9298195820000004</v>
      </c>
      <c r="V285">
        <f ca="1">IF(AND(ISNUMBER($V$729),$B$419=1),$V$729,HLOOKUP(INDIRECT(ADDRESS(2,COLUMN())),OFFSET($BN$2,0,0,ROW()-1,60),ROW()-1,FALSE))</f>
        <v>8.7545023999999998</v>
      </c>
      <c r="W285">
        <f ca="1">IF(AND(ISNUMBER($W$729),$B$419=1),$W$729,HLOOKUP(INDIRECT(ADDRESS(2,COLUMN())),OFFSET($BN$2,0,0,ROW()-1,60),ROW()-1,FALSE))</f>
        <v>9.0032455630000001</v>
      </c>
      <c r="X285">
        <f ca="1">IF(AND(ISNUMBER($X$729),$B$419=1),$X$729,HLOOKUP(INDIRECT(ADDRESS(2,COLUMN())),OFFSET($BN$2,0,0,ROW()-1,60),ROW()-1,FALSE))</f>
        <v>8.5048911579999995</v>
      </c>
      <c r="Y285">
        <f ca="1">IF(AND(ISNUMBER($Y$729),$B$419=1),$Y$729,HLOOKUP(INDIRECT(ADDRESS(2,COLUMN())),OFFSET($BN$2,0,0,ROW()-1,60),ROW()-1,FALSE))</f>
        <v>7.3412258719999999</v>
      </c>
      <c r="Z285">
        <f ca="1">IF(AND(ISNUMBER($Z$729),$B$419=1),$Z$729,HLOOKUP(INDIRECT(ADDRESS(2,COLUMN())),OFFSET($BN$2,0,0,ROW()-1,60),ROW()-1,FALSE))</f>
        <v>6.3863682590000002</v>
      </c>
      <c r="AA285">
        <f ca="1">IF(AND(ISNUMBER($AA$729),$B$419=1),$AA$729,HLOOKUP(INDIRECT(ADDRESS(2,COLUMN())),OFFSET($BN$2,0,0,ROW()-1,60),ROW()-1,FALSE))</f>
        <v>9.5252746599999991</v>
      </c>
      <c r="AB285">
        <f ca="1">IF(AND(ISNUMBER($AB$729),$B$419=1),$AB$729,HLOOKUP(INDIRECT(ADDRESS(2,COLUMN())),OFFSET($BN$2,0,0,ROW()-1,60),ROW()-1,FALSE))</f>
        <v>6.1449627759999998</v>
      </c>
      <c r="AC285">
        <f ca="1">IF(AND(ISNUMBER($AC$729),$B$419=1),$AC$729,HLOOKUP(INDIRECT(ADDRESS(2,COLUMN())),OFFSET($BN$2,0,0,ROW()-1,60),ROW()-1,FALSE))</f>
        <v>6.4686824920000001</v>
      </c>
      <c r="AD285">
        <f ca="1">IF(AND(ISNUMBER($AD$729),$B$419=1),$AD$729,HLOOKUP(INDIRECT(ADDRESS(2,COLUMN())),OFFSET($BN$2,0,0,ROW()-1,60),ROW()-1,FALSE))</f>
        <v>5.9819555830000004</v>
      </c>
      <c r="AE285">
        <f ca="1">IF(AND(ISNUMBER($AE$729),$B$419=1),$AE$729,HLOOKUP(INDIRECT(ADDRESS(2,COLUMN())),OFFSET($BN$2,0,0,ROW()-1,60),ROW()-1,FALSE))</f>
        <v>5.1713537670000003</v>
      </c>
      <c r="AF285">
        <f ca="1">IF(AND(ISNUMBER($AF$729),$B$419=1),$AF$729,HLOOKUP(INDIRECT(ADDRESS(2,COLUMN())),OFFSET($BN$2,0,0,ROW()-1,60),ROW()-1,FALSE))</f>
        <v>10.25239023</v>
      </c>
      <c r="AG285">
        <f ca="1">IF(AND(ISNUMBER($AG$729),$B$419=1),$AG$729,HLOOKUP(INDIRECT(ADDRESS(2,COLUMN())),OFFSET($BN$2,0,0,ROW()-1,60),ROW()-1,FALSE))</f>
        <v>3.7754561660000001</v>
      </c>
      <c r="AH285">
        <f ca="1">IF(AND(ISNUMBER($AH$729),$B$419=1),$AH$729,HLOOKUP(INDIRECT(ADDRESS(2,COLUMN())),OFFSET($BN$2,0,0,ROW()-1,60),ROW()-1,FALSE))</f>
        <v>5.8144257650000002</v>
      </c>
      <c r="AI285">
        <f ca="1">IF(AND(ISNUMBER($AI$729),$B$419=1),$AI$729,HLOOKUP(INDIRECT(ADDRESS(2,COLUMN())),OFFSET($BN$2,0,0,ROW()-1,60),ROW()-1,FALSE))</f>
        <v>-164.5897707</v>
      </c>
      <c r="AJ285" t="str">
        <f ca="1">IF(AND(ISNUMBER($AJ$729),$B$419=1),$AJ$729,HLOOKUP(INDIRECT(ADDRESS(2,COLUMN())),OFFSET($BN$2,0,0,ROW()-1,60),ROW()-1,FALSE))</f>
        <v/>
      </c>
      <c r="AK285" t="str">
        <f ca="1">IF(AND(ISNUMBER($AK$729),$B$419=1),$AK$729,HLOOKUP(INDIRECT(ADDRESS(2,COLUMN())),OFFSET($BN$2,0,0,ROW()-1,60),ROW()-1,FALSE))</f>
        <v/>
      </c>
      <c r="AL285" t="str">
        <f ca="1">IF(AND(ISNUMBER($AL$729),$B$419=1),$AL$729,HLOOKUP(INDIRECT(ADDRESS(2,COLUMN())),OFFSET($BN$2,0,0,ROW()-1,60),ROW()-1,FALSE))</f>
        <v/>
      </c>
      <c r="AM285" t="str">
        <f ca="1">IF(AND(ISNUMBER($AM$729),$B$419=1),$AM$729,HLOOKUP(INDIRECT(ADDRESS(2,COLUMN())),OFFSET($BN$2,0,0,ROW()-1,60),ROW()-1,FALSE))</f>
        <v/>
      </c>
      <c r="AN285" t="str">
        <f ca="1">IF(AND(ISNUMBER($AN$729),$B$419=1),$AN$729,HLOOKUP(INDIRECT(ADDRESS(2,COLUMN())),OFFSET($BN$2,0,0,ROW()-1,60),ROW()-1,FALSE))</f>
        <v/>
      </c>
      <c r="AO285" t="str">
        <f ca="1">IF(AND(ISNUMBER($AO$729),$B$419=1),$AO$729,HLOOKUP(INDIRECT(ADDRESS(2,COLUMN())),OFFSET($BN$2,0,0,ROW()-1,60),ROW()-1,FALSE))</f>
        <v/>
      </c>
      <c r="AP285" t="str">
        <f ca="1">IF(AND(ISNUMBER($AP$729),$B$419=1),$AP$729,HLOOKUP(INDIRECT(ADDRESS(2,COLUMN())),OFFSET($BN$2,0,0,ROW()-1,60),ROW()-1,FALSE))</f>
        <v/>
      </c>
      <c r="AQ285" t="str">
        <f ca="1">IF(AND(ISNUMBER($AQ$729),$B$419=1),$AQ$729,HLOOKUP(INDIRECT(ADDRESS(2,COLUMN())),OFFSET($BN$2,0,0,ROW()-1,60),ROW()-1,FALSE))</f>
        <v/>
      </c>
      <c r="AR285" t="str">
        <f ca="1">IF(AND(ISNUMBER($AR$729),$B$419=1),$AR$729,HLOOKUP(INDIRECT(ADDRESS(2,COLUMN())),OFFSET($BN$2,0,0,ROW()-1,60),ROW()-1,FALSE))</f>
        <v/>
      </c>
      <c r="AS285" t="str">
        <f ca="1">IF(AND(ISNUMBER($AS$729),$B$419=1),$AS$729,HLOOKUP(INDIRECT(ADDRESS(2,COLUMN())),OFFSET($BN$2,0,0,ROW()-1,60),ROW()-1,FALSE))</f>
        <v/>
      </c>
      <c r="AT285" t="str">
        <f ca="1">IF(AND(ISNUMBER($AT$729),$B$419=1),$AT$729,HLOOKUP(INDIRECT(ADDRESS(2,COLUMN())),OFFSET($BN$2,0,0,ROW()-1,60),ROW()-1,FALSE))</f>
        <v/>
      </c>
      <c r="AU285" t="str">
        <f ca="1">IF(AND(ISNUMBER($AU$729),$B$419=1),$AU$729,HLOOKUP(INDIRECT(ADDRESS(2,COLUMN())),OFFSET($BN$2,0,0,ROW()-1,60),ROW()-1,FALSE))</f>
        <v/>
      </c>
      <c r="AV285" t="str">
        <f ca="1">IF(AND(ISNUMBER($AV$729),$B$419=1),$AV$729,HLOOKUP(INDIRECT(ADDRESS(2,COLUMN())),OFFSET($BN$2,0,0,ROW()-1,60),ROW()-1,FALSE))</f>
        <v/>
      </c>
      <c r="AW285" t="str">
        <f ca="1">IF(AND(ISNUMBER($AW$729),$B$419=1),$AW$729,HLOOKUP(INDIRECT(ADDRESS(2,COLUMN())),OFFSET($BN$2,0,0,ROW()-1,60),ROW()-1,FALSE))</f>
        <v/>
      </c>
      <c r="AX285" t="str">
        <f ca="1">IF(AND(ISNUMBER($AX$729),$B$419=1),$AX$729,HLOOKUP(INDIRECT(ADDRESS(2,COLUMN())),OFFSET($BN$2,0,0,ROW()-1,60),ROW()-1,FALSE))</f>
        <v/>
      </c>
      <c r="AY285" t="str">
        <f ca="1">IF(AND(ISNUMBER($AY$729),$B$419=1),$AY$729,HLOOKUP(INDIRECT(ADDRESS(2,COLUMN())),OFFSET($BN$2,0,0,ROW()-1,60),ROW()-1,FALSE))</f>
        <v/>
      </c>
      <c r="AZ285" t="str">
        <f ca="1">IF(AND(ISNUMBER($AZ$729),$B$419=1),$AZ$729,HLOOKUP(INDIRECT(ADDRESS(2,COLUMN())),OFFSET($BN$2,0,0,ROW()-1,60),ROW()-1,FALSE))</f>
        <v/>
      </c>
      <c r="BA285" t="str">
        <f ca="1">IF(AND(ISNUMBER($BA$729),$B$419=1),$BA$729,HLOOKUP(INDIRECT(ADDRESS(2,COLUMN())),OFFSET($BN$2,0,0,ROW()-1,60),ROW()-1,FALSE))</f>
        <v/>
      </c>
      <c r="BB285" t="str">
        <f ca="1">IF(AND(ISNUMBER($BB$729),$B$419=1),$BB$729,HLOOKUP(INDIRECT(ADDRESS(2,COLUMN())),OFFSET($BN$2,0,0,ROW()-1,60),ROW()-1,FALSE))</f>
        <v/>
      </c>
      <c r="BC285" t="str">
        <f ca="1">IF(AND(ISNUMBER($BC$729),$B$419=1),$BC$729,HLOOKUP(INDIRECT(ADDRESS(2,COLUMN())),OFFSET($BN$2,0,0,ROW()-1,60),ROW()-1,FALSE))</f>
        <v/>
      </c>
      <c r="BD285" t="str">
        <f ca="1">IF(AND(ISNUMBER($BD$729),$B$419=1),$BD$729,HLOOKUP(INDIRECT(ADDRESS(2,COLUMN())),OFFSET($BN$2,0,0,ROW()-1,60),ROW()-1,FALSE))</f>
        <v/>
      </c>
      <c r="BE285" t="str">
        <f ca="1">IF(AND(ISNUMBER($BE$729),$B$419=1),$BE$729,HLOOKUP(INDIRECT(ADDRESS(2,COLUMN())),OFFSET($BN$2,0,0,ROW()-1,60),ROW()-1,FALSE))</f>
        <v/>
      </c>
      <c r="BF285" t="str">
        <f ca="1">IF(AND(ISNUMBER($BF$729),$B$419=1),$BF$729,HLOOKUP(INDIRECT(ADDRESS(2,COLUMN())),OFFSET($BN$2,0,0,ROW()-1,60),ROW()-1,FALSE))</f>
        <v/>
      </c>
      <c r="BG285" t="str">
        <f ca="1">IF(AND(ISNUMBER($BG$729),$B$419=1),$BG$729,HLOOKUP(INDIRECT(ADDRESS(2,COLUMN())),OFFSET($BN$2,0,0,ROW()-1,60),ROW()-1,FALSE))</f>
        <v/>
      </c>
      <c r="BH285" t="str">
        <f ca="1">IF(AND(ISNUMBER($BH$729),$B$419=1),$BH$729,HLOOKUP(INDIRECT(ADDRESS(2,COLUMN())),OFFSET($BN$2,0,0,ROW()-1,60),ROW()-1,FALSE))</f>
        <v/>
      </c>
      <c r="BI285" t="str">
        <f ca="1">IF(AND(ISNUMBER($BI$729),$B$419=1),$BI$729,HLOOKUP(INDIRECT(ADDRESS(2,COLUMN())),OFFSET($BN$2,0,0,ROW()-1,60),ROW()-1,FALSE))</f>
        <v/>
      </c>
      <c r="BJ285" t="str">
        <f ca="1">IF(AND(ISNUMBER($BJ$729),$B$419=1),$BJ$729,HLOOKUP(INDIRECT(ADDRESS(2,COLUMN())),OFFSET($BN$2,0,0,ROW()-1,60),ROW()-1,FALSE))</f>
        <v/>
      </c>
      <c r="BK285" t="str">
        <f ca="1">IF(AND(ISNUMBER($BK$729),$B$419=1),$BK$729,HLOOKUP(INDIRECT(ADDRESS(2,COLUMN())),OFFSET($BN$2,0,0,ROW()-1,60),ROW()-1,FALSE))</f>
        <v/>
      </c>
      <c r="BL285" t="str">
        <f ca="1">IF(AND(ISNUMBER($BL$729),$B$419=1),$BL$729,HLOOKUP(INDIRECT(ADDRESS(2,COLUMN())),OFFSET($BN$2,0,0,ROW()-1,60),ROW()-1,FALSE))</f>
        <v/>
      </c>
      <c r="BM285" t="str">
        <f ca="1">IF(AND(ISNUMBER($BM$729),$B$419=1),$BM$729,HLOOKUP(INDIRECT(ADDRESS(2,COLUMN())),OFFSET($BN$2,0,0,ROW()-1,60),ROW()-1,FALSE))</f>
        <v/>
      </c>
      <c r="BN285" t="str">
        <f>""</f>
        <v/>
      </c>
      <c r="BO285">
        <f>7.769509428</f>
        <v>7.7695094280000001</v>
      </c>
      <c r="BP285">
        <f>7.389370353</f>
        <v>7.3893703530000003</v>
      </c>
      <c r="BQ285">
        <f>7.454873422</f>
        <v>7.4548734220000004</v>
      </c>
      <c r="BR285">
        <f>7.121476112</f>
        <v>7.1214761119999999</v>
      </c>
      <c r="BS285">
        <f>6.906029119</f>
        <v>6.9060291190000003</v>
      </c>
      <c r="BT285">
        <f>6.77815452</f>
        <v>6.7781545200000002</v>
      </c>
      <c r="BU285">
        <f>7.887391231</f>
        <v>7.8873912309999996</v>
      </c>
      <c r="BV285">
        <f>7.326106958</f>
        <v>7.3261069579999996</v>
      </c>
      <c r="BW285">
        <f>7.470919166</f>
        <v>7.4709191659999998</v>
      </c>
      <c r="BX285">
        <f>7.052425211</f>
        <v>7.0524252110000001</v>
      </c>
      <c r="BY285">
        <f>7.310546328</f>
        <v>7.310546328</v>
      </c>
      <c r="BZ285">
        <f>7.442861402</f>
        <v>7.4428614020000001</v>
      </c>
      <c r="CA285">
        <f>7.167756062</f>
        <v>7.1677560619999996</v>
      </c>
      <c r="CB285">
        <f>6.896285684</f>
        <v>6.8962856840000004</v>
      </c>
      <c r="CC285">
        <f>7.929819582</f>
        <v>7.9298195820000004</v>
      </c>
      <c r="CD285">
        <f>8.7545024</f>
        <v>8.7545023999999998</v>
      </c>
      <c r="CE285">
        <f>9.003245563</f>
        <v>9.0032455630000001</v>
      </c>
      <c r="CF285">
        <f>8.504891158</f>
        <v>8.5048911579999995</v>
      </c>
      <c r="CG285">
        <f>7.341225872</f>
        <v>7.3412258719999999</v>
      </c>
      <c r="CH285">
        <f>6.386368259</f>
        <v>6.3863682590000002</v>
      </c>
      <c r="CI285">
        <f>9.52527466</f>
        <v>9.5252746599999991</v>
      </c>
      <c r="CJ285">
        <f>6.144962776</f>
        <v>6.1449627759999998</v>
      </c>
      <c r="CK285">
        <f>6.468682492</f>
        <v>6.4686824920000001</v>
      </c>
      <c r="CL285">
        <f>5.981955583</f>
        <v>5.9819555830000004</v>
      </c>
      <c r="CM285">
        <f>5.171353767</f>
        <v>5.1713537670000003</v>
      </c>
      <c r="CN285">
        <f>10.25239023</f>
        <v>10.25239023</v>
      </c>
      <c r="CO285">
        <f>3.775456166</f>
        <v>3.7754561660000001</v>
      </c>
      <c r="CP285">
        <f>5.814425765</f>
        <v>5.8144257650000002</v>
      </c>
      <c r="CQ285">
        <f>-164.5897707</f>
        <v>-164.5897707</v>
      </c>
      <c r="CR285" t="str">
        <f>""</f>
        <v/>
      </c>
      <c r="CS285" t="str">
        <f>""</f>
        <v/>
      </c>
      <c r="CT285" t="str">
        <f>""</f>
        <v/>
      </c>
      <c r="CU285" t="str">
        <f>""</f>
        <v/>
      </c>
      <c r="CV285" t="str">
        <f>""</f>
        <v/>
      </c>
      <c r="CW285" t="str">
        <f>""</f>
        <v/>
      </c>
      <c r="CX285" t="str">
        <f>""</f>
        <v/>
      </c>
      <c r="CY285" t="str">
        <f>""</f>
        <v/>
      </c>
      <c r="CZ285" t="str">
        <f>""</f>
        <v/>
      </c>
      <c r="DA285" t="str">
        <f>""</f>
        <v/>
      </c>
      <c r="DB285" t="str">
        <f>""</f>
        <v/>
      </c>
      <c r="DC285" t="str">
        <f>""</f>
        <v/>
      </c>
      <c r="DD285" t="str">
        <f>""</f>
        <v/>
      </c>
      <c r="DE285" t="str">
        <f>""</f>
        <v/>
      </c>
      <c r="DF285" t="str">
        <f>""</f>
        <v/>
      </c>
      <c r="DG285" t="str">
        <f>""</f>
        <v/>
      </c>
      <c r="DH285" t="str">
        <f>""</f>
        <v/>
      </c>
      <c r="DI285" t="str">
        <f>""</f>
        <v/>
      </c>
      <c r="DJ285" t="str">
        <f>""</f>
        <v/>
      </c>
      <c r="DK285" t="str">
        <f>""</f>
        <v/>
      </c>
      <c r="DL285" t="str">
        <f>""</f>
        <v/>
      </c>
      <c r="DM285" t="str">
        <f>""</f>
        <v/>
      </c>
      <c r="DN285" t="str">
        <f>""</f>
        <v/>
      </c>
      <c r="DO285" t="str">
        <f>""</f>
        <v/>
      </c>
      <c r="DP285" t="str">
        <f>""</f>
        <v/>
      </c>
      <c r="DQ285" t="str">
        <f>""</f>
        <v/>
      </c>
      <c r="DR285" t="str">
        <f>""</f>
        <v/>
      </c>
      <c r="DS285" t="str">
        <f>""</f>
        <v/>
      </c>
      <c r="DT285" t="str">
        <f>""</f>
        <v/>
      </c>
      <c r="DU285" t="str">
        <f>""</f>
        <v/>
      </c>
    </row>
    <row r="286" spans="1:125">
      <c r="A286" t="str">
        <f>"    Retail Properties of America I"</f>
        <v xml:space="preserve">    Retail Properties of America I</v>
      </c>
      <c r="B286" t="str">
        <f>"RPAI US Equity"</f>
        <v>RPAI US Equity</v>
      </c>
      <c r="C286" t="str">
        <f t="shared" si="51"/>
        <v>F1178</v>
      </c>
      <c r="D286" t="str">
        <f t="shared" si="52"/>
        <v>NET_DEBT_EBITDA_ADJUSTED</v>
      </c>
      <c r="E286" t="str">
        <f t="shared" si="53"/>
        <v>动态</v>
      </c>
      <c r="F286" t="str">
        <f ca="1">IF(AND(ISNUMBER($F$730),$B$419=1),$F$730,HLOOKUP(INDIRECT(ADDRESS(2,COLUMN())),OFFSET($BN$2,0,0,ROW()-1,60),ROW()-1,FALSE))</f>
        <v/>
      </c>
      <c r="G286">
        <f ca="1">IF(AND(ISNUMBER($G$730),$B$419=1),$G$730,HLOOKUP(INDIRECT(ADDRESS(2,COLUMN())),OFFSET($BN$2,0,0,ROW()-1,60),ROW()-1,FALSE))</f>
        <v>5.2132085650000004</v>
      </c>
      <c r="H286">
        <f ca="1">IF(AND(ISNUMBER($H$730),$B$419=1),$H$730,HLOOKUP(INDIRECT(ADDRESS(2,COLUMN())),OFFSET($BN$2,0,0,ROW()-1,60),ROW()-1,FALSE))</f>
        <v>4.9244882839999997</v>
      </c>
      <c r="I286">
        <f ca="1">IF(AND(ISNUMBER($I$730),$B$419=1),$I$730,HLOOKUP(INDIRECT(ADDRESS(2,COLUMN())),OFFSET($BN$2,0,0,ROW()-1,60),ROW()-1,FALSE))</f>
        <v>5.2196902410000003</v>
      </c>
      <c r="J286">
        <f ca="1">IF(AND(ISNUMBER($J$730),$B$419=1),$J$730,HLOOKUP(INDIRECT(ADDRESS(2,COLUMN())),OFFSET($BN$2,0,0,ROW()-1,60),ROW()-1,FALSE))</f>
        <v>5.5750295520000002</v>
      </c>
      <c r="K286">
        <f ca="1">IF(AND(ISNUMBER($K$730),$B$419=1),$K$730,HLOOKUP(INDIRECT(ADDRESS(2,COLUMN())),OFFSET($BN$2,0,0,ROW()-1,60),ROW()-1,FALSE))</f>
        <v>5.2427429959999996</v>
      </c>
      <c r="L286">
        <f ca="1">IF(AND(ISNUMBER($L$730),$B$419=1),$L$730,HLOOKUP(INDIRECT(ADDRESS(2,COLUMN())),OFFSET($BN$2,0,0,ROW()-1,60),ROW()-1,FALSE))</f>
        <v>5.2935880449999999</v>
      </c>
      <c r="M286">
        <f ca="1">IF(AND(ISNUMBER($M$730),$B$419=1),$M$730,HLOOKUP(INDIRECT(ADDRESS(2,COLUMN())),OFFSET($BN$2,0,0,ROW()-1,60),ROW()-1,FALSE))</f>
        <v>5.9851217859999997</v>
      </c>
      <c r="N286">
        <f ca="1">IF(AND(ISNUMBER($N$730),$B$419=1),$N$730,HLOOKUP(INDIRECT(ADDRESS(2,COLUMN())),OFFSET($BN$2,0,0,ROW()-1,60),ROW()-1,FALSE))</f>
        <v>5.7448722539999997</v>
      </c>
      <c r="O286">
        <f ca="1">IF(AND(ISNUMBER($O$730),$B$419=1),$O$730,HLOOKUP(INDIRECT(ADDRESS(2,COLUMN())),OFFSET($BN$2,0,0,ROW()-1,60),ROW()-1,FALSE))</f>
        <v>5.6288017720000001</v>
      </c>
      <c r="P286">
        <f ca="1">IF(AND(ISNUMBER($P$730),$B$419=1),$P$730,HLOOKUP(INDIRECT(ADDRESS(2,COLUMN())),OFFSET($BN$2,0,0,ROW()-1,60),ROW()-1,FALSE))</f>
        <v>5.7074039760000002</v>
      </c>
      <c r="Q286">
        <f ca="1">IF(AND(ISNUMBER($Q$730),$B$419=1),$Q$730,HLOOKUP(INDIRECT(ADDRESS(2,COLUMN())),OFFSET($BN$2,0,0,ROW()-1,60),ROW()-1,FALSE))</f>
        <v>6.2258585550000003</v>
      </c>
      <c r="R286">
        <f ca="1">IF(AND(ISNUMBER($R$730),$B$419=1),$R$730,HLOOKUP(INDIRECT(ADDRESS(2,COLUMN())),OFFSET($BN$2,0,0,ROW()-1,60),ROW()-1,FALSE))</f>
        <v>6.338407707</v>
      </c>
      <c r="S286">
        <f ca="1">IF(AND(ISNUMBER($S$730),$B$419=1),$S$730,HLOOKUP(INDIRECT(ADDRESS(2,COLUMN())),OFFSET($BN$2,0,0,ROW()-1,60),ROW()-1,FALSE))</f>
        <v>5.6860117600000004</v>
      </c>
      <c r="T286">
        <f ca="1">IF(AND(ISNUMBER($T$730),$B$419=1),$T$730,HLOOKUP(INDIRECT(ADDRESS(2,COLUMN())),OFFSET($BN$2,0,0,ROW()-1,60),ROW()-1,FALSE))</f>
        <v>5.9839578070000004</v>
      </c>
      <c r="U286">
        <f ca="1">IF(AND(ISNUMBER($U$730),$B$419=1),$U$730,HLOOKUP(INDIRECT(ADDRESS(2,COLUMN())),OFFSET($BN$2,0,0,ROW()-1,60),ROW()-1,FALSE))</f>
        <v>6.8199336810000002</v>
      </c>
      <c r="V286">
        <f ca="1">IF(AND(ISNUMBER($V$730),$B$419=1),$V$730,HLOOKUP(INDIRECT(ADDRESS(2,COLUMN())),OFFSET($BN$2,0,0,ROW()-1,60),ROW()-1,FALSE))</f>
        <v>6.3924103250000002</v>
      </c>
      <c r="W286">
        <f ca="1">IF(AND(ISNUMBER($W$730),$B$419=1),$W$730,HLOOKUP(INDIRECT(ADDRESS(2,COLUMN())),OFFSET($BN$2,0,0,ROW()-1,60),ROW()-1,FALSE))</f>
        <v>6.5670417820000004</v>
      </c>
      <c r="X286">
        <f ca="1">IF(AND(ISNUMBER($X$730),$B$419=1),$X$730,HLOOKUP(INDIRECT(ADDRESS(2,COLUMN())),OFFSET($BN$2,0,0,ROW()-1,60),ROW()-1,FALSE))</f>
        <v>6.825322839</v>
      </c>
      <c r="Y286">
        <f ca="1">IF(AND(ISNUMBER($Y$730),$B$419=1),$Y$730,HLOOKUP(INDIRECT(ADDRESS(2,COLUMN())),OFFSET($BN$2,0,0,ROW()-1,60),ROW()-1,FALSE))</f>
        <v>6.4339334319999999</v>
      </c>
      <c r="Z286">
        <f ca="1">IF(AND(ISNUMBER($Z$730),$B$419=1),$Z$730,HLOOKUP(INDIRECT(ADDRESS(2,COLUMN())),OFFSET($BN$2,0,0,ROW()-1,60),ROW()-1,FALSE))</f>
        <v>6.6993754279999997</v>
      </c>
      <c r="AA286">
        <f ca="1">IF(AND(ISNUMBER($AA$730),$B$419=1),$AA$730,HLOOKUP(INDIRECT(ADDRESS(2,COLUMN())),OFFSET($BN$2,0,0,ROW()-1,60),ROW()-1,FALSE))</f>
        <v>6.5510935750000003</v>
      </c>
      <c r="AB286">
        <f ca="1">IF(AND(ISNUMBER($AB$730),$B$419=1),$AB$730,HLOOKUP(INDIRECT(ADDRESS(2,COLUMN())),OFFSET($BN$2,0,0,ROW()-1,60),ROW()-1,FALSE))</f>
        <v>7.5027453189999997</v>
      </c>
      <c r="AC286">
        <f ca="1">IF(AND(ISNUMBER($AC$730),$B$419=1),$AC$730,HLOOKUP(INDIRECT(ADDRESS(2,COLUMN())),OFFSET($BN$2,0,0,ROW()-1,60),ROW()-1,FALSE))</f>
        <v>7.9096900149999998</v>
      </c>
      <c r="AD286">
        <f ca="1">IF(AND(ISNUMBER($AD$730),$B$419=1),$AD$730,HLOOKUP(INDIRECT(ADDRESS(2,COLUMN())),OFFSET($BN$2,0,0,ROW()-1,60),ROW()-1,FALSE))</f>
        <v>8.666995193</v>
      </c>
      <c r="AE286">
        <f ca="1">IF(AND(ISNUMBER($AE$730),$B$419=1),$AE$730,HLOOKUP(INDIRECT(ADDRESS(2,COLUMN())),OFFSET($BN$2,0,0,ROW()-1,60),ROW()-1,FALSE))</f>
        <v>9.4555655430000005</v>
      </c>
      <c r="AF286">
        <f ca="1">IF(AND(ISNUMBER($AF$730),$B$419=1),$AF$730,HLOOKUP(INDIRECT(ADDRESS(2,COLUMN())),OFFSET($BN$2,0,0,ROW()-1,60),ROW()-1,FALSE))</f>
        <v>8.9343352140000007</v>
      </c>
      <c r="AG286">
        <f ca="1">IF(AND(ISNUMBER($AG$730),$B$419=1),$AG$730,HLOOKUP(INDIRECT(ADDRESS(2,COLUMN())),OFFSET($BN$2,0,0,ROW()-1,60),ROW()-1,FALSE))</f>
        <v>9.1921234799999993</v>
      </c>
      <c r="AH286" t="str">
        <f ca="1">IF(AND(ISNUMBER($AH$730),$B$419=1),$AH$730,HLOOKUP(INDIRECT(ADDRESS(2,COLUMN())),OFFSET($BN$2,0,0,ROW()-1,60),ROW()-1,FALSE))</f>
        <v/>
      </c>
      <c r="AI286" t="str">
        <f ca="1">IF(AND(ISNUMBER($AI$730),$B$419=1),$AI$730,HLOOKUP(INDIRECT(ADDRESS(2,COLUMN())),OFFSET($BN$2,0,0,ROW()-1,60),ROW()-1,FALSE))</f>
        <v/>
      </c>
      <c r="AJ286" t="str">
        <f ca="1">IF(AND(ISNUMBER($AJ$730),$B$419=1),$AJ$730,HLOOKUP(INDIRECT(ADDRESS(2,COLUMN())),OFFSET($BN$2,0,0,ROW()-1,60),ROW()-1,FALSE))</f>
        <v/>
      </c>
      <c r="AK286" t="str">
        <f ca="1">IF(AND(ISNUMBER($AK$730),$B$419=1),$AK$730,HLOOKUP(INDIRECT(ADDRESS(2,COLUMN())),OFFSET($BN$2,0,0,ROW()-1,60),ROW()-1,FALSE))</f>
        <v/>
      </c>
      <c r="AL286" t="str">
        <f ca="1">IF(AND(ISNUMBER($AL$730),$B$419=1),$AL$730,HLOOKUP(INDIRECT(ADDRESS(2,COLUMN())),OFFSET($BN$2,0,0,ROW()-1,60),ROW()-1,FALSE))</f>
        <v/>
      </c>
      <c r="AM286" t="str">
        <f ca="1">IF(AND(ISNUMBER($AM$730),$B$419=1),$AM$730,HLOOKUP(INDIRECT(ADDRESS(2,COLUMN())),OFFSET($BN$2,0,0,ROW()-1,60),ROW()-1,FALSE))</f>
        <v/>
      </c>
      <c r="AN286" t="str">
        <f ca="1">IF(AND(ISNUMBER($AN$730),$B$419=1),$AN$730,HLOOKUP(INDIRECT(ADDRESS(2,COLUMN())),OFFSET($BN$2,0,0,ROW()-1,60),ROW()-1,FALSE))</f>
        <v/>
      </c>
      <c r="AO286" t="str">
        <f ca="1">IF(AND(ISNUMBER($AO$730),$B$419=1),$AO$730,HLOOKUP(INDIRECT(ADDRESS(2,COLUMN())),OFFSET($BN$2,0,0,ROW()-1,60),ROW()-1,FALSE))</f>
        <v/>
      </c>
      <c r="AP286" t="str">
        <f ca="1">IF(AND(ISNUMBER($AP$730),$B$419=1),$AP$730,HLOOKUP(INDIRECT(ADDRESS(2,COLUMN())),OFFSET($BN$2,0,0,ROW()-1,60),ROW()-1,FALSE))</f>
        <v/>
      </c>
      <c r="AQ286" t="str">
        <f ca="1">IF(AND(ISNUMBER($AQ$730),$B$419=1),$AQ$730,HLOOKUP(INDIRECT(ADDRESS(2,COLUMN())),OFFSET($BN$2,0,0,ROW()-1,60),ROW()-1,FALSE))</f>
        <v/>
      </c>
      <c r="AR286" t="str">
        <f ca="1">IF(AND(ISNUMBER($AR$730),$B$419=1),$AR$730,HLOOKUP(INDIRECT(ADDRESS(2,COLUMN())),OFFSET($BN$2,0,0,ROW()-1,60),ROW()-1,FALSE))</f>
        <v/>
      </c>
      <c r="AS286" t="str">
        <f ca="1">IF(AND(ISNUMBER($AS$730),$B$419=1),$AS$730,HLOOKUP(INDIRECT(ADDRESS(2,COLUMN())),OFFSET($BN$2,0,0,ROW()-1,60),ROW()-1,FALSE))</f>
        <v/>
      </c>
      <c r="AT286" t="str">
        <f ca="1">IF(AND(ISNUMBER($AT$730),$B$419=1),$AT$730,HLOOKUP(INDIRECT(ADDRESS(2,COLUMN())),OFFSET($BN$2,0,0,ROW()-1,60),ROW()-1,FALSE))</f>
        <v/>
      </c>
      <c r="AU286" t="str">
        <f ca="1">IF(AND(ISNUMBER($AU$730),$B$419=1),$AU$730,HLOOKUP(INDIRECT(ADDRESS(2,COLUMN())),OFFSET($BN$2,0,0,ROW()-1,60),ROW()-1,FALSE))</f>
        <v/>
      </c>
      <c r="AV286" t="str">
        <f ca="1">IF(AND(ISNUMBER($AV$730),$B$419=1),$AV$730,HLOOKUP(INDIRECT(ADDRESS(2,COLUMN())),OFFSET($BN$2,0,0,ROW()-1,60),ROW()-1,FALSE))</f>
        <v/>
      </c>
      <c r="AW286" t="str">
        <f ca="1">IF(AND(ISNUMBER($AW$730),$B$419=1),$AW$730,HLOOKUP(INDIRECT(ADDRESS(2,COLUMN())),OFFSET($BN$2,0,0,ROW()-1,60),ROW()-1,FALSE))</f>
        <v/>
      </c>
      <c r="AX286" t="str">
        <f ca="1">IF(AND(ISNUMBER($AX$730),$B$419=1),$AX$730,HLOOKUP(INDIRECT(ADDRESS(2,COLUMN())),OFFSET($BN$2,0,0,ROW()-1,60),ROW()-1,FALSE))</f>
        <v/>
      </c>
      <c r="AY286" t="str">
        <f ca="1">IF(AND(ISNUMBER($AY$730),$B$419=1),$AY$730,HLOOKUP(INDIRECT(ADDRESS(2,COLUMN())),OFFSET($BN$2,0,0,ROW()-1,60),ROW()-1,FALSE))</f>
        <v/>
      </c>
      <c r="AZ286" t="str">
        <f ca="1">IF(AND(ISNUMBER($AZ$730),$B$419=1),$AZ$730,HLOOKUP(INDIRECT(ADDRESS(2,COLUMN())),OFFSET($BN$2,0,0,ROW()-1,60),ROW()-1,FALSE))</f>
        <v/>
      </c>
      <c r="BA286" t="str">
        <f ca="1">IF(AND(ISNUMBER($BA$730),$B$419=1),$BA$730,HLOOKUP(INDIRECT(ADDRESS(2,COLUMN())),OFFSET($BN$2,0,0,ROW()-1,60),ROW()-1,FALSE))</f>
        <v/>
      </c>
      <c r="BB286" t="str">
        <f ca="1">IF(AND(ISNUMBER($BB$730),$B$419=1),$BB$730,HLOOKUP(INDIRECT(ADDRESS(2,COLUMN())),OFFSET($BN$2,0,0,ROW()-1,60),ROW()-1,FALSE))</f>
        <v/>
      </c>
      <c r="BC286" t="str">
        <f ca="1">IF(AND(ISNUMBER($BC$730),$B$419=1),$BC$730,HLOOKUP(INDIRECT(ADDRESS(2,COLUMN())),OFFSET($BN$2,0,0,ROW()-1,60),ROW()-1,FALSE))</f>
        <v/>
      </c>
      <c r="BD286" t="str">
        <f ca="1">IF(AND(ISNUMBER($BD$730),$B$419=1),$BD$730,HLOOKUP(INDIRECT(ADDRESS(2,COLUMN())),OFFSET($BN$2,0,0,ROW()-1,60),ROW()-1,FALSE))</f>
        <v/>
      </c>
      <c r="BE286" t="str">
        <f ca="1">IF(AND(ISNUMBER($BE$730),$B$419=1),$BE$730,HLOOKUP(INDIRECT(ADDRESS(2,COLUMN())),OFFSET($BN$2,0,0,ROW()-1,60),ROW()-1,FALSE))</f>
        <v/>
      </c>
      <c r="BF286" t="str">
        <f ca="1">IF(AND(ISNUMBER($BF$730),$B$419=1),$BF$730,HLOOKUP(INDIRECT(ADDRESS(2,COLUMN())),OFFSET($BN$2,0,0,ROW()-1,60),ROW()-1,FALSE))</f>
        <v/>
      </c>
      <c r="BG286" t="str">
        <f ca="1">IF(AND(ISNUMBER($BG$730),$B$419=1),$BG$730,HLOOKUP(INDIRECT(ADDRESS(2,COLUMN())),OFFSET($BN$2,0,0,ROW()-1,60),ROW()-1,FALSE))</f>
        <v/>
      </c>
      <c r="BH286" t="str">
        <f ca="1">IF(AND(ISNUMBER($BH$730),$B$419=1),$BH$730,HLOOKUP(INDIRECT(ADDRESS(2,COLUMN())),OFFSET($BN$2,0,0,ROW()-1,60),ROW()-1,FALSE))</f>
        <v/>
      </c>
      <c r="BI286" t="str">
        <f ca="1">IF(AND(ISNUMBER($BI$730),$B$419=1),$BI$730,HLOOKUP(INDIRECT(ADDRESS(2,COLUMN())),OFFSET($BN$2,0,0,ROW()-1,60),ROW()-1,FALSE))</f>
        <v/>
      </c>
      <c r="BJ286" t="str">
        <f ca="1">IF(AND(ISNUMBER($BJ$730),$B$419=1),$BJ$730,HLOOKUP(INDIRECT(ADDRESS(2,COLUMN())),OFFSET($BN$2,0,0,ROW()-1,60),ROW()-1,FALSE))</f>
        <v/>
      </c>
      <c r="BK286" t="str">
        <f ca="1">IF(AND(ISNUMBER($BK$730),$B$419=1),$BK$730,HLOOKUP(INDIRECT(ADDRESS(2,COLUMN())),OFFSET($BN$2,0,0,ROW()-1,60),ROW()-1,FALSE))</f>
        <v/>
      </c>
      <c r="BL286" t="str">
        <f ca="1">IF(AND(ISNUMBER($BL$730),$B$419=1),$BL$730,HLOOKUP(INDIRECT(ADDRESS(2,COLUMN())),OFFSET($BN$2,0,0,ROW()-1,60),ROW()-1,FALSE))</f>
        <v/>
      </c>
      <c r="BM286" t="str">
        <f ca="1">IF(AND(ISNUMBER($BM$730),$B$419=1),$BM$730,HLOOKUP(INDIRECT(ADDRESS(2,COLUMN())),OFFSET($BN$2,0,0,ROW()-1,60),ROW()-1,FALSE))</f>
        <v/>
      </c>
      <c r="BN286" t="str">
        <f>""</f>
        <v/>
      </c>
      <c r="BO286">
        <f>5.213208565</f>
        <v>5.2132085650000004</v>
      </c>
      <c r="BP286">
        <f>4.924488284</f>
        <v>4.9244882839999997</v>
      </c>
      <c r="BQ286">
        <f>5.219690241</f>
        <v>5.2196902410000003</v>
      </c>
      <c r="BR286">
        <f>5.575029552</f>
        <v>5.5750295520000002</v>
      </c>
      <c r="BS286">
        <f>5.242742996</f>
        <v>5.2427429959999996</v>
      </c>
      <c r="BT286">
        <f>5.293588045</f>
        <v>5.2935880449999999</v>
      </c>
      <c r="BU286">
        <f>5.985121786</f>
        <v>5.9851217859999997</v>
      </c>
      <c r="BV286">
        <f>5.744872254</f>
        <v>5.7448722539999997</v>
      </c>
      <c r="BW286">
        <f>5.628801772</f>
        <v>5.6288017720000001</v>
      </c>
      <c r="BX286">
        <f>5.707403976</f>
        <v>5.7074039760000002</v>
      </c>
      <c r="BY286">
        <f>6.225858555</f>
        <v>6.2258585550000003</v>
      </c>
      <c r="BZ286">
        <f>6.338407707</f>
        <v>6.338407707</v>
      </c>
      <c r="CA286">
        <f>5.68601176</f>
        <v>5.6860117600000004</v>
      </c>
      <c r="CB286">
        <f>5.983957807</f>
        <v>5.9839578070000004</v>
      </c>
      <c r="CC286">
        <f>6.819933681</f>
        <v>6.8199336810000002</v>
      </c>
      <c r="CD286">
        <f>6.392410325</f>
        <v>6.3924103250000002</v>
      </c>
      <c r="CE286">
        <f>6.567041782</f>
        <v>6.5670417820000004</v>
      </c>
      <c r="CF286">
        <f>6.825322839</f>
        <v>6.825322839</v>
      </c>
      <c r="CG286">
        <f>6.433933432</f>
        <v>6.4339334319999999</v>
      </c>
      <c r="CH286">
        <f>6.699375428</f>
        <v>6.6993754279999997</v>
      </c>
      <c r="CI286">
        <f>6.551093575</f>
        <v>6.5510935750000003</v>
      </c>
      <c r="CJ286">
        <f>7.502745319</f>
        <v>7.5027453189999997</v>
      </c>
      <c r="CK286">
        <f>7.909690015</f>
        <v>7.9096900149999998</v>
      </c>
      <c r="CL286">
        <f>8.666995193</f>
        <v>8.666995193</v>
      </c>
      <c r="CM286">
        <f>9.455565543</f>
        <v>9.4555655430000005</v>
      </c>
      <c r="CN286">
        <f>8.934335214</f>
        <v>8.9343352140000007</v>
      </c>
      <c r="CO286">
        <f>9.19212348</f>
        <v>9.1921234799999993</v>
      </c>
      <c r="CP286" t="str">
        <f>""</f>
        <v/>
      </c>
      <c r="CQ286" t="str">
        <f>""</f>
        <v/>
      </c>
      <c r="CR286" t="str">
        <f>""</f>
        <v/>
      </c>
      <c r="CS286" t="str">
        <f>""</f>
        <v/>
      </c>
      <c r="CT286" t="str">
        <f>""</f>
        <v/>
      </c>
      <c r="CU286" t="str">
        <f>""</f>
        <v/>
      </c>
      <c r="CV286" t="str">
        <f>""</f>
        <v/>
      </c>
      <c r="CW286" t="str">
        <f>""</f>
        <v/>
      </c>
      <c r="CX286" t="str">
        <f>""</f>
        <v/>
      </c>
      <c r="CY286" t="str">
        <f>""</f>
        <v/>
      </c>
      <c r="CZ286" t="str">
        <f>""</f>
        <v/>
      </c>
      <c r="DA286" t="str">
        <f>""</f>
        <v/>
      </c>
      <c r="DB286" t="str">
        <f>""</f>
        <v/>
      </c>
      <c r="DC286" t="str">
        <f>""</f>
        <v/>
      </c>
      <c r="DD286" t="str">
        <f>""</f>
        <v/>
      </c>
      <c r="DE286" t="str">
        <f>""</f>
        <v/>
      </c>
      <c r="DF286" t="str">
        <f>""</f>
        <v/>
      </c>
      <c r="DG286" t="str">
        <f>""</f>
        <v/>
      </c>
      <c r="DH286" t="str">
        <f>""</f>
        <v/>
      </c>
      <c r="DI286" t="str">
        <f>""</f>
        <v/>
      </c>
      <c r="DJ286" t="str">
        <f>""</f>
        <v/>
      </c>
      <c r="DK286" t="str">
        <f>""</f>
        <v/>
      </c>
      <c r="DL286" t="str">
        <f>""</f>
        <v/>
      </c>
      <c r="DM286" t="str">
        <f>""</f>
        <v/>
      </c>
      <c r="DN286" t="str">
        <f>""</f>
        <v/>
      </c>
      <c r="DO286" t="str">
        <f>""</f>
        <v/>
      </c>
      <c r="DP286" t="str">
        <f>""</f>
        <v/>
      </c>
      <c r="DQ286" t="str">
        <f>""</f>
        <v/>
      </c>
      <c r="DR286" t="str">
        <f>""</f>
        <v/>
      </c>
      <c r="DS286" t="str">
        <f>""</f>
        <v/>
      </c>
      <c r="DT286" t="str">
        <f>""</f>
        <v/>
      </c>
      <c r="DU286" t="str">
        <f>""</f>
        <v/>
      </c>
    </row>
    <row r="287" spans="1:125">
      <c r="A287" t="str">
        <f>"    Simon Property Group Inc"</f>
        <v xml:space="preserve">    Simon Property Group Inc</v>
      </c>
      <c r="B287" t="str">
        <f>"SPG US Equity"</f>
        <v>SPG US Equity</v>
      </c>
      <c r="C287" t="str">
        <f t="shared" si="51"/>
        <v>F1178</v>
      </c>
      <c r="D287" t="str">
        <f t="shared" si="52"/>
        <v>NET_DEBT_EBITDA_ADJUSTED</v>
      </c>
      <c r="E287" t="str">
        <f t="shared" si="53"/>
        <v>动态</v>
      </c>
      <c r="F287" t="str">
        <f ca="1">IF(AND(ISNUMBER($F$731),$B$419=1),$F$731,HLOOKUP(INDIRECT(ADDRESS(2,COLUMN())),OFFSET($BN$2,0,0,ROW()-1,60),ROW()-1,FALSE))</f>
        <v/>
      </c>
      <c r="G287">
        <f ca="1">IF(AND(ISNUMBER($G$731),$B$419=1),$G$731,HLOOKUP(INDIRECT(ADDRESS(2,COLUMN())),OFFSET($BN$2,0,0,ROW()-1,60),ROW()-1,FALSE))</f>
        <v>5.563559337</v>
      </c>
      <c r="H287">
        <f ca="1">IF(AND(ISNUMBER($H$731),$B$419=1),$H$731,HLOOKUP(INDIRECT(ADDRESS(2,COLUMN())),OFFSET($BN$2,0,0,ROW()-1,60),ROW()-1,FALSE))</f>
        <v>5.5565359670000003</v>
      </c>
      <c r="I287">
        <f ca="1">IF(AND(ISNUMBER($I$731),$B$419=1),$I$731,HLOOKUP(INDIRECT(ADDRESS(2,COLUMN())),OFFSET($BN$2,0,0,ROW()-1,60),ROW()-1,FALSE))</f>
        <v>5.593102902</v>
      </c>
      <c r="J287">
        <f ca="1">IF(AND(ISNUMBER($J$731),$B$419=1),$J$731,HLOOKUP(INDIRECT(ADDRESS(2,COLUMN())),OFFSET($BN$2,0,0,ROW()-1,60),ROW()-1,FALSE))</f>
        <v>5.5773514569999998</v>
      </c>
      <c r="K287">
        <f ca="1">IF(AND(ISNUMBER($K$731),$B$419=1),$K$731,HLOOKUP(INDIRECT(ADDRESS(2,COLUMN())),OFFSET($BN$2,0,0,ROW()-1,60),ROW()-1,FALSE))</f>
        <v>5.5367475349999999</v>
      </c>
      <c r="L287">
        <f ca="1">IF(AND(ISNUMBER($L$731),$B$419=1),$L$731,HLOOKUP(INDIRECT(ADDRESS(2,COLUMN())),OFFSET($BN$2,0,0,ROW()-1,60),ROW()-1,FALSE))</f>
        <v>5.5373843249999997</v>
      </c>
      <c r="M287">
        <f ca="1">IF(AND(ISNUMBER($M$731),$B$419=1),$M$731,HLOOKUP(INDIRECT(ADDRESS(2,COLUMN())),OFFSET($BN$2,0,0,ROW()-1,60),ROW()-1,FALSE))</f>
        <v>5.5402966009999997</v>
      </c>
      <c r="N287">
        <f ca="1">IF(AND(ISNUMBER($N$731),$B$419=1),$N$731,HLOOKUP(INDIRECT(ADDRESS(2,COLUMN())),OFFSET($BN$2,0,0,ROW()-1,60),ROW()-1,FALSE))</f>
        <v>5.5303135560000003</v>
      </c>
      <c r="O287">
        <f ca="1">IF(AND(ISNUMBER($O$731),$B$419=1),$O$731,HLOOKUP(INDIRECT(ADDRESS(2,COLUMN())),OFFSET($BN$2,0,0,ROW()-1,60),ROW()-1,FALSE))</f>
        <v>5.55656719</v>
      </c>
      <c r="P287">
        <f ca="1">IF(AND(ISNUMBER($P$731),$B$419=1),$P$731,HLOOKUP(INDIRECT(ADDRESS(2,COLUMN())),OFFSET($BN$2,0,0,ROW()-1,60),ROW()-1,FALSE))</f>
        <v>5.6591279009999997</v>
      </c>
      <c r="Q287">
        <f ca="1">IF(AND(ISNUMBER($Q$731),$B$419=1),$Q$731,HLOOKUP(INDIRECT(ADDRESS(2,COLUMN())),OFFSET($BN$2,0,0,ROW()-1,60),ROW()-1,FALSE))</f>
        <v>5.6671164139999997</v>
      </c>
      <c r="R287">
        <f ca="1">IF(AND(ISNUMBER($R$731),$B$419=1),$R$731,HLOOKUP(INDIRECT(ADDRESS(2,COLUMN())),OFFSET($BN$2,0,0,ROW()-1,60),ROW()-1,FALSE))</f>
        <v>5.666354922</v>
      </c>
      <c r="S287">
        <f ca="1">IF(AND(ISNUMBER($S$731),$B$419=1),$S$731,HLOOKUP(INDIRECT(ADDRESS(2,COLUMN())),OFFSET($BN$2,0,0,ROW()-1,60),ROW()-1,FALSE))</f>
        <v>5.5134900059999996</v>
      </c>
      <c r="T287">
        <f ca="1">IF(AND(ISNUMBER($T$731),$B$419=1),$T$731,HLOOKUP(INDIRECT(ADDRESS(2,COLUMN())),OFFSET($BN$2,0,0,ROW()-1,60),ROW()-1,FALSE))</f>
        <v>5.5502523899999998</v>
      </c>
      <c r="U287">
        <f ca="1">IF(AND(ISNUMBER($U$731),$B$419=1),$U$731,HLOOKUP(INDIRECT(ADDRESS(2,COLUMN())),OFFSET($BN$2,0,0,ROW()-1,60),ROW()-1,FALSE))</f>
        <v>5.5453409420000002</v>
      </c>
      <c r="V287">
        <f ca="1">IF(AND(ISNUMBER($V$731),$B$419=1),$V$731,HLOOKUP(INDIRECT(ADDRESS(2,COLUMN())),OFFSET($BN$2,0,0,ROW()-1,60),ROW()-1,FALSE))</f>
        <v>6.1786468540000001</v>
      </c>
      <c r="W287">
        <f ca="1">IF(AND(ISNUMBER($W$731),$B$419=1),$W$731,HLOOKUP(INDIRECT(ADDRESS(2,COLUMN())),OFFSET($BN$2,0,0,ROW()-1,60),ROW()-1,FALSE))</f>
        <v>6.114827536</v>
      </c>
      <c r="X287">
        <f ca="1">IF(AND(ISNUMBER($X$731),$B$419=1),$X$731,HLOOKUP(INDIRECT(ADDRESS(2,COLUMN())),OFFSET($BN$2,0,0,ROW()-1,60),ROW()-1,FALSE))</f>
        <v>6.0362377990000002</v>
      </c>
      <c r="Y287">
        <f ca="1">IF(AND(ISNUMBER($Y$731),$B$419=1),$Y$731,HLOOKUP(INDIRECT(ADDRESS(2,COLUMN())),OFFSET($BN$2,0,0,ROW()-1,60),ROW()-1,FALSE))</f>
        <v>6.0284519860000003</v>
      </c>
      <c r="Z287">
        <f ca="1">IF(AND(ISNUMBER($Z$731),$B$419=1),$Z$731,HLOOKUP(INDIRECT(ADDRESS(2,COLUMN())),OFFSET($BN$2,0,0,ROW()-1,60),ROW()-1,FALSE))</f>
        <v>6.0626239599999998</v>
      </c>
      <c r="AA287">
        <f ca="1">IF(AND(ISNUMBER($AA$731),$B$419=1),$AA$731,HLOOKUP(INDIRECT(ADDRESS(2,COLUMN())),OFFSET($BN$2,0,0,ROW()-1,60),ROW()-1,FALSE))</f>
        <v>6.2263182720000003</v>
      </c>
      <c r="AB287">
        <f ca="1">IF(AND(ISNUMBER($AB$731),$B$419=1),$AB$731,HLOOKUP(INDIRECT(ADDRESS(2,COLUMN())),OFFSET($BN$2,0,0,ROW()-1,60),ROW()-1,FALSE))</f>
        <v>6.5510560309999999</v>
      </c>
      <c r="AC287">
        <f ca="1">IF(AND(ISNUMBER($AC$731),$B$419=1),$AC$731,HLOOKUP(INDIRECT(ADDRESS(2,COLUMN())),OFFSET($BN$2,0,0,ROW()-1,60),ROW()-1,FALSE))</f>
        <v>6.717882328</v>
      </c>
      <c r="AD287">
        <f ca="1">IF(AND(ISNUMBER($AD$731),$B$419=1),$AD$731,HLOOKUP(INDIRECT(ADDRESS(2,COLUMN())),OFFSET($BN$2,0,0,ROW()-1,60),ROW()-1,FALSE))</f>
        <v>6.9788044410000003</v>
      </c>
      <c r="AE287">
        <f ca="1">IF(AND(ISNUMBER($AE$731),$B$419=1),$AE$731,HLOOKUP(INDIRECT(ADDRESS(2,COLUMN())),OFFSET($BN$2,0,0,ROW()-1,60),ROW()-1,FALSE))</f>
        <v>5.7844784159999998</v>
      </c>
      <c r="AF287">
        <f ca="1">IF(AND(ISNUMBER($AF$731),$B$419=1),$AF$731,HLOOKUP(INDIRECT(ADDRESS(2,COLUMN())),OFFSET($BN$2,0,0,ROW()-1,60),ROW()-1,FALSE))</f>
        <v>5.7568915499999997</v>
      </c>
      <c r="AG287">
        <f ca="1">IF(AND(ISNUMBER($AG$731),$B$419=1),$AG$731,HLOOKUP(INDIRECT(ADDRESS(2,COLUMN())),OFFSET($BN$2,0,0,ROW()-1,60),ROW()-1,FALSE))</f>
        <v>5.4798755960000003</v>
      </c>
      <c r="AH287">
        <f ca="1">IF(AND(ISNUMBER($AH$731),$B$419=1),$AH$731,HLOOKUP(INDIRECT(ADDRESS(2,COLUMN())),OFFSET($BN$2,0,0,ROW()-1,60),ROW()-1,FALSE))</f>
        <v>5.7442127709999999</v>
      </c>
      <c r="AI287">
        <f ca="1">IF(AND(ISNUMBER($AI$731),$B$419=1),$AI$731,HLOOKUP(INDIRECT(ADDRESS(2,COLUMN())),OFFSET($BN$2,0,0,ROW()-1,60),ROW()-1,FALSE))</f>
        <v>5.9181069769999999</v>
      </c>
      <c r="AJ287">
        <f ca="1">IF(AND(ISNUMBER($AJ$731),$B$419=1),$AJ$731,HLOOKUP(INDIRECT(ADDRESS(2,COLUMN())),OFFSET($BN$2,0,0,ROW()-1,60),ROW()-1,FALSE))</f>
        <v>5.9792043980000003</v>
      </c>
      <c r="AK287">
        <f ca="1">IF(AND(ISNUMBER($AK$731),$B$419=1),$AK$731,HLOOKUP(INDIRECT(ADDRESS(2,COLUMN())),OFFSET($BN$2,0,0,ROW()-1,60),ROW()-1,FALSE))</f>
        <v>5.4961054730000001</v>
      </c>
      <c r="AL287">
        <f ca="1">IF(AND(ISNUMBER($AL$731),$B$419=1),$AL$731,HLOOKUP(INDIRECT(ADDRESS(2,COLUMN())),OFFSET($BN$2,0,0,ROW()-1,60),ROW()-1,FALSE))</f>
        <v>5.4878883429999998</v>
      </c>
      <c r="AM287">
        <f ca="1">IF(AND(ISNUMBER($AM$731),$B$419=1),$AM$731,HLOOKUP(INDIRECT(ADDRESS(2,COLUMN())),OFFSET($BN$2,0,0,ROW()-1,60),ROW()-1,FALSE))</f>
        <v>5.6140759549999997</v>
      </c>
      <c r="AN287" t="str">
        <f ca="1">IF(AND(ISNUMBER($AN$731),$B$419=1),$AN$731,HLOOKUP(INDIRECT(ADDRESS(2,COLUMN())),OFFSET($BN$2,0,0,ROW()-1,60),ROW()-1,FALSE))</f>
        <v/>
      </c>
      <c r="AO287" t="str">
        <f ca="1">IF(AND(ISNUMBER($AO$731),$B$419=1),$AO$731,HLOOKUP(INDIRECT(ADDRESS(2,COLUMN())),OFFSET($BN$2,0,0,ROW()-1,60),ROW()-1,FALSE))</f>
        <v/>
      </c>
      <c r="AP287" t="str">
        <f ca="1">IF(AND(ISNUMBER($AP$731),$B$419=1),$AP$731,HLOOKUP(INDIRECT(ADDRESS(2,COLUMN())),OFFSET($BN$2,0,0,ROW()-1,60),ROW()-1,FALSE))</f>
        <v/>
      </c>
      <c r="AQ287" t="str">
        <f ca="1">IF(AND(ISNUMBER($AQ$731),$B$419=1),$AQ$731,HLOOKUP(INDIRECT(ADDRESS(2,COLUMN())),OFFSET($BN$2,0,0,ROW()-1,60),ROW()-1,FALSE))</f>
        <v/>
      </c>
      <c r="AR287" t="str">
        <f ca="1">IF(AND(ISNUMBER($AR$731),$B$419=1),$AR$731,HLOOKUP(INDIRECT(ADDRESS(2,COLUMN())),OFFSET($BN$2,0,0,ROW()-1,60),ROW()-1,FALSE))</f>
        <v/>
      </c>
      <c r="AS287" t="str">
        <f ca="1">IF(AND(ISNUMBER($AS$731),$B$419=1),$AS$731,HLOOKUP(INDIRECT(ADDRESS(2,COLUMN())),OFFSET($BN$2,0,0,ROW()-1,60),ROW()-1,FALSE))</f>
        <v/>
      </c>
      <c r="AT287" t="str">
        <f ca="1">IF(AND(ISNUMBER($AT$731),$B$419=1),$AT$731,HLOOKUP(INDIRECT(ADDRESS(2,COLUMN())),OFFSET($BN$2,0,0,ROW()-1,60),ROW()-1,FALSE))</f>
        <v/>
      </c>
      <c r="AU287" t="str">
        <f ca="1">IF(AND(ISNUMBER($AU$731),$B$419=1),$AU$731,HLOOKUP(INDIRECT(ADDRESS(2,COLUMN())),OFFSET($BN$2,0,0,ROW()-1,60),ROW()-1,FALSE))</f>
        <v/>
      </c>
      <c r="AV287" t="str">
        <f ca="1">IF(AND(ISNUMBER($AV$731),$B$419=1),$AV$731,HLOOKUP(INDIRECT(ADDRESS(2,COLUMN())),OFFSET($BN$2,0,0,ROW()-1,60),ROW()-1,FALSE))</f>
        <v/>
      </c>
      <c r="AW287" t="str">
        <f ca="1">IF(AND(ISNUMBER($AW$731),$B$419=1),$AW$731,HLOOKUP(INDIRECT(ADDRESS(2,COLUMN())),OFFSET($BN$2,0,0,ROW()-1,60),ROW()-1,FALSE))</f>
        <v/>
      </c>
      <c r="AX287" t="str">
        <f ca="1">IF(AND(ISNUMBER($AX$731),$B$419=1),$AX$731,HLOOKUP(INDIRECT(ADDRESS(2,COLUMN())),OFFSET($BN$2,0,0,ROW()-1,60),ROW()-1,FALSE))</f>
        <v/>
      </c>
      <c r="AY287" t="str">
        <f ca="1">IF(AND(ISNUMBER($AY$731),$B$419=1),$AY$731,HLOOKUP(INDIRECT(ADDRESS(2,COLUMN())),OFFSET($BN$2,0,0,ROW()-1,60),ROW()-1,FALSE))</f>
        <v/>
      </c>
      <c r="AZ287" t="str">
        <f ca="1">IF(AND(ISNUMBER($AZ$731),$B$419=1),$AZ$731,HLOOKUP(INDIRECT(ADDRESS(2,COLUMN())),OFFSET($BN$2,0,0,ROW()-1,60),ROW()-1,FALSE))</f>
        <v/>
      </c>
      <c r="BA287" t="str">
        <f ca="1">IF(AND(ISNUMBER($BA$731),$B$419=1),$BA$731,HLOOKUP(INDIRECT(ADDRESS(2,COLUMN())),OFFSET($BN$2,0,0,ROW()-1,60),ROW()-1,FALSE))</f>
        <v/>
      </c>
      <c r="BB287" t="str">
        <f ca="1">IF(AND(ISNUMBER($BB$731),$B$419=1),$BB$731,HLOOKUP(INDIRECT(ADDRESS(2,COLUMN())),OFFSET($BN$2,0,0,ROW()-1,60),ROW()-1,FALSE))</f>
        <v/>
      </c>
      <c r="BC287" t="str">
        <f ca="1">IF(AND(ISNUMBER($BC$731),$B$419=1),$BC$731,HLOOKUP(INDIRECT(ADDRESS(2,COLUMN())),OFFSET($BN$2,0,0,ROW()-1,60),ROW()-1,FALSE))</f>
        <v/>
      </c>
      <c r="BD287" t="str">
        <f ca="1">IF(AND(ISNUMBER($BD$731),$B$419=1),$BD$731,HLOOKUP(INDIRECT(ADDRESS(2,COLUMN())),OFFSET($BN$2,0,0,ROW()-1,60),ROW()-1,FALSE))</f>
        <v/>
      </c>
      <c r="BE287" t="str">
        <f ca="1">IF(AND(ISNUMBER($BE$731),$B$419=1),$BE$731,HLOOKUP(INDIRECT(ADDRESS(2,COLUMN())),OFFSET($BN$2,0,0,ROW()-1,60),ROW()-1,FALSE))</f>
        <v/>
      </c>
      <c r="BF287" t="str">
        <f ca="1">IF(AND(ISNUMBER($BF$731),$B$419=1),$BF$731,HLOOKUP(INDIRECT(ADDRESS(2,COLUMN())),OFFSET($BN$2,0,0,ROW()-1,60),ROW()-1,FALSE))</f>
        <v/>
      </c>
      <c r="BG287" t="str">
        <f ca="1">IF(AND(ISNUMBER($BG$731),$B$419=1),$BG$731,HLOOKUP(INDIRECT(ADDRESS(2,COLUMN())),OFFSET($BN$2,0,0,ROW()-1,60),ROW()-1,FALSE))</f>
        <v/>
      </c>
      <c r="BH287" t="str">
        <f ca="1">IF(AND(ISNUMBER($BH$731),$B$419=1),$BH$731,HLOOKUP(INDIRECT(ADDRESS(2,COLUMN())),OFFSET($BN$2,0,0,ROW()-1,60),ROW()-1,FALSE))</f>
        <v/>
      </c>
      <c r="BI287" t="str">
        <f ca="1">IF(AND(ISNUMBER($BI$731),$B$419=1),$BI$731,HLOOKUP(INDIRECT(ADDRESS(2,COLUMN())),OFFSET($BN$2,0,0,ROW()-1,60),ROW()-1,FALSE))</f>
        <v/>
      </c>
      <c r="BJ287" t="str">
        <f ca="1">IF(AND(ISNUMBER($BJ$731),$B$419=1),$BJ$731,HLOOKUP(INDIRECT(ADDRESS(2,COLUMN())),OFFSET($BN$2,0,0,ROW()-1,60),ROW()-1,FALSE))</f>
        <v/>
      </c>
      <c r="BK287" t="str">
        <f ca="1">IF(AND(ISNUMBER($BK$731),$B$419=1),$BK$731,HLOOKUP(INDIRECT(ADDRESS(2,COLUMN())),OFFSET($BN$2,0,0,ROW()-1,60),ROW()-1,FALSE))</f>
        <v/>
      </c>
      <c r="BL287" t="str">
        <f ca="1">IF(AND(ISNUMBER($BL$731),$B$419=1),$BL$731,HLOOKUP(INDIRECT(ADDRESS(2,COLUMN())),OFFSET($BN$2,0,0,ROW()-1,60),ROW()-1,FALSE))</f>
        <v/>
      </c>
      <c r="BM287" t="str">
        <f ca="1">IF(AND(ISNUMBER($BM$731),$B$419=1),$BM$731,HLOOKUP(INDIRECT(ADDRESS(2,COLUMN())),OFFSET($BN$2,0,0,ROW()-1,60),ROW()-1,FALSE))</f>
        <v/>
      </c>
      <c r="BN287" t="str">
        <f>""</f>
        <v/>
      </c>
      <c r="BO287">
        <f>5.563559337</f>
        <v>5.563559337</v>
      </c>
      <c r="BP287">
        <f>5.556535967</f>
        <v>5.5565359670000003</v>
      </c>
      <c r="BQ287">
        <f>5.593102902</f>
        <v>5.593102902</v>
      </c>
      <c r="BR287">
        <f>5.577351457</f>
        <v>5.5773514569999998</v>
      </c>
      <c r="BS287">
        <f>5.536747535</f>
        <v>5.5367475349999999</v>
      </c>
      <c r="BT287">
        <f>5.537384325</f>
        <v>5.5373843249999997</v>
      </c>
      <c r="BU287">
        <f>5.540296601</f>
        <v>5.5402966009999997</v>
      </c>
      <c r="BV287">
        <f>5.530313556</f>
        <v>5.5303135560000003</v>
      </c>
      <c r="BW287">
        <f>5.55656719</f>
        <v>5.55656719</v>
      </c>
      <c r="BX287">
        <f>5.659127901</f>
        <v>5.6591279009999997</v>
      </c>
      <c r="BY287">
        <f>5.667116414</f>
        <v>5.6671164139999997</v>
      </c>
      <c r="BZ287">
        <f>5.666354922</f>
        <v>5.666354922</v>
      </c>
      <c r="CA287">
        <f>5.513490006</f>
        <v>5.5134900059999996</v>
      </c>
      <c r="CB287">
        <f>5.55025239</f>
        <v>5.5502523899999998</v>
      </c>
      <c r="CC287">
        <f>5.545340942</f>
        <v>5.5453409420000002</v>
      </c>
      <c r="CD287">
        <f>6.178646854</f>
        <v>6.1786468540000001</v>
      </c>
      <c r="CE287">
        <f>6.114827536</f>
        <v>6.114827536</v>
      </c>
      <c r="CF287">
        <f>6.036237799</f>
        <v>6.0362377990000002</v>
      </c>
      <c r="CG287">
        <f>6.028451986</f>
        <v>6.0284519860000003</v>
      </c>
      <c r="CH287">
        <f>6.06262396</f>
        <v>6.0626239599999998</v>
      </c>
      <c r="CI287">
        <f>6.226318272</f>
        <v>6.2263182720000003</v>
      </c>
      <c r="CJ287">
        <f>6.551056031</f>
        <v>6.5510560309999999</v>
      </c>
      <c r="CK287">
        <f>6.717882328</f>
        <v>6.717882328</v>
      </c>
      <c r="CL287">
        <f>6.978804441</f>
        <v>6.9788044410000003</v>
      </c>
      <c r="CM287">
        <f>5.784478416</f>
        <v>5.7844784159999998</v>
      </c>
      <c r="CN287">
        <f>5.75689155</f>
        <v>5.7568915499999997</v>
      </c>
      <c r="CO287">
        <f>5.479875596</f>
        <v>5.4798755960000003</v>
      </c>
      <c r="CP287">
        <f>5.744212771</f>
        <v>5.7442127709999999</v>
      </c>
      <c r="CQ287">
        <f>5.918106977</f>
        <v>5.9181069769999999</v>
      </c>
      <c r="CR287">
        <f>5.979204398</f>
        <v>5.9792043980000003</v>
      </c>
      <c r="CS287">
        <f>5.496105473</f>
        <v>5.4961054730000001</v>
      </c>
      <c r="CT287">
        <f>5.487888343</f>
        <v>5.4878883429999998</v>
      </c>
      <c r="CU287">
        <f>5.614075955</f>
        <v>5.6140759549999997</v>
      </c>
      <c r="CV287" t="str">
        <f>""</f>
        <v/>
      </c>
      <c r="CW287" t="str">
        <f>""</f>
        <v/>
      </c>
      <c r="CX287" t="str">
        <f>""</f>
        <v/>
      </c>
      <c r="CY287" t="str">
        <f>""</f>
        <v/>
      </c>
      <c r="CZ287" t="str">
        <f>""</f>
        <v/>
      </c>
      <c r="DA287" t="str">
        <f>""</f>
        <v/>
      </c>
      <c r="DB287" t="str">
        <f>""</f>
        <v/>
      </c>
      <c r="DC287" t="str">
        <f>""</f>
        <v/>
      </c>
      <c r="DD287" t="str">
        <f>""</f>
        <v/>
      </c>
      <c r="DE287" t="str">
        <f>""</f>
        <v/>
      </c>
      <c r="DF287" t="str">
        <f>""</f>
        <v/>
      </c>
      <c r="DG287" t="str">
        <f>""</f>
        <v/>
      </c>
      <c r="DH287" t="str">
        <f>""</f>
        <v/>
      </c>
      <c r="DI287" t="str">
        <f>""</f>
        <v/>
      </c>
      <c r="DJ287" t="str">
        <f>""</f>
        <v/>
      </c>
      <c r="DK287" t="str">
        <f>""</f>
        <v/>
      </c>
      <c r="DL287" t="str">
        <f>""</f>
        <v/>
      </c>
      <c r="DM287" t="str">
        <f>""</f>
        <v/>
      </c>
      <c r="DN287" t="str">
        <f>""</f>
        <v/>
      </c>
      <c r="DO287" t="str">
        <f>""</f>
        <v/>
      </c>
      <c r="DP287" t="str">
        <f>""</f>
        <v/>
      </c>
      <c r="DQ287" t="str">
        <f>""</f>
        <v/>
      </c>
      <c r="DR287" t="str">
        <f>""</f>
        <v/>
      </c>
      <c r="DS287" t="str">
        <f>""</f>
        <v/>
      </c>
      <c r="DT287" t="str">
        <f>""</f>
        <v/>
      </c>
      <c r="DU287" t="str">
        <f>""</f>
        <v/>
      </c>
    </row>
    <row r="288" spans="1:125">
      <c r="A288" t="str">
        <f>"    Tanger Factory Outlet Centers"</f>
        <v xml:space="preserve">    Tanger Factory Outlet Centers</v>
      </c>
      <c r="B288" t="str">
        <f>"SKT US Equity"</f>
        <v>SKT US Equity</v>
      </c>
      <c r="C288" t="str">
        <f t="shared" si="51"/>
        <v>F1178</v>
      </c>
      <c r="D288" t="str">
        <f t="shared" si="52"/>
        <v>NET_DEBT_EBITDA_ADJUSTED</v>
      </c>
      <c r="E288" t="str">
        <f t="shared" si="53"/>
        <v>动态</v>
      </c>
      <c r="F288" t="str">
        <f ca="1">IF(AND(ISNUMBER($F$732),$B$419=1),$F$732,HLOOKUP(INDIRECT(ADDRESS(2,COLUMN())),OFFSET($BN$2,0,0,ROW()-1,60),ROW()-1,FALSE))</f>
        <v/>
      </c>
      <c r="G288">
        <f ca="1">IF(AND(ISNUMBER($G$732),$B$419=1),$G$732,HLOOKUP(INDIRECT(ADDRESS(2,COLUMN())),OFFSET($BN$2,0,0,ROW()-1,60),ROW()-1,FALSE))</f>
        <v>6.2429846119999999</v>
      </c>
      <c r="H288">
        <f ca="1">IF(AND(ISNUMBER($H$732),$B$419=1),$H$732,HLOOKUP(INDIRECT(ADDRESS(2,COLUMN())),OFFSET($BN$2,0,0,ROW()-1,60),ROW()-1,FALSE))</f>
        <v>6.3749395079999998</v>
      </c>
      <c r="I288">
        <f ca="1">IF(AND(ISNUMBER($I$732),$B$419=1),$I$732,HLOOKUP(INDIRECT(ADDRESS(2,COLUMN())),OFFSET($BN$2,0,0,ROW()-1,60),ROW()-1,FALSE))</f>
        <v>6.2884521910000002</v>
      </c>
      <c r="J288">
        <f ca="1">IF(AND(ISNUMBER($J$732),$B$419=1),$J$732,HLOOKUP(INDIRECT(ADDRESS(2,COLUMN())),OFFSET($BN$2,0,0,ROW()-1,60),ROW()-1,FALSE))</f>
        <v>6.1713139559999997</v>
      </c>
      <c r="K288">
        <f ca="1">IF(AND(ISNUMBER($K$732),$B$419=1),$K$732,HLOOKUP(INDIRECT(ADDRESS(2,COLUMN())),OFFSET($BN$2,0,0,ROW()-1,60),ROW()-1,FALSE))</f>
        <v>6.2844348429999997</v>
      </c>
      <c r="L288">
        <f ca="1">IF(AND(ISNUMBER($L$732),$B$419=1),$L$732,HLOOKUP(INDIRECT(ADDRESS(2,COLUMN())),OFFSET($BN$2,0,0,ROW()-1,60),ROW()-1,FALSE))</f>
        <v>6.5267776529999999</v>
      </c>
      <c r="M288">
        <f ca="1">IF(AND(ISNUMBER($M$732),$B$419=1),$M$732,HLOOKUP(INDIRECT(ADDRESS(2,COLUMN())),OFFSET($BN$2,0,0,ROW()-1,60),ROW()-1,FALSE))</f>
        <v>6.1467345939999998</v>
      </c>
      <c r="N288">
        <f ca="1">IF(AND(ISNUMBER($N$732),$B$419=1),$N$732,HLOOKUP(INDIRECT(ADDRESS(2,COLUMN())),OFFSET($BN$2,0,0,ROW()-1,60),ROW()-1,FALSE))</f>
        <v>5.7609362769999999</v>
      </c>
      <c r="O288">
        <f ca="1">IF(AND(ISNUMBER($O$732),$B$419=1),$O$732,HLOOKUP(INDIRECT(ADDRESS(2,COLUMN())),OFFSET($BN$2,0,0,ROW()-1,60),ROW()-1,FALSE))</f>
        <v>6.1609681280000004</v>
      </c>
      <c r="P288">
        <f ca="1">IF(AND(ISNUMBER($P$732),$B$419=1),$P$732,HLOOKUP(INDIRECT(ADDRESS(2,COLUMN())),OFFSET($BN$2,0,0,ROW()-1,60),ROW()-1,FALSE))</f>
        <v>6.2184962390000003</v>
      </c>
      <c r="Q288">
        <f ca="1">IF(AND(ISNUMBER($Q$732),$B$419=1),$Q$732,HLOOKUP(INDIRECT(ADDRESS(2,COLUMN())),OFFSET($BN$2,0,0,ROW()-1,60),ROW()-1,FALSE))</f>
        <v>6.2372332850000003</v>
      </c>
      <c r="R288">
        <f ca="1">IF(AND(ISNUMBER($R$732),$B$419=1),$R$732,HLOOKUP(INDIRECT(ADDRESS(2,COLUMN())),OFFSET($BN$2,0,0,ROW()-1,60),ROW()-1,FALSE))</f>
        <v>6.1124716479999996</v>
      </c>
      <c r="S288">
        <f ca="1">IF(AND(ISNUMBER($S$732),$B$419=1),$S$732,HLOOKUP(INDIRECT(ADDRESS(2,COLUMN())),OFFSET($BN$2,0,0,ROW()-1,60),ROW()-1,FALSE))</f>
        <v>6.0877316529999996</v>
      </c>
      <c r="T288">
        <f ca="1">IF(AND(ISNUMBER($T$732),$B$419=1),$T$732,HLOOKUP(INDIRECT(ADDRESS(2,COLUMN())),OFFSET($BN$2,0,0,ROW()-1,60),ROW()-1,FALSE))</f>
        <v>6.1847406549999997</v>
      </c>
      <c r="U288">
        <f ca="1">IF(AND(ISNUMBER($U$732),$B$419=1),$U$732,HLOOKUP(INDIRECT(ADDRESS(2,COLUMN())),OFFSET($BN$2,0,0,ROW()-1,60),ROW()-1,FALSE))</f>
        <v>6.0235422879999998</v>
      </c>
      <c r="V288">
        <f ca="1">IF(AND(ISNUMBER($V$732),$B$419=1),$V$732,HLOOKUP(INDIRECT(ADDRESS(2,COLUMN())),OFFSET($BN$2,0,0,ROW()-1,60),ROW()-1,FALSE))</f>
        <v>5.9616402060000002</v>
      </c>
      <c r="W288">
        <f ca="1">IF(AND(ISNUMBER($W$732),$B$419=1),$W$732,HLOOKUP(INDIRECT(ADDRESS(2,COLUMN())),OFFSET($BN$2,0,0,ROW()-1,60),ROW()-1,FALSE))</f>
        <v>5.9159077489999996</v>
      </c>
      <c r="X288">
        <f ca="1">IF(AND(ISNUMBER($X$732),$B$419=1),$X$732,HLOOKUP(INDIRECT(ADDRESS(2,COLUMN())),OFFSET($BN$2,0,0,ROW()-1,60),ROW()-1,FALSE))</f>
        <v>6.1048653650000002</v>
      </c>
      <c r="Y288">
        <f ca="1">IF(AND(ISNUMBER($Y$732),$B$419=1),$Y$732,HLOOKUP(INDIRECT(ADDRESS(2,COLUMN())),OFFSET($BN$2,0,0,ROW()-1,60),ROW()-1,FALSE))</f>
        <v>5.296927814</v>
      </c>
      <c r="Z288">
        <f ca="1">IF(AND(ISNUMBER($Z$732),$B$419=1),$Z$732,HLOOKUP(INDIRECT(ADDRESS(2,COLUMN())),OFFSET($BN$2,0,0,ROW()-1,60),ROW()-1,FALSE))</f>
        <v>5.178367519</v>
      </c>
      <c r="AA288">
        <f ca="1">IF(AND(ISNUMBER($AA$732),$B$419=1),$AA$732,HLOOKUP(INDIRECT(ADDRESS(2,COLUMN())),OFFSET($BN$2,0,0,ROW()-1,60),ROW()-1,FALSE))</f>
        <v>5.2320752449999999</v>
      </c>
      <c r="AB288">
        <f ca="1">IF(AND(ISNUMBER($AB$732),$B$419=1),$AB$732,HLOOKUP(INDIRECT(ADDRESS(2,COLUMN())),OFFSET($BN$2,0,0,ROW()-1,60),ROW()-1,FALSE))</f>
        <v>5.1068784039999997</v>
      </c>
      <c r="AC288">
        <f ca="1">IF(AND(ISNUMBER($AC$732),$B$419=1),$AC$732,HLOOKUP(INDIRECT(ADDRESS(2,COLUMN())),OFFSET($BN$2,0,0,ROW()-1,60),ROW()-1,FALSE))</f>
        <v>5.2361714309999998</v>
      </c>
      <c r="AD288">
        <f ca="1">IF(AND(ISNUMBER($AD$732),$B$419=1),$AD$732,HLOOKUP(INDIRECT(ADDRESS(2,COLUMN())),OFFSET($BN$2,0,0,ROW()-1,60),ROW()-1,FALSE))</f>
        <v>5.4042130119999996</v>
      </c>
      <c r="AE288">
        <f ca="1">IF(AND(ISNUMBER($AE$732),$B$419=1),$AE$732,HLOOKUP(INDIRECT(ADDRESS(2,COLUMN())),OFFSET($BN$2,0,0,ROW()-1,60),ROW()-1,FALSE))</f>
        <v>5.5840638489999996</v>
      </c>
      <c r="AF288">
        <f ca="1">IF(AND(ISNUMBER($AF$732),$B$419=1),$AF$732,HLOOKUP(INDIRECT(ADDRESS(2,COLUMN())),OFFSET($BN$2,0,0,ROW()-1,60),ROW()-1,FALSE))</f>
        <v>5.7506166289999996</v>
      </c>
      <c r="AG288">
        <f ca="1">IF(AND(ISNUMBER($AG$732),$B$419=1),$AG$732,HLOOKUP(INDIRECT(ADDRESS(2,COLUMN())),OFFSET($BN$2,0,0,ROW()-1,60),ROW()-1,FALSE))</f>
        <v>5.4636686430000001</v>
      </c>
      <c r="AH288">
        <f ca="1">IF(AND(ISNUMBER($AH$732),$B$419=1),$AH$732,HLOOKUP(INDIRECT(ADDRESS(2,COLUMN())),OFFSET($BN$2,0,0,ROW()-1,60),ROW()-1,FALSE))</f>
        <v>4.6951437499999997</v>
      </c>
      <c r="AI288">
        <f ca="1">IF(AND(ISNUMBER($AI$732),$B$419=1),$AI$732,HLOOKUP(INDIRECT(ADDRESS(2,COLUMN())),OFFSET($BN$2,0,0,ROW()-1,60),ROW()-1,FALSE))</f>
        <v>4.6709359670000001</v>
      </c>
      <c r="AJ288">
        <f ca="1">IF(AND(ISNUMBER($AJ$732),$B$419=1),$AJ$732,HLOOKUP(INDIRECT(ADDRESS(2,COLUMN())),OFFSET($BN$2,0,0,ROW()-1,60),ROW()-1,FALSE))</f>
        <v>4.0436823310000003</v>
      </c>
      <c r="AK288">
        <f ca="1">IF(AND(ISNUMBER($AK$732),$B$419=1),$AK$732,HLOOKUP(INDIRECT(ADDRESS(2,COLUMN())),OFFSET($BN$2,0,0,ROW()-1,60),ROW()-1,FALSE))</f>
        <v>4.2095838270000003</v>
      </c>
      <c r="AL288">
        <f ca="1">IF(AND(ISNUMBER($AL$732),$B$419=1),$AL$732,HLOOKUP(INDIRECT(ADDRESS(2,COLUMN())),OFFSET($BN$2,0,0,ROW()-1,60),ROW()-1,FALSE))</f>
        <v>3.9959510960000002</v>
      </c>
      <c r="AM288">
        <f ca="1">IF(AND(ISNUMBER($AM$732),$B$419=1),$AM$732,HLOOKUP(INDIRECT(ADDRESS(2,COLUMN())),OFFSET($BN$2,0,0,ROW()-1,60),ROW()-1,FALSE))</f>
        <v>3.8658589299999999</v>
      </c>
      <c r="AN288" t="str">
        <f ca="1">IF(AND(ISNUMBER($AN$732),$B$419=1),$AN$732,HLOOKUP(INDIRECT(ADDRESS(2,COLUMN())),OFFSET($BN$2,0,0,ROW()-1,60),ROW()-1,FALSE))</f>
        <v/>
      </c>
      <c r="AO288" t="str">
        <f ca="1">IF(AND(ISNUMBER($AO$732),$B$419=1),$AO$732,HLOOKUP(INDIRECT(ADDRESS(2,COLUMN())),OFFSET($BN$2,0,0,ROW()-1,60),ROW()-1,FALSE))</f>
        <v/>
      </c>
      <c r="AP288" t="str">
        <f ca="1">IF(AND(ISNUMBER($AP$732),$B$419=1),$AP$732,HLOOKUP(INDIRECT(ADDRESS(2,COLUMN())),OFFSET($BN$2,0,0,ROW()-1,60),ROW()-1,FALSE))</f>
        <v/>
      </c>
      <c r="AQ288" t="str">
        <f ca="1">IF(AND(ISNUMBER($AQ$732),$B$419=1),$AQ$732,HLOOKUP(INDIRECT(ADDRESS(2,COLUMN())),OFFSET($BN$2,0,0,ROW()-1,60),ROW()-1,FALSE))</f>
        <v/>
      </c>
      <c r="AR288" t="str">
        <f ca="1">IF(AND(ISNUMBER($AR$732),$B$419=1),$AR$732,HLOOKUP(INDIRECT(ADDRESS(2,COLUMN())),OFFSET($BN$2,0,0,ROW()-1,60),ROW()-1,FALSE))</f>
        <v/>
      </c>
      <c r="AS288" t="str">
        <f ca="1">IF(AND(ISNUMBER($AS$732),$B$419=1),$AS$732,HLOOKUP(INDIRECT(ADDRESS(2,COLUMN())),OFFSET($BN$2,0,0,ROW()-1,60),ROW()-1,FALSE))</f>
        <v/>
      </c>
      <c r="AT288" t="str">
        <f ca="1">IF(AND(ISNUMBER($AT$732),$B$419=1),$AT$732,HLOOKUP(INDIRECT(ADDRESS(2,COLUMN())),OFFSET($BN$2,0,0,ROW()-1,60),ROW()-1,FALSE))</f>
        <v/>
      </c>
      <c r="AU288" t="str">
        <f ca="1">IF(AND(ISNUMBER($AU$732),$B$419=1),$AU$732,HLOOKUP(INDIRECT(ADDRESS(2,COLUMN())),OFFSET($BN$2,0,0,ROW()-1,60),ROW()-1,FALSE))</f>
        <v/>
      </c>
      <c r="AV288" t="str">
        <f ca="1">IF(AND(ISNUMBER($AV$732),$B$419=1),$AV$732,HLOOKUP(INDIRECT(ADDRESS(2,COLUMN())),OFFSET($BN$2,0,0,ROW()-1,60),ROW()-1,FALSE))</f>
        <v/>
      </c>
      <c r="AW288" t="str">
        <f ca="1">IF(AND(ISNUMBER($AW$732),$B$419=1),$AW$732,HLOOKUP(INDIRECT(ADDRESS(2,COLUMN())),OFFSET($BN$2,0,0,ROW()-1,60),ROW()-1,FALSE))</f>
        <v/>
      </c>
      <c r="AX288" t="str">
        <f ca="1">IF(AND(ISNUMBER($AX$732),$B$419=1),$AX$732,HLOOKUP(INDIRECT(ADDRESS(2,COLUMN())),OFFSET($BN$2,0,0,ROW()-1,60),ROW()-1,FALSE))</f>
        <v/>
      </c>
      <c r="AY288" t="str">
        <f ca="1">IF(AND(ISNUMBER($AY$732),$B$419=1),$AY$732,HLOOKUP(INDIRECT(ADDRESS(2,COLUMN())),OFFSET($BN$2,0,0,ROW()-1,60),ROW()-1,FALSE))</f>
        <v/>
      </c>
      <c r="AZ288" t="str">
        <f ca="1">IF(AND(ISNUMBER($AZ$732),$B$419=1),$AZ$732,HLOOKUP(INDIRECT(ADDRESS(2,COLUMN())),OFFSET($BN$2,0,0,ROW()-1,60),ROW()-1,FALSE))</f>
        <v/>
      </c>
      <c r="BA288" t="str">
        <f ca="1">IF(AND(ISNUMBER($BA$732),$B$419=1),$BA$732,HLOOKUP(INDIRECT(ADDRESS(2,COLUMN())),OFFSET($BN$2,0,0,ROW()-1,60),ROW()-1,FALSE))</f>
        <v/>
      </c>
      <c r="BB288" t="str">
        <f ca="1">IF(AND(ISNUMBER($BB$732),$B$419=1),$BB$732,HLOOKUP(INDIRECT(ADDRESS(2,COLUMN())),OFFSET($BN$2,0,0,ROW()-1,60),ROW()-1,FALSE))</f>
        <v/>
      </c>
      <c r="BC288" t="str">
        <f ca="1">IF(AND(ISNUMBER($BC$732),$B$419=1),$BC$732,HLOOKUP(INDIRECT(ADDRESS(2,COLUMN())),OFFSET($BN$2,0,0,ROW()-1,60),ROW()-1,FALSE))</f>
        <v/>
      </c>
      <c r="BD288" t="str">
        <f ca="1">IF(AND(ISNUMBER($BD$732),$B$419=1),$BD$732,HLOOKUP(INDIRECT(ADDRESS(2,COLUMN())),OFFSET($BN$2,0,0,ROW()-1,60),ROW()-1,FALSE))</f>
        <v/>
      </c>
      <c r="BE288" t="str">
        <f ca="1">IF(AND(ISNUMBER($BE$732),$B$419=1),$BE$732,HLOOKUP(INDIRECT(ADDRESS(2,COLUMN())),OFFSET($BN$2,0,0,ROW()-1,60),ROW()-1,FALSE))</f>
        <v/>
      </c>
      <c r="BF288" t="str">
        <f ca="1">IF(AND(ISNUMBER($BF$732),$B$419=1),$BF$732,HLOOKUP(INDIRECT(ADDRESS(2,COLUMN())),OFFSET($BN$2,0,0,ROW()-1,60),ROW()-1,FALSE))</f>
        <v/>
      </c>
      <c r="BG288" t="str">
        <f ca="1">IF(AND(ISNUMBER($BG$732),$B$419=1),$BG$732,HLOOKUP(INDIRECT(ADDRESS(2,COLUMN())),OFFSET($BN$2,0,0,ROW()-1,60),ROW()-1,FALSE))</f>
        <v/>
      </c>
      <c r="BH288" t="str">
        <f ca="1">IF(AND(ISNUMBER($BH$732),$B$419=1),$BH$732,HLOOKUP(INDIRECT(ADDRESS(2,COLUMN())),OFFSET($BN$2,0,0,ROW()-1,60),ROW()-1,FALSE))</f>
        <v/>
      </c>
      <c r="BI288" t="str">
        <f ca="1">IF(AND(ISNUMBER($BI$732),$B$419=1),$BI$732,HLOOKUP(INDIRECT(ADDRESS(2,COLUMN())),OFFSET($BN$2,0,0,ROW()-1,60),ROW()-1,FALSE))</f>
        <v/>
      </c>
      <c r="BJ288" t="str">
        <f ca="1">IF(AND(ISNUMBER($BJ$732),$B$419=1),$BJ$732,HLOOKUP(INDIRECT(ADDRESS(2,COLUMN())),OFFSET($BN$2,0,0,ROW()-1,60),ROW()-1,FALSE))</f>
        <v/>
      </c>
      <c r="BK288" t="str">
        <f ca="1">IF(AND(ISNUMBER($BK$732),$B$419=1),$BK$732,HLOOKUP(INDIRECT(ADDRESS(2,COLUMN())),OFFSET($BN$2,0,0,ROW()-1,60),ROW()-1,FALSE))</f>
        <v/>
      </c>
      <c r="BL288" t="str">
        <f ca="1">IF(AND(ISNUMBER($BL$732),$B$419=1),$BL$732,HLOOKUP(INDIRECT(ADDRESS(2,COLUMN())),OFFSET($BN$2,0,0,ROW()-1,60),ROW()-1,FALSE))</f>
        <v/>
      </c>
      <c r="BM288" t="str">
        <f ca="1">IF(AND(ISNUMBER($BM$732),$B$419=1),$BM$732,HLOOKUP(INDIRECT(ADDRESS(2,COLUMN())),OFFSET($BN$2,0,0,ROW()-1,60),ROW()-1,FALSE))</f>
        <v/>
      </c>
      <c r="BN288" t="str">
        <f>""</f>
        <v/>
      </c>
      <c r="BO288">
        <f>6.242984612</f>
        <v>6.2429846119999999</v>
      </c>
      <c r="BP288">
        <f>6.374939508</f>
        <v>6.3749395079999998</v>
      </c>
      <c r="BQ288">
        <f>6.288452191</f>
        <v>6.2884521910000002</v>
      </c>
      <c r="BR288">
        <f>6.171313956</f>
        <v>6.1713139559999997</v>
      </c>
      <c r="BS288">
        <f>6.284434843</f>
        <v>6.2844348429999997</v>
      </c>
      <c r="BT288">
        <f>6.526777653</f>
        <v>6.5267776529999999</v>
      </c>
      <c r="BU288">
        <f>6.146734594</f>
        <v>6.1467345939999998</v>
      </c>
      <c r="BV288">
        <f>5.760936277</f>
        <v>5.7609362769999999</v>
      </c>
      <c r="BW288">
        <f>6.160968128</f>
        <v>6.1609681280000004</v>
      </c>
      <c r="BX288">
        <f>6.218496239</f>
        <v>6.2184962390000003</v>
      </c>
      <c r="BY288">
        <f>6.237233285</f>
        <v>6.2372332850000003</v>
      </c>
      <c r="BZ288">
        <f>6.112471648</f>
        <v>6.1124716479999996</v>
      </c>
      <c r="CA288">
        <f>6.087731653</f>
        <v>6.0877316529999996</v>
      </c>
      <c r="CB288">
        <f>6.184740655</f>
        <v>6.1847406549999997</v>
      </c>
      <c r="CC288">
        <f>6.023542288</f>
        <v>6.0235422879999998</v>
      </c>
      <c r="CD288">
        <f>5.961640206</f>
        <v>5.9616402060000002</v>
      </c>
      <c r="CE288">
        <f>5.915907749</f>
        <v>5.9159077489999996</v>
      </c>
      <c r="CF288">
        <f>6.104865365</f>
        <v>6.1048653650000002</v>
      </c>
      <c r="CG288">
        <f>5.296927814</f>
        <v>5.296927814</v>
      </c>
      <c r="CH288">
        <f>5.178367519</f>
        <v>5.178367519</v>
      </c>
      <c r="CI288">
        <f>5.232075245</f>
        <v>5.2320752449999999</v>
      </c>
      <c r="CJ288">
        <f>5.106878404</f>
        <v>5.1068784039999997</v>
      </c>
      <c r="CK288">
        <f>5.236171431</f>
        <v>5.2361714309999998</v>
      </c>
      <c r="CL288">
        <f>5.404213012</f>
        <v>5.4042130119999996</v>
      </c>
      <c r="CM288">
        <f>5.584063849</f>
        <v>5.5840638489999996</v>
      </c>
      <c r="CN288">
        <f>5.750616629</f>
        <v>5.7506166289999996</v>
      </c>
      <c r="CO288">
        <f>5.463668643</f>
        <v>5.4636686430000001</v>
      </c>
      <c r="CP288">
        <f>4.69514375</f>
        <v>4.6951437499999997</v>
      </c>
      <c r="CQ288">
        <f>4.670935967</f>
        <v>4.6709359670000001</v>
      </c>
      <c r="CR288">
        <f>4.043682331</f>
        <v>4.0436823310000003</v>
      </c>
      <c r="CS288">
        <f>4.209583827</f>
        <v>4.2095838270000003</v>
      </c>
      <c r="CT288">
        <f>3.995951096</f>
        <v>3.9959510960000002</v>
      </c>
      <c r="CU288">
        <f>3.86585893</f>
        <v>3.8658589299999999</v>
      </c>
      <c r="CV288" t="str">
        <f>""</f>
        <v/>
      </c>
      <c r="CW288" t="str">
        <f>""</f>
        <v/>
      </c>
      <c r="CX288" t="str">
        <f>""</f>
        <v/>
      </c>
      <c r="CY288" t="str">
        <f>""</f>
        <v/>
      </c>
      <c r="CZ288" t="str">
        <f>""</f>
        <v/>
      </c>
      <c r="DA288" t="str">
        <f>""</f>
        <v/>
      </c>
      <c r="DB288" t="str">
        <f>""</f>
        <v/>
      </c>
      <c r="DC288" t="str">
        <f>""</f>
        <v/>
      </c>
      <c r="DD288" t="str">
        <f>""</f>
        <v/>
      </c>
      <c r="DE288" t="str">
        <f>""</f>
        <v/>
      </c>
      <c r="DF288" t="str">
        <f>""</f>
        <v/>
      </c>
      <c r="DG288" t="str">
        <f>""</f>
        <v/>
      </c>
      <c r="DH288" t="str">
        <f>""</f>
        <v/>
      </c>
      <c r="DI288" t="str">
        <f>""</f>
        <v/>
      </c>
      <c r="DJ288" t="str">
        <f>""</f>
        <v/>
      </c>
      <c r="DK288" t="str">
        <f>""</f>
        <v/>
      </c>
      <c r="DL288" t="str">
        <f>""</f>
        <v/>
      </c>
      <c r="DM288" t="str">
        <f>""</f>
        <v/>
      </c>
      <c r="DN288" t="str">
        <f>""</f>
        <v/>
      </c>
      <c r="DO288" t="str">
        <f>""</f>
        <v/>
      </c>
      <c r="DP288" t="str">
        <f>""</f>
        <v/>
      </c>
      <c r="DQ288" t="str">
        <f>""</f>
        <v/>
      </c>
      <c r="DR288" t="str">
        <f>""</f>
        <v/>
      </c>
      <c r="DS288" t="str">
        <f>""</f>
        <v/>
      </c>
      <c r="DT288" t="str">
        <f>""</f>
        <v/>
      </c>
      <c r="DU288" t="str">
        <f>""</f>
        <v/>
      </c>
    </row>
    <row r="289" spans="1:125">
      <c r="A289" t="str">
        <f>"    VEREIT Inc"</f>
        <v xml:space="preserve">    VEREIT Inc</v>
      </c>
      <c r="B289" t="str">
        <f>"VER US Equity"</f>
        <v>VER US Equity</v>
      </c>
      <c r="C289" t="str">
        <f t="shared" si="51"/>
        <v>F1178</v>
      </c>
      <c r="D289" t="str">
        <f t="shared" si="52"/>
        <v>NET_DEBT_EBITDA_ADJUSTED</v>
      </c>
      <c r="E289" t="str">
        <f t="shared" si="53"/>
        <v>动态</v>
      </c>
      <c r="F289" t="str">
        <f ca="1">IF(AND(ISNUMBER($F$733),$B$419=1),$F$733,HLOOKUP(INDIRECT(ADDRESS(2,COLUMN())),OFFSET($BN$2,0,0,ROW()-1,60),ROW()-1,FALSE))</f>
        <v/>
      </c>
      <c r="G289">
        <f ca="1">IF(AND(ISNUMBER($G$733),$B$419=1),$G$733,HLOOKUP(INDIRECT(ADDRESS(2,COLUMN())),OFFSET($BN$2,0,0,ROW()-1,60),ROW()-1,FALSE))</f>
        <v>5.48223459</v>
      </c>
      <c r="H289">
        <f ca="1">IF(AND(ISNUMBER($H$733),$B$419=1),$H$733,HLOOKUP(INDIRECT(ADDRESS(2,COLUMN())),OFFSET($BN$2,0,0,ROW()-1,60),ROW()-1,FALSE))</f>
        <v>5.2844557649999997</v>
      </c>
      <c r="I289">
        <f ca="1">IF(AND(ISNUMBER($I$733),$B$419=1),$I$733,HLOOKUP(INDIRECT(ADDRESS(2,COLUMN())),OFFSET($BN$2,0,0,ROW()-1,60),ROW()-1,FALSE))</f>
        <v>5.0968813839999996</v>
      </c>
      <c r="J289">
        <f ca="1">IF(AND(ISNUMBER($J$733),$B$419=1),$J$733,HLOOKUP(INDIRECT(ADDRESS(2,COLUMN())),OFFSET($BN$2,0,0,ROW()-1,60),ROW()-1,FALSE))</f>
        <v>5.1944939449999996</v>
      </c>
      <c r="K289">
        <f ca="1">IF(AND(ISNUMBER($K$733),$B$419=1),$K$733,HLOOKUP(INDIRECT(ADDRESS(2,COLUMN())),OFFSET($BN$2,0,0,ROW()-1,60),ROW()-1,FALSE))</f>
        <v>5.233396194</v>
      </c>
      <c r="L289">
        <f ca="1">IF(AND(ISNUMBER($L$733),$B$419=1),$L$733,HLOOKUP(INDIRECT(ADDRESS(2,COLUMN())),OFFSET($BN$2,0,0,ROW()-1,60),ROW()-1,FALSE))</f>
        <v>5.4085434919999997</v>
      </c>
      <c r="M289">
        <f ca="1">IF(AND(ISNUMBER($M$733),$B$419=1),$M$733,HLOOKUP(INDIRECT(ADDRESS(2,COLUMN())),OFFSET($BN$2,0,0,ROW()-1,60),ROW()-1,FALSE))</f>
        <v>9.7616712379999999</v>
      </c>
      <c r="N289">
        <f ca="1">IF(AND(ISNUMBER($N$733),$B$419=1),$N$733,HLOOKUP(INDIRECT(ADDRESS(2,COLUMN())),OFFSET($BN$2,0,0,ROW()-1,60),ROW()-1,FALSE))</f>
        <v>9.7400848230000001</v>
      </c>
      <c r="O289">
        <f ca="1">IF(AND(ISNUMBER($O$733),$B$419=1),$O$733,HLOOKUP(INDIRECT(ADDRESS(2,COLUMN())),OFFSET($BN$2,0,0,ROW()-1,60),ROW()-1,FALSE))</f>
        <v>9.7397306019999998</v>
      </c>
      <c r="P289">
        <f ca="1">IF(AND(ISNUMBER($P$733),$B$419=1),$P$733,HLOOKUP(INDIRECT(ADDRESS(2,COLUMN())),OFFSET($BN$2,0,0,ROW()-1,60),ROW()-1,FALSE))</f>
        <v>9.6996855400000008</v>
      </c>
      <c r="Q289">
        <f ca="1">IF(AND(ISNUMBER($Q$733),$B$419=1),$Q$733,HLOOKUP(INDIRECT(ADDRESS(2,COLUMN())),OFFSET($BN$2,0,0,ROW()-1,60),ROW()-1,FALSE))</f>
        <v>6.7197706960000003</v>
      </c>
      <c r="R289">
        <f ca="1">IF(AND(ISNUMBER($R$733),$B$419=1),$R$733,HLOOKUP(INDIRECT(ADDRESS(2,COLUMN())),OFFSET($BN$2,0,0,ROW()-1,60),ROW()-1,FALSE))</f>
        <v>6.8939295620000003</v>
      </c>
      <c r="S289">
        <f ca="1">IF(AND(ISNUMBER($S$733),$B$419=1),$S$733,HLOOKUP(INDIRECT(ADDRESS(2,COLUMN())),OFFSET($BN$2,0,0,ROW()-1,60),ROW()-1,FALSE))</f>
        <v>7.847700433</v>
      </c>
      <c r="T289">
        <f ca="1">IF(AND(ISNUMBER($T$733),$B$419=1),$T$733,HLOOKUP(INDIRECT(ADDRESS(2,COLUMN())),OFFSET($BN$2,0,0,ROW()-1,60),ROW()-1,FALSE))</f>
        <v>11.48330563</v>
      </c>
      <c r="U289">
        <f ca="1">IF(AND(ISNUMBER($U$733),$B$419=1),$U$733,HLOOKUP(INDIRECT(ADDRESS(2,COLUMN())),OFFSET($BN$2,0,0,ROW()-1,60),ROW()-1,FALSE))</f>
        <v>13.826735279999999</v>
      </c>
      <c r="V289">
        <f ca="1">IF(AND(ISNUMBER($V$733),$B$419=1),$V$733,HLOOKUP(INDIRECT(ADDRESS(2,COLUMN())),OFFSET($BN$2,0,0,ROW()-1,60),ROW()-1,FALSE))</f>
        <v>27.19864961</v>
      </c>
      <c r="W289">
        <f ca="1">IF(AND(ISNUMBER($W$733),$B$419=1),$W$733,HLOOKUP(INDIRECT(ADDRESS(2,COLUMN())),OFFSET($BN$2,0,0,ROW()-1,60),ROW()-1,FALSE))</f>
        <v>22.518088460000001</v>
      </c>
      <c r="X289">
        <f ca="1">IF(AND(ISNUMBER($X$733),$B$419=1),$X$733,HLOOKUP(INDIRECT(ADDRESS(2,COLUMN())),OFFSET($BN$2,0,0,ROW()-1,60),ROW()-1,FALSE))</f>
        <v>9.561418304</v>
      </c>
      <c r="Y289">
        <f ca="1">IF(AND(ISNUMBER($Y$733),$B$419=1),$Y$733,HLOOKUP(INDIRECT(ADDRESS(2,COLUMN())),OFFSET($BN$2,0,0,ROW()-1,60),ROW()-1,FALSE))</f>
        <v>16.74255419</v>
      </c>
      <c r="Z289">
        <f ca="1">IF(AND(ISNUMBER($Z$733),$B$419=1),$Z$733,HLOOKUP(INDIRECT(ADDRESS(2,COLUMN())),OFFSET($BN$2,0,0,ROW()-1,60),ROW()-1,FALSE))</f>
        <v>19.766475809999999</v>
      </c>
      <c r="AA289">
        <f ca="1">IF(AND(ISNUMBER($AA$733),$B$419=1),$AA$733,HLOOKUP(INDIRECT(ADDRESS(2,COLUMN())),OFFSET($BN$2,0,0,ROW()-1,60),ROW()-1,FALSE))</f>
        <v>15.80458834</v>
      </c>
      <c r="AB289">
        <f ca="1">IF(AND(ISNUMBER($AB$733),$B$419=1),$AB$733,HLOOKUP(INDIRECT(ADDRESS(2,COLUMN())),OFFSET($BN$2,0,0,ROW()-1,60),ROW()-1,FALSE))</f>
        <v>22.406329580000001</v>
      </c>
      <c r="AC289">
        <f ca="1">IF(AND(ISNUMBER($AC$733),$B$419=1),$AC$733,HLOOKUP(INDIRECT(ADDRESS(2,COLUMN())),OFFSET($BN$2,0,0,ROW()-1,60),ROW()-1,FALSE))</f>
        <v>40.272967909999998</v>
      </c>
      <c r="AD289" t="str">
        <f ca="1">IF(AND(ISNUMBER($AD$733),$B$419=1),$AD$733,HLOOKUP(INDIRECT(ADDRESS(2,COLUMN())),OFFSET($BN$2,0,0,ROW()-1,60),ROW()-1,FALSE))</f>
        <v/>
      </c>
      <c r="AE289" t="str">
        <f ca="1">IF(AND(ISNUMBER($AE$733),$B$419=1),$AE$733,HLOOKUP(INDIRECT(ADDRESS(2,COLUMN())),OFFSET($BN$2,0,0,ROW()-1,60),ROW()-1,FALSE))</f>
        <v/>
      </c>
      <c r="AF289" t="str">
        <f ca="1">IF(AND(ISNUMBER($AF$733),$B$419=1),$AF$733,HLOOKUP(INDIRECT(ADDRESS(2,COLUMN())),OFFSET($BN$2,0,0,ROW()-1,60),ROW()-1,FALSE))</f>
        <v/>
      </c>
      <c r="AG289" t="str">
        <f ca="1">IF(AND(ISNUMBER($AG$733),$B$419=1),$AG$733,HLOOKUP(INDIRECT(ADDRESS(2,COLUMN())),OFFSET($BN$2,0,0,ROW()-1,60),ROW()-1,FALSE))</f>
        <v/>
      </c>
      <c r="AH289" t="str">
        <f ca="1">IF(AND(ISNUMBER($AH$733),$B$419=1),$AH$733,HLOOKUP(INDIRECT(ADDRESS(2,COLUMN())),OFFSET($BN$2,0,0,ROW()-1,60),ROW()-1,FALSE))</f>
        <v/>
      </c>
      <c r="AI289" t="str">
        <f ca="1">IF(AND(ISNUMBER($AI$733),$B$419=1),$AI$733,HLOOKUP(INDIRECT(ADDRESS(2,COLUMN())),OFFSET($BN$2,0,0,ROW()-1,60),ROW()-1,FALSE))</f>
        <v/>
      </c>
      <c r="AJ289" t="str">
        <f ca="1">IF(AND(ISNUMBER($AJ$733),$B$419=1),$AJ$733,HLOOKUP(INDIRECT(ADDRESS(2,COLUMN())),OFFSET($BN$2,0,0,ROW()-1,60),ROW()-1,FALSE))</f>
        <v/>
      </c>
      <c r="AK289" t="str">
        <f ca="1">IF(AND(ISNUMBER($AK$733),$B$419=1),$AK$733,HLOOKUP(INDIRECT(ADDRESS(2,COLUMN())),OFFSET($BN$2,0,0,ROW()-1,60),ROW()-1,FALSE))</f>
        <v/>
      </c>
      <c r="AL289" t="str">
        <f ca="1">IF(AND(ISNUMBER($AL$733),$B$419=1),$AL$733,HLOOKUP(INDIRECT(ADDRESS(2,COLUMN())),OFFSET($BN$2,0,0,ROW()-1,60),ROW()-1,FALSE))</f>
        <v/>
      </c>
      <c r="AM289" t="str">
        <f ca="1">IF(AND(ISNUMBER($AM$733),$B$419=1),$AM$733,HLOOKUP(INDIRECT(ADDRESS(2,COLUMN())),OFFSET($BN$2,0,0,ROW()-1,60),ROW()-1,FALSE))</f>
        <v/>
      </c>
      <c r="AN289" t="str">
        <f ca="1">IF(AND(ISNUMBER($AN$733),$B$419=1),$AN$733,HLOOKUP(INDIRECT(ADDRESS(2,COLUMN())),OFFSET($BN$2,0,0,ROW()-1,60),ROW()-1,FALSE))</f>
        <v/>
      </c>
      <c r="AO289" t="str">
        <f ca="1">IF(AND(ISNUMBER($AO$733),$B$419=1),$AO$733,HLOOKUP(INDIRECT(ADDRESS(2,COLUMN())),OFFSET($BN$2,0,0,ROW()-1,60),ROW()-1,FALSE))</f>
        <v/>
      </c>
      <c r="AP289" t="str">
        <f ca="1">IF(AND(ISNUMBER($AP$733),$B$419=1),$AP$733,HLOOKUP(INDIRECT(ADDRESS(2,COLUMN())),OFFSET($BN$2,0,0,ROW()-1,60),ROW()-1,FALSE))</f>
        <v/>
      </c>
      <c r="AQ289" t="str">
        <f ca="1">IF(AND(ISNUMBER($AQ$733),$B$419=1),$AQ$733,HLOOKUP(INDIRECT(ADDRESS(2,COLUMN())),OFFSET($BN$2,0,0,ROW()-1,60),ROW()-1,FALSE))</f>
        <v/>
      </c>
      <c r="AR289" t="str">
        <f ca="1">IF(AND(ISNUMBER($AR$733),$B$419=1),$AR$733,HLOOKUP(INDIRECT(ADDRESS(2,COLUMN())),OFFSET($BN$2,0,0,ROW()-1,60),ROW()-1,FALSE))</f>
        <v/>
      </c>
      <c r="AS289" t="str">
        <f ca="1">IF(AND(ISNUMBER($AS$733),$B$419=1),$AS$733,HLOOKUP(INDIRECT(ADDRESS(2,COLUMN())),OFFSET($BN$2,0,0,ROW()-1,60),ROW()-1,FALSE))</f>
        <v/>
      </c>
      <c r="AT289" t="str">
        <f ca="1">IF(AND(ISNUMBER($AT$733),$B$419=1),$AT$733,HLOOKUP(INDIRECT(ADDRESS(2,COLUMN())),OFFSET($BN$2,0,0,ROW()-1,60),ROW()-1,FALSE))</f>
        <v/>
      </c>
      <c r="AU289" t="str">
        <f ca="1">IF(AND(ISNUMBER($AU$733),$B$419=1),$AU$733,HLOOKUP(INDIRECT(ADDRESS(2,COLUMN())),OFFSET($BN$2,0,0,ROW()-1,60),ROW()-1,FALSE))</f>
        <v/>
      </c>
      <c r="AV289" t="str">
        <f ca="1">IF(AND(ISNUMBER($AV$733),$B$419=1),$AV$733,HLOOKUP(INDIRECT(ADDRESS(2,COLUMN())),OFFSET($BN$2,0,0,ROW()-1,60),ROW()-1,FALSE))</f>
        <v/>
      </c>
      <c r="AW289" t="str">
        <f ca="1">IF(AND(ISNUMBER($AW$733),$B$419=1),$AW$733,HLOOKUP(INDIRECT(ADDRESS(2,COLUMN())),OFFSET($BN$2,0,0,ROW()-1,60),ROW()-1,FALSE))</f>
        <v/>
      </c>
      <c r="AX289" t="str">
        <f ca="1">IF(AND(ISNUMBER($AX$733),$B$419=1),$AX$733,HLOOKUP(INDIRECT(ADDRESS(2,COLUMN())),OFFSET($BN$2,0,0,ROW()-1,60),ROW()-1,FALSE))</f>
        <v/>
      </c>
      <c r="AY289" t="str">
        <f ca="1">IF(AND(ISNUMBER($AY$733),$B$419=1),$AY$733,HLOOKUP(INDIRECT(ADDRESS(2,COLUMN())),OFFSET($BN$2,0,0,ROW()-1,60),ROW()-1,FALSE))</f>
        <v/>
      </c>
      <c r="AZ289" t="str">
        <f ca="1">IF(AND(ISNUMBER($AZ$733),$B$419=1),$AZ$733,HLOOKUP(INDIRECT(ADDRESS(2,COLUMN())),OFFSET($BN$2,0,0,ROW()-1,60),ROW()-1,FALSE))</f>
        <v/>
      </c>
      <c r="BA289" t="str">
        <f ca="1">IF(AND(ISNUMBER($BA$733),$B$419=1),$BA$733,HLOOKUP(INDIRECT(ADDRESS(2,COLUMN())),OFFSET($BN$2,0,0,ROW()-1,60),ROW()-1,FALSE))</f>
        <v/>
      </c>
      <c r="BB289" t="str">
        <f ca="1">IF(AND(ISNUMBER($BB$733),$B$419=1),$BB$733,HLOOKUP(INDIRECT(ADDRESS(2,COLUMN())),OFFSET($BN$2,0,0,ROW()-1,60),ROW()-1,FALSE))</f>
        <v/>
      </c>
      <c r="BC289" t="str">
        <f ca="1">IF(AND(ISNUMBER($BC$733),$B$419=1),$BC$733,HLOOKUP(INDIRECT(ADDRESS(2,COLUMN())),OFFSET($BN$2,0,0,ROW()-1,60),ROW()-1,FALSE))</f>
        <v/>
      </c>
      <c r="BD289" t="str">
        <f ca="1">IF(AND(ISNUMBER($BD$733),$B$419=1),$BD$733,HLOOKUP(INDIRECT(ADDRESS(2,COLUMN())),OFFSET($BN$2,0,0,ROW()-1,60),ROW()-1,FALSE))</f>
        <v/>
      </c>
      <c r="BE289" t="str">
        <f ca="1">IF(AND(ISNUMBER($BE$733),$B$419=1),$BE$733,HLOOKUP(INDIRECT(ADDRESS(2,COLUMN())),OFFSET($BN$2,0,0,ROW()-1,60),ROW()-1,FALSE))</f>
        <v/>
      </c>
      <c r="BF289" t="str">
        <f ca="1">IF(AND(ISNUMBER($BF$733),$B$419=1),$BF$733,HLOOKUP(INDIRECT(ADDRESS(2,COLUMN())),OFFSET($BN$2,0,0,ROW()-1,60),ROW()-1,FALSE))</f>
        <v/>
      </c>
      <c r="BG289" t="str">
        <f ca="1">IF(AND(ISNUMBER($BG$733),$B$419=1),$BG$733,HLOOKUP(INDIRECT(ADDRESS(2,COLUMN())),OFFSET($BN$2,0,0,ROW()-1,60),ROW()-1,FALSE))</f>
        <v/>
      </c>
      <c r="BH289" t="str">
        <f ca="1">IF(AND(ISNUMBER($BH$733),$B$419=1),$BH$733,HLOOKUP(INDIRECT(ADDRESS(2,COLUMN())),OFFSET($BN$2,0,0,ROW()-1,60),ROW()-1,FALSE))</f>
        <v/>
      </c>
      <c r="BI289" t="str">
        <f ca="1">IF(AND(ISNUMBER($BI$733),$B$419=1),$BI$733,HLOOKUP(INDIRECT(ADDRESS(2,COLUMN())),OFFSET($BN$2,0,0,ROW()-1,60),ROW()-1,FALSE))</f>
        <v/>
      </c>
      <c r="BJ289" t="str">
        <f ca="1">IF(AND(ISNUMBER($BJ$733),$B$419=1),$BJ$733,HLOOKUP(INDIRECT(ADDRESS(2,COLUMN())),OFFSET($BN$2,0,0,ROW()-1,60),ROW()-1,FALSE))</f>
        <v/>
      </c>
      <c r="BK289" t="str">
        <f ca="1">IF(AND(ISNUMBER($BK$733),$B$419=1),$BK$733,HLOOKUP(INDIRECT(ADDRESS(2,COLUMN())),OFFSET($BN$2,0,0,ROW()-1,60),ROW()-1,FALSE))</f>
        <v/>
      </c>
      <c r="BL289" t="str">
        <f ca="1">IF(AND(ISNUMBER($BL$733),$B$419=1),$BL$733,HLOOKUP(INDIRECT(ADDRESS(2,COLUMN())),OFFSET($BN$2,0,0,ROW()-1,60),ROW()-1,FALSE))</f>
        <v/>
      </c>
      <c r="BM289" t="str">
        <f ca="1">IF(AND(ISNUMBER($BM$733),$B$419=1),$BM$733,HLOOKUP(INDIRECT(ADDRESS(2,COLUMN())),OFFSET($BN$2,0,0,ROW()-1,60),ROW()-1,FALSE))</f>
        <v/>
      </c>
      <c r="BN289" t="str">
        <f>""</f>
        <v/>
      </c>
      <c r="BO289">
        <f>5.48223459</f>
        <v>5.48223459</v>
      </c>
      <c r="BP289">
        <f>5.284455765</f>
        <v>5.2844557649999997</v>
      </c>
      <c r="BQ289">
        <f>5.096881384</f>
        <v>5.0968813839999996</v>
      </c>
      <c r="BR289">
        <f>5.194493945</f>
        <v>5.1944939449999996</v>
      </c>
      <c r="BS289">
        <f>5.233396194</f>
        <v>5.233396194</v>
      </c>
      <c r="BT289">
        <f>5.408543492</f>
        <v>5.4085434919999997</v>
      </c>
      <c r="BU289">
        <f>9.761671238</f>
        <v>9.7616712379999999</v>
      </c>
      <c r="BV289">
        <f>9.740084823</f>
        <v>9.7400848230000001</v>
      </c>
      <c r="BW289">
        <f>9.739730602</f>
        <v>9.7397306019999998</v>
      </c>
      <c r="BX289">
        <f>9.69968554</f>
        <v>9.6996855400000008</v>
      </c>
      <c r="BY289">
        <f>6.719770696</f>
        <v>6.7197706960000003</v>
      </c>
      <c r="BZ289">
        <f>6.893929562</f>
        <v>6.8939295620000003</v>
      </c>
      <c r="CA289">
        <f>7.847700433</f>
        <v>7.847700433</v>
      </c>
      <c r="CB289">
        <f>11.48330563</f>
        <v>11.48330563</v>
      </c>
      <c r="CC289">
        <f>13.82673528</f>
        <v>13.826735279999999</v>
      </c>
      <c r="CD289">
        <f>27.19864961</f>
        <v>27.19864961</v>
      </c>
      <c r="CE289">
        <f>22.51808846</f>
        <v>22.518088460000001</v>
      </c>
      <c r="CF289">
        <f>9.561418304</f>
        <v>9.561418304</v>
      </c>
      <c r="CG289">
        <f>16.74255419</f>
        <v>16.74255419</v>
      </c>
      <c r="CH289">
        <f>19.76647581</f>
        <v>19.766475809999999</v>
      </c>
      <c r="CI289">
        <f>15.80458834</f>
        <v>15.80458834</v>
      </c>
      <c r="CJ289">
        <f>22.40632958</f>
        <v>22.406329580000001</v>
      </c>
      <c r="CK289">
        <f>40.27296791</f>
        <v>40.272967909999998</v>
      </c>
      <c r="CL289" t="str">
        <f>""</f>
        <v/>
      </c>
      <c r="CM289" t="str">
        <f>""</f>
        <v/>
      </c>
      <c r="CN289" t="str">
        <f>""</f>
        <v/>
      </c>
      <c r="CO289" t="str">
        <f>""</f>
        <v/>
      </c>
      <c r="CP289" t="str">
        <f>""</f>
        <v/>
      </c>
      <c r="CQ289" t="str">
        <f>""</f>
        <v/>
      </c>
      <c r="CR289" t="str">
        <f>""</f>
        <v/>
      </c>
      <c r="CS289" t="str">
        <f>""</f>
        <v/>
      </c>
      <c r="CT289" t="str">
        <f>""</f>
        <v/>
      </c>
      <c r="CU289" t="str">
        <f>""</f>
        <v/>
      </c>
      <c r="CV289" t="str">
        <f>""</f>
        <v/>
      </c>
      <c r="CW289" t="str">
        <f>""</f>
        <v/>
      </c>
      <c r="CX289" t="str">
        <f>""</f>
        <v/>
      </c>
      <c r="CY289" t="str">
        <f>""</f>
        <v/>
      </c>
      <c r="CZ289" t="str">
        <f>""</f>
        <v/>
      </c>
      <c r="DA289" t="str">
        <f>""</f>
        <v/>
      </c>
      <c r="DB289" t="str">
        <f>""</f>
        <v/>
      </c>
      <c r="DC289" t="str">
        <f>""</f>
        <v/>
      </c>
      <c r="DD289" t="str">
        <f>""</f>
        <v/>
      </c>
      <c r="DE289" t="str">
        <f>""</f>
        <v/>
      </c>
      <c r="DF289" t="str">
        <f>""</f>
        <v/>
      </c>
      <c r="DG289" t="str">
        <f>""</f>
        <v/>
      </c>
      <c r="DH289" t="str">
        <f>""</f>
        <v/>
      </c>
      <c r="DI289" t="str">
        <f>""</f>
        <v/>
      </c>
      <c r="DJ289" t="str">
        <f>""</f>
        <v/>
      </c>
      <c r="DK289" t="str">
        <f>""</f>
        <v/>
      </c>
      <c r="DL289" t="str">
        <f>""</f>
        <v/>
      </c>
      <c r="DM289" t="str">
        <f>""</f>
        <v/>
      </c>
      <c r="DN289" t="str">
        <f>""</f>
        <v/>
      </c>
      <c r="DO289" t="str">
        <f>""</f>
        <v/>
      </c>
      <c r="DP289" t="str">
        <f>""</f>
        <v/>
      </c>
      <c r="DQ289" t="str">
        <f>""</f>
        <v/>
      </c>
      <c r="DR289" t="str">
        <f>""</f>
        <v/>
      </c>
      <c r="DS289" t="str">
        <f>""</f>
        <v/>
      </c>
      <c r="DT289" t="str">
        <f>""</f>
        <v/>
      </c>
      <c r="DU289" t="str">
        <f>""</f>
        <v/>
      </c>
    </row>
    <row r="290" spans="1:125">
      <c r="A290" t="str">
        <f>"    Washington Prime Group Inc"</f>
        <v xml:space="preserve">    Washington Prime Group Inc</v>
      </c>
      <c r="B290" t="str">
        <f>"WPG US Equity"</f>
        <v>WPG US Equity</v>
      </c>
      <c r="C290" t="str">
        <f t="shared" si="51"/>
        <v>F1178</v>
      </c>
      <c r="D290" t="str">
        <f t="shared" si="52"/>
        <v>NET_DEBT_EBITDA_ADJUSTED</v>
      </c>
      <c r="E290" t="str">
        <f t="shared" si="53"/>
        <v>动态</v>
      </c>
      <c r="F290" t="str">
        <f ca="1">IF(AND(ISNUMBER($F$734),$B$419=1),$F$734,HLOOKUP(INDIRECT(ADDRESS(2,COLUMN())),OFFSET($BN$2,0,0,ROW()-1,60),ROW()-1,FALSE))</f>
        <v/>
      </c>
      <c r="G290">
        <f ca="1">IF(AND(ISNUMBER($G$734),$B$419=1),$G$734,HLOOKUP(INDIRECT(ADDRESS(2,COLUMN())),OFFSET($BN$2,0,0,ROW()-1,60),ROW()-1,FALSE))</f>
        <v>6.0206415470000003</v>
      </c>
      <c r="H290">
        <f ca="1">IF(AND(ISNUMBER($H$734),$B$419=1),$H$734,HLOOKUP(INDIRECT(ADDRESS(2,COLUMN())),OFFSET($BN$2,0,0,ROW()-1,60),ROW()-1,FALSE))</f>
        <v>6.0424785539999997</v>
      </c>
      <c r="I290">
        <f ca="1">IF(AND(ISNUMBER($I$734),$B$419=1),$I$734,HLOOKUP(INDIRECT(ADDRESS(2,COLUMN())),OFFSET($BN$2,0,0,ROW()-1,60),ROW()-1,FALSE))</f>
        <v>5.809164279</v>
      </c>
      <c r="J290">
        <f ca="1">IF(AND(ISNUMBER($J$734),$B$419=1),$J$734,HLOOKUP(INDIRECT(ADDRESS(2,COLUMN())),OFFSET($BN$2,0,0,ROW()-1,60),ROW()-1,FALSE))</f>
        <v>6.5020464530000002</v>
      </c>
      <c r="K290">
        <f ca="1">IF(AND(ISNUMBER($K$734),$B$419=1),$K$734,HLOOKUP(INDIRECT(ADDRESS(2,COLUMN())),OFFSET($BN$2,0,0,ROW()-1,60),ROW()-1,FALSE))</f>
        <v>6.1278425470000002</v>
      </c>
      <c r="L290">
        <f ca="1">IF(AND(ISNUMBER($L$734),$B$419=1),$L$734,HLOOKUP(INDIRECT(ADDRESS(2,COLUMN())),OFFSET($BN$2,0,0,ROW()-1,60),ROW()-1,FALSE))</f>
        <v>6.1679904309999998</v>
      </c>
      <c r="M290">
        <f ca="1">IF(AND(ISNUMBER($M$734),$B$419=1),$M$734,HLOOKUP(INDIRECT(ADDRESS(2,COLUMN())),OFFSET($BN$2,0,0,ROW()-1,60),ROW()-1,FALSE))</f>
        <v>6.0896898110000004</v>
      </c>
      <c r="N290">
        <f ca="1">IF(AND(ISNUMBER($N$734),$B$419=1),$N$734,HLOOKUP(INDIRECT(ADDRESS(2,COLUMN())),OFFSET($BN$2,0,0,ROW()-1,60),ROW()-1,FALSE))</f>
        <v>6.2122360470000002</v>
      </c>
      <c r="O290">
        <f ca="1">IF(AND(ISNUMBER($O$734),$B$419=1),$O$734,HLOOKUP(INDIRECT(ADDRESS(2,COLUMN())),OFFSET($BN$2,0,0,ROW()-1,60),ROW()-1,FALSE))</f>
        <v>6.047958532</v>
      </c>
      <c r="P290">
        <f ca="1">IF(AND(ISNUMBER($P$734),$B$419=1),$P$734,HLOOKUP(INDIRECT(ADDRESS(2,COLUMN())),OFFSET($BN$2,0,0,ROW()-1,60),ROW()-1,FALSE))</f>
        <v>6.3037478719999998</v>
      </c>
      <c r="Q290">
        <f ca="1">IF(AND(ISNUMBER($Q$734),$B$419=1),$Q$734,HLOOKUP(INDIRECT(ADDRESS(2,COLUMN())),OFFSET($BN$2,0,0,ROW()-1,60),ROW()-1,FALSE))</f>
        <v>6.5675562640000003</v>
      </c>
      <c r="R290">
        <f ca="1">IF(AND(ISNUMBER($R$734),$B$419=1),$R$734,HLOOKUP(INDIRECT(ADDRESS(2,COLUMN())),OFFSET($BN$2,0,0,ROW()-1,60),ROW()-1,FALSE))</f>
        <v>9.4373689590000005</v>
      </c>
      <c r="S290">
        <f ca="1">IF(AND(ISNUMBER($S$734),$B$419=1),$S$734,HLOOKUP(INDIRECT(ADDRESS(2,COLUMN())),OFFSET($BN$2,0,0,ROW()-1,60),ROW()-1,FALSE))</f>
        <v>5.2852272429999996</v>
      </c>
      <c r="T290" t="str">
        <f ca="1">IF(AND(ISNUMBER($T$734),$B$419=1),$T$734,HLOOKUP(INDIRECT(ADDRESS(2,COLUMN())),OFFSET($BN$2,0,0,ROW()-1,60),ROW()-1,FALSE))</f>
        <v/>
      </c>
      <c r="U290" t="str">
        <f ca="1">IF(AND(ISNUMBER($U$734),$B$419=1),$U$734,HLOOKUP(INDIRECT(ADDRESS(2,COLUMN())),OFFSET($BN$2,0,0,ROW()-1,60),ROW()-1,FALSE))</f>
        <v/>
      </c>
      <c r="V290" t="str">
        <f ca="1">IF(AND(ISNUMBER($V$734),$B$419=1),$V$734,HLOOKUP(INDIRECT(ADDRESS(2,COLUMN())),OFFSET($BN$2,0,0,ROW()-1,60),ROW()-1,FALSE))</f>
        <v/>
      </c>
      <c r="W290" t="str">
        <f ca="1">IF(AND(ISNUMBER($W$734),$B$419=1),$W$734,HLOOKUP(INDIRECT(ADDRESS(2,COLUMN())),OFFSET($BN$2,0,0,ROW()-1,60),ROW()-1,FALSE))</f>
        <v/>
      </c>
      <c r="X290" t="str">
        <f ca="1">IF(AND(ISNUMBER($X$734),$B$419=1),$X$734,HLOOKUP(INDIRECT(ADDRESS(2,COLUMN())),OFFSET($BN$2,0,0,ROW()-1,60),ROW()-1,FALSE))</f>
        <v/>
      </c>
      <c r="Y290" t="str">
        <f ca="1">IF(AND(ISNUMBER($Y$734),$B$419=1),$Y$734,HLOOKUP(INDIRECT(ADDRESS(2,COLUMN())),OFFSET($BN$2,0,0,ROW()-1,60),ROW()-1,FALSE))</f>
        <v/>
      </c>
      <c r="Z290" t="str">
        <f ca="1">IF(AND(ISNUMBER($Z$734),$B$419=1),$Z$734,HLOOKUP(INDIRECT(ADDRESS(2,COLUMN())),OFFSET($BN$2,0,0,ROW()-1,60),ROW()-1,FALSE))</f>
        <v/>
      </c>
      <c r="AA290" t="str">
        <f ca="1">IF(AND(ISNUMBER($AA$734),$B$419=1),$AA$734,HLOOKUP(INDIRECT(ADDRESS(2,COLUMN())),OFFSET($BN$2,0,0,ROW()-1,60),ROW()-1,FALSE))</f>
        <v/>
      </c>
      <c r="AB290" t="str">
        <f ca="1">IF(AND(ISNUMBER($AB$734),$B$419=1),$AB$734,HLOOKUP(INDIRECT(ADDRESS(2,COLUMN())),OFFSET($BN$2,0,0,ROW()-1,60),ROW()-1,FALSE))</f>
        <v/>
      </c>
      <c r="AC290" t="str">
        <f ca="1">IF(AND(ISNUMBER($AC$734),$B$419=1),$AC$734,HLOOKUP(INDIRECT(ADDRESS(2,COLUMN())),OFFSET($BN$2,0,0,ROW()-1,60),ROW()-1,FALSE))</f>
        <v/>
      </c>
      <c r="AD290" t="str">
        <f ca="1">IF(AND(ISNUMBER($AD$734),$B$419=1),$AD$734,HLOOKUP(INDIRECT(ADDRESS(2,COLUMN())),OFFSET($BN$2,0,0,ROW()-1,60),ROW()-1,FALSE))</f>
        <v/>
      </c>
      <c r="AE290" t="str">
        <f ca="1">IF(AND(ISNUMBER($AE$734),$B$419=1),$AE$734,HLOOKUP(INDIRECT(ADDRESS(2,COLUMN())),OFFSET($BN$2,0,0,ROW()-1,60),ROW()-1,FALSE))</f>
        <v/>
      </c>
      <c r="AF290" t="str">
        <f ca="1">IF(AND(ISNUMBER($AF$734),$B$419=1),$AF$734,HLOOKUP(INDIRECT(ADDRESS(2,COLUMN())),OFFSET($BN$2,0,0,ROW()-1,60),ROW()-1,FALSE))</f>
        <v/>
      </c>
      <c r="AG290" t="str">
        <f ca="1">IF(AND(ISNUMBER($AG$734),$B$419=1),$AG$734,HLOOKUP(INDIRECT(ADDRESS(2,COLUMN())),OFFSET($BN$2,0,0,ROW()-1,60),ROW()-1,FALSE))</f>
        <v/>
      </c>
      <c r="AH290" t="str">
        <f ca="1">IF(AND(ISNUMBER($AH$734),$B$419=1),$AH$734,HLOOKUP(INDIRECT(ADDRESS(2,COLUMN())),OFFSET($BN$2,0,0,ROW()-1,60),ROW()-1,FALSE))</f>
        <v/>
      </c>
      <c r="AI290" t="str">
        <f ca="1">IF(AND(ISNUMBER($AI$734),$B$419=1),$AI$734,HLOOKUP(INDIRECT(ADDRESS(2,COLUMN())),OFFSET($BN$2,0,0,ROW()-1,60),ROW()-1,FALSE))</f>
        <v/>
      </c>
      <c r="AJ290" t="str">
        <f ca="1">IF(AND(ISNUMBER($AJ$734),$B$419=1),$AJ$734,HLOOKUP(INDIRECT(ADDRESS(2,COLUMN())),OFFSET($BN$2,0,0,ROW()-1,60),ROW()-1,FALSE))</f>
        <v/>
      </c>
      <c r="AK290" t="str">
        <f ca="1">IF(AND(ISNUMBER($AK$734),$B$419=1),$AK$734,HLOOKUP(INDIRECT(ADDRESS(2,COLUMN())),OFFSET($BN$2,0,0,ROW()-1,60),ROW()-1,FALSE))</f>
        <v/>
      </c>
      <c r="AL290" t="str">
        <f ca="1">IF(AND(ISNUMBER($AL$734),$B$419=1),$AL$734,HLOOKUP(INDIRECT(ADDRESS(2,COLUMN())),OFFSET($BN$2,0,0,ROW()-1,60),ROW()-1,FALSE))</f>
        <v/>
      </c>
      <c r="AM290" t="str">
        <f ca="1">IF(AND(ISNUMBER($AM$734),$B$419=1),$AM$734,HLOOKUP(INDIRECT(ADDRESS(2,COLUMN())),OFFSET($BN$2,0,0,ROW()-1,60),ROW()-1,FALSE))</f>
        <v/>
      </c>
      <c r="AN290" t="str">
        <f ca="1">IF(AND(ISNUMBER($AN$734),$B$419=1),$AN$734,HLOOKUP(INDIRECT(ADDRESS(2,COLUMN())),OFFSET($BN$2,0,0,ROW()-1,60),ROW()-1,FALSE))</f>
        <v/>
      </c>
      <c r="AO290" t="str">
        <f ca="1">IF(AND(ISNUMBER($AO$734),$B$419=1),$AO$734,HLOOKUP(INDIRECT(ADDRESS(2,COLUMN())),OFFSET($BN$2,0,0,ROW()-1,60),ROW()-1,FALSE))</f>
        <v/>
      </c>
      <c r="AP290" t="str">
        <f ca="1">IF(AND(ISNUMBER($AP$734),$B$419=1),$AP$734,HLOOKUP(INDIRECT(ADDRESS(2,COLUMN())),OFFSET($BN$2,0,0,ROW()-1,60),ROW()-1,FALSE))</f>
        <v/>
      </c>
      <c r="AQ290" t="str">
        <f ca="1">IF(AND(ISNUMBER($AQ$734),$B$419=1),$AQ$734,HLOOKUP(INDIRECT(ADDRESS(2,COLUMN())),OFFSET($BN$2,0,0,ROW()-1,60),ROW()-1,FALSE))</f>
        <v/>
      </c>
      <c r="AR290" t="str">
        <f ca="1">IF(AND(ISNUMBER($AR$734),$B$419=1),$AR$734,HLOOKUP(INDIRECT(ADDRESS(2,COLUMN())),OFFSET($BN$2,0,0,ROW()-1,60),ROW()-1,FALSE))</f>
        <v/>
      </c>
      <c r="AS290" t="str">
        <f ca="1">IF(AND(ISNUMBER($AS$734),$B$419=1),$AS$734,HLOOKUP(INDIRECT(ADDRESS(2,COLUMN())),OFFSET($BN$2,0,0,ROW()-1,60),ROW()-1,FALSE))</f>
        <v/>
      </c>
      <c r="AT290" t="str">
        <f ca="1">IF(AND(ISNUMBER($AT$734),$B$419=1),$AT$734,HLOOKUP(INDIRECT(ADDRESS(2,COLUMN())),OFFSET($BN$2,0,0,ROW()-1,60),ROW()-1,FALSE))</f>
        <v/>
      </c>
      <c r="AU290" t="str">
        <f ca="1">IF(AND(ISNUMBER($AU$734),$B$419=1),$AU$734,HLOOKUP(INDIRECT(ADDRESS(2,COLUMN())),OFFSET($BN$2,0,0,ROW()-1,60),ROW()-1,FALSE))</f>
        <v/>
      </c>
      <c r="AV290" t="str">
        <f ca="1">IF(AND(ISNUMBER($AV$734),$B$419=1),$AV$734,HLOOKUP(INDIRECT(ADDRESS(2,COLUMN())),OFFSET($BN$2,0,0,ROW()-1,60),ROW()-1,FALSE))</f>
        <v/>
      </c>
      <c r="AW290" t="str">
        <f ca="1">IF(AND(ISNUMBER($AW$734),$B$419=1),$AW$734,HLOOKUP(INDIRECT(ADDRESS(2,COLUMN())),OFFSET($BN$2,0,0,ROW()-1,60),ROW()-1,FALSE))</f>
        <v/>
      </c>
      <c r="AX290" t="str">
        <f ca="1">IF(AND(ISNUMBER($AX$734),$B$419=1),$AX$734,HLOOKUP(INDIRECT(ADDRESS(2,COLUMN())),OFFSET($BN$2,0,0,ROW()-1,60),ROW()-1,FALSE))</f>
        <v/>
      </c>
      <c r="AY290" t="str">
        <f ca="1">IF(AND(ISNUMBER($AY$734),$B$419=1),$AY$734,HLOOKUP(INDIRECT(ADDRESS(2,COLUMN())),OFFSET($BN$2,0,0,ROW()-1,60),ROW()-1,FALSE))</f>
        <v/>
      </c>
      <c r="AZ290" t="str">
        <f ca="1">IF(AND(ISNUMBER($AZ$734),$B$419=1),$AZ$734,HLOOKUP(INDIRECT(ADDRESS(2,COLUMN())),OFFSET($BN$2,0,0,ROW()-1,60),ROW()-1,FALSE))</f>
        <v/>
      </c>
      <c r="BA290" t="str">
        <f ca="1">IF(AND(ISNUMBER($BA$734),$B$419=1),$BA$734,HLOOKUP(INDIRECT(ADDRESS(2,COLUMN())),OFFSET($BN$2,0,0,ROW()-1,60),ROW()-1,FALSE))</f>
        <v/>
      </c>
      <c r="BB290" t="str">
        <f ca="1">IF(AND(ISNUMBER($BB$734),$B$419=1),$BB$734,HLOOKUP(INDIRECT(ADDRESS(2,COLUMN())),OFFSET($BN$2,0,0,ROW()-1,60),ROW()-1,FALSE))</f>
        <v/>
      </c>
      <c r="BC290" t="str">
        <f ca="1">IF(AND(ISNUMBER($BC$734),$B$419=1),$BC$734,HLOOKUP(INDIRECT(ADDRESS(2,COLUMN())),OFFSET($BN$2,0,0,ROW()-1,60),ROW()-1,FALSE))</f>
        <v/>
      </c>
      <c r="BD290" t="str">
        <f ca="1">IF(AND(ISNUMBER($BD$734),$B$419=1),$BD$734,HLOOKUP(INDIRECT(ADDRESS(2,COLUMN())),OFFSET($BN$2,0,0,ROW()-1,60),ROW()-1,FALSE))</f>
        <v/>
      </c>
      <c r="BE290" t="str">
        <f ca="1">IF(AND(ISNUMBER($BE$734),$B$419=1),$BE$734,HLOOKUP(INDIRECT(ADDRESS(2,COLUMN())),OFFSET($BN$2,0,0,ROW()-1,60),ROW()-1,FALSE))</f>
        <v/>
      </c>
      <c r="BF290" t="str">
        <f ca="1">IF(AND(ISNUMBER($BF$734),$B$419=1),$BF$734,HLOOKUP(INDIRECT(ADDRESS(2,COLUMN())),OFFSET($BN$2,0,0,ROW()-1,60),ROW()-1,FALSE))</f>
        <v/>
      </c>
      <c r="BG290" t="str">
        <f ca="1">IF(AND(ISNUMBER($BG$734),$B$419=1),$BG$734,HLOOKUP(INDIRECT(ADDRESS(2,COLUMN())),OFFSET($BN$2,0,0,ROW()-1,60),ROW()-1,FALSE))</f>
        <v/>
      </c>
      <c r="BH290" t="str">
        <f ca="1">IF(AND(ISNUMBER($BH$734),$B$419=1),$BH$734,HLOOKUP(INDIRECT(ADDRESS(2,COLUMN())),OFFSET($BN$2,0,0,ROW()-1,60),ROW()-1,FALSE))</f>
        <v/>
      </c>
      <c r="BI290" t="str">
        <f ca="1">IF(AND(ISNUMBER($BI$734),$B$419=1),$BI$734,HLOOKUP(INDIRECT(ADDRESS(2,COLUMN())),OFFSET($BN$2,0,0,ROW()-1,60),ROW()-1,FALSE))</f>
        <v/>
      </c>
      <c r="BJ290" t="str">
        <f ca="1">IF(AND(ISNUMBER($BJ$734),$B$419=1),$BJ$734,HLOOKUP(INDIRECT(ADDRESS(2,COLUMN())),OFFSET($BN$2,0,0,ROW()-1,60),ROW()-1,FALSE))</f>
        <v/>
      </c>
      <c r="BK290" t="str">
        <f ca="1">IF(AND(ISNUMBER($BK$734),$B$419=1),$BK$734,HLOOKUP(INDIRECT(ADDRESS(2,COLUMN())),OFFSET($BN$2,0,0,ROW()-1,60),ROW()-1,FALSE))</f>
        <v/>
      </c>
      <c r="BL290" t="str">
        <f ca="1">IF(AND(ISNUMBER($BL$734),$B$419=1),$BL$734,HLOOKUP(INDIRECT(ADDRESS(2,COLUMN())),OFFSET($BN$2,0,0,ROW()-1,60),ROW()-1,FALSE))</f>
        <v/>
      </c>
      <c r="BM290" t="str">
        <f ca="1">IF(AND(ISNUMBER($BM$734),$B$419=1),$BM$734,HLOOKUP(INDIRECT(ADDRESS(2,COLUMN())),OFFSET($BN$2,0,0,ROW()-1,60),ROW()-1,FALSE))</f>
        <v/>
      </c>
      <c r="BN290" t="str">
        <f>""</f>
        <v/>
      </c>
      <c r="BO290">
        <f>6.020641547</f>
        <v>6.0206415470000003</v>
      </c>
      <c r="BP290">
        <f>6.042478554</f>
        <v>6.0424785539999997</v>
      </c>
      <c r="BQ290">
        <f>5.809164279</f>
        <v>5.809164279</v>
      </c>
      <c r="BR290">
        <f>6.502046453</f>
        <v>6.5020464530000002</v>
      </c>
      <c r="BS290">
        <f>6.127842547</f>
        <v>6.1278425470000002</v>
      </c>
      <c r="BT290">
        <f>6.167990431</f>
        <v>6.1679904309999998</v>
      </c>
      <c r="BU290">
        <f>6.089689811</f>
        <v>6.0896898110000004</v>
      </c>
      <c r="BV290">
        <f>6.212236047</f>
        <v>6.2122360470000002</v>
      </c>
      <c r="BW290">
        <f>6.047958532</f>
        <v>6.047958532</v>
      </c>
      <c r="BX290">
        <f>6.303747872</f>
        <v>6.3037478719999998</v>
      </c>
      <c r="BY290">
        <f>6.567556264</f>
        <v>6.5675562640000003</v>
      </c>
      <c r="BZ290">
        <f>9.437368959</f>
        <v>9.4373689590000005</v>
      </c>
      <c r="CA290">
        <f>5.285227243</f>
        <v>5.2852272429999996</v>
      </c>
      <c r="CB290" t="str">
        <f>""</f>
        <v/>
      </c>
      <c r="CC290" t="str">
        <f>""</f>
        <v/>
      </c>
      <c r="CD290" t="str">
        <f>""</f>
        <v/>
      </c>
      <c r="CE290" t="str">
        <f>""</f>
        <v/>
      </c>
      <c r="CF290" t="str">
        <f>""</f>
        <v/>
      </c>
      <c r="CG290" t="str">
        <f>""</f>
        <v/>
      </c>
      <c r="CH290" t="str">
        <f>""</f>
        <v/>
      </c>
      <c r="CI290" t="str">
        <f>""</f>
        <v/>
      </c>
      <c r="CJ290" t="str">
        <f>""</f>
        <v/>
      </c>
      <c r="CK290" t="str">
        <f>""</f>
        <v/>
      </c>
      <c r="CL290" t="str">
        <f>""</f>
        <v/>
      </c>
      <c r="CM290" t="str">
        <f>""</f>
        <v/>
      </c>
      <c r="CN290" t="str">
        <f>""</f>
        <v/>
      </c>
      <c r="CO290" t="str">
        <f>""</f>
        <v/>
      </c>
      <c r="CP290" t="str">
        <f>""</f>
        <v/>
      </c>
      <c r="CQ290" t="str">
        <f>""</f>
        <v/>
      </c>
      <c r="CR290" t="str">
        <f>""</f>
        <v/>
      </c>
      <c r="CS290" t="str">
        <f>""</f>
        <v/>
      </c>
      <c r="CT290" t="str">
        <f>""</f>
        <v/>
      </c>
      <c r="CU290" t="str">
        <f>""</f>
        <v/>
      </c>
      <c r="CV290" t="str">
        <f>""</f>
        <v/>
      </c>
      <c r="CW290" t="str">
        <f>""</f>
        <v/>
      </c>
      <c r="CX290" t="str">
        <f>""</f>
        <v/>
      </c>
      <c r="CY290" t="str">
        <f>""</f>
        <v/>
      </c>
      <c r="CZ290" t="str">
        <f>""</f>
        <v/>
      </c>
      <c r="DA290" t="str">
        <f>""</f>
        <v/>
      </c>
      <c r="DB290" t="str">
        <f>""</f>
        <v/>
      </c>
      <c r="DC290" t="str">
        <f>""</f>
        <v/>
      </c>
      <c r="DD290" t="str">
        <f>""</f>
        <v/>
      </c>
      <c r="DE290" t="str">
        <f>""</f>
        <v/>
      </c>
      <c r="DF290" t="str">
        <f>""</f>
        <v/>
      </c>
      <c r="DG290" t="str">
        <f>""</f>
        <v/>
      </c>
      <c r="DH290" t="str">
        <f>""</f>
        <v/>
      </c>
      <c r="DI290" t="str">
        <f>""</f>
        <v/>
      </c>
      <c r="DJ290" t="str">
        <f>""</f>
        <v/>
      </c>
      <c r="DK290" t="str">
        <f>""</f>
        <v/>
      </c>
      <c r="DL290" t="str">
        <f>""</f>
        <v/>
      </c>
      <c r="DM290" t="str">
        <f>""</f>
        <v/>
      </c>
      <c r="DN290" t="str">
        <f>""</f>
        <v/>
      </c>
      <c r="DO290" t="str">
        <f>""</f>
        <v/>
      </c>
      <c r="DP290" t="str">
        <f>""</f>
        <v/>
      </c>
      <c r="DQ290" t="str">
        <f>""</f>
        <v/>
      </c>
      <c r="DR290" t="str">
        <f>""</f>
        <v/>
      </c>
      <c r="DS290" t="str">
        <f>""</f>
        <v/>
      </c>
      <c r="DT290" t="str">
        <f>""</f>
        <v/>
      </c>
      <c r="DU290" t="str">
        <f>""</f>
        <v/>
      </c>
    </row>
    <row r="291" spans="1:125">
      <c r="A291" t="str">
        <f>"    Weingarten Realty Investors"</f>
        <v xml:space="preserve">    Weingarten Realty Investors</v>
      </c>
      <c r="B291" t="str">
        <f>"WRI US Equity"</f>
        <v>WRI US Equity</v>
      </c>
      <c r="C291" t="str">
        <f t="shared" si="51"/>
        <v>F1178</v>
      </c>
      <c r="D291" t="str">
        <f t="shared" si="52"/>
        <v>NET_DEBT_EBITDA_ADJUSTED</v>
      </c>
      <c r="E291" t="str">
        <f t="shared" si="53"/>
        <v>动态</v>
      </c>
      <c r="F291" t="str">
        <f ca="1">IF(AND(ISNUMBER($F$735),$B$419=1),$F$735,HLOOKUP(INDIRECT(ADDRESS(2,COLUMN())),OFFSET($BN$2,0,0,ROW()-1,60),ROW()-1,FALSE))</f>
        <v/>
      </c>
      <c r="G291">
        <f ca="1">IF(AND(ISNUMBER($G$735),$B$419=1),$G$735,HLOOKUP(INDIRECT(ADDRESS(2,COLUMN())),OFFSET($BN$2,0,0,ROW()-1,60),ROW()-1,FALSE))</f>
        <v>5.7477389089999997</v>
      </c>
      <c r="H291">
        <f ca="1">IF(AND(ISNUMBER($H$735),$B$419=1),$H$735,HLOOKUP(INDIRECT(ADDRESS(2,COLUMN())),OFFSET($BN$2,0,0,ROW()-1,60),ROW()-1,FALSE))</f>
        <v>5.9580757289999999</v>
      </c>
      <c r="I291">
        <f ca="1">IF(AND(ISNUMBER($I$735),$B$419=1),$I$735,HLOOKUP(INDIRECT(ADDRESS(2,COLUMN())),OFFSET($BN$2,0,0,ROW()-1,60),ROW()-1,FALSE))</f>
        <v>6.2852234530000004</v>
      </c>
      <c r="J291">
        <f ca="1">IF(AND(ISNUMBER($J$735),$B$419=1),$J$735,HLOOKUP(INDIRECT(ADDRESS(2,COLUMN())),OFFSET($BN$2,0,0,ROW()-1,60),ROW()-1,FALSE))</f>
        <v>6.4570712830000003</v>
      </c>
      <c r="K291">
        <f ca="1">IF(AND(ISNUMBER($K$735),$B$419=1),$K$735,HLOOKUP(INDIRECT(ADDRESS(2,COLUMN())),OFFSET($BN$2,0,0,ROW()-1,60),ROW()-1,FALSE))</f>
        <v>7.5028164359999998</v>
      </c>
      <c r="L291">
        <f ca="1">IF(AND(ISNUMBER($L$735),$B$419=1),$L$735,HLOOKUP(INDIRECT(ADDRESS(2,COLUMN())),OFFSET($BN$2,0,0,ROW()-1,60),ROW()-1,FALSE))</f>
        <v>7.679362147</v>
      </c>
      <c r="M291">
        <f ca="1">IF(AND(ISNUMBER($M$735),$B$419=1),$M$735,HLOOKUP(INDIRECT(ADDRESS(2,COLUMN())),OFFSET($BN$2,0,0,ROW()-1,60),ROW()-1,FALSE))</f>
        <v>6.886471781</v>
      </c>
      <c r="N291">
        <f ca="1">IF(AND(ISNUMBER($N$735),$B$419=1),$N$735,HLOOKUP(INDIRECT(ADDRESS(2,COLUMN())),OFFSET($BN$2,0,0,ROW()-1,60),ROW()-1,FALSE))</f>
        <v>7.4263810320000001</v>
      </c>
      <c r="O291">
        <f ca="1">IF(AND(ISNUMBER($O$735),$B$419=1),$O$735,HLOOKUP(INDIRECT(ADDRESS(2,COLUMN())),OFFSET($BN$2,0,0,ROW()-1,60),ROW()-1,FALSE))</f>
        <v>6.321617839</v>
      </c>
      <c r="P291">
        <f ca="1">IF(AND(ISNUMBER($P$735),$B$419=1),$P$735,HLOOKUP(INDIRECT(ADDRESS(2,COLUMN())),OFFSET($BN$2,0,0,ROW()-1,60),ROW()-1,FALSE))</f>
        <v>6.3770763869999998</v>
      </c>
      <c r="Q291">
        <f ca="1">IF(AND(ISNUMBER($Q$735),$B$419=1),$Q$735,HLOOKUP(INDIRECT(ADDRESS(2,COLUMN())),OFFSET($BN$2,0,0,ROW()-1,60),ROW()-1,FALSE))</f>
        <v>6.2760020570000004</v>
      </c>
      <c r="R291">
        <f ca="1">IF(AND(ISNUMBER($R$735),$B$419=1),$R$735,HLOOKUP(INDIRECT(ADDRESS(2,COLUMN())),OFFSET($BN$2,0,0,ROW()-1,60),ROW()-1,FALSE))</f>
        <v>5.7247769699999997</v>
      </c>
      <c r="S291">
        <f ca="1">IF(AND(ISNUMBER($S$735),$B$419=1),$S$735,HLOOKUP(INDIRECT(ADDRESS(2,COLUMN())),OFFSET($BN$2,0,0,ROW()-1,60),ROW()-1,FALSE))</f>
        <v>5.7145511539999996</v>
      </c>
      <c r="T291">
        <f ca="1">IF(AND(ISNUMBER($T$735),$B$419=1),$T$735,HLOOKUP(INDIRECT(ADDRESS(2,COLUMN())),OFFSET($BN$2,0,0,ROW()-1,60),ROW()-1,FALSE))</f>
        <v>5.9982920269999997</v>
      </c>
      <c r="U291">
        <f ca="1">IF(AND(ISNUMBER($U$735),$B$419=1),$U$735,HLOOKUP(INDIRECT(ADDRESS(2,COLUMN())),OFFSET($BN$2,0,0,ROW()-1,60),ROW()-1,FALSE))</f>
        <v>6.2822098249999998</v>
      </c>
      <c r="V291">
        <f ca="1">IF(AND(ISNUMBER($V$735),$B$419=1),$V$735,HLOOKUP(INDIRECT(ADDRESS(2,COLUMN())),OFFSET($BN$2,0,0,ROW()-1,60),ROW()-1,FALSE))</f>
        <v>6.426906636</v>
      </c>
      <c r="W291">
        <f ca="1">IF(AND(ISNUMBER($W$735),$B$419=1),$W$735,HLOOKUP(INDIRECT(ADDRESS(2,COLUMN())),OFFSET($BN$2,0,0,ROW()-1,60),ROW()-1,FALSE))</f>
        <v>6.8984230520000001</v>
      </c>
      <c r="X291">
        <f ca="1">IF(AND(ISNUMBER($X$735),$B$419=1),$X$735,HLOOKUP(INDIRECT(ADDRESS(2,COLUMN())),OFFSET($BN$2,0,0,ROW()-1,60),ROW()-1,FALSE))</f>
        <v>7.0319140930000001</v>
      </c>
      <c r="Y291">
        <f ca="1">IF(AND(ISNUMBER($Y$735),$B$419=1),$Y$735,HLOOKUP(INDIRECT(ADDRESS(2,COLUMN())),OFFSET($BN$2,0,0,ROW()-1,60),ROW()-1,FALSE))</f>
        <v>7.3427055269999997</v>
      </c>
      <c r="Z291">
        <f ca="1">IF(AND(ISNUMBER($Z$735),$B$419=1),$Z$735,HLOOKUP(INDIRECT(ADDRESS(2,COLUMN())),OFFSET($BN$2,0,0,ROW()-1,60),ROW()-1,FALSE))</f>
        <v>7.2475379100000001</v>
      </c>
      <c r="AA291">
        <f ca="1">IF(AND(ISNUMBER($AA$735),$B$419=1),$AA$735,HLOOKUP(INDIRECT(ADDRESS(2,COLUMN())),OFFSET($BN$2,0,0,ROW()-1,60),ROW()-1,FALSE))</f>
        <v>6.937923412</v>
      </c>
      <c r="AB291">
        <f ca="1">IF(AND(ISNUMBER($AB$735),$B$419=1),$AB$735,HLOOKUP(INDIRECT(ADDRESS(2,COLUMN())),OFFSET($BN$2,0,0,ROW()-1,60),ROW()-1,FALSE))</f>
        <v>6.9487605490000002</v>
      </c>
      <c r="AC291">
        <f ca="1">IF(AND(ISNUMBER($AC$735),$B$419=1),$AC$735,HLOOKUP(INDIRECT(ADDRESS(2,COLUMN())),OFFSET($BN$2,0,0,ROW()-1,60),ROW()-1,FALSE))</f>
        <v>6.6862834720000004</v>
      </c>
      <c r="AD291">
        <f ca="1">IF(AND(ISNUMBER($AD$735),$B$419=1),$AD$735,HLOOKUP(INDIRECT(ADDRESS(2,COLUMN())),OFFSET($BN$2,0,0,ROW()-1,60),ROW()-1,FALSE))</f>
        <v>7.4171679670000001</v>
      </c>
      <c r="AE291">
        <f ca="1">IF(AND(ISNUMBER($AE$735),$B$419=1),$AE$735,HLOOKUP(INDIRECT(ADDRESS(2,COLUMN())),OFFSET($BN$2,0,0,ROW()-1,60),ROW()-1,FALSE))</f>
        <v>7.4952971990000004</v>
      </c>
      <c r="AF291">
        <f ca="1">IF(AND(ISNUMBER($AF$735),$B$419=1),$AF$735,HLOOKUP(INDIRECT(ADDRESS(2,COLUMN())),OFFSET($BN$2,0,0,ROW()-1,60),ROW()-1,FALSE))</f>
        <v>7.5724159750000002</v>
      </c>
      <c r="AG291">
        <f ca="1">IF(AND(ISNUMBER($AG$735),$B$419=1),$AG$735,HLOOKUP(INDIRECT(ADDRESS(2,COLUMN())),OFFSET($BN$2,0,0,ROW()-1,60),ROW()-1,FALSE))</f>
        <v>7.5271186339999998</v>
      </c>
      <c r="AH291">
        <f ca="1">IF(AND(ISNUMBER($AH$735),$B$419=1),$AH$735,HLOOKUP(INDIRECT(ADDRESS(2,COLUMN())),OFFSET($BN$2,0,0,ROW()-1,60),ROW()-1,FALSE))</f>
        <v>7.4994940330000004</v>
      </c>
      <c r="AI291">
        <f ca="1">IF(AND(ISNUMBER($AI$735),$B$419=1),$AI$735,HLOOKUP(INDIRECT(ADDRESS(2,COLUMN())),OFFSET($BN$2,0,0,ROW()-1,60),ROW()-1,FALSE))</f>
        <v>7.2289457739999996</v>
      </c>
      <c r="AJ291">
        <f ca="1">IF(AND(ISNUMBER($AJ$735),$B$419=1),$AJ$735,HLOOKUP(INDIRECT(ADDRESS(2,COLUMN())),OFFSET($BN$2,0,0,ROW()-1,60),ROW()-1,FALSE))</f>
        <v>7.0782494700000003</v>
      </c>
      <c r="AK291">
        <f ca="1">IF(AND(ISNUMBER($AK$735),$B$419=1),$AK$735,HLOOKUP(INDIRECT(ADDRESS(2,COLUMN())),OFFSET($BN$2,0,0,ROW()-1,60),ROW()-1,FALSE))</f>
        <v>6.775503982</v>
      </c>
      <c r="AL291">
        <f ca="1">IF(AND(ISNUMBER($AL$735),$B$419=1),$AL$735,HLOOKUP(INDIRECT(ADDRESS(2,COLUMN())),OFFSET($BN$2,0,0,ROW()-1,60),ROW()-1,FALSE))</f>
        <v>6.4526309160000004</v>
      </c>
      <c r="AM291">
        <f ca="1">IF(AND(ISNUMBER($AM$735),$B$419=1),$AM$735,HLOOKUP(INDIRECT(ADDRESS(2,COLUMN())),OFFSET($BN$2,0,0,ROW()-1,60),ROW()-1,FALSE))</f>
        <v>6.3168514849999999</v>
      </c>
      <c r="AN291" t="str">
        <f ca="1">IF(AND(ISNUMBER($AN$735),$B$419=1),$AN$735,HLOOKUP(INDIRECT(ADDRESS(2,COLUMN())),OFFSET($BN$2,0,0,ROW()-1,60),ROW()-1,FALSE))</f>
        <v/>
      </c>
      <c r="AO291" t="str">
        <f ca="1">IF(AND(ISNUMBER($AO$735),$B$419=1),$AO$735,HLOOKUP(INDIRECT(ADDRESS(2,COLUMN())),OFFSET($BN$2,0,0,ROW()-1,60),ROW()-1,FALSE))</f>
        <v/>
      </c>
      <c r="AP291" t="str">
        <f ca="1">IF(AND(ISNUMBER($AP$735),$B$419=1),$AP$735,HLOOKUP(INDIRECT(ADDRESS(2,COLUMN())),OFFSET($BN$2,0,0,ROW()-1,60),ROW()-1,FALSE))</f>
        <v/>
      </c>
      <c r="AQ291" t="str">
        <f ca="1">IF(AND(ISNUMBER($AQ$735),$B$419=1),$AQ$735,HLOOKUP(INDIRECT(ADDRESS(2,COLUMN())),OFFSET($BN$2,0,0,ROW()-1,60),ROW()-1,FALSE))</f>
        <v/>
      </c>
      <c r="AR291" t="str">
        <f ca="1">IF(AND(ISNUMBER($AR$735),$B$419=1),$AR$735,HLOOKUP(INDIRECT(ADDRESS(2,COLUMN())),OFFSET($BN$2,0,0,ROW()-1,60),ROW()-1,FALSE))</f>
        <v/>
      </c>
      <c r="AS291" t="str">
        <f ca="1">IF(AND(ISNUMBER($AS$735),$B$419=1),$AS$735,HLOOKUP(INDIRECT(ADDRESS(2,COLUMN())),OFFSET($BN$2,0,0,ROW()-1,60),ROW()-1,FALSE))</f>
        <v/>
      </c>
      <c r="AT291" t="str">
        <f ca="1">IF(AND(ISNUMBER($AT$735),$B$419=1),$AT$735,HLOOKUP(INDIRECT(ADDRESS(2,COLUMN())),OFFSET($BN$2,0,0,ROW()-1,60),ROW()-1,FALSE))</f>
        <v/>
      </c>
      <c r="AU291" t="str">
        <f ca="1">IF(AND(ISNUMBER($AU$735),$B$419=1),$AU$735,HLOOKUP(INDIRECT(ADDRESS(2,COLUMN())),OFFSET($BN$2,0,0,ROW()-1,60),ROW()-1,FALSE))</f>
        <v/>
      </c>
      <c r="AV291" t="str">
        <f ca="1">IF(AND(ISNUMBER($AV$735),$B$419=1),$AV$735,HLOOKUP(INDIRECT(ADDRESS(2,COLUMN())),OFFSET($BN$2,0,0,ROW()-1,60),ROW()-1,FALSE))</f>
        <v/>
      </c>
      <c r="AW291" t="str">
        <f ca="1">IF(AND(ISNUMBER($AW$735),$B$419=1),$AW$735,HLOOKUP(INDIRECT(ADDRESS(2,COLUMN())),OFFSET($BN$2,0,0,ROW()-1,60),ROW()-1,FALSE))</f>
        <v/>
      </c>
      <c r="AX291" t="str">
        <f ca="1">IF(AND(ISNUMBER($AX$735),$B$419=1),$AX$735,HLOOKUP(INDIRECT(ADDRESS(2,COLUMN())),OFFSET($BN$2,0,0,ROW()-1,60),ROW()-1,FALSE))</f>
        <v/>
      </c>
      <c r="AY291" t="str">
        <f ca="1">IF(AND(ISNUMBER($AY$735),$B$419=1),$AY$735,HLOOKUP(INDIRECT(ADDRESS(2,COLUMN())),OFFSET($BN$2,0,0,ROW()-1,60),ROW()-1,FALSE))</f>
        <v/>
      </c>
      <c r="AZ291" t="str">
        <f ca="1">IF(AND(ISNUMBER($AZ$735),$B$419=1),$AZ$735,HLOOKUP(INDIRECT(ADDRESS(2,COLUMN())),OFFSET($BN$2,0,0,ROW()-1,60),ROW()-1,FALSE))</f>
        <v/>
      </c>
      <c r="BA291" t="str">
        <f ca="1">IF(AND(ISNUMBER($BA$735),$B$419=1),$BA$735,HLOOKUP(INDIRECT(ADDRESS(2,COLUMN())),OFFSET($BN$2,0,0,ROW()-1,60),ROW()-1,FALSE))</f>
        <v/>
      </c>
      <c r="BB291" t="str">
        <f ca="1">IF(AND(ISNUMBER($BB$735),$B$419=1),$BB$735,HLOOKUP(INDIRECT(ADDRESS(2,COLUMN())),OFFSET($BN$2,0,0,ROW()-1,60),ROW()-1,FALSE))</f>
        <v/>
      </c>
      <c r="BC291" t="str">
        <f ca="1">IF(AND(ISNUMBER($BC$735),$B$419=1),$BC$735,HLOOKUP(INDIRECT(ADDRESS(2,COLUMN())),OFFSET($BN$2,0,0,ROW()-1,60),ROW()-1,FALSE))</f>
        <v/>
      </c>
      <c r="BD291" t="str">
        <f ca="1">IF(AND(ISNUMBER($BD$735),$B$419=1),$BD$735,HLOOKUP(INDIRECT(ADDRESS(2,COLUMN())),OFFSET($BN$2,0,0,ROW()-1,60),ROW()-1,FALSE))</f>
        <v/>
      </c>
      <c r="BE291" t="str">
        <f ca="1">IF(AND(ISNUMBER($BE$735),$B$419=1),$BE$735,HLOOKUP(INDIRECT(ADDRESS(2,COLUMN())),OFFSET($BN$2,0,0,ROW()-1,60),ROW()-1,FALSE))</f>
        <v/>
      </c>
      <c r="BF291" t="str">
        <f ca="1">IF(AND(ISNUMBER($BF$735),$B$419=1),$BF$735,HLOOKUP(INDIRECT(ADDRESS(2,COLUMN())),OFFSET($BN$2,0,0,ROW()-1,60),ROW()-1,FALSE))</f>
        <v/>
      </c>
      <c r="BG291" t="str">
        <f ca="1">IF(AND(ISNUMBER($BG$735),$B$419=1),$BG$735,HLOOKUP(INDIRECT(ADDRESS(2,COLUMN())),OFFSET($BN$2,0,0,ROW()-1,60),ROW()-1,FALSE))</f>
        <v/>
      </c>
      <c r="BH291" t="str">
        <f ca="1">IF(AND(ISNUMBER($BH$735),$B$419=1),$BH$735,HLOOKUP(INDIRECT(ADDRESS(2,COLUMN())),OFFSET($BN$2,0,0,ROW()-1,60),ROW()-1,FALSE))</f>
        <v/>
      </c>
      <c r="BI291" t="str">
        <f ca="1">IF(AND(ISNUMBER($BI$735),$B$419=1),$BI$735,HLOOKUP(INDIRECT(ADDRESS(2,COLUMN())),OFFSET($BN$2,0,0,ROW()-1,60),ROW()-1,FALSE))</f>
        <v/>
      </c>
      <c r="BJ291" t="str">
        <f ca="1">IF(AND(ISNUMBER($BJ$735),$B$419=1),$BJ$735,HLOOKUP(INDIRECT(ADDRESS(2,COLUMN())),OFFSET($BN$2,0,0,ROW()-1,60),ROW()-1,FALSE))</f>
        <v/>
      </c>
      <c r="BK291" t="str">
        <f ca="1">IF(AND(ISNUMBER($BK$735),$B$419=1),$BK$735,HLOOKUP(INDIRECT(ADDRESS(2,COLUMN())),OFFSET($BN$2,0,0,ROW()-1,60),ROW()-1,FALSE))</f>
        <v/>
      </c>
      <c r="BL291" t="str">
        <f ca="1">IF(AND(ISNUMBER($BL$735),$B$419=1),$BL$735,HLOOKUP(INDIRECT(ADDRESS(2,COLUMN())),OFFSET($BN$2,0,0,ROW()-1,60),ROW()-1,FALSE))</f>
        <v/>
      </c>
      <c r="BM291" t="str">
        <f ca="1">IF(AND(ISNUMBER($BM$735),$B$419=1),$BM$735,HLOOKUP(INDIRECT(ADDRESS(2,COLUMN())),OFFSET($BN$2,0,0,ROW()-1,60),ROW()-1,FALSE))</f>
        <v/>
      </c>
      <c r="BN291" t="str">
        <f>""</f>
        <v/>
      </c>
      <c r="BO291">
        <f>5.747738909</f>
        <v>5.7477389089999997</v>
      </c>
      <c r="BP291">
        <f>5.958075729</f>
        <v>5.9580757289999999</v>
      </c>
      <c r="BQ291">
        <f>6.285223453</f>
        <v>6.2852234530000004</v>
      </c>
      <c r="BR291">
        <f>6.457071283</f>
        <v>6.4570712830000003</v>
      </c>
      <c r="BS291">
        <f>7.502816436</f>
        <v>7.5028164359999998</v>
      </c>
      <c r="BT291">
        <f>7.679362147</f>
        <v>7.679362147</v>
      </c>
      <c r="BU291">
        <f>6.886471781</f>
        <v>6.886471781</v>
      </c>
      <c r="BV291">
        <f>7.426381032</f>
        <v>7.4263810320000001</v>
      </c>
      <c r="BW291">
        <f>6.321617839</f>
        <v>6.321617839</v>
      </c>
      <c r="BX291">
        <f>6.377076387</f>
        <v>6.3770763869999998</v>
      </c>
      <c r="BY291">
        <f>6.276002057</f>
        <v>6.2760020570000004</v>
      </c>
      <c r="BZ291">
        <f>5.72477697</f>
        <v>5.7247769699999997</v>
      </c>
      <c r="CA291">
        <f>5.714551154</f>
        <v>5.7145511539999996</v>
      </c>
      <c r="CB291">
        <f>5.998292027</f>
        <v>5.9982920269999997</v>
      </c>
      <c r="CC291">
        <f>6.282209825</f>
        <v>6.2822098249999998</v>
      </c>
      <c r="CD291">
        <f>6.426906636</f>
        <v>6.426906636</v>
      </c>
      <c r="CE291">
        <f>6.898423052</f>
        <v>6.8984230520000001</v>
      </c>
      <c r="CF291">
        <f>7.031914093</f>
        <v>7.0319140930000001</v>
      </c>
      <c r="CG291">
        <f>7.342705527</f>
        <v>7.3427055269999997</v>
      </c>
      <c r="CH291">
        <f>7.24753791</f>
        <v>7.2475379100000001</v>
      </c>
      <c r="CI291">
        <f>6.937923412</f>
        <v>6.937923412</v>
      </c>
      <c r="CJ291">
        <f>6.948760549</f>
        <v>6.9487605490000002</v>
      </c>
      <c r="CK291">
        <f>6.686283472</f>
        <v>6.6862834720000004</v>
      </c>
      <c r="CL291">
        <f>7.417167967</f>
        <v>7.4171679670000001</v>
      </c>
      <c r="CM291">
        <f>7.495297199</f>
        <v>7.4952971990000004</v>
      </c>
      <c r="CN291">
        <f>7.572415975</f>
        <v>7.5724159750000002</v>
      </c>
      <c r="CO291">
        <f>7.527118634</f>
        <v>7.5271186339999998</v>
      </c>
      <c r="CP291">
        <f>7.499494033</f>
        <v>7.4994940330000004</v>
      </c>
      <c r="CQ291">
        <f>7.228945774</f>
        <v>7.2289457739999996</v>
      </c>
      <c r="CR291">
        <f>7.07824947</f>
        <v>7.0782494700000003</v>
      </c>
      <c r="CS291">
        <f>6.775503982</f>
        <v>6.775503982</v>
      </c>
      <c r="CT291">
        <f>6.452630916</f>
        <v>6.4526309160000004</v>
      </c>
      <c r="CU291">
        <f>6.316851485</f>
        <v>6.3168514849999999</v>
      </c>
      <c r="CV291" t="str">
        <f>""</f>
        <v/>
      </c>
      <c r="CW291" t="str">
        <f>""</f>
        <v/>
      </c>
      <c r="CX291" t="str">
        <f>""</f>
        <v/>
      </c>
      <c r="CY291" t="str">
        <f>""</f>
        <v/>
      </c>
      <c r="CZ291" t="str">
        <f>""</f>
        <v/>
      </c>
      <c r="DA291" t="str">
        <f>""</f>
        <v/>
      </c>
      <c r="DB291" t="str">
        <f>""</f>
        <v/>
      </c>
      <c r="DC291" t="str">
        <f>""</f>
        <v/>
      </c>
      <c r="DD291" t="str">
        <f>""</f>
        <v/>
      </c>
      <c r="DE291" t="str">
        <f>""</f>
        <v/>
      </c>
      <c r="DF291" t="str">
        <f>""</f>
        <v/>
      </c>
      <c r="DG291" t="str">
        <f>""</f>
        <v/>
      </c>
      <c r="DH291" t="str">
        <f>""</f>
        <v/>
      </c>
      <c r="DI291" t="str">
        <f>""</f>
        <v/>
      </c>
      <c r="DJ291" t="str">
        <f>""</f>
        <v/>
      </c>
      <c r="DK291" t="str">
        <f>""</f>
        <v/>
      </c>
      <c r="DL291" t="str">
        <f>""</f>
        <v/>
      </c>
      <c r="DM291" t="str">
        <f>""</f>
        <v/>
      </c>
      <c r="DN291" t="str">
        <f>""</f>
        <v/>
      </c>
      <c r="DO291" t="str">
        <f>""</f>
        <v/>
      </c>
      <c r="DP291" t="str">
        <f>""</f>
        <v/>
      </c>
      <c r="DQ291" t="str">
        <f>""</f>
        <v/>
      </c>
      <c r="DR291" t="str">
        <f>""</f>
        <v/>
      </c>
      <c r="DS291" t="str">
        <f>""</f>
        <v/>
      </c>
      <c r="DT291" t="str">
        <f>""</f>
        <v/>
      </c>
      <c r="DU291" t="str">
        <f>""</f>
        <v/>
      </c>
    </row>
    <row r="292" spans="1:125">
      <c r="A292" t="str">
        <f>"长期债务/总资产(%)"</f>
        <v>长期债务/总资产(%)</v>
      </c>
      <c r="B292" t="str">
        <f>""</f>
        <v/>
      </c>
      <c r="E292" t="str">
        <f>"Median"</f>
        <v>Median</v>
      </c>
      <c r="F292" t="str">
        <f ca="1">IF(ISERROR(IF(MEDIAN($F$293:$F$307) = 0, "", MEDIAN($F$293:$F$307))), "", (IF(MEDIAN($F$293:$F$307) = 0, "", MEDIAN($F$293:$F$307))))</f>
        <v/>
      </c>
      <c r="G292">
        <f ca="1">IF(ISERROR(IF(MEDIAN($G$293:$G$307) = 0, "", MEDIAN($G$293:$G$307))), "", (IF(MEDIAN($G$293:$G$307) = 0, "", MEDIAN($G$293:$G$307))))</f>
        <v>9.8576503720000002</v>
      </c>
      <c r="H292">
        <f ca="1">IF(ISERROR(IF(MEDIAN($H$293:$H$307) = 0, "", MEDIAN($H$293:$H$307))), "", (IF(MEDIAN($H$293:$H$307) = 0, "", MEDIAN($H$293:$H$307))))</f>
        <v>9.8193790439999997</v>
      </c>
      <c r="I292">
        <f ca="1">IF(ISERROR(IF(MEDIAN($I$293:$I$307) = 0, "", MEDIAN($I$293:$I$307))), "", (IF(MEDIAN($I$293:$I$307) = 0, "", MEDIAN($I$293:$I$307))))</f>
        <v>9.6966543099999996</v>
      </c>
      <c r="J292">
        <f ca="1">IF(ISERROR(IF(MEDIAN($J$293:$J$307) = 0, "", MEDIAN($J$293:$J$307))), "", (IF(MEDIAN($J$293:$J$307) = 0, "", MEDIAN($J$293:$J$307))))</f>
        <v>13.81723339</v>
      </c>
      <c r="K292">
        <f ca="1">IF(ISERROR(IF(MEDIAN($K$293:$K$307) = 0, "", MEDIAN($K$293:$K$307))), "", (IF(MEDIAN($K$293:$K$307) = 0, "", MEDIAN($K$293:$K$307))))</f>
        <v>14.42329251</v>
      </c>
      <c r="L292">
        <f ca="1">IF(ISERROR(IF(MEDIAN($L$293:$L$307) = 0, "", MEDIAN($L$293:$L$307))), "", (IF(MEDIAN($L$293:$L$307) = 0, "", MEDIAN($L$293:$L$307))))</f>
        <v>14.90199039</v>
      </c>
      <c r="M292">
        <f ca="1">IF(ISERROR(IF(MEDIAN($M$293:$M$307) = 0, "", MEDIAN($M$293:$M$307))), "", (IF(MEDIAN($M$293:$M$307) = 0, "", MEDIAN($M$293:$M$307))))</f>
        <v>15.46618715</v>
      </c>
      <c r="N292">
        <f ca="1">IF(ISERROR(IF(MEDIAN($N$293:$N$307) = 0, "", MEDIAN($N$293:$N$307))), "", (IF(MEDIAN($N$293:$N$307) = 0, "", MEDIAN($N$293:$N$307))))</f>
        <v>15.36899425</v>
      </c>
      <c r="O292">
        <f ca="1">IF(ISERROR(IF(MEDIAN($O$293:$O$307) = 0, "", MEDIAN($O$293:$O$307))), "", (IF(MEDIAN($O$293:$O$307) = 0, "", MEDIAN($O$293:$O$307))))</f>
        <v>15.19623642</v>
      </c>
      <c r="P292">
        <f ca="1">IF(ISERROR(IF(MEDIAN($P$293:$P$307) = 0, "", MEDIAN($P$293:$P$307))), "", (IF(MEDIAN($P$293:$P$307) = 0, "", MEDIAN($P$293:$P$307))))</f>
        <v>18.377711219999998</v>
      </c>
      <c r="Q292">
        <f ca="1">IF(ISERROR(IF(MEDIAN($Q$293:$Q$307) = 0, "", MEDIAN($Q$293:$Q$307))), "", (IF(MEDIAN($Q$293:$Q$307) = 0, "", MEDIAN($Q$293:$Q$307))))</f>
        <v>18.507214900000001</v>
      </c>
      <c r="R292">
        <f ca="1">IF(ISERROR(IF(MEDIAN($R$293:$R$307) = 0, "", MEDIAN($R$293:$R$307))), "", (IF(MEDIAN($R$293:$R$307) = 0, "", MEDIAN($R$293:$R$307))))</f>
        <v>17.402705739999998</v>
      </c>
      <c r="S292">
        <f ca="1">IF(ISERROR(IF(MEDIAN($S$293:$S$307) = 0, "", MEDIAN($S$293:$S$307))), "", (IF(MEDIAN($S$293:$S$307) = 0, "", MEDIAN($S$293:$S$307))))</f>
        <v>20.979137099999999</v>
      </c>
      <c r="T292">
        <f ca="1">IF(ISERROR(IF(MEDIAN($T$293:$T$307) = 0, "", MEDIAN($T$293:$T$307))), "", (IF(MEDIAN($T$293:$T$307) = 0, "", MEDIAN($T$293:$T$307))))</f>
        <v>21.81343656</v>
      </c>
      <c r="U292">
        <f ca="1">IF(ISERROR(IF(MEDIAN($U$293:$U$307) = 0, "", MEDIAN($U$293:$U$307))), "", (IF(MEDIAN($U$293:$U$307) = 0, "", MEDIAN($U$293:$U$307))))</f>
        <v>22.623677919999999</v>
      </c>
      <c r="V292">
        <f ca="1">IF(ISERROR(IF(MEDIAN($V$293:$V$307) = 0, "", MEDIAN($V$293:$V$307))), "", (IF(MEDIAN($V$293:$V$307) = 0, "", MEDIAN($V$293:$V$307))))</f>
        <v>22.04673769</v>
      </c>
      <c r="W292">
        <f ca="1">IF(ISERROR(IF(MEDIAN($W$293:$W$307) = 0, "", MEDIAN($W$293:$W$307))), "", (IF(MEDIAN($W$293:$W$307) = 0, "", MEDIAN($W$293:$W$307))))</f>
        <v>19.764355090000002</v>
      </c>
      <c r="X292">
        <f ca="1">IF(ISERROR(IF(MEDIAN($X$293:$X$307) = 0, "", MEDIAN($X$293:$X$307))), "", (IF(MEDIAN($X$293:$X$307) = 0, "", MEDIAN($X$293:$X$307))))</f>
        <v>20.130872225000001</v>
      </c>
      <c r="Y292">
        <f ca="1">IF(ISERROR(IF(MEDIAN($Y$293:$Y$307) = 0, "", MEDIAN($Y$293:$Y$307))), "", (IF(MEDIAN($Y$293:$Y$307) = 0, "", MEDIAN($Y$293:$Y$307))))</f>
        <v>22.3783268</v>
      </c>
      <c r="Z292">
        <f ca="1">IF(ISERROR(IF(MEDIAN($Z$293:$Z$307) = 0, "", MEDIAN($Z$293:$Z$307))), "", (IF(MEDIAN($Z$293:$Z$307) = 0, "", MEDIAN($Z$293:$Z$307))))</f>
        <v>21.048385265</v>
      </c>
      <c r="AA292">
        <f ca="1">IF(ISERROR(IF(MEDIAN($AA$293:$AA$307) = 0, "", MEDIAN($AA$293:$AA$307))), "", (IF(MEDIAN($AA$293:$AA$307) = 0, "", MEDIAN($AA$293:$AA$307))))</f>
        <v>21.067631624999997</v>
      </c>
      <c r="AB292">
        <f ca="1">IF(ISERROR(IF(MEDIAN($AB$293:$AB$307) = 0, "", MEDIAN($AB$293:$AB$307))), "", (IF(MEDIAN($AB$293:$AB$307) = 0, "", MEDIAN($AB$293:$AB$307))))</f>
        <v>22.81709609</v>
      </c>
      <c r="AC292">
        <f ca="1">IF(ISERROR(IF(MEDIAN($AC$293:$AC$307) = 0, "", MEDIAN($AC$293:$AC$307))), "", (IF(MEDIAN($AC$293:$AC$307) = 0, "", MEDIAN($AC$293:$AC$307))))</f>
        <v>22.226789780000001</v>
      </c>
      <c r="AD292">
        <f ca="1">IF(ISERROR(IF(MEDIAN($AD$293:$AD$307) = 0, "", MEDIAN($AD$293:$AD$307))), "", (IF(MEDIAN($AD$293:$AD$307) = 0, "", MEDIAN($AD$293:$AD$307))))</f>
        <v>22.241450180000001</v>
      </c>
      <c r="AE292">
        <f ca="1">IF(ISERROR(IF(MEDIAN($AE$293:$AE$307) = 0, "", MEDIAN($AE$293:$AE$307))), "", (IF(MEDIAN($AE$293:$AE$307) = 0, "", MEDIAN($AE$293:$AE$307))))</f>
        <v>22.25053866</v>
      </c>
      <c r="AF292">
        <f ca="1">IF(ISERROR(IF(MEDIAN($AF$293:$AF$307) = 0, "", MEDIAN($AF$293:$AF$307))), "", (IF(MEDIAN($AF$293:$AF$307) = 0, "", MEDIAN($AF$293:$AF$307))))</f>
        <v>22.790141420000001</v>
      </c>
      <c r="AG292">
        <f ca="1">IF(ISERROR(IF(MEDIAN($AG$293:$AG$307) = 0, "", MEDIAN($AG$293:$AG$307))), "", (IF(MEDIAN($AG$293:$AG$307) = 0, "", MEDIAN($AG$293:$AG$307))))</f>
        <v>13.30364091</v>
      </c>
      <c r="AH292">
        <f ca="1">IF(ISERROR(IF(MEDIAN($AH$293:$AH$307) = 0, "", MEDIAN($AH$293:$AH$307))), "", (IF(MEDIAN($AH$293:$AH$307) = 0, "", MEDIAN($AH$293:$AH$307))))</f>
        <v>18.227105160000001</v>
      </c>
      <c r="AI292">
        <f ca="1">IF(ISERROR(IF(MEDIAN($AI$293:$AI$307) = 0, "", MEDIAN($AI$293:$AI$307))), "", (IF(MEDIAN($AI$293:$AI$307) = 0, "", MEDIAN($AI$293:$AI$307))))</f>
        <v>14.801680475000001</v>
      </c>
      <c r="AJ292">
        <f ca="1">IF(ISERROR(IF(MEDIAN($AJ$293:$AJ$307) = 0, "", MEDIAN($AJ$293:$AJ$307))), "", (IF(MEDIAN($AJ$293:$AJ$307) = 0, "", MEDIAN($AJ$293:$AJ$307))))</f>
        <v>18.975530190000001</v>
      </c>
      <c r="AK292">
        <f ca="1">IF(ISERROR(IF(MEDIAN($AK$293:$AK$307) = 0, "", MEDIAN($AK$293:$AK$307))), "", (IF(MEDIAN($AK$293:$AK$307) = 0, "", MEDIAN($AK$293:$AK$307))))</f>
        <v>12.99201751</v>
      </c>
      <c r="AL292">
        <f ca="1">IF(ISERROR(IF(MEDIAN($AL$293:$AL$307) = 0, "", MEDIAN($AL$293:$AL$307))), "", (IF(MEDIAN($AL$293:$AL$307) = 0, "", MEDIAN($AL$293:$AL$307))))</f>
        <v>14.334999310000001</v>
      </c>
      <c r="AM292">
        <f ca="1">IF(ISERROR(IF(MEDIAN($AM$293:$AM$307) = 0, "", MEDIAN($AM$293:$AM$307))), "", (IF(MEDIAN($AM$293:$AM$307) = 0, "", MEDIAN($AM$293:$AM$307))))</f>
        <v>16.380812990000003</v>
      </c>
      <c r="AN292">
        <f ca="1">IF(ISERROR(IF(MEDIAN($AN$293:$AN$307) = 0, "", MEDIAN($AN$293:$AN$307))), "", (IF(MEDIAN($AN$293:$AN$307) = 0, "", MEDIAN($AN$293:$AN$307))))</f>
        <v>14.700377755000002</v>
      </c>
      <c r="AO292">
        <f ca="1">IF(ISERROR(IF(MEDIAN($AO$293:$AO$307) = 0, "", MEDIAN($AO$293:$AO$307))), "", (IF(MEDIAN($AO$293:$AO$307) = 0, "", MEDIAN($AO$293:$AO$307))))</f>
        <v>16.379755634999999</v>
      </c>
      <c r="AP292">
        <f ca="1">IF(ISERROR(IF(MEDIAN($AP$293:$AP$307) = 0, "", MEDIAN($AP$293:$AP$307))), "", (IF(MEDIAN($AP$293:$AP$307) = 0, "", MEDIAN($AP$293:$AP$307))))</f>
        <v>13.313926820000001</v>
      </c>
      <c r="AQ292">
        <f ca="1">IF(ISERROR(IF(MEDIAN($AQ$293:$AQ$307) = 0, "", MEDIAN($AQ$293:$AQ$307))), "", (IF(MEDIAN($AQ$293:$AQ$307) = 0, "", MEDIAN($AQ$293:$AQ$307))))</f>
        <v>13.257503379999999</v>
      </c>
      <c r="AR292">
        <f ca="1">IF(ISERROR(IF(MEDIAN($AR$293:$AR$307) = 0, "", MEDIAN($AR$293:$AR$307))), "", (IF(MEDIAN($AR$293:$AR$307) = 0, "", MEDIAN($AR$293:$AR$307))))</f>
        <v>17.41975154</v>
      </c>
      <c r="AS292">
        <f ca="1">IF(ISERROR(IF(MEDIAN($AS$293:$AS$307) = 0, "", MEDIAN($AS$293:$AS$307))), "", (IF(MEDIAN($AS$293:$AS$307) = 0, "", MEDIAN($AS$293:$AS$307))))</f>
        <v>17.658514275000002</v>
      </c>
      <c r="AT292">
        <f ca="1">IF(ISERROR(IF(MEDIAN($AT$293:$AT$307) = 0, "", MEDIAN($AT$293:$AT$307))), "", (IF(MEDIAN($AT$293:$AT$307) = 0, "", MEDIAN($AT$293:$AT$307))))</f>
        <v>16.164477314999999</v>
      </c>
      <c r="AU292">
        <f ca="1">IF(ISERROR(IF(MEDIAN($AU$293:$AU$307) = 0, "", MEDIAN($AU$293:$AU$307))), "", (IF(MEDIAN($AU$293:$AU$307) = 0, "", MEDIAN($AU$293:$AU$307))))</f>
        <v>16.843580684999999</v>
      </c>
      <c r="AV292">
        <f ca="1">IF(ISERROR(IF(MEDIAN($AV$293:$AV$307) = 0, "", MEDIAN($AV$293:$AV$307))), "", (IF(MEDIAN($AV$293:$AV$307) = 0, "", MEDIAN($AV$293:$AV$307))))</f>
        <v>18.665713275000002</v>
      </c>
      <c r="AW292">
        <f ca="1">IF(ISERROR(IF(MEDIAN($AW$293:$AW$307) = 0, "", MEDIAN($AW$293:$AW$307))), "", (IF(MEDIAN($AW$293:$AW$307) = 0, "", MEDIAN($AW$293:$AW$307))))</f>
        <v>17.585511345</v>
      </c>
      <c r="AX292">
        <f ca="1">IF(ISERROR(IF(MEDIAN($AX$293:$AX$307) = 0, "", MEDIAN($AX$293:$AX$307))), "", (IF(MEDIAN($AX$293:$AX$307) = 0, "", MEDIAN($AX$293:$AX$307))))</f>
        <v>17.761638725000001</v>
      </c>
      <c r="AY292">
        <f ca="1">IF(ISERROR(IF(MEDIAN($AY$293:$AY$307) = 0, "", MEDIAN($AY$293:$AY$307))), "", (IF(MEDIAN($AY$293:$AY$307) = 0, "", MEDIAN($AY$293:$AY$307))))</f>
        <v>18.333348064999999</v>
      </c>
      <c r="AZ292">
        <f ca="1">IF(ISERROR(IF(MEDIAN($AZ$293:$AZ$307) = 0, "", MEDIAN($AZ$293:$AZ$307))), "", (IF(MEDIAN($AZ$293:$AZ$307) = 0, "", MEDIAN($AZ$293:$AZ$307))))</f>
        <v>16.930462335000001</v>
      </c>
      <c r="BA292">
        <f ca="1">IF(ISERROR(IF(MEDIAN($BA$293:$BA$307) = 0, "", MEDIAN($BA$293:$BA$307))), "", (IF(MEDIAN($BA$293:$BA$307) = 0, "", MEDIAN($BA$293:$BA$307))))</f>
        <v>19.95308803</v>
      </c>
      <c r="BB292">
        <f ca="1">IF(ISERROR(IF(MEDIAN($BB$293:$BB$307) = 0, "", MEDIAN($BB$293:$BB$307))), "", (IF(MEDIAN($BB$293:$BB$307) = 0, "", MEDIAN($BB$293:$BB$307))))</f>
        <v>18.744972595</v>
      </c>
      <c r="BC292">
        <f ca="1">IF(ISERROR(IF(MEDIAN($BC$293:$BC$307) = 0, "", MEDIAN($BC$293:$BC$307))), "", (IF(MEDIAN($BC$293:$BC$307) = 0, "", MEDIAN($BC$293:$BC$307))))</f>
        <v>19.655186725</v>
      </c>
      <c r="BD292">
        <f ca="1">IF(ISERROR(IF(MEDIAN($BD$293:$BD$307) = 0, "", MEDIAN($BD$293:$BD$307))), "", (IF(MEDIAN($BD$293:$BD$307) = 0, "", MEDIAN($BD$293:$BD$307))))</f>
        <v>22.904767674999999</v>
      </c>
      <c r="BE292">
        <f ca="1">IF(ISERROR(IF(MEDIAN($BE$293:$BE$307) = 0, "", MEDIAN($BE$293:$BE$307))), "", (IF(MEDIAN($BE$293:$BE$307) = 0, "", MEDIAN($BE$293:$BE$307))))</f>
        <v>25.134728590000002</v>
      </c>
      <c r="BF292">
        <f ca="1">IF(ISERROR(IF(MEDIAN($BF$293:$BF$307) = 0, "", MEDIAN($BF$293:$BF$307))), "", (IF(MEDIAN($BF$293:$BF$307) = 0, "", MEDIAN($BF$293:$BF$307))))</f>
        <v>19.73920004</v>
      </c>
      <c r="BG292">
        <f ca="1">IF(ISERROR(IF(MEDIAN($BG$293:$BG$307) = 0, "", MEDIAN($BG$293:$BG$307))), "", (IF(MEDIAN($BG$293:$BG$307) = 0, "", MEDIAN($BG$293:$BG$307))))</f>
        <v>18.81053206</v>
      </c>
      <c r="BH292">
        <f ca="1">IF(ISERROR(IF(MEDIAN($BH$293:$BH$307) = 0, "", MEDIAN($BH$293:$BH$307))), "", (IF(MEDIAN($BH$293:$BH$307) = 0, "", MEDIAN($BH$293:$BH$307))))</f>
        <v>18.500105025</v>
      </c>
      <c r="BI292">
        <f ca="1">IF(ISERROR(IF(MEDIAN($BI$293:$BI$307) = 0, "", MEDIAN($BI$293:$BI$307))), "", (IF(MEDIAN($BI$293:$BI$307) = 0, "", MEDIAN($BI$293:$BI$307))))</f>
        <v>19.795514000000001</v>
      </c>
      <c r="BJ292">
        <f ca="1">IF(ISERROR(IF(MEDIAN($BJ$293:$BJ$307) = 0, "", MEDIAN($BJ$293:$BJ$307))), "", (IF(MEDIAN($BJ$293:$BJ$307) = 0, "", MEDIAN($BJ$293:$BJ$307))))</f>
        <v>29.394835205</v>
      </c>
      <c r="BK292">
        <f ca="1">IF(ISERROR(IF(MEDIAN($BK$293:$BK$307) = 0, "", MEDIAN($BK$293:$BK$307))), "", (IF(MEDIAN($BK$293:$BK$307) = 0, "", MEDIAN($BK$293:$BK$307))))</f>
        <v>25.42238979</v>
      </c>
      <c r="BL292">
        <f ca="1">IF(ISERROR(IF(MEDIAN($BL$293:$BL$307) = 0, "", MEDIAN($BL$293:$BL$307))), "", (IF(MEDIAN($BL$293:$BL$307) = 0, "", MEDIAN($BL$293:$BL$307))))</f>
        <v>24.497219874999999</v>
      </c>
      <c r="BM292">
        <f ca="1">IF(ISERROR(IF(MEDIAN($BM$293:$BM$307) = 0, "", MEDIAN($BM$293:$BM$307))), "", (IF(MEDIAN($BM$293:$BM$307) = 0, "", MEDIAN($BM$293:$BM$307))))</f>
        <v>34.621093420000001</v>
      </c>
      <c r="BN292" t="str">
        <f>""</f>
        <v/>
      </c>
      <c r="BO292">
        <f>9.857650372</f>
        <v>9.8576503720000002</v>
      </c>
      <c r="BP292">
        <f>9.819379044</f>
        <v>9.8193790439999997</v>
      </c>
      <c r="BQ292">
        <f>9.69665431</f>
        <v>9.6966543099999996</v>
      </c>
      <c r="BR292">
        <f>13.81723339</f>
        <v>13.81723339</v>
      </c>
      <c r="BS292">
        <f>14.42329251</f>
        <v>14.42329251</v>
      </c>
      <c r="BT292">
        <f>14.90199039</f>
        <v>14.90199039</v>
      </c>
      <c r="BU292">
        <f>15.46618715</f>
        <v>15.46618715</v>
      </c>
      <c r="BV292">
        <f>15.36899425</f>
        <v>15.36899425</v>
      </c>
      <c r="BW292">
        <f>15.19623642</f>
        <v>15.19623642</v>
      </c>
      <c r="BX292">
        <f>18.37771122</f>
        <v>18.377711219999998</v>
      </c>
      <c r="BY292">
        <f>18.5072149</f>
        <v>18.507214900000001</v>
      </c>
      <c r="BZ292">
        <f>17.40270574</f>
        <v>17.402705739999998</v>
      </c>
      <c r="CA292">
        <f>20.9791371</f>
        <v>20.979137099999999</v>
      </c>
      <c r="CB292">
        <f>21.81343656</f>
        <v>21.81343656</v>
      </c>
      <c r="CC292">
        <f>22.62367792</f>
        <v>22.623677919999999</v>
      </c>
      <c r="CD292">
        <f>22.04673769</f>
        <v>22.04673769</v>
      </c>
      <c r="CE292">
        <f>19.76435509</f>
        <v>19.764355089999999</v>
      </c>
      <c r="CF292">
        <f>20.13087223</f>
        <v>20.130872230000001</v>
      </c>
      <c r="CG292">
        <f>22.3783268</f>
        <v>22.3783268</v>
      </c>
      <c r="CH292">
        <f>21.04838526</f>
        <v>21.04838526</v>
      </c>
      <c r="CI292">
        <f>21.06763162</f>
        <v>21.06763162</v>
      </c>
      <c r="CJ292">
        <f>22.81709609</f>
        <v>22.81709609</v>
      </c>
      <c r="CK292">
        <f>22.22678978</f>
        <v>22.226789780000001</v>
      </c>
      <c r="CL292">
        <f>22.24145018</f>
        <v>22.241450180000001</v>
      </c>
      <c r="CM292">
        <f>22.25053866</f>
        <v>22.25053866</v>
      </c>
      <c r="CN292">
        <f>22.79014142</f>
        <v>22.790141420000001</v>
      </c>
      <c r="CO292">
        <f>13.30364091</f>
        <v>13.30364091</v>
      </c>
      <c r="CP292">
        <f>18.22710516</f>
        <v>18.227105160000001</v>
      </c>
      <c r="CQ292">
        <f>14.80168047</f>
        <v>14.801680470000001</v>
      </c>
      <c r="CR292">
        <f>18.97553019</f>
        <v>18.975530190000001</v>
      </c>
      <c r="CS292">
        <f>12.99201751</f>
        <v>12.99201751</v>
      </c>
      <c r="CT292">
        <f>14.33499931</f>
        <v>14.334999310000001</v>
      </c>
      <c r="CU292">
        <f>16.38081299</f>
        <v>16.380812989999999</v>
      </c>
      <c r="CV292">
        <f>14.70037776</f>
        <v>14.70037776</v>
      </c>
      <c r="CW292">
        <f>16.37975564</f>
        <v>16.379755639999999</v>
      </c>
      <c r="CX292">
        <f>13.31392682</f>
        <v>13.313926820000001</v>
      </c>
      <c r="CY292">
        <f>13.25750338</f>
        <v>13.257503379999999</v>
      </c>
      <c r="CZ292">
        <f>17.41975154</f>
        <v>17.41975154</v>
      </c>
      <c r="DA292">
        <f>17.65851428</f>
        <v>17.658514279999999</v>
      </c>
      <c r="DB292">
        <f>16.16447731</f>
        <v>16.164477309999999</v>
      </c>
      <c r="DC292">
        <f>16.84358068</f>
        <v>16.843580679999999</v>
      </c>
      <c r="DD292">
        <f>18.66571327</f>
        <v>18.665713270000001</v>
      </c>
      <c r="DE292">
        <f>17.58551135</f>
        <v>17.585511350000001</v>
      </c>
      <c r="DF292">
        <f>17.76163872</f>
        <v>17.761638720000001</v>
      </c>
      <c r="DG292">
        <f>18.33334806</f>
        <v>18.333348059999999</v>
      </c>
      <c r="DH292">
        <f>16.93046233</f>
        <v>16.930462330000001</v>
      </c>
      <c r="DI292">
        <f>19.95308803</f>
        <v>19.95308803</v>
      </c>
      <c r="DJ292">
        <f>18.7449726</f>
        <v>18.744972600000001</v>
      </c>
      <c r="DK292">
        <f>19.65518672</f>
        <v>19.65518672</v>
      </c>
      <c r="DL292">
        <f>22.90476768</f>
        <v>22.904767679999999</v>
      </c>
      <c r="DM292">
        <f>25.13472859</f>
        <v>25.134728590000002</v>
      </c>
      <c r="DN292">
        <f>19.73920004</f>
        <v>19.73920004</v>
      </c>
      <c r="DO292">
        <f>18.81053206</f>
        <v>18.81053206</v>
      </c>
      <c r="DP292">
        <f>18.50010503</f>
        <v>18.50010503</v>
      </c>
      <c r="DQ292">
        <f>19.795514</f>
        <v>19.795514000000001</v>
      </c>
      <c r="DR292">
        <f>29.39483521</f>
        <v>29.39483521</v>
      </c>
      <c r="DS292">
        <f>25.42238979</f>
        <v>25.42238979</v>
      </c>
      <c r="DT292">
        <f>24.49721988</f>
        <v>24.497219879999999</v>
      </c>
      <c r="DU292">
        <f>34.62109342</f>
        <v>34.621093420000001</v>
      </c>
    </row>
    <row r="293" spans="1:125">
      <c r="A293" t="str">
        <f>"    Brixmor Property Group Inc"</f>
        <v xml:space="preserve">    Brixmor Property Group Inc</v>
      </c>
      <c r="B293" t="str">
        <f>"BRX US Equity"</f>
        <v>BRX US Equity</v>
      </c>
      <c r="C293" t="str">
        <f t="shared" ref="C293:C307" si="54">"RR147"</f>
        <v>RR147</v>
      </c>
      <c r="D293" t="str">
        <f t="shared" ref="D293:D307" si="55">"LT_DEBT_TO_TOT_ASSET"</f>
        <v>LT_DEBT_TO_TOT_ASSET</v>
      </c>
      <c r="E293" t="str">
        <f t="shared" ref="E293:E307" si="56">"动态"</f>
        <v>动态</v>
      </c>
      <c r="F293" t="str">
        <f ca="1">IF(AND(ISNUMBER($F$736),$B$419=1),$F$736,HLOOKUP(INDIRECT(ADDRESS(2,COLUMN())),OFFSET($BN$2,0,0,ROW()-1,60),ROW()-1,FALSE))</f>
        <v/>
      </c>
      <c r="G293">
        <f ca="1">IF(AND(ISNUMBER($G$736),$B$419=1),$G$736,HLOOKUP(INDIRECT(ADDRESS(2,COLUMN())),OFFSET($BN$2,0,0,ROW()-1,60),ROW()-1,FALSE))</f>
        <v>10.02788312</v>
      </c>
      <c r="H293">
        <f ca="1">IF(AND(ISNUMBER($H$736),$B$419=1),$H$736,HLOOKUP(INDIRECT(ADDRESS(2,COLUMN())),OFFSET($BN$2,0,0,ROW()-1,60),ROW()-1,FALSE))</f>
        <v>10.14100359</v>
      </c>
      <c r="I293">
        <f ca="1">IF(AND(ISNUMBER($I$736),$B$419=1),$I$736,HLOOKUP(INDIRECT(ADDRESS(2,COLUMN())),OFFSET($BN$2,0,0,ROW()-1,60),ROW()-1,FALSE))</f>
        <v>11.169567969999999</v>
      </c>
      <c r="J293">
        <f ca="1">IF(AND(ISNUMBER($J$736),$B$419=1),$J$736,HLOOKUP(INDIRECT(ADDRESS(2,COLUMN())),OFFSET($BN$2,0,0,ROW()-1,60),ROW()-1,FALSE))</f>
        <v>14.202137860000001</v>
      </c>
      <c r="K293">
        <f ca="1">IF(AND(ISNUMBER($K$736),$B$419=1),$K$736,HLOOKUP(INDIRECT(ADDRESS(2,COLUMN())),OFFSET($BN$2,0,0,ROW()-1,60),ROW()-1,FALSE))</f>
        <v>14.346987049999999</v>
      </c>
      <c r="L293">
        <f ca="1">IF(AND(ISNUMBER($L$736),$B$419=1),$L$736,HLOOKUP(INDIRECT(ADDRESS(2,COLUMN())),OFFSET($BN$2,0,0,ROW()-1,60),ROW()-1,FALSE))</f>
        <v>14.90199039</v>
      </c>
      <c r="M293">
        <f ca="1">IF(AND(ISNUMBER($M$736),$B$419=1),$M$736,HLOOKUP(INDIRECT(ADDRESS(2,COLUMN())),OFFSET($BN$2,0,0,ROW()-1,60),ROW()-1,FALSE))</f>
        <v>22.056868260000002</v>
      </c>
      <c r="N293">
        <f ca="1">IF(AND(ISNUMBER($N$736),$B$419=1),$N$736,HLOOKUP(INDIRECT(ADDRESS(2,COLUMN())),OFFSET($BN$2,0,0,ROW()-1,60),ROW()-1,FALSE))</f>
        <v>23.84432627</v>
      </c>
      <c r="O293">
        <f ca="1">IF(AND(ISNUMBER($O$736),$B$419=1),$O$736,HLOOKUP(INDIRECT(ADDRESS(2,COLUMN())),OFFSET($BN$2,0,0,ROW()-1,60),ROW()-1,FALSE))</f>
        <v>23.852572439999999</v>
      </c>
      <c r="P293">
        <f ca="1">IF(AND(ISNUMBER($P$736),$B$419=1),$P$736,HLOOKUP(INDIRECT(ADDRESS(2,COLUMN())),OFFSET($BN$2,0,0,ROW()-1,60),ROW()-1,FALSE))</f>
        <v>27.901786210000001</v>
      </c>
      <c r="Q293">
        <f ca="1">IF(AND(ISNUMBER($Q$736),$B$419=1),$Q$736,HLOOKUP(INDIRECT(ADDRESS(2,COLUMN())),OFFSET($BN$2,0,0,ROW()-1,60),ROW()-1,FALSE))</f>
        <v>29.024065140000001</v>
      </c>
      <c r="R293">
        <f ca="1">IF(AND(ISNUMBER($R$736),$B$419=1),$R$736,HLOOKUP(INDIRECT(ADDRESS(2,COLUMN())),OFFSET($BN$2,0,0,ROW()-1,60),ROW()-1,FALSE))</f>
        <v>32.350649369999999</v>
      </c>
      <c r="S293">
        <f ca="1">IF(AND(ISNUMBER($S$736),$B$419=1),$S$736,HLOOKUP(INDIRECT(ADDRESS(2,COLUMN())),OFFSET($BN$2,0,0,ROW()-1,60),ROW()-1,FALSE))</f>
        <v>32.832777989999997</v>
      </c>
      <c r="T293">
        <f ca="1">IF(AND(ISNUMBER($T$736),$B$419=1),$T$736,HLOOKUP(INDIRECT(ADDRESS(2,COLUMN())),OFFSET($BN$2,0,0,ROW()-1,60),ROW()-1,FALSE))</f>
        <v>33.526164119999997</v>
      </c>
      <c r="U293">
        <f ca="1">IF(AND(ISNUMBER($U$736),$B$419=1),$U$736,HLOOKUP(INDIRECT(ADDRESS(2,COLUMN())),OFFSET($BN$2,0,0,ROW()-1,60),ROW()-1,FALSE))</f>
        <v>33.636599160000003</v>
      </c>
      <c r="V293">
        <f ca="1">IF(AND(ISNUMBER($V$736),$B$419=1),$V$736,HLOOKUP(INDIRECT(ADDRESS(2,COLUMN())),OFFSET($BN$2,0,0,ROW()-1,60),ROW()-1,FALSE))</f>
        <v>34.727929449999998</v>
      </c>
      <c r="W293">
        <f ca="1">IF(AND(ISNUMBER($W$736),$B$419=1),$W$736,HLOOKUP(INDIRECT(ADDRESS(2,COLUMN())),OFFSET($BN$2,0,0,ROW()-1,60),ROW()-1,FALSE))</f>
        <v>39.532955250000001</v>
      </c>
      <c r="X293">
        <f ca="1">IF(AND(ISNUMBER($X$736),$B$419=1),$X$736,HLOOKUP(INDIRECT(ADDRESS(2,COLUMN())),OFFSET($BN$2,0,0,ROW()-1,60),ROW()-1,FALSE))</f>
        <v>39.438503969999999</v>
      </c>
      <c r="Y293">
        <f ca="1">IF(AND(ISNUMBER($Y$736),$B$419=1),$Y$736,HLOOKUP(INDIRECT(ADDRESS(2,COLUMN())),OFFSET($BN$2,0,0,ROW()-1,60),ROW()-1,FALSE))</f>
        <v>64.476477729999999</v>
      </c>
      <c r="Z293">
        <f ca="1">IF(AND(ISNUMBER($Z$736),$B$419=1),$Z$736,HLOOKUP(INDIRECT(ADDRESS(2,COLUMN())),OFFSET($BN$2,0,0,ROW()-1,60),ROW()-1,FALSE))</f>
        <v>64.142409670000006</v>
      </c>
      <c r="AA293">
        <f ca="1">IF(AND(ISNUMBER($AA$736),$B$419=1),$AA$736,HLOOKUP(INDIRECT(ADDRESS(2,COLUMN())),OFFSET($BN$2,0,0,ROW()-1,60),ROW()-1,FALSE))</f>
        <v>63.67598461</v>
      </c>
      <c r="AB293" t="str">
        <f ca="1">IF(AND(ISNUMBER($AB$736),$B$419=1),$AB$736,HLOOKUP(INDIRECT(ADDRESS(2,COLUMN())),OFFSET($BN$2,0,0,ROW()-1,60),ROW()-1,FALSE))</f>
        <v/>
      </c>
      <c r="AC293" t="str">
        <f ca="1">IF(AND(ISNUMBER($AC$736),$B$419=1),$AC$736,HLOOKUP(INDIRECT(ADDRESS(2,COLUMN())),OFFSET($BN$2,0,0,ROW()-1,60),ROW()-1,FALSE))</f>
        <v/>
      </c>
      <c r="AD293" t="str">
        <f ca="1">IF(AND(ISNUMBER($AD$736),$B$419=1),$AD$736,HLOOKUP(INDIRECT(ADDRESS(2,COLUMN())),OFFSET($BN$2,0,0,ROW()-1,60),ROW()-1,FALSE))</f>
        <v/>
      </c>
      <c r="AE293" t="str">
        <f ca="1">IF(AND(ISNUMBER($AE$736),$B$419=1),$AE$736,HLOOKUP(INDIRECT(ADDRESS(2,COLUMN())),OFFSET($BN$2,0,0,ROW()-1,60),ROW()-1,FALSE))</f>
        <v/>
      </c>
      <c r="AF293" t="str">
        <f ca="1">IF(AND(ISNUMBER($AF$736),$B$419=1),$AF$736,HLOOKUP(INDIRECT(ADDRESS(2,COLUMN())),OFFSET($BN$2,0,0,ROW()-1,60),ROW()-1,FALSE))</f>
        <v/>
      </c>
      <c r="AG293" t="str">
        <f ca="1">IF(AND(ISNUMBER($AG$736),$B$419=1),$AG$736,HLOOKUP(INDIRECT(ADDRESS(2,COLUMN())),OFFSET($BN$2,0,0,ROW()-1,60),ROW()-1,FALSE))</f>
        <v/>
      </c>
      <c r="AH293" t="str">
        <f ca="1">IF(AND(ISNUMBER($AH$736),$B$419=1),$AH$736,HLOOKUP(INDIRECT(ADDRESS(2,COLUMN())),OFFSET($BN$2,0,0,ROW()-1,60),ROW()-1,FALSE))</f>
        <v/>
      </c>
      <c r="AI293" t="str">
        <f ca="1">IF(AND(ISNUMBER($AI$736),$B$419=1),$AI$736,HLOOKUP(INDIRECT(ADDRESS(2,COLUMN())),OFFSET($BN$2,0,0,ROW()-1,60),ROW()-1,FALSE))</f>
        <v/>
      </c>
      <c r="AJ293" t="str">
        <f ca="1">IF(AND(ISNUMBER($AJ$736),$B$419=1),$AJ$736,HLOOKUP(INDIRECT(ADDRESS(2,COLUMN())),OFFSET($BN$2,0,0,ROW()-1,60),ROW()-1,FALSE))</f>
        <v/>
      </c>
      <c r="AK293" t="str">
        <f ca="1">IF(AND(ISNUMBER($AK$736),$B$419=1),$AK$736,HLOOKUP(INDIRECT(ADDRESS(2,COLUMN())),OFFSET($BN$2,0,0,ROW()-1,60),ROW()-1,FALSE))</f>
        <v/>
      </c>
      <c r="AL293" t="str">
        <f ca="1">IF(AND(ISNUMBER($AL$736),$B$419=1),$AL$736,HLOOKUP(INDIRECT(ADDRESS(2,COLUMN())),OFFSET($BN$2,0,0,ROW()-1,60),ROW()-1,FALSE))</f>
        <v/>
      </c>
      <c r="AM293" t="str">
        <f ca="1">IF(AND(ISNUMBER($AM$736),$B$419=1),$AM$736,HLOOKUP(INDIRECT(ADDRESS(2,COLUMN())),OFFSET($BN$2,0,0,ROW()-1,60),ROW()-1,FALSE))</f>
        <v/>
      </c>
      <c r="AN293" t="str">
        <f ca="1">IF(AND(ISNUMBER($AN$736),$B$419=1),$AN$736,HLOOKUP(INDIRECT(ADDRESS(2,COLUMN())),OFFSET($BN$2,0,0,ROW()-1,60),ROW()-1,FALSE))</f>
        <v/>
      </c>
      <c r="AO293" t="str">
        <f ca="1">IF(AND(ISNUMBER($AO$736),$B$419=1),$AO$736,HLOOKUP(INDIRECT(ADDRESS(2,COLUMN())),OFFSET($BN$2,0,0,ROW()-1,60),ROW()-1,FALSE))</f>
        <v/>
      </c>
      <c r="AP293" t="str">
        <f ca="1">IF(AND(ISNUMBER($AP$736),$B$419=1),$AP$736,HLOOKUP(INDIRECT(ADDRESS(2,COLUMN())),OFFSET($BN$2,0,0,ROW()-1,60),ROW()-1,FALSE))</f>
        <v/>
      </c>
      <c r="AQ293" t="str">
        <f ca="1">IF(AND(ISNUMBER($AQ$736),$B$419=1),$AQ$736,HLOOKUP(INDIRECT(ADDRESS(2,COLUMN())),OFFSET($BN$2,0,0,ROW()-1,60),ROW()-1,FALSE))</f>
        <v/>
      </c>
      <c r="AR293" t="str">
        <f ca="1">IF(AND(ISNUMBER($AR$736),$B$419=1),$AR$736,HLOOKUP(INDIRECT(ADDRESS(2,COLUMN())),OFFSET($BN$2,0,0,ROW()-1,60),ROW()-1,FALSE))</f>
        <v/>
      </c>
      <c r="AS293" t="str">
        <f ca="1">IF(AND(ISNUMBER($AS$736),$B$419=1),$AS$736,HLOOKUP(INDIRECT(ADDRESS(2,COLUMN())),OFFSET($BN$2,0,0,ROW()-1,60),ROW()-1,FALSE))</f>
        <v/>
      </c>
      <c r="AT293" t="str">
        <f ca="1">IF(AND(ISNUMBER($AT$736),$B$419=1),$AT$736,HLOOKUP(INDIRECT(ADDRESS(2,COLUMN())),OFFSET($BN$2,0,0,ROW()-1,60),ROW()-1,FALSE))</f>
        <v/>
      </c>
      <c r="AU293" t="str">
        <f ca="1">IF(AND(ISNUMBER($AU$736),$B$419=1),$AU$736,HLOOKUP(INDIRECT(ADDRESS(2,COLUMN())),OFFSET($BN$2,0,0,ROW()-1,60),ROW()-1,FALSE))</f>
        <v/>
      </c>
      <c r="AV293" t="str">
        <f ca="1">IF(AND(ISNUMBER($AV$736),$B$419=1),$AV$736,HLOOKUP(INDIRECT(ADDRESS(2,COLUMN())),OFFSET($BN$2,0,0,ROW()-1,60),ROW()-1,FALSE))</f>
        <v/>
      </c>
      <c r="AW293" t="str">
        <f ca="1">IF(AND(ISNUMBER($AW$736),$B$419=1),$AW$736,HLOOKUP(INDIRECT(ADDRESS(2,COLUMN())),OFFSET($BN$2,0,0,ROW()-1,60),ROW()-1,FALSE))</f>
        <v/>
      </c>
      <c r="AX293" t="str">
        <f ca="1">IF(AND(ISNUMBER($AX$736),$B$419=1),$AX$736,HLOOKUP(INDIRECT(ADDRESS(2,COLUMN())),OFFSET($BN$2,0,0,ROW()-1,60),ROW()-1,FALSE))</f>
        <v/>
      </c>
      <c r="AY293" t="str">
        <f ca="1">IF(AND(ISNUMBER($AY$736),$B$419=1),$AY$736,HLOOKUP(INDIRECT(ADDRESS(2,COLUMN())),OFFSET($BN$2,0,0,ROW()-1,60),ROW()-1,FALSE))</f>
        <v/>
      </c>
      <c r="AZ293" t="str">
        <f ca="1">IF(AND(ISNUMBER($AZ$736),$B$419=1),$AZ$736,HLOOKUP(INDIRECT(ADDRESS(2,COLUMN())),OFFSET($BN$2,0,0,ROW()-1,60),ROW()-1,FALSE))</f>
        <v/>
      </c>
      <c r="BA293" t="str">
        <f ca="1">IF(AND(ISNUMBER($BA$736),$B$419=1),$BA$736,HLOOKUP(INDIRECT(ADDRESS(2,COLUMN())),OFFSET($BN$2,0,0,ROW()-1,60),ROW()-1,FALSE))</f>
        <v/>
      </c>
      <c r="BB293" t="str">
        <f ca="1">IF(AND(ISNUMBER($BB$736),$B$419=1),$BB$736,HLOOKUP(INDIRECT(ADDRESS(2,COLUMN())),OFFSET($BN$2,0,0,ROW()-1,60),ROW()-1,FALSE))</f>
        <v/>
      </c>
      <c r="BC293" t="str">
        <f ca="1">IF(AND(ISNUMBER($BC$736),$B$419=1),$BC$736,HLOOKUP(INDIRECT(ADDRESS(2,COLUMN())),OFFSET($BN$2,0,0,ROW()-1,60),ROW()-1,FALSE))</f>
        <v/>
      </c>
      <c r="BD293" t="str">
        <f ca="1">IF(AND(ISNUMBER($BD$736),$B$419=1),$BD$736,HLOOKUP(INDIRECT(ADDRESS(2,COLUMN())),OFFSET($BN$2,0,0,ROW()-1,60),ROW()-1,FALSE))</f>
        <v/>
      </c>
      <c r="BE293" t="str">
        <f ca="1">IF(AND(ISNUMBER($BE$736),$B$419=1),$BE$736,HLOOKUP(INDIRECT(ADDRESS(2,COLUMN())),OFFSET($BN$2,0,0,ROW()-1,60),ROW()-1,FALSE))</f>
        <v/>
      </c>
      <c r="BF293" t="str">
        <f ca="1">IF(AND(ISNUMBER($BF$736),$B$419=1),$BF$736,HLOOKUP(INDIRECT(ADDRESS(2,COLUMN())),OFFSET($BN$2,0,0,ROW()-1,60),ROW()-1,FALSE))</f>
        <v/>
      </c>
      <c r="BG293" t="str">
        <f ca="1">IF(AND(ISNUMBER($BG$736),$B$419=1),$BG$736,HLOOKUP(INDIRECT(ADDRESS(2,COLUMN())),OFFSET($BN$2,0,0,ROW()-1,60),ROW()-1,FALSE))</f>
        <v/>
      </c>
      <c r="BH293" t="str">
        <f ca="1">IF(AND(ISNUMBER($BH$736),$B$419=1),$BH$736,HLOOKUP(INDIRECT(ADDRESS(2,COLUMN())),OFFSET($BN$2,0,0,ROW()-1,60),ROW()-1,FALSE))</f>
        <v/>
      </c>
      <c r="BI293" t="str">
        <f ca="1">IF(AND(ISNUMBER($BI$736),$B$419=1),$BI$736,HLOOKUP(INDIRECT(ADDRESS(2,COLUMN())),OFFSET($BN$2,0,0,ROW()-1,60),ROW()-1,FALSE))</f>
        <v/>
      </c>
      <c r="BJ293" t="str">
        <f ca="1">IF(AND(ISNUMBER($BJ$736),$B$419=1),$BJ$736,HLOOKUP(INDIRECT(ADDRESS(2,COLUMN())),OFFSET($BN$2,0,0,ROW()-1,60),ROW()-1,FALSE))</f>
        <v/>
      </c>
      <c r="BK293" t="str">
        <f ca="1">IF(AND(ISNUMBER($BK$736),$B$419=1),$BK$736,HLOOKUP(INDIRECT(ADDRESS(2,COLUMN())),OFFSET($BN$2,0,0,ROW()-1,60),ROW()-1,FALSE))</f>
        <v/>
      </c>
      <c r="BL293" t="str">
        <f ca="1">IF(AND(ISNUMBER($BL$736),$B$419=1),$BL$736,HLOOKUP(INDIRECT(ADDRESS(2,COLUMN())),OFFSET($BN$2,0,0,ROW()-1,60),ROW()-1,FALSE))</f>
        <v/>
      </c>
      <c r="BM293" t="str">
        <f ca="1">IF(AND(ISNUMBER($BM$736),$B$419=1),$BM$736,HLOOKUP(INDIRECT(ADDRESS(2,COLUMN())),OFFSET($BN$2,0,0,ROW()-1,60),ROW()-1,FALSE))</f>
        <v/>
      </c>
      <c r="BN293" t="str">
        <f>""</f>
        <v/>
      </c>
      <c r="BO293">
        <f>10.02788312</f>
        <v>10.02788312</v>
      </c>
      <c r="BP293">
        <f>10.14100359</f>
        <v>10.14100359</v>
      </c>
      <c r="BQ293">
        <f>11.16956797</f>
        <v>11.169567969999999</v>
      </c>
      <c r="BR293">
        <f>14.20213786</f>
        <v>14.202137860000001</v>
      </c>
      <c r="BS293">
        <f>14.34698705</f>
        <v>14.346987049999999</v>
      </c>
      <c r="BT293">
        <f>14.90199039</f>
        <v>14.90199039</v>
      </c>
      <c r="BU293">
        <f>22.05686826</f>
        <v>22.056868260000002</v>
      </c>
      <c r="BV293">
        <f>23.84432627</f>
        <v>23.84432627</v>
      </c>
      <c r="BW293">
        <f>23.85257244</f>
        <v>23.852572439999999</v>
      </c>
      <c r="BX293">
        <f>27.90178621</f>
        <v>27.901786210000001</v>
      </c>
      <c r="BY293">
        <f>29.02406514</f>
        <v>29.024065140000001</v>
      </c>
      <c r="BZ293">
        <f>32.35064937</f>
        <v>32.350649369999999</v>
      </c>
      <c r="CA293">
        <f>32.83277799</f>
        <v>32.832777989999997</v>
      </c>
      <c r="CB293">
        <f>33.52616412</f>
        <v>33.526164119999997</v>
      </c>
      <c r="CC293">
        <f>33.63659916</f>
        <v>33.636599160000003</v>
      </c>
      <c r="CD293">
        <f>34.72792945</f>
        <v>34.727929449999998</v>
      </c>
      <c r="CE293">
        <f>39.53295525</f>
        <v>39.532955250000001</v>
      </c>
      <c r="CF293">
        <f>39.43850397</f>
        <v>39.438503969999999</v>
      </c>
      <c r="CG293">
        <f>64.47647773</f>
        <v>64.476477729999999</v>
      </c>
      <c r="CH293">
        <f>64.14240967</f>
        <v>64.142409670000006</v>
      </c>
      <c r="CI293">
        <f>63.67598461</f>
        <v>63.67598461</v>
      </c>
      <c r="CJ293" t="str">
        <f>""</f>
        <v/>
      </c>
      <c r="CK293" t="str">
        <f>""</f>
        <v/>
      </c>
      <c r="CL293" t="str">
        <f>""</f>
        <v/>
      </c>
      <c r="CM293" t="str">
        <f>""</f>
        <v/>
      </c>
      <c r="CN293" t="str">
        <f>""</f>
        <v/>
      </c>
      <c r="CO293" t="str">
        <f>""</f>
        <v/>
      </c>
      <c r="CP293" t="str">
        <f>""</f>
        <v/>
      </c>
      <c r="CQ293" t="str">
        <f>""</f>
        <v/>
      </c>
      <c r="CR293" t="str">
        <f>""</f>
        <v/>
      </c>
      <c r="CS293" t="str">
        <f>""</f>
        <v/>
      </c>
      <c r="CT293" t="str">
        <f>""</f>
        <v/>
      </c>
      <c r="CU293" t="str">
        <f>""</f>
        <v/>
      </c>
      <c r="CV293" t="str">
        <f>""</f>
        <v/>
      </c>
      <c r="CW293" t="str">
        <f>""</f>
        <v/>
      </c>
      <c r="CX293" t="str">
        <f>""</f>
        <v/>
      </c>
      <c r="CY293" t="str">
        <f>""</f>
        <v/>
      </c>
      <c r="CZ293" t="str">
        <f>""</f>
        <v/>
      </c>
      <c r="DA293" t="str">
        <f>""</f>
        <v/>
      </c>
      <c r="DB293" t="str">
        <f>""</f>
        <v/>
      </c>
      <c r="DC293" t="str">
        <f>""</f>
        <v/>
      </c>
      <c r="DD293" t="str">
        <f>""</f>
        <v/>
      </c>
      <c r="DE293" t="str">
        <f>""</f>
        <v/>
      </c>
      <c r="DF293" t="str">
        <f>""</f>
        <v/>
      </c>
      <c r="DG293" t="str">
        <f>""</f>
        <v/>
      </c>
      <c r="DH293" t="str">
        <f>""</f>
        <v/>
      </c>
      <c r="DI293" t="str">
        <f>""</f>
        <v/>
      </c>
      <c r="DJ293" t="str">
        <f>""</f>
        <v/>
      </c>
      <c r="DK293" t="str">
        <f>""</f>
        <v/>
      </c>
      <c r="DL293" t="str">
        <f>""</f>
        <v/>
      </c>
      <c r="DM293" t="str">
        <f>""</f>
        <v/>
      </c>
      <c r="DN293" t="str">
        <f>""</f>
        <v/>
      </c>
      <c r="DO293" t="str">
        <f>""</f>
        <v/>
      </c>
      <c r="DP293" t="str">
        <f>""</f>
        <v/>
      </c>
      <c r="DQ293" t="str">
        <f>""</f>
        <v/>
      </c>
      <c r="DR293" t="str">
        <f>""</f>
        <v/>
      </c>
      <c r="DS293" t="str">
        <f>""</f>
        <v/>
      </c>
      <c r="DT293" t="str">
        <f>""</f>
        <v/>
      </c>
      <c r="DU293" t="str">
        <f>""</f>
        <v/>
      </c>
    </row>
    <row r="294" spans="1:125">
      <c r="A294" t="str">
        <f>"    CBL &amp; Associates Properties In"</f>
        <v xml:space="preserve">    CBL &amp; Associates Properties In</v>
      </c>
      <c r="B294" t="str">
        <f>"CBL US Equity"</f>
        <v>CBL US Equity</v>
      </c>
      <c r="C294" t="str">
        <f t="shared" si="54"/>
        <v>RR147</v>
      </c>
      <c r="D294" t="str">
        <f t="shared" si="55"/>
        <v>LT_DEBT_TO_TOT_ASSET</v>
      </c>
      <c r="E294" t="str">
        <f t="shared" si="56"/>
        <v>动态</v>
      </c>
      <c r="F294" t="str">
        <f ca="1">IF(AND(ISNUMBER($F$737),$B$419=1),$F$737,HLOOKUP(INDIRECT(ADDRESS(2,COLUMN())),OFFSET($BN$2,0,0,ROW()-1,60),ROW()-1,FALSE))</f>
        <v/>
      </c>
      <c r="G294">
        <f ca="1">IF(AND(ISNUMBER($G$737),$B$419=1),$G$737,HLOOKUP(INDIRECT(ADDRESS(2,COLUMN())),OFFSET($BN$2,0,0,ROW()-1,60),ROW()-1,FALSE))</f>
        <v>41.284509489999998</v>
      </c>
      <c r="H294">
        <f ca="1">IF(AND(ISNUMBER($H$737),$B$419=1),$H$737,HLOOKUP(INDIRECT(ADDRESS(2,COLUMN())),OFFSET($BN$2,0,0,ROW()-1,60),ROW()-1,FALSE))</f>
        <v>33.218663880000001</v>
      </c>
      <c r="I294">
        <f ca="1">IF(AND(ISNUMBER($I$737),$B$419=1),$I$737,HLOOKUP(INDIRECT(ADDRESS(2,COLUMN())),OFFSET($BN$2,0,0,ROW()-1,60),ROW()-1,FALSE))</f>
        <v>36.905580309999998</v>
      </c>
      <c r="J294">
        <f ca="1">IF(AND(ISNUMBER($J$737),$B$419=1),$J$737,HLOOKUP(INDIRECT(ADDRESS(2,COLUMN())),OFFSET($BN$2,0,0,ROW()-1,60),ROW()-1,FALSE))</f>
        <v>38.301288460000002</v>
      </c>
      <c r="K294">
        <f ca="1">IF(AND(ISNUMBER($K$737),$B$419=1),$K$737,HLOOKUP(INDIRECT(ADDRESS(2,COLUMN())),OFFSET($BN$2,0,0,ROW()-1,60),ROW()-1,FALSE))</f>
        <v>41.255815249999998</v>
      </c>
      <c r="L294">
        <f ca="1">IF(AND(ISNUMBER($L$737),$B$419=1),$L$737,HLOOKUP(INDIRECT(ADDRESS(2,COLUMN())),OFFSET($BN$2,0,0,ROW()-1,60),ROW()-1,FALSE))</f>
        <v>41.472252580000003</v>
      </c>
      <c r="M294">
        <f ca="1">IF(AND(ISNUMBER($M$737),$B$419=1),$M$737,HLOOKUP(INDIRECT(ADDRESS(2,COLUMN())),OFFSET($BN$2,0,0,ROW()-1,60),ROW()-1,FALSE))</f>
        <v>42.335914379999998</v>
      </c>
      <c r="N294">
        <f ca="1">IF(AND(ISNUMBER($N$737),$B$419=1),$N$737,HLOOKUP(INDIRECT(ADDRESS(2,COLUMN())),OFFSET($BN$2,0,0,ROW()-1,60),ROW()-1,FALSE))</f>
        <v>43.317280519999997</v>
      </c>
      <c r="O294">
        <f ca="1">IF(AND(ISNUMBER($O$737),$B$419=1),$O$737,HLOOKUP(INDIRECT(ADDRESS(2,COLUMN())),OFFSET($BN$2,0,0,ROW()-1,60),ROW()-1,FALSE))</f>
        <v>54.193346869999999</v>
      </c>
      <c r="P294">
        <f ca="1">IF(AND(ISNUMBER($P$737),$B$419=1),$P$737,HLOOKUP(INDIRECT(ADDRESS(2,COLUMN())),OFFSET($BN$2,0,0,ROW()-1,60),ROW()-1,FALSE))</f>
        <v>52.860171440000002</v>
      </c>
      <c r="Q294">
        <f ca="1">IF(AND(ISNUMBER($Q$737),$B$419=1),$Q$737,HLOOKUP(INDIRECT(ADDRESS(2,COLUMN())),OFFSET($BN$2,0,0,ROW()-1,60),ROW()-1,FALSE))</f>
        <v>58.647761039999999</v>
      </c>
      <c r="R294">
        <f ca="1">IF(AND(ISNUMBER($R$737),$B$419=1),$R$737,HLOOKUP(INDIRECT(ADDRESS(2,COLUMN())),OFFSET($BN$2,0,0,ROW()-1,60),ROW()-1,FALSE))</f>
        <v>49.924429979999999</v>
      </c>
      <c r="S294">
        <f ca="1">IF(AND(ISNUMBER($S$737),$B$419=1),$S$737,HLOOKUP(INDIRECT(ADDRESS(2,COLUMN())),OFFSET($BN$2,0,0,ROW()-1,60),ROW()-1,FALSE))</f>
        <v>60.797778870000002</v>
      </c>
      <c r="T294">
        <f ca="1">IF(AND(ISNUMBER($T$737),$B$419=1),$T$737,HLOOKUP(INDIRECT(ADDRESS(2,COLUMN())),OFFSET($BN$2,0,0,ROW()-1,60),ROW()-1,FALSE))</f>
        <v>58.847686869999997</v>
      </c>
      <c r="U294">
        <f ca="1">IF(AND(ISNUMBER($U$737),$B$419=1),$U$737,HLOOKUP(INDIRECT(ADDRESS(2,COLUMN())),OFFSET($BN$2,0,0,ROW()-1,60),ROW()-1,FALSE))</f>
        <v>59.383581079999999</v>
      </c>
      <c r="V294">
        <f ca="1">IF(AND(ISNUMBER($V$737),$B$419=1),$V$737,HLOOKUP(INDIRECT(ADDRESS(2,COLUMN())),OFFSET($BN$2,0,0,ROW()-1,60),ROW()-1,FALSE))</f>
        <v>59.198901999999997</v>
      </c>
      <c r="W294">
        <f ca="1">IF(AND(ISNUMBER($W$737),$B$419=1),$W$737,HLOOKUP(INDIRECT(ADDRESS(2,COLUMN())),OFFSET($BN$2,0,0,ROW()-1,60),ROW()-1,FALSE))</f>
        <v>61.579529299999997</v>
      </c>
      <c r="X294">
        <f ca="1">IF(AND(ISNUMBER($X$737),$B$419=1),$X$737,HLOOKUP(INDIRECT(ADDRESS(2,COLUMN())),OFFSET($BN$2,0,0,ROW()-1,60),ROW()-1,FALSE))</f>
        <v>54.652571520000002</v>
      </c>
      <c r="Y294">
        <f ca="1">IF(AND(ISNUMBER($Y$737),$B$419=1),$Y$737,HLOOKUP(INDIRECT(ADDRESS(2,COLUMN())),OFFSET($BN$2,0,0,ROW()-1,60),ROW()-1,FALSE))</f>
        <v>53.86202256</v>
      </c>
      <c r="Z294">
        <f ca="1">IF(AND(ISNUMBER($Z$737),$B$419=1),$Z$737,HLOOKUP(INDIRECT(ADDRESS(2,COLUMN())),OFFSET($BN$2,0,0,ROW()-1,60),ROW()-1,FALSE))</f>
        <v>60.403326030000002</v>
      </c>
      <c r="AA294">
        <f ca="1">IF(AND(ISNUMBER($AA$737),$B$419=1),$AA$737,HLOOKUP(INDIRECT(ADDRESS(2,COLUMN())),OFFSET($BN$2,0,0,ROW()-1,60),ROW()-1,FALSE))</f>
        <v>60.078852019999999</v>
      </c>
      <c r="AB294">
        <f ca="1">IF(AND(ISNUMBER($AB$737),$B$419=1),$AB$737,HLOOKUP(INDIRECT(ADDRESS(2,COLUMN())),OFFSET($BN$2,0,0,ROW()-1,60),ROW()-1,FALSE))</f>
        <v>62.496132250000002</v>
      </c>
      <c r="AC294">
        <f ca="1">IF(AND(ISNUMBER($AC$737),$B$419=1),$AC$737,HLOOKUP(INDIRECT(ADDRESS(2,COLUMN())),OFFSET($BN$2,0,0,ROW()-1,60),ROW()-1,FALSE))</f>
        <v>60.576144650000003</v>
      </c>
      <c r="AD294">
        <f ca="1">IF(AND(ISNUMBER($AD$737),$B$419=1),$AD$737,HLOOKUP(INDIRECT(ADDRESS(2,COLUMN())),OFFSET($BN$2,0,0,ROW()-1,60),ROW()-1,FALSE))</f>
        <v>55.858876240000001</v>
      </c>
      <c r="AE294">
        <f ca="1">IF(AND(ISNUMBER($AE$737),$B$419=1),$AE$737,HLOOKUP(INDIRECT(ADDRESS(2,COLUMN())),OFFSET($BN$2,0,0,ROW()-1,60),ROW()-1,FALSE))</f>
        <v>60.309672190000001</v>
      </c>
      <c r="AF294">
        <f ca="1">IF(AND(ISNUMBER($AF$737),$B$419=1),$AF$737,HLOOKUP(INDIRECT(ADDRESS(2,COLUMN())),OFFSET($BN$2,0,0,ROW()-1,60),ROW()-1,FALSE))</f>
        <v>61.716552180000001</v>
      </c>
      <c r="AG294">
        <f ca="1">IF(AND(ISNUMBER($AG$737),$B$419=1),$AG$737,HLOOKUP(INDIRECT(ADDRESS(2,COLUMN())),OFFSET($BN$2,0,0,ROW()-1,60),ROW()-1,FALSE))</f>
        <v>61.434791599999997</v>
      </c>
      <c r="AH294">
        <f ca="1">IF(AND(ISNUMBER($AH$737),$B$419=1),$AH$737,HLOOKUP(INDIRECT(ADDRESS(2,COLUMN())),OFFSET($BN$2,0,0,ROW()-1,60),ROW()-1,FALSE))</f>
        <v>59.377987410000003</v>
      </c>
      <c r="AI294">
        <f ca="1">IF(AND(ISNUMBER($AI$737),$B$419=1),$AI$737,HLOOKUP(INDIRECT(ADDRESS(2,COLUMN())),OFFSET($BN$2,0,0,ROW()-1,60),ROW()-1,FALSE))</f>
        <v>55.604862099999998</v>
      </c>
      <c r="AJ294">
        <f ca="1">IF(AND(ISNUMBER($AJ$737),$B$419=1),$AJ$737,HLOOKUP(INDIRECT(ADDRESS(2,COLUMN())),OFFSET($BN$2,0,0,ROW()-1,60),ROW()-1,FALSE))</f>
        <v>55.719823310000002</v>
      </c>
      <c r="AK294">
        <f ca="1">IF(AND(ISNUMBER($AK$737),$B$419=1),$AK$737,HLOOKUP(INDIRECT(ADDRESS(2,COLUMN())),OFFSET($BN$2,0,0,ROW()-1,60),ROW()-1,FALSE))</f>
        <v>57.286602790000003</v>
      </c>
      <c r="AL294">
        <f ca="1">IF(AND(ISNUMBER($AL$737),$B$419=1),$AL$737,HLOOKUP(INDIRECT(ADDRESS(2,COLUMN())),OFFSET($BN$2,0,0,ROW()-1,60),ROW()-1,FALSE))</f>
        <v>57.12356904</v>
      </c>
      <c r="AM294">
        <f ca="1">IF(AND(ISNUMBER($AM$737),$B$419=1),$AM$737,HLOOKUP(INDIRECT(ADDRESS(2,COLUMN())),OFFSET($BN$2,0,0,ROW()-1,60),ROW()-1,FALSE))</f>
        <v>57.179144819999998</v>
      </c>
      <c r="AN294">
        <f ca="1">IF(AND(ISNUMBER($AN$737),$B$419=1),$AN$737,HLOOKUP(INDIRECT(ADDRESS(2,COLUMN())),OFFSET($BN$2,0,0,ROW()-1,60),ROW()-1,FALSE))</f>
        <v>56.909463500000001</v>
      </c>
      <c r="AO294">
        <f ca="1">IF(AND(ISNUMBER($AO$737),$B$419=1),$AO$737,HLOOKUP(INDIRECT(ADDRESS(2,COLUMN())),OFFSET($BN$2,0,0,ROW()-1,60),ROW()-1,FALSE))</f>
        <v>57.072319970000002</v>
      </c>
      <c r="AP294">
        <f ca="1">IF(AND(ISNUMBER($AP$737),$B$419=1),$AP$737,HLOOKUP(INDIRECT(ADDRESS(2,COLUMN())),OFFSET($BN$2,0,0,ROW()-1,60),ROW()-1,FALSE))</f>
        <v>57.304998070000003</v>
      </c>
      <c r="AQ294">
        <f ca="1">IF(AND(ISNUMBER($AQ$737),$B$419=1),$AQ$737,HLOOKUP(INDIRECT(ADDRESS(2,COLUMN())),OFFSET($BN$2,0,0,ROW()-1,60),ROW()-1,FALSE))</f>
        <v>57.087885929999999</v>
      </c>
      <c r="AR294">
        <f ca="1">IF(AND(ISNUMBER($AR$737),$B$419=1),$AR$737,HLOOKUP(INDIRECT(ADDRESS(2,COLUMN())),OFFSET($BN$2,0,0,ROW()-1,60),ROW()-1,FALSE))</f>
        <v>55.220503649999998</v>
      </c>
      <c r="AS294">
        <f ca="1">IF(AND(ISNUMBER($AS$737),$B$419=1),$AS$737,HLOOKUP(INDIRECT(ADDRESS(2,COLUMN())),OFFSET($BN$2,0,0,ROW()-1,60),ROW()-1,FALSE))</f>
        <v>55.524119220000003</v>
      </c>
      <c r="AT294">
        <f ca="1">IF(AND(ISNUMBER($AT$737),$B$419=1),$AT$737,HLOOKUP(INDIRECT(ADDRESS(2,COLUMN())),OFFSET($BN$2,0,0,ROW()-1,60),ROW()-1,FALSE))</f>
        <v>55.736044120000003</v>
      </c>
      <c r="AU294">
        <f ca="1">IF(AND(ISNUMBER($AU$737),$B$419=1),$AU$737,HLOOKUP(INDIRECT(ADDRESS(2,COLUMN())),OFFSET($BN$2,0,0,ROW()-1,60),ROW()-1,FALSE))</f>
        <v>58.041440110000003</v>
      </c>
      <c r="AV294">
        <f ca="1">IF(AND(ISNUMBER($AV$737),$B$419=1),$AV$737,HLOOKUP(INDIRECT(ADDRESS(2,COLUMN())),OFFSET($BN$2,0,0,ROW()-1,60),ROW()-1,FALSE))</f>
        <v>61.032082780000003</v>
      </c>
      <c r="AW294">
        <f ca="1">IF(AND(ISNUMBER($AW$737),$B$419=1),$AW$737,HLOOKUP(INDIRECT(ADDRESS(2,COLUMN())),OFFSET($BN$2,0,0,ROW()-1,60),ROW()-1,FALSE))</f>
        <v>61.399105169999999</v>
      </c>
      <c r="AX294">
        <f ca="1">IF(AND(ISNUMBER($AX$737),$B$419=1),$AX$737,HLOOKUP(INDIRECT(ADDRESS(2,COLUMN())),OFFSET($BN$2,0,0,ROW()-1,60),ROW()-1,FALSE))</f>
        <v>61.433694070000001</v>
      </c>
      <c r="AY294">
        <f ca="1">IF(AND(ISNUMBER($AY$737),$B$419=1),$AY$737,HLOOKUP(INDIRECT(ADDRESS(2,COLUMN())),OFFSET($BN$2,0,0,ROW()-1,60),ROW()-1,FALSE))</f>
        <v>70.020985429999996</v>
      </c>
      <c r="AZ294">
        <f ca="1">IF(AND(ISNUMBER($AZ$737),$B$419=1),$AZ$737,HLOOKUP(INDIRECT(ADDRESS(2,COLUMN())),OFFSET($BN$2,0,0,ROW()-1,60),ROW()-1,FALSE))</f>
        <v>57.603841269999997</v>
      </c>
      <c r="BA294">
        <f ca="1">IF(AND(ISNUMBER($BA$737),$B$419=1),$BA$737,HLOOKUP(INDIRECT(ADDRESS(2,COLUMN())),OFFSET($BN$2,0,0,ROW()-1,60),ROW()-1,FALSE))</f>
        <v>63.451641770000002</v>
      </c>
      <c r="BB294">
        <f ca="1">IF(AND(ISNUMBER($BB$737),$B$419=1),$BB$737,HLOOKUP(INDIRECT(ADDRESS(2,COLUMN())),OFFSET($BN$2,0,0,ROW()-1,60),ROW()-1,FALSE))</f>
        <v>63.602625459999999</v>
      </c>
      <c r="BC294">
        <f ca="1">IF(AND(ISNUMBER($BC$737),$B$419=1),$BC$737,HLOOKUP(INDIRECT(ADDRESS(2,COLUMN())),OFFSET($BN$2,0,0,ROW()-1,60),ROW()-1,FALSE))</f>
        <v>68.338081729999999</v>
      </c>
      <c r="BD294">
        <f ca="1">IF(AND(ISNUMBER($BD$737),$B$419=1),$BD$737,HLOOKUP(INDIRECT(ADDRESS(2,COLUMN())),OFFSET($BN$2,0,0,ROW()-1,60),ROW()-1,FALSE))</f>
        <v>57.255159069999998</v>
      </c>
      <c r="BE294">
        <f ca="1">IF(AND(ISNUMBER($BE$737),$B$419=1),$BE$737,HLOOKUP(INDIRECT(ADDRESS(2,COLUMN())),OFFSET($BN$2,0,0,ROW()-1,60),ROW()-1,FALSE))</f>
        <v>64.936908020000004</v>
      </c>
      <c r="BF294">
        <f ca="1">IF(AND(ISNUMBER($BF$737),$B$419=1),$BF$737,HLOOKUP(INDIRECT(ADDRESS(2,COLUMN())),OFFSET($BN$2,0,0,ROW()-1,60),ROW()-1,FALSE))</f>
        <v>64.480476100000004</v>
      </c>
      <c r="BG294">
        <f ca="1">IF(AND(ISNUMBER($BG$737),$B$419=1),$BG$737,HLOOKUP(INDIRECT(ADDRESS(2,COLUMN())),OFFSET($BN$2,0,0,ROW()-1,60),ROW()-1,FALSE))</f>
        <v>64.017273509999995</v>
      </c>
      <c r="BH294">
        <f ca="1">IF(AND(ISNUMBER($BH$737),$B$419=1),$BH$737,HLOOKUP(INDIRECT(ADDRESS(2,COLUMN())),OFFSET($BN$2,0,0,ROW()-1,60),ROW()-1,FALSE))</f>
        <v>66.990457550000002</v>
      </c>
      <c r="BI294">
        <f ca="1">IF(AND(ISNUMBER($BI$737),$B$419=1),$BI$737,HLOOKUP(INDIRECT(ADDRESS(2,COLUMN())),OFFSET($BN$2,0,0,ROW()-1,60),ROW()-1,FALSE))</f>
        <v>66.311139150000002</v>
      </c>
      <c r="BJ294">
        <f ca="1">IF(AND(ISNUMBER($BJ$737),$B$419=1),$BJ$737,HLOOKUP(INDIRECT(ADDRESS(2,COLUMN())),OFFSET($BN$2,0,0,ROW()-1,60),ROW()-1,FALSE))</f>
        <v>64.458728679999993</v>
      </c>
      <c r="BK294">
        <f ca="1">IF(AND(ISNUMBER($BK$737),$B$419=1),$BK$737,HLOOKUP(INDIRECT(ADDRESS(2,COLUMN())),OFFSET($BN$2,0,0,ROW()-1,60),ROW()-1,FALSE))</f>
        <v>62.521299200000001</v>
      </c>
      <c r="BL294">
        <f ca="1">IF(AND(ISNUMBER($BL$737),$B$419=1),$BL$737,HLOOKUP(INDIRECT(ADDRESS(2,COLUMN())),OFFSET($BN$2,0,0,ROW()-1,60),ROW()-1,FALSE))</f>
        <v>63.386945959999998</v>
      </c>
      <c r="BM294">
        <f ca="1">IF(AND(ISNUMBER($BM$737),$B$419=1),$BM$737,HLOOKUP(INDIRECT(ADDRESS(2,COLUMN())),OFFSET($BN$2,0,0,ROW()-1,60),ROW()-1,FALSE))</f>
        <v>64.331709720000006</v>
      </c>
      <c r="BN294" t="str">
        <f>""</f>
        <v/>
      </c>
      <c r="BO294">
        <f>41.28450949</f>
        <v>41.284509489999998</v>
      </c>
      <c r="BP294">
        <f>33.21866388</f>
        <v>33.218663880000001</v>
      </c>
      <c r="BQ294">
        <f>36.90558031</f>
        <v>36.905580309999998</v>
      </c>
      <c r="BR294">
        <f>38.30128846</f>
        <v>38.301288460000002</v>
      </c>
      <c r="BS294">
        <f>41.25581525</f>
        <v>41.255815249999998</v>
      </c>
      <c r="BT294">
        <f>41.47225258</f>
        <v>41.472252580000003</v>
      </c>
      <c r="BU294">
        <f>42.33591438</f>
        <v>42.335914379999998</v>
      </c>
      <c r="BV294">
        <f>43.31728052</f>
        <v>43.317280519999997</v>
      </c>
      <c r="BW294">
        <f>54.19334687</f>
        <v>54.193346869999999</v>
      </c>
      <c r="BX294">
        <f>52.86017144</f>
        <v>52.860171440000002</v>
      </c>
      <c r="BY294">
        <f>58.64776104</f>
        <v>58.647761039999999</v>
      </c>
      <c r="BZ294">
        <f>49.92442998</f>
        <v>49.924429979999999</v>
      </c>
      <c r="CA294">
        <f>60.79777887</f>
        <v>60.797778870000002</v>
      </c>
      <c r="CB294">
        <f>58.84768687</f>
        <v>58.847686869999997</v>
      </c>
      <c r="CC294">
        <f>59.38358108</f>
        <v>59.383581079999999</v>
      </c>
      <c r="CD294">
        <f>59.198902</f>
        <v>59.198901999999997</v>
      </c>
      <c r="CE294">
        <f>61.5795293</f>
        <v>61.579529299999997</v>
      </c>
      <c r="CF294">
        <f>54.65257152</f>
        <v>54.652571520000002</v>
      </c>
      <c r="CG294">
        <f>53.86202256</f>
        <v>53.86202256</v>
      </c>
      <c r="CH294">
        <f>60.40332603</f>
        <v>60.403326030000002</v>
      </c>
      <c r="CI294">
        <f>60.07885202</f>
        <v>60.078852019999999</v>
      </c>
      <c r="CJ294">
        <f>62.49613225</f>
        <v>62.496132250000002</v>
      </c>
      <c r="CK294">
        <f>60.57614465</f>
        <v>60.576144650000003</v>
      </c>
      <c r="CL294">
        <f>55.85887624</f>
        <v>55.858876240000001</v>
      </c>
      <c r="CM294">
        <f>60.30967219</f>
        <v>60.309672190000001</v>
      </c>
      <c r="CN294">
        <f>61.71655218</f>
        <v>61.716552180000001</v>
      </c>
      <c r="CO294">
        <f>61.4347916</f>
        <v>61.434791599999997</v>
      </c>
      <c r="CP294">
        <f>59.37798741</f>
        <v>59.377987410000003</v>
      </c>
      <c r="CQ294">
        <f>55.6048621</f>
        <v>55.604862099999998</v>
      </c>
      <c r="CR294">
        <f>55.71982331</f>
        <v>55.719823310000002</v>
      </c>
      <c r="CS294">
        <f>57.28660279</f>
        <v>57.286602790000003</v>
      </c>
      <c r="CT294">
        <f>57.12356904</f>
        <v>57.12356904</v>
      </c>
      <c r="CU294">
        <f>57.17914482</f>
        <v>57.179144819999998</v>
      </c>
      <c r="CV294">
        <f>56.9094635</f>
        <v>56.909463500000001</v>
      </c>
      <c r="CW294">
        <f>57.07231997</f>
        <v>57.072319970000002</v>
      </c>
      <c r="CX294">
        <f>57.30499807</f>
        <v>57.304998070000003</v>
      </c>
      <c r="CY294">
        <f>57.08788593</f>
        <v>57.087885929999999</v>
      </c>
      <c r="CZ294">
        <f>55.22050365</f>
        <v>55.220503649999998</v>
      </c>
      <c r="DA294">
        <f>55.52411922</f>
        <v>55.524119220000003</v>
      </c>
      <c r="DB294">
        <f>55.73604412</f>
        <v>55.736044120000003</v>
      </c>
      <c r="DC294">
        <f>58.04144011</f>
        <v>58.041440110000003</v>
      </c>
      <c r="DD294">
        <f>61.03208278</f>
        <v>61.032082780000003</v>
      </c>
      <c r="DE294">
        <f>61.39910517</f>
        <v>61.399105169999999</v>
      </c>
      <c r="DF294">
        <f>61.43369407</f>
        <v>61.433694070000001</v>
      </c>
      <c r="DG294">
        <f>70.02098543</f>
        <v>70.020985429999996</v>
      </c>
      <c r="DH294">
        <f>57.60384127</f>
        <v>57.603841269999997</v>
      </c>
      <c r="DI294">
        <f>63.45164177</f>
        <v>63.451641770000002</v>
      </c>
      <c r="DJ294">
        <f>63.60262546</f>
        <v>63.602625459999999</v>
      </c>
      <c r="DK294">
        <f>68.33808173</f>
        <v>68.338081729999999</v>
      </c>
      <c r="DL294">
        <f>57.25515907</f>
        <v>57.255159069999998</v>
      </c>
      <c r="DM294">
        <f>64.93690802</f>
        <v>64.936908020000004</v>
      </c>
      <c r="DN294">
        <f>64.4804761</f>
        <v>64.480476100000004</v>
      </c>
      <c r="DO294">
        <f>64.01727351</f>
        <v>64.017273509999995</v>
      </c>
      <c r="DP294">
        <f>66.99045755</f>
        <v>66.990457550000002</v>
      </c>
      <c r="DQ294">
        <f>66.31113915</f>
        <v>66.311139150000002</v>
      </c>
      <c r="DR294">
        <f>64.45872868</f>
        <v>64.458728679999993</v>
      </c>
      <c r="DS294">
        <f>62.5212992</f>
        <v>62.521299200000001</v>
      </c>
      <c r="DT294">
        <f>63.38694596</f>
        <v>63.386945959999998</v>
      </c>
      <c r="DU294">
        <f>64.33170972</f>
        <v>64.331709720000006</v>
      </c>
    </row>
    <row r="295" spans="1:125">
      <c r="A295" t="str">
        <f>"    DDR Corp"</f>
        <v xml:space="preserve">    DDR Corp</v>
      </c>
      <c r="B295" t="str">
        <f>"DDR US Equity"</f>
        <v>DDR US Equity</v>
      </c>
      <c r="C295" t="str">
        <f t="shared" si="54"/>
        <v>RR147</v>
      </c>
      <c r="D295" t="str">
        <f t="shared" si="55"/>
        <v>LT_DEBT_TO_TOT_ASSET</v>
      </c>
      <c r="E295" t="str">
        <f t="shared" si="56"/>
        <v>动态</v>
      </c>
      <c r="F295" t="str">
        <f ca="1">IF(AND(ISNUMBER($F$738),$B$419=1),$F$738,HLOOKUP(INDIRECT(ADDRESS(2,COLUMN())),OFFSET($BN$2,0,0,ROW()-1,60),ROW()-1,FALSE))</f>
        <v/>
      </c>
      <c r="G295">
        <f ca="1">IF(AND(ISNUMBER($G$738),$B$419=1),$G$738,HLOOKUP(INDIRECT(ADDRESS(2,COLUMN())),OFFSET($BN$2,0,0,ROW()-1,60),ROW()-1,FALSE))</f>
        <v>8.9149998890000006</v>
      </c>
      <c r="H295">
        <f ca="1">IF(AND(ISNUMBER($H$738),$B$419=1),$H$738,HLOOKUP(INDIRECT(ADDRESS(2,COLUMN())),OFFSET($BN$2,0,0,ROW()-1,60),ROW()-1,FALSE))</f>
        <v>9.8193790439999997</v>
      </c>
      <c r="I295">
        <f ca="1">IF(AND(ISNUMBER($I$738),$B$419=1),$I$738,HLOOKUP(INDIRECT(ADDRESS(2,COLUMN())),OFFSET($BN$2,0,0,ROW()-1,60),ROW()-1,FALSE))</f>
        <v>13.398426949999999</v>
      </c>
      <c r="J295">
        <f ca="1">IF(AND(ISNUMBER($J$738),$B$419=1),$J$738,HLOOKUP(INDIRECT(ADDRESS(2,COLUMN())),OFFSET($BN$2,0,0,ROW()-1,60),ROW()-1,FALSE))</f>
        <v>13.81723339</v>
      </c>
      <c r="K295">
        <f ca="1">IF(AND(ISNUMBER($K$738),$B$419=1),$K$738,HLOOKUP(INDIRECT(ADDRESS(2,COLUMN())),OFFSET($BN$2,0,0,ROW()-1,60),ROW()-1,FALSE))</f>
        <v>14.42329251</v>
      </c>
      <c r="L295">
        <f ca="1">IF(AND(ISNUMBER($L$738),$B$419=1),$L$738,HLOOKUP(INDIRECT(ADDRESS(2,COLUMN())),OFFSET($BN$2,0,0,ROW()-1,60),ROW()-1,FALSE))</f>
        <v>15.432238630000001</v>
      </c>
      <c r="M295">
        <f ca="1">IF(AND(ISNUMBER($M$738),$B$419=1),$M$738,HLOOKUP(INDIRECT(ADDRESS(2,COLUMN())),OFFSET($BN$2,0,0,ROW()-1,60),ROW()-1,FALSE))</f>
        <v>15.46618715</v>
      </c>
      <c r="N295">
        <f ca="1">IF(AND(ISNUMBER($N$738),$B$419=1),$N$738,HLOOKUP(INDIRECT(ADDRESS(2,COLUMN())),OFFSET($BN$2,0,0,ROW()-1,60),ROW()-1,FALSE))</f>
        <v>15.36899425</v>
      </c>
      <c r="O295">
        <f ca="1">IF(AND(ISNUMBER($O$738),$B$419=1),$O$738,HLOOKUP(INDIRECT(ADDRESS(2,COLUMN())),OFFSET($BN$2,0,0,ROW()-1,60),ROW()-1,FALSE))</f>
        <v>15.19623642</v>
      </c>
      <c r="P295">
        <f ca="1">IF(AND(ISNUMBER($P$738),$B$419=1),$P$738,HLOOKUP(INDIRECT(ADDRESS(2,COLUMN())),OFFSET($BN$2,0,0,ROW()-1,60),ROW()-1,FALSE))</f>
        <v>15.39975134</v>
      </c>
      <c r="Q295">
        <f ca="1">IF(AND(ISNUMBER($Q$738),$B$419=1),$Q$738,HLOOKUP(INDIRECT(ADDRESS(2,COLUMN())),OFFSET($BN$2,0,0,ROW()-1,60),ROW()-1,FALSE))</f>
        <v>17.378092039999999</v>
      </c>
      <c r="R295">
        <f ca="1">IF(AND(ISNUMBER($R$738),$B$419=1),$R$738,HLOOKUP(INDIRECT(ADDRESS(2,COLUMN())),OFFSET($BN$2,0,0,ROW()-1,60),ROW()-1,FALSE))</f>
        <v>21.44653576</v>
      </c>
      <c r="S295">
        <f ca="1">IF(AND(ISNUMBER($S$738),$B$419=1),$S$738,HLOOKUP(INDIRECT(ADDRESS(2,COLUMN())),OFFSET($BN$2,0,0,ROW()-1,60),ROW()-1,FALSE))</f>
        <v>21.880952310000001</v>
      </c>
      <c r="T295">
        <f ca="1">IF(AND(ISNUMBER($T$738),$B$419=1),$T$738,HLOOKUP(INDIRECT(ADDRESS(2,COLUMN())),OFFSET($BN$2,0,0,ROW()-1,60),ROW()-1,FALSE))</f>
        <v>21.81343656</v>
      </c>
      <c r="U295">
        <f ca="1">IF(AND(ISNUMBER($U$738),$B$419=1),$U$738,HLOOKUP(INDIRECT(ADDRESS(2,COLUMN())),OFFSET($BN$2,0,0,ROW()-1,60),ROW()-1,FALSE))</f>
        <v>22.623677919999999</v>
      </c>
      <c r="V295">
        <f ca="1">IF(AND(ISNUMBER($V$738),$B$419=1),$V$738,HLOOKUP(INDIRECT(ADDRESS(2,COLUMN())),OFFSET($BN$2,0,0,ROW()-1,60),ROW()-1,FALSE))</f>
        <v>22.04673769</v>
      </c>
      <c r="W295">
        <f ca="1">IF(AND(ISNUMBER($W$738),$B$419=1),$W$738,HLOOKUP(INDIRECT(ADDRESS(2,COLUMN())),OFFSET($BN$2,0,0,ROW()-1,60),ROW()-1,FALSE))</f>
        <v>22.298614690000001</v>
      </c>
      <c r="X295">
        <f ca="1">IF(AND(ISNUMBER($X$738),$B$419=1),$X$738,HLOOKUP(INDIRECT(ADDRESS(2,COLUMN())),OFFSET($BN$2,0,0,ROW()-1,60),ROW()-1,FALSE))</f>
        <v>20.968508270000001</v>
      </c>
      <c r="Y295">
        <f ca="1">IF(AND(ISNUMBER($Y$738),$B$419=1),$Y$738,HLOOKUP(INDIRECT(ADDRESS(2,COLUMN())),OFFSET($BN$2,0,0,ROW()-1,60),ROW()-1,FALSE))</f>
        <v>19.78637157</v>
      </c>
      <c r="Z295">
        <f ca="1">IF(AND(ISNUMBER($Z$738),$B$419=1),$Z$738,HLOOKUP(INDIRECT(ADDRESS(2,COLUMN())),OFFSET($BN$2,0,0,ROW()-1,60),ROW()-1,FALSE))</f>
        <v>20.639254999999999</v>
      </c>
      <c r="AA295">
        <f ca="1">IF(AND(ISNUMBER($AA$738),$B$419=1),$AA$738,HLOOKUP(INDIRECT(ADDRESS(2,COLUMN())),OFFSET($BN$2,0,0,ROW()-1,60),ROW()-1,FALSE))</f>
        <v>20.781713929999999</v>
      </c>
      <c r="AB295">
        <f ca="1">IF(AND(ISNUMBER($AB$738),$B$419=1),$AB$738,HLOOKUP(INDIRECT(ADDRESS(2,COLUMN())),OFFSET($BN$2,0,0,ROW()-1,60),ROW()-1,FALSE))</f>
        <v>23.491636320000001</v>
      </c>
      <c r="AC295">
        <f ca="1">IF(AND(ISNUMBER($AC$738),$B$419=1),$AC$738,HLOOKUP(INDIRECT(ADDRESS(2,COLUMN())),OFFSET($BN$2,0,0,ROW()-1,60),ROW()-1,FALSE))</f>
        <v>24.556840319999999</v>
      </c>
      <c r="AD295">
        <f ca="1">IF(AND(ISNUMBER($AD$738),$B$419=1),$AD$738,HLOOKUP(INDIRECT(ADDRESS(2,COLUMN())),OFFSET($BN$2,0,0,ROW()-1,60),ROW()-1,FALSE))</f>
        <v>25.266484890000001</v>
      </c>
      <c r="AE295">
        <f ca="1">IF(AND(ISNUMBER($AE$738),$B$419=1),$AE$738,HLOOKUP(INDIRECT(ADDRESS(2,COLUMN())),OFFSET($BN$2,0,0,ROW()-1,60),ROW()-1,FALSE))</f>
        <v>24.398732160000002</v>
      </c>
      <c r="AF295">
        <f ca="1">IF(AND(ISNUMBER($AF$738),$B$419=1),$AF$738,HLOOKUP(INDIRECT(ADDRESS(2,COLUMN())),OFFSET($BN$2,0,0,ROW()-1,60),ROW()-1,FALSE))</f>
        <v>24.205092579999999</v>
      </c>
      <c r="AG295">
        <f ca="1">IF(AND(ISNUMBER($AG$738),$B$419=1),$AG$738,HLOOKUP(INDIRECT(ADDRESS(2,COLUMN())),OFFSET($BN$2,0,0,ROW()-1,60),ROW()-1,FALSE))</f>
        <v>23.308069639999999</v>
      </c>
      <c r="AH295">
        <f ca="1">IF(AND(ISNUMBER($AH$738),$B$419=1),$AH$738,HLOOKUP(INDIRECT(ADDRESS(2,COLUMN())),OFFSET($BN$2,0,0,ROW()-1,60),ROW()-1,FALSE))</f>
        <v>24.182840649999999</v>
      </c>
      <c r="AI295">
        <f ca="1">IF(AND(ISNUMBER($AI$738),$B$419=1),$AI$738,HLOOKUP(INDIRECT(ADDRESS(2,COLUMN())),OFFSET($BN$2,0,0,ROW()-1,60),ROW()-1,FALSE))</f>
        <v>25.470263599999999</v>
      </c>
      <c r="AJ295">
        <f ca="1">IF(AND(ISNUMBER($AJ$738),$B$419=1),$AJ$738,HLOOKUP(INDIRECT(ADDRESS(2,COLUMN())),OFFSET($BN$2,0,0,ROW()-1,60),ROW()-1,FALSE))</f>
        <v>27.494671570000001</v>
      </c>
      <c r="AK295">
        <f ca="1">IF(AND(ISNUMBER($AK$738),$B$419=1),$AK$738,HLOOKUP(INDIRECT(ADDRESS(2,COLUMN())),OFFSET($BN$2,0,0,ROW()-1,60),ROW()-1,FALSE))</f>
        <v>29.70341444</v>
      </c>
      <c r="AL295">
        <f ca="1">IF(AND(ISNUMBER($AL$738),$B$419=1),$AL$738,HLOOKUP(INDIRECT(ADDRESS(2,COLUMN())),OFFSET($BN$2,0,0,ROW()-1,60),ROW()-1,FALSE))</f>
        <v>30.702341690000001</v>
      </c>
      <c r="AM295">
        <f ca="1">IF(AND(ISNUMBER($AM$738),$B$419=1),$AM$738,HLOOKUP(INDIRECT(ADDRESS(2,COLUMN())),OFFSET($BN$2,0,0,ROW()-1,60),ROW()-1,FALSE))</f>
        <v>32.20506572</v>
      </c>
      <c r="AN295">
        <f ca="1">IF(AND(ISNUMBER($AN$738),$B$419=1),$AN$738,HLOOKUP(INDIRECT(ADDRESS(2,COLUMN())),OFFSET($BN$2,0,0,ROW()-1,60),ROW()-1,FALSE))</f>
        <v>29.637931219999999</v>
      </c>
      <c r="AO295">
        <f ca="1">IF(AND(ISNUMBER($AO$738),$B$419=1),$AO$738,HLOOKUP(INDIRECT(ADDRESS(2,COLUMN())),OFFSET($BN$2,0,0,ROW()-1,60),ROW()-1,FALSE))</f>
        <v>29.750265550000002</v>
      </c>
      <c r="AP295">
        <f ca="1">IF(AND(ISNUMBER($AP$738),$B$419=1),$AP$738,HLOOKUP(INDIRECT(ADDRESS(2,COLUMN())),OFFSET($BN$2,0,0,ROW()-1,60),ROW()-1,FALSE))</f>
        <v>27.653019459999999</v>
      </c>
      <c r="AQ295">
        <f ca="1">IF(AND(ISNUMBER($AQ$738),$B$419=1),$AQ$738,HLOOKUP(INDIRECT(ADDRESS(2,COLUMN())),OFFSET($BN$2,0,0,ROW()-1,60),ROW()-1,FALSE))</f>
        <v>27.021951340000001</v>
      </c>
      <c r="AR295">
        <f ca="1">IF(AND(ISNUMBER($AR$738),$B$419=1),$AR$738,HLOOKUP(INDIRECT(ADDRESS(2,COLUMN())),OFFSET($BN$2,0,0,ROW()-1,60),ROW()-1,FALSE))</f>
        <v>26.19389868</v>
      </c>
      <c r="AS295">
        <f ca="1">IF(AND(ISNUMBER($AS$738),$B$419=1),$AS$738,HLOOKUP(INDIRECT(ADDRESS(2,COLUMN())),OFFSET($BN$2,0,0,ROW()-1,60),ROW()-1,FALSE))</f>
        <v>26.03100384</v>
      </c>
      <c r="AT295">
        <f ca="1">IF(AND(ISNUMBER($AT$738),$B$419=1),$AT$738,HLOOKUP(INDIRECT(ADDRESS(2,COLUMN())),OFFSET($BN$2,0,0,ROW()-1,60),ROW()-1,FALSE))</f>
        <v>26.716415349999998</v>
      </c>
      <c r="AU295">
        <f ca="1">IF(AND(ISNUMBER($AU$738),$B$419=1),$AU$738,HLOOKUP(INDIRECT(ADDRESS(2,COLUMN())),OFFSET($BN$2,0,0,ROW()-1,60),ROW()-1,FALSE))</f>
        <v>24.855684650000001</v>
      </c>
      <c r="AV295">
        <f ca="1">IF(AND(ISNUMBER($AV$738),$B$419=1),$AV$738,HLOOKUP(INDIRECT(ADDRESS(2,COLUMN())),OFFSET($BN$2,0,0,ROW()-1,60),ROW()-1,FALSE))</f>
        <v>21.935200640000001</v>
      </c>
      <c r="AW295">
        <f ca="1">IF(AND(ISNUMBER($AW$738),$B$419=1),$AW$738,HLOOKUP(INDIRECT(ADDRESS(2,COLUMN())),OFFSET($BN$2,0,0,ROW()-1,60),ROW()-1,FALSE))</f>
        <v>22.576276100000001</v>
      </c>
      <c r="AX295">
        <f ca="1">IF(AND(ISNUMBER($AX$738),$B$419=1),$AX$738,HLOOKUP(INDIRECT(ADDRESS(2,COLUMN())),OFFSET($BN$2,0,0,ROW()-1,60),ROW()-1,FALSE))</f>
        <v>20.98428723</v>
      </c>
      <c r="AY295">
        <f ca="1">IF(AND(ISNUMBER($AY$738),$B$419=1),$AY$738,HLOOKUP(INDIRECT(ADDRESS(2,COLUMN())),OFFSET($BN$2,0,0,ROW()-1,60),ROW()-1,FALSE))</f>
        <v>24.141387590000001</v>
      </c>
      <c r="AZ295">
        <f ca="1">IF(AND(ISNUMBER($AZ$738),$B$419=1),$AZ$738,HLOOKUP(INDIRECT(ADDRESS(2,COLUMN())),OFFSET($BN$2,0,0,ROW()-1,60),ROW()-1,FALSE))</f>
        <v>24.735034150000001</v>
      </c>
      <c r="BA295">
        <f ca="1">IF(AND(ISNUMBER($BA$738),$B$419=1),$BA$738,HLOOKUP(INDIRECT(ADDRESS(2,COLUMN())),OFFSET($BN$2,0,0,ROW()-1,60),ROW()-1,FALSE))</f>
        <v>24.781135590000002</v>
      </c>
      <c r="BB295">
        <f ca="1">IF(AND(ISNUMBER($BB$738),$B$419=1),$BB$738,HLOOKUP(INDIRECT(ADDRESS(2,COLUMN())),OFFSET($BN$2,0,0,ROW()-1,60),ROW()-1,FALSE))</f>
        <v>24.913431670000001</v>
      </c>
      <c r="BC295">
        <f ca="1">IF(AND(ISNUMBER($BC$738),$B$419=1),$BC$738,HLOOKUP(INDIRECT(ADDRESS(2,COLUMN())),OFFSET($BN$2,0,0,ROW()-1,60),ROW()-1,FALSE))</f>
        <v>22.945334070000001</v>
      </c>
      <c r="BD295">
        <f ca="1">IF(AND(ISNUMBER($BD$738),$B$419=1),$BD$738,HLOOKUP(INDIRECT(ADDRESS(2,COLUMN())),OFFSET($BN$2,0,0,ROW()-1,60),ROW()-1,FALSE))</f>
        <v>23.076400159999999</v>
      </c>
      <c r="BE295">
        <f ca="1">IF(AND(ISNUMBER($BE$738),$B$419=1),$BE$738,HLOOKUP(INDIRECT(ADDRESS(2,COLUMN())),OFFSET($BN$2,0,0,ROW()-1,60),ROW()-1,FALSE))</f>
        <v>26.896198859999998</v>
      </c>
      <c r="BF295">
        <f ca="1">IF(AND(ISNUMBER($BF$738),$B$419=1),$BF$738,HLOOKUP(INDIRECT(ADDRESS(2,COLUMN())),OFFSET($BN$2,0,0,ROW()-1,60),ROW()-1,FALSE))</f>
        <v>26.664422080000001</v>
      </c>
      <c r="BG295">
        <f ca="1">IF(AND(ISNUMBER($BG$738),$B$419=1),$BG$738,HLOOKUP(INDIRECT(ADDRESS(2,COLUMN())),OFFSET($BN$2,0,0,ROW()-1,60),ROW()-1,FALSE))</f>
        <v>19.495618109999999</v>
      </c>
      <c r="BH295">
        <f ca="1">IF(AND(ISNUMBER($BH$738),$B$419=1),$BH$738,HLOOKUP(INDIRECT(ADDRESS(2,COLUMN())),OFFSET($BN$2,0,0,ROW()-1,60),ROW()-1,FALSE))</f>
        <v>18.567228310000001</v>
      </c>
      <c r="BI295">
        <f ca="1">IF(AND(ISNUMBER($BI$738),$B$419=1),$BI$738,HLOOKUP(INDIRECT(ADDRESS(2,COLUMN())),OFFSET($BN$2,0,0,ROW()-1,60),ROW()-1,FALSE))</f>
        <v>18.84936781</v>
      </c>
      <c r="BJ295">
        <f ca="1">IF(AND(ISNUMBER($BJ$738),$B$419=1),$BJ$738,HLOOKUP(INDIRECT(ADDRESS(2,COLUMN())),OFFSET($BN$2,0,0,ROW()-1,60),ROW()-1,FALSE))</f>
        <v>46.739633529999999</v>
      </c>
      <c r="BK295">
        <f ca="1">IF(AND(ISNUMBER($BK$738),$B$419=1),$BK$738,HLOOKUP(INDIRECT(ADDRESS(2,COLUMN())),OFFSET($BN$2,0,0,ROW()-1,60),ROW()-1,FALSE))</f>
        <v>19.616985840000002</v>
      </c>
      <c r="BL295">
        <f ca="1">IF(AND(ISNUMBER($BL$738),$B$419=1),$BL$738,HLOOKUP(INDIRECT(ADDRESS(2,COLUMN())),OFFSET($BN$2,0,0,ROW()-1,60),ROW()-1,FALSE))</f>
        <v>43.100888599999998</v>
      </c>
      <c r="BM295">
        <f ca="1">IF(AND(ISNUMBER($BM$738),$B$419=1),$BM$738,HLOOKUP(INDIRECT(ADDRESS(2,COLUMN())),OFFSET($BN$2,0,0,ROW()-1,60),ROW()-1,FALSE))</f>
        <v>36.809570639999997</v>
      </c>
      <c r="BN295" t="str">
        <f>""</f>
        <v/>
      </c>
      <c r="BO295">
        <f>8.914999889</f>
        <v>8.9149998890000006</v>
      </c>
      <c r="BP295">
        <f>9.819379044</f>
        <v>9.8193790439999997</v>
      </c>
      <c r="BQ295">
        <f>13.39842695</f>
        <v>13.398426949999999</v>
      </c>
      <c r="BR295">
        <f>13.81723339</f>
        <v>13.81723339</v>
      </c>
      <c r="BS295">
        <f>14.42329251</f>
        <v>14.42329251</v>
      </c>
      <c r="BT295">
        <f>15.43223863</f>
        <v>15.432238630000001</v>
      </c>
      <c r="BU295">
        <f>15.46618715</f>
        <v>15.46618715</v>
      </c>
      <c r="BV295">
        <f>15.36899425</f>
        <v>15.36899425</v>
      </c>
      <c r="BW295">
        <f>15.19623642</f>
        <v>15.19623642</v>
      </c>
      <c r="BX295">
        <f>15.39975134</f>
        <v>15.39975134</v>
      </c>
      <c r="BY295">
        <f>17.37809204</f>
        <v>17.378092039999999</v>
      </c>
      <c r="BZ295">
        <f>21.44653576</f>
        <v>21.44653576</v>
      </c>
      <c r="CA295">
        <f>21.88095231</f>
        <v>21.880952310000001</v>
      </c>
      <c r="CB295">
        <f>21.81343656</f>
        <v>21.81343656</v>
      </c>
      <c r="CC295">
        <f>22.62367792</f>
        <v>22.623677919999999</v>
      </c>
      <c r="CD295">
        <f>22.04673769</f>
        <v>22.04673769</v>
      </c>
      <c r="CE295">
        <f>22.29861469</f>
        <v>22.298614690000001</v>
      </c>
      <c r="CF295">
        <f>20.96850827</f>
        <v>20.968508270000001</v>
      </c>
      <c r="CG295">
        <f>19.78637157</f>
        <v>19.78637157</v>
      </c>
      <c r="CH295">
        <f>20.639255</f>
        <v>20.639254999999999</v>
      </c>
      <c r="CI295">
        <f>20.78171393</f>
        <v>20.781713929999999</v>
      </c>
      <c r="CJ295">
        <f>23.49163632</f>
        <v>23.491636320000001</v>
      </c>
      <c r="CK295">
        <f>24.55684032</f>
        <v>24.556840319999999</v>
      </c>
      <c r="CL295">
        <f>25.26648489</f>
        <v>25.266484890000001</v>
      </c>
      <c r="CM295">
        <f>24.39873216</f>
        <v>24.398732160000002</v>
      </c>
      <c r="CN295">
        <f>24.20509258</f>
        <v>24.205092579999999</v>
      </c>
      <c r="CO295">
        <f>23.30806964</f>
        <v>23.308069639999999</v>
      </c>
      <c r="CP295">
        <f>24.18284065</f>
        <v>24.182840649999999</v>
      </c>
      <c r="CQ295">
        <f>25.4702636</f>
        <v>25.470263599999999</v>
      </c>
      <c r="CR295">
        <f>27.49467157</f>
        <v>27.494671570000001</v>
      </c>
      <c r="CS295">
        <f>29.70341444</f>
        <v>29.70341444</v>
      </c>
      <c r="CT295">
        <f>30.70234169</f>
        <v>30.702341690000001</v>
      </c>
      <c r="CU295">
        <f>32.20506572</f>
        <v>32.20506572</v>
      </c>
      <c r="CV295">
        <f>29.63793122</f>
        <v>29.637931219999999</v>
      </c>
      <c r="CW295">
        <f>29.75026555</f>
        <v>29.750265550000002</v>
      </c>
      <c r="CX295">
        <f>27.65301946</f>
        <v>27.653019459999999</v>
      </c>
      <c r="CY295">
        <f>27.02195134</f>
        <v>27.021951340000001</v>
      </c>
      <c r="CZ295">
        <f>26.19389868</f>
        <v>26.19389868</v>
      </c>
      <c r="DA295">
        <f>26.03100384</f>
        <v>26.03100384</v>
      </c>
      <c r="DB295">
        <f>26.71641535</f>
        <v>26.716415349999998</v>
      </c>
      <c r="DC295">
        <f>24.85568465</f>
        <v>24.855684650000001</v>
      </c>
      <c r="DD295">
        <f>21.93520064</f>
        <v>21.935200640000001</v>
      </c>
      <c r="DE295">
        <f>22.5762761</f>
        <v>22.576276100000001</v>
      </c>
      <c r="DF295">
        <f>20.98428723</f>
        <v>20.98428723</v>
      </c>
      <c r="DG295">
        <f>24.14138759</f>
        <v>24.141387590000001</v>
      </c>
      <c r="DH295">
        <f>24.73503415</f>
        <v>24.735034150000001</v>
      </c>
      <c r="DI295">
        <f>24.78113559</f>
        <v>24.781135590000002</v>
      </c>
      <c r="DJ295">
        <f>24.91343167</f>
        <v>24.913431670000001</v>
      </c>
      <c r="DK295">
        <f>22.94533407</f>
        <v>22.945334070000001</v>
      </c>
      <c r="DL295">
        <f>23.07640016</f>
        <v>23.076400159999999</v>
      </c>
      <c r="DM295">
        <f>26.89619886</f>
        <v>26.896198859999998</v>
      </c>
      <c r="DN295">
        <f>26.66442208</f>
        <v>26.664422080000001</v>
      </c>
      <c r="DO295">
        <f>19.49561811</f>
        <v>19.495618109999999</v>
      </c>
      <c r="DP295">
        <f>18.56722831</f>
        <v>18.567228310000001</v>
      </c>
      <c r="DQ295">
        <f>18.84936781</f>
        <v>18.84936781</v>
      </c>
      <c r="DR295">
        <f>46.73963353</f>
        <v>46.739633529999999</v>
      </c>
      <c r="DS295">
        <f>19.61698584</f>
        <v>19.616985840000002</v>
      </c>
      <c r="DT295">
        <f>43.1008886</f>
        <v>43.100888599999998</v>
      </c>
      <c r="DU295">
        <f>36.80957064</f>
        <v>36.809570639999997</v>
      </c>
    </row>
    <row r="296" spans="1:125">
      <c r="A296" t="str">
        <f>"    Federal Realty Investment Trus"</f>
        <v xml:space="preserve">    Federal Realty Investment Trus</v>
      </c>
      <c r="B296" t="str">
        <f>"FRT US Equity"</f>
        <v>FRT US Equity</v>
      </c>
      <c r="C296" t="str">
        <f t="shared" si="54"/>
        <v>RR147</v>
      </c>
      <c r="D296" t="str">
        <f t="shared" si="55"/>
        <v>LT_DEBT_TO_TOT_ASSET</v>
      </c>
      <c r="E296" t="str">
        <f t="shared" si="56"/>
        <v>动态</v>
      </c>
      <c r="F296" t="str">
        <f ca="1">IF(AND(ISNUMBER($F$739),$B$419=1),$F$739,HLOOKUP(INDIRECT(ADDRESS(2,COLUMN())),OFFSET($BN$2,0,0,ROW()-1,60),ROW()-1,FALSE))</f>
        <v/>
      </c>
      <c r="G296">
        <f ca="1">IF(AND(ISNUMBER($G$739),$B$419=1),$G$739,HLOOKUP(INDIRECT(ADDRESS(2,COLUMN())),OFFSET($BN$2,0,0,ROW()-1,60),ROW()-1,FALSE))</f>
        <v>8.9720041649999995</v>
      </c>
      <c r="H296">
        <f ca="1">IF(AND(ISNUMBER($H$739),$B$419=1),$H$739,HLOOKUP(INDIRECT(ADDRESS(2,COLUMN())),OFFSET($BN$2,0,0,ROW()-1,60),ROW()-1,FALSE))</f>
        <v>9.0788066549999993</v>
      </c>
      <c r="I296">
        <f ca="1">IF(AND(ISNUMBER($I$739),$B$419=1),$I$739,HLOOKUP(INDIRECT(ADDRESS(2,COLUMN())),OFFSET($BN$2,0,0,ROW()-1,60),ROW()-1,FALSE))</f>
        <v>8.3822477559999999</v>
      </c>
      <c r="J296">
        <f ca="1">IF(AND(ISNUMBER($J$739),$B$419=1),$J$739,HLOOKUP(INDIRECT(ADDRESS(2,COLUMN())),OFFSET($BN$2,0,0,ROW()-1,60),ROW()-1,FALSE))</f>
        <v>9.5446766380000003</v>
      </c>
      <c r="K296">
        <f ca="1">IF(AND(ISNUMBER($K$739),$B$419=1),$K$739,HLOOKUP(INDIRECT(ADDRESS(2,COLUMN())),OFFSET($BN$2,0,0,ROW()-1,60),ROW()-1,FALSE))</f>
        <v>10.00699024</v>
      </c>
      <c r="L296">
        <f ca="1">IF(AND(ISNUMBER($L$739),$B$419=1),$L$739,HLOOKUP(INDIRECT(ADDRESS(2,COLUMN())),OFFSET($BN$2,0,0,ROW()-1,60),ROW()-1,FALSE))</f>
        <v>10.0991841</v>
      </c>
      <c r="M296">
        <f ca="1">IF(AND(ISNUMBER($M$739),$B$419=1),$M$739,HLOOKUP(INDIRECT(ADDRESS(2,COLUMN())),OFFSET($BN$2,0,0,ROW()-1,60),ROW()-1,FALSE))</f>
        <v>10.55725891</v>
      </c>
      <c r="N296">
        <f ca="1">IF(AND(ISNUMBER($N$739),$B$419=1),$N$739,HLOOKUP(INDIRECT(ADDRESS(2,COLUMN())),OFFSET($BN$2,0,0,ROW()-1,60),ROW()-1,FALSE))</f>
        <v>11.40622192</v>
      </c>
      <c r="O296">
        <f ca="1">IF(AND(ISNUMBER($O$739),$B$419=1),$O$739,HLOOKUP(INDIRECT(ADDRESS(2,COLUMN())),OFFSET($BN$2,0,0,ROW()-1,60),ROW()-1,FALSE))</f>
        <v>11.28760013</v>
      </c>
      <c r="P296">
        <f ca="1">IF(AND(ISNUMBER($P$739),$B$419=1),$P$739,HLOOKUP(INDIRECT(ADDRESS(2,COLUMN())),OFFSET($BN$2,0,0,ROW()-1,60),ROW()-1,FALSE))</f>
        <v>10.4205378</v>
      </c>
      <c r="Q296">
        <f ca="1">IF(AND(ISNUMBER($Q$739),$B$419=1),$Q$739,HLOOKUP(INDIRECT(ADDRESS(2,COLUMN())),OFFSET($BN$2,0,0,ROW()-1,60),ROW()-1,FALSE))</f>
        <v>13.690350199999999</v>
      </c>
      <c r="R296">
        <f ca="1">IF(AND(ISNUMBER($R$739),$B$419=1),$R$739,HLOOKUP(INDIRECT(ADDRESS(2,COLUMN())),OFFSET($BN$2,0,0,ROW()-1,60),ROW()-1,FALSE))</f>
        <v>13.62530984</v>
      </c>
      <c r="S296">
        <f ca="1">IF(AND(ISNUMBER($S$739),$B$419=1),$S$739,HLOOKUP(INDIRECT(ADDRESS(2,COLUMN())),OFFSET($BN$2,0,0,ROW()-1,60),ROW()-1,FALSE))</f>
        <v>13.97323873</v>
      </c>
      <c r="T296">
        <f ca="1">IF(AND(ISNUMBER($T$739),$B$419=1),$T$739,HLOOKUP(INDIRECT(ADDRESS(2,COLUMN())),OFFSET($BN$2,0,0,ROW()-1,60),ROW()-1,FALSE))</f>
        <v>14.07021658</v>
      </c>
      <c r="U296">
        <f ca="1">IF(AND(ISNUMBER($U$739),$B$419=1),$U$739,HLOOKUP(INDIRECT(ADDRESS(2,COLUMN())),OFFSET($BN$2,0,0,ROW()-1,60),ROW()-1,FALSE))</f>
        <v>15.92477465</v>
      </c>
      <c r="V296">
        <f ca="1">IF(AND(ISNUMBER($V$739),$B$419=1),$V$739,HLOOKUP(INDIRECT(ADDRESS(2,COLUMN())),OFFSET($BN$2,0,0,ROW()-1,60),ROW()-1,FALSE))</f>
        <v>16.56803189</v>
      </c>
      <c r="W296">
        <f ca="1">IF(AND(ISNUMBER($W$739),$B$419=1),$W$739,HLOOKUP(INDIRECT(ADDRESS(2,COLUMN())),OFFSET($BN$2,0,0,ROW()-1,60),ROW()-1,FALSE))</f>
        <v>15.645437360000001</v>
      </c>
      <c r="X296">
        <f ca="1">IF(AND(ISNUMBER($X$739),$B$419=1),$X$739,HLOOKUP(INDIRECT(ADDRESS(2,COLUMN())),OFFSET($BN$2,0,0,ROW()-1,60),ROW()-1,FALSE))</f>
        <v>19.061583720000002</v>
      </c>
      <c r="Y296">
        <f ca="1">IF(AND(ISNUMBER($Y$739),$B$419=1),$Y$739,HLOOKUP(INDIRECT(ADDRESS(2,COLUMN())),OFFSET($BN$2,0,0,ROW()-1,60),ROW()-1,FALSE))</f>
        <v>19.501258570000001</v>
      </c>
      <c r="Z296">
        <f ca="1">IF(AND(ISNUMBER($Z$739),$B$419=1),$Z$739,HLOOKUP(INDIRECT(ADDRESS(2,COLUMN())),OFFSET($BN$2,0,0,ROW()-1,60),ROW()-1,FALSE))</f>
        <v>20.985132360000001</v>
      </c>
      <c r="AA296">
        <f ca="1">IF(AND(ISNUMBER($AA$739),$B$419=1),$AA$739,HLOOKUP(INDIRECT(ADDRESS(2,COLUMN())),OFFSET($BN$2,0,0,ROW()-1,60),ROW()-1,FALSE))</f>
        <v>21.353549319999999</v>
      </c>
      <c r="AB296">
        <f ca="1">IF(AND(ISNUMBER($AB$739),$B$419=1),$AB$739,HLOOKUP(INDIRECT(ADDRESS(2,COLUMN())),OFFSET($BN$2,0,0,ROW()-1,60),ROW()-1,FALSE))</f>
        <v>21.090155209999999</v>
      </c>
      <c r="AC296">
        <f ca="1">IF(AND(ISNUMBER($AC$739),$B$419=1),$AC$739,HLOOKUP(INDIRECT(ADDRESS(2,COLUMN())),OFFSET($BN$2,0,0,ROW()-1,60),ROW()-1,FALSE))</f>
        <v>21.888496079999999</v>
      </c>
      <c r="AD296">
        <f ca="1">IF(AND(ISNUMBER($AD$739),$B$419=1),$AD$739,HLOOKUP(INDIRECT(ADDRESS(2,COLUMN())),OFFSET($BN$2,0,0,ROW()-1,60),ROW()-1,FALSE))</f>
        <v>22.241450180000001</v>
      </c>
      <c r="AE296">
        <f ca="1">IF(AND(ISNUMBER($AE$739),$B$419=1),$AE$739,HLOOKUP(INDIRECT(ADDRESS(2,COLUMN())),OFFSET($BN$2,0,0,ROW()-1,60),ROW()-1,FALSE))</f>
        <v>22.110462850000001</v>
      </c>
      <c r="AF296">
        <f ca="1">IF(AND(ISNUMBER($AF$739),$B$419=1),$AF$739,HLOOKUP(INDIRECT(ADDRESS(2,COLUMN())),OFFSET($BN$2,0,0,ROW()-1,60),ROW()-1,FALSE))</f>
        <v>16.835102590000002</v>
      </c>
      <c r="AG296">
        <f ca="1">IF(AND(ISNUMBER($AG$739),$B$419=1),$AG$739,HLOOKUP(INDIRECT(ADDRESS(2,COLUMN())),OFFSET($BN$2,0,0,ROW()-1,60),ROW()-1,FALSE))</f>
        <v>16.960860289999999</v>
      </c>
      <c r="AH296">
        <f ca="1">IF(AND(ISNUMBER($AH$739),$B$419=1),$AH$739,HLOOKUP(INDIRECT(ADDRESS(2,COLUMN())),OFFSET($BN$2,0,0,ROW()-1,60),ROW()-1,FALSE))</f>
        <v>18.227105160000001</v>
      </c>
      <c r="AI296">
        <f ca="1">IF(AND(ISNUMBER($AI$739),$B$419=1),$AI$739,HLOOKUP(INDIRECT(ADDRESS(2,COLUMN())),OFFSET($BN$2,0,0,ROW()-1,60),ROW()-1,FALSE))</f>
        <v>18.65583518</v>
      </c>
      <c r="AJ296">
        <f ca="1">IF(AND(ISNUMBER($AJ$739),$B$419=1),$AJ$739,HLOOKUP(INDIRECT(ADDRESS(2,COLUMN())),OFFSET($BN$2,0,0,ROW()-1,60),ROW()-1,FALSE))</f>
        <v>18.975530190000001</v>
      </c>
      <c r="AK296">
        <f ca="1">IF(AND(ISNUMBER($AK$739),$B$419=1),$AK$739,HLOOKUP(INDIRECT(ADDRESS(2,COLUMN())),OFFSET($BN$2,0,0,ROW()-1,60),ROW()-1,FALSE))</f>
        <v>19.211636639999998</v>
      </c>
      <c r="AL296">
        <f ca="1">IF(AND(ISNUMBER($AL$739),$B$419=1),$AL$739,HLOOKUP(INDIRECT(ADDRESS(2,COLUMN())),OFFSET($BN$2,0,0,ROW()-1,60),ROW()-1,FALSE))</f>
        <v>19.348205499999999</v>
      </c>
      <c r="AM296">
        <f ca="1">IF(AND(ISNUMBER($AM$739),$B$419=1),$AM$739,HLOOKUP(INDIRECT(ADDRESS(2,COLUMN())),OFFSET($BN$2,0,0,ROW()-1,60),ROW()-1,FALSE))</f>
        <v>18.678655590000002</v>
      </c>
      <c r="AN296">
        <f ca="1">IF(AND(ISNUMBER($AN$739),$B$419=1),$AN$739,HLOOKUP(INDIRECT(ADDRESS(2,COLUMN())),OFFSET($BN$2,0,0,ROW()-1,60),ROW()-1,FALSE))</f>
        <v>17.372514030000001</v>
      </c>
      <c r="AO296">
        <f ca="1">IF(AND(ISNUMBER($AO$739),$B$419=1),$AO$739,HLOOKUP(INDIRECT(ADDRESS(2,COLUMN())),OFFSET($BN$2,0,0,ROW()-1,60),ROW()-1,FALSE))</f>
        <v>18.772774649999999</v>
      </c>
      <c r="AP296">
        <f ca="1">IF(AND(ISNUMBER($AP$739),$B$419=1),$AP$739,HLOOKUP(INDIRECT(ADDRESS(2,COLUMN())),OFFSET($BN$2,0,0,ROW()-1,60),ROW()-1,FALSE))</f>
        <v>14.440876340000001</v>
      </c>
      <c r="AQ296">
        <f ca="1">IF(AND(ISNUMBER($AQ$739),$B$419=1),$AQ$739,HLOOKUP(INDIRECT(ADDRESS(2,COLUMN())),OFFSET($BN$2,0,0,ROW()-1,60),ROW()-1,FALSE))</f>
        <v>14.6408922</v>
      </c>
      <c r="AR296">
        <f ca="1">IF(AND(ISNUMBER($AR$739),$B$419=1),$AR$739,HLOOKUP(INDIRECT(ADDRESS(2,COLUMN())),OFFSET($BN$2,0,0,ROW()-1,60),ROW()-1,FALSE))</f>
        <v>14.654534630000001</v>
      </c>
      <c r="AS296">
        <f ca="1">IF(AND(ISNUMBER($AS$739),$B$419=1),$AS$739,HLOOKUP(INDIRECT(ADDRESS(2,COLUMN())),OFFSET($BN$2,0,0,ROW()-1,60),ROW()-1,FALSE))</f>
        <v>14.7538102</v>
      </c>
      <c r="AT296">
        <f ca="1">IF(AND(ISNUMBER($AT$739),$B$419=1),$AT$739,HLOOKUP(INDIRECT(ADDRESS(2,COLUMN())),OFFSET($BN$2,0,0,ROW()-1,60),ROW()-1,FALSE))</f>
        <v>15.043922220000001</v>
      </c>
      <c r="AU296">
        <f ca="1">IF(AND(ISNUMBER($AU$739),$B$419=1),$AU$739,HLOOKUP(INDIRECT(ADDRESS(2,COLUMN())),OFFSET($BN$2,0,0,ROW()-1,60),ROW()-1,FALSE))</f>
        <v>15.056516630000001</v>
      </c>
      <c r="AV296">
        <f ca="1">IF(AND(ISNUMBER($AV$739),$B$419=1),$AV$739,HLOOKUP(INDIRECT(ADDRESS(2,COLUMN())),OFFSET($BN$2,0,0,ROW()-1,60),ROW()-1,FALSE))</f>
        <v>18.037147860000001</v>
      </c>
      <c r="AW296">
        <f ca="1">IF(AND(ISNUMBER($AW$739),$B$419=1),$AW$739,HLOOKUP(INDIRECT(ADDRESS(2,COLUMN())),OFFSET($BN$2,0,0,ROW()-1,60),ROW()-1,FALSE))</f>
        <v>18.199717010000001</v>
      </c>
      <c r="AX296">
        <f ca="1">IF(AND(ISNUMBER($AX$739),$B$419=1),$AX$739,HLOOKUP(INDIRECT(ADDRESS(2,COLUMN())),OFFSET($BN$2,0,0,ROW()-1,60),ROW()-1,FALSE))</f>
        <v>18.186923230000001</v>
      </c>
      <c r="AY296">
        <f ca="1">IF(AND(ISNUMBER($AY$739),$B$419=1),$AY$739,HLOOKUP(INDIRECT(ADDRESS(2,COLUMN())),OFFSET($BN$2,0,0,ROW()-1,60),ROW()-1,FALSE))</f>
        <v>17.12404123</v>
      </c>
      <c r="AZ296">
        <f ca="1">IF(AND(ISNUMBER($AZ$739),$B$419=1),$AZ$739,HLOOKUP(INDIRECT(ADDRESS(2,COLUMN())),OFFSET($BN$2,0,0,ROW()-1,60),ROW()-1,FALSE))</f>
        <v>16.474087180000001</v>
      </c>
      <c r="BA296">
        <f ca="1">IF(AND(ISNUMBER($BA$739),$B$419=1),$BA$739,HLOOKUP(INDIRECT(ADDRESS(2,COLUMN())),OFFSET($BN$2,0,0,ROW()-1,60),ROW()-1,FALSE))</f>
        <v>17.764296649999999</v>
      </c>
      <c r="BB296">
        <f ca="1">IF(AND(ISNUMBER($BB$739),$B$419=1),$BB$739,HLOOKUP(INDIRECT(ADDRESS(2,COLUMN())),OFFSET($BN$2,0,0,ROW()-1,60),ROW()-1,FALSE))</f>
        <v>17.823268670000001</v>
      </c>
      <c r="BC296">
        <f ca="1">IF(AND(ISNUMBER($BC$739),$B$419=1),$BC$739,HLOOKUP(INDIRECT(ADDRESS(2,COLUMN())),OFFSET($BN$2,0,0,ROW()-1,60),ROW()-1,FALSE))</f>
        <v>17.853654760000001</v>
      </c>
      <c r="BD296">
        <f ca="1">IF(AND(ISNUMBER($BD$739),$B$419=1),$BD$739,HLOOKUP(INDIRECT(ADDRESS(2,COLUMN())),OFFSET($BN$2,0,0,ROW()-1,60),ROW()-1,FALSE))</f>
        <v>17.699967699999998</v>
      </c>
      <c r="BE296">
        <f ca="1">IF(AND(ISNUMBER($BE$739),$B$419=1),$BE$739,HLOOKUP(INDIRECT(ADDRESS(2,COLUMN())),OFFSET($BN$2,0,0,ROW()-1,60),ROW()-1,FALSE))</f>
        <v>17.794692430000001</v>
      </c>
      <c r="BF296">
        <f ca="1">IF(AND(ISNUMBER($BF$739),$B$419=1),$BF$739,HLOOKUP(INDIRECT(ADDRESS(2,COLUMN())),OFFSET($BN$2,0,0,ROW()-1,60),ROW()-1,FALSE))</f>
        <v>17.60991696</v>
      </c>
      <c r="BG296">
        <f ca="1">IF(AND(ISNUMBER($BG$739),$B$419=1),$BG$739,HLOOKUP(INDIRECT(ADDRESS(2,COLUMN())),OFFSET($BN$2,0,0,ROW()-1,60),ROW()-1,FALSE))</f>
        <v>18.125446010000001</v>
      </c>
      <c r="BH296">
        <f ca="1">IF(AND(ISNUMBER($BH$739),$B$419=1),$BH$739,HLOOKUP(INDIRECT(ADDRESS(2,COLUMN())),OFFSET($BN$2,0,0,ROW()-1,60),ROW()-1,FALSE))</f>
        <v>18.432981739999999</v>
      </c>
      <c r="BI296">
        <f ca="1">IF(AND(ISNUMBER($BI$739),$B$419=1),$BI$739,HLOOKUP(INDIRECT(ADDRESS(2,COLUMN())),OFFSET($BN$2,0,0,ROW()-1,60),ROW()-1,FALSE))</f>
        <v>18.138281630000002</v>
      </c>
      <c r="BJ296">
        <f ca="1">IF(AND(ISNUMBER($BJ$739),$B$419=1),$BJ$739,HLOOKUP(INDIRECT(ADDRESS(2,COLUMN())),OFFSET($BN$2,0,0,ROW()-1,60),ROW()-1,FALSE))</f>
        <v>18.386744650000001</v>
      </c>
      <c r="BK296">
        <f ca="1">IF(AND(ISNUMBER($BK$739),$B$419=1),$BK$739,HLOOKUP(INDIRECT(ADDRESS(2,COLUMN())),OFFSET($BN$2,0,0,ROW()-1,60),ROW()-1,FALSE))</f>
        <v>19.33144695</v>
      </c>
      <c r="BL296">
        <f ca="1">IF(AND(ISNUMBER($BL$739),$B$419=1),$BL$739,HLOOKUP(INDIRECT(ADDRESS(2,COLUMN())),OFFSET($BN$2,0,0,ROW()-1,60),ROW()-1,FALSE))</f>
        <v>17.363324859999999</v>
      </c>
      <c r="BM296">
        <f ca="1">IF(AND(ISNUMBER($BM$739),$B$419=1),$BM$739,HLOOKUP(INDIRECT(ADDRESS(2,COLUMN())),OFFSET($BN$2,0,0,ROW()-1,60),ROW()-1,FALSE))</f>
        <v>16.758369309999999</v>
      </c>
      <c r="BN296" t="str">
        <f>""</f>
        <v/>
      </c>
      <c r="BO296">
        <f>8.972004165</f>
        <v>8.9720041649999995</v>
      </c>
      <c r="BP296">
        <f>9.078806655</f>
        <v>9.0788066549999993</v>
      </c>
      <c r="BQ296">
        <f>8.382247756</f>
        <v>8.3822477559999999</v>
      </c>
      <c r="BR296">
        <f>9.544676638</f>
        <v>9.5446766380000003</v>
      </c>
      <c r="BS296">
        <f>10.00699024</f>
        <v>10.00699024</v>
      </c>
      <c r="BT296">
        <f>10.0991841</f>
        <v>10.0991841</v>
      </c>
      <c r="BU296">
        <f>10.55725891</f>
        <v>10.55725891</v>
      </c>
      <c r="BV296">
        <f>11.40622192</f>
        <v>11.40622192</v>
      </c>
      <c r="BW296">
        <f>11.28760013</f>
        <v>11.28760013</v>
      </c>
      <c r="BX296">
        <f>10.4205378</f>
        <v>10.4205378</v>
      </c>
      <c r="BY296">
        <f>13.6903502</f>
        <v>13.690350199999999</v>
      </c>
      <c r="BZ296">
        <f>13.62530984</f>
        <v>13.62530984</v>
      </c>
      <c r="CA296">
        <f>13.97323873</f>
        <v>13.97323873</v>
      </c>
      <c r="CB296">
        <f>14.07021658</f>
        <v>14.07021658</v>
      </c>
      <c r="CC296">
        <f>15.92477465</f>
        <v>15.92477465</v>
      </c>
      <c r="CD296">
        <f>16.56803189</f>
        <v>16.56803189</v>
      </c>
      <c r="CE296">
        <f>15.64543736</f>
        <v>15.645437360000001</v>
      </c>
      <c r="CF296">
        <f>19.06158372</f>
        <v>19.061583720000002</v>
      </c>
      <c r="CG296">
        <f>19.50125857</f>
        <v>19.501258570000001</v>
      </c>
      <c r="CH296">
        <f>20.98513236</f>
        <v>20.985132360000001</v>
      </c>
      <c r="CI296">
        <f>21.35354932</f>
        <v>21.353549319999999</v>
      </c>
      <c r="CJ296">
        <f>21.09015521</f>
        <v>21.090155209999999</v>
      </c>
      <c r="CK296">
        <f>21.88849608</f>
        <v>21.888496079999999</v>
      </c>
      <c r="CL296">
        <f>22.24145018</f>
        <v>22.241450180000001</v>
      </c>
      <c r="CM296">
        <f>22.11046285</f>
        <v>22.110462850000001</v>
      </c>
      <c r="CN296">
        <f>16.83510259</f>
        <v>16.835102590000002</v>
      </c>
      <c r="CO296">
        <f>16.96086029</f>
        <v>16.960860289999999</v>
      </c>
      <c r="CP296">
        <f>18.22710516</f>
        <v>18.227105160000001</v>
      </c>
      <c r="CQ296">
        <f>18.65583518</f>
        <v>18.65583518</v>
      </c>
      <c r="CR296">
        <f>18.97553019</f>
        <v>18.975530190000001</v>
      </c>
      <c r="CS296">
        <f>19.21163664</f>
        <v>19.211636639999998</v>
      </c>
      <c r="CT296">
        <f>19.3482055</f>
        <v>19.348205499999999</v>
      </c>
      <c r="CU296">
        <f>18.67865559</f>
        <v>18.678655590000002</v>
      </c>
      <c r="CV296">
        <f>17.37251403</f>
        <v>17.372514030000001</v>
      </c>
      <c r="CW296">
        <f>18.77277465</f>
        <v>18.772774649999999</v>
      </c>
      <c r="CX296">
        <f>14.44087634</f>
        <v>14.440876340000001</v>
      </c>
      <c r="CY296">
        <f>14.6408922</f>
        <v>14.6408922</v>
      </c>
      <c r="CZ296">
        <f>14.65453463</f>
        <v>14.654534630000001</v>
      </c>
      <c r="DA296">
        <f>14.7538102</f>
        <v>14.7538102</v>
      </c>
      <c r="DB296">
        <f>15.04392222</f>
        <v>15.043922220000001</v>
      </c>
      <c r="DC296">
        <f>15.05651663</f>
        <v>15.056516630000001</v>
      </c>
      <c r="DD296">
        <f>18.03714786</f>
        <v>18.037147860000001</v>
      </c>
      <c r="DE296">
        <f>18.19971701</f>
        <v>18.199717010000001</v>
      </c>
      <c r="DF296">
        <f>18.18692323</f>
        <v>18.186923230000001</v>
      </c>
      <c r="DG296">
        <f>17.12404123</f>
        <v>17.12404123</v>
      </c>
      <c r="DH296">
        <f>16.47408718</f>
        <v>16.474087180000001</v>
      </c>
      <c r="DI296">
        <f>17.76429665</f>
        <v>17.764296649999999</v>
      </c>
      <c r="DJ296">
        <f>17.82326867</f>
        <v>17.823268670000001</v>
      </c>
      <c r="DK296">
        <f>17.85365476</f>
        <v>17.853654760000001</v>
      </c>
      <c r="DL296">
        <f>17.6999677</f>
        <v>17.699967699999998</v>
      </c>
      <c r="DM296">
        <f>17.79469243</f>
        <v>17.794692430000001</v>
      </c>
      <c r="DN296">
        <f>17.60991696</f>
        <v>17.60991696</v>
      </c>
      <c r="DO296">
        <f>18.12544601</f>
        <v>18.125446010000001</v>
      </c>
      <c r="DP296">
        <f>18.43298174</f>
        <v>18.432981739999999</v>
      </c>
      <c r="DQ296">
        <f>18.13828163</f>
        <v>18.138281630000002</v>
      </c>
      <c r="DR296">
        <f>18.38674465</f>
        <v>18.386744650000001</v>
      </c>
      <c r="DS296">
        <f>19.33144695</f>
        <v>19.33144695</v>
      </c>
      <c r="DT296">
        <f>17.36332486</f>
        <v>17.363324859999999</v>
      </c>
      <c r="DU296">
        <f>16.75836931</f>
        <v>16.758369309999999</v>
      </c>
    </row>
    <row r="297" spans="1:125">
      <c r="A297" t="str">
        <f>"    Kimco Realty Corp"</f>
        <v xml:space="preserve">    Kimco Realty Corp</v>
      </c>
      <c r="B297" t="str">
        <f>"KIM US Equity"</f>
        <v>KIM US Equity</v>
      </c>
      <c r="C297" t="str">
        <f t="shared" si="54"/>
        <v>RR147</v>
      </c>
      <c r="D297" t="str">
        <f t="shared" si="55"/>
        <v>LT_DEBT_TO_TOT_ASSET</v>
      </c>
      <c r="E297" t="str">
        <f t="shared" si="56"/>
        <v>动态</v>
      </c>
      <c r="F297" t="str">
        <f ca="1">IF(AND(ISNUMBER($F$740),$B$419=1),$F$740,HLOOKUP(INDIRECT(ADDRESS(2,COLUMN())),OFFSET($BN$2,0,0,ROW()-1,60),ROW()-1,FALSE))</f>
        <v/>
      </c>
      <c r="G297">
        <f ca="1">IF(AND(ISNUMBER($G$740),$B$419=1),$G$740,HLOOKUP(INDIRECT(ADDRESS(2,COLUMN())),OFFSET($BN$2,0,0,ROW()-1,60),ROW()-1,FALSE))</f>
        <v>7.5043145339999997</v>
      </c>
      <c r="H297">
        <f ca="1">IF(AND(ISNUMBER($H$740),$B$419=1),$H$740,HLOOKUP(INDIRECT(ADDRESS(2,COLUMN())),OFFSET($BN$2,0,0,ROW()-1,60),ROW()-1,FALSE))</f>
        <v>7.2708124879999998</v>
      </c>
      <c r="I297">
        <f ca="1">IF(AND(ISNUMBER($I$740),$B$419=1),$I$740,HLOOKUP(INDIRECT(ADDRESS(2,COLUMN())),OFFSET($BN$2,0,0,ROW()-1,60),ROW()-1,FALSE))</f>
        <v>7.5281269249999996</v>
      </c>
      <c r="J297">
        <f ca="1">IF(AND(ISNUMBER($J$740),$B$419=1),$J$740,HLOOKUP(INDIRECT(ADDRESS(2,COLUMN())),OFFSET($BN$2,0,0,ROW()-1,60),ROW()-1,FALSE))</f>
        <v>9.5277834160000001</v>
      </c>
      <c r="K297">
        <f ca="1">IF(AND(ISNUMBER($K$740),$B$419=1),$K$740,HLOOKUP(INDIRECT(ADDRESS(2,COLUMN())),OFFSET($BN$2,0,0,ROW()-1,60),ROW()-1,FALSE))</f>
        <v>10.142975440000001</v>
      </c>
      <c r="L297">
        <f ca="1">IF(AND(ISNUMBER($L$740),$B$419=1),$L$740,HLOOKUP(INDIRECT(ADDRESS(2,COLUMN())),OFFSET($BN$2,0,0,ROW()-1,60),ROW()-1,FALSE))</f>
        <v>10.82553059</v>
      </c>
      <c r="M297">
        <f ca="1">IF(AND(ISNUMBER($M$740),$B$419=1),$M$740,HLOOKUP(INDIRECT(ADDRESS(2,COLUMN())),OFFSET($BN$2,0,0,ROW()-1,60),ROW()-1,FALSE))</f>
        <v>12.81717547</v>
      </c>
      <c r="N297">
        <f ca="1">IF(AND(ISNUMBER($N$740),$B$419=1),$N$740,HLOOKUP(INDIRECT(ADDRESS(2,COLUMN())),OFFSET($BN$2,0,0,ROW()-1,60),ROW()-1,FALSE))</f>
        <v>13.35005606</v>
      </c>
      <c r="O297">
        <f ca="1">IF(AND(ISNUMBER($O$740),$B$419=1),$O$740,HLOOKUP(INDIRECT(ADDRESS(2,COLUMN())),OFFSET($BN$2,0,0,ROW()-1,60),ROW()-1,FALSE))</f>
        <v>14.23620994</v>
      </c>
      <c r="P297">
        <f ca="1">IF(AND(ISNUMBER($P$740),$B$419=1),$P$740,HLOOKUP(INDIRECT(ADDRESS(2,COLUMN())),OFFSET($BN$2,0,0,ROW()-1,60),ROW()-1,FALSE))</f>
        <v>14.42043374</v>
      </c>
      <c r="Q297">
        <f ca="1">IF(AND(ISNUMBER($Q$740),$B$419=1),$Q$740,HLOOKUP(INDIRECT(ADDRESS(2,COLUMN())),OFFSET($BN$2,0,0,ROW()-1,60),ROW()-1,FALSE))</f>
        <v>15.42495952</v>
      </c>
      <c r="R297">
        <f ca="1">IF(AND(ISNUMBER($R$740),$B$419=1),$R$740,HLOOKUP(INDIRECT(ADDRESS(2,COLUMN())),OFFSET($BN$2,0,0,ROW()-1,60),ROW()-1,FALSE))</f>
        <v>17.402705739999998</v>
      </c>
      <c r="S297">
        <f ca="1">IF(AND(ISNUMBER($S$740),$B$419=1),$S$740,HLOOKUP(INDIRECT(ADDRESS(2,COLUMN())),OFFSET($BN$2,0,0,ROW()-1,60),ROW()-1,FALSE))</f>
        <v>13.879470639999999</v>
      </c>
      <c r="T297">
        <f ca="1">IF(AND(ISNUMBER($T$740),$B$419=1),$T$740,HLOOKUP(INDIRECT(ADDRESS(2,COLUMN())),OFFSET($BN$2,0,0,ROW()-1,60),ROW()-1,FALSE))</f>
        <v>13.055780159999999</v>
      </c>
      <c r="U297">
        <f ca="1">IF(AND(ISNUMBER($U$740),$B$419=1),$U$740,HLOOKUP(INDIRECT(ADDRESS(2,COLUMN())),OFFSET($BN$2,0,0,ROW()-1,60),ROW()-1,FALSE))</f>
        <v>11.74701964</v>
      </c>
      <c r="V297">
        <f ca="1">IF(AND(ISNUMBER($V$740),$B$419=1),$V$740,HLOOKUP(INDIRECT(ADDRESS(2,COLUMN())),OFFSET($BN$2,0,0,ROW()-1,60),ROW()-1,FALSE))</f>
        <v>10.93465662</v>
      </c>
      <c r="W297">
        <f ca="1">IF(AND(ISNUMBER($W$740),$B$419=1),$W$740,HLOOKUP(INDIRECT(ADDRESS(2,COLUMN())),OFFSET($BN$2,0,0,ROW()-1,60),ROW()-1,FALSE))</f>
        <v>10.71392427</v>
      </c>
      <c r="X297">
        <f ca="1">IF(AND(ISNUMBER($X$740),$B$419=1),$X$740,HLOOKUP(INDIRECT(ADDRESS(2,COLUMN())),OFFSET($BN$2,0,0,ROW()-1,60),ROW()-1,FALSE))</f>
        <v>11.31078132</v>
      </c>
      <c r="Y297">
        <f ca="1">IF(AND(ISNUMBER($Y$740),$B$419=1),$Y$740,HLOOKUP(INDIRECT(ADDRESS(2,COLUMN())),OFFSET($BN$2,0,0,ROW()-1,60),ROW()-1,FALSE))</f>
        <v>11.82122869</v>
      </c>
      <c r="Z297">
        <f ca="1">IF(AND(ISNUMBER($Z$740),$B$419=1),$Z$740,HLOOKUP(INDIRECT(ADDRESS(2,COLUMN())),OFFSET($BN$2,0,0,ROW()-1,60),ROW()-1,FALSE))</f>
        <v>11.068090460000001</v>
      </c>
      <c r="AA297">
        <f ca="1">IF(AND(ISNUMBER($AA$740),$B$419=1),$AA$740,HLOOKUP(INDIRECT(ADDRESS(2,COLUMN())),OFFSET($BN$2,0,0,ROW()-1,60),ROW()-1,FALSE))</f>
        <v>10.28782614</v>
      </c>
      <c r="AB297">
        <f ca="1">IF(AND(ISNUMBER($AB$740),$B$419=1),$AB$740,HLOOKUP(INDIRECT(ADDRESS(2,COLUMN())),OFFSET($BN$2,0,0,ROW()-1,60),ROW()-1,FALSE))</f>
        <v>10.461155700000001</v>
      </c>
      <c r="AC297">
        <f ca="1">IF(AND(ISNUMBER($AC$740),$B$419=1),$AC$740,HLOOKUP(INDIRECT(ADDRESS(2,COLUMN())),OFFSET($BN$2,0,0,ROW()-1,60),ROW()-1,FALSE))</f>
        <v>10.274982100000001</v>
      </c>
      <c r="AD297">
        <f ca="1">IF(AND(ISNUMBER($AD$740),$B$419=1),$AD$740,HLOOKUP(INDIRECT(ADDRESS(2,COLUMN())),OFFSET($BN$2,0,0,ROW()-1,60),ROW()-1,FALSE))</f>
        <v>11.19515314</v>
      </c>
      <c r="AE297">
        <f ca="1">IF(AND(ISNUMBER($AE$740),$B$419=1),$AE$740,HLOOKUP(INDIRECT(ADDRESS(2,COLUMN())),OFFSET($BN$2,0,0,ROW()-1,60),ROW()-1,FALSE))</f>
        <v>11.740855160000001</v>
      </c>
      <c r="AF297">
        <f ca="1">IF(AND(ISNUMBER($AF$740),$B$419=1),$AF$740,HLOOKUP(INDIRECT(ADDRESS(2,COLUMN())),OFFSET($BN$2,0,0,ROW()-1,60),ROW()-1,FALSE))</f>
        <v>11.49561231</v>
      </c>
      <c r="AG297">
        <f ca="1">IF(AND(ISNUMBER($AG$740),$B$419=1),$AG$740,HLOOKUP(INDIRECT(ADDRESS(2,COLUMN())),OFFSET($BN$2,0,0,ROW()-1,60),ROW()-1,FALSE))</f>
        <v>11.142046929999999</v>
      </c>
      <c r="AH297">
        <f ca="1">IF(AND(ISNUMBER($AH$740),$B$419=1),$AH$740,HLOOKUP(INDIRECT(ADDRESS(2,COLUMN())),OFFSET($BN$2,0,0,ROW()-1,60),ROW()-1,FALSE))</f>
        <v>11.00350293</v>
      </c>
      <c r="AI297">
        <f ca="1">IF(AND(ISNUMBER($AI$740),$B$419=1),$AI$740,HLOOKUP(INDIRECT(ADDRESS(2,COLUMN())),OFFSET($BN$2,0,0,ROW()-1,60),ROW()-1,FALSE))</f>
        <v>10.94752577</v>
      </c>
      <c r="AJ297">
        <f ca="1">IF(AND(ISNUMBER($AJ$740),$B$419=1),$AJ$740,HLOOKUP(INDIRECT(ADDRESS(2,COLUMN())),OFFSET($BN$2,0,0,ROW()-1,60),ROW()-1,FALSE))</f>
        <v>10.651843169999999</v>
      </c>
      <c r="AK297">
        <f ca="1">IF(AND(ISNUMBER($AK$740),$B$419=1),$AK$740,HLOOKUP(INDIRECT(ADDRESS(2,COLUMN())),OFFSET($BN$2,0,0,ROW()-1,60),ROW()-1,FALSE))</f>
        <v>12.99201751</v>
      </c>
      <c r="AL297">
        <f ca="1">IF(AND(ISNUMBER($AL$740),$B$419=1),$AL$740,HLOOKUP(INDIRECT(ADDRESS(2,COLUMN())),OFFSET($BN$2,0,0,ROW()-1,60),ROW()-1,FALSE))</f>
        <v>14.334999310000001</v>
      </c>
      <c r="AM297">
        <f ca="1">IF(AND(ISNUMBER($AM$740),$B$419=1),$AM$740,HLOOKUP(INDIRECT(ADDRESS(2,COLUMN())),OFFSET($BN$2,0,0,ROW()-1,60),ROW()-1,FALSE))</f>
        <v>14.08297039</v>
      </c>
      <c r="AN297">
        <f ca="1">IF(AND(ISNUMBER($AN$740),$B$419=1),$AN$740,HLOOKUP(INDIRECT(ADDRESS(2,COLUMN())),OFFSET($BN$2,0,0,ROW()-1,60),ROW()-1,FALSE))</f>
        <v>12.02824148</v>
      </c>
      <c r="AO297">
        <f ca="1">IF(AND(ISNUMBER($AO$740),$B$419=1),$AO$740,HLOOKUP(INDIRECT(ADDRESS(2,COLUMN())),OFFSET($BN$2,0,0,ROW()-1,60),ROW()-1,FALSE))</f>
        <v>13.98673662</v>
      </c>
      <c r="AP297">
        <f ca="1">IF(AND(ISNUMBER($AP$740),$B$419=1),$AP$740,HLOOKUP(INDIRECT(ADDRESS(2,COLUMN())),OFFSET($BN$2,0,0,ROW()-1,60),ROW()-1,FALSE))</f>
        <v>12.186977300000001</v>
      </c>
      <c r="AQ297">
        <f ca="1">IF(AND(ISNUMBER($AQ$740),$B$419=1),$AQ$740,HLOOKUP(INDIRECT(ADDRESS(2,COLUMN())),OFFSET($BN$2,0,0,ROW()-1,60),ROW()-1,FALSE))</f>
        <v>11.874114560000001</v>
      </c>
      <c r="AR297">
        <f ca="1">IF(AND(ISNUMBER($AR$740),$B$419=1),$AR$740,HLOOKUP(INDIRECT(ADDRESS(2,COLUMN())),OFFSET($BN$2,0,0,ROW()-1,60),ROW()-1,FALSE))</f>
        <v>11.769855310000001</v>
      </c>
      <c r="AS297">
        <f ca="1">IF(AND(ISNUMBER($AS$740),$B$419=1),$AS$740,HLOOKUP(INDIRECT(ADDRESS(2,COLUMN())),OFFSET($BN$2,0,0,ROW()-1,60),ROW()-1,FALSE))</f>
        <v>11.61826578</v>
      </c>
      <c r="AT297">
        <f ca="1">IF(AND(ISNUMBER($AT$740),$B$419=1),$AT$740,HLOOKUP(INDIRECT(ADDRESS(2,COLUMN())),OFFSET($BN$2,0,0,ROW()-1,60),ROW()-1,FALSE))</f>
        <v>11.7650433</v>
      </c>
      <c r="AU297">
        <f ca="1">IF(AND(ISNUMBER($AU$740),$B$419=1),$AU$740,HLOOKUP(INDIRECT(ADDRESS(2,COLUMN())),OFFSET($BN$2,0,0,ROW()-1,60),ROW()-1,FALSE))</f>
        <v>11.92209207</v>
      </c>
      <c r="AV297">
        <f ca="1">IF(AND(ISNUMBER($AV$740),$B$419=1),$AV$740,HLOOKUP(INDIRECT(ADDRESS(2,COLUMN())),OFFSET($BN$2,0,0,ROW()-1,60),ROW()-1,FALSE))</f>
        <v>8.9710956310000007</v>
      </c>
      <c r="AW297">
        <f ca="1">IF(AND(ISNUMBER($AW$740),$B$419=1),$AW$740,HLOOKUP(INDIRECT(ADDRESS(2,COLUMN())),OFFSET($BN$2,0,0,ROW()-1,60),ROW()-1,FALSE))</f>
        <v>9.0103823080000005</v>
      </c>
      <c r="AX297">
        <f ca="1">IF(AND(ISNUMBER($AX$740),$B$419=1),$AX$740,HLOOKUP(INDIRECT(ADDRESS(2,COLUMN())),OFFSET($BN$2,0,0,ROW()-1,60),ROW()-1,FALSE))</f>
        <v>10.663886870000001</v>
      </c>
      <c r="AY297">
        <f ca="1">IF(AND(ISNUMBER($AY$740),$B$419=1),$AY$740,HLOOKUP(INDIRECT(ADDRESS(2,COLUMN())),OFFSET($BN$2,0,0,ROW()-1,60),ROW()-1,FALSE))</f>
        <v>10.6604162</v>
      </c>
      <c r="AZ297">
        <f ca="1">IF(AND(ISNUMBER($AZ$740),$B$419=1),$AZ$740,HLOOKUP(INDIRECT(ADDRESS(2,COLUMN())),OFFSET($BN$2,0,0,ROW()-1,60),ROW()-1,FALSE))</f>
        <v>10.79073462</v>
      </c>
      <c r="BA297">
        <f ca="1">IF(AND(ISNUMBER($BA$740),$B$419=1),$BA$740,HLOOKUP(INDIRECT(ADDRESS(2,COLUMN())),OFFSET($BN$2,0,0,ROW()-1,60),ROW()-1,FALSE))</f>
        <v>11.08893276</v>
      </c>
      <c r="BB297">
        <f ca="1">IF(AND(ISNUMBER($BB$740),$B$419=1),$BB$740,HLOOKUP(INDIRECT(ADDRESS(2,COLUMN())),OFFSET($BN$2,0,0,ROW()-1,60),ROW()-1,FALSE))</f>
        <v>10.391153559999999</v>
      </c>
      <c r="BC297">
        <f ca="1">IF(AND(ISNUMBER($BC$740),$B$419=1),$BC$740,HLOOKUP(INDIRECT(ADDRESS(2,COLUMN())),OFFSET($BN$2,0,0,ROW()-1,60),ROW()-1,FALSE))</f>
        <v>9.8252351190000002</v>
      </c>
      <c r="BD297">
        <f ca="1">IF(AND(ISNUMBER($BD$740),$B$419=1),$BD$740,HLOOKUP(INDIRECT(ADDRESS(2,COLUMN())),OFFSET($BN$2,0,0,ROW()-1,60),ROW()-1,FALSE))</f>
        <v>10.07364647</v>
      </c>
      <c r="BE297">
        <f ca="1">IF(AND(ISNUMBER($BE$740),$B$419=1),$BE$740,HLOOKUP(INDIRECT(ADDRESS(2,COLUMN())),OFFSET($BN$2,0,0,ROW()-1,60),ROW()-1,FALSE))</f>
        <v>10.18553367</v>
      </c>
      <c r="BF297">
        <f ca="1">IF(AND(ISNUMBER($BF$740),$B$419=1),$BF$740,HLOOKUP(INDIRECT(ADDRESS(2,COLUMN())),OFFSET($BN$2,0,0,ROW()-1,60),ROW()-1,FALSE))</f>
        <v>10.80491512</v>
      </c>
      <c r="BG297">
        <f ca="1">IF(AND(ISNUMBER($BG$740),$B$419=1),$BG$740,HLOOKUP(INDIRECT(ADDRESS(2,COLUMN())),OFFSET($BN$2,0,0,ROW()-1,60),ROW()-1,FALSE))</f>
        <v>10.73137363</v>
      </c>
      <c r="BH297">
        <f ca="1">IF(AND(ISNUMBER($BH$740),$B$419=1),$BH$740,HLOOKUP(INDIRECT(ADDRESS(2,COLUMN())),OFFSET($BN$2,0,0,ROW()-1,60),ROW()-1,FALSE))</f>
        <v>10.097671569999999</v>
      </c>
      <c r="BI297">
        <f ca="1">IF(AND(ISNUMBER($BI$740),$B$419=1),$BI$740,HLOOKUP(INDIRECT(ADDRESS(2,COLUMN())),OFFSET($BN$2,0,0,ROW()-1,60),ROW()-1,FALSE))</f>
        <v>11.03092125</v>
      </c>
      <c r="BJ297">
        <f ca="1">IF(AND(ISNUMBER($BJ$740),$B$419=1),$BJ$740,HLOOKUP(INDIRECT(ADDRESS(2,COLUMN())),OFFSET($BN$2,0,0,ROW()-1,60),ROW()-1,FALSE))</f>
        <v>11.45783185</v>
      </c>
      <c r="BK297">
        <f ca="1">IF(AND(ISNUMBER($BK$740),$B$419=1),$BK$740,HLOOKUP(INDIRECT(ADDRESS(2,COLUMN())),OFFSET($BN$2,0,0,ROW()-1,60),ROW()-1,FALSE))</f>
        <v>46.806757279999999</v>
      </c>
      <c r="BL297">
        <f ca="1">IF(AND(ISNUMBER($BL$740),$B$419=1),$BL$740,HLOOKUP(INDIRECT(ADDRESS(2,COLUMN())),OFFSET($BN$2,0,0,ROW()-1,60),ROW()-1,FALSE))</f>
        <v>5.1699680399999997</v>
      </c>
      <c r="BM297">
        <f ca="1">IF(AND(ISNUMBER($BM$740),$B$419=1),$BM$740,HLOOKUP(INDIRECT(ADDRESS(2,COLUMN())),OFFSET($BN$2,0,0,ROW()-1,60),ROW()-1,FALSE))</f>
        <v>6.7014145389999999</v>
      </c>
      <c r="BN297" t="str">
        <f>""</f>
        <v/>
      </c>
      <c r="BO297">
        <f>7.504314534</f>
        <v>7.5043145339999997</v>
      </c>
      <c r="BP297">
        <f>7.270812488</f>
        <v>7.2708124879999998</v>
      </c>
      <c r="BQ297">
        <f>7.528126925</f>
        <v>7.5281269249999996</v>
      </c>
      <c r="BR297">
        <f>9.527783416</f>
        <v>9.5277834160000001</v>
      </c>
      <c r="BS297">
        <f>10.14297544</f>
        <v>10.142975440000001</v>
      </c>
      <c r="BT297">
        <f>10.82553059</f>
        <v>10.82553059</v>
      </c>
      <c r="BU297">
        <f>12.81717547</f>
        <v>12.81717547</v>
      </c>
      <c r="BV297">
        <f>13.35005606</f>
        <v>13.35005606</v>
      </c>
      <c r="BW297">
        <f>14.23620994</f>
        <v>14.23620994</v>
      </c>
      <c r="BX297">
        <f>14.42043374</f>
        <v>14.42043374</v>
      </c>
      <c r="BY297">
        <f>15.42495952</f>
        <v>15.42495952</v>
      </c>
      <c r="BZ297">
        <f>17.40270574</f>
        <v>17.402705739999998</v>
      </c>
      <c r="CA297">
        <f>13.87947064</f>
        <v>13.879470639999999</v>
      </c>
      <c r="CB297">
        <f>13.05578016</f>
        <v>13.055780159999999</v>
      </c>
      <c r="CC297">
        <f>11.74701964</f>
        <v>11.74701964</v>
      </c>
      <c r="CD297">
        <f>10.93465662</f>
        <v>10.93465662</v>
      </c>
      <c r="CE297">
        <f>10.71392427</f>
        <v>10.71392427</v>
      </c>
      <c r="CF297">
        <f>11.31078132</f>
        <v>11.31078132</v>
      </c>
      <c r="CG297">
        <f>11.82122869</f>
        <v>11.82122869</v>
      </c>
      <c r="CH297">
        <f>11.06809046</f>
        <v>11.068090460000001</v>
      </c>
      <c r="CI297">
        <f>10.28782614</f>
        <v>10.28782614</v>
      </c>
      <c r="CJ297">
        <f>10.4611557</f>
        <v>10.461155700000001</v>
      </c>
      <c r="CK297">
        <f>10.2749821</f>
        <v>10.274982100000001</v>
      </c>
      <c r="CL297">
        <f>11.19515314</f>
        <v>11.19515314</v>
      </c>
      <c r="CM297">
        <f>11.74085516</f>
        <v>11.740855160000001</v>
      </c>
      <c r="CN297">
        <f>11.49561231</f>
        <v>11.49561231</v>
      </c>
      <c r="CO297">
        <f>11.14204693</f>
        <v>11.142046929999999</v>
      </c>
      <c r="CP297">
        <f>11.00350293</f>
        <v>11.00350293</v>
      </c>
      <c r="CQ297">
        <f>10.94752577</f>
        <v>10.94752577</v>
      </c>
      <c r="CR297">
        <f>10.65184317</f>
        <v>10.651843169999999</v>
      </c>
      <c r="CS297">
        <f>12.99201751</f>
        <v>12.99201751</v>
      </c>
      <c r="CT297">
        <f>14.33499931</f>
        <v>14.334999310000001</v>
      </c>
      <c r="CU297">
        <f>14.08297039</f>
        <v>14.08297039</v>
      </c>
      <c r="CV297">
        <f>12.02824148</f>
        <v>12.02824148</v>
      </c>
      <c r="CW297">
        <f>13.98673662</f>
        <v>13.98673662</v>
      </c>
      <c r="CX297">
        <f>12.1869773</f>
        <v>12.186977300000001</v>
      </c>
      <c r="CY297">
        <f>11.87411456</f>
        <v>11.874114560000001</v>
      </c>
      <c r="CZ297">
        <f>11.76985531</f>
        <v>11.769855310000001</v>
      </c>
      <c r="DA297">
        <f>11.61826578</f>
        <v>11.61826578</v>
      </c>
      <c r="DB297">
        <f>11.7650433</f>
        <v>11.7650433</v>
      </c>
      <c r="DC297">
        <f>11.92209207</f>
        <v>11.92209207</v>
      </c>
      <c r="DD297">
        <f>8.971095631</f>
        <v>8.9710956310000007</v>
      </c>
      <c r="DE297">
        <f>9.010382308</f>
        <v>9.0103823080000005</v>
      </c>
      <c r="DF297">
        <f>10.66388687</f>
        <v>10.663886870000001</v>
      </c>
      <c r="DG297">
        <f>10.6604162</f>
        <v>10.6604162</v>
      </c>
      <c r="DH297">
        <f>10.79073462</f>
        <v>10.79073462</v>
      </c>
      <c r="DI297">
        <f>11.08893276</f>
        <v>11.08893276</v>
      </c>
      <c r="DJ297">
        <f>10.39115356</f>
        <v>10.391153559999999</v>
      </c>
      <c r="DK297">
        <f>9.825235119</f>
        <v>9.8252351190000002</v>
      </c>
      <c r="DL297">
        <f>10.07364647</f>
        <v>10.07364647</v>
      </c>
      <c r="DM297">
        <f>10.18553367</f>
        <v>10.18553367</v>
      </c>
      <c r="DN297">
        <f>10.80491512</f>
        <v>10.80491512</v>
      </c>
      <c r="DO297">
        <f>10.73137363</f>
        <v>10.73137363</v>
      </c>
      <c r="DP297">
        <f>10.09767157</f>
        <v>10.097671569999999</v>
      </c>
      <c r="DQ297">
        <f>11.03092125</f>
        <v>11.03092125</v>
      </c>
      <c r="DR297">
        <f>11.45783185</f>
        <v>11.45783185</v>
      </c>
      <c r="DS297">
        <f>46.80675728</f>
        <v>46.806757279999999</v>
      </c>
      <c r="DT297">
        <f>5.16996804</f>
        <v>5.1699680399999997</v>
      </c>
      <c r="DU297">
        <f>6.701414539</f>
        <v>6.7014145389999999</v>
      </c>
    </row>
    <row r="298" spans="1:125">
      <c r="A298" t="str">
        <f>"    National Retail Properties Inc"</f>
        <v xml:space="preserve">    National Retail Properties Inc</v>
      </c>
      <c r="B298" t="str">
        <f>"NNN US Equity"</f>
        <v>NNN US Equity</v>
      </c>
      <c r="C298" t="str">
        <f t="shared" si="54"/>
        <v>RR147</v>
      </c>
      <c r="D298" t="str">
        <f t="shared" si="55"/>
        <v>LT_DEBT_TO_TOT_ASSET</v>
      </c>
      <c r="E298" t="str">
        <f t="shared" si="56"/>
        <v>动态</v>
      </c>
      <c r="F298" t="str">
        <f ca="1">IF(AND(ISNUMBER($F$741),$B$419=1),$F$741,HLOOKUP(INDIRECT(ADDRESS(2,COLUMN())),OFFSET($BN$2,0,0,ROW()-1,60),ROW()-1,FALSE))</f>
        <v/>
      </c>
      <c r="G298">
        <f ca="1">IF(AND(ISNUMBER($G$741),$B$419=1),$G$741,HLOOKUP(INDIRECT(ADDRESS(2,COLUMN())),OFFSET($BN$2,0,0,ROW()-1,60),ROW()-1,FALSE))</f>
        <v>0.2027274</v>
      </c>
      <c r="H298">
        <f ca="1">IF(AND(ISNUMBER($H$741),$B$419=1),$H$741,HLOOKUP(INDIRECT(ADDRESS(2,COLUMN())),OFFSET($BN$2,0,0,ROW()-1,60),ROW()-1,FALSE))</f>
        <v>0.202936214</v>
      </c>
      <c r="I298">
        <f ca="1">IF(AND(ISNUMBER($I$741),$B$419=1),$I$741,HLOOKUP(INDIRECT(ADDRESS(2,COLUMN())),OFFSET($BN$2,0,0,ROW()-1,60),ROW()-1,FALSE))</f>
        <v>0.214466238</v>
      </c>
      <c r="J298">
        <f ca="1">IF(AND(ISNUMBER($J$741),$B$419=1),$J$741,HLOOKUP(INDIRECT(ADDRESS(2,COLUMN())),OFFSET($BN$2,0,0,ROW()-1,60),ROW()-1,FALSE))</f>
        <v>0.224603632</v>
      </c>
      <c r="K298">
        <f ca="1">IF(AND(ISNUMBER($K$741),$B$419=1),$K$741,HLOOKUP(INDIRECT(ADDRESS(2,COLUMN())),OFFSET($BN$2,0,0,ROW()-1,60),ROW()-1,FALSE))</f>
        <v>0.219098029</v>
      </c>
      <c r="L298">
        <f ca="1">IF(AND(ISNUMBER($L$741),$B$419=1),$L$741,HLOOKUP(INDIRECT(ADDRESS(2,COLUMN())),OFFSET($BN$2,0,0,ROW()-1,60),ROW()-1,FALSE))</f>
        <v>0.28570633299999998</v>
      </c>
      <c r="M298">
        <f ca="1">IF(AND(ISNUMBER($M$741),$B$419=1),$M$741,HLOOKUP(INDIRECT(ADDRESS(2,COLUMN())),OFFSET($BN$2,0,0,ROW()-1,60),ROW()-1,FALSE))</f>
        <v>0.292120188</v>
      </c>
      <c r="N298">
        <f ca="1">IF(AND(ISNUMBER($N$741),$B$419=1),$N$741,HLOOKUP(INDIRECT(ADDRESS(2,COLUMN())),OFFSET($BN$2,0,0,ROW()-1,60),ROW()-1,FALSE))</f>
        <v>0.30733474</v>
      </c>
      <c r="O298">
        <f ca="1">IF(AND(ISNUMBER($O$741),$B$419=1),$O$741,HLOOKUP(INDIRECT(ADDRESS(2,COLUMN())),OFFSET($BN$2,0,0,ROW()-1,60),ROW()-1,FALSE))</f>
        <v>0.43889756200000002</v>
      </c>
      <c r="P298">
        <f ca="1">IF(AND(ISNUMBER($P$741),$B$419=1),$P$741,HLOOKUP(INDIRECT(ADDRESS(2,COLUMN())),OFFSET($BN$2,0,0,ROW()-1,60),ROW()-1,FALSE))</f>
        <v>0.45851416099999998</v>
      </c>
      <c r="Q298">
        <f ca="1">IF(AND(ISNUMBER($Q$741),$B$419=1),$Q$741,HLOOKUP(INDIRECT(ADDRESS(2,COLUMN())),OFFSET($BN$2,0,0,ROW()-1,60),ROW()-1,FALSE))</f>
        <v>0.48926678200000001</v>
      </c>
      <c r="R298">
        <f ca="1">IF(AND(ISNUMBER($R$741),$B$419=1),$R$741,HLOOKUP(INDIRECT(ADDRESS(2,COLUMN())),OFFSET($BN$2,0,0,ROW()-1,60),ROW()-1,FALSE))</f>
        <v>0.51541217399999995</v>
      </c>
      <c r="S298">
        <f ca="1">IF(AND(ISNUMBER($S$741),$B$419=1),$S$741,HLOOKUP(INDIRECT(ADDRESS(2,COLUMN())),OFFSET($BN$2,0,0,ROW()-1,60),ROW()-1,FALSE))</f>
        <v>0.53461597299999997</v>
      </c>
      <c r="T298">
        <f ca="1">IF(AND(ISNUMBER($T$741),$B$419=1),$T$741,HLOOKUP(INDIRECT(ADDRESS(2,COLUMN())),OFFSET($BN$2,0,0,ROW()-1,60),ROW()-1,FALSE))</f>
        <v>0.23749752700000001</v>
      </c>
      <c r="U298">
        <f ca="1">IF(AND(ISNUMBER($U$741),$B$419=1),$U$741,HLOOKUP(INDIRECT(ADDRESS(2,COLUMN())),OFFSET($BN$2,0,0,ROW()-1,60),ROW()-1,FALSE))</f>
        <v>0.19119069299999999</v>
      </c>
      <c r="V298">
        <f ca="1">IF(AND(ISNUMBER($V$741),$B$419=1),$V$741,HLOOKUP(INDIRECT(ADDRESS(2,COLUMN())),OFFSET($BN$2,0,0,ROW()-1,60),ROW()-1,FALSE))</f>
        <v>0.20318860699999999</v>
      </c>
      <c r="W298">
        <f ca="1">IF(AND(ISNUMBER($W$741),$B$419=1),$W$741,HLOOKUP(INDIRECT(ADDRESS(2,COLUMN())),OFFSET($BN$2,0,0,ROW()-1,60),ROW()-1,FALSE))</f>
        <v>0.21270515400000001</v>
      </c>
      <c r="X298">
        <f ca="1">IF(AND(ISNUMBER($X$741),$B$419=1),$X$741,HLOOKUP(INDIRECT(ADDRESS(2,COLUMN())),OFFSET($BN$2,0,0,ROW()-1,60),ROW()-1,FALSE))</f>
        <v>0.220065542</v>
      </c>
      <c r="Y298">
        <f ca="1">IF(AND(ISNUMBER($Y$741),$B$419=1),$Y$741,HLOOKUP(INDIRECT(ADDRESS(2,COLUMN())),OFFSET($BN$2,0,0,ROW()-1,60),ROW()-1,FALSE))</f>
        <v>0.21611613800000001</v>
      </c>
      <c r="Z298">
        <f ca="1">IF(AND(ISNUMBER($Z$741),$B$419=1),$Z$741,HLOOKUP(INDIRECT(ADDRESS(2,COLUMN())),OFFSET($BN$2,0,0,ROW()-1,60),ROW()-1,FALSE))</f>
        <v>0.25808450700000002</v>
      </c>
      <c r="AA298">
        <f ca="1">IF(AND(ISNUMBER($AA$741),$B$419=1),$AA$741,HLOOKUP(INDIRECT(ADDRESS(2,COLUMN())),OFFSET($BN$2,0,0,ROW()-1,60),ROW()-1,FALSE))</f>
        <v>0.26584580899999999</v>
      </c>
      <c r="AB298">
        <f ca="1">IF(AND(ISNUMBER($AB$741),$B$419=1),$AB$741,HLOOKUP(INDIRECT(ADDRESS(2,COLUMN())),OFFSET($BN$2,0,0,ROW()-1,60),ROW()-1,FALSE))</f>
        <v>0.27637144899999999</v>
      </c>
      <c r="AC298">
        <f ca="1">IF(AND(ISNUMBER($AC$741),$B$419=1),$AC$741,HLOOKUP(INDIRECT(ADDRESS(2,COLUMN())),OFFSET($BN$2,0,0,ROW()-1,60),ROW()-1,FALSE))</f>
        <v>0.79214576699999995</v>
      </c>
      <c r="AD298">
        <f ca="1">IF(AND(ISNUMBER($AD$741),$B$419=1),$AD$741,HLOOKUP(INDIRECT(ADDRESS(2,COLUMN())),OFFSET($BN$2,0,0,ROW()-1,60),ROW()-1,FALSE))</f>
        <v>0.63343278300000005</v>
      </c>
      <c r="AE298">
        <f ca="1">IF(AND(ISNUMBER($AE$741),$B$419=1),$AE$741,HLOOKUP(INDIRECT(ADDRESS(2,COLUMN())),OFFSET($BN$2,0,0,ROW()-1,60),ROW()-1,FALSE))</f>
        <v>0.674547597</v>
      </c>
      <c r="AF298">
        <f ca="1">IF(AND(ISNUMBER($AF$741),$B$419=1),$AF$741,HLOOKUP(INDIRECT(ADDRESS(2,COLUMN())),OFFSET($BN$2,0,0,ROW()-1,60),ROW()-1,FALSE))</f>
        <v>0.74540079800000003</v>
      </c>
      <c r="AG298">
        <f ca="1">IF(AND(ISNUMBER($AG$741),$B$419=1),$AG$741,HLOOKUP(INDIRECT(ADDRESS(2,COLUMN())),OFFSET($BN$2,0,0,ROW()-1,60),ROW()-1,FALSE))</f>
        <v>0.84778978999999999</v>
      </c>
      <c r="AH298">
        <f ca="1">IF(AND(ISNUMBER($AH$741),$B$419=1),$AH$741,HLOOKUP(INDIRECT(ADDRESS(2,COLUMN())),OFFSET($BN$2,0,0,ROW()-1,60),ROW()-1,FALSE))</f>
        <v>0.87144664100000002</v>
      </c>
      <c r="AI298">
        <f ca="1">IF(AND(ISNUMBER($AI$741),$B$419=1),$AI$741,HLOOKUP(INDIRECT(ADDRESS(2,COLUMN())),OFFSET($BN$2,0,0,ROW()-1,60),ROW()-1,FALSE))</f>
        <v>0.89435523299999997</v>
      </c>
      <c r="AJ298">
        <f ca="1">IF(AND(ISNUMBER($AJ$741),$B$419=1),$AJ$741,HLOOKUP(INDIRECT(ADDRESS(2,COLUMN())),OFFSET($BN$2,0,0,ROW()-1,60),ROW()-1,FALSE))</f>
        <v>0.94001161</v>
      </c>
      <c r="AK298">
        <f ca="1">IF(AND(ISNUMBER($AK$741),$B$419=1),$AK$741,HLOOKUP(INDIRECT(ADDRESS(2,COLUMN())),OFFSET($BN$2,0,0,ROW()-1,60),ROW()-1,FALSE))</f>
        <v>1.166770632</v>
      </c>
      <c r="AL298">
        <f ca="1">IF(AND(ISNUMBER($AL$741),$B$419=1),$AL$741,HLOOKUP(INDIRECT(ADDRESS(2,COLUMN())),OFFSET($BN$2,0,0,ROW()-1,60),ROW()-1,FALSE))</f>
        <v>1.1710734220000001</v>
      </c>
      <c r="AM298">
        <f ca="1">IF(AND(ISNUMBER($AM$741),$B$419=1),$AM$741,HLOOKUP(INDIRECT(ADDRESS(2,COLUMN())),OFFSET($BN$2,0,0,ROW()-1,60),ROW()-1,FALSE))</f>
        <v>0.97608533099999994</v>
      </c>
      <c r="AN298">
        <f ca="1">IF(AND(ISNUMBER($AN$741),$B$419=1),$AN$741,HLOOKUP(INDIRECT(ADDRESS(2,COLUMN())),OFFSET($BN$2,0,0,ROW()-1,60),ROW()-1,FALSE))</f>
        <v>0.96349228600000003</v>
      </c>
      <c r="AO298">
        <f ca="1">IF(AND(ISNUMBER($AO$741),$B$419=1),$AO$741,HLOOKUP(INDIRECT(ADDRESS(2,COLUMN())),OFFSET($BN$2,0,0,ROW()-1,60),ROW()-1,FALSE))</f>
        <v>0.977878892</v>
      </c>
      <c r="AP298">
        <f ca="1">IF(AND(ISNUMBER($AP$741),$B$419=1),$AP$741,HLOOKUP(INDIRECT(ADDRESS(2,COLUMN())),OFFSET($BN$2,0,0,ROW()-1,60),ROW()-1,FALSE))</f>
        <v>0.98693896599999997</v>
      </c>
      <c r="AQ298">
        <f ca="1">IF(AND(ISNUMBER($AQ$741),$B$419=1),$AQ$741,HLOOKUP(INDIRECT(ADDRESS(2,COLUMN())),OFFSET($BN$2,0,0,ROW()-1,60),ROW()-1,FALSE))</f>
        <v>0.992273552</v>
      </c>
      <c r="AR298">
        <f ca="1">IF(AND(ISNUMBER($AR$741),$B$419=1),$AR$741,HLOOKUP(INDIRECT(ADDRESS(2,COLUMN())),OFFSET($BN$2,0,0,ROW()-1,60),ROW()-1,FALSE))</f>
        <v>1.008275303</v>
      </c>
      <c r="AS298">
        <f ca="1">IF(AND(ISNUMBER($AS$741),$B$419=1),$AS$741,HLOOKUP(INDIRECT(ADDRESS(2,COLUMN())),OFFSET($BN$2,0,0,ROW()-1,60),ROW()-1,FALSE))</f>
        <v>1.006424488</v>
      </c>
      <c r="AT298">
        <f ca="1">IF(AND(ISNUMBER($AT$741),$B$419=1),$AT$741,HLOOKUP(INDIRECT(ADDRESS(2,COLUMN())),OFFSET($BN$2,0,0,ROW()-1,60),ROW()-1,FALSE))</f>
        <v>16.288512669999999</v>
      </c>
      <c r="AU298">
        <f ca="1">IF(AND(ISNUMBER($AU$741),$B$419=1),$AU$741,HLOOKUP(INDIRECT(ADDRESS(2,COLUMN())),OFFSET($BN$2,0,0,ROW()-1,60),ROW()-1,FALSE))</f>
        <v>1.554572463</v>
      </c>
      <c r="AV298">
        <f ca="1">IF(AND(ISNUMBER($AV$741),$B$419=1),$AV$741,HLOOKUP(INDIRECT(ADDRESS(2,COLUMN())),OFFSET($BN$2,0,0,ROW()-1,60),ROW()-1,FALSE))</f>
        <v>3.2600216180000001</v>
      </c>
      <c r="AW298">
        <f ca="1">IF(AND(ISNUMBER($AW$741),$B$419=1),$AW$741,HLOOKUP(INDIRECT(ADDRESS(2,COLUMN())),OFFSET($BN$2,0,0,ROW()-1,60),ROW()-1,FALSE))</f>
        <v>3.7643253809999999</v>
      </c>
      <c r="AX298">
        <f ca="1">IF(AND(ISNUMBER($AX$741),$B$419=1),$AX$741,HLOOKUP(INDIRECT(ADDRESS(2,COLUMN())),OFFSET($BN$2,0,0,ROW()-1,60),ROW()-1,FALSE))</f>
        <v>11.69479484</v>
      </c>
      <c r="AY298">
        <f ca="1">IF(AND(ISNUMBER($AY$741),$B$419=1),$AY$741,HLOOKUP(INDIRECT(ADDRESS(2,COLUMN())),OFFSET($BN$2,0,0,ROW()-1,60),ROW()-1,FALSE))</f>
        <v>4.5075951090000004</v>
      </c>
      <c r="AZ298">
        <f ca="1">IF(AND(ISNUMBER($AZ$741),$B$419=1),$AZ$741,HLOOKUP(INDIRECT(ADDRESS(2,COLUMN())),OFFSET($BN$2,0,0,ROW()-1,60),ROW()-1,FALSE))</f>
        <v>4.870903631</v>
      </c>
      <c r="BA298">
        <f ca="1">IF(AND(ISNUMBER($BA$741),$B$419=1),$BA$741,HLOOKUP(INDIRECT(ADDRESS(2,COLUMN())),OFFSET($BN$2,0,0,ROW()-1,60),ROW()-1,FALSE))</f>
        <v>34.035548599999998</v>
      </c>
      <c r="BB298">
        <f ca="1">IF(AND(ISNUMBER($BB$741),$B$419=1),$BB$741,HLOOKUP(INDIRECT(ADDRESS(2,COLUMN())),OFFSET($BN$2,0,0,ROW()-1,60),ROW()-1,FALSE))</f>
        <v>9.0312411160000003</v>
      </c>
      <c r="BC298">
        <f ca="1">IF(AND(ISNUMBER($BC$741),$B$419=1),$BC$741,HLOOKUP(INDIRECT(ADDRESS(2,COLUMN())),OFFSET($BN$2,0,0,ROW()-1,60),ROW()-1,FALSE))</f>
        <v>11.850819080000001</v>
      </c>
      <c r="BD298">
        <f ca="1">IF(AND(ISNUMBER($BD$741),$B$419=1),$BD$741,HLOOKUP(INDIRECT(ADDRESS(2,COLUMN())),OFFSET($BN$2,0,0,ROW()-1,60),ROW()-1,FALSE))</f>
        <v>33.936737110000003</v>
      </c>
      <c r="BE298">
        <f ca="1">IF(AND(ISNUMBER($BE$741),$B$419=1),$BE$741,HLOOKUP(INDIRECT(ADDRESS(2,COLUMN())),OFFSET($BN$2,0,0,ROW()-1,60),ROW()-1,FALSE))</f>
        <v>35.145791819999999</v>
      </c>
      <c r="BF298">
        <f ca="1">IF(AND(ISNUMBER($BF$741),$B$419=1),$BF$741,HLOOKUP(INDIRECT(ADDRESS(2,COLUMN())),OFFSET($BN$2,0,0,ROW()-1,60),ROW()-1,FALSE))</f>
        <v>11.7160812</v>
      </c>
      <c r="BG298">
        <f ca="1">IF(AND(ISNUMBER($BG$741),$B$419=1),$BG$741,HLOOKUP(INDIRECT(ADDRESS(2,COLUMN())),OFFSET($BN$2,0,0,ROW()-1,60),ROW()-1,FALSE))</f>
        <v>14.09247966</v>
      </c>
      <c r="BH298">
        <f ca="1">IF(AND(ISNUMBER($BH$741),$B$419=1),$BH$741,HLOOKUP(INDIRECT(ADDRESS(2,COLUMN())),OFFSET($BN$2,0,0,ROW()-1,60),ROW()-1,FALSE))</f>
        <v>14.0669904</v>
      </c>
      <c r="BI298">
        <f ca="1">IF(AND(ISNUMBER($BI$741),$B$419=1),$BI$741,HLOOKUP(INDIRECT(ADDRESS(2,COLUMN())),OFFSET($BN$2,0,0,ROW()-1,60),ROW()-1,FALSE))</f>
        <v>38.556688489999999</v>
      </c>
      <c r="BJ298">
        <f ca="1">IF(AND(ISNUMBER($BJ$741),$B$419=1),$BJ$741,HLOOKUP(INDIRECT(ADDRESS(2,COLUMN())),OFFSET($BN$2,0,0,ROW()-1,60),ROW()-1,FALSE))</f>
        <v>35.88636417</v>
      </c>
      <c r="BK298">
        <f ca="1">IF(AND(ISNUMBER($BK$741),$B$419=1),$BK$741,HLOOKUP(INDIRECT(ADDRESS(2,COLUMN())),OFFSET($BN$2,0,0,ROW()-1,60),ROW()-1,FALSE))</f>
        <v>36.194188580000002</v>
      </c>
      <c r="BL298">
        <f ca="1">IF(AND(ISNUMBER($BL$741),$B$419=1),$BL$741,HLOOKUP(INDIRECT(ADDRESS(2,COLUMN())),OFFSET($BN$2,0,0,ROW()-1,60),ROW()-1,FALSE))</f>
        <v>29.837278000000001</v>
      </c>
      <c r="BM298">
        <f ca="1">IF(AND(ISNUMBER($BM$741),$B$419=1),$BM$741,HLOOKUP(INDIRECT(ADDRESS(2,COLUMN())),OFFSET($BN$2,0,0,ROW()-1,60),ROW()-1,FALSE))</f>
        <v>34.621093420000001</v>
      </c>
      <c r="BN298" t="str">
        <f>""</f>
        <v/>
      </c>
      <c r="BO298">
        <f>0.2027274</f>
        <v>0.2027274</v>
      </c>
      <c r="BP298">
        <f>0.202936214</f>
        <v>0.202936214</v>
      </c>
      <c r="BQ298">
        <f>0.214466238</f>
        <v>0.214466238</v>
      </c>
      <c r="BR298">
        <f>0.224603632</f>
        <v>0.224603632</v>
      </c>
      <c r="BS298">
        <f>0.219098029</f>
        <v>0.219098029</v>
      </c>
      <c r="BT298">
        <f>0.285706333</f>
        <v>0.28570633299999998</v>
      </c>
      <c r="BU298">
        <f>0.292120188</f>
        <v>0.292120188</v>
      </c>
      <c r="BV298">
        <f>0.30733474</f>
        <v>0.30733474</v>
      </c>
      <c r="BW298">
        <f>0.438897562</f>
        <v>0.43889756200000002</v>
      </c>
      <c r="BX298">
        <f>0.458514161</f>
        <v>0.45851416099999998</v>
      </c>
      <c r="BY298">
        <f>0.489266782</f>
        <v>0.48926678200000001</v>
      </c>
      <c r="BZ298">
        <f>0.515412174</f>
        <v>0.51541217399999995</v>
      </c>
      <c r="CA298">
        <f>0.534615973</f>
        <v>0.53461597299999997</v>
      </c>
      <c r="CB298">
        <f>0.237497527</f>
        <v>0.23749752700000001</v>
      </c>
      <c r="CC298">
        <f>0.191190693</f>
        <v>0.19119069299999999</v>
      </c>
      <c r="CD298">
        <f>0.203188607</f>
        <v>0.20318860699999999</v>
      </c>
      <c r="CE298">
        <f>0.212705154</f>
        <v>0.21270515400000001</v>
      </c>
      <c r="CF298">
        <f>0.220065542</f>
        <v>0.220065542</v>
      </c>
      <c r="CG298">
        <f>0.216116138</f>
        <v>0.21611613800000001</v>
      </c>
      <c r="CH298">
        <f>0.258084507</f>
        <v>0.25808450700000002</v>
      </c>
      <c r="CI298">
        <f>0.265845809</f>
        <v>0.26584580899999999</v>
      </c>
      <c r="CJ298">
        <f>0.276371449</f>
        <v>0.27637144899999999</v>
      </c>
      <c r="CK298">
        <f>0.792145767</f>
        <v>0.79214576699999995</v>
      </c>
      <c r="CL298">
        <f>0.633432783</f>
        <v>0.63343278300000005</v>
      </c>
      <c r="CM298">
        <f>0.674547597</f>
        <v>0.674547597</v>
      </c>
      <c r="CN298">
        <f>0.745400798</f>
        <v>0.74540079800000003</v>
      </c>
      <c r="CO298">
        <f>0.84778979</f>
        <v>0.84778978999999999</v>
      </c>
      <c r="CP298">
        <f>0.871446641</f>
        <v>0.87144664100000002</v>
      </c>
      <c r="CQ298">
        <f>0.894355233</f>
        <v>0.89435523299999997</v>
      </c>
      <c r="CR298">
        <f>0.94001161</f>
        <v>0.94001161</v>
      </c>
      <c r="CS298">
        <f>1.166770632</f>
        <v>1.166770632</v>
      </c>
      <c r="CT298">
        <f>1.171073422</f>
        <v>1.1710734220000001</v>
      </c>
      <c r="CU298">
        <f>0.976085331</f>
        <v>0.97608533099999994</v>
      </c>
      <c r="CV298">
        <f>0.963492286</f>
        <v>0.96349228600000003</v>
      </c>
      <c r="CW298">
        <f>0.977878892</f>
        <v>0.977878892</v>
      </c>
      <c r="CX298">
        <f>0.986938966</f>
        <v>0.98693896599999997</v>
      </c>
      <c r="CY298">
        <f>0.992273552</f>
        <v>0.992273552</v>
      </c>
      <c r="CZ298">
        <f>1.008275303</f>
        <v>1.008275303</v>
      </c>
      <c r="DA298">
        <f>1.006424488</f>
        <v>1.006424488</v>
      </c>
      <c r="DB298">
        <f>16.28851267</f>
        <v>16.288512669999999</v>
      </c>
      <c r="DC298">
        <f>1.554572463</f>
        <v>1.554572463</v>
      </c>
      <c r="DD298">
        <f>3.260021618</f>
        <v>3.2600216180000001</v>
      </c>
      <c r="DE298">
        <f>3.764325381</f>
        <v>3.7643253809999999</v>
      </c>
      <c r="DF298">
        <f>11.69479484</f>
        <v>11.69479484</v>
      </c>
      <c r="DG298">
        <f>4.507595109</f>
        <v>4.5075951090000004</v>
      </c>
      <c r="DH298">
        <f>4.870903631</f>
        <v>4.870903631</v>
      </c>
      <c r="DI298">
        <f>34.0355486</f>
        <v>34.035548599999998</v>
      </c>
      <c r="DJ298">
        <f>9.031241116</f>
        <v>9.0312411160000003</v>
      </c>
      <c r="DK298">
        <f>11.85081908</f>
        <v>11.850819080000001</v>
      </c>
      <c r="DL298">
        <f>33.93673711</f>
        <v>33.936737110000003</v>
      </c>
      <c r="DM298">
        <f>35.14579182</f>
        <v>35.145791819999999</v>
      </c>
      <c r="DN298">
        <f>11.7160812</f>
        <v>11.7160812</v>
      </c>
      <c r="DO298">
        <f>14.09247966</f>
        <v>14.09247966</v>
      </c>
      <c r="DP298">
        <f>14.0669904</f>
        <v>14.0669904</v>
      </c>
      <c r="DQ298">
        <f>38.55668849</f>
        <v>38.556688489999999</v>
      </c>
      <c r="DR298">
        <f>35.88636417</f>
        <v>35.88636417</v>
      </c>
      <c r="DS298">
        <f>36.19418858</f>
        <v>36.194188580000002</v>
      </c>
      <c r="DT298">
        <f>29.837278</f>
        <v>29.837278000000001</v>
      </c>
      <c r="DU298">
        <f>34.62109342</f>
        <v>34.621093420000001</v>
      </c>
    </row>
    <row r="299" spans="1:125">
      <c r="A299" t="str">
        <f>"    Realty Income Corp"</f>
        <v xml:space="preserve">    Realty Income Corp</v>
      </c>
      <c r="B299" t="str">
        <f>"O US Equity"</f>
        <v>O US Equity</v>
      </c>
      <c r="C299" t="str">
        <f t="shared" si="54"/>
        <v>RR147</v>
      </c>
      <c r="D299" t="str">
        <f t="shared" si="55"/>
        <v>LT_DEBT_TO_TOT_ASSET</v>
      </c>
      <c r="E299" t="str">
        <f t="shared" si="56"/>
        <v>动态</v>
      </c>
      <c r="F299" t="str">
        <f ca="1">IF(AND(ISNUMBER($F$742),$B$419=1),$F$742,HLOOKUP(INDIRECT(ADDRESS(2,COLUMN())),OFFSET($BN$2,0,0,ROW()-1,60),ROW()-1,FALSE))</f>
        <v/>
      </c>
      <c r="G299">
        <f ca="1">IF(AND(ISNUMBER($G$742),$B$419=1),$G$742,HLOOKUP(INDIRECT(ADDRESS(2,COLUMN())),OFFSET($BN$2,0,0,ROW()-1,60),ROW()-1,FALSE))</f>
        <v>2.3185172230000002</v>
      </c>
      <c r="H299">
        <f ca="1">IF(AND(ISNUMBER($H$742),$B$419=1),$H$742,HLOOKUP(INDIRECT(ADDRESS(2,COLUMN())),OFFSET($BN$2,0,0,ROW()-1,60),ROW()-1,FALSE))</f>
        <v>2.4889027920000002</v>
      </c>
      <c r="I299">
        <f ca="1">IF(AND(ISNUMBER($I$742),$B$419=1),$I$742,HLOOKUP(INDIRECT(ADDRESS(2,COLUMN())),OFFSET($BN$2,0,0,ROW()-1,60),ROW()-1,FALSE))</f>
        <v>2.7873048969999998</v>
      </c>
      <c r="J299">
        <f ca="1">IF(AND(ISNUMBER($J$742),$B$419=1),$J$742,HLOOKUP(INDIRECT(ADDRESS(2,COLUMN())),OFFSET($BN$2,0,0,ROW()-1,60),ROW()-1,FALSE))</f>
        <v>3.451986137</v>
      </c>
      <c r="K299">
        <f ca="1">IF(AND(ISNUMBER($K$742),$B$419=1),$K$742,HLOOKUP(INDIRECT(ADDRESS(2,COLUMN())),OFFSET($BN$2,0,0,ROW()-1,60),ROW()-1,FALSE))</f>
        <v>3.5432948440000001</v>
      </c>
      <c r="L299">
        <f ca="1">IF(AND(ISNUMBER($L$742),$B$419=1),$L$742,HLOOKUP(INDIRECT(ADDRESS(2,COLUMN())),OFFSET($BN$2,0,0,ROW()-1,60),ROW()-1,FALSE))</f>
        <v>4.0139024970000001</v>
      </c>
      <c r="M299">
        <f ca="1">IF(AND(ISNUMBER($M$742),$B$419=1),$M$742,HLOOKUP(INDIRECT(ADDRESS(2,COLUMN())),OFFSET($BN$2,0,0,ROW()-1,60),ROW()-1,FALSE))</f>
        <v>4.0520086199999996</v>
      </c>
      <c r="N299">
        <f ca="1">IF(AND(ISNUMBER($N$742),$B$419=1),$N$742,HLOOKUP(INDIRECT(ADDRESS(2,COLUMN())),OFFSET($BN$2,0,0,ROW()-1,60),ROW()-1,FALSE))</f>
        <v>4.2704710590000001</v>
      </c>
      <c r="O299">
        <f ca="1">IF(AND(ISNUMBER($O$742),$B$419=1),$O$742,HLOOKUP(INDIRECT(ADDRESS(2,COLUMN())),OFFSET($BN$2,0,0,ROW()-1,60),ROW()-1,FALSE))</f>
        <v>5.455182143</v>
      </c>
      <c r="P299">
        <f ca="1">IF(AND(ISNUMBER($P$742),$B$419=1),$P$742,HLOOKUP(INDIRECT(ADDRESS(2,COLUMN())),OFFSET($BN$2,0,0,ROW()-1,60),ROW()-1,FALSE))</f>
        <v>6.0155628849999996</v>
      </c>
      <c r="Q299">
        <f ca="1">IF(AND(ISNUMBER($Q$742),$B$419=1),$Q$742,HLOOKUP(INDIRECT(ADDRESS(2,COLUMN())),OFFSET($BN$2,0,0,ROW()-1,60),ROW()-1,FALSE))</f>
        <v>9.2891527289999996</v>
      </c>
      <c r="R299">
        <f ca="1">IF(AND(ISNUMBER($R$742),$B$419=1),$R$742,HLOOKUP(INDIRECT(ADDRESS(2,COLUMN())),OFFSET($BN$2,0,0,ROW()-1,60),ROW()-1,FALSE))</f>
        <v>7.8372341240000001</v>
      </c>
      <c r="S299">
        <f ca="1">IF(AND(ISNUMBER($S$742),$B$419=1),$S$742,HLOOKUP(INDIRECT(ADDRESS(2,COLUMN())),OFFSET($BN$2,0,0,ROW()-1,60),ROW()-1,FALSE))</f>
        <v>8.3774327310000007</v>
      </c>
      <c r="T299">
        <f ca="1">IF(AND(ISNUMBER($T$742),$B$419=1),$T$742,HLOOKUP(INDIRECT(ADDRESS(2,COLUMN())),OFFSET($BN$2,0,0,ROW()-1,60),ROW()-1,FALSE))</f>
        <v>8.5212580809999992</v>
      </c>
      <c r="U299">
        <f ca="1">IF(AND(ISNUMBER($U$742),$B$419=1),$U$742,HLOOKUP(INDIRECT(ADDRESS(2,COLUMN())),OFFSET($BN$2,0,0,ROW()-1,60),ROW()-1,FALSE))</f>
        <v>9.1233566790000005</v>
      </c>
      <c r="V299">
        <f ca="1">IF(AND(ISNUMBER($V$742),$B$419=1),$V$742,HLOOKUP(INDIRECT(ADDRESS(2,COLUMN())),OFFSET($BN$2,0,0,ROW()-1,60),ROW()-1,FALSE))</f>
        <v>8.5133922749999993</v>
      </c>
      <c r="W299">
        <f ca="1">IF(AND(ISNUMBER($W$742),$B$419=1),$W$742,HLOOKUP(INDIRECT(ADDRESS(2,COLUMN())),OFFSET($BN$2,0,0,ROW()-1,60),ROW()-1,FALSE))</f>
        <v>8.5985699350000004</v>
      </c>
      <c r="X299">
        <f ca="1">IF(AND(ISNUMBER($X$742),$B$419=1),$X$742,HLOOKUP(INDIRECT(ADDRESS(2,COLUMN())),OFFSET($BN$2,0,0,ROW()-1,60),ROW()-1,FALSE))</f>
        <v>8.9167544710000008</v>
      </c>
      <c r="Y299">
        <f ca="1">IF(AND(ISNUMBER($Y$742),$B$419=1),$Y$742,HLOOKUP(INDIRECT(ADDRESS(2,COLUMN())),OFFSET($BN$2,0,0,ROW()-1,60),ROW()-1,FALSE))</f>
        <v>9.5279683049999999</v>
      </c>
      <c r="Z299">
        <f ca="1">IF(AND(ISNUMBER($Z$742),$B$419=1),$Z$742,HLOOKUP(INDIRECT(ADDRESS(2,COLUMN())),OFFSET($BN$2,0,0,ROW()-1,60),ROW()-1,FALSE))</f>
        <v>9.5182312570000001</v>
      </c>
      <c r="AA299">
        <f ca="1">IF(AND(ISNUMBER($AA$742),$B$419=1),$AA$742,HLOOKUP(INDIRECT(ADDRESS(2,COLUMN())),OFFSET($BN$2,0,0,ROW()-1,60),ROW()-1,FALSE))</f>
        <v>3.239210307</v>
      </c>
      <c r="AB299">
        <f ca="1">IF(AND(ISNUMBER($AB$742),$B$419=1),$AB$742,HLOOKUP(INDIRECT(ADDRESS(2,COLUMN())),OFFSET($BN$2,0,0,ROW()-1,60),ROW()-1,FALSE))</f>
        <v>2.6486371219999998</v>
      </c>
      <c r="AC299">
        <f ca="1">IF(AND(ISNUMBER($AC$742),$B$419=1),$AC$742,HLOOKUP(INDIRECT(ADDRESS(2,COLUMN())),OFFSET($BN$2,0,0,ROW()-1,60),ROW()-1,FALSE))</f>
        <v>1.2380699120000001</v>
      </c>
      <c r="AD299">
        <f ca="1">IF(AND(ISNUMBER($AD$742),$B$419=1),$AD$742,HLOOKUP(INDIRECT(ADDRESS(2,COLUMN())),OFFSET($BN$2,0,0,ROW()-1,60),ROW()-1,FALSE))</f>
        <v>1.2931423529999999</v>
      </c>
      <c r="AE299">
        <f ca="1">IF(AND(ISNUMBER($AE$742),$B$419=1),$AE$742,HLOOKUP(INDIRECT(ADDRESS(2,COLUMN())),OFFSET($BN$2,0,0,ROW()-1,60),ROW()-1,FALSE))</f>
        <v>1.533718801</v>
      </c>
      <c r="AF299">
        <f ca="1">IF(AND(ISNUMBER($AF$742),$B$419=1),$AF$742,HLOOKUP(INDIRECT(ADDRESS(2,COLUMN())),OFFSET($BN$2,0,0,ROW()-1,60),ROW()-1,FALSE))</f>
        <v>1.594236327</v>
      </c>
      <c r="AG299">
        <f ca="1">IF(AND(ISNUMBER($AG$742),$B$419=1),$AG$742,HLOOKUP(INDIRECT(ADDRESS(2,COLUMN())),OFFSET($BN$2,0,0,ROW()-1,60),ROW()-1,FALSE))</f>
        <v>1.4934905650000001</v>
      </c>
      <c r="AH299">
        <f ca="1">IF(AND(ISNUMBER($AH$742),$B$419=1),$AH$742,HLOOKUP(INDIRECT(ADDRESS(2,COLUMN())),OFFSET($BN$2,0,0,ROW()-1,60),ROW()-1,FALSE))</f>
        <v>0</v>
      </c>
      <c r="AI299">
        <f ca="1">IF(AND(ISNUMBER($AI$742),$B$419=1),$AI$742,HLOOKUP(INDIRECT(ADDRESS(2,COLUMN())),OFFSET($BN$2,0,0,ROW()-1,60),ROW()-1,FALSE))</f>
        <v>0</v>
      </c>
      <c r="AJ299">
        <f ca="1">IF(AND(ISNUMBER($AJ$742),$B$419=1),$AJ$742,HLOOKUP(INDIRECT(ADDRESS(2,COLUMN())),OFFSET($BN$2,0,0,ROW()-1,60),ROW()-1,FALSE))</f>
        <v>0</v>
      </c>
      <c r="AK299">
        <f ca="1">IF(AND(ISNUMBER($AK$742),$B$419=1),$AK$742,HLOOKUP(INDIRECT(ADDRESS(2,COLUMN())),OFFSET($BN$2,0,0,ROW()-1,60),ROW()-1,FALSE))</f>
        <v>0</v>
      </c>
      <c r="AL299">
        <f ca="1">IF(AND(ISNUMBER($AL$742),$B$419=1),$AL$742,HLOOKUP(INDIRECT(ADDRESS(2,COLUMN())),OFFSET($BN$2,0,0,ROW()-1,60),ROW()-1,FALSE))</f>
        <v>0</v>
      </c>
      <c r="AM299">
        <f ca="1">IF(AND(ISNUMBER($AM$742),$B$419=1),$AM$742,HLOOKUP(INDIRECT(ADDRESS(2,COLUMN())),OFFSET($BN$2,0,0,ROW()-1,60),ROW()-1,FALSE))</f>
        <v>0</v>
      </c>
      <c r="AN299">
        <f ca="1">IF(AND(ISNUMBER($AN$742),$B$419=1),$AN$742,HLOOKUP(INDIRECT(ADDRESS(2,COLUMN())),OFFSET($BN$2,0,0,ROW()-1,60),ROW()-1,FALSE))</f>
        <v>0</v>
      </c>
      <c r="AO299">
        <f ca="1">IF(AND(ISNUMBER($AO$742),$B$419=1),$AO$742,HLOOKUP(INDIRECT(ADDRESS(2,COLUMN())),OFFSET($BN$2,0,0,ROW()-1,60),ROW()-1,FALSE))</f>
        <v>0</v>
      </c>
      <c r="AP299">
        <f ca="1">IF(AND(ISNUMBER($AP$742),$B$419=1),$AP$742,HLOOKUP(INDIRECT(ADDRESS(2,COLUMN())),OFFSET($BN$2,0,0,ROW()-1,60),ROW()-1,FALSE))</f>
        <v>0</v>
      </c>
      <c r="AQ299">
        <f ca="1">IF(AND(ISNUMBER($AQ$742),$B$419=1),$AQ$742,HLOOKUP(INDIRECT(ADDRESS(2,COLUMN())),OFFSET($BN$2,0,0,ROW()-1,60),ROW()-1,FALSE))</f>
        <v>0</v>
      </c>
      <c r="AR299">
        <f ca="1">IF(AND(ISNUMBER($AR$742),$B$419=1),$AR$742,HLOOKUP(INDIRECT(ADDRESS(2,COLUMN())),OFFSET($BN$2,0,0,ROW()-1,60),ROW()-1,FALSE))</f>
        <v>0</v>
      </c>
      <c r="AS299">
        <f ca="1">IF(AND(ISNUMBER($AS$742),$B$419=1),$AS$742,HLOOKUP(INDIRECT(ADDRESS(2,COLUMN())),OFFSET($BN$2,0,0,ROW()-1,60),ROW()-1,FALSE))</f>
        <v>0</v>
      </c>
      <c r="AT299">
        <f ca="1">IF(AND(ISNUMBER($AT$742),$B$419=1),$AT$742,HLOOKUP(INDIRECT(ADDRESS(2,COLUMN())),OFFSET($BN$2,0,0,ROW()-1,60),ROW()-1,FALSE))</f>
        <v>0</v>
      </c>
      <c r="AU299">
        <f ca="1">IF(AND(ISNUMBER($AU$742),$B$419=1),$AU$742,HLOOKUP(INDIRECT(ADDRESS(2,COLUMN())),OFFSET($BN$2,0,0,ROW()-1,60),ROW()-1,FALSE))</f>
        <v>0</v>
      </c>
      <c r="AV299">
        <f ca="1">IF(AND(ISNUMBER($AV$742),$B$419=1),$AV$742,HLOOKUP(INDIRECT(ADDRESS(2,COLUMN())),OFFSET($BN$2,0,0,ROW()-1,60),ROW()-1,FALSE))</f>
        <v>0</v>
      </c>
      <c r="AW299">
        <f ca="1">IF(AND(ISNUMBER($AW$742),$B$419=1),$AW$742,HLOOKUP(INDIRECT(ADDRESS(2,COLUMN())),OFFSET($BN$2,0,0,ROW()-1,60),ROW()-1,FALSE))</f>
        <v>0</v>
      </c>
      <c r="AX299">
        <f ca="1">IF(AND(ISNUMBER($AX$742),$B$419=1),$AX$742,HLOOKUP(INDIRECT(ADDRESS(2,COLUMN())),OFFSET($BN$2,0,0,ROW()-1,60),ROW()-1,FALSE))</f>
        <v>0</v>
      </c>
      <c r="AY299">
        <f ca="1">IF(AND(ISNUMBER($AY$742),$B$419=1),$AY$742,HLOOKUP(INDIRECT(ADDRESS(2,COLUMN())),OFFSET($BN$2,0,0,ROW()-1,60),ROW()-1,FALSE))</f>
        <v>0</v>
      </c>
      <c r="AZ299">
        <f ca="1">IF(AND(ISNUMBER($AZ$742),$B$419=1),$AZ$742,HLOOKUP(INDIRECT(ADDRESS(2,COLUMN())),OFFSET($BN$2,0,0,ROW()-1,60),ROW()-1,FALSE))</f>
        <v>0</v>
      </c>
      <c r="BA299">
        <f ca="1">IF(AND(ISNUMBER($BA$742),$B$419=1),$BA$742,HLOOKUP(INDIRECT(ADDRESS(2,COLUMN())),OFFSET($BN$2,0,0,ROW()-1,60),ROW()-1,FALSE))</f>
        <v>0</v>
      </c>
      <c r="BB299">
        <f ca="1">IF(AND(ISNUMBER($BB$742),$B$419=1),$BB$742,HLOOKUP(INDIRECT(ADDRESS(2,COLUMN())),OFFSET($BN$2,0,0,ROW()-1,60),ROW()-1,FALSE))</f>
        <v>0</v>
      </c>
      <c r="BC299">
        <f ca="1">IF(AND(ISNUMBER($BC$742),$B$419=1),$BC$742,HLOOKUP(INDIRECT(ADDRESS(2,COLUMN())),OFFSET($BN$2,0,0,ROW()-1,60),ROW()-1,FALSE))</f>
        <v>0</v>
      </c>
      <c r="BD299">
        <f ca="1">IF(AND(ISNUMBER($BD$742),$B$419=1),$BD$742,HLOOKUP(INDIRECT(ADDRESS(2,COLUMN())),OFFSET($BN$2,0,0,ROW()-1,60),ROW()-1,FALSE))</f>
        <v>0</v>
      </c>
      <c r="BE299">
        <f ca="1">IF(AND(ISNUMBER($BE$742),$B$419=1),$BE$742,HLOOKUP(INDIRECT(ADDRESS(2,COLUMN())),OFFSET($BN$2,0,0,ROW()-1,60),ROW()-1,FALSE))</f>
        <v>0</v>
      </c>
      <c r="BF299">
        <f ca="1">IF(AND(ISNUMBER($BF$742),$B$419=1),$BF$742,HLOOKUP(INDIRECT(ADDRESS(2,COLUMN())),OFFSET($BN$2,0,0,ROW()-1,60),ROW()-1,FALSE))</f>
        <v>0</v>
      </c>
      <c r="BG299">
        <f ca="1">IF(AND(ISNUMBER($BG$742),$B$419=1),$BG$742,HLOOKUP(INDIRECT(ADDRESS(2,COLUMN())),OFFSET($BN$2,0,0,ROW()-1,60),ROW()-1,FALSE))</f>
        <v>0</v>
      </c>
      <c r="BH299">
        <f ca="1">IF(AND(ISNUMBER($BH$742),$B$419=1),$BH$742,HLOOKUP(INDIRECT(ADDRESS(2,COLUMN())),OFFSET($BN$2,0,0,ROW()-1,60),ROW()-1,FALSE))</f>
        <v>0</v>
      </c>
      <c r="BI299">
        <f ca="1">IF(AND(ISNUMBER($BI$742),$B$419=1),$BI$742,HLOOKUP(INDIRECT(ADDRESS(2,COLUMN())),OFFSET($BN$2,0,0,ROW()-1,60),ROW()-1,FALSE))</f>
        <v>0</v>
      </c>
      <c r="BJ299">
        <f ca="1">IF(AND(ISNUMBER($BJ$742),$B$419=1),$BJ$742,HLOOKUP(INDIRECT(ADDRESS(2,COLUMN())),OFFSET($BN$2,0,0,ROW()-1,60),ROW()-1,FALSE))</f>
        <v>0</v>
      </c>
      <c r="BK299">
        <f ca="1">IF(AND(ISNUMBER($BK$742),$B$419=1),$BK$742,HLOOKUP(INDIRECT(ADDRESS(2,COLUMN())),OFFSET($BN$2,0,0,ROW()-1,60),ROW()-1,FALSE))</f>
        <v>0</v>
      </c>
      <c r="BL299">
        <f ca="1">IF(AND(ISNUMBER($BL$742),$B$419=1),$BL$742,HLOOKUP(INDIRECT(ADDRESS(2,COLUMN())),OFFSET($BN$2,0,0,ROW()-1,60),ROW()-1,FALSE))</f>
        <v>0</v>
      </c>
      <c r="BM299">
        <f ca="1">IF(AND(ISNUMBER($BM$742),$B$419=1),$BM$742,HLOOKUP(INDIRECT(ADDRESS(2,COLUMN())),OFFSET($BN$2,0,0,ROW()-1,60),ROW()-1,FALSE))</f>
        <v>0</v>
      </c>
      <c r="BN299" t="str">
        <f>""</f>
        <v/>
      </c>
      <c r="BO299">
        <f>2.318517223</f>
        <v>2.3185172230000002</v>
      </c>
      <c r="BP299">
        <f>2.488902792</f>
        <v>2.4889027920000002</v>
      </c>
      <c r="BQ299">
        <f>2.787304897</f>
        <v>2.7873048969999998</v>
      </c>
      <c r="BR299">
        <f>3.451986137</f>
        <v>3.451986137</v>
      </c>
      <c r="BS299">
        <f>3.543294844</f>
        <v>3.5432948440000001</v>
      </c>
      <c r="BT299">
        <f>4.013902497</f>
        <v>4.0139024970000001</v>
      </c>
      <c r="BU299">
        <f>4.05200862</f>
        <v>4.0520086199999996</v>
      </c>
      <c r="BV299">
        <f>4.270471059</f>
        <v>4.2704710590000001</v>
      </c>
      <c r="BW299">
        <f>5.455182143</f>
        <v>5.455182143</v>
      </c>
      <c r="BX299">
        <f>6.015562885</f>
        <v>6.0155628849999996</v>
      </c>
      <c r="BY299">
        <f>9.289152729</f>
        <v>9.2891527289999996</v>
      </c>
      <c r="BZ299">
        <f>7.837234124</f>
        <v>7.8372341240000001</v>
      </c>
      <c r="CA299">
        <f>8.377432731</f>
        <v>8.3774327310000007</v>
      </c>
      <c r="CB299">
        <f>8.521258081</f>
        <v>8.5212580809999992</v>
      </c>
      <c r="CC299">
        <f>9.123356679</f>
        <v>9.1233566790000005</v>
      </c>
      <c r="CD299">
        <f>8.513392275</f>
        <v>8.5133922749999993</v>
      </c>
      <c r="CE299">
        <f>8.598569935</f>
        <v>8.5985699350000004</v>
      </c>
      <c r="CF299">
        <f>8.916754471</f>
        <v>8.9167544710000008</v>
      </c>
      <c r="CG299">
        <f>9.527968305</f>
        <v>9.5279683049999999</v>
      </c>
      <c r="CH299">
        <f>9.518231257</f>
        <v>9.5182312570000001</v>
      </c>
      <c r="CI299">
        <f>3.239210307</f>
        <v>3.239210307</v>
      </c>
      <c r="CJ299">
        <f>2.648637122</f>
        <v>2.6486371219999998</v>
      </c>
      <c r="CK299">
        <f>1.238069912</f>
        <v>1.2380699120000001</v>
      </c>
      <c r="CL299">
        <f>1.293142353</f>
        <v>1.2931423529999999</v>
      </c>
      <c r="CM299">
        <f>1.533718801</f>
        <v>1.533718801</v>
      </c>
      <c r="CN299">
        <f>1.594236327</f>
        <v>1.594236327</v>
      </c>
      <c r="CO299">
        <f>1.493490565</f>
        <v>1.4934905650000001</v>
      </c>
      <c r="CP299">
        <f>0</f>
        <v>0</v>
      </c>
      <c r="CQ299">
        <f>0</f>
        <v>0</v>
      </c>
      <c r="CR299">
        <f>0</f>
        <v>0</v>
      </c>
      <c r="CS299">
        <f>0</f>
        <v>0</v>
      </c>
      <c r="CT299">
        <f>0</f>
        <v>0</v>
      </c>
      <c r="CU299">
        <f>0</f>
        <v>0</v>
      </c>
      <c r="CV299">
        <f>0</f>
        <v>0</v>
      </c>
      <c r="CW299">
        <f>0</f>
        <v>0</v>
      </c>
      <c r="CX299">
        <f>0</f>
        <v>0</v>
      </c>
      <c r="CY299">
        <f>0</f>
        <v>0</v>
      </c>
      <c r="CZ299">
        <f>0</f>
        <v>0</v>
      </c>
      <c r="DA299">
        <f>0</f>
        <v>0</v>
      </c>
      <c r="DB299">
        <f>0</f>
        <v>0</v>
      </c>
      <c r="DC299">
        <f>0</f>
        <v>0</v>
      </c>
      <c r="DD299">
        <f>0</f>
        <v>0</v>
      </c>
      <c r="DE299">
        <f>0</f>
        <v>0</v>
      </c>
      <c r="DF299">
        <f>0</f>
        <v>0</v>
      </c>
      <c r="DG299">
        <f>0</f>
        <v>0</v>
      </c>
      <c r="DH299">
        <f>0</f>
        <v>0</v>
      </c>
      <c r="DI299">
        <f>0</f>
        <v>0</v>
      </c>
      <c r="DJ299">
        <f>0</f>
        <v>0</v>
      </c>
      <c r="DK299">
        <f>0</f>
        <v>0</v>
      </c>
      <c r="DL299">
        <f>0</f>
        <v>0</v>
      </c>
      <c r="DM299">
        <f>0</f>
        <v>0</v>
      </c>
      <c r="DN299">
        <f>0</f>
        <v>0</v>
      </c>
      <c r="DO299">
        <f>0</f>
        <v>0</v>
      </c>
      <c r="DP299">
        <f>0</f>
        <v>0</v>
      </c>
      <c r="DQ299">
        <f>0</f>
        <v>0</v>
      </c>
      <c r="DR299">
        <f>0</f>
        <v>0</v>
      </c>
      <c r="DS299">
        <f>0</f>
        <v>0</v>
      </c>
      <c r="DT299">
        <f>0</f>
        <v>0</v>
      </c>
      <c r="DU299">
        <f>0</f>
        <v>0</v>
      </c>
    </row>
    <row r="300" spans="1:125">
      <c r="A300" t="str">
        <f>"    Regency Centers Corp"</f>
        <v xml:space="preserve">    Regency Centers Corp</v>
      </c>
      <c r="B300" t="str">
        <f>"REG US Equity"</f>
        <v>REG US Equity</v>
      </c>
      <c r="C300" t="str">
        <f t="shared" si="54"/>
        <v>RR147</v>
      </c>
      <c r="D300" t="str">
        <f t="shared" si="55"/>
        <v>LT_DEBT_TO_TOT_ASSET</v>
      </c>
      <c r="E300" t="str">
        <f t="shared" si="56"/>
        <v>动态</v>
      </c>
      <c r="F300" t="str">
        <f ca="1">IF(AND(ISNUMBER($F$743),$B$419=1),$F$743,HLOOKUP(INDIRECT(ADDRESS(2,COLUMN())),OFFSET($BN$2,0,0,ROW()-1,60),ROW()-1,FALSE))</f>
        <v/>
      </c>
      <c r="G300">
        <f ca="1">IF(AND(ISNUMBER($G$743),$B$419=1),$G$743,HLOOKUP(INDIRECT(ADDRESS(2,COLUMN())),OFFSET($BN$2,0,0,ROW()-1,60),ROW()-1,FALSE))</f>
        <v>26.662394169999999</v>
      </c>
      <c r="H300">
        <f ca="1">IF(AND(ISNUMBER($H$743),$B$419=1),$H$743,HLOOKUP(INDIRECT(ADDRESS(2,COLUMN())),OFFSET($BN$2,0,0,ROW()-1,60),ROW()-1,FALSE))</f>
        <v>26.477682510000001</v>
      </c>
      <c r="I300">
        <f ca="1">IF(AND(ISNUMBER($I$743),$B$419=1),$I$743,HLOOKUP(INDIRECT(ADDRESS(2,COLUMN())),OFFSET($BN$2,0,0,ROW()-1,60),ROW()-1,FALSE))</f>
        <v>5.535319501</v>
      </c>
      <c r="J300">
        <f ca="1">IF(AND(ISNUMBER($J$743),$B$419=1),$J$743,HLOOKUP(INDIRECT(ADDRESS(2,COLUMN())),OFFSET($BN$2,0,0,ROW()-1,60),ROW()-1,FALSE))</f>
        <v>24.687580029999999</v>
      </c>
      <c r="K300">
        <f ca="1">IF(AND(ISNUMBER($K$743),$B$419=1),$K$743,HLOOKUP(INDIRECT(ADDRESS(2,COLUMN())),OFFSET($BN$2,0,0,ROW()-1,60),ROW()-1,FALSE))</f>
        <v>30.384352</v>
      </c>
      <c r="L300">
        <f ca="1">IF(AND(ISNUMBER($L$743),$B$419=1),$L$743,HLOOKUP(INDIRECT(ADDRESS(2,COLUMN())),OFFSET($BN$2,0,0,ROW()-1,60),ROW()-1,FALSE))</f>
        <v>30.599189639999999</v>
      </c>
      <c r="M300">
        <f ca="1">IF(AND(ISNUMBER($M$743),$B$419=1),$M$743,HLOOKUP(INDIRECT(ADDRESS(2,COLUMN())),OFFSET($BN$2,0,0,ROW()-1,60),ROW()-1,FALSE))</f>
        <v>10.89633463</v>
      </c>
      <c r="N300">
        <f ca="1">IF(AND(ISNUMBER($N$743),$B$419=1),$N$743,HLOOKUP(INDIRECT(ADDRESS(2,COLUMN())),OFFSET($BN$2,0,0,ROW()-1,60),ROW()-1,FALSE))</f>
        <v>11.57231337</v>
      </c>
      <c r="O300">
        <f ca="1">IF(AND(ISNUMBER($O$743),$B$419=1),$O$743,HLOOKUP(INDIRECT(ADDRESS(2,COLUMN())),OFFSET($BN$2,0,0,ROW()-1,60),ROW()-1,FALSE))</f>
        <v>12.177444210000001</v>
      </c>
      <c r="P300">
        <f ca="1">IF(AND(ISNUMBER($P$743),$B$419=1),$P$743,HLOOKUP(INDIRECT(ADDRESS(2,COLUMN())),OFFSET($BN$2,0,0,ROW()-1,60),ROW()-1,FALSE))</f>
        <v>43.36372575</v>
      </c>
      <c r="Q300">
        <f ca="1">IF(AND(ISNUMBER($Q$743),$B$419=1),$Q$743,HLOOKUP(INDIRECT(ADDRESS(2,COLUMN())),OFFSET($BN$2,0,0,ROW()-1,60),ROW()-1,FALSE))</f>
        <v>45.59731086</v>
      </c>
      <c r="R300">
        <f ca="1">IF(AND(ISNUMBER($R$743),$B$419=1),$R$743,HLOOKUP(INDIRECT(ADDRESS(2,COLUMN())),OFFSET($BN$2,0,0,ROW()-1,60),ROW()-1,FALSE))</f>
        <v>11.94821675</v>
      </c>
      <c r="S300">
        <f ca="1">IF(AND(ISNUMBER($S$743),$B$419=1),$S$743,HLOOKUP(INDIRECT(ADDRESS(2,COLUMN())),OFFSET($BN$2,0,0,ROW()-1,60),ROW()-1,FALSE))</f>
        <v>46.373079959999998</v>
      </c>
      <c r="T300">
        <f ca="1">IF(AND(ISNUMBER($T$743),$B$419=1),$T$743,HLOOKUP(INDIRECT(ADDRESS(2,COLUMN())),OFFSET($BN$2,0,0,ROW()-1,60),ROW()-1,FALSE))</f>
        <v>47.194803020000002</v>
      </c>
      <c r="U300">
        <f ca="1">IF(AND(ISNUMBER($U$743),$B$419=1),$U$743,HLOOKUP(INDIRECT(ADDRESS(2,COLUMN())),OFFSET($BN$2,0,0,ROW()-1,60),ROW()-1,FALSE))</f>
        <v>48.124955640000003</v>
      </c>
      <c r="V300">
        <f ca="1">IF(AND(ISNUMBER($V$743),$B$419=1),$V$743,HLOOKUP(INDIRECT(ADDRESS(2,COLUMN())),OFFSET($BN$2,0,0,ROW()-1,60),ROW()-1,FALSE))</f>
        <v>13.80812682</v>
      </c>
      <c r="W300">
        <f ca="1">IF(AND(ISNUMBER($W$743),$B$419=1),$W$743,HLOOKUP(INDIRECT(ADDRESS(2,COLUMN())),OFFSET($BN$2,0,0,ROW()-1,60),ROW()-1,FALSE))</f>
        <v>12.29955365</v>
      </c>
      <c r="X300">
        <f ca="1">IF(AND(ISNUMBER($X$743),$B$419=1),$X$743,HLOOKUP(INDIRECT(ADDRESS(2,COLUMN())),OFFSET($BN$2,0,0,ROW()-1,60),ROW()-1,FALSE))</f>
        <v>11.96413856</v>
      </c>
      <c r="Y300">
        <f ca="1">IF(AND(ISNUMBER($Y$743),$B$419=1),$Y$743,HLOOKUP(INDIRECT(ADDRESS(2,COLUMN())),OFFSET($BN$2,0,0,ROW()-1,60),ROW()-1,FALSE))</f>
        <v>33.591938059999997</v>
      </c>
      <c r="Z300">
        <f ca="1">IF(AND(ISNUMBER($Z$743),$B$419=1),$Z$743,HLOOKUP(INDIRECT(ADDRESS(2,COLUMN())),OFFSET($BN$2,0,0,ROW()-1,60),ROW()-1,FALSE))</f>
        <v>12.622485129999999</v>
      </c>
      <c r="AA300">
        <f ca="1">IF(AND(ISNUMBER($AA$743),$B$419=1),$AA$743,HLOOKUP(INDIRECT(ADDRESS(2,COLUMN())),OFFSET($BN$2,0,0,ROW()-1,60),ROW()-1,FALSE))</f>
        <v>12.29947232</v>
      </c>
      <c r="AB300">
        <f ca="1">IF(AND(ISNUMBER($AB$743),$B$419=1),$AB$743,HLOOKUP(INDIRECT(ADDRESS(2,COLUMN())),OFFSET($BN$2,0,0,ROW()-1,60),ROW()-1,FALSE))</f>
        <v>12.07433226</v>
      </c>
      <c r="AC300">
        <f ca="1">IF(AND(ISNUMBER($AC$743),$B$419=1),$AC$743,HLOOKUP(INDIRECT(ADDRESS(2,COLUMN())),OFFSET($BN$2,0,0,ROW()-1,60),ROW()-1,FALSE))</f>
        <v>11.44029632</v>
      </c>
      <c r="AD300">
        <f ca="1">IF(AND(ISNUMBER($AD$743),$B$419=1),$AD$743,HLOOKUP(INDIRECT(ADDRESS(2,COLUMN())),OFFSET($BN$2,0,0,ROW()-1,60),ROW()-1,FALSE))</f>
        <v>11.25463061</v>
      </c>
      <c r="AE300">
        <f ca="1">IF(AND(ISNUMBER($AE$743),$B$419=1),$AE$743,HLOOKUP(INDIRECT(ADDRESS(2,COLUMN())),OFFSET($BN$2,0,0,ROW()-1,60),ROW()-1,FALSE))</f>
        <v>12.35355478</v>
      </c>
      <c r="AF300">
        <f ca="1">IF(AND(ISNUMBER($AF$743),$B$419=1),$AF$743,HLOOKUP(INDIRECT(ADDRESS(2,COLUMN())),OFFSET($BN$2,0,0,ROW()-1,60),ROW()-1,FALSE))</f>
        <v>11.12307511</v>
      </c>
      <c r="AG300">
        <f ca="1">IF(AND(ISNUMBER($AG$743),$B$419=1),$AG$743,HLOOKUP(INDIRECT(ADDRESS(2,COLUMN())),OFFSET($BN$2,0,0,ROW()-1,60),ROW()-1,FALSE))</f>
        <v>11.45387522</v>
      </c>
      <c r="AH300">
        <f ca="1">IF(AND(ISNUMBER($AH$743),$B$419=1),$AH$743,HLOOKUP(INDIRECT(ADDRESS(2,COLUMN())),OFFSET($BN$2,0,0,ROW()-1,60),ROW()-1,FALSE))</f>
        <v>10.3458082</v>
      </c>
      <c r="AI300">
        <f ca="1">IF(AND(ISNUMBER($AI$743),$B$419=1),$AI$743,HLOOKUP(INDIRECT(ADDRESS(2,COLUMN())),OFFSET($BN$2,0,0,ROW()-1,60),ROW()-1,FALSE))</f>
        <v>10.59796888</v>
      </c>
      <c r="AJ300">
        <f ca="1">IF(AND(ISNUMBER($AJ$743),$B$419=1),$AJ$743,HLOOKUP(INDIRECT(ADDRESS(2,COLUMN())),OFFSET($BN$2,0,0,ROW()-1,60),ROW()-1,FALSE))</f>
        <v>9.8193543089999995</v>
      </c>
      <c r="AK300">
        <f ca="1">IF(AND(ISNUMBER($AK$743),$B$419=1),$AK$743,HLOOKUP(INDIRECT(ADDRESS(2,COLUMN())),OFFSET($BN$2,0,0,ROW()-1,60),ROW()-1,FALSE))</f>
        <v>9.5482468110000003</v>
      </c>
      <c r="AL300">
        <f ca="1">IF(AND(ISNUMBER($AL$743),$B$419=1),$AL$743,HLOOKUP(INDIRECT(ADDRESS(2,COLUMN())),OFFSET($BN$2,0,0,ROW()-1,60),ROW()-1,FALSE))</f>
        <v>10.282971760000001</v>
      </c>
      <c r="AM300">
        <f ca="1">IF(AND(ISNUMBER($AM$743),$B$419=1),$AM$743,HLOOKUP(INDIRECT(ADDRESS(2,COLUMN())),OFFSET($BN$2,0,0,ROW()-1,60),ROW()-1,FALSE))</f>
        <v>10.17704438</v>
      </c>
      <c r="AN300">
        <f ca="1">IF(AND(ISNUMBER($AN$743),$B$419=1),$AN$743,HLOOKUP(INDIRECT(ADDRESS(2,COLUMN())),OFFSET($BN$2,0,0,ROW()-1,60),ROW()-1,FALSE))</f>
        <v>9.5614870639999996</v>
      </c>
      <c r="AO300">
        <f ca="1">IF(AND(ISNUMBER($AO$743),$B$419=1),$AO$743,HLOOKUP(INDIRECT(ADDRESS(2,COLUMN())),OFFSET($BN$2,0,0,ROW()-1,60),ROW()-1,FALSE))</f>
        <v>6.8991297319999996</v>
      </c>
      <c r="AP300">
        <f ca="1">IF(AND(ISNUMBER($AP$743),$B$419=1),$AP$743,HLOOKUP(INDIRECT(ADDRESS(2,COLUMN())),OFFSET($BN$2,0,0,ROW()-1,60),ROW()-1,FALSE))</f>
        <v>7.008692462</v>
      </c>
      <c r="AQ300">
        <f ca="1">IF(AND(ISNUMBER($AQ$743),$B$419=1),$AQ$743,HLOOKUP(INDIRECT(ADDRESS(2,COLUMN())),OFFSET($BN$2,0,0,ROW()-1,60),ROW()-1,FALSE))</f>
        <v>5.8005371309999996</v>
      </c>
      <c r="AR300">
        <f ca="1">IF(AND(ISNUMBER($AR$743),$B$419=1),$AR$743,HLOOKUP(INDIRECT(ADDRESS(2,COLUMN())),OFFSET($BN$2,0,0,ROW()-1,60),ROW()-1,FALSE))</f>
        <v>5.7286468350000002</v>
      </c>
      <c r="AS300">
        <f ca="1">IF(AND(ISNUMBER($AS$743),$B$419=1),$AS$743,HLOOKUP(INDIRECT(ADDRESS(2,COLUMN())),OFFSET($BN$2,0,0,ROW()-1,60),ROW()-1,FALSE))</f>
        <v>6.1400253349999998</v>
      </c>
      <c r="AT300">
        <f ca="1">IF(AND(ISNUMBER($AT$743),$B$419=1),$AT$743,HLOOKUP(INDIRECT(ADDRESS(2,COLUMN())),OFFSET($BN$2,0,0,ROW()-1,60),ROW()-1,FALSE))</f>
        <v>4.8024745260000001</v>
      </c>
      <c r="AU300">
        <f ca="1">IF(AND(ISNUMBER($AU$743),$B$419=1),$AU$743,HLOOKUP(INDIRECT(ADDRESS(2,COLUMN())),OFFSET($BN$2,0,0,ROW()-1,60),ROW()-1,FALSE))</f>
        <v>4.9270275659999996</v>
      </c>
      <c r="AV300">
        <f ca="1">IF(AND(ISNUMBER($AV$743),$B$419=1),$AV$743,HLOOKUP(INDIRECT(ADDRESS(2,COLUMN())),OFFSET($BN$2,0,0,ROW()-1,60),ROW()-1,FALSE))</f>
        <v>5.9829444049999996</v>
      </c>
      <c r="AW300">
        <f ca="1">IF(AND(ISNUMBER($AW$743),$B$419=1),$AW$743,HLOOKUP(INDIRECT(ADDRESS(2,COLUMN())),OFFSET($BN$2,0,0,ROW()-1,60),ROW()-1,FALSE))</f>
        <v>5.3505779220000003</v>
      </c>
      <c r="AX300">
        <f ca="1">IF(AND(ISNUMBER($AX$743),$B$419=1),$AX$743,HLOOKUP(INDIRECT(ADDRESS(2,COLUMN())),OFFSET($BN$2,0,0,ROW()-1,60),ROW()-1,FALSE))</f>
        <v>6.3558696020000003</v>
      </c>
      <c r="AY300">
        <f ca="1">IF(AND(ISNUMBER($AY$743),$B$419=1),$AY$743,HLOOKUP(INDIRECT(ADDRESS(2,COLUMN())),OFFSET($BN$2,0,0,ROW()-1,60),ROW()-1,FALSE))</f>
        <v>6.9600752769999996</v>
      </c>
      <c r="AZ300">
        <f ca="1">IF(AND(ISNUMBER($AZ$743),$B$419=1),$AZ$743,HLOOKUP(INDIRECT(ADDRESS(2,COLUMN())),OFFSET($BN$2,0,0,ROW()-1,60),ROW()-1,FALSE))</f>
        <v>7.3488365309999999</v>
      </c>
      <c r="BA300">
        <f ca="1">IF(AND(ISNUMBER($BA$743),$B$419=1),$BA$743,HLOOKUP(INDIRECT(ADDRESS(2,COLUMN())),OFFSET($BN$2,0,0,ROW()-1,60),ROW()-1,FALSE))</f>
        <v>7.5940605689999998</v>
      </c>
      <c r="BB300">
        <f ca="1">IF(AND(ISNUMBER($BB$743),$B$419=1),$BB$743,HLOOKUP(INDIRECT(ADDRESS(2,COLUMN())),OFFSET($BN$2,0,0,ROW()-1,60),ROW()-1,FALSE))</f>
        <v>6.7263215089999999</v>
      </c>
      <c r="BC300">
        <f ca="1">IF(AND(ISNUMBER($BC$743),$B$419=1),$BC$743,HLOOKUP(INDIRECT(ADDRESS(2,COLUMN())),OFFSET($BN$2,0,0,ROW()-1,60),ROW()-1,FALSE))</f>
        <v>7.0048102779999999</v>
      </c>
      <c r="BD300">
        <f ca="1">IF(AND(ISNUMBER($BD$743),$B$419=1),$BD$743,HLOOKUP(INDIRECT(ADDRESS(2,COLUMN())),OFFSET($BN$2,0,0,ROW()-1,60),ROW()-1,FALSE))</f>
        <v>7.3364254420000004</v>
      </c>
      <c r="BE300">
        <f ca="1">IF(AND(ISNUMBER($BE$743),$B$419=1),$BE$743,HLOOKUP(INDIRECT(ADDRESS(2,COLUMN())),OFFSET($BN$2,0,0,ROW()-1,60),ROW()-1,FALSE))</f>
        <v>7.7801797239999999</v>
      </c>
      <c r="BF300">
        <f ca="1">IF(AND(ISNUMBER($BF$743),$B$419=1),$BF$743,HLOOKUP(INDIRECT(ADDRESS(2,COLUMN())),OFFSET($BN$2,0,0,ROW()-1,60),ROW()-1,FALSE))</f>
        <v>10.7038315</v>
      </c>
      <c r="BG300">
        <f ca="1">IF(AND(ISNUMBER($BG$743),$B$419=1),$BG$743,HLOOKUP(INDIRECT(ADDRESS(2,COLUMN())),OFFSET($BN$2,0,0,ROW()-1,60),ROW()-1,FALSE))</f>
        <v>10.609206909999999</v>
      </c>
      <c r="BH300">
        <f ca="1">IF(AND(ISNUMBER($BH$743),$B$419=1),$BH$743,HLOOKUP(INDIRECT(ADDRESS(2,COLUMN())),OFFSET($BN$2,0,0,ROW()-1,60),ROW()-1,FALSE))</f>
        <v>9.4113361070000003</v>
      </c>
      <c r="BI300">
        <f ca="1">IF(AND(ISNUMBER($BI$743),$B$419=1),$BI$743,HLOOKUP(INDIRECT(ADDRESS(2,COLUMN())),OFFSET($BN$2,0,0,ROW()-1,60),ROW()-1,FALSE))</f>
        <v>8.0194985439999993</v>
      </c>
      <c r="BJ300">
        <f ca="1">IF(AND(ISNUMBER($BJ$743),$B$419=1),$BJ$743,HLOOKUP(INDIRECT(ADDRESS(2,COLUMN())),OFFSET($BN$2,0,0,ROW()-1,60),ROW()-1,FALSE))</f>
        <v>8.1772976079999999</v>
      </c>
      <c r="BK300">
        <f ca="1">IF(AND(ISNUMBER($BK$743),$B$419=1),$BK$743,HLOOKUP(INDIRECT(ADDRESS(2,COLUMN())),OFFSET($BN$2,0,0,ROW()-1,60),ROW()-1,FALSE))</f>
        <v>8.3476723170000007</v>
      </c>
      <c r="BL300">
        <f ca="1">IF(AND(ISNUMBER($BL$743),$B$419=1),$BL$743,HLOOKUP(INDIRECT(ADDRESS(2,COLUMN())),OFFSET($BN$2,0,0,ROW()-1,60),ROW()-1,FALSE))</f>
        <v>9.1326950999999994</v>
      </c>
      <c r="BM300" t="str">
        <f ca="1">IF(AND(ISNUMBER($BM$743),$B$419=1),$BM$743,HLOOKUP(INDIRECT(ADDRESS(2,COLUMN())),OFFSET($BN$2,0,0,ROW()-1,60),ROW()-1,FALSE))</f>
        <v/>
      </c>
      <c r="BN300" t="str">
        <f>""</f>
        <v/>
      </c>
      <c r="BO300">
        <f>26.66239417</f>
        <v>26.662394169999999</v>
      </c>
      <c r="BP300">
        <f>26.47768251</f>
        <v>26.477682510000001</v>
      </c>
      <c r="BQ300">
        <f>5.535319501</f>
        <v>5.535319501</v>
      </c>
      <c r="BR300">
        <f>24.68758003</f>
        <v>24.687580029999999</v>
      </c>
      <c r="BS300">
        <f>30.384352</f>
        <v>30.384352</v>
      </c>
      <c r="BT300">
        <f>30.59918964</f>
        <v>30.599189639999999</v>
      </c>
      <c r="BU300">
        <f>10.89633463</f>
        <v>10.89633463</v>
      </c>
      <c r="BV300">
        <f>11.57231337</f>
        <v>11.57231337</v>
      </c>
      <c r="BW300">
        <f>12.17744421</f>
        <v>12.177444210000001</v>
      </c>
      <c r="BX300">
        <f>43.36372575</f>
        <v>43.36372575</v>
      </c>
      <c r="BY300">
        <f>45.59731086</f>
        <v>45.59731086</v>
      </c>
      <c r="BZ300">
        <f>11.94821675</f>
        <v>11.94821675</v>
      </c>
      <c r="CA300">
        <f>46.37307996</f>
        <v>46.373079959999998</v>
      </c>
      <c r="CB300">
        <f>47.19480302</f>
        <v>47.194803020000002</v>
      </c>
      <c r="CC300">
        <f>48.12495564</f>
        <v>48.124955640000003</v>
      </c>
      <c r="CD300">
        <f>13.80812682</f>
        <v>13.80812682</v>
      </c>
      <c r="CE300">
        <f>12.29955365</f>
        <v>12.29955365</v>
      </c>
      <c r="CF300">
        <f>11.96413856</f>
        <v>11.96413856</v>
      </c>
      <c r="CG300">
        <f>33.59193806</f>
        <v>33.591938059999997</v>
      </c>
      <c r="CH300">
        <f>12.62248513</f>
        <v>12.622485129999999</v>
      </c>
      <c r="CI300">
        <f>12.29947232</f>
        <v>12.29947232</v>
      </c>
      <c r="CJ300">
        <f>12.07433226</f>
        <v>12.07433226</v>
      </c>
      <c r="CK300">
        <f>11.44029632</f>
        <v>11.44029632</v>
      </c>
      <c r="CL300">
        <f>11.25463061</f>
        <v>11.25463061</v>
      </c>
      <c r="CM300">
        <f>12.35355478</f>
        <v>12.35355478</v>
      </c>
      <c r="CN300">
        <f>11.12307511</f>
        <v>11.12307511</v>
      </c>
      <c r="CO300">
        <f>11.45387522</f>
        <v>11.45387522</v>
      </c>
      <c r="CP300">
        <f>10.3458082</f>
        <v>10.3458082</v>
      </c>
      <c r="CQ300">
        <f>10.59796888</f>
        <v>10.59796888</v>
      </c>
      <c r="CR300">
        <f>9.819354309</f>
        <v>9.8193543089999995</v>
      </c>
      <c r="CS300">
        <f>9.548246811</f>
        <v>9.5482468110000003</v>
      </c>
      <c r="CT300">
        <f>10.28297176</f>
        <v>10.282971760000001</v>
      </c>
      <c r="CU300">
        <f>10.17704438</f>
        <v>10.17704438</v>
      </c>
      <c r="CV300">
        <f>9.561487064</f>
        <v>9.5614870639999996</v>
      </c>
      <c r="CW300">
        <f>6.899129732</f>
        <v>6.8991297319999996</v>
      </c>
      <c r="CX300">
        <f>7.008692462</f>
        <v>7.008692462</v>
      </c>
      <c r="CY300">
        <f>5.800537131</f>
        <v>5.8005371309999996</v>
      </c>
      <c r="CZ300">
        <f>5.728646835</f>
        <v>5.7286468350000002</v>
      </c>
      <c r="DA300">
        <f>6.140025335</f>
        <v>6.1400253349999998</v>
      </c>
      <c r="DB300">
        <f>4.802474526</f>
        <v>4.8024745260000001</v>
      </c>
      <c r="DC300">
        <f>4.927027566</f>
        <v>4.9270275659999996</v>
      </c>
      <c r="DD300">
        <f>5.982944405</f>
        <v>5.9829444049999996</v>
      </c>
      <c r="DE300">
        <f>5.350577922</f>
        <v>5.3505779220000003</v>
      </c>
      <c r="DF300">
        <f>6.355869602</f>
        <v>6.3558696020000003</v>
      </c>
      <c r="DG300">
        <f>6.960075277</f>
        <v>6.9600752769999996</v>
      </c>
      <c r="DH300">
        <f>7.348836531</f>
        <v>7.3488365309999999</v>
      </c>
      <c r="DI300">
        <f>7.594060569</f>
        <v>7.5940605689999998</v>
      </c>
      <c r="DJ300">
        <f>6.726321509</f>
        <v>6.7263215089999999</v>
      </c>
      <c r="DK300">
        <f>7.004810278</f>
        <v>7.0048102779999999</v>
      </c>
      <c r="DL300">
        <f>7.336425442</f>
        <v>7.3364254420000004</v>
      </c>
      <c r="DM300">
        <f>7.780179724</f>
        <v>7.7801797239999999</v>
      </c>
      <c r="DN300">
        <f>10.7038315</f>
        <v>10.7038315</v>
      </c>
      <c r="DO300">
        <f>10.60920691</f>
        <v>10.609206909999999</v>
      </c>
      <c r="DP300">
        <f>9.411336107</f>
        <v>9.4113361070000003</v>
      </c>
      <c r="DQ300">
        <f>8.019498544</f>
        <v>8.0194985439999993</v>
      </c>
      <c r="DR300">
        <f>8.177297608</f>
        <v>8.1772976079999999</v>
      </c>
      <c r="DS300">
        <f>8.347672317</f>
        <v>8.3476723170000007</v>
      </c>
      <c r="DT300">
        <f>9.1326951</f>
        <v>9.1326950999999994</v>
      </c>
      <c r="DU300" t="str">
        <f>""</f>
        <v/>
      </c>
    </row>
    <row r="301" spans="1:125">
      <c r="A301" t="str">
        <f>"    Retail Opportunity Investments"</f>
        <v xml:space="preserve">    Retail Opportunity Investments</v>
      </c>
      <c r="B301" t="str">
        <f>"ROIC US Equity"</f>
        <v>ROIC US Equity</v>
      </c>
      <c r="C301" t="str">
        <f t="shared" si="54"/>
        <v>RR147</v>
      </c>
      <c r="D301" t="str">
        <f t="shared" si="55"/>
        <v>LT_DEBT_TO_TOT_ASSET</v>
      </c>
      <c r="E301" t="str">
        <f t="shared" si="56"/>
        <v>动态</v>
      </c>
      <c r="F301" t="str">
        <f ca="1">IF(AND(ISNUMBER($F$744),$B$419=1),$F$744,HLOOKUP(INDIRECT(ADDRESS(2,COLUMN())),OFFSET($BN$2,0,0,ROW()-1,60),ROW()-1,FALSE))</f>
        <v/>
      </c>
      <c r="G301">
        <f ca="1">IF(AND(ISNUMBER($G$744),$B$419=1),$G$744,HLOOKUP(INDIRECT(ADDRESS(2,COLUMN())),OFFSET($BN$2,0,0,ROW()-1,60),ROW()-1,FALSE))</f>
        <v>13.38283981</v>
      </c>
      <c r="H301">
        <f ca="1">IF(AND(ISNUMBER($H$744),$B$419=1),$H$744,HLOOKUP(INDIRECT(ADDRESS(2,COLUMN())),OFFSET($BN$2,0,0,ROW()-1,60),ROW()-1,FALSE))</f>
        <v>12.61904038</v>
      </c>
      <c r="I301">
        <f ca="1">IF(AND(ISNUMBER($I$744),$B$419=1),$I$744,HLOOKUP(INDIRECT(ADDRESS(2,COLUMN())),OFFSET($BN$2,0,0,ROW()-1,60),ROW()-1,FALSE))</f>
        <v>12.807409679999999</v>
      </c>
      <c r="J301">
        <f ca="1">IF(AND(ISNUMBER($J$744),$B$419=1),$J$744,HLOOKUP(INDIRECT(ADDRESS(2,COLUMN())),OFFSET($BN$2,0,0,ROW()-1,60),ROW()-1,FALSE))</f>
        <v>20.199546160000001</v>
      </c>
      <c r="K301">
        <f ca="1">IF(AND(ISNUMBER($K$744),$B$419=1),$K$744,HLOOKUP(INDIRECT(ADDRESS(2,COLUMN())),OFFSET($BN$2,0,0,ROW()-1,60),ROW()-1,FALSE))</f>
        <v>17.504822619999999</v>
      </c>
      <c r="L301">
        <f ca="1">IF(AND(ISNUMBER($L$744),$B$419=1),$L$744,HLOOKUP(INDIRECT(ADDRESS(2,COLUMN())),OFFSET($BN$2,0,0,ROW()-1,60),ROW()-1,FALSE))</f>
        <v>14.54091841</v>
      </c>
      <c r="M301">
        <f ca="1">IF(AND(ISNUMBER($M$744),$B$419=1),$M$744,HLOOKUP(INDIRECT(ADDRESS(2,COLUMN())),OFFSET($BN$2,0,0,ROW()-1,60),ROW()-1,FALSE))</f>
        <v>27.33010719</v>
      </c>
      <c r="N301">
        <f ca="1">IF(AND(ISNUMBER($N$744),$B$419=1),$N$744,HLOOKUP(INDIRECT(ADDRESS(2,COLUMN())),OFFSET($BN$2,0,0,ROW()-1,60),ROW()-1,FALSE))</f>
        <v>22.872332830000001</v>
      </c>
      <c r="O301">
        <f ca="1">IF(AND(ISNUMBER($O$744),$B$419=1),$O$744,HLOOKUP(INDIRECT(ADDRESS(2,COLUMN())),OFFSET($BN$2,0,0,ROW()-1,60),ROW()-1,FALSE))</f>
        <v>21.42068819</v>
      </c>
      <c r="P301">
        <f ca="1">IF(AND(ISNUMBER($P$744),$B$419=1),$P$744,HLOOKUP(INDIRECT(ADDRESS(2,COLUMN())),OFFSET($BN$2,0,0,ROW()-1,60),ROW()-1,FALSE))</f>
        <v>18.377711219999998</v>
      </c>
      <c r="Q301">
        <f ca="1">IF(AND(ISNUMBER($Q$744),$B$419=1),$Q$744,HLOOKUP(INDIRECT(ADDRESS(2,COLUMN())),OFFSET($BN$2,0,0,ROW()-1,60),ROW()-1,FALSE))</f>
        <v>18.507214900000001</v>
      </c>
      <c r="R301">
        <f ca="1">IF(AND(ISNUMBER($R$744),$B$419=1),$R$744,HLOOKUP(INDIRECT(ADDRESS(2,COLUMN())),OFFSET($BN$2,0,0,ROW()-1,60),ROW()-1,FALSE))</f>
        <v>17.017145620000001</v>
      </c>
      <c r="S301">
        <f ca="1">IF(AND(ISNUMBER($S$744),$B$419=1),$S$744,HLOOKUP(INDIRECT(ADDRESS(2,COLUMN())),OFFSET($BN$2,0,0,ROW()-1,60),ROW()-1,FALSE))</f>
        <v>13.53803248</v>
      </c>
      <c r="T301">
        <f ca="1">IF(AND(ISNUMBER($T$744),$B$419=1),$T$744,HLOOKUP(INDIRECT(ADDRESS(2,COLUMN())),OFFSET($BN$2,0,0,ROW()-1,60),ROW()-1,FALSE))</f>
        <v>24.320007050000001</v>
      </c>
      <c r="U301">
        <f ca="1">IF(AND(ISNUMBER($U$744),$B$419=1),$U$744,HLOOKUP(INDIRECT(ADDRESS(2,COLUMN())),OFFSET($BN$2,0,0,ROW()-1,60),ROW()-1,FALSE))</f>
        <v>24.804894770000001</v>
      </c>
      <c r="V301">
        <f ca="1">IF(AND(ISNUMBER($V$744),$B$419=1),$V$744,HLOOKUP(INDIRECT(ADDRESS(2,COLUMN())),OFFSET($BN$2,0,0,ROW()-1,60),ROW()-1,FALSE))</f>
        <v>29.28232629</v>
      </c>
      <c r="W301">
        <f ca="1">IF(AND(ISNUMBER($W$744),$B$419=1),$W$744,HLOOKUP(INDIRECT(ADDRESS(2,COLUMN())),OFFSET($BN$2,0,0,ROW()-1,60),ROW()-1,FALSE))</f>
        <v>26.117428310000001</v>
      </c>
      <c r="X301">
        <f ca="1">IF(AND(ISNUMBER($X$744),$B$419=1),$X$744,HLOOKUP(INDIRECT(ADDRESS(2,COLUMN())),OFFSET($BN$2,0,0,ROW()-1,60),ROW()-1,FALSE))</f>
        <v>38.218545450000001</v>
      </c>
      <c r="Y301">
        <f ca="1">IF(AND(ISNUMBER($Y$744),$B$419=1),$Y$744,HLOOKUP(INDIRECT(ADDRESS(2,COLUMN())),OFFSET($BN$2,0,0,ROW()-1,60),ROW()-1,FALSE))</f>
        <v>34.279850690000004</v>
      </c>
      <c r="Z301">
        <f ca="1">IF(AND(ISNUMBER($Z$744),$B$419=1),$Z$744,HLOOKUP(INDIRECT(ADDRESS(2,COLUMN())),OFFSET($BN$2,0,0,ROW()-1,60),ROW()-1,FALSE))</f>
        <v>30.205695510000002</v>
      </c>
      <c r="AA301">
        <f ca="1">IF(AND(ISNUMBER($AA$744),$B$419=1),$AA$744,HLOOKUP(INDIRECT(ADDRESS(2,COLUMN())),OFFSET($BN$2,0,0,ROW()-1,60),ROW()-1,FALSE))</f>
        <v>41.190986850000002</v>
      </c>
      <c r="AB301">
        <f ca="1">IF(AND(ISNUMBER($AB$744),$B$419=1),$AB$744,HLOOKUP(INDIRECT(ADDRESS(2,COLUMN())),OFFSET($BN$2,0,0,ROW()-1,60),ROW()-1,FALSE))</f>
        <v>31.74086015</v>
      </c>
      <c r="AC301">
        <f ca="1">IF(AND(ISNUMBER($AC$744),$B$419=1),$AC$744,HLOOKUP(INDIRECT(ADDRESS(2,COLUMN())),OFFSET($BN$2,0,0,ROW()-1,60),ROW()-1,FALSE))</f>
        <v>30.475262799999999</v>
      </c>
      <c r="AD301">
        <f ca="1">IF(AND(ISNUMBER($AD$744),$B$419=1),$AD$744,HLOOKUP(INDIRECT(ADDRESS(2,COLUMN())),OFFSET($BN$2,0,0,ROW()-1,60),ROW()-1,FALSE))</f>
        <v>27.003111199999999</v>
      </c>
      <c r="AE301">
        <f ca="1">IF(AND(ISNUMBER($AE$744),$B$419=1),$AE$744,HLOOKUP(INDIRECT(ADDRESS(2,COLUMN())),OFFSET($BN$2,0,0,ROW()-1,60),ROW()-1,FALSE))</f>
        <v>24.466875170000002</v>
      </c>
      <c r="AF301">
        <f ca="1">IF(AND(ISNUMBER($AF$744),$B$419=1),$AF$744,HLOOKUP(INDIRECT(ADDRESS(2,COLUMN())),OFFSET($BN$2,0,0,ROW()-1,60),ROW()-1,FALSE))</f>
        <v>30.820634680000001</v>
      </c>
      <c r="AG301">
        <f ca="1">IF(AND(ISNUMBER($AG$744),$B$419=1),$AG$744,HLOOKUP(INDIRECT(ADDRESS(2,COLUMN())),OFFSET($BN$2,0,0,ROW()-1,60),ROW()-1,FALSE))</f>
        <v>13.30364091</v>
      </c>
      <c r="AH301">
        <f ca="1">IF(AND(ISNUMBER($AH$744),$B$419=1),$AH$744,HLOOKUP(INDIRECT(ADDRESS(2,COLUMN())),OFFSET($BN$2,0,0,ROW()-1,60),ROW()-1,FALSE))</f>
        <v>11.14988299</v>
      </c>
      <c r="AI301">
        <f ca="1">IF(AND(ISNUMBER($AI$744),$B$419=1),$AI$744,HLOOKUP(INDIRECT(ADDRESS(2,COLUMN())),OFFSET($BN$2,0,0,ROW()-1,60),ROW()-1,FALSE))</f>
        <v>0</v>
      </c>
      <c r="AJ301">
        <f ca="1">IF(AND(ISNUMBER($AJ$744),$B$419=1),$AJ$744,HLOOKUP(INDIRECT(ADDRESS(2,COLUMN())),OFFSET($BN$2,0,0,ROW()-1,60),ROW()-1,FALSE))</f>
        <v>0</v>
      </c>
      <c r="AK301">
        <f ca="1">IF(AND(ISNUMBER($AK$744),$B$419=1),$AK$744,HLOOKUP(INDIRECT(ADDRESS(2,COLUMN())),OFFSET($BN$2,0,0,ROW()-1,60),ROW()-1,FALSE))</f>
        <v>0</v>
      </c>
      <c r="AL301">
        <f ca="1">IF(AND(ISNUMBER($AL$744),$B$419=1),$AL$744,HLOOKUP(INDIRECT(ADDRESS(2,COLUMN())),OFFSET($BN$2,0,0,ROW()-1,60),ROW()-1,FALSE))</f>
        <v>0</v>
      </c>
      <c r="AM301" t="str">
        <f ca="1">IF(AND(ISNUMBER($AM$744),$B$419=1),$AM$744,HLOOKUP(INDIRECT(ADDRESS(2,COLUMN())),OFFSET($BN$2,0,0,ROW()-1,60),ROW()-1,FALSE))</f>
        <v/>
      </c>
      <c r="AN301" t="str">
        <f ca="1">IF(AND(ISNUMBER($AN$744),$B$419=1),$AN$744,HLOOKUP(INDIRECT(ADDRESS(2,COLUMN())),OFFSET($BN$2,0,0,ROW()-1,60),ROW()-1,FALSE))</f>
        <v/>
      </c>
      <c r="AO301" t="str">
        <f ca="1">IF(AND(ISNUMBER($AO$744),$B$419=1),$AO$744,HLOOKUP(INDIRECT(ADDRESS(2,COLUMN())),OFFSET($BN$2,0,0,ROW()-1,60),ROW()-1,FALSE))</f>
        <v/>
      </c>
      <c r="AP301" t="str">
        <f ca="1">IF(AND(ISNUMBER($AP$744),$B$419=1),$AP$744,HLOOKUP(INDIRECT(ADDRESS(2,COLUMN())),OFFSET($BN$2,0,0,ROW()-1,60),ROW()-1,FALSE))</f>
        <v/>
      </c>
      <c r="AQ301" t="str">
        <f ca="1">IF(AND(ISNUMBER($AQ$744),$B$419=1),$AQ$744,HLOOKUP(INDIRECT(ADDRESS(2,COLUMN())),OFFSET($BN$2,0,0,ROW()-1,60),ROW()-1,FALSE))</f>
        <v/>
      </c>
      <c r="AR301" t="str">
        <f ca="1">IF(AND(ISNUMBER($AR$744),$B$419=1),$AR$744,HLOOKUP(INDIRECT(ADDRESS(2,COLUMN())),OFFSET($BN$2,0,0,ROW()-1,60),ROW()-1,FALSE))</f>
        <v/>
      </c>
      <c r="AS301" t="str">
        <f ca="1">IF(AND(ISNUMBER($AS$744),$B$419=1),$AS$744,HLOOKUP(INDIRECT(ADDRESS(2,COLUMN())),OFFSET($BN$2,0,0,ROW()-1,60),ROW()-1,FALSE))</f>
        <v/>
      </c>
      <c r="AT301" t="str">
        <f ca="1">IF(AND(ISNUMBER($AT$744),$B$419=1),$AT$744,HLOOKUP(INDIRECT(ADDRESS(2,COLUMN())),OFFSET($BN$2,0,0,ROW()-1,60),ROW()-1,FALSE))</f>
        <v/>
      </c>
      <c r="AU301" t="str">
        <f ca="1">IF(AND(ISNUMBER($AU$744),$B$419=1),$AU$744,HLOOKUP(INDIRECT(ADDRESS(2,COLUMN())),OFFSET($BN$2,0,0,ROW()-1,60),ROW()-1,FALSE))</f>
        <v/>
      </c>
      <c r="AV301" t="str">
        <f ca="1">IF(AND(ISNUMBER($AV$744),$B$419=1),$AV$744,HLOOKUP(INDIRECT(ADDRESS(2,COLUMN())),OFFSET($BN$2,0,0,ROW()-1,60),ROW()-1,FALSE))</f>
        <v/>
      </c>
      <c r="AW301" t="str">
        <f ca="1">IF(AND(ISNUMBER($AW$744),$B$419=1),$AW$744,HLOOKUP(INDIRECT(ADDRESS(2,COLUMN())),OFFSET($BN$2,0,0,ROW()-1,60),ROW()-1,FALSE))</f>
        <v/>
      </c>
      <c r="AX301" t="str">
        <f ca="1">IF(AND(ISNUMBER($AX$744),$B$419=1),$AX$744,HLOOKUP(INDIRECT(ADDRESS(2,COLUMN())),OFFSET($BN$2,0,0,ROW()-1,60),ROW()-1,FALSE))</f>
        <v/>
      </c>
      <c r="AY301" t="str">
        <f ca="1">IF(AND(ISNUMBER($AY$744),$B$419=1),$AY$744,HLOOKUP(INDIRECT(ADDRESS(2,COLUMN())),OFFSET($BN$2,0,0,ROW()-1,60),ROW()-1,FALSE))</f>
        <v/>
      </c>
      <c r="AZ301" t="str">
        <f ca="1">IF(AND(ISNUMBER($AZ$744),$B$419=1),$AZ$744,HLOOKUP(INDIRECT(ADDRESS(2,COLUMN())),OFFSET($BN$2,0,0,ROW()-1,60),ROW()-1,FALSE))</f>
        <v/>
      </c>
      <c r="BA301" t="str">
        <f ca="1">IF(AND(ISNUMBER($BA$744),$B$419=1),$BA$744,HLOOKUP(INDIRECT(ADDRESS(2,COLUMN())),OFFSET($BN$2,0,0,ROW()-1,60),ROW()-1,FALSE))</f>
        <v/>
      </c>
      <c r="BB301" t="str">
        <f ca="1">IF(AND(ISNUMBER($BB$744),$B$419=1),$BB$744,HLOOKUP(INDIRECT(ADDRESS(2,COLUMN())),OFFSET($BN$2,0,0,ROW()-1,60),ROW()-1,FALSE))</f>
        <v/>
      </c>
      <c r="BC301" t="str">
        <f ca="1">IF(AND(ISNUMBER($BC$744),$B$419=1),$BC$744,HLOOKUP(INDIRECT(ADDRESS(2,COLUMN())),OFFSET($BN$2,0,0,ROW()-1,60),ROW()-1,FALSE))</f>
        <v/>
      </c>
      <c r="BD301" t="str">
        <f ca="1">IF(AND(ISNUMBER($BD$744),$B$419=1),$BD$744,HLOOKUP(INDIRECT(ADDRESS(2,COLUMN())),OFFSET($BN$2,0,0,ROW()-1,60),ROW()-1,FALSE))</f>
        <v/>
      </c>
      <c r="BE301" t="str">
        <f ca="1">IF(AND(ISNUMBER($BE$744),$B$419=1),$BE$744,HLOOKUP(INDIRECT(ADDRESS(2,COLUMN())),OFFSET($BN$2,0,0,ROW()-1,60),ROW()-1,FALSE))</f>
        <v/>
      </c>
      <c r="BF301" t="str">
        <f ca="1">IF(AND(ISNUMBER($BF$744),$B$419=1),$BF$744,HLOOKUP(INDIRECT(ADDRESS(2,COLUMN())),OFFSET($BN$2,0,0,ROW()-1,60),ROW()-1,FALSE))</f>
        <v/>
      </c>
      <c r="BG301" t="str">
        <f ca="1">IF(AND(ISNUMBER($BG$744),$B$419=1),$BG$744,HLOOKUP(INDIRECT(ADDRESS(2,COLUMN())),OFFSET($BN$2,0,0,ROW()-1,60),ROW()-1,FALSE))</f>
        <v/>
      </c>
      <c r="BH301" t="str">
        <f ca="1">IF(AND(ISNUMBER($BH$744),$B$419=1),$BH$744,HLOOKUP(INDIRECT(ADDRESS(2,COLUMN())),OFFSET($BN$2,0,0,ROW()-1,60),ROW()-1,FALSE))</f>
        <v/>
      </c>
      <c r="BI301" t="str">
        <f ca="1">IF(AND(ISNUMBER($BI$744),$B$419=1),$BI$744,HLOOKUP(INDIRECT(ADDRESS(2,COLUMN())),OFFSET($BN$2,0,0,ROW()-1,60),ROW()-1,FALSE))</f>
        <v/>
      </c>
      <c r="BJ301" t="str">
        <f ca="1">IF(AND(ISNUMBER($BJ$744),$B$419=1),$BJ$744,HLOOKUP(INDIRECT(ADDRESS(2,COLUMN())),OFFSET($BN$2,0,0,ROW()-1,60),ROW()-1,FALSE))</f>
        <v/>
      </c>
      <c r="BK301" t="str">
        <f ca="1">IF(AND(ISNUMBER($BK$744),$B$419=1),$BK$744,HLOOKUP(INDIRECT(ADDRESS(2,COLUMN())),OFFSET($BN$2,0,0,ROW()-1,60),ROW()-1,FALSE))</f>
        <v/>
      </c>
      <c r="BL301" t="str">
        <f ca="1">IF(AND(ISNUMBER($BL$744),$B$419=1),$BL$744,HLOOKUP(INDIRECT(ADDRESS(2,COLUMN())),OFFSET($BN$2,0,0,ROW()-1,60),ROW()-1,FALSE))</f>
        <v/>
      </c>
      <c r="BM301" t="str">
        <f ca="1">IF(AND(ISNUMBER($BM$744),$B$419=1),$BM$744,HLOOKUP(INDIRECT(ADDRESS(2,COLUMN())),OFFSET($BN$2,0,0,ROW()-1,60),ROW()-1,FALSE))</f>
        <v/>
      </c>
      <c r="BN301" t="str">
        <f>""</f>
        <v/>
      </c>
      <c r="BO301">
        <f>13.38283981</f>
        <v>13.38283981</v>
      </c>
      <c r="BP301">
        <f>12.61904038</f>
        <v>12.61904038</v>
      </c>
      <c r="BQ301">
        <f>12.80740968</f>
        <v>12.807409679999999</v>
      </c>
      <c r="BR301">
        <f>20.19954616</f>
        <v>20.199546160000001</v>
      </c>
      <c r="BS301">
        <f>17.50482262</f>
        <v>17.504822619999999</v>
      </c>
      <c r="BT301">
        <f>14.54091841</f>
        <v>14.54091841</v>
      </c>
      <c r="BU301">
        <f>27.33010719</f>
        <v>27.33010719</v>
      </c>
      <c r="BV301">
        <f>22.87233283</f>
        <v>22.872332830000001</v>
      </c>
      <c r="BW301">
        <f>21.42068819</f>
        <v>21.42068819</v>
      </c>
      <c r="BX301">
        <f>18.37771122</f>
        <v>18.377711219999998</v>
      </c>
      <c r="BY301">
        <f>18.5072149</f>
        <v>18.507214900000001</v>
      </c>
      <c r="BZ301">
        <f>17.01714562</f>
        <v>17.017145620000001</v>
      </c>
      <c r="CA301">
        <f>13.53803248</f>
        <v>13.53803248</v>
      </c>
      <c r="CB301">
        <f>24.32000705</f>
        <v>24.320007050000001</v>
      </c>
      <c r="CC301">
        <f>24.80489477</f>
        <v>24.804894770000001</v>
      </c>
      <c r="CD301">
        <f>29.28232629</f>
        <v>29.28232629</v>
      </c>
      <c r="CE301">
        <f>26.11742831</f>
        <v>26.117428310000001</v>
      </c>
      <c r="CF301">
        <f>38.21854545</f>
        <v>38.218545450000001</v>
      </c>
      <c r="CG301">
        <f>34.27985069</f>
        <v>34.279850690000004</v>
      </c>
      <c r="CH301">
        <f>30.20569551</f>
        <v>30.205695510000002</v>
      </c>
      <c r="CI301">
        <f>41.19098685</f>
        <v>41.190986850000002</v>
      </c>
      <c r="CJ301">
        <f>31.74086015</f>
        <v>31.74086015</v>
      </c>
      <c r="CK301">
        <f>30.4752628</f>
        <v>30.475262799999999</v>
      </c>
      <c r="CL301">
        <f>27.0031112</f>
        <v>27.003111199999999</v>
      </c>
      <c r="CM301">
        <f>24.46687517</f>
        <v>24.466875170000002</v>
      </c>
      <c r="CN301">
        <f>30.82063468</f>
        <v>30.820634680000001</v>
      </c>
      <c r="CO301">
        <f>13.30364091</f>
        <v>13.30364091</v>
      </c>
      <c r="CP301">
        <f>11.14988299</f>
        <v>11.14988299</v>
      </c>
      <c r="CQ301">
        <f>0</f>
        <v>0</v>
      </c>
      <c r="CR301">
        <f>0</f>
        <v>0</v>
      </c>
      <c r="CS301">
        <f>0</f>
        <v>0</v>
      </c>
      <c r="CT301">
        <f>0</f>
        <v>0</v>
      </c>
      <c r="CU301" t="str">
        <f>""</f>
        <v/>
      </c>
      <c r="CV301" t="str">
        <f>""</f>
        <v/>
      </c>
      <c r="CW301" t="str">
        <f>""</f>
        <v/>
      </c>
      <c r="CX301" t="str">
        <f>""</f>
        <v/>
      </c>
      <c r="CY301" t="str">
        <f>""</f>
        <v/>
      </c>
      <c r="CZ301" t="str">
        <f>""</f>
        <v/>
      </c>
      <c r="DA301" t="str">
        <f>""</f>
        <v/>
      </c>
      <c r="DB301" t="str">
        <f>""</f>
        <v/>
      </c>
      <c r="DC301" t="str">
        <f>""</f>
        <v/>
      </c>
      <c r="DD301" t="str">
        <f>""</f>
        <v/>
      </c>
      <c r="DE301" t="str">
        <f>""</f>
        <v/>
      </c>
      <c r="DF301" t="str">
        <f>""</f>
        <v/>
      </c>
      <c r="DG301" t="str">
        <f>""</f>
        <v/>
      </c>
      <c r="DH301" t="str">
        <f>""</f>
        <v/>
      </c>
      <c r="DI301" t="str">
        <f>""</f>
        <v/>
      </c>
      <c r="DJ301" t="str">
        <f>""</f>
        <v/>
      </c>
      <c r="DK301" t="str">
        <f>""</f>
        <v/>
      </c>
      <c r="DL301" t="str">
        <f>""</f>
        <v/>
      </c>
      <c r="DM301" t="str">
        <f>""</f>
        <v/>
      </c>
      <c r="DN301" t="str">
        <f>""</f>
        <v/>
      </c>
      <c r="DO301" t="str">
        <f>""</f>
        <v/>
      </c>
      <c r="DP301" t="str">
        <f>""</f>
        <v/>
      </c>
      <c r="DQ301" t="str">
        <f>""</f>
        <v/>
      </c>
      <c r="DR301" t="str">
        <f>""</f>
        <v/>
      </c>
      <c r="DS301" t="str">
        <f>""</f>
        <v/>
      </c>
      <c r="DT301" t="str">
        <f>""</f>
        <v/>
      </c>
      <c r="DU301" t="str">
        <f>""</f>
        <v/>
      </c>
    </row>
    <row r="302" spans="1:125">
      <c r="A302" t="str">
        <f>"    Retail Properties of America I"</f>
        <v xml:space="preserve">    Retail Properties of America I</v>
      </c>
      <c r="B302" t="str">
        <f>"RPAI US Equity"</f>
        <v>RPAI US Equity</v>
      </c>
      <c r="C302" t="str">
        <f t="shared" si="54"/>
        <v>RR147</v>
      </c>
      <c r="D302" t="str">
        <f t="shared" si="55"/>
        <v>LT_DEBT_TO_TOT_ASSET</v>
      </c>
      <c r="E302" t="str">
        <f t="shared" si="56"/>
        <v>动态</v>
      </c>
      <c r="F302" t="str">
        <f ca="1">IF(AND(ISNUMBER($F$745),$B$419=1),$F$745,HLOOKUP(INDIRECT(ADDRESS(2,COLUMN())),OFFSET($BN$2,0,0,ROW()-1,60),ROW()-1,FALSE))</f>
        <v/>
      </c>
      <c r="G302">
        <f ca="1">IF(AND(ISNUMBER($G$745),$B$419=1),$G$745,HLOOKUP(INDIRECT(ADDRESS(2,COLUMN())),OFFSET($BN$2,0,0,ROW()-1,60),ROW()-1,FALSE))</f>
        <v>7.3264078169999998</v>
      </c>
      <c r="H302">
        <f ca="1">IF(AND(ISNUMBER($H$745),$B$419=1),$H$745,HLOOKUP(INDIRECT(ADDRESS(2,COLUMN())),OFFSET($BN$2,0,0,ROW()-1,60),ROW()-1,FALSE))</f>
        <v>7.0802019019999998</v>
      </c>
      <c r="I302">
        <f ca="1">IF(AND(ISNUMBER($I$745),$B$419=1),$I$745,HLOOKUP(INDIRECT(ADDRESS(2,COLUMN())),OFFSET($BN$2,0,0,ROW()-1,60),ROW()-1,FALSE))</f>
        <v>8.3304899750000008</v>
      </c>
      <c r="J302">
        <f ca="1">IF(AND(ISNUMBER($J$745),$B$419=1),$J$745,HLOOKUP(INDIRECT(ADDRESS(2,COLUMN())),OFFSET($BN$2,0,0,ROW()-1,60),ROW()-1,FALSE))</f>
        <v>8.3557869409999999</v>
      </c>
      <c r="K302">
        <f ca="1">IF(AND(ISNUMBER($K$745),$B$419=1),$K$745,HLOOKUP(INDIRECT(ADDRESS(2,COLUMN())),OFFSET($BN$2,0,0,ROW()-1,60),ROW()-1,FALSE))</f>
        <v>17.273493460000001</v>
      </c>
      <c r="L302">
        <f ca="1">IF(AND(ISNUMBER($L$745),$B$419=1),$L$745,HLOOKUP(INDIRECT(ADDRESS(2,COLUMN())),OFFSET($BN$2,0,0,ROW()-1,60),ROW()-1,FALSE))</f>
        <v>22.160176790000001</v>
      </c>
      <c r="M302">
        <f ca="1">IF(AND(ISNUMBER($M$745),$B$419=1),$M$745,HLOOKUP(INDIRECT(ADDRESS(2,COLUMN())),OFFSET($BN$2,0,0,ROW()-1,60),ROW()-1,FALSE))</f>
        <v>21.924667230000001</v>
      </c>
      <c r="N302">
        <f ca="1">IF(AND(ISNUMBER($N$745),$B$419=1),$N$745,HLOOKUP(INDIRECT(ADDRESS(2,COLUMN())),OFFSET($BN$2,0,0,ROW()-1,60),ROW()-1,FALSE))</f>
        <v>21.89600261</v>
      </c>
      <c r="O302">
        <f ca="1">IF(AND(ISNUMBER($O$745),$B$419=1),$O$745,HLOOKUP(INDIRECT(ADDRESS(2,COLUMN())),OFFSET($BN$2,0,0,ROW()-1,60),ROW()-1,FALSE))</f>
        <v>24.303722090000001</v>
      </c>
      <c r="P302">
        <f ca="1">IF(AND(ISNUMBER($P$745),$B$419=1),$P$745,HLOOKUP(INDIRECT(ADDRESS(2,COLUMN())),OFFSET($BN$2,0,0,ROW()-1,60),ROW()-1,FALSE))</f>
        <v>25.616750239999998</v>
      </c>
      <c r="Q302">
        <f ca="1">IF(AND(ISNUMBER($Q$745),$B$419=1),$Q$745,HLOOKUP(INDIRECT(ADDRESS(2,COLUMN())),OFFSET($BN$2,0,0,ROW()-1,60),ROW()-1,FALSE))</f>
        <v>29.100874109999999</v>
      </c>
      <c r="R302">
        <f ca="1">IF(AND(ISNUMBER($R$745),$B$419=1),$R$745,HLOOKUP(INDIRECT(ADDRESS(2,COLUMN())),OFFSET($BN$2,0,0,ROW()-1,60),ROW()-1,FALSE))</f>
        <v>31.261573219999999</v>
      </c>
      <c r="S302">
        <f ca="1">IF(AND(ISNUMBER($S$745),$B$419=1),$S$745,HLOOKUP(INDIRECT(ADDRESS(2,COLUMN())),OFFSET($BN$2,0,0,ROW()-1,60),ROW()-1,FALSE))</f>
        <v>34.02399321</v>
      </c>
      <c r="T302">
        <f ca="1">IF(AND(ISNUMBER($T$745),$B$419=1),$T$745,HLOOKUP(INDIRECT(ADDRESS(2,COLUMN())),OFFSET($BN$2,0,0,ROW()-1,60),ROW()-1,FALSE))</f>
        <v>33.79200951</v>
      </c>
      <c r="U302">
        <f ca="1">IF(AND(ISNUMBER($U$745),$B$419=1),$U$745,HLOOKUP(INDIRECT(ADDRESS(2,COLUMN())),OFFSET($BN$2,0,0,ROW()-1,60),ROW()-1,FALSE))</f>
        <v>34.427895059999997</v>
      </c>
      <c r="V302">
        <f ca="1">IF(AND(ISNUMBER($V$745),$B$419=1),$V$745,HLOOKUP(INDIRECT(ADDRESS(2,COLUMN())),OFFSET($BN$2,0,0,ROW()-1,60),ROW()-1,FALSE))</f>
        <v>38.004472399999997</v>
      </c>
      <c r="W302">
        <f ca="1">IF(AND(ISNUMBER($W$745),$B$419=1),$W$745,HLOOKUP(INDIRECT(ADDRESS(2,COLUMN())),OFFSET($BN$2,0,0,ROW()-1,60),ROW()-1,FALSE))</f>
        <v>34.538323949999999</v>
      </c>
      <c r="X302">
        <f ca="1">IF(AND(ISNUMBER($X$745),$B$419=1),$X$745,HLOOKUP(INDIRECT(ADDRESS(2,COLUMN())),OFFSET($BN$2,0,0,ROW()-1,60),ROW()-1,FALSE))</f>
        <v>34.798508300000002</v>
      </c>
      <c r="Y302">
        <f ca="1">IF(AND(ISNUMBER($Y$745),$B$419=1),$Y$745,HLOOKUP(INDIRECT(ADDRESS(2,COLUMN())),OFFSET($BN$2,0,0,ROW()-1,60),ROW()-1,FALSE))</f>
        <v>47.508489349999998</v>
      </c>
      <c r="Z302">
        <f ca="1">IF(AND(ISNUMBER($Z$745),$B$419=1),$Z$745,HLOOKUP(INDIRECT(ADDRESS(2,COLUMN())),OFFSET($BN$2,0,0,ROW()-1,60),ROW()-1,FALSE))</f>
        <v>49.267305200000003</v>
      </c>
      <c r="AA302">
        <f ca="1">IF(AND(ISNUMBER($AA$745),$B$419=1),$AA$745,HLOOKUP(INDIRECT(ADDRESS(2,COLUMN())),OFFSET($BN$2,0,0,ROW()-1,60),ROW()-1,FALSE))</f>
        <v>47.104981129999999</v>
      </c>
      <c r="AB302">
        <f ca="1">IF(AND(ISNUMBER($AB$745),$B$419=1),$AB$745,HLOOKUP(INDIRECT(ADDRESS(2,COLUMN())),OFFSET($BN$2,0,0,ROW()-1,60),ROW()-1,FALSE))</f>
        <v>53.476551579999999</v>
      </c>
      <c r="AC302">
        <f ca="1">IF(AND(ISNUMBER($AC$745),$B$419=1),$AC$745,HLOOKUP(INDIRECT(ADDRESS(2,COLUMN())),OFFSET($BN$2,0,0,ROW()-1,60),ROW()-1,FALSE))</f>
        <v>54.396581869999999</v>
      </c>
      <c r="AD302">
        <f ca="1">IF(AND(ISNUMBER($AD$745),$B$419=1),$AD$745,HLOOKUP(INDIRECT(ADDRESS(2,COLUMN())),OFFSET($BN$2,0,0,ROW()-1,60),ROW()-1,FALSE))</f>
        <v>59.825025009999997</v>
      </c>
      <c r="AE302">
        <f ca="1">IF(AND(ISNUMBER($AE$745),$B$419=1),$AE$745,HLOOKUP(INDIRECT(ADDRESS(2,COLUMN())),OFFSET($BN$2,0,0,ROW()-1,60),ROW()-1,FALSE))</f>
        <v>57.005527190000002</v>
      </c>
      <c r="AF302">
        <f ca="1">IF(AND(ISNUMBER($AF$745),$B$419=1),$AF$745,HLOOKUP(INDIRECT(ADDRESS(2,COLUMN())),OFFSET($BN$2,0,0,ROW()-1,60),ROW()-1,FALSE))</f>
        <v>59.178564160000001</v>
      </c>
      <c r="AG302">
        <f ca="1">IF(AND(ISNUMBER($AG$745),$B$419=1),$AG$745,HLOOKUP(INDIRECT(ADDRESS(2,COLUMN())),OFFSET($BN$2,0,0,ROW()-1,60),ROW()-1,FALSE))</f>
        <v>59.983552699999997</v>
      </c>
      <c r="AH302">
        <f ca="1">IF(AND(ISNUMBER($AH$745),$B$419=1),$AH$745,HLOOKUP(INDIRECT(ADDRESS(2,COLUMN())),OFFSET($BN$2,0,0,ROW()-1,60),ROW()-1,FALSE))</f>
        <v>59.955250790000001</v>
      </c>
      <c r="AI302">
        <f ca="1">IF(AND(ISNUMBER($AI$745),$B$419=1),$AI$745,HLOOKUP(INDIRECT(ADDRESS(2,COLUMN())),OFFSET($BN$2,0,0,ROW()-1,60),ROW()-1,FALSE))</f>
        <v>57.29885659</v>
      </c>
      <c r="AJ302">
        <f ca="1">IF(AND(ISNUMBER($AJ$745),$B$419=1),$AJ$745,HLOOKUP(INDIRECT(ADDRESS(2,COLUMN())),OFFSET($BN$2,0,0,ROW()-1,60),ROW()-1,FALSE))</f>
        <v>57.37727443</v>
      </c>
      <c r="AK302" t="str">
        <f ca="1">IF(AND(ISNUMBER($AK$745),$B$419=1),$AK$745,HLOOKUP(INDIRECT(ADDRESS(2,COLUMN())),OFFSET($BN$2,0,0,ROW()-1,60),ROW()-1,FALSE))</f>
        <v/>
      </c>
      <c r="AL302" t="str">
        <f ca="1">IF(AND(ISNUMBER($AL$745),$B$419=1),$AL$745,HLOOKUP(INDIRECT(ADDRESS(2,COLUMN())),OFFSET($BN$2,0,0,ROW()-1,60),ROW()-1,FALSE))</f>
        <v/>
      </c>
      <c r="AM302" t="str">
        <f ca="1">IF(AND(ISNUMBER($AM$745),$B$419=1),$AM$745,HLOOKUP(INDIRECT(ADDRESS(2,COLUMN())),OFFSET($BN$2,0,0,ROW()-1,60),ROW()-1,FALSE))</f>
        <v/>
      </c>
      <c r="AN302" t="str">
        <f ca="1">IF(AND(ISNUMBER($AN$745),$B$419=1),$AN$745,HLOOKUP(INDIRECT(ADDRESS(2,COLUMN())),OFFSET($BN$2,0,0,ROW()-1,60),ROW()-1,FALSE))</f>
        <v/>
      </c>
      <c r="AO302" t="str">
        <f ca="1">IF(AND(ISNUMBER($AO$745),$B$419=1),$AO$745,HLOOKUP(INDIRECT(ADDRESS(2,COLUMN())),OFFSET($BN$2,0,0,ROW()-1,60),ROW()-1,FALSE))</f>
        <v/>
      </c>
      <c r="AP302" t="str">
        <f ca="1">IF(AND(ISNUMBER($AP$745),$B$419=1),$AP$745,HLOOKUP(INDIRECT(ADDRESS(2,COLUMN())),OFFSET($BN$2,0,0,ROW()-1,60),ROW()-1,FALSE))</f>
        <v/>
      </c>
      <c r="AQ302" t="str">
        <f ca="1">IF(AND(ISNUMBER($AQ$745),$B$419=1),$AQ$745,HLOOKUP(INDIRECT(ADDRESS(2,COLUMN())),OFFSET($BN$2,0,0,ROW()-1,60),ROW()-1,FALSE))</f>
        <v/>
      </c>
      <c r="AR302" t="str">
        <f ca="1">IF(AND(ISNUMBER($AR$745),$B$419=1),$AR$745,HLOOKUP(INDIRECT(ADDRESS(2,COLUMN())),OFFSET($BN$2,0,0,ROW()-1,60),ROW()-1,FALSE))</f>
        <v/>
      </c>
      <c r="AS302" t="str">
        <f ca="1">IF(AND(ISNUMBER($AS$745),$B$419=1),$AS$745,HLOOKUP(INDIRECT(ADDRESS(2,COLUMN())),OFFSET($BN$2,0,0,ROW()-1,60),ROW()-1,FALSE))</f>
        <v/>
      </c>
      <c r="AT302" t="str">
        <f ca="1">IF(AND(ISNUMBER($AT$745),$B$419=1),$AT$745,HLOOKUP(INDIRECT(ADDRESS(2,COLUMN())),OFFSET($BN$2,0,0,ROW()-1,60),ROW()-1,FALSE))</f>
        <v/>
      </c>
      <c r="AU302" t="str">
        <f ca="1">IF(AND(ISNUMBER($AU$745),$B$419=1),$AU$745,HLOOKUP(INDIRECT(ADDRESS(2,COLUMN())),OFFSET($BN$2,0,0,ROW()-1,60),ROW()-1,FALSE))</f>
        <v/>
      </c>
      <c r="AV302" t="str">
        <f ca="1">IF(AND(ISNUMBER($AV$745),$B$419=1),$AV$745,HLOOKUP(INDIRECT(ADDRESS(2,COLUMN())),OFFSET($BN$2,0,0,ROW()-1,60),ROW()-1,FALSE))</f>
        <v/>
      </c>
      <c r="AW302" t="str">
        <f ca="1">IF(AND(ISNUMBER($AW$745),$B$419=1),$AW$745,HLOOKUP(INDIRECT(ADDRESS(2,COLUMN())),OFFSET($BN$2,0,0,ROW()-1,60),ROW()-1,FALSE))</f>
        <v/>
      </c>
      <c r="AX302" t="str">
        <f ca="1">IF(AND(ISNUMBER($AX$745),$B$419=1),$AX$745,HLOOKUP(INDIRECT(ADDRESS(2,COLUMN())),OFFSET($BN$2,0,0,ROW()-1,60),ROW()-1,FALSE))</f>
        <v/>
      </c>
      <c r="AY302" t="str">
        <f ca="1">IF(AND(ISNUMBER($AY$745),$B$419=1),$AY$745,HLOOKUP(INDIRECT(ADDRESS(2,COLUMN())),OFFSET($BN$2,0,0,ROW()-1,60),ROW()-1,FALSE))</f>
        <v/>
      </c>
      <c r="AZ302" t="str">
        <f ca="1">IF(AND(ISNUMBER($AZ$745),$B$419=1),$AZ$745,HLOOKUP(INDIRECT(ADDRESS(2,COLUMN())),OFFSET($BN$2,0,0,ROW()-1,60),ROW()-1,FALSE))</f>
        <v/>
      </c>
      <c r="BA302" t="str">
        <f ca="1">IF(AND(ISNUMBER($BA$745),$B$419=1),$BA$745,HLOOKUP(INDIRECT(ADDRESS(2,COLUMN())),OFFSET($BN$2,0,0,ROW()-1,60),ROW()-1,FALSE))</f>
        <v/>
      </c>
      <c r="BB302" t="str">
        <f ca="1">IF(AND(ISNUMBER($BB$745),$B$419=1),$BB$745,HLOOKUP(INDIRECT(ADDRESS(2,COLUMN())),OFFSET($BN$2,0,0,ROW()-1,60),ROW()-1,FALSE))</f>
        <v/>
      </c>
      <c r="BC302" t="str">
        <f ca="1">IF(AND(ISNUMBER($BC$745),$B$419=1),$BC$745,HLOOKUP(INDIRECT(ADDRESS(2,COLUMN())),OFFSET($BN$2,0,0,ROW()-1,60),ROW()-1,FALSE))</f>
        <v/>
      </c>
      <c r="BD302" t="str">
        <f ca="1">IF(AND(ISNUMBER($BD$745),$B$419=1),$BD$745,HLOOKUP(INDIRECT(ADDRESS(2,COLUMN())),OFFSET($BN$2,0,0,ROW()-1,60),ROW()-1,FALSE))</f>
        <v/>
      </c>
      <c r="BE302" t="str">
        <f ca="1">IF(AND(ISNUMBER($BE$745),$B$419=1),$BE$745,HLOOKUP(INDIRECT(ADDRESS(2,COLUMN())),OFFSET($BN$2,0,0,ROW()-1,60),ROW()-1,FALSE))</f>
        <v/>
      </c>
      <c r="BF302" t="str">
        <f ca="1">IF(AND(ISNUMBER($BF$745),$B$419=1),$BF$745,HLOOKUP(INDIRECT(ADDRESS(2,COLUMN())),OFFSET($BN$2,0,0,ROW()-1,60),ROW()-1,FALSE))</f>
        <v/>
      </c>
      <c r="BG302" t="str">
        <f ca="1">IF(AND(ISNUMBER($BG$745),$B$419=1),$BG$745,HLOOKUP(INDIRECT(ADDRESS(2,COLUMN())),OFFSET($BN$2,0,0,ROW()-1,60),ROW()-1,FALSE))</f>
        <v/>
      </c>
      <c r="BH302" t="str">
        <f ca="1">IF(AND(ISNUMBER($BH$745),$B$419=1),$BH$745,HLOOKUP(INDIRECT(ADDRESS(2,COLUMN())),OFFSET($BN$2,0,0,ROW()-1,60),ROW()-1,FALSE))</f>
        <v/>
      </c>
      <c r="BI302" t="str">
        <f ca="1">IF(AND(ISNUMBER($BI$745),$B$419=1),$BI$745,HLOOKUP(INDIRECT(ADDRESS(2,COLUMN())),OFFSET($BN$2,0,0,ROW()-1,60),ROW()-1,FALSE))</f>
        <v/>
      </c>
      <c r="BJ302" t="str">
        <f ca="1">IF(AND(ISNUMBER($BJ$745),$B$419=1),$BJ$745,HLOOKUP(INDIRECT(ADDRESS(2,COLUMN())),OFFSET($BN$2,0,0,ROW()-1,60),ROW()-1,FALSE))</f>
        <v/>
      </c>
      <c r="BK302" t="str">
        <f ca="1">IF(AND(ISNUMBER($BK$745),$B$419=1),$BK$745,HLOOKUP(INDIRECT(ADDRESS(2,COLUMN())),OFFSET($BN$2,0,0,ROW()-1,60),ROW()-1,FALSE))</f>
        <v/>
      </c>
      <c r="BL302" t="str">
        <f ca="1">IF(AND(ISNUMBER($BL$745),$B$419=1),$BL$745,HLOOKUP(INDIRECT(ADDRESS(2,COLUMN())),OFFSET($BN$2,0,0,ROW()-1,60),ROW()-1,FALSE))</f>
        <v/>
      </c>
      <c r="BM302" t="str">
        <f ca="1">IF(AND(ISNUMBER($BM$745),$B$419=1),$BM$745,HLOOKUP(INDIRECT(ADDRESS(2,COLUMN())),OFFSET($BN$2,0,0,ROW()-1,60),ROW()-1,FALSE))</f>
        <v/>
      </c>
      <c r="BN302" t="str">
        <f>""</f>
        <v/>
      </c>
      <c r="BO302">
        <f>7.326407817</f>
        <v>7.3264078169999998</v>
      </c>
      <c r="BP302">
        <f>7.080201902</f>
        <v>7.0802019019999998</v>
      </c>
      <c r="BQ302">
        <f>8.330489975</f>
        <v>8.3304899750000008</v>
      </c>
      <c r="BR302">
        <f>8.355786941</f>
        <v>8.3557869409999999</v>
      </c>
      <c r="BS302">
        <f>17.27349346</f>
        <v>17.273493460000001</v>
      </c>
      <c r="BT302">
        <f>22.16017679</f>
        <v>22.160176790000001</v>
      </c>
      <c r="BU302">
        <f>21.92466723</f>
        <v>21.924667230000001</v>
      </c>
      <c r="BV302">
        <f>21.89600261</f>
        <v>21.89600261</v>
      </c>
      <c r="BW302">
        <f>24.30372209</f>
        <v>24.303722090000001</v>
      </c>
      <c r="BX302">
        <f>25.61675024</f>
        <v>25.616750239999998</v>
      </c>
      <c r="BY302">
        <f>29.10087411</f>
        <v>29.100874109999999</v>
      </c>
      <c r="BZ302">
        <f>31.26157322</f>
        <v>31.261573219999999</v>
      </c>
      <c r="CA302">
        <f>34.02399321</f>
        <v>34.02399321</v>
      </c>
      <c r="CB302">
        <f>33.79200951</f>
        <v>33.79200951</v>
      </c>
      <c r="CC302">
        <f>34.42789506</f>
        <v>34.427895059999997</v>
      </c>
      <c r="CD302">
        <f>38.0044724</f>
        <v>38.004472399999997</v>
      </c>
      <c r="CE302">
        <f>34.53832395</f>
        <v>34.538323949999999</v>
      </c>
      <c r="CF302">
        <f>34.7985083</f>
        <v>34.798508300000002</v>
      </c>
      <c r="CG302">
        <f>47.50848935</f>
        <v>47.508489349999998</v>
      </c>
      <c r="CH302">
        <f>49.2673052</f>
        <v>49.267305200000003</v>
      </c>
      <c r="CI302">
        <f>47.10498113</f>
        <v>47.104981129999999</v>
      </c>
      <c r="CJ302">
        <f>53.47655158</f>
        <v>53.476551579999999</v>
      </c>
      <c r="CK302">
        <f>54.39658187</f>
        <v>54.396581869999999</v>
      </c>
      <c r="CL302">
        <f>59.82502501</f>
        <v>59.825025009999997</v>
      </c>
      <c r="CM302">
        <f>57.00552719</f>
        <v>57.005527190000002</v>
      </c>
      <c r="CN302">
        <f>59.17856416</f>
        <v>59.178564160000001</v>
      </c>
      <c r="CO302">
        <f>59.9835527</f>
        <v>59.983552699999997</v>
      </c>
      <c r="CP302">
        <f>59.95525079</f>
        <v>59.955250790000001</v>
      </c>
      <c r="CQ302">
        <f>57.29885659</f>
        <v>57.29885659</v>
      </c>
      <c r="CR302">
        <f>57.37727443</f>
        <v>57.37727443</v>
      </c>
      <c r="CS302" t="str">
        <f>""</f>
        <v/>
      </c>
      <c r="CT302" t="str">
        <f>""</f>
        <v/>
      </c>
      <c r="CU302" t="str">
        <f>""</f>
        <v/>
      </c>
      <c r="CV302" t="str">
        <f>""</f>
        <v/>
      </c>
      <c r="CW302" t="str">
        <f>""</f>
        <v/>
      </c>
      <c r="CX302" t="str">
        <f>""</f>
        <v/>
      </c>
      <c r="CY302" t="str">
        <f>""</f>
        <v/>
      </c>
      <c r="CZ302" t="str">
        <f>""</f>
        <v/>
      </c>
      <c r="DA302" t="str">
        <f>""</f>
        <v/>
      </c>
      <c r="DB302" t="str">
        <f>""</f>
        <v/>
      </c>
      <c r="DC302" t="str">
        <f>""</f>
        <v/>
      </c>
      <c r="DD302" t="str">
        <f>""</f>
        <v/>
      </c>
      <c r="DE302" t="str">
        <f>""</f>
        <v/>
      </c>
      <c r="DF302" t="str">
        <f>""</f>
        <v/>
      </c>
      <c r="DG302" t="str">
        <f>""</f>
        <v/>
      </c>
      <c r="DH302" t="str">
        <f>""</f>
        <v/>
      </c>
      <c r="DI302" t="str">
        <f>""</f>
        <v/>
      </c>
      <c r="DJ302" t="str">
        <f>""</f>
        <v/>
      </c>
      <c r="DK302" t="str">
        <f>""</f>
        <v/>
      </c>
      <c r="DL302" t="str">
        <f>""</f>
        <v/>
      </c>
      <c r="DM302" t="str">
        <f>""</f>
        <v/>
      </c>
      <c r="DN302" t="str">
        <f>""</f>
        <v/>
      </c>
      <c r="DO302" t="str">
        <f>""</f>
        <v/>
      </c>
      <c r="DP302" t="str">
        <f>""</f>
        <v/>
      </c>
      <c r="DQ302" t="str">
        <f>""</f>
        <v/>
      </c>
      <c r="DR302" t="str">
        <f>""</f>
        <v/>
      </c>
      <c r="DS302" t="str">
        <f>""</f>
        <v/>
      </c>
      <c r="DT302" t="str">
        <f>""</f>
        <v/>
      </c>
      <c r="DU302" t="str">
        <f>""</f>
        <v/>
      </c>
    </row>
    <row r="303" spans="1:125">
      <c r="A303" t="str">
        <f>"    Simon Property Group Inc"</f>
        <v xml:space="preserve">    Simon Property Group Inc</v>
      </c>
      <c r="B303" t="str">
        <f>"SPG US Equity"</f>
        <v>SPG US Equity</v>
      </c>
      <c r="C303" t="str">
        <f t="shared" si="54"/>
        <v>RR147</v>
      </c>
      <c r="D303" t="str">
        <f t="shared" si="55"/>
        <v>LT_DEBT_TO_TOT_ASSET</v>
      </c>
      <c r="E303" t="str">
        <f t="shared" si="56"/>
        <v>动态</v>
      </c>
      <c r="F303" t="str">
        <f ca="1">IF(AND(ISNUMBER($F$746),$B$419=1),$F$746,HLOOKUP(INDIRECT(ADDRESS(2,COLUMN())),OFFSET($BN$2,0,0,ROW()-1,60),ROW()-1,FALSE))</f>
        <v/>
      </c>
      <c r="G303">
        <f ca="1">IF(AND(ISNUMBER($G$746),$B$419=1),$G$746,HLOOKUP(INDIRECT(ADDRESS(2,COLUMN())),OFFSET($BN$2,0,0,ROW()-1,60),ROW()-1,FALSE))</f>
        <v>21.429213140000002</v>
      </c>
      <c r="H303">
        <f ca="1">IF(AND(ISNUMBER($H$746),$B$419=1),$H$746,HLOOKUP(INDIRECT(ADDRESS(2,COLUMN())),OFFSET($BN$2,0,0,ROW()-1,60),ROW()-1,FALSE))</f>
        <v>22.171001220000001</v>
      </c>
      <c r="I303">
        <f ca="1">IF(AND(ISNUMBER($I$746),$B$419=1),$I$746,HLOOKUP(INDIRECT(ADDRESS(2,COLUMN())),OFFSET($BN$2,0,0,ROW()-1,60),ROW()-1,FALSE))</f>
        <v>21.549729790000001</v>
      </c>
      <c r="J303">
        <f ca="1">IF(AND(ISNUMBER($J$746),$B$419=1),$J$746,HLOOKUP(INDIRECT(ADDRESS(2,COLUMN())),OFFSET($BN$2,0,0,ROW()-1,60),ROW()-1,FALSE))</f>
        <v>21.201732960000001</v>
      </c>
      <c r="K303">
        <f ca="1">IF(AND(ISNUMBER($K$746),$B$419=1),$K$746,HLOOKUP(INDIRECT(ADDRESS(2,COLUMN())),OFFSET($BN$2,0,0,ROW()-1,60),ROW()-1,FALSE))</f>
        <v>20.78289835</v>
      </c>
      <c r="L303">
        <f ca="1">IF(AND(ISNUMBER($L$746),$B$419=1),$L$746,HLOOKUP(INDIRECT(ADDRESS(2,COLUMN())),OFFSET($BN$2,0,0,ROW()-1,60),ROW()-1,FALSE))</f>
        <v>20.740520780000001</v>
      </c>
      <c r="M303">
        <f ca="1">IF(AND(ISNUMBER($M$746),$B$419=1),$M$746,HLOOKUP(INDIRECT(ADDRESS(2,COLUMN())),OFFSET($BN$2,0,0,ROW()-1,60),ROW()-1,FALSE))</f>
        <v>20.497331039999999</v>
      </c>
      <c r="N303">
        <f ca="1">IF(AND(ISNUMBER($N$746),$B$419=1),$N$746,HLOOKUP(INDIRECT(ADDRESS(2,COLUMN())),OFFSET($BN$2,0,0,ROW()-1,60),ROW()-1,FALSE))</f>
        <v>20.999386659999999</v>
      </c>
      <c r="O303">
        <f ca="1">IF(AND(ISNUMBER($O$746),$B$419=1),$O$746,HLOOKUP(INDIRECT(ADDRESS(2,COLUMN())),OFFSET($BN$2,0,0,ROW()-1,60),ROW()-1,FALSE))</f>
        <v>21.603957730000001</v>
      </c>
      <c r="P303">
        <f ca="1">IF(AND(ISNUMBER($P$746),$B$419=1),$P$746,HLOOKUP(INDIRECT(ADDRESS(2,COLUMN())),OFFSET($BN$2,0,0,ROW()-1,60),ROW()-1,FALSE))</f>
        <v>21.32700427</v>
      </c>
      <c r="Q303">
        <f ca="1">IF(AND(ISNUMBER($Q$746),$B$419=1),$Q$746,HLOOKUP(INDIRECT(ADDRESS(2,COLUMN())),OFFSET($BN$2,0,0,ROW()-1,60),ROW()-1,FALSE))</f>
        <v>21.801539850000001</v>
      </c>
      <c r="R303">
        <f ca="1">IF(AND(ISNUMBER($R$746),$B$419=1),$R$746,HLOOKUP(INDIRECT(ADDRESS(2,COLUMN())),OFFSET($BN$2,0,0,ROW()-1,60),ROW()-1,FALSE))</f>
        <v>21.733923900000001</v>
      </c>
      <c r="S303">
        <f ca="1">IF(AND(ISNUMBER($S$746),$B$419=1),$S$746,HLOOKUP(INDIRECT(ADDRESS(2,COLUMN())),OFFSET($BN$2,0,0,ROW()-1,60),ROW()-1,FALSE))</f>
        <v>20.979137099999999</v>
      </c>
      <c r="T303">
        <f ca="1">IF(AND(ISNUMBER($T$746),$B$419=1),$T$746,HLOOKUP(INDIRECT(ADDRESS(2,COLUMN())),OFFSET($BN$2,0,0,ROW()-1,60),ROW()-1,FALSE))</f>
        <v>21.094770130000001</v>
      </c>
      <c r="U303">
        <f ca="1">IF(AND(ISNUMBER($U$746),$B$419=1),$U$746,HLOOKUP(INDIRECT(ADDRESS(2,COLUMN())),OFFSET($BN$2,0,0,ROW()-1,60),ROW()-1,FALSE))</f>
        <v>20.690882559999999</v>
      </c>
      <c r="V303">
        <f ca="1">IF(AND(ISNUMBER($V$746),$B$419=1),$V$746,HLOOKUP(INDIRECT(ADDRESS(2,COLUMN())),OFFSET($BN$2,0,0,ROW()-1,60),ROW()-1,FALSE))</f>
        <v>23.200690059999999</v>
      </c>
      <c r="W303">
        <f ca="1">IF(AND(ISNUMBER($W$746),$B$419=1),$W$746,HLOOKUP(INDIRECT(ADDRESS(2,COLUMN())),OFFSET($BN$2,0,0,ROW()-1,60),ROW()-1,FALSE))</f>
        <v>24.54812776</v>
      </c>
      <c r="X303">
        <f ca="1">IF(AND(ISNUMBER($X$746),$B$419=1),$X$746,HLOOKUP(INDIRECT(ADDRESS(2,COLUMN())),OFFSET($BN$2,0,0,ROW()-1,60),ROW()-1,FALSE))</f>
        <v>25.151082590000001</v>
      </c>
      <c r="Y303">
        <f ca="1">IF(AND(ISNUMBER($Y$746),$B$419=1),$Y$746,HLOOKUP(INDIRECT(ADDRESS(2,COLUMN())),OFFSET($BN$2,0,0,ROW()-1,60),ROW()-1,FALSE))</f>
        <v>24.97028203</v>
      </c>
      <c r="Z303">
        <f ca="1">IF(AND(ISNUMBER($Z$746),$B$419=1),$Z$746,HLOOKUP(INDIRECT(ADDRESS(2,COLUMN())),OFFSET($BN$2,0,0,ROW()-1,60),ROW()-1,FALSE))</f>
        <v>24.72363605</v>
      </c>
      <c r="AA303">
        <f ca="1">IF(AND(ISNUMBER($AA$746),$B$419=1),$AA$746,HLOOKUP(INDIRECT(ADDRESS(2,COLUMN())),OFFSET($BN$2,0,0,ROW()-1,60),ROW()-1,FALSE))</f>
        <v>24.605974610000001</v>
      </c>
      <c r="AB303">
        <f ca="1">IF(AND(ISNUMBER($AB$746),$B$419=1),$AB$746,HLOOKUP(INDIRECT(ADDRESS(2,COLUMN())),OFFSET($BN$2,0,0,ROW()-1,60),ROW()-1,FALSE))</f>
        <v>25.099455169999999</v>
      </c>
      <c r="AC303">
        <f ca="1">IF(AND(ISNUMBER($AC$746),$B$419=1),$AC$746,HLOOKUP(INDIRECT(ADDRESS(2,COLUMN())),OFFSET($BN$2,0,0,ROW()-1,60),ROW()-1,FALSE))</f>
        <v>25.01559795</v>
      </c>
      <c r="AD303">
        <f ca="1">IF(AND(ISNUMBER($AD$746),$B$419=1),$AD$746,HLOOKUP(INDIRECT(ADDRESS(2,COLUMN())),OFFSET($BN$2,0,0,ROW()-1,60),ROW()-1,FALSE))</f>
        <v>25.48749879</v>
      </c>
      <c r="AE303">
        <f ca="1">IF(AND(ISNUMBER($AE$746),$B$419=1),$AE$746,HLOOKUP(INDIRECT(ADDRESS(2,COLUMN())),OFFSET($BN$2,0,0,ROW()-1,60),ROW()-1,FALSE))</f>
        <v>25.932678989999999</v>
      </c>
      <c r="AF303">
        <f ca="1">IF(AND(ISNUMBER($AF$746),$B$419=1),$AF$746,HLOOKUP(INDIRECT(ADDRESS(2,COLUMN())),OFFSET($BN$2,0,0,ROW()-1,60),ROW()-1,FALSE))</f>
        <v>25.256381099999999</v>
      </c>
      <c r="AG303">
        <f ca="1">IF(AND(ISNUMBER($AG$746),$B$419=1),$AG$746,HLOOKUP(INDIRECT(ADDRESS(2,COLUMN())),OFFSET($BN$2,0,0,ROW()-1,60),ROW()-1,FALSE))</f>
        <v>26.587157210000001</v>
      </c>
      <c r="AH303">
        <f ca="1">IF(AND(ISNUMBER($AH$746),$B$419=1),$AH$746,HLOOKUP(INDIRECT(ADDRESS(2,COLUMN())),OFFSET($BN$2,0,0,ROW()-1,60),ROW()-1,FALSE))</f>
        <v>26.796364709999999</v>
      </c>
      <c r="AI303">
        <f ca="1">IF(AND(ISNUMBER($AI$746),$B$419=1),$AI$746,HLOOKUP(INDIRECT(ADDRESS(2,COLUMN())),OFFSET($BN$2,0,0,ROW()-1,60),ROW()-1,FALSE))</f>
        <v>26.541855959999999</v>
      </c>
      <c r="AJ303">
        <f ca="1">IF(AND(ISNUMBER($AJ$746),$B$419=1),$AJ$746,HLOOKUP(INDIRECT(ADDRESS(2,COLUMN())),OFFSET($BN$2,0,0,ROW()-1,60),ROW()-1,FALSE))</f>
        <v>26.67936272</v>
      </c>
      <c r="AK303">
        <f ca="1">IF(AND(ISNUMBER($AK$746),$B$419=1),$AK$746,HLOOKUP(INDIRECT(ADDRESS(2,COLUMN())),OFFSET($BN$2,0,0,ROW()-1,60),ROW()-1,FALSE))</f>
        <v>23.98655845</v>
      </c>
      <c r="AL303">
        <f ca="1">IF(AND(ISNUMBER($AL$746),$B$419=1),$AL$746,HLOOKUP(INDIRECT(ADDRESS(2,COLUMN())),OFFSET($BN$2,0,0,ROW()-1,60),ROW()-1,FALSE))</f>
        <v>24.878389460000001</v>
      </c>
      <c r="AM303">
        <f ca="1">IF(AND(ISNUMBER($AM$746),$B$419=1),$AM$746,HLOOKUP(INDIRECT(ADDRESS(2,COLUMN())),OFFSET($BN$2,0,0,ROW()-1,60),ROW()-1,FALSE))</f>
        <v>25.433321830000001</v>
      </c>
      <c r="AN303">
        <f ca="1">IF(AND(ISNUMBER($AN$746),$B$419=1),$AN$746,HLOOKUP(INDIRECT(ADDRESS(2,COLUMN())),OFFSET($BN$2,0,0,ROW()-1,60),ROW()-1,FALSE))</f>
        <v>25.504861989999998</v>
      </c>
      <c r="AO303">
        <f ca="1">IF(AND(ISNUMBER($AO$746),$B$419=1),$AO$746,HLOOKUP(INDIRECT(ADDRESS(2,COLUMN())),OFFSET($BN$2,0,0,ROW()-1,60),ROW()-1,FALSE))</f>
        <v>24.941086309999999</v>
      </c>
      <c r="AP303">
        <f ca="1">IF(AND(ISNUMBER($AP$746),$B$419=1),$AP$746,HLOOKUP(INDIRECT(ADDRESS(2,COLUMN())),OFFSET($BN$2,0,0,ROW()-1,60),ROW()-1,FALSE))</f>
        <v>27.02906814</v>
      </c>
      <c r="AQ303">
        <f ca="1">IF(AND(ISNUMBER($AQ$746),$B$419=1),$AQ$746,HLOOKUP(INDIRECT(ADDRESS(2,COLUMN())),OFFSET($BN$2,0,0,ROW()-1,60),ROW()-1,FALSE))</f>
        <v>26.70073013</v>
      </c>
      <c r="AR303">
        <f ca="1">IF(AND(ISNUMBER($AR$746),$B$419=1),$AR$746,HLOOKUP(INDIRECT(ADDRESS(2,COLUMN())),OFFSET($BN$2,0,0,ROW()-1,60),ROW()-1,FALSE))</f>
        <v>25.955822340000001</v>
      </c>
      <c r="AS303">
        <f ca="1">IF(AND(ISNUMBER($AS$746),$B$419=1),$AS$746,HLOOKUP(INDIRECT(ADDRESS(2,COLUMN())),OFFSET($BN$2,0,0,ROW()-1,60),ROW()-1,FALSE))</f>
        <v>25.253089800000001</v>
      </c>
      <c r="AT303">
        <f ca="1">IF(AND(ISNUMBER($AT$746),$B$419=1),$AT$746,HLOOKUP(INDIRECT(ADDRESS(2,COLUMN())),OFFSET($BN$2,0,0,ROW()-1,60),ROW()-1,FALSE))</f>
        <v>25.284616410000002</v>
      </c>
      <c r="AU303">
        <f ca="1">IF(AND(ISNUMBER($AU$746),$B$419=1),$AU$746,HLOOKUP(INDIRECT(ADDRESS(2,COLUMN())),OFFSET($BN$2,0,0,ROW()-1,60),ROW()-1,FALSE))</f>
        <v>22.418612960000001</v>
      </c>
      <c r="AV303">
        <f ca="1">IF(AND(ISNUMBER($AV$746),$B$419=1),$AV$746,HLOOKUP(INDIRECT(ADDRESS(2,COLUMN())),OFFSET($BN$2,0,0,ROW()-1,60),ROW()-1,FALSE))</f>
        <v>22.457561099999999</v>
      </c>
      <c r="AW303">
        <f ca="1">IF(AND(ISNUMBER($AW$746),$B$419=1),$AW$746,HLOOKUP(INDIRECT(ADDRESS(2,COLUMN())),OFFSET($BN$2,0,0,ROW()-1,60),ROW()-1,FALSE))</f>
        <v>21.037889660000001</v>
      </c>
      <c r="AX303">
        <f ca="1">IF(AND(ISNUMBER($AX$746),$B$419=1),$AX$746,HLOOKUP(INDIRECT(ADDRESS(2,COLUMN())),OFFSET($BN$2,0,0,ROW()-1,60),ROW()-1,FALSE))</f>
        <v>19.547768470000001</v>
      </c>
      <c r="AY303">
        <f ca="1">IF(AND(ISNUMBER($AY$746),$B$419=1),$AY$746,HLOOKUP(INDIRECT(ADDRESS(2,COLUMN())),OFFSET($BN$2,0,0,ROW()-1,60),ROW()-1,FALSE))</f>
        <v>19.946265369999999</v>
      </c>
      <c r="AZ303">
        <f ca="1">IF(AND(ISNUMBER($AZ$746),$B$419=1),$AZ$746,HLOOKUP(INDIRECT(ADDRESS(2,COLUMN())),OFFSET($BN$2,0,0,ROW()-1,60),ROW()-1,FALSE))</f>
        <v>20.27765883</v>
      </c>
      <c r="BA303">
        <f ca="1">IF(AND(ISNUMBER($BA$746),$B$419=1),$BA$746,HLOOKUP(INDIRECT(ADDRESS(2,COLUMN())),OFFSET($BN$2,0,0,ROW()-1,60),ROW()-1,FALSE))</f>
        <v>20.51912072</v>
      </c>
      <c r="BB303">
        <f ca="1">IF(AND(ISNUMBER($BB$746),$B$419=1),$BB$746,HLOOKUP(INDIRECT(ADDRESS(2,COLUMN())),OFFSET($BN$2,0,0,ROW()-1,60),ROW()-1,FALSE))</f>
        <v>20.774505659999999</v>
      </c>
      <c r="BC303">
        <f ca="1">IF(AND(ISNUMBER($BC$746),$B$419=1),$BC$746,HLOOKUP(INDIRECT(ADDRESS(2,COLUMN())),OFFSET($BN$2,0,0,ROW()-1,60),ROW()-1,FALSE))</f>
        <v>21.60088768</v>
      </c>
      <c r="BD303">
        <f ca="1">IF(AND(ISNUMBER($BD$746),$B$419=1),$BD$746,HLOOKUP(INDIRECT(ADDRESS(2,COLUMN())),OFFSET($BN$2,0,0,ROW()-1,60),ROW()-1,FALSE))</f>
        <v>56.697590300000002</v>
      </c>
      <c r="BE303">
        <f ca="1">IF(AND(ISNUMBER($BE$746),$B$419=1),$BE$746,HLOOKUP(INDIRECT(ADDRESS(2,COLUMN())),OFFSET($BN$2,0,0,ROW()-1,60),ROW()-1,FALSE))</f>
        <v>57.4227512</v>
      </c>
      <c r="BF303">
        <f ca="1">IF(AND(ISNUMBER($BF$746),$B$419=1),$BF$746,HLOOKUP(INDIRECT(ADDRESS(2,COLUMN())),OFFSET($BN$2,0,0,ROW()-1,60),ROW()-1,FALSE))</f>
        <v>55.266414490000003</v>
      </c>
      <c r="BG303">
        <f ca="1">IF(AND(ISNUMBER($BG$746),$B$419=1),$BG$746,HLOOKUP(INDIRECT(ADDRESS(2,COLUMN())),OFFSET($BN$2,0,0,ROW()-1,60),ROW()-1,FALSE))</f>
        <v>22.890687140000001</v>
      </c>
      <c r="BH303">
        <f ca="1">IF(AND(ISNUMBER($BH$746),$B$419=1),$BH$746,HLOOKUP(INDIRECT(ADDRESS(2,COLUMN())),OFFSET($BN$2,0,0,ROW()-1,60),ROW()-1,FALSE))</f>
        <v>28.547486339999999</v>
      </c>
      <c r="BI303">
        <f ca="1">IF(AND(ISNUMBER($BI$746),$B$419=1),$BI$746,HLOOKUP(INDIRECT(ADDRESS(2,COLUMN())),OFFSET($BN$2,0,0,ROW()-1,60),ROW()-1,FALSE))</f>
        <v>64.352614439999996</v>
      </c>
      <c r="BJ303">
        <f ca="1">IF(AND(ISNUMBER($BJ$746),$B$419=1),$BJ$746,HLOOKUP(INDIRECT(ADDRESS(2,COLUMN())),OFFSET($BN$2,0,0,ROW()-1,60),ROW()-1,FALSE))</f>
        <v>63.838264799999997</v>
      </c>
      <c r="BK303">
        <f ca="1">IF(AND(ISNUMBER($BK$746),$B$419=1),$BK$746,HLOOKUP(INDIRECT(ADDRESS(2,COLUMN())),OFFSET($BN$2,0,0,ROW()-1,60),ROW()-1,FALSE))</f>
        <v>26.792456170000001</v>
      </c>
      <c r="BL303">
        <f ca="1">IF(AND(ISNUMBER($BL$746),$B$419=1),$BL$746,HLOOKUP(INDIRECT(ADDRESS(2,COLUMN())),OFFSET($BN$2,0,0,ROW()-1,60),ROW()-1,FALSE))</f>
        <v>61.985887169999998</v>
      </c>
      <c r="BM303">
        <f ca="1">IF(AND(ISNUMBER($BM$746),$B$419=1),$BM$746,HLOOKUP(INDIRECT(ADDRESS(2,COLUMN())),OFFSET($BN$2,0,0,ROW()-1,60),ROW()-1,FALSE))</f>
        <v>61.796571399999998</v>
      </c>
      <c r="BN303" t="str">
        <f>""</f>
        <v/>
      </c>
      <c r="BO303">
        <f>21.42921314</f>
        <v>21.429213140000002</v>
      </c>
      <c r="BP303">
        <f>22.17100122</f>
        <v>22.171001220000001</v>
      </c>
      <c r="BQ303">
        <f>21.54972979</f>
        <v>21.549729790000001</v>
      </c>
      <c r="BR303">
        <f>21.20173296</f>
        <v>21.201732960000001</v>
      </c>
      <c r="BS303">
        <f>20.78289835</f>
        <v>20.78289835</v>
      </c>
      <c r="BT303">
        <f>20.74052078</f>
        <v>20.740520780000001</v>
      </c>
      <c r="BU303">
        <f>20.49733104</f>
        <v>20.497331039999999</v>
      </c>
      <c r="BV303">
        <f>20.99938666</f>
        <v>20.999386659999999</v>
      </c>
      <c r="BW303">
        <f>21.60395773</f>
        <v>21.603957730000001</v>
      </c>
      <c r="BX303">
        <f>21.32700427</f>
        <v>21.32700427</v>
      </c>
      <c r="BY303">
        <f>21.80153985</f>
        <v>21.801539850000001</v>
      </c>
      <c r="BZ303">
        <f>21.7339239</f>
        <v>21.733923900000001</v>
      </c>
      <c r="CA303">
        <f>20.9791371</f>
        <v>20.979137099999999</v>
      </c>
      <c r="CB303">
        <f>21.09477013</f>
        <v>21.094770130000001</v>
      </c>
      <c r="CC303">
        <f>20.69088256</f>
        <v>20.690882559999999</v>
      </c>
      <c r="CD303">
        <f>23.20069006</f>
        <v>23.200690059999999</v>
      </c>
      <c r="CE303">
        <f>24.54812776</f>
        <v>24.54812776</v>
      </c>
      <c r="CF303">
        <f>25.15108259</f>
        <v>25.151082590000001</v>
      </c>
      <c r="CG303">
        <f>24.97028203</f>
        <v>24.97028203</v>
      </c>
      <c r="CH303">
        <f>24.72363605</f>
        <v>24.72363605</v>
      </c>
      <c r="CI303">
        <f>24.60597461</f>
        <v>24.605974610000001</v>
      </c>
      <c r="CJ303">
        <f>25.09945517</f>
        <v>25.099455169999999</v>
      </c>
      <c r="CK303">
        <f>25.01559795</f>
        <v>25.01559795</v>
      </c>
      <c r="CL303">
        <f>25.48749879</f>
        <v>25.48749879</v>
      </c>
      <c r="CM303">
        <f>25.93267899</f>
        <v>25.932678989999999</v>
      </c>
      <c r="CN303">
        <f>25.2563811</f>
        <v>25.256381099999999</v>
      </c>
      <c r="CO303">
        <f>26.58715721</f>
        <v>26.587157210000001</v>
      </c>
      <c r="CP303">
        <f>26.79636471</f>
        <v>26.796364709999999</v>
      </c>
      <c r="CQ303">
        <f>26.54185596</f>
        <v>26.541855959999999</v>
      </c>
      <c r="CR303">
        <f>26.67936272</f>
        <v>26.67936272</v>
      </c>
      <c r="CS303">
        <f>23.98655845</f>
        <v>23.98655845</v>
      </c>
      <c r="CT303">
        <f>24.87838946</f>
        <v>24.878389460000001</v>
      </c>
      <c r="CU303">
        <f>25.43332183</f>
        <v>25.433321830000001</v>
      </c>
      <c r="CV303">
        <f>25.50486199</f>
        <v>25.504861989999998</v>
      </c>
      <c r="CW303">
        <f>24.94108631</f>
        <v>24.941086309999999</v>
      </c>
      <c r="CX303">
        <f>27.02906814</f>
        <v>27.02906814</v>
      </c>
      <c r="CY303">
        <f>26.70073013</f>
        <v>26.70073013</v>
      </c>
      <c r="CZ303">
        <f>25.95582234</f>
        <v>25.955822340000001</v>
      </c>
      <c r="DA303">
        <f>25.2530898</f>
        <v>25.253089800000001</v>
      </c>
      <c r="DB303">
        <f>25.28461641</f>
        <v>25.284616410000002</v>
      </c>
      <c r="DC303">
        <f>22.41861296</f>
        <v>22.418612960000001</v>
      </c>
      <c r="DD303">
        <f>22.4575611</f>
        <v>22.457561099999999</v>
      </c>
      <c r="DE303">
        <f>21.03788966</f>
        <v>21.037889660000001</v>
      </c>
      <c r="DF303">
        <f>19.54776847</f>
        <v>19.547768470000001</v>
      </c>
      <c r="DG303">
        <f>19.94626537</f>
        <v>19.946265369999999</v>
      </c>
      <c r="DH303">
        <f>20.27765883</f>
        <v>20.27765883</v>
      </c>
      <c r="DI303">
        <f>20.51912072</f>
        <v>20.51912072</v>
      </c>
      <c r="DJ303">
        <f>20.77450566</f>
        <v>20.774505659999999</v>
      </c>
      <c r="DK303">
        <f>21.60088768</f>
        <v>21.60088768</v>
      </c>
      <c r="DL303">
        <f>56.6975903</f>
        <v>56.697590300000002</v>
      </c>
      <c r="DM303">
        <f>57.4227512</f>
        <v>57.4227512</v>
      </c>
      <c r="DN303">
        <f>55.26641449</f>
        <v>55.266414490000003</v>
      </c>
      <c r="DO303">
        <f>22.89068714</f>
        <v>22.890687140000001</v>
      </c>
      <c r="DP303">
        <f>28.54748634</f>
        <v>28.547486339999999</v>
      </c>
      <c r="DQ303">
        <f>64.35261444</f>
        <v>64.352614439999996</v>
      </c>
      <c r="DR303">
        <f>63.8382648</f>
        <v>63.838264799999997</v>
      </c>
      <c r="DS303">
        <f>26.79245617</f>
        <v>26.792456170000001</v>
      </c>
      <c r="DT303">
        <f>61.98588717</f>
        <v>61.985887169999998</v>
      </c>
      <c r="DU303">
        <f>61.7965714</f>
        <v>61.796571399999998</v>
      </c>
    </row>
    <row r="304" spans="1:125">
      <c r="A304" t="str">
        <f>"    Tanger Factory Outlet Centers"</f>
        <v xml:space="preserve">    Tanger Factory Outlet Centers</v>
      </c>
      <c r="B304" t="str">
        <f>"SKT US Equity"</f>
        <v>SKT US Equity</v>
      </c>
      <c r="C304" t="str">
        <f t="shared" si="54"/>
        <v>RR147</v>
      </c>
      <c r="D304" t="str">
        <f t="shared" si="55"/>
        <v>LT_DEBT_TO_TOT_ASSET</v>
      </c>
      <c r="E304" t="str">
        <f t="shared" si="56"/>
        <v>动态</v>
      </c>
      <c r="F304" t="str">
        <f ca="1">IF(AND(ISNUMBER($F$747),$B$419=1),$F$747,HLOOKUP(INDIRECT(ADDRESS(2,COLUMN())),OFFSET($BN$2,0,0,ROW()-1,60),ROW()-1,FALSE))</f>
        <v/>
      </c>
      <c r="G304">
        <f ca="1">IF(AND(ISNUMBER($G$747),$B$419=1),$G$747,HLOOKUP(INDIRECT(ADDRESS(2,COLUMN())),OFFSET($BN$2,0,0,ROW()-1,60),ROW()-1,FALSE))</f>
        <v>3.9274360709999998</v>
      </c>
      <c r="H304">
        <f ca="1">IF(AND(ISNUMBER($H$747),$B$419=1),$H$747,HLOOKUP(INDIRECT(ADDRESS(2,COLUMN())),OFFSET($BN$2,0,0,ROW()-1,60),ROW()-1,FALSE))</f>
        <v>6.7196391350000004</v>
      </c>
      <c r="I304">
        <f ca="1">IF(AND(ISNUMBER($I$747),$B$419=1),$I$747,HLOOKUP(INDIRECT(ADDRESS(2,COLUMN())),OFFSET($BN$2,0,0,ROW()-1,60),ROW()-1,FALSE))</f>
        <v>6.7687477290000002</v>
      </c>
      <c r="J304">
        <f ca="1">IF(AND(ISNUMBER($J$747),$B$419=1),$J$747,HLOOKUP(INDIRECT(ADDRESS(2,COLUMN())),OFFSET($BN$2,0,0,ROW()-1,60),ROW()-1,FALSE))</f>
        <v>6.7509262650000004</v>
      </c>
      <c r="K304">
        <f ca="1">IF(AND(ISNUMBER($K$747),$B$419=1),$K$747,HLOOKUP(INDIRECT(ADDRESS(2,COLUMN())),OFFSET($BN$2,0,0,ROW()-1,60),ROW()-1,FALSE))</f>
        <v>6.8143474780000002</v>
      </c>
      <c r="L304">
        <f ca="1">IF(AND(ISNUMBER($L$747),$B$419=1),$L$747,HLOOKUP(INDIRECT(ADDRESS(2,COLUMN())),OFFSET($BN$2,0,0,ROW()-1,60),ROW()-1,FALSE))</f>
        <v>6.7416033070000001</v>
      </c>
      <c r="M304">
        <f ca="1">IF(AND(ISNUMBER($M$747),$B$419=1),$M$747,HLOOKUP(INDIRECT(ADDRESS(2,COLUMN())),OFFSET($BN$2,0,0,ROW()-1,60),ROW()-1,FALSE))</f>
        <v>9.8856747550000001</v>
      </c>
      <c r="N304">
        <f ca="1">IF(AND(ISNUMBER($N$747),$B$419=1),$N$747,HLOOKUP(INDIRECT(ADDRESS(2,COLUMN())),OFFSET($BN$2,0,0,ROW()-1,60),ROW()-1,FALSE))</f>
        <v>7.6509878999999996</v>
      </c>
      <c r="O304">
        <f ca="1">IF(AND(ISNUMBER($O$747),$B$419=1),$O$747,HLOOKUP(INDIRECT(ADDRESS(2,COLUMN())),OFFSET($BN$2,0,0,ROW()-1,60),ROW()-1,FALSE))</f>
        <v>13.417299359999999</v>
      </c>
      <c r="P304">
        <f ca="1">IF(AND(ISNUMBER($P$747),$B$419=1),$P$747,HLOOKUP(INDIRECT(ADDRESS(2,COLUMN())),OFFSET($BN$2,0,0,ROW()-1,60),ROW()-1,FALSE))</f>
        <v>12.6396865</v>
      </c>
      <c r="Q304">
        <f ca="1">IF(AND(ISNUMBER($Q$747),$B$419=1),$Q$747,HLOOKUP(INDIRECT(ADDRESS(2,COLUMN())),OFFSET($BN$2,0,0,ROW()-1,60),ROW()-1,FALSE))</f>
        <v>12.65303325</v>
      </c>
      <c r="R304">
        <f ca="1">IF(AND(ISNUMBER($R$747),$B$419=1),$R$747,HLOOKUP(INDIRECT(ADDRESS(2,COLUMN())),OFFSET($BN$2,0,0,ROW()-1,60),ROW()-1,FALSE))</f>
        <v>13.39003089</v>
      </c>
      <c r="S304">
        <f ca="1">IF(AND(ISNUMBER($S$747),$B$419=1),$S$747,HLOOKUP(INDIRECT(ADDRESS(2,COLUMN())),OFFSET($BN$2,0,0,ROW()-1,60),ROW()-1,FALSE))</f>
        <v>12.93636719</v>
      </c>
      <c r="T304">
        <f ca="1">IF(AND(ISNUMBER($T$747),$B$419=1),$T$747,HLOOKUP(INDIRECT(ADDRESS(2,COLUMN())),OFFSET($BN$2,0,0,ROW()-1,60),ROW()-1,FALSE))</f>
        <v>12.63743992</v>
      </c>
      <c r="U304">
        <f ca="1">IF(AND(ISNUMBER($U$747),$B$419=1),$U$747,HLOOKUP(INDIRECT(ADDRESS(2,COLUMN())),OFFSET($BN$2,0,0,ROW()-1,60),ROW()-1,FALSE))</f>
        <v>12.74707341</v>
      </c>
      <c r="V304">
        <f ca="1">IF(AND(ISNUMBER($V$747),$B$419=1),$V$747,HLOOKUP(INDIRECT(ADDRESS(2,COLUMN())),OFFSET($BN$2,0,0,ROW()-1,60),ROW()-1,FALSE))</f>
        <v>12.95087968</v>
      </c>
      <c r="W304">
        <f ca="1">IF(AND(ISNUMBER($W$747),$B$419=1),$W$747,HLOOKUP(INDIRECT(ADDRESS(2,COLUMN())),OFFSET($BN$2,0,0,ROW()-1,60),ROW()-1,FALSE))</f>
        <v>12.971777100000001</v>
      </c>
      <c r="X304">
        <f ca="1">IF(AND(ISNUMBER($X$747),$B$419=1),$X$747,HLOOKUP(INDIRECT(ADDRESS(2,COLUMN())),OFFSET($BN$2,0,0,ROW()-1,60),ROW()-1,FALSE))</f>
        <v>12.827659649999999</v>
      </c>
      <c r="Y304">
        <f ca="1">IF(AND(ISNUMBER($Y$747),$B$419=1),$Y$747,HLOOKUP(INDIRECT(ADDRESS(2,COLUMN())),OFFSET($BN$2,0,0,ROW()-1,60),ROW()-1,FALSE))</f>
        <v>6.4906545260000001</v>
      </c>
      <c r="Z304">
        <f ca="1">IF(AND(ISNUMBER($Z$747),$B$419=1),$Z$747,HLOOKUP(INDIRECT(ADDRESS(2,COLUMN())),OFFSET($BN$2,0,0,ROW()-1,60),ROW()-1,FALSE))</f>
        <v>6.805791513</v>
      </c>
      <c r="AA304">
        <f ca="1">IF(AND(ISNUMBER($AA$747),$B$419=1),$AA$747,HLOOKUP(INDIRECT(ADDRESS(2,COLUMN())),OFFSET($BN$2,0,0,ROW()-1,60),ROW()-1,FALSE))</f>
        <v>6.8399451989999998</v>
      </c>
      <c r="AB304">
        <f ca="1">IF(AND(ISNUMBER($AB$747),$B$419=1),$AB$747,HLOOKUP(INDIRECT(ADDRESS(2,COLUMN())),OFFSET($BN$2,0,0,ROW()-1,60),ROW()-1,FALSE))</f>
        <v>7.2727350380000004</v>
      </c>
      <c r="AC304">
        <f ca="1">IF(AND(ISNUMBER($AC$747),$B$419=1),$AC$747,HLOOKUP(INDIRECT(ADDRESS(2,COLUMN())),OFFSET($BN$2,0,0,ROW()-1,60),ROW()-1,FALSE))</f>
        <v>7.5700738259999998</v>
      </c>
      <c r="AD304">
        <f ca="1">IF(AND(ISNUMBER($AD$747),$B$419=1),$AD$747,HLOOKUP(INDIRECT(ADDRESS(2,COLUMN())),OFFSET($BN$2,0,0,ROW()-1,60),ROW()-1,FALSE))</f>
        <v>7.7176906069999998</v>
      </c>
      <c r="AE304">
        <f ca="1">IF(AND(ISNUMBER($AE$747),$B$419=1),$AE$747,HLOOKUP(INDIRECT(ADDRESS(2,COLUMN())),OFFSET($BN$2,0,0,ROW()-1,60),ROW()-1,FALSE))</f>
        <v>7.7095722999999996</v>
      </c>
      <c r="AF304">
        <f ca="1">IF(AND(ISNUMBER($AF$747),$B$419=1),$AF$747,HLOOKUP(INDIRECT(ADDRESS(2,COLUMN())),OFFSET($BN$2,0,0,ROW()-1,60),ROW()-1,FALSE))</f>
        <v>8.2554323610000004</v>
      </c>
      <c r="AG304">
        <f ca="1">IF(AND(ISNUMBER($AG$747),$B$419=1),$AG$747,HLOOKUP(INDIRECT(ADDRESS(2,COLUMN())),OFFSET($BN$2,0,0,ROW()-1,60),ROW()-1,FALSE))</f>
        <v>1.9986267799999999</v>
      </c>
      <c r="AH304">
        <f ca="1">IF(AND(ISNUMBER($AH$747),$B$419=1),$AH$747,HLOOKUP(INDIRECT(ADDRESS(2,COLUMN())),OFFSET($BN$2,0,0,ROW()-1,60),ROW()-1,FALSE))</f>
        <v>2.5433328629999998</v>
      </c>
      <c r="AI304">
        <f ca="1">IF(AND(ISNUMBER($AI$747),$B$419=1),$AI$747,HLOOKUP(INDIRECT(ADDRESS(2,COLUMN())),OFFSET($BN$2,0,0,ROW()-1,60),ROW()-1,FALSE))</f>
        <v>2.615671844</v>
      </c>
      <c r="AJ304">
        <f ca="1">IF(AND(ISNUMBER($AJ$747),$B$419=1),$AJ$747,HLOOKUP(INDIRECT(ADDRESS(2,COLUMN())),OFFSET($BN$2,0,0,ROW()-1,60),ROW()-1,FALSE))</f>
        <v>2.5928576379999999</v>
      </c>
      <c r="AK304">
        <f ca="1">IF(AND(ISNUMBER($AK$747),$B$419=1),$AK$747,HLOOKUP(INDIRECT(ADDRESS(2,COLUMN())),OFFSET($BN$2,0,0,ROW()-1,60),ROW()-1,FALSE))</f>
        <v>2.6145326249999998</v>
      </c>
      <c r="AL304">
        <f ca="1">IF(AND(ISNUMBER($AL$747),$B$419=1),$AL$747,HLOOKUP(INDIRECT(ADDRESS(2,COLUMN())),OFFSET($BN$2,0,0,ROW()-1,60),ROW()-1,FALSE))</f>
        <v>1.914697944</v>
      </c>
      <c r="AM304">
        <f ca="1">IF(AND(ISNUMBER($AM$747),$B$419=1),$AM$747,HLOOKUP(INDIRECT(ADDRESS(2,COLUMN())),OFFSET($BN$2,0,0,ROW()-1,60),ROW()-1,FALSE))</f>
        <v>3.0163861559999998</v>
      </c>
      <c r="AN304">
        <f ca="1">IF(AND(ISNUMBER($AN$747),$B$419=1),$AN$747,HLOOKUP(INDIRECT(ADDRESS(2,COLUMN())),OFFSET($BN$2,0,0,ROW()-1,60),ROW()-1,FALSE))</f>
        <v>3.6718666999999998</v>
      </c>
      <c r="AO304">
        <f ca="1">IF(AND(ISNUMBER($AO$747),$B$419=1),$AO$747,HLOOKUP(INDIRECT(ADDRESS(2,COLUMN())),OFFSET($BN$2,0,0,ROW()-1,60),ROW()-1,FALSE))</f>
        <v>3.4658267719999998</v>
      </c>
      <c r="AP304">
        <f ca="1">IF(AND(ISNUMBER($AP$747),$B$419=1),$AP$747,HLOOKUP(INDIRECT(ADDRESS(2,COLUMN())),OFFSET($BN$2,0,0,ROW()-1,60),ROW()-1,FALSE))</f>
        <v>3.6138032999999998</v>
      </c>
      <c r="AQ304">
        <f ca="1">IF(AND(ISNUMBER($AQ$747),$B$419=1),$AQ$747,HLOOKUP(INDIRECT(ADDRESS(2,COLUMN())),OFFSET($BN$2,0,0,ROW()-1,60),ROW()-1,FALSE))</f>
        <v>1.066737973</v>
      </c>
      <c r="AR304">
        <f ca="1">IF(AND(ISNUMBER($AR$747),$B$419=1),$AR$747,HLOOKUP(INDIRECT(ADDRESS(2,COLUMN())),OFFSET($BN$2,0,0,ROW()-1,60),ROW()-1,FALSE))</f>
        <v>20.893884849999999</v>
      </c>
      <c r="AS304">
        <f ca="1">IF(AND(ISNUMBER($AS$747),$B$419=1),$AS$747,HLOOKUP(INDIRECT(ADDRESS(2,COLUMN())),OFFSET($BN$2,0,0,ROW()-1,60),ROW()-1,FALSE))</f>
        <v>21.369056329999999</v>
      </c>
      <c r="AT304">
        <f ca="1">IF(AND(ISNUMBER($AT$747),$B$419=1),$AT$747,HLOOKUP(INDIRECT(ADDRESS(2,COLUMN())),OFFSET($BN$2,0,0,ROW()-1,60),ROW()-1,FALSE))</f>
        <v>16.040441959999999</v>
      </c>
      <c r="AU304">
        <f ca="1">IF(AND(ISNUMBER($AU$747),$B$419=1),$AU$747,HLOOKUP(INDIRECT(ADDRESS(2,COLUMN())),OFFSET($BN$2,0,0,ROW()-1,60),ROW()-1,FALSE))</f>
        <v>18.630644740000001</v>
      </c>
      <c r="AV304">
        <f ca="1">IF(AND(ISNUMBER($AV$747),$B$419=1),$AV$747,HLOOKUP(INDIRECT(ADDRESS(2,COLUMN())),OFFSET($BN$2,0,0,ROW()-1,60),ROW()-1,FALSE))</f>
        <v>19.294278689999999</v>
      </c>
      <c r="AW304">
        <f ca="1">IF(AND(ISNUMBER($AW$747),$B$419=1),$AW$747,HLOOKUP(INDIRECT(ADDRESS(2,COLUMN())),OFFSET($BN$2,0,0,ROW()-1,60),ROW()-1,FALSE))</f>
        <v>16.97130568</v>
      </c>
      <c r="AX304">
        <f ca="1">IF(AND(ISNUMBER($AX$747),$B$419=1),$AX$747,HLOOKUP(INDIRECT(ADDRESS(2,COLUMN())),OFFSET($BN$2,0,0,ROW()-1,60),ROW()-1,FALSE))</f>
        <v>17.33635422</v>
      </c>
      <c r="AY304">
        <f ca="1">IF(AND(ISNUMBER($AY$747),$B$419=1),$AY$747,HLOOKUP(INDIRECT(ADDRESS(2,COLUMN())),OFFSET($BN$2,0,0,ROW()-1,60),ROW()-1,FALSE))</f>
        <v>19.542654899999999</v>
      </c>
      <c r="AZ304">
        <f ca="1">IF(AND(ISNUMBER($AZ$747),$B$419=1),$AZ$747,HLOOKUP(INDIRECT(ADDRESS(2,COLUMN())),OFFSET($BN$2,0,0,ROW()-1,60),ROW()-1,FALSE))</f>
        <v>17.386837490000001</v>
      </c>
      <c r="BA304">
        <f ca="1">IF(AND(ISNUMBER($BA$747),$B$419=1),$BA$747,HLOOKUP(INDIRECT(ADDRESS(2,COLUMN())),OFFSET($BN$2,0,0,ROW()-1,60),ROW()-1,FALSE))</f>
        <v>19.38705534</v>
      </c>
      <c r="BB304">
        <f ca="1">IF(AND(ISNUMBER($BB$747),$B$419=1),$BB$747,HLOOKUP(INDIRECT(ADDRESS(2,COLUMN())),OFFSET($BN$2,0,0,ROW()-1,60),ROW()-1,FALSE))</f>
        <v>19.666676519999999</v>
      </c>
      <c r="BC304">
        <f ca="1">IF(AND(ISNUMBER($BC$747),$B$419=1),$BC$747,HLOOKUP(INDIRECT(ADDRESS(2,COLUMN())),OFFSET($BN$2,0,0,ROW()-1,60),ROW()-1,FALSE))</f>
        <v>21.456718689999999</v>
      </c>
      <c r="BD304">
        <f ca="1">IF(AND(ISNUMBER($BD$747),$B$419=1),$BD$747,HLOOKUP(INDIRECT(ADDRESS(2,COLUMN())),OFFSET($BN$2,0,0,ROW()-1,60),ROW()-1,FALSE))</f>
        <v>29.869372169999998</v>
      </c>
      <c r="BE304">
        <f ca="1">IF(AND(ISNUMBER($BE$747),$B$419=1),$BE$747,HLOOKUP(INDIRECT(ADDRESS(2,COLUMN())),OFFSET($BN$2,0,0,ROW()-1,60),ROW()-1,FALSE))</f>
        <v>31.604093110000001</v>
      </c>
      <c r="BF304">
        <f ca="1">IF(AND(ISNUMBER($BF$747),$B$419=1),$BF$747,HLOOKUP(INDIRECT(ADDRESS(2,COLUMN())),OFFSET($BN$2,0,0,ROW()-1,60),ROW()-1,FALSE))</f>
        <v>33.089545719999997</v>
      </c>
      <c r="BG304">
        <f ca="1">IF(AND(ISNUMBER($BG$747),$B$419=1),$BG$747,HLOOKUP(INDIRECT(ADDRESS(2,COLUMN())),OFFSET($BN$2,0,0,ROW()-1,60),ROW()-1,FALSE))</f>
        <v>34.201999620000002</v>
      </c>
      <c r="BH304">
        <f ca="1">IF(AND(ISNUMBER($BH$747),$B$419=1),$BH$747,HLOOKUP(INDIRECT(ADDRESS(2,COLUMN())),OFFSET($BN$2,0,0,ROW()-1,60),ROW()-1,FALSE))</f>
        <v>32.258175119999997</v>
      </c>
      <c r="BI304">
        <f ca="1">IF(AND(ISNUMBER($BI$747),$B$419=1),$BI$747,HLOOKUP(INDIRECT(ADDRESS(2,COLUMN())),OFFSET($BN$2,0,0,ROW()-1,60),ROW()-1,FALSE))</f>
        <v>37.661783159999999</v>
      </c>
      <c r="BJ304">
        <f ca="1">IF(AND(ISNUMBER($BJ$747),$B$419=1),$BJ$747,HLOOKUP(INDIRECT(ADDRESS(2,COLUMN())),OFFSET($BN$2,0,0,ROW()-1,60),ROW()-1,FALSE))</f>
        <v>37.564229339999997</v>
      </c>
      <c r="BK304">
        <f ca="1">IF(AND(ISNUMBER($BK$747),$B$419=1),$BK$747,HLOOKUP(INDIRECT(ADDRESS(2,COLUMN())),OFFSET($BN$2,0,0,ROW()-1,60),ROW()-1,FALSE))</f>
        <v>37.486948460000001</v>
      </c>
      <c r="BL304">
        <f ca="1">IF(AND(ISNUMBER($BL$747),$B$419=1),$BL$747,HLOOKUP(INDIRECT(ADDRESS(2,COLUMN())),OFFSET($BN$2,0,0,ROW()-1,60),ROW()-1,FALSE))</f>
        <v>37.077019610000001</v>
      </c>
      <c r="BM304">
        <f ca="1">IF(AND(ISNUMBER($BM$747),$B$419=1),$BM$747,HLOOKUP(INDIRECT(ADDRESS(2,COLUMN())),OFFSET($BN$2,0,0,ROW()-1,60),ROW()-1,FALSE))</f>
        <v>36.92928362</v>
      </c>
      <c r="BN304" t="str">
        <f>""</f>
        <v/>
      </c>
      <c r="BO304">
        <f>3.927436071</f>
        <v>3.9274360709999998</v>
      </c>
      <c r="BP304">
        <f>6.719639135</f>
        <v>6.7196391350000004</v>
      </c>
      <c r="BQ304">
        <f>6.768747729</f>
        <v>6.7687477290000002</v>
      </c>
      <c r="BR304">
        <f>6.750926265</f>
        <v>6.7509262650000004</v>
      </c>
      <c r="BS304">
        <f>6.814347478</f>
        <v>6.8143474780000002</v>
      </c>
      <c r="BT304">
        <f>6.741603307</f>
        <v>6.7416033070000001</v>
      </c>
      <c r="BU304">
        <f>9.885674755</f>
        <v>9.8856747550000001</v>
      </c>
      <c r="BV304">
        <f>7.6509879</f>
        <v>7.6509878999999996</v>
      </c>
      <c r="BW304">
        <f>13.41729936</f>
        <v>13.417299359999999</v>
      </c>
      <c r="BX304">
        <f>12.6396865</f>
        <v>12.6396865</v>
      </c>
      <c r="BY304">
        <f>12.65303325</f>
        <v>12.65303325</v>
      </c>
      <c r="BZ304">
        <f>13.39003089</f>
        <v>13.39003089</v>
      </c>
      <c r="CA304">
        <f>12.93636719</f>
        <v>12.93636719</v>
      </c>
      <c r="CB304">
        <f>12.63743992</f>
        <v>12.63743992</v>
      </c>
      <c r="CC304">
        <f>12.74707341</f>
        <v>12.74707341</v>
      </c>
      <c r="CD304">
        <f>12.95087968</f>
        <v>12.95087968</v>
      </c>
      <c r="CE304">
        <f>12.9717771</f>
        <v>12.971777100000001</v>
      </c>
      <c r="CF304">
        <f>12.82765965</f>
        <v>12.827659649999999</v>
      </c>
      <c r="CG304">
        <f>6.490654526</f>
        <v>6.4906545260000001</v>
      </c>
      <c r="CH304">
        <f>6.805791513</f>
        <v>6.805791513</v>
      </c>
      <c r="CI304">
        <f>6.839945199</f>
        <v>6.8399451989999998</v>
      </c>
      <c r="CJ304">
        <f>7.272735038</f>
        <v>7.2727350380000004</v>
      </c>
      <c r="CK304">
        <f>7.570073826</f>
        <v>7.5700738259999998</v>
      </c>
      <c r="CL304">
        <f>7.717690607</f>
        <v>7.7176906069999998</v>
      </c>
      <c r="CM304">
        <f>7.7095723</f>
        <v>7.7095722999999996</v>
      </c>
      <c r="CN304">
        <f>8.255432361</f>
        <v>8.2554323610000004</v>
      </c>
      <c r="CO304">
        <f>1.99862678</f>
        <v>1.9986267799999999</v>
      </c>
      <c r="CP304">
        <f>2.543332863</f>
        <v>2.5433328629999998</v>
      </c>
      <c r="CQ304">
        <f>2.615671844</f>
        <v>2.615671844</v>
      </c>
      <c r="CR304">
        <f>2.592857638</f>
        <v>2.5928576379999999</v>
      </c>
      <c r="CS304">
        <f>2.614532625</f>
        <v>2.6145326249999998</v>
      </c>
      <c r="CT304">
        <f>1.914697944</f>
        <v>1.914697944</v>
      </c>
      <c r="CU304">
        <f>3.016386156</f>
        <v>3.0163861559999998</v>
      </c>
      <c r="CV304">
        <f>3.6718667</f>
        <v>3.6718666999999998</v>
      </c>
      <c r="CW304">
        <f>3.465826772</f>
        <v>3.4658267719999998</v>
      </c>
      <c r="CX304">
        <f>3.6138033</f>
        <v>3.6138032999999998</v>
      </c>
      <c r="CY304">
        <f>1.066737973</f>
        <v>1.066737973</v>
      </c>
      <c r="CZ304">
        <f>20.89388485</f>
        <v>20.893884849999999</v>
      </c>
      <c r="DA304">
        <f>21.36905633</f>
        <v>21.369056329999999</v>
      </c>
      <c r="DB304">
        <f>16.04044196</f>
        <v>16.040441959999999</v>
      </c>
      <c r="DC304">
        <f>18.63064474</f>
        <v>18.630644740000001</v>
      </c>
      <c r="DD304">
        <f>19.29427869</f>
        <v>19.294278689999999</v>
      </c>
      <c r="DE304">
        <f>16.97130568</f>
        <v>16.97130568</v>
      </c>
      <c r="DF304">
        <f>17.33635422</f>
        <v>17.33635422</v>
      </c>
      <c r="DG304">
        <f>19.5426549</f>
        <v>19.542654899999999</v>
      </c>
      <c r="DH304">
        <f>17.38683749</f>
        <v>17.386837490000001</v>
      </c>
      <c r="DI304">
        <f>19.38705534</f>
        <v>19.38705534</v>
      </c>
      <c r="DJ304">
        <f>19.66667652</f>
        <v>19.666676519999999</v>
      </c>
      <c r="DK304">
        <f>21.45671869</f>
        <v>21.456718689999999</v>
      </c>
      <c r="DL304">
        <f>29.86937217</f>
        <v>29.869372169999998</v>
      </c>
      <c r="DM304">
        <f>31.60409311</f>
        <v>31.604093110000001</v>
      </c>
      <c r="DN304">
        <f>33.08954572</f>
        <v>33.089545719999997</v>
      </c>
      <c r="DO304">
        <f>34.20199962</f>
        <v>34.201999620000002</v>
      </c>
      <c r="DP304">
        <f>32.25817512</f>
        <v>32.258175119999997</v>
      </c>
      <c r="DQ304">
        <f>37.66178316</f>
        <v>37.661783159999999</v>
      </c>
      <c r="DR304">
        <f>37.56422934</f>
        <v>37.564229339999997</v>
      </c>
      <c r="DS304">
        <f>37.48694846</f>
        <v>37.486948460000001</v>
      </c>
      <c r="DT304">
        <f>37.07701961</f>
        <v>37.077019610000001</v>
      </c>
      <c r="DU304">
        <f>36.92928362</f>
        <v>36.92928362</v>
      </c>
    </row>
    <row r="305" spans="1:125">
      <c r="A305" t="str">
        <f>"    VEREIT Inc"</f>
        <v xml:space="preserve">    VEREIT Inc</v>
      </c>
      <c r="B305" t="str">
        <f>"VER US Equity"</f>
        <v>VER US Equity</v>
      </c>
      <c r="C305" t="str">
        <f t="shared" si="54"/>
        <v>RR147</v>
      </c>
      <c r="D305" t="str">
        <f t="shared" si="55"/>
        <v>LT_DEBT_TO_TOT_ASSET</v>
      </c>
      <c r="E305" t="str">
        <f t="shared" si="56"/>
        <v>动态</v>
      </c>
      <c r="F305" t="str">
        <f ca="1">IF(AND(ISNUMBER($F$748),$B$419=1),$F$748,HLOOKUP(INDIRECT(ADDRESS(2,COLUMN())),OFFSET($BN$2,0,0,ROW()-1,60),ROW()-1,FALSE))</f>
        <v/>
      </c>
      <c r="G305">
        <f ca="1">IF(AND(ISNUMBER($G$748),$B$419=1),$G$748,HLOOKUP(INDIRECT(ADDRESS(2,COLUMN())),OFFSET($BN$2,0,0,ROW()-1,60),ROW()-1,FALSE))</f>
        <v>40.04224791</v>
      </c>
      <c r="H305">
        <f ca="1">IF(AND(ISNUMBER($H$748),$B$419=1),$H$748,HLOOKUP(INDIRECT(ADDRESS(2,COLUMN())),OFFSET($BN$2,0,0,ROW()-1,60),ROW()-1,FALSE))</f>
        <v>40.15331621</v>
      </c>
      <c r="I305">
        <f ca="1">IF(AND(ISNUMBER($I$748),$B$419=1),$I$748,HLOOKUP(INDIRECT(ADDRESS(2,COLUMN())),OFFSET($BN$2,0,0,ROW()-1,60),ROW()-1,FALSE))</f>
        <v>37.135673480000001</v>
      </c>
      <c r="J305">
        <f ca="1">IF(AND(ISNUMBER($J$748),$B$419=1),$J$748,HLOOKUP(INDIRECT(ADDRESS(2,COLUMN())),OFFSET($BN$2,0,0,ROW()-1,60),ROW()-1,FALSE))</f>
        <v>40.942849410000001</v>
      </c>
      <c r="K305">
        <f ca="1">IF(AND(ISNUMBER($K$748),$B$419=1),$K$748,HLOOKUP(INDIRECT(ADDRESS(2,COLUMN())),OFFSET($BN$2,0,0,ROW()-1,60),ROW()-1,FALSE))</f>
        <v>40.848229490000001</v>
      </c>
      <c r="L305">
        <f ca="1">IF(AND(ISNUMBER($L$748),$B$419=1),$L$748,HLOOKUP(INDIRECT(ADDRESS(2,COLUMN())),OFFSET($BN$2,0,0,ROW()-1,60),ROW()-1,FALSE))</f>
        <v>40.809188300000002</v>
      </c>
      <c r="M305">
        <f ca="1">IF(AND(ISNUMBER($M$748),$B$419=1),$M$748,HLOOKUP(INDIRECT(ADDRESS(2,COLUMN())),OFFSET($BN$2,0,0,ROW()-1,60),ROW()-1,FALSE))</f>
        <v>48.679062790000003</v>
      </c>
      <c r="N305">
        <f ca="1">IF(AND(ISNUMBER($N$748),$B$419=1),$N$748,HLOOKUP(INDIRECT(ADDRESS(2,COLUMN())),OFFSET($BN$2,0,0,ROW()-1,60),ROW()-1,FALSE))</f>
        <v>46.323585459999997</v>
      </c>
      <c r="O305">
        <f ca="1">IF(AND(ISNUMBER($O$748),$B$419=1),$O$748,HLOOKUP(INDIRECT(ADDRESS(2,COLUMN())),OFFSET($BN$2,0,0,ROW()-1,60),ROW()-1,FALSE))</f>
        <v>46.305090479999997</v>
      </c>
      <c r="P305">
        <f ca="1">IF(AND(ISNUMBER($P$748),$B$419=1),$P$748,HLOOKUP(INDIRECT(ADDRESS(2,COLUMN())),OFFSET($BN$2,0,0,ROW()-1,60),ROW()-1,FALSE))</f>
        <v>47.30583257</v>
      </c>
      <c r="Q305">
        <f ca="1">IF(AND(ISNUMBER($Q$748),$B$419=1),$Q$748,HLOOKUP(INDIRECT(ADDRESS(2,COLUMN())),OFFSET($BN$2,0,0,ROW()-1,60),ROW()-1,FALSE))</f>
        <v>49.068361959999997</v>
      </c>
      <c r="R305">
        <f ca="1">IF(AND(ISNUMBER($R$748),$B$419=1),$R$748,HLOOKUP(INDIRECT(ADDRESS(2,COLUMN())),OFFSET($BN$2,0,0,ROW()-1,60),ROW()-1,FALSE))</f>
        <v>51.087253689999997</v>
      </c>
      <c r="S305">
        <f ca="1">IF(AND(ISNUMBER($S$748),$B$419=1),$S$748,HLOOKUP(INDIRECT(ADDRESS(2,COLUMN())),OFFSET($BN$2,0,0,ROW()-1,60),ROW()-1,FALSE))</f>
        <v>51.038863210000002</v>
      </c>
      <c r="T305">
        <f ca="1">IF(AND(ISNUMBER($T$748),$B$419=1),$T$748,HLOOKUP(INDIRECT(ADDRESS(2,COLUMN())),OFFSET($BN$2,0,0,ROW()-1,60),ROW()-1,FALSE))</f>
        <v>50.569192209999997</v>
      </c>
      <c r="U305">
        <f ca="1">IF(AND(ISNUMBER($U$748),$B$419=1),$U$748,HLOOKUP(INDIRECT(ADDRESS(2,COLUMN())),OFFSET($BN$2,0,0,ROW()-1,60),ROW()-1,FALSE))</f>
        <v>45.246847979999998</v>
      </c>
      <c r="V305">
        <f ca="1">IF(AND(ISNUMBER($V$748),$B$419=1),$V$748,HLOOKUP(INDIRECT(ADDRESS(2,COLUMN())),OFFSET($BN$2,0,0,ROW()-1,60),ROW()-1,FALSE))</f>
        <v>49.657910280000003</v>
      </c>
      <c r="W305">
        <f ca="1">IF(AND(ISNUMBER($W$748),$B$419=1),$W$748,HLOOKUP(INDIRECT(ADDRESS(2,COLUMN())),OFFSET($BN$2,0,0,ROW()-1,60),ROW()-1,FALSE))</f>
        <v>54.339337919999998</v>
      </c>
      <c r="X305">
        <f ca="1">IF(AND(ISNUMBER($X$748),$B$419=1),$X$748,HLOOKUP(INDIRECT(ADDRESS(2,COLUMN())),OFFSET($BN$2,0,0,ROW()-1,60),ROW()-1,FALSE))</f>
        <v>37.158399539999998</v>
      </c>
      <c r="Y305">
        <f ca="1">IF(AND(ISNUMBER($Y$748),$B$419=1),$Y$748,HLOOKUP(INDIRECT(ADDRESS(2,COLUMN())),OFFSET($BN$2,0,0,ROW()-1,60),ROW()-1,FALSE))</f>
        <v>29.82454998</v>
      </c>
      <c r="Z305">
        <f ca="1">IF(AND(ISNUMBER($Z$748),$B$419=1),$Z$748,HLOOKUP(INDIRECT(ADDRESS(2,COLUMN())),OFFSET($BN$2,0,0,ROW()-1,60),ROW()-1,FALSE))</f>
        <v>43.346445719999998</v>
      </c>
      <c r="AA305">
        <f ca="1">IF(AND(ISNUMBER($AA$748),$B$419=1),$AA$748,HLOOKUP(INDIRECT(ADDRESS(2,COLUMN())),OFFSET($BN$2,0,0,ROW()-1,60),ROW()-1,FALSE))</f>
        <v>19.828619570000001</v>
      </c>
      <c r="AB305">
        <f ca="1">IF(AND(ISNUMBER($AB$748),$B$419=1),$AB$748,HLOOKUP(INDIRECT(ADDRESS(2,COLUMN())),OFFSET($BN$2,0,0,ROW()-1,60),ROW()-1,FALSE))</f>
        <v>55.984888269999999</v>
      </c>
      <c r="AC305">
        <f ca="1">IF(AND(ISNUMBER($AC$748),$B$419=1),$AC$748,HLOOKUP(INDIRECT(ADDRESS(2,COLUMN())),OFFSET($BN$2,0,0,ROW()-1,60),ROW()-1,FALSE))</f>
        <v>52.271755659999997</v>
      </c>
      <c r="AD305">
        <f ca="1">IF(AND(ISNUMBER($AD$748),$B$419=1),$AD$748,HLOOKUP(INDIRECT(ADDRESS(2,COLUMN())),OFFSET($BN$2,0,0,ROW()-1,60),ROW()-1,FALSE))</f>
        <v>58.551088040000003</v>
      </c>
      <c r="AE305">
        <f ca="1">IF(AND(ISNUMBER($AE$748),$B$419=1),$AE$748,HLOOKUP(INDIRECT(ADDRESS(2,COLUMN())),OFFSET($BN$2,0,0,ROW()-1,60),ROW()-1,FALSE))</f>
        <v>55.226058469999998</v>
      </c>
      <c r="AF305">
        <f ca="1">IF(AND(ISNUMBER($AF$748),$B$419=1),$AF$748,HLOOKUP(INDIRECT(ADDRESS(2,COLUMN())),OFFSET($BN$2,0,0,ROW()-1,60),ROW()-1,FALSE))</f>
        <v>58.01257013</v>
      </c>
      <c r="AG305">
        <f ca="1">IF(AND(ISNUMBER($AG$748),$B$419=1),$AG$748,HLOOKUP(INDIRECT(ADDRESS(2,COLUMN())),OFFSET($BN$2,0,0,ROW()-1,60),ROW()-1,FALSE))</f>
        <v>0</v>
      </c>
      <c r="AH305">
        <f ca="1">IF(AND(ISNUMBER($AH$748),$B$419=1),$AH$748,HLOOKUP(INDIRECT(ADDRESS(2,COLUMN())),OFFSET($BN$2,0,0,ROW()-1,60),ROW()-1,FALSE))</f>
        <v>112.8791153</v>
      </c>
      <c r="AI305" t="str">
        <f ca="1">IF(AND(ISNUMBER($AI$748),$B$419=1),$AI$748,HLOOKUP(INDIRECT(ADDRESS(2,COLUMN())),OFFSET($BN$2,0,0,ROW()-1,60),ROW()-1,FALSE))</f>
        <v/>
      </c>
      <c r="AJ305">
        <f ca="1">IF(AND(ISNUMBER($AJ$748),$B$419=1),$AJ$748,HLOOKUP(INDIRECT(ADDRESS(2,COLUMN())),OFFSET($BN$2,0,0,ROW()-1,60),ROW()-1,FALSE))</f>
        <v>109.7083698</v>
      </c>
      <c r="AK305" t="str">
        <f ca="1">IF(AND(ISNUMBER($AK$748),$B$419=1),$AK$748,HLOOKUP(INDIRECT(ADDRESS(2,COLUMN())),OFFSET($BN$2,0,0,ROW()-1,60),ROW()-1,FALSE))</f>
        <v/>
      </c>
      <c r="AL305" t="str">
        <f ca="1">IF(AND(ISNUMBER($AL$748),$B$419=1),$AL$748,HLOOKUP(INDIRECT(ADDRESS(2,COLUMN())),OFFSET($BN$2,0,0,ROW()-1,60),ROW()-1,FALSE))</f>
        <v/>
      </c>
      <c r="AM305" t="str">
        <f ca="1">IF(AND(ISNUMBER($AM$748),$B$419=1),$AM$748,HLOOKUP(INDIRECT(ADDRESS(2,COLUMN())),OFFSET($BN$2,0,0,ROW()-1,60),ROW()-1,FALSE))</f>
        <v/>
      </c>
      <c r="AN305" t="str">
        <f ca="1">IF(AND(ISNUMBER($AN$748),$B$419=1),$AN$748,HLOOKUP(INDIRECT(ADDRESS(2,COLUMN())),OFFSET($BN$2,0,0,ROW()-1,60),ROW()-1,FALSE))</f>
        <v/>
      </c>
      <c r="AO305" t="str">
        <f ca="1">IF(AND(ISNUMBER($AO$748),$B$419=1),$AO$748,HLOOKUP(INDIRECT(ADDRESS(2,COLUMN())),OFFSET($BN$2,0,0,ROW()-1,60),ROW()-1,FALSE))</f>
        <v/>
      </c>
      <c r="AP305" t="str">
        <f ca="1">IF(AND(ISNUMBER($AP$748),$B$419=1),$AP$748,HLOOKUP(INDIRECT(ADDRESS(2,COLUMN())),OFFSET($BN$2,0,0,ROW()-1,60),ROW()-1,FALSE))</f>
        <v/>
      </c>
      <c r="AQ305" t="str">
        <f ca="1">IF(AND(ISNUMBER($AQ$748),$B$419=1),$AQ$748,HLOOKUP(INDIRECT(ADDRESS(2,COLUMN())),OFFSET($BN$2,0,0,ROW()-1,60),ROW()-1,FALSE))</f>
        <v/>
      </c>
      <c r="AR305" t="str">
        <f ca="1">IF(AND(ISNUMBER($AR$748),$B$419=1),$AR$748,HLOOKUP(INDIRECT(ADDRESS(2,COLUMN())),OFFSET($BN$2,0,0,ROW()-1,60),ROW()-1,FALSE))</f>
        <v/>
      </c>
      <c r="AS305" t="str">
        <f ca="1">IF(AND(ISNUMBER($AS$748),$B$419=1),$AS$748,HLOOKUP(INDIRECT(ADDRESS(2,COLUMN())),OFFSET($BN$2,0,0,ROW()-1,60),ROW()-1,FALSE))</f>
        <v/>
      </c>
      <c r="AT305" t="str">
        <f ca="1">IF(AND(ISNUMBER($AT$748),$B$419=1),$AT$748,HLOOKUP(INDIRECT(ADDRESS(2,COLUMN())),OFFSET($BN$2,0,0,ROW()-1,60),ROW()-1,FALSE))</f>
        <v/>
      </c>
      <c r="AU305" t="str">
        <f ca="1">IF(AND(ISNUMBER($AU$748),$B$419=1),$AU$748,HLOOKUP(INDIRECT(ADDRESS(2,COLUMN())),OFFSET($BN$2,0,0,ROW()-1,60),ROW()-1,FALSE))</f>
        <v/>
      </c>
      <c r="AV305" t="str">
        <f ca="1">IF(AND(ISNUMBER($AV$748),$B$419=1),$AV$748,HLOOKUP(INDIRECT(ADDRESS(2,COLUMN())),OFFSET($BN$2,0,0,ROW()-1,60),ROW()-1,FALSE))</f>
        <v/>
      </c>
      <c r="AW305" t="str">
        <f ca="1">IF(AND(ISNUMBER($AW$748),$B$419=1),$AW$748,HLOOKUP(INDIRECT(ADDRESS(2,COLUMN())),OFFSET($BN$2,0,0,ROW()-1,60),ROW()-1,FALSE))</f>
        <v/>
      </c>
      <c r="AX305" t="str">
        <f ca="1">IF(AND(ISNUMBER($AX$748),$B$419=1),$AX$748,HLOOKUP(INDIRECT(ADDRESS(2,COLUMN())),OFFSET($BN$2,0,0,ROW()-1,60),ROW()-1,FALSE))</f>
        <v/>
      </c>
      <c r="AY305" t="str">
        <f ca="1">IF(AND(ISNUMBER($AY$748),$B$419=1),$AY$748,HLOOKUP(INDIRECT(ADDRESS(2,COLUMN())),OFFSET($BN$2,0,0,ROW()-1,60),ROW()-1,FALSE))</f>
        <v/>
      </c>
      <c r="AZ305" t="str">
        <f ca="1">IF(AND(ISNUMBER($AZ$748),$B$419=1),$AZ$748,HLOOKUP(INDIRECT(ADDRESS(2,COLUMN())),OFFSET($BN$2,0,0,ROW()-1,60),ROW()-1,FALSE))</f>
        <v/>
      </c>
      <c r="BA305" t="str">
        <f ca="1">IF(AND(ISNUMBER($BA$748),$B$419=1),$BA$748,HLOOKUP(INDIRECT(ADDRESS(2,COLUMN())),OFFSET($BN$2,0,0,ROW()-1,60),ROW()-1,FALSE))</f>
        <v/>
      </c>
      <c r="BB305" t="str">
        <f ca="1">IF(AND(ISNUMBER($BB$748),$B$419=1),$BB$748,HLOOKUP(INDIRECT(ADDRESS(2,COLUMN())),OFFSET($BN$2,0,0,ROW()-1,60),ROW()-1,FALSE))</f>
        <v/>
      </c>
      <c r="BC305" t="str">
        <f ca="1">IF(AND(ISNUMBER($BC$748),$B$419=1),$BC$748,HLOOKUP(INDIRECT(ADDRESS(2,COLUMN())),OFFSET($BN$2,0,0,ROW()-1,60),ROW()-1,FALSE))</f>
        <v/>
      </c>
      <c r="BD305" t="str">
        <f ca="1">IF(AND(ISNUMBER($BD$748),$B$419=1),$BD$748,HLOOKUP(INDIRECT(ADDRESS(2,COLUMN())),OFFSET($BN$2,0,0,ROW()-1,60),ROW()-1,FALSE))</f>
        <v/>
      </c>
      <c r="BE305" t="str">
        <f ca="1">IF(AND(ISNUMBER($BE$748),$B$419=1),$BE$748,HLOOKUP(INDIRECT(ADDRESS(2,COLUMN())),OFFSET($BN$2,0,0,ROW()-1,60),ROW()-1,FALSE))</f>
        <v/>
      </c>
      <c r="BF305" t="str">
        <f ca="1">IF(AND(ISNUMBER($BF$748),$B$419=1),$BF$748,HLOOKUP(INDIRECT(ADDRESS(2,COLUMN())),OFFSET($BN$2,0,0,ROW()-1,60),ROW()-1,FALSE))</f>
        <v/>
      </c>
      <c r="BG305" t="str">
        <f ca="1">IF(AND(ISNUMBER($BG$748),$B$419=1),$BG$748,HLOOKUP(INDIRECT(ADDRESS(2,COLUMN())),OFFSET($BN$2,0,0,ROW()-1,60),ROW()-1,FALSE))</f>
        <v/>
      </c>
      <c r="BH305" t="str">
        <f ca="1">IF(AND(ISNUMBER($BH$748),$B$419=1),$BH$748,HLOOKUP(INDIRECT(ADDRESS(2,COLUMN())),OFFSET($BN$2,0,0,ROW()-1,60),ROW()-1,FALSE))</f>
        <v/>
      </c>
      <c r="BI305" t="str">
        <f ca="1">IF(AND(ISNUMBER($BI$748),$B$419=1),$BI$748,HLOOKUP(INDIRECT(ADDRESS(2,COLUMN())),OFFSET($BN$2,0,0,ROW()-1,60),ROW()-1,FALSE))</f>
        <v/>
      </c>
      <c r="BJ305" t="str">
        <f ca="1">IF(AND(ISNUMBER($BJ$748),$B$419=1),$BJ$748,HLOOKUP(INDIRECT(ADDRESS(2,COLUMN())),OFFSET($BN$2,0,0,ROW()-1,60),ROW()-1,FALSE))</f>
        <v/>
      </c>
      <c r="BK305" t="str">
        <f ca="1">IF(AND(ISNUMBER($BK$748),$B$419=1),$BK$748,HLOOKUP(INDIRECT(ADDRESS(2,COLUMN())),OFFSET($BN$2,0,0,ROW()-1,60),ROW()-1,FALSE))</f>
        <v/>
      </c>
      <c r="BL305" t="str">
        <f ca="1">IF(AND(ISNUMBER($BL$748),$B$419=1),$BL$748,HLOOKUP(INDIRECT(ADDRESS(2,COLUMN())),OFFSET($BN$2,0,0,ROW()-1,60),ROW()-1,FALSE))</f>
        <v/>
      </c>
      <c r="BM305" t="str">
        <f ca="1">IF(AND(ISNUMBER($BM$748),$B$419=1),$BM$748,HLOOKUP(INDIRECT(ADDRESS(2,COLUMN())),OFFSET($BN$2,0,0,ROW()-1,60),ROW()-1,FALSE))</f>
        <v/>
      </c>
      <c r="BN305" t="str">
        <f>""</f>
        <v/>
      </c>
      <c r="BO305">
        <f>40.04224791</f>
        <v>40.04224791</v>
      </c>
      <c r="BP305">
        <f>40.15331621</f>
        <v>40.15331621</v>
      </c>
      <c r="BQ305">
        <f>37.13567348</f>
        <v>37.135673480000001</v>
      </c>
      <c r="BR305">
        <f>40.94284941</f>
        <v>40.942849410000001</v>
      </c>
      <c r="BS305">
        <f>40.84822949</f>
        <v>40.848229490000001</v>
      </c>
      <c r="BT305">
        <f>40.8091883</f>
        <v>40.809188300000002</v>
      </c>
      <c r="BU305">
        <f>48.67906279</f>
        <v>48.679062790000003</v>
      </c>
      <c r="BV305">
        <f>46.32358546</f>
        <v>46.323585459999997</v>
      </c>
      <c r="BW305">
        <f>46.30509048</f>
        <v>46.305090479999997</v>
      </c>
      <c r="BX305">
        <f>47.30583257</f>
        <v>47.30583257</v>
      </c>
      <c r="BY305">
        <f>49.06836196</f>
        <v>49.068361959999997</v>
      </c>
      <c r="BZ305">
        <f>51.08725369</f>
        <v>51.087253689999997</v>
      </c>
      <c r="CA305">
        <f>51.03886321</f>
        <v>51.038863210000002</v>
      </c>
      <c r="CB305">
        <f>50.56919221</f>
        <v>50.569192209999997</v>
      </c>
      <c r="CC305">
        <f>45.24684798</f>
        <v>45.246847979999998</v>
      </c>
      <c r="CD305">
        <f>49.65791028</f>
        <v>49.657910280000003</v>
      </c>
      <c r="CE305">
        <f>54.33933792</f>
        <v>54.339337919999998</v>
      </c>
      <c r="CF305">
        <f>37.15839954</f>
        <v>37.158399539999998</v>
      </c>
      <c r="CG305">
        <f>29.82454998</f>
        <v>29.82454998</v>
      </c>
      <c r="CH305">
        <f>43.34644572</f>
        <v>43.346445719999998</v>
      </c>
      <c r="CI305">
        <f>19.82861957</f>
        <v>19.828619570000001</v>
      </c>
      <c r="CJ305">
        <f>55.98488827</f>
        <v>55.984888269999999</v>
      </c>
      <c r="CK305">
        <f>52.27175566</f>
        <v>52.271755659999997</v>
      </c>
      <c r="CL305">
        <f>58.55108804</f>
        <v>58.551088040000003</v>
      </c>
      <c r="CM305">
        <f>55.22605847</f>
        <v>55.226058469999998</v>
      </c>
      <c r="CN305">
        <f>58.01257013</f>
        <v>58.01257013</v>
      </c>
      <c r="CO305">
        <f>0</f>
        <v>0</v>
      </c>
      <c r="CP305">
        <f>112.8791153</f>
        <v>112.8791153</v>
      </c>
      <c r="CQ305" t="str">
        <f>""</f>
        <v/>
      </c>
      <c r="CR305">
        <f>109.7083698</f>
        <v>109.7083698</v>
      </c>
      <c r="CS305" t="str">
        <f>""</f>
        <v/>
      </c>
      <c r="CT305" t="str">
        <f>""</f>
        <v/>
      </c>
      <c r="CU305" t="str">
        <f>""</f>
        <v/>
      </c>
      <c r="CV305" t="str">
        <f>""</f>
        <v/>
      </c>
      <c r="CW305" t="str">
        <f>""</f>
        <v/>
      </c>
      <c r="CX305" t="str">
        <f>""</f>
        <v/>
      </c>
      <c r="CY305" t="str">
        <f>""</f>
        <v/>
      </c>
      <c r="CZ305" t="str">
        <f>""</f>
        <v/>
      </c>
      <c r="DA305" t="str">
        <f>""</f>
        <v/>
      </c>
      <c r="DB305" t="str">
        <f>""</f>
        <v/>
      </c>
      <c r="DC305" t="str">
        <f>""</f>
        <v/>
      </c>
      <c r="DD305" t="str">
        <f>""</f>
        <v/>
      </c>
      <c r="DE305" t="str">
        <f>""</f>
        <v/>
      </c>
      <c r="DF305" t="str">
        <f>""</f>
        <v/>
      </c>
      <c r="DG305" t="str">
        <f>""</f>
        <v/>
      </c>
      <c r="DH305" t="str">
        <f>""</f>
        <v/>
      </c>
      <c r="DI305" t="str">
        <f>""</f>
        <v/>
      </c>
      <c r="DJ305" t="str">
        <f>""</f>
        <v/>
      </c>
      <c r="DK305" t="str">
        <f>""</f>
        <v/>
      </c>
      <c r="DL305" t="str">
        <f>""</f>
        <v/>
      </c>
      <c r="DM305" t="str">
        <f>""</f>
        <v/>
      </c>
      <c r="DN305" t="str">
        <f>""</f>
        <v/>
      </c>
      <c r="DO305" t="str">
        <f>""</f>
        <v/>
      </c>
      <c r="DP305" t="str">
        <f>""</f>
        <v/>
      </c>
      <c r="DQ305" t="str">
        <f>""</f>
        <v/>
      </c>
      <c r="DR305" t="str">
        <f>""</f>
        <v/>
      </c>
      <c r="DS305" t="str">
        <f>""</f>
        <v/>
      </c>
      <c r="DT305" t="str">
        <f>""</f>
        <v/>
      </c>
      <c r="DU305" t="str">
        <f>""</f>
        <v/>
      </c>
    </row>
    <row r="306" spans="1:125">
      <c r="A306" t="str">
        <f>"    Washington Prime Group Inc"</f>
        <v xml:space="preserve">    Washington Prime Group Inc</v>
      </c>
      <c r="B306" t="str">
        <f>"WPG US Equity"</f>
        <v>WPG US Equity</v>
      </c>
      <c r="C306" t="str">
        <f t="shared" si="54"/>
        <v>RR147</v>
      </c>
      <c r="D306" t="str">
        <f t="shared" si="55"/>
        <v>LT_DEBT_TO_TOT_ASSET</v>
      </c>
      <c r="E306" t="str">
        <f t="shared" si="56"/>
        <v>动态</v>
      </c>
      <c r="F306" t="str">
        <f ca="1">IF(AND(ISNUMBER($F$749),$B$419=1),$F$749,HLOOKUP(INDIRECT(ADDRESS(2,COLUMN())),OFFSET($BN$2,0,0,ROW()-1,60),ROW()-1,FALSE))</f>
        <v/>
      </c>
      <c r="G306">
        <f ca="1">IF(AND(ISNUMBER($G$749),$B$419=1),$G$749,HLOOKUP(INDIRECT(ADDRESS(2,COLUMN())),OFFSET($BN$2,0,0,ROW()-1,60),ROW()-1,FALSE))</f>
        <v>25.99362404</v>
      </c>
      <c r="H306">
        <f ca="1">IF(AND(ISNUMBER($H$749),$B$419=1),$H$749,HLOOKUP(INDIRECT(ADDRESS(2,COLUMN())),OFFSET($BN$2,0,0,ROW()-1,60),ROW()-1,FALSE))</f>
        <v>31.030934850000001</v>
      </c>
      <c r="I306">
        <f ca="1">IF(AND(ISNUMBER($I$749),$B$419=1),$I$749,HLOOKUP(INDIRECT(ADDRESS(2,COLUMN())),OFFSET($BN$2,0,0,ROW()-1,60),ROW()-1,FALSE))</f>
        <v>30.690352470000001</v>
      </c>
      <c r="J306">
        <f ca="1">IF(AND(ISNUMBER($J$749),$B$419=1),$J$749,HLOOKUP(INDIRECT(ADDRESS(2,COLUMN())),OFFSET($BN$2,0,0,ROW()-1,60),ROW()-1,FALSE))</f>
        <v>32.106627039999999</v>
      </c>
      <c r="K306">
        <f ca="1">IF(AND(ISNUMBER($K$749),$B$419=1),$K$749,HLOOKUP(INDIRECT(ADDRESS(2,COLUMN())),OFFSET($BN$2,0,0,ROW()-1,60),ROW()-1,FALSE))</f>
        <v>31.68068079</v>
      </c>
      <c r="L306">
        <f ca="1">IF(AND(ISNUMBER($L$749),$B$419=1),$L$749,HLOOKUP(INDIRECT(ADDRESS(2,COLUMN())),OFFSET($BN$2,0,0,ROW()-1,60),ROW()-1,FALSE))</f>
        <v>32.198257220000002</v>
      </c>
      <c r="M306">
        <f ca="1">IF(AND(ISNUMBER($M$749),$B$419=1),$M$749,HLOOKUP(INDIRECT(ADDRESS(2,COLUMN())),OFFSET($BN$2,0,0,ROW()-1,60),ROW()-1,FALSE))</f>
        <v>32.067432820000001</v>
      </c>
      <c r="N306">
        <f ca="1">IF(AND(ISNUMBER($N$749),$B$419=1),$N$749,HLOOKUP(INDIRECT(ADDRESS(2,COLUMN())),OFFSET($BN$2,0,0,ROW()-1,60),ROW()-1,FALSE))</f>
        <v>33.33995676</v>
      </c>
      <c r="O306">
        <f ca="1">IF(AND(ISNUMBER($O$749),$B$419=1),$O$749,HLOOKUP(INDIRECT(ADDRESS(2,COLUMN())),OFFSET($BN$2,0,0,ROW()-1,60),ROW()-1,FALSE))</f>
        <v>32.849220520000003</v>
      </c>
      <c r="P306">
        <f ca="1">IF(AND(ISNUMBER($P$749),$B$419=1),$P$749,HLOOKUP(INDIRECT(ADDRESS(2,COLUMN())),OFFSET($BN$2,0,0,ROW()-1,60),ROW()-1,FALSE))</f>
        <v>32.250917190000003</v>
      </c>
      <c r="Q306">
        <f ca="1">IF(AND(ISNUMBER($Q$749),$B$419=1),$Q$749,HLOOKUP(INDIRECT(ADDRESS(2,COLUMN())),OFFSET($BN$2,0,0,ROW()-1,60),ROW()-1,FALSE))</f>
        <v>34.718916749999998</v>
      </c>
      <c r="R306">
        <f ca="1">IF(AND(ISNUMBER($R$749),$B$419=1),$R$749,HLOOKUP(INDIRECT(ADDRESS(2,COLUMN())),OFFSET($BN$2,0,0,ROW()-1,60),ROW()-1,FALSE))</f>
        <v>39.224315009999998</v>
      </c>
      <c r="S306">
        <f ca="1">IF(AND(ISNUMBER($S$749),$B$419=1),$S$749,HLOOKUP(INDIRECT(ADDRESS(2,COLUMN())),OFFSET($BN$2,0,0,ROW()-1,60),ROW()-1,FALSE))</f>
        <v>40.677799880000002</v>
      </c>
      <c r="T306">
        <f ca="1">IF(AND(ISNUMBER($T$749),$B$419=1),$T$749,HLOOKUP(INDIRECT(ADDRESS(2,COLUMN())),OFFSET($BN$2,0,0,ROW()-1,60),ROW()-1,FALSE))</f>
        <v>42.915005440000002</v>
      </c>
      <c r="U306">
        <f ca="1">IF(AND(ISNUMBER($U$749),$B$419=1),$U$749,HLOOKUP(INDIRECT(ADDRESS(2,COLUMN())),OFFSET($BN$2,0,0,ROW()-1,60),ROW()-1,FALSE))</f>
        <v>43.197343279999998</v>
      </c>
      <c r="V306">
        <f ca="1">IF(AND(ISNUMBER($V$749),$B$419=1),$V$749,HLOOKUP(INDIRECT(ADDRESS(2,COLUMN())),OFFSET($BN$2,0,0,ROW()-1,60),ROW()-1,FALSE))</f>
        <v>42.793986519999997</v>
      </c>
      <c r="W306" t="str">
        <f ca="1">IF(AND(ISNUMBER($W$749),$B$419=1),$W$749,HLOOKUP(INDIRECT(ADDRESS(2,COLUMN())),OFFSET($BN$2,0,0,ROW()-1,60),ROW()-1,FALSE))</f>
        <v/>
      </c>
      <c r="X306" t="str">
        <f ca="1">IF(AND(ISNUMBER($X$749),$B$419=1),$X$749,HLOOKUP(INDIRECT(ADDRESS(2,COLUMN())),OFFSET($BN$2,0,0,ROW()-1,60),ROW()-1,FALSE))</f>
        <v/>
      </c>
      <c r="Y306" t="str">
        <f ca="1">IF(AND(ISNUMBER($Y$749),$B$419=1),$Y$749,HLOOKUP(INDIRECT(ADDRESS(2,COLUMN())),OFFSET($BN$2,0,0,ROW()-1,60),ROW()-1,FALSE))</f>
        <v/>
      </c>
      <c r="Z306" t="str">
        <f ca="1">IF(AND(ISNUMBER($Z$749),$B$419=1),$Z$749,HLOOKUP(INDIRECT(ADDRESS(2,COLUMN())),OFFSET($BN$2,0,0,ROW()-1,60),ROW()-1,FALSE))</f>
        <v/>
      </c>
      <c r="AA306" t="str">
        <f ca="1">IF(AND(ISNUMBER($AA$749),$B$419=1),$AA$749,HLOOKUP(INDIRECT(ADDRESS(2,COLUMN())),OFFSET($BN$2,0,0,ROW()-1,60),ROW()-1,FALSE))</f>
        <v/>
      </c>
      <c r="AB306" t="str">
        <f ca="1">IF(AND(ISNUMBER($AB$749),$B$419=1),$AB$749,HLOOKUP(INDIRECT(ADDRESS(2,COLUMN())),OFFSET($BN$2,0,0,ROW()-1,60),ROW()-1,FALSE))</f>
        <v/>
      </c>
      <c r="AC306" t="str">
        <f ca="1">IF(AND(ISNUMBER($AC$749),$B$419=1),$AC$749,HLOOKUP(INDIRECT(ADDRESS(2,COLUMN())),OFFSET($BN$2,0,0,ROW()-1,60),ROW()-1,FALSE))</f>
        <v/>
      </c>
      <c r="AD306" t="str">
        <f ca="1">IF(AND(ISNUMBER($AD$749),$B$419=1),$AD$749,HLOOKUP(INDIRECT(ADDRESS(2,COLUMN())),OFFSET($BN$2,0,0,ROW()-1,60),ROW()-1,FALSE))</f>
        <v/>
      </c>
      <c r="AE306" t="str">
        <f ca="1">IF(AND(ISNUMBER($AE$749),$B$419=1),$AE$749,HLOOKUP(INDIRECT(ADDRESS(2,COLUMN())),OFFSET($BN$2,0,0,ROW()-1,60),ROW()-1,FALSE))</f>
        <v/>
      </c>
      <c r="AF306" t="str">
        <f ca="1">IF(AND(ISNUMBER($AF$749),$B$419=1),$AF$749,HLOOKUP(INDIRECT(ADDRESS(2,COLUMN())),OFFSET($BN$2,0,0,ROW()-1,60),ROW()-1,FALSE))</f>
        <v/>
      </c>
      <c r="AG306" t="str">
        <f ca="1">IF(AND(ISNUMBER($AG$749),$B$419=1),$AG$749,HLOOKUP(INDIRECT(ADDRESS(2,COLUMN())),OFFSET($BN$2,0,0,ROW()-1,60),ROW()-1,FALSE))</f>
        <v/>
      </c>
      <c r="AH306" t="str">
        <f ca="1">IF(AND(ISNUMBER($AH$749),$B$419=1),$AH$749,HLOOKUP(INDIRECT(ADDRESS(2,COLUMN())),OFFSET($BN$2,0,0,ROW()-1,60),ROW()-1,FALSE))</f>
        <v/>
      </c>
      <c r="AI306" t="str">
        <f ca="1">IF(AND(ISNUMBER($AI$749),$B$419=1),$AI$749,HLOOKUP(INDIRECT(ADDRESS(2,COLUMN())),OFFSET($BN$2,0,0,ROW()-1,60),ROW()-1,FALSE))</f>
        <v/>
      </c>
      <c r="AJ306" t="str">
        <f ca="1">IF(AND(ISNUMBER($AJ$749),$B$419=1),$AJ$749,HLOOKUP(INDIRECT(ADDRESS(2,COLUMN())),OFFSET($BN$2,0,0,ROW()-1,60),ROW()-1,FALSE))</f>
        <v/>
      </c>
      <c r="AK306" t="str">
        <f ca="1">IF(AND(ISNUMBER($AK$749),$B$419=1),$AK$749,HLOOKUP(INDIRECT(ADDRESS(2,COLUMN())),OFFSET($BN$2,0,0,ROW()-1,60),ROW()-1,FALSE))</f>
        <v/>
      </c>
      <c r="AL306" t="str">
        <f ca="1">IF(AND(ISNUMBER($AL$749),$B$419=1),$AL$749,HLOOKUP(INDIRECT(ADDRESS(2,COLUMN())),OFFSET($BN$2,0,0,ROW()-1,60),ROW()-1,FALSE))</f>
        <v/>
      </c>
      <c r="AM306" t="str">
        <f ca="1">IF(AND(ISNUMBER($AM$749),$B$419=1),$AM$749,HLOOKUP(INDIRECT(ADDRESS(2,COLUMN())),OFFSET($BN$2,0,0,ROW()-1,60),ROW()-1,FALSE))</f>
        <v/>
      </c>
      <c r="AN306" t="str">
        <f ca="1">IF(AND(ISNUMBER($AN$749),$B$419=1),$AN$749,HLOOKUP(INDIRECT(ADDRESS(2,COLUMN())),OFFSET($BN$2,0,0,ROW()-1,60),ROW()-1,FALSE))</f>
        <v/>
      </c>
      <c r="AO306" t="str">
        <f ca="1">IF(AND(ISNUMBER($AO$749),$B$419=1),$AO$749,HLOOKUP(INDIRECT(ADDRESS(2,COLUMN())),OFFSET($BN$2,0,0,ROW()-1,60),ROW()-1,FALSE))</f>
        <v/>
      </c>
      <c r="AP306" t="str">
        <f ca="1">IF(AND(ISNUMBER($AP$749),$B$419=1),$AP$749,HLOOKUP(INDIRECT(ADDRESS(2,COLUMN())),OFFSET($BN$2,0,0,ROW()-1,60),ROW()-1,FALSE))</f>
        <v/>
      </c>
      <c r="AQ306" t="str">
        <f ca="1">IF(AND(ISNUMBER($AQ$749),$B$419=1),$AQ$749,HLOOKUP(INDIRECT(ADDRESS(2,COLUMN())),OFFSET($BN$2,0,0,ROW()-1,60),ROW()-1,FALSE))</f>
        <v/>
      </c>
      <c r="AR306" t="str">
        <f ca="1">IF(AND(ISNUMBER($AR$749),$B$419=1),$AR$749,HLOOKUP(INDIRECT(ADDRESS(2,COLUMN())),OFFSET($BN$2,0,0,ROW()-1,60),ROW()-1,FALSE))</f>
        <v/>
      </c>
      <c r="AS306" t="str">
        <f ca="1">IF(AND(ISNUMBER($AS$749),$B$419=1),$AS$749,HLOOKUP(INDIRECT(ADDRESS(2,COLUMN())),OFFSET($BN$2,0,0,ROW()-1,60),ROW()-1,FALSE))</f>
        <v/>
      </c>
      <c r="AT306" t="str">
        <f ca="1">IF(AND(ISNUMBER($AT$749),$B$419=1),$AT$749,HLOOKUP(INDIRECT(ADDRESS(2,COLUMN())),OFFSET($BN$2,0,0,ROW()-1,60),ROW()-1,FALSE))</f>
        <v/>
      </c>
      <c r="AU306" t="str">
        <f ca="1">IF(AND(ISNUMBER($AU$749),$B$419=1),$AU$749,HLOOKUP(INDIRECT(ADDRESS(2,COLUMN())),OFFSET($BN$2,0,0,ROW()-1,60),ROW()-1,FALSE))</f>
        <v/>
      </c>
      <c r="AV306" t="str">
        <f ca="1">IF(AND(ISNUMBER($AV$749),$B$419=1),$AV$749,HLOOKUP(INDIRECT(ADDRESS(2,COLUMN())),OFFSET($BN$2,0,0,ROW()-1,60),ROW()-1,FALSE))</f>
        <v/>
      </c>
      <c r="AW306" t="str">
        <f ca="1">IF(AND(ISNUMBER($AW$749),$B$419=1),$AW$749,HLOOKUP(INDIRECT(ADDRESS(2,COLUMN())),OFFSET($BN$2,0,0,ROW()-1,60),ROW()-1,FALSE))</f>
        <v/>
      </c>
      <c r="AX306" t="str">
        <f ca="1">IF(AND(ISNUMBER($AX$749),$B$419=1),$AX$749,HLOOKUP(INDIRECT(ADDRESS(2,COLUMN())),OFFSET($BN$2,0,0,ROW()-1,60),ROW()-1,FALSE))</f>
        <v/>
      </c>
      <c r="AY306" t="str">
        <f ca="1">IF(AND(ISNUMBER($AY$749),$B$419=1),$AY$749,HLOOKUP(INDIRECT(ADDRESS(2,COLUMN())),OFFSET($BN$2,0,0,ROW()-1,60),ROW()-1,FALSE))</f>
        <v/>
      </c>
      <c r="AZ306" t="str">
        <f ca="1">IF(AND(ISNUMBER($AZ$749),$B$419=1),$AZ$749,HLOOKUP(INDIRECT(ADDRESS(2,COLUMN())),OFFSET($BN$2,0,0,ROW()-1,60),ROW()-1,FALSE))</f>
        <v/>
      </c>
      <c r="BA306" t="str">
        <f ca="1">IF(AND(ISNUMBER($BA$749),$B$419=1),$BA$749,HLOOKUP(INDIRECT(ADDRESS(2,COLUMN())),OFFSET($BN$2,0,0,ROW()-1,60),ROW()-1,FALSE))</f>
        <v/>
      </c>
      <c r="BB306" t="str">
        <f ca="1">IF(AND(ISNUMBER($BB$749),$B$419=1),$BB$749,HLOOKUP(INDIRECT(ADDRESS(2,COLUMN())),OFFSET($BN$2,0,0,ROW()-1,60),ROW()-1,FALSE))</f>
        <v/>
      </c>
      <c r="BC306" t="str">
        <f ca="1">IF(AND(ISNUMBER($BC$749),$B$419=1),$BC$749,HLOOKUP(INDIRECT(ADDRESS(2,COLUMN())),OFFSET($BN$2,0,0,ROW()-1,60),ROW()-1,FALSE))</f>
        <v/>
      </c>
      <c r="BD306" t="str">
        <f ca="1">IF(AND(ISNUMBER($BD$749),$B$419=1),$BD$749,HLOOKUP(INDIRECT(ADDRESS(2,COLUMN())),OFFSET($BN$2,0,0,ROW()-1,60),ROW()-1,FALSE))</f>
        <v/>
      </c>
      <c r="BE306" t="str">
        <f ca="1">IF(AND(ISNUMBER($BE$749),$B$419=1),$BE$749,HLOOKUP(INDIRECT(ADDRESS(2,COLUMN())),OFFSET($BN$2,0,0,ROW()-1,60),ROW()-1,FALSE))</f>
        <v/>
      </c>
      <c r="BF306" t="str">
        <f ca="1">IF(AND(ISNUMBER($BF$749),$B$419=1),$BF$749,HLOOKUP(INDIRECT(ADDRESS(2,COLUMN())),OFFSET($BN$2,0,0,ROW()-1,60),ROW()-1,FALSE))</f>
        <v/>
      </c>
      <c r="BG306" t="str">
        <f ca="1">IF(AND(ISNUMBER($BG$749),$B$419=1),$BG$749,HLOOKUP(INDIRECT(ADDRESS(2,COLUMN())),OFFSET($BN$2,0,0,ROW()-1,60),ROW()-1,FALSE))</f>
        <v/>
      </c>
      <c r="BH306" t="str">
        <f ca="1">IF(AND(ISNUMBER($BH$749),$B$419=1),$BH$749,HLOOKUP(INDIRECT(ADDRESS(2,COLUMN())),OFFSET($BN$2,0,0,ROW()-1,60),ROW()-1,FALSE))</f>
        <v/>
      </c>
      <c r="BI306" t="str">
        <f ca="1">IF(AND(ISNUMBER($BI$749),$B$419=1),$BI$749,HLOOKUP(INDIRECT(ADDRESS(2,COLUMN())),OFFSET($BN$2,0,0,ROW()-1,60),ROW()-1,FALSE))</f>
        <v/>
      </c>
      <c r="BJ306" t="str">
        <f ca="1">IF(AND(ISNUMBER($BJ$749),$B$419=1),$BJ$749,HLOOKUP(INDIRECT(ADDRESS(2,COLUMN())),OFFSET($BN$2,0,0,ROW()-1,60),ROW()-1,FALSE))</f>
        <v/>
      </c>
      <c r="BK306" t="str">
        <f ca="1">IF(AND(ISNUMBER($BK$749),$B$419=1),$BK$749,HLOOKUP(INDIRECT(ADDRESS(2,COLUMN())),OFFSET($BN$2,0,0,ROW()-1,60),ROW()-1,FALSE))</f>
        <v/>
      </c>
      <c r="BL306" t="str">
        <f ca="1">IF(AND(ISNUMBER($BL$749),$B$419=1),$BL$749,HLOOKUP(INDIRECT(ADDRESS(2,COLUMN())),OFFSET($BN$2,0,0,ROW()-1,60),ROW()-1,FALSE))</f>
        <v/>
      </c>
      <c r="BM306" t="str">
        <f ca="1">IF(AND(ISNUMBER($BM$749),$B$419=1),$BM$749,HLOOKUP(INDIRECT(ADDRESS(2,COLUMN())),OFFSET($BN$2,0,0,ROW()-1,60),ROW()-1,FALSE))</f>
        <v/>
      </c>
      <c r="BN306" t="str">
        <f>""</f>
        <v/>
      </c>
      <c r="BO306">
        <f>25.99362404</f>
        <v>25.99362404</v>
      </c>
      <c r="BP306">
        <f>31.03093485</f>
        <v>31.030934850000001</v>
      </c>
      <c r="BQ306">
        <f>30.69035247</f>
        <v>30.690352470000001</v>
      </c>
      <c r="BR306">
        <f>32.10662704</f>
        <v>32.106627039999999</v>
      </c>
      <c r="BS306">
        <f>31.68068079</f>
        <v>31.68068079</v>
      </c>
      <c r="BT306">
        <f>32.19825722</f>
        <v>32.198257220000002</v>
      </c>
      <c r="BU306">
        <f>32.06743282</f>
        <v>32.067432820000001</v>
      </c>
      <c r="BV306">
        <f>33.33995676</f>
        <v>33.33995676</v>
      </c>
      <c r="BW306">
        <f>32.84922052</f>
        <v>32.849220520000003</v>
      </c>
      <c r="BX306">
        <f>32.25091719</f>
        <v>32.250917190000003</v>
      </c>
      <c r="BY306">
        <f>34.71891675</f>
        <v>34.718916749999998</v>
      </c>
      <c r="BZ306">
        <f>39.22431501</f>
        <v>39.224315009999998</v>
      </c>
      <c r="CA306">
        <f>40.67779988</f>
        <v>40.677799880000002</v>
      </c>
      <c r="CB306">
        <f>42.91500544</f>
        <v>42.915005440000002</v>
      </c>
      <c r="CC306">
        <f>43.19734328</f>
        <v>43.197343279999998</v>
      </c>
      <c r="CD306">
        <f>42.79398652</f>
        <v>42.793986519999997</v>
      </c>
      <c r="CE306" t="str">
        <f>""</f>
        <v/>
      </c>
      <c r="CF306" t="str">
        <f>""</f>
        <v/>
      </c>
      <c r="CG306" t="str">
        <f>""</f>
        <v/>
      </c>
      <c r="CH306" t="str">
        <f>""</f>
        <v/>
      </c>
      <c r="CI306" t="str">
        <f>""</f>
        <v/>
      </c>
      <c r="CJ306" t="str">
        <f>""</f>
        <v/>
      </c>
      <c r="CK306" t="str">
        <f>""</f>
        <v/>
      </c>
      <c r="CL306" t="str">
        <f>""</f>
        <v/>
      </c>
      <c r="CM306" t="str">
        <f>""</f>
        <v/>
      </c>
      <c r="CN306" t="str">
        <f>""</f>
        <v/>
      </c>
      <c r="CO306" t="str">
        <f>""</f>
        <v/>
      </c>
      <c r="CP306" t="str">
        <f>""</f>
        <v/>
      </c>
      <c r="CQ306" t="str">
        <f>""</f>
        <v/>
      </c>
      <c r="CR306" t="str">
        <f>""</f>
        <v/>
      </c>
      <c r="CS306" t="str">
        <f>""</f>
        <v/>
      </c>
      <c r="CT306" t="str">
        <f>""</f>
        <v/>
      </c>
      <c r="CU306" t="str">
        <f>""</f>
        <v/>
      </c>
      <c r="CV306" t="str">
        <f>""</f>
        <v/>
      </c>
      <c r="CW306" t="str">
        <f>""</f>
        <v/>
      </c>
      <c r="CX306" t="str">
        <f>""</f>
        <v/>
      </c>
      <c r="CY306" t="str">
        <f>""</f>
        <v/>
      </c>
      <c r="CZ306" t="str">
        <f>""</f>
        <v/>
      </c>
      <c r="DA306" t="str">
        <f>""</f>
        <v/>
      </c>
      <c r="DB306" t="str">
        <f>""</f>
        <v/>
      </c>
      <c r="DC306" t="str">
        <f>""</f>
        <v/>
      </c>
      <c r="DD306" t="str">
        <f>""</f>
        <v/>
      </c>
      <c r="DE306" t="str">
        <f>""</f>
        <v/>
      </c>
      <c r="DF306" t="str">
        <f>""</f>
        <v/>
      </c>
      <c r="DG306" t="str">
        <f>""</f>
        <v/>
      </c>
      <c r="DH306" t="str">
        <f>""</f>
        <v/>
      </c>
      <c r="DI306" t="str">
        <f>""</f>
        <v/>
      </c>
      <c r="DJ306" t="str">
        <f>""</f>
        <v/>
      </c>
      <c r="DK306" t="str">
        <f>""</f>
        <v/>
      </c>
      <c r="DL306" t="str">
        <f>""</f>
        <v/>
      </c>
      <c r="DM306" t="str">
        <f>""</f>
        <v/>
      </c>
      <c r="DN306" t="str">
        <f>""</f>
        <v/>
      </c>
      <c r="DO306" t="str">
        <f>""</f>
        <v/>
      </c>
      <c r="DP306" t="str">
        <f>""</f>
        <v/>
      </c>
      <c r="DQ306" t="str">
        <f>""</f>
        <v/>
      </c>
      <c r="DR306" t="str">
        <f>""</f>
        <v/>
      </c>
      <c r="DS306" t="str">
        <f>""</f>
        <v/>
      </c>
      <c r="DT306" t="str">
        <f>""</f>
        <v/>
      </c>
      <c r="DU306" t="str">
        <f>""</f>
        <v/>
      </c>
    </row>
    <row r="307" spans="1:125">
      <c r="A307" t="str">
        <f>"    Weingarten Realty Investors"</f>
        <v xml:space="preserve">    Weingarten Realty Investors</v>
      </c>
      <c r="B307" t="str">
        <f>"WRI US Equity"</f>
        <v>WRI US Equity</v>
      </c>
      <c r="C307" t="str">
        <f t="shared" si="54"/>
        <v>RR147</v>
      </c>
      <c r="D307" t="str">
        <f t="shared" si="55"/>
        <v>LT_DEBT_TO_TOT_ASSET</v>
      </c>
      <c r="E307" t="str">
        <f t="shared" si="56"/>
        <v>动态</v>
      </c>
      <c r="F307" t="str">
        <f ca="1">IF(AND(ISNUMBER($F$750),$B$419=1),$F$750,HLOOKUP(INDIRECT(ADDRESS(2,COLUMN())),OFFSET($BN$2,0,0,ROW()-1,60),ROW()-1,FALSE))</f>
        <v/>
      </c>
      <c r="G307">
        <f ca="1">IF(AND(ISNUMBER($G$750),$B$419=1),$G$750,HLOOKUP(INDIRECT(ADDRESS(2,COLUMN())),OFFSET($BN$2,0,0,ROW()-1,60),ROW()-1,FALSE))</f>
        <v>9.8576503720000002</v>
      </c>
      <c r="H307">
        <f ca="1">IF(AND(ISNUMBER($H$750),$B$419=1),$H$750,HLOOKUP(INDIRECT(ADDRESS(2,COLUMN())),OFFSET($BN$2,0,0,ROW()-1,60),ROW()-1,FALSE))</f>
        <v>9.7233833890000003</v>
      </c>
      <c r="I307">
        <f ca="1">IF(AND(ISNUMBER($I$750),$B$419=1),$I$750,HLOOKUP(INDIRECT(ADDRESS(2,COLUMN())),OFFSET($BN$2,0,0,ROW()-1,60),ROW()-1,FALSE))</f>
        <v>9.6966543099999996</v>
      </c>
      <c r="J307">
        <f ca="1">IF(AND(ISNUMBER($J$750),$B$419=1),$J$750,HLOOKUP(INDIRECT(ADDRESS(2,COLUMN())),OFFSET($BN$2,0,0,ROW()-1,60),ROW()-1,FALSE))</f>
        <v>9.7334821349999991</v>
      </c>
      <c r="K307">
        <f ca="1">IF(AND(ISNUMBER($K$750),$B$419=1),$K$750,HLOOKUP(INDIRECT(ADDRESS(2,COLUMN())),OFFSET($BN$2,0,0,ROW()-1,60),ROW()-1,FALSE))</f>
        <v>10.00985333</v>
      </c>
      <c r="L307">
        <f ca="1">IF(AND(ISNUMBER($L$750),$B$419=1),$L$750,HLOOKUP(INDIRECT(ADDRESS(2,COLUMN())),OFFSET($BN$2,0,0,ROW()-1,60),ROW()-1,FALSE))</f>
        <v>10.1579862</v>
      </c>
      <c r="M307">
        <f ca="1">IF(AND(ISNUMBER($M$750),$B$419=1),$M$750,HLOOKUP(INDIRECT(ADDRESS(2,COLUMN())),OFFSET($BN$2,0,0,ROW()-1,60),ROW()-1,FALSE))</f>
        <v>11.280169470000001</v>
      </c>
      <c r="N307">
        <f ca="1">IF(AND(ISNUMBER($N$750),$B$419=1),$N$750,HLOOKUP(INDIRECT(ADDRESS(2,COLUMN())),OFFSET($BN$2,0,0,ROW()-1,60),ROW()-1,FALSE))</f>
        <v>12.58892271</v>
      </c>
      <c r="O307">
        <f ca="1">IF(AND(ISNUMBER($O$750),$B$419=1),$O$750,HLOOKUP(INDIRECT(ADDRESS(2,COLUMN())),OFFSET($BN$2,0,0,ROW()-1,60),ROW()-1,FALSE))</f>
        <v>11.85962385</v>
      </c>
      <c r="P307">
        <f ca="1">IF(AND(ISNUMBER($P$750),$B$419=1),$P$750,HLOOKUP(INDIRECT(ADDRESS(2,COLUMN())),OFFSET($BN$2,0,0,ROW()-1,60),ROW()-1,FALSE))</f>
        <v>12.33654495</v>
      </c>
      <c r="Q307">
        <f ca="1">IF(AND(ISNUMBER($Q$750),$B$419=1),$Q$750,HLOOKUP(INDIRECT(ADDRESS(2,COLUMN())),OFFSET($BN$2,0,0,ROW()-1,60),ROW()-1,FALSE))</f>
        <v>13.05881565</v>
      </c>
      <c r="R307">
        <f ca="1">IF(AND(ISNUMBER($R$750),$B$419=1),$R$750,HLOOKUP(INDIRECT(ADDRESS(2,COLUMN())),OFFSET($BN$2,0,0,ROW()-1,60),ROW()-1,FALSE))</f>
        <v>14.92170073</v>
      </c>
      <c r="S307">
        <f ca="1">IF(AND(ISNUMBER($S$750),$B$419=1),$S$750,HLOOKUP(INDIRECT(ADDRESS(2,COLUMN())),OFFSET($BN$2,0,0,ROW()-1,60),ROW()-1,FALSE))</f>
        <v>15.57622806</v>
      </c>
      <c r="T307">
        <f ca="1">IF(AND(ISNUMBER($T$750),$B$419=1),$T$750,HLOOKUP(INDIRECT(ADDRESS(2,COLUMN())),OFFSET($BN$2,0,0,ROW()-1,60),ROW()-1,FALSE))</f>
        <v>16.46690272</v>
      </c>
      <c r="U307">
        <f ca="1">IF(AND(ISNUMBER($U$750),$B$419=1),$U$750,HLOOKUP(INDIRECT(ADDRESS(2,COLUMN())),OFFSET($BN$2,0,0,ROW()-1,60),ROW()-1,FALSE))</f>
        <v>17.468882990000001</v>
      </c>
      <c r="V307">
        <f ca="1">IF(AND(ISNUMBER($V$750),$B$419=1),$V$750,HLOOKUP(INDIRECT(ADDRESS(2,COLUMN())),OFFSET($BN$2,0,0,ROW()-1,60),ROW()-1,FALSE))</f>
        <v>17.563628600000001</v>
      </c>
      <c r="W307">
        <f ca="1">IF(AND(ISNUMBER($W$750),$B$419=1),$W$750,HLOOKUP(INDIRECT(ADDRESS(2,COLUMN())),OFFSET($BN$2,0,0,ROW()-1,60),ROW()-1,FALSE))</f>
        <v>17.23009549</v>
      </c>
      <c r="X307">
        <f ca="1">IF(AND(ISNUMBER($X$750),$B$419=1),$X$750,HLOOKUP(INDIRECT(ADDRESS(2,COLUMN())),OFFSET($BN$2,0,0,ROW()-1,60),ROW()-1,FALSE))</f>
        <v>19.293236180000001</v>
      </c>
      <c r="Y307">
        <f ca="1">IF(AND(ISNUMBER($Y$750),$B$419=1),$Y$750,HLOOKUP(INDIRECT(ADDRESS(2,COLUMN())),OFFSET($BN$2,0,0,ROW()-1,60),ROW()-1,FALSE))</f>
        <v>19.663613890000001</v>
      </c>
      <c r="Z307">
        <f ca="1">IF(AND(ISNUMBER($Z$750),$B$419=1),$Z$750,HLOOKUP(INDIRECT(ADDRESS(2,COLUMN())),OFFSET($BN$2,0,0,ROW()-1,60),ROW()-1,FALSE))</f>
        <v>21.111638169999999</v>
      </c>
      <c r="AA307">
        <f ca="1">IF(AND(ISNUMBER($AA$750),$B$419=1),$AA$750,HLOOKUP(INDIRECT(ADDRESS(2,COLUMN())),OFFSET($BN$2,0,0,ROW()-1,60),ROW()-1,FALSE))</f>
        <v>22.301939600000001</v>
      </c>
      <c r="AB307">
        <f ca="1">IF(AND(ISNUMBER($AB$750),$B$419=1),$AB$750,HLOOKUP(INDIRECT(ADDRESS(2,COLUMN())),OFFSET($BN$2,0,0,ROW()-1,60),ROW()-1,FALSE))</f>
        <v>22.81709609</v>
      </c>
      <c r="AC307">
        <f ca="1">IF(AND(ISNUMBER($AC$750),$B$419=1),$AC$750,HLOOKUP(INDIRECT(ADDRESS(2,COLUMN())),OFFSET($BN$2,0,0,ROW()-1,60),ROW()-1,FALSE))</f>
        <v>22.226789780000001</v>
      </c>
      <c r="AD307">
        <f ca="1">IF(AND(ISNUMBER($AD$750),$B$419=1),$AD$750,HLOOKUP(INDIRECT(ADDRESS(2,COLUMN())),OFFSET($BN$2,0,0,ROW()-1,60),ROW()-1,FALSE))</f>
        <v>21.814250550000001</v>
      </c>
      <c r="AE307">
        <f ca="1">IF(AND(ISNUMBER($AE$750),$B$419=1),$AE$750,HLOOKUP(INDIRECT(ADDRESS(2,COLUMN())),OFFSET($BN$2,0,0,ROW()-1,60),ROW()-1,FALSE))</f>
        <v>22.25053866</v>
      </c>
      <c r="AF307">
        <f ca="1">IF(AND(ISNUMBER($AF$750),$B$419=1),$AF$750,HLOOKUP(INDIRECT(ADDRESS(2,COLUMN())),OFFSET($BN$2,0,0,ROW()-1,60),ROW()-1,FALSE))</f>
        <v>22.790141420000001</v>
      </c>
      <c r="AG307">
        <f ca="1">IF(AND(ISNUMBER($AG$750),$B$419=1),$AG$750,HLOOKUP(INDIRECT(ADDRESS(2,COLUMN())),OFFSET($BN$2,0,0,ROW()-1,60),ROW()-1,FALSE))</f>
        <v>22.934985609999998</v>
      </c>
      <c r="AH307">
        <f ca="1">IF(AND(ISNUMBER($AH$750),$B$419=1),$AH$750,HLOOKUP(INDIRECT(ADDRESS(2,COLUMN())),OFFSET($BN$2,0,0,ROW()-1,60),ROW()-1,FALSE))</f>
        <v>23.6590308</v>
      </c>
      <c r="AI307">
        <f ca="1">IF(AND(ISNUMBER($AI$750),$B$419=1),$AI$750,HLOOKUP(INDIRECT(ADDRESS(2,COLUMN())),OFFSET($BN$2,0,0,ROW()-1,60),ROW()-1,FALSE))</f>
        <v>23.696638109999999</v>
      </c>
      <c r="AJ307">
        <f ca="1">IF(AND(ISNUMBER($AJ$750),$B$419=1),$AJ$750,HLOOKUP(INDIRECT(ADDRESS(2,COLUMN())),OFFSET($BN$2,0,0,ROW()-1,60),ROW()-1,FALSE))</f>
        <v>23.7104739</v>
      </c>
      <c r="AK307">
        <f ca="1">IF(AND(ISNUMBER($AK$750),$B$419=1),$AK$750,HLOOKUP(INDIRECT(ADDRESS(2,COLUMN())),OFFSET($BN$2,0,0,ROW()-1,60),ROW()-1,FALSE))</f>
        <v>24.336065049999998</v>
      </c>
      <c r="AL307">
        <f ca="1">IF(AND(ISNUMBER($AL$750),$B$419=1),$AL$750,HLOOKUP(INDIRECT(ADDRESS(2,COLUMN())),OFFSET($BN$2,0,0,ROW()-1,60),ROW()-1,FALSE))</f>
        <v>25.001506160000002</v>
      </c>
      <c r="AM307">
        <f ca="1">IF(AND(ISNUMBER($AM$750),$B$419=1),$AM$750,HLOOKUP(INDIRECT(ADDRESS(2,COLUMN())),OFFSET($BN$2,0,0,ROW()-1,60),ROW()-1,FALSE))</f>
        <v>25.050072740000001</v>
      </c>
      <c r="AN307">
        <f ca="1">IF(AND(ISNUMBER($AN$750),$B$419=1),$AN$750,HLOOKUP(INDIRECT(ADDRESS(2,COLUMN())),OFFSET($BN$2,0,0,ROW()-1,60),ROW()-1,FALSE))</f>
        <v>24.239006710000002</v>
      </c>
      <c r="AO307">
        <f ca="1">IF(AND(ISNUMBER($AO$750),$B$419=1),$AO$750,HLOOKUP(INDIRECT(ADDRESS(2,COLUMN())),OFFSET($BN$2,0,0,ROW()-1,60),ROW()-1,FALSE))</f>
        <v>21.988692010000001</v>
      </c>
      <c r="AP307">
        <f ca="1">IF(AND(ISNUMBER($AP$750),$B$419=1),$AP$750,HLOOKUP(INDIRECT(ADDRESS(2,COLUMN())),OFFSET($BN$2,0,0,ROW()-1,60),ROW()-1,FALSE))</f>
        <v>20.07624805</v>
      </c>
      <c r="AQ307">
        <f ca="1">IF(AND(ISNUMBER($AQ$750),$B$419=1),$AQ$750,HLOOKUP(INDIRECT(ADDRESS(2,COLUMN())),OFFSET($BN$2,0,0,ROW()-1,60),ROW()-1,FALSE))</f>
        <v>20.181897039999999</v>
      </c>
      <c r="AR307">
        <f ca="1">IF(AND(ISNUMBER($AR$750),$B$419=1),$AR$750,HLOOKUP(INDIRECT(ADDRESS(2,COLUMN())),OFFSET($BN$2,0,0,ROW()-1,60),ROW()-1,FALSE))</f>
        <v>20.18496845</v>
      </c>
      <c r="AS307">
        <f ca="1">IF(AND(ISNUMBER($AS$750),$B$419=1),$AS$750,HLOOKUP(INDIRECT(ADDRESS(2,COLUMN())),OFFSET($BN$2,0,0,ROW()-1,60),ROW()-1,FALSE))</f>
        <v>20.56321835</v>
      </c>
      <c r="AT307">
        <f ca="1">IF(AND(ISNUMBER($AT$750),$B$419=1),$AT$750,HLOOKUP(INDIRECT(ADDRESS(2,COLUMN())),OFFSET($BN$2,0,0,ROW()-1,60),ROW()-1,FALSE))</f>
        <v>21.731591089999998</v>
      </c>
      <c r="AU307">
        <f ca="1">IF(AND(ISNUMBER($AU$750),$B$419=1),$AU$750,HLOOKUP(INDIRECT(ADDRESS(2,COLUMN())),OFFSET($BN$2,0,0,ROW()-1,60),ROW()-1,FALSE))</f>
        <v>21.41957803</v>
      </c>
      <c r="AV307">
        <f ca="1">IF(AND(ISNUMBER($AV$750),$B$419=1),$AV$750,HLOOKUP(INDIRECT(ADDRESS(2,COLUMN())),OFFSET($BN$2,0,0,ROW()-1,60),ROW()-1,FALSE))</f>
        <v>21.759094529999999</v>
      </c>
      <c r="AW307">
        <f ca="1">IF(AND(ISNUMBER($AW$750),$B$419=1),$AW$750,HLOOKUP(INDIRECT(ADDRESS(2,COLUMN())),OFFSET($BN$2,0,0,ROW()-1,60),ROW()-1,FALSE))</f>
        <v>20.88592676</v>
      </c>
      <c r="AX307">
        <f ca="1">IF(AND(ISNUMBER($AX$750),$B$419=1),$AX$750,HLOOKUP(INDIRECT(ADDRESS(2,COLUMN())),OFFSET($BN$2,0,0,ROW()-1,60),ROW()-1,FALSE))</f>
        <v>21.689943570000001</v>
      </c>
      <c r="AY307">
        <f ca="1">IF(AND(ISNUMBER($AY$750),$B$419=1),$AY$750,HLOOKUP(INDIRECT(ADDRESS(2,COLUMN())),OFFSET($BN$2,0,0,ROW()-1,60),ROW()-1,FALSE))</f>
        <v>23.567664189999999</v>
      </c>
      <c r="AZ307">
        <f ca="1">IF(AND(ISNUMBER($AZ$750),$B$419=1),$AZ$750,HLOOKUP(INDIRECT(ADDRESS(2,COLUMN())),OFFSET($BN$2,0,0,ROW()-1,60),ROW()-1,FALSE))</f>
        <v>21.324893530000001</v>
      </c>
      <c r="BA307">
        <f ca="1">IF(AND(ISNUMBER($BA$750),$B$419=1),$BA$750,HLOOKUP(INDIRECT(ADDRESS(2,COLUMN())),OFFSET($BN$2,0,0,ROW()-1,60),ROW()-1,FALSE))</f>
        <v>21.840164720000001</v>
      </c>
      <c r="BB307">
        <f ca="1">IF(AND(ISNUMBER($BB$750),$B$419=1),$BB$750,HLOOKUP(INDIRECT(ADDRESS(2,COLUMN())),OFFSET($BN$2,0,0,ROW()-1,60),ROW()-1,FALSE))</f>
        <v>22.160116630000001</v>
      </c>
      <c r="BC307">
        <f ca="1">IF(AND(ISNUMBER($BC$750),$B$419=1),$BC$750,HLOOKUP(INDIRECT(ADDRESS(2,COLUMN())),OFFSET($BN$2,0,0,ROW()-1,60),ROW()-1,FALSE))</f>
        <v>22.528313220000001</v>
      </c>
      <c r="BD307">
        <f ca="1">IF(AND(ISNUMBER($BD$750),$B$419=1),$BD$750,HLOOKUP(INDIRECT(ADDRESS(2,COLUMN())),OFFSET($BN$2,0,0,ROW()-1,60),ROW()-1,FALSE))</f>
        <v>22.733135189999999</v>
      </c>
      <c r="BE307">
        <f ca="1">IF(AND(ISNUMBER($BE$750),$B$419=1),$BE$750,HLOOKUP(INDIRECT(ADDRESS(2,COLUMN())),OFFSET($BN$2,0,0,ROW()-1,60),ROW()-1,FALSE))</f>
        <v>23.373258320000001</v>
      </c>
      <c r="BF307">
        <f ca="1">IF(AND(ISNUMBER($BF$750),$B$419=1),$BF$750,HLOOKUP(INDIRECT(ADDRESS(2,COLUMN())),OFFSET($BN$2,0,0,ROW()-1,60),ROW()-1,FALSE))</f>
        <v>21.86848312</v>
      </c>
      <c r="BG307">
        <f ca="1">IF(AND(ISNUMBER($BG$750),$B$419=1),$BG$750,HLOOKUP(INDIRECT(ADDRESS(2,COLUMN())),OFFSET($BN$2,0,0,ROW()-1,60),ROW()-1,FALSE))</f>
        <v>21.365304269999999</v>
      </c>
      <c r="BH307">
        <f ca="1">IF(AND(ISNUMBER($BH$750),$B$419=1),$BH$750,HLOOKUP(INDIRECT(ADDRESS(2,COLUMN())),OFFSET($BN$2,0,0,ROW()-1,60),ROW()-1,FALSE))</f>
        <v>21.22367092</v>
      </c>
      <c r="BI307">
        <f ca="1">IF(AND(ISNUMBER($BI$750),$B$419=1),$BI$750,HLOOKUP(INDIRECT(ADDRESS(2,COLUMN())),OFFSET($BN$2,0,0,ROW()-1,60),ROW()-1,FALSE))</f>
        <v>20.741660190000001</v>
      </c>
      <c r="BJ307">
        <f ca="1">IF(AND(ISNUMBER($BJ$750),$B$419=1),$BJ$750,HLOOKUP(INDIRECT(ADDRESS(2,COLUMN())),OFFSET($BN$2,0,0,ROW()-1,60),ROW()-1,FALSE))</f>
        <v>22.903306239999999</v>
      </c>
      <c r="BK307">
        <f ca="1">IF(AND(ISNUMBER($BK$750),$B$419=1),$BK$750,HLOOKUP(INDIRECT(ADDRESS(2,COLUMN())),OFFSET($BN$2,0,0,ROW()-1,60),ROW()-1,FALSE))</f>
        <v>24.05232341</v>
      </c>
      <c r="BL307">
        <f ca="1">IF(AND(ISNUMBER($BL$750),$B$419=1),$BL$750,HLOOKUP(INDIRECT(ADDRESS(2,COLUMN())),OFFSET($BN$2,0,0,ROW()-1,60),ROW()-1,FALSE))</f>
        <v>19.15716175</v>
      </c>
      <c r="BM307">
        <f ca="1">IF(AND(ISNUMBER($BM$750),$B$419=1),$BM$750,HLOOKUP(INDIRECT(ADDRESS(2,COLUMN())),OFFSET($BN$2,0,0,ROW()-1,60),ROW()-1,FALSE))</f>
        <v>18.086231770000001</v>
      </c>
      <c r="BN307" t="str">
        <f>""</f>
        <v/>
      </c>
      <c r="BO307">
        <f>9.857650372</f>
        <v>9.8576503720000002</v>
      </c>
      <c r="BP307">
        <f>9.723383389</f>
        <v>9.7233833890000003</v>
      </c>
      <c r="BQ307">
        <f>9.69665431</f>
        <v>9.6966543099999996</v>
      </c>
      <c r="BR307">
        <f>9.733482135</f>
        <v>9.7334821349999991</v>
      </c>
      <c r="BS307">
        <f>10.00985333</f>
        <v>10.00985333</v>
      </c>
      <c r="BT307">
        <f>10.1579862</f>
        <v>10.1579862</v>
      </c>
      <c r="BU307">
        <f>11.28016947</f>
        <v>11.280169470000001</v>
      </c>
      <c r="BV307">
        <f>12.58892271</f>
        <v>12.58892271</v>
      </c>
      <c r="BW307">
        <f>11.85962385</f>
        <v>11.85962385</v>
      </c>
      <c r="BX307">
        <f>12.33654495</f>
        <v>12.33654495</v>
      </c>
      <c r="BY307">
        <f>13.05881565</f>
        <v>13.05881565</v>
      </c>
      <c r="BZ307">
        <f>14.92170073</f>
        <v>14.92170073</v>
      </c>
      <c r="CA307">
        <f>15.57622806</f>
        <v>15.57622806</v>
      </c>
      <c r="CB307">
        <f>16.46690272</f>
        <v>16.46690272</v>
      </c>
      <c r="CC307">
        <f>17.46888299</f>
        <v>17.468882990000001</v>
      </c>
      <c r="CD307">
        <f>17.5636286</f>
        <v>17.563628600000001</v>
      </c>
      <c r="CE307">
        <f>17.23009549</f>
        <v>17.23009549</v>
      </c>
      <c r="CF307">
        <f>19.29323618</f>
        <v>19.293236180000001</v>
      </c>
      <c r="CG307">
        <f>19.66361389</f>
        <v>19.663613890000001</v>
      </c>
      <c r="CH307">
        <f>21.11163817</f>
        <v>21.111638169999999</v>
      </c>
      <c r="CI307">
        <f>22.3019396</f>
        <v>22.301939600000001</v>
      </c>
      <c r="CJ307">
        <f>22.81709609</f>
        <v>22.81709609</v>
      </c>
      <c r="CK307">
        <f>22.22678978</f>
        <v>22.226789780000001</v>
      </c>
      <c r="CL307">
        <f>21.81425055</f>
        <v>21.814250550000001</v>
      </c>
      <c r="CM307">
        <f>22.25053866</f>
        <v>22.25053866</v>
      </c>
      <c r="CN307">
        <f>22.79014142</f>
        <v>22.790141420000001</v>
      </c>
      <c r="CO307">
        <f>22.93498561</f>
        <v>22.934985609999998</v>
      </c>
      <c r="CP307">
        <f>23.6590308</f>
        <v>23.6590308</v>
      </c>
      <c r="CQ307">
        <f>23.69663811</f>
        <v>23.696638109999999</v>
      </c>
      <c r="CR307">
        <f>23.7104739</f>
        <v>23.7104739</v>
      </c>
      <c r="CS307">
        <f>24.33606505</f>
        <v>24.336065049999998</v>
      </c>
      <c r="CT307">
        <f>25.00150616</f>
        <v>25.001506160000002</v>
      </c>
      <c r="CU307">
        <f>25.05007274</f>
        <v>25.050072740000001</v>
      </c>
      <c r="CV307">
        <f>24.23900671</f>
        <v>24.239006710000002</v>
      </c>
      <c r="CW307">
        <f>21.98869201</f>
        <v>21.988692010000001</v>
      </c>
      <c r="CX307">
        <f>20.07624805</f>
        <v>20.07624805</v>
      </c>
      <c r="CY307">
        <f>20.18189704</f>
        <v>20.181897039999999</v>
      </c>
      <c r="CZ307">
        <f>20.18496845</f>
        <v>20.18496845</v>
      </c>
      <c r="DA307">
        <f>20.56321835</f>
        <v>20.56321835</v>
      </c>
      <c r="DB307">
        <f>21.73159109</f>
        <v>21.731591089999998</v>
      </c>
      <c r="DC307">
        <f>21.41957803</f>
        <v>21.41957803</v>
      </c>
      <c r="DD307">
        <f>21.75909453</f>
        <v>21.759094529999999</v>
      </c>
      <c r="DE307">
        <f>20.88592676</f>
        <v>20.88592676</v>
      </c>
      <c r="DF307">
        <f>21.68994357</f>
        <v>21.689943570000001</v>
      </c>
      <c r="DG307">
        <f>23.56766419</f>
        <v>23.567664189999999</v>
      </c>
      <c r="DH307">
        <f>21.32489353</f>
        <v>21.324893530000001</v>
      </c>
      <c r="DI307">
        <f>21.84016472</f>
        <v>21.840164720000001</v>
      </c>
      <c r="DJ307">
        <f>22.16011663</f>
        <v>22.160116630000001</v>
      </c>
      <c r="DK307">
        <f>22.52831322</f>
        <v>22.528313220000001</v>
      </c>
      <c r="DL307">
        <f>22.73313519</f>
        <v>22.733135189999999</v>
      </c>
      <c r="DM307">
        <f>23.37325832</f>
        <v>23.373258320000001</v>
      </c>
      <c r="DN307">
        <f>21.86848312</f>
        <v>21.86848312</v>
      </c>
      <c r="DO307">
        <f>21.36530427</f>
        <v>21.365304269999999</v>
      </c>
      <c r="DP307">
        <f>21.22367092</f>
        <v>21.22367092</v>
      </c>
      <c r="DQ307">
        <f>20.74166019</f>
        <v>20.741660190000001</v>
      </c>
      <c r="DR307">
        <f>22.90330624</f>
        <v>22.903306239999999</v>
      </c>
      <c r="DS307">
        <f>24.05232341</f>
        <v>24.05232341</v>
      </c>
      <c r="DT307">
        <f>19.15716175</f>
        <v>19.15716175</v>
      </c>
      <c r="DU307">
        <f>18.08623177</f>
        <v>18.086231770000001</v>
      </c>
    </row>
    <row r="308" spans="1:125">
      <c r="A308" t="str">
        <f>"债务/市值"</f>
        <v>债务/市值</v>
      </c>
      <c r="B308" t="str">
        <f>""</f>
        <v/>
      </c>
      <c r="E308" t="str">
        <f>"Median"</f>
        <v>Median</v>
      </c>
      <c r="F308">
        <f ca="1">IF(ISERROR(IF(MEDIAN($F$309:$F$323) = 0, "", MEDIAN($F$309:$F$323))), "", (IF(MEDIAN($F$309:$F$323) = 0, "", MEDIAN($F$309:$F$323))))</f>
        <v>0.74652553399999999</v>
      </c>
      <c r="G308">
        <f ca="1">IF(ISERROR(IF(MEDIAN($G$309:$G$323) = 0, "", MEDIAN($G$309:$G$323))), "", (IF(MEDIAN($G$309:$G$323) = 0, "", MEDIAN($G$309:$G$323))))</f>
        <v>0.67933587900000003</v>
      </c>
      <c r="H308">
        <f ca="1">IF(ISERROR(IF(MEDIAN($H$309:$H$323) = 0, "", MEDIAN($H$309:$H$323))), "", (IF(MEDIAN($H$309:$H$323) = 0, "", MEDIAN($H$309:$H$323))))</f>
        <v>0.65474830799999995</v>
      </c>
      <c r="I308">
        <f ca="1">IF(ISERROR(IF(MEDIAN($I$309:$I$323) = 0, "", MEDIAN($I$309:$I$323))), "", (IF(MEDIAN($I$309:$I$323) = 0, "", MEDIAN($I$309:$I$323))))</f>
        <v>0.64971325800000002</v>
      </c>
      <c r="J308">
        <f ca="1">IF(ISERROR(IF(MEDIAN($J$309:$J$323) = 0, "", MEDIAN($J$309:$J$323))), "", (IF(MEDIAN($J$309:$J$323) = 0, "", MEDIAN($J$309:$J$323))))</f>
        <v>0.54227386</v>
      </c>
      <c r="K308">
        <f ca="1">IF(ISERROR(IF(MEDIAN($K$309:$K$323) = 0, "", MEDIAN($K$309:$K$323))), "", (IF(MEDIAN($K$309:$K$323) = 0, "", MEDIAN($K$309:$K$323))))</f>
        <v>0.500669637</v>
      </c>
      <c r="L308">
        <f ca="1">IF(ISERROR(IF(MEDIAN($L$309:$L$323) = 0, "", MEDIAN($L$309:$L$323))), "", (IF(MEDIAN($L$309:$L$323) = 0, "", MEDIAN($L$309:$L$323))))</f>
        <v>0.46085775899999998</v>
      </c>
      <c r="M308">
        <f ca="1">IF(ISERROR(IF(MEDIAN($M$309:$M$323) = 0, "", MEDIAN($M$309:$M$323))), "", (IF(MEDIAN($M$309:$M$323) = 0, "", MEDIAN($M$309:$M$323))))</f>
        <v>0.41498869900000002</v>
      </c>
      <c r="N308">
        <f ca="1">IF(ISERROR(IF(MEDIAN($N$309:$N$323) = 0, "", MEDIAN($N$309:$N$323))), "", (IF(MEDIAN($N$309:$N$323) = 0, "", MEDIAN($N$309:$N$323))))</f>
        <v>0.469870012</v>
      </c>
      <c r="O308">
        <f ca="1">IF(ISERROR(IF(MEDIAN($O$309:$O$323) = 0, "", MEDIAN($O$309:$O$323))), "", (IF(MEDIAN($O$309:$O$323) = 0, "", MEDIAN($O$309:$O$323))))</f>
        <v>0.49515641399999999</v>
      </c>
      <c r="P308">
        <f ca="1">IF(ISERROR(IF(MEDIAN($P$309:$P$323) = 0, "", MEDIAN($P$309:$P$323))), "", (IF(MEDIAN($P$309:$P$323) = 0, "", MEDIAN($P$309:$P$323))))</f>
        <v>0.53396014400000003</v>
      </c>
      <c r="Q308">
        <f ca="1">IF(ISERROR(IF(MEDIAN($Q$309:$Q$323) = 0, "", MEDIAN($Q$309:$Q$323))), "", (IF(MEDIAN($Q$309:$Q$323) = 0, "", MEDIAN($Q$309:$Q$323))))</f>
        <v>0.58257838200000001</v>
      </c>
      <c r="R308">
        <f ca="1">IF(ISERROR(IF(MEDIAN($R$309:$R$323) = 0, "", MEDIAN($R$309:$R$323))), "", (IF(MEDIAN($R$309:$R$323) = 0, "", MEDIAN($R$309:$R$323))))</f>
        <v>0.48175944900000001</v>
      </c>
      <c r="S308">
        <f ca="1">IF(ISERROR(IF(MEDIAN($S$309:$S$323) = 0, "", MEDIAN($S$309:$S$323))), "", (IF(MEDIAN($S$309:$S$323) = 0, "", MEDIAN($S$309:$S$323))))</f>
        <v>0.46411714100000001</v>
      </c>
      <c r="T308">
        <f ca="1">IF(ISERROR(IF(MEDIAN($T$309:$T$323) = 0, "", MEDIAN($T$309:$T$323))), "", (IF(MEDIAN($T$309:$T$323) = 0, "", MEDIAN($T$309:$T$323))))</f>
        <v>0.52156255500000004</v>
      </c>
      <c r="U308">
        <f ca="1">IF(ISERROR(IF(MEDIAN($U$309:$U$323) = 0, "", MEDIAN($U$309:$U$323))), "", (IF(MEDIAN($U$309:$U$323) = 0, "", MEDIAN($U$309:$U$323))))</f>
        <v>0.50134052600000001</v>
      </c>
      <c r="V308">
        <f ca="1">IF(ISERROR(IF(MEDIAN($V$309:$V$323) = 0, "", MEDIAN($V$309:$V$323))), "", (IF(MEDIAN($V$309:$V$323) = 0, "", MEDIAN($V$309:$V$323))))</f>
        <v>0.552236693</v>
      </c>
      <c r="W308">
        <f ca="1">IF(ISERROR(IF(MEDIAN($W$309:$W$323) = 0, "", MEDIAN($W$309:$W$323))), "", (IF(MEDIAN($W$309:$W$323) = 0, "", MEDIAN($W$309:$W$323))))</f>
        <v>0.56380963100000003</v>
      </c>
      <c r="X308">
        <f ca="1">IF(ISERROR(IF(MEDIAN($X$309:$X$323) = 0, "", MEDIAN($X$309:$X$323))), "", (IF(MEDIAN($X$309:$X$323) = 0, "", MEDIAN($X$309:$X$323))))</f>
        <v>0.51906865499999999</v>
      </c>
      <c r="Y308">
        <f ca="1">IF(ISERROR(IF(MEDIAN($Y$309:$Y$323) = 0, "", MEDIAN($Y$309:$Y$323))), "", (IF(MEDIAN($Y$309:$Y$323) = 0, "", MEDIAN($Y$309:$Y$323))))</f>
        <v>0.46336487599999998</v>
      </c>
      <c r="Z308">
        <f ca="1">IF(ISERROR(IF(MEDIAN($Z$309:$Z$323) = 0, "", MEDIAN($Z$309:$Z$323))), "", (IF(MEDIAN($Z$309:$Z$323) = 0, "", MEDIAN($Z$309:$Z$323))))</f>
        <v>0.40283010000000002</v>
      </c>
      <c r="AA308">
        <f ca="1">IF(ISERROR(IF(MEDIAN($AA$309:$AA$323) = 0, "", MEDIAN($AA$309:$AA$323))), "", (IF(MEDIAN($AA$309:$AA$323) = 0, "", MEDIAN($AA$309:$AA$323))))</f>
        <v>0.53481121499999995</v>
      </c>
      <c r="AB308">
        <f ca="1">IF(ISERROR(IF(MEDIAN($AB$309:$AB$323) = 0, "", MEDIAN($AB$309:$AB$323))), "", (IF(MEDIAN($AB$309:$AB$323) = 0, "", MEDIAN($AB$309:$AB$323))))</f>
        <v>0.48081207799999998</v>
      </c>
      <c r="AC308">
        <f ca="1">IF(ISERROR(IF(MEDIAN($AC$309:$AC$323) = 0, "", MEDIAN($AC$309:$AC$323))), "", (IF(MEDIAN($AC$309:$AC$323) = 0, "", MEDIAN($AC$309:$AC$323))))</f>
        <v>0.48136000800000001</v>
      </c>
      <c r="AD308">
        <f ca="1">IF(ISERROR(IF(MEDIAN($AD$309:$AD$323) = 0, "", MEDIAN($AD$309:$AD$323))), "", (IF(MEDIAN($AD$309:$AD$323) = 0, "", MEDIAN($AD$309:$AD$323))))</f>
        <v>0.50168426350000006</v>
      </c>
      <c r="AE308">
        <f ca="1">IF(ISERROR(IF(MEDIAN($AE$309:$AE$323) = 0, "", MEDIAN($AE$309:$AE$323))), "", (IF(MEDIAN($AE$309:$AE$323) = 0, "", MEDIAN($AE$309:$AE$323))))</f>
        <v>0.54032088099999998</v>
      </c>
      <c r="AF308">
        <f ca="1">IF(ISERROR(IF(MEDIAN($AF$309:$AF$323) = 0, "", MEDIAN($AF$309:$AF$323))), "", (IF(MEDIAN($AF$309:$AF$323) = 0, "", MEDIAN($AF$309:$AF$323))))</f>
        <v>0.59933920600000001</v>
      </c>
      <c r="AG308">
        <f ca="1">IF(ISERROR(IF(MEDIAN($AG$309:$AG$323) = 0, "", MEDIAN($AG$309:$AG$323))), "", (IF(MEDIAN($AG$309:$AG$323) = 0, "", MEDIAN($AG$309:$AG$323))))</f>
        <v>0.49907811699999999</v>
      </c>
      <c r="AH308">
        <f ca="1">IF(ISERROR(IF(MEDIAN($AH$309:$AH$323) = 0, "", MEDIAN($AH$309:$AH$323))), "", (IF(MEDIAN($AH$309:$AH$323) = 0, "", MEDIAN($AH$309:$AH$323))))</f>
        <v>0.53877733500000002</v>
      </c>
      <c r="AI308">
        <f ca="1">IF(ISERROR(IF(MEDIAN($AI$309:$AI$323) = 0, "", MEDIAN($AI$309:$AI$323))), "", (IF(MEDIAN($AI$309:$AI$323) = 0, "", MEDIAN($AI$309:$AI$323))))</f>
        <v>0.55425257500000003</v>
      </c>
      <c r="AJ308">
        <f ca="1">IF(ISERROR(IF(MEDIAN($AJ$309:$AJ$323) = 0, "", MEDIAN($AJ$309:$AJ$323))), "", (IF(MEDIAN($AJ$309:$AJ$323) = 0, "", MEDIAN($AJ$309:$AJ$323))))</f>
        <v>0.61638834799999997</v>
      </c>
      <c r="AK308">
        <f ca="1">IF(ISERROR(IF(MEDIAN($AK$309:$AK$323) = 0, "", MEDIAN($AK$309:$AK$323))), "", (IF(MEDIAN($AK$309:$AK$323) = 0, "", MEDIAN($AK$309:$AK$323))))</f>
        <v>0.71214148799999999</v>
      </c>
      <c r="AL308">
        <f ca="1">IF(ISERROR(IF(MEDIAN($AL$309:$AL$323) = 0, "", MEDIAN($AL$309:$AL$323))), "", (IF(MEDIAN($AL$309:$AL$323) = 0, "", MEDIAN($AL$309:$AL$323))))</f>
        <v>0.61377013499999999</v>
      </c>
      <c r="AM308">
        <f ca="1">IF(ISERROR(IF(MEDIAN($AM$309:$AM$323) = 0, "", MEDIAN($AM$309:$AM$323))), "", (IF(MEDIAN($AM$309:$AM$323) = 0, "", MEDIAN($AM$309:$AM$323))))</f>
        <v>0.70685871050000004</v>
      </c>
      <c r="AN308">
        <f ca="1">IF(ISERROR(IF(MEDIAN($AN$309:$AN$323) = 0, "", MEDIAN($AN$309:$AN$323))), "", (IF(MEDIAN($AN$309:$AN$323) = 0, "", MEDIAN($AN$309:$AN$323))))</f>
        <v>0.756989052</v>
      </c>
      <c r="AO308">
        <f ca="1">IF(ISERROR(IF(MEDIAN($AO$309:$AO$323) = 0, "", MEDIAN($AO$309:$AO$323))), "", (IF(MEDIAN($AO$309:$AO$323) = 0, "", MEDIAN($AO$309:$AO$323))))</f>
        <v>0.9152899699999999</v>
      </c>
      <c r="AP308">
        <f ca="1">IF(ISERROR(IF(MEDIAN($AP$309:$AP$323) = 0, "", MEDIAN($AP$309:$AP$323))), "", (IF(MEDIAN($AP$309:$AP$323) = 0, "", MEDIAN($AP$309:$AP$323))))</f>
        <v>1.6130054375</v>
      </c>
      <c r="AQ308">
        <f ca="1">IF(ISERROR(IF(MEDIAN($AQ$309:$AQ$323) = 0, "", MEDIAN($AQ$309:$AQ$323))), "", (IF(MEDIAN($AQ$309:$AQ$323) = 0, "", MEDIAN($AQ$309:$AQ$323))))</f>
        <v>0.84935391250000003</v>
      </c>
      <c r="AR308">
        <f ca="1">IF(ISERROR(IF(MEDIAN($AR$309:$AR$323) = 0, "", MEDIAN($AR$309:$AR$323))), "", (IF(MEDIAN($AR$309:$AR$323) = 0, "", MEDIAN($AR$309:$AR$323))))</f>
        <v>0.57901206150000006</v>
      </c>
      <c r="AS308">
        <f ca="1">IF(ISERROR(IF(MEDIAN($AS$309:$AS$323) = 0, "", MEDIAN($AS$309:$AS$323))), "", (IF(MEDIAN($AS$309:$AS$323) = 0, "", MEDIAN($AS$309:$AS$323))))</f>
        <v>0.72030191500000007</v>
      </c>
      <c r="AT308">
        <f ca="1">IF(ISERROR(IF(MEDIAN($AT$309:$AT$323) = 0, "", MEDIAN($AT$309:$AT$323))), "", (IF(MEDIAN($AT$309:$AT$323) = 0, "", MEDIAN($AT$309:$AT$323))))</f>
        <v>0.66933160550000004</v>
      </c>
      <c r="AU308">
        <f ca="1">IF(ISERROR(IF(MEDIAN($AU$309:$AU$323) = 0, "", MEDIAN($AU$309:$AU$323))), "", (IF(MEDIAN($AU$309:$AU$323) = 0, "", MEDIAN($AU$309:$AU$323))))</f>
        <v>0.624477159</v>
      </c>
      <c r="AV308">
        <f ca="1">IF(ISERROR(IF(MEDIAN($AV$309:$AV$323) = 0, "", MEDIAN($AV$309:$AV$323))), "", (IF(MEDIAN($AV$309:$AV$323) = 0, "", MEDIAN($AV$309:$AV$323))))</f>
        <v>0.59329617000000001</v>
      </c>
      <c r="AW308">
        <f ca="1">IF(ISERROR(IF(MEDIAN($AW$309:$AW$323) = 0, "", MEDIAN($AW$309:$AW$323))), "", (IF(MEDIAN($AW$309:$AW$323) = 0, "", MEDIAN($AW$309:$AW$323))))</f>
        <v>0.60652489749999994</v>
      </c>
      <c r="AX308">
        <f ca="1">IF(ISERROR(IF(MEDIAN($AX$309:$AX$323) = 0, "", MEDIAN($AX$309:$AX$323))), "", (IF(MEDIAN($AX$309:$AX$323) = 0, "", MEDIAN($AX$309:$AX$323))))</f>
        <v>0.49872945800000001</v>
      </c>
      <c r="AY308">
        <f ca="1">IF(ISERROR(IF(MEDIAN($AY$309:$AY$323) = 0, "", MEDIAN($AY$309:$AY$323))), "", (IF(MEDIAN($AY$309:$AY$323) = 0, "", MEDIAN($AY$309:$AY$323))))</f>
        <v>0.56652920600000001</v>
      </c>
      <c r="AZ308">
        <f ca="1">IF(ISERROR(IF(MEDIAN($AZ$309:$AZ$323) = 0, "", MEDIAN($AZ$309:$AZ$323))), "", (IF(MEDIAN($AZ$309:$AZ$323) = 0, "", MEDIAN($AZ$309:$AZ$323))))</f>
        <v>0.63832841299999998</v>
      </c>
      <c r="BA308">
        <f ca="1">IF(ISERROR(IF(MEDIAN($BA$309:$BA$323) = 0, "", MEDIAN($BA$309:$BA$323))), "", (IF(MEDIAN($BA$309:$BA$323) = 0, "", MEDIAN($BA$309:$BA$323))))</f>
        <v>0.64002534150000001</v>
      </c>
      <c r="BB308">
        <f ca="1">IF(ISERROR(IF(MEDIAN($BB$309:$BB$323) = 0, "", MEDIAN($BB$309:$BB$323))), "", (IF(MEDIAN($BB$309:$BB$323) = 0, "", MEDIAN($BB$309:$BB$323))))</f>
        <v>0.6288990955</v>
      </c>
      <c r="BC308">
        <f ca="1">IF(ISERROR(IF(MEDIAN($BC$309:$BC$323) = 0, "", MEDIAN($BC$309:$BC$323))), "", (IF(MEDIAN($BC$309:$BC$323) = 0, "", MEDIAN($BC$309:$BC$323))))</f>
        <v>0.72094533999999999</v>
      </c>
      <c r="BD308">
        <f ca="1">IF(ISERROR(IF(MEDIAN($BD$309:$BD$323) = 0, "", MEDIAN($BD$309:$BD$323))), "", (IF(MEDIAN($BD$309:$BD$323) = 0, "", MEDIAN($BD$309:$BD$323))))</f>
        <v>0.55457691050000002</v>
      </c>
      <c r="BE308">
        <f ca="1">IF(ISERROR(IF(MEDIAN($BE$309:$BE$323) = 0, "", MEDIAN($BE$309:$BE$323))), "", (IF(MEDIAN($BE$309:$BE$323) = 0, "", MEDIAN($BE$309:$BE$323))))</f>
        <v>0.60025336149999997</v>
      </c>
      <c r="BF308">
        <f ca="1">IF(ISERROR(IF(MEDIAN($BF$309:$BF$323) = 0, "", MEDIAN($BF$309:$BF$323))), "", (IF(MEDIAN($BF$309:$BF$323) = 0, "", MEDIAN($BF$309:$BF$323))))</f>
        <v>0.61873649949999998</v>
      </c>
      <c r="BG308">
        <f ca="1">IF(ISERROR(IF(MEDIAN($BG$309:$BG$323) = 0, "", MEDIAN($BG$309:$BG$323))), "", (IF(MEDIAN($BG$309:$BG$323) = 0, "", MEDIAN($BG$309:$BG$323))))</f>
        <v>0.54010738800000002</v>
      </c>
      <c r="BH308">
        <f ca="1">IF(ISERROR(IF(MEDIAN($BH$309:$BH$323) = 0, "", MEDIAN($BH$309:$BH$323))), "", (IF(MEDIAN($BH$309:$BH$323) = 0, "", MEDIAN($BH$309:$BH$323))))</f>
        <v>0.64567517299999999</v>
      </c>
      <c r="BI308">
        <f ca="1">IF(ISERROR(IF(MEDIAN($BI$309:$BI$323) = 0, "", MEDIAN($BI$309:$BI$323))), "", (IF(MEDIAN($BI$309:$BI$323) = 0, "", MEDIAN($BI$309:$BI$323))))</f>
        <v>0.71932664749999997</v>
      </c>
      <c r="BJ308">
        <f ca="1">IF(ISERROR(IF(MEDIAN($BJ$309:$BJ$323) = 0, "", MEDIAN($BJ$309:$BJ$323))), "", (IF(MEDIAN($BJ$309:$BJ$323) = 0, "", MEDIAN($BJ$309:$BJ$323))))</f>
        <v>0.60769689599999999</v>
      </c>
      <c r="BK308">
        <f ca="1">IF(ISERROR(IF(MEDIAN($BK$309:$BK$323) = 0, "", MEDIAN($BK$309:$BK$323))), "", (IF(MEDIAN($BK$309:$BK$323) = 0, "", MEDIAN($BK$309:$BK$323))))</f>
        <v>0.70624663850000002</v>
      </c>
      <c r="BL308">
        <f ca="1">IF(ISERROR(IF(MEDIAN($BL$309:$BL$323) = 0, "", MEDIAN($BL$309:$BL$323))), "", (IF(MEDIAN($BL$309:$BL$323) = 0, "", MEDIAN($BL$309:$BL$323))))</f>
        <v>0.70158135099999996</v>
      </c>
      <c r="BM308">
        <f ca="1">IF(ISERROR(IF(MEDIAN($BM$309:$BM$323) = 0, "", MEDIAN($BM$309:$BM$323))), "", (IF(MEDIAN($BM$309:$BM$323) = 0, "", MEDIAN($BM$309:$BM$323))))</f>
        <v>0.74425453899999994</v>
      </c>
      <c r="BN308">
        <f>0.746525534</f>
        <v>0.74652553399999999</v>
      </c>
      <c r="BO308">
        <f>0.679335879</f>
        <v>0.67933587900000003</v>
      </c>
      <c r="BP308">
        <f>0.654748308</f>
        <v>0.65474830799999995</v>
      </c>
      <c r="BQ308">
        <f>0.649713258</f>
        <v>0.64971325800000002</v>
      </c>
      <c r="BR308">
        <f>0.54227386</f>
        <v>0.54227386</v>
      </c>
      <c r="BS308">
        <f>0.500669637</f>
        <v>0.500669637</v>
      </c>
      <c r="BT308">
        <f>0.460857759</f>
        <v>0.46085775899999998</v>
      </c>
      <c r="BU308">
        <f>0.414988699</f>
        <v>0.41498869900000002</v>
      </c>
      <c r="BV308">
        <f>0.469870012</f>
        <v>0.469870012</v>
      </c>
      <c r="BW308">
        <f>0.495156414</f>
        <v>0.49515641399999999</v>
      </c>
      <c r="BX308">
        <f>0.533960144</f>
        <v>0.53396014400000003</v>
      </c>
      <c r="BY308">
        <f>0.582578382</f>
        <v>0.58257838200000001</v>
      </c>
      <c r="BZ308">
        <f>0.481759449</f>
        <v>0.48175944900000001</v>
      </c>
      <c r="CA308">
        <f>0.464117141</f>
        <v>0.46411714100000001</v>
      </c>
      <c r="CB308">
        <f>0.521562555</f>
        <v>0.52156255500000004</v>
      </c>
      <c r="CC308">
        <f>0.501340526</f>
        <v>0.50134052600000001</v>
      </c>
      <c r="CD308">
        <f>0.552236693</f>
        <v>0.552236693</v>
      </c>
      <c r="CE308">
        <f>0.563809631</f>
        <v>0.56380963100000003</v>
      </c>
      <c r="CF308">
        <f>0.519068655</f>
        <v>0.51906865499999999</v>
      </c>
      <c r="CG308">
        <f>0.463364876</f>
        <v>0.46336487599999998</v>
      </c>
      <c r="CH308">
        <f>0.4028301</f>
        <v>0.40283010000000002</v>
      </c>
      <c r="CI308">
        <f>0.534811215</f>
        <v>0.53481121499999995</v>
      </c>
      <c r="CJ308">
        <f>0.480812078</f>
        <v>0.48081207799999998</v>
      </c>
      <c r="CK308">
        <f>0.481360008</f>
        <v>0.48136000800000001</v>
      </c>
      <c r="CL308">
        <f>0.501684264</f>
        <v>0.50168426399999999</v>
      </c>
      <c r="CM308">
        <f>0.540320881</f>
        <v>0.54032088099999998</v>
      </c>
      <c r="CN308">
        <f>0.599339206</f>
        <v>0.59933920600000001</v>
      </c>
      <c r="CO308">
        <f>0.499078117</f>
        <v>0.49907811699999999</v>
      </c>
      <c r="CP308">
        <f>0.538777335</f>
        <v>0.53877733500000002</v>
      </c>
      <c r="CQ308">
        <f>0.554252575</f>
        <v>0.55425257500000003</v>
      </c>
      <c r="CR308">
        <f>0.616388348</f>
        <v>0.61638834799999997</v>
      </c>
      <c r="CS308">
        <f>0.712141488</f>
        <v>0.71214148799999999</v>
      </c>
      <c r="CT308">
        <f>0.613770135</f>
        <v>0.61377013499999999</v>
      </c>
      <c r="CU308">
        <f>0.70685871</f>
        <v>0.70685871</v>
      </c>
      <c r="CV308">
        <f>0.756989052</f>
        <v>0.756989052</v>
      </c>
      <c r="CW308">
        <f>0.91528997</f>
        <v>0.91528997000000001</v>
      </c>
      <c r="CX308">
        <f>1.613005438</f>
        <v>1.6130054380000001</v>
      </c>
      <c r="CY308">
        <f>0.849353912</f>
        <v>0.84935391199999999</v>
      </c>
      <c r="CZ308">
        <f>0.579012062</f>
        <v>0.57901206199999999</v>
      </c>
      <c r="DA308">
        <f>0.720301915</f>
        <v>0.72030191499999996</v>
      </c>
      <c r="DB308">
        <f>0.669331606</f>
        <v>0.66933160599999997</v>
      </c>
      <c r="DC308">
        <f>0.624477159</f>
        <v>0.624477159</v>
      </c>
      <c r="DD308">
        <f>0.59329617</f>
        <v>0.59329617000000001</v>
      </c>
      <c r="DE308">
        <f>0.606524897</f>
        <v>0.60652489700000001</v>
      </c>
      <c r="DF308">
        <f>0.498729458</f>
        <v>0.49872945800000001</v>
      </c>
      <c r="DG308">
        <f>0.566529206</f>
        <v>0.56652920600000001</v>
      </c>
      <c r="DH308">
        <f>0.638328413</f>
        <v>0.63832841299999998</v>
      </c>
      <c r="DI308">
        <f>0.640025341</f>
        <v>0.64002534099999997</v>
      </c>
      <c r="DJ308">
        <f>0.628899096</f>
        <v>0.62889909600000005</v>
      </c>
      <c r="DK308">
        <f>0.72094534</f>
        <v>0.72094533999999999</v>
      </c>
      <c r="DL308">
        <f>0.554576911</f>
        <v>0.55457691099999995</v>
      </c>
      <c r="DM308">
        <f>0.600253361</f>
        <v>0.60025336100000004</v>
      </c>
      <c r="DN308">
        <f>0.618736499</f>
        <v>0.61873649900000005</v>
      </c>
      <c r="DO308">
        <f>0.540107388</f>
        <v>0.54010738800000002</v>
      </c>
      <c r="DP308">
        <f>0.645675173</f>
        <v>0.64567517299999999</v>
      </c>
      <c r="DQ308">
        <f>0.719326647</f>
        <v>0.71932664700000004</v>
      </c>
      <c r="DR308">
        <f>0.607696896</f>
        <v>0.60769689599999999</v>
      </c>
      <c r="DS308">
        <f>0.706246638</f>
        <v>0.70624663799999998</v>
      </c>
      <c r="DT308">
        <f>0.701581351</f>
        <v>0.70158135099999996</v>
      </c>
      <c r="DU308">
        <f>0.744254539</f>
        <v>0.74425453900000005</v>
      </c>
    </row>
    <row r="309" spans="1:125">
      <c r="A309" t="str">
        <f>"    Brixmor Property Group Inc"</f>
        <v xml:space="preserve">    Brixmor Property Group Inc</v>
      </c>
      <c r="B309" t="str">
        <f>"BRX US Equity"</f>
        <v>BRX US Equity</v>
      </c>
      <c r="C309" t="str">
        <f t="shared" ref="C309:C323" si="57">"RR263"</f>
        <v>RR263</v>
      </c>
      <c r="D309" t="str">
        <f t="shared" ref="D309:D323" si="58">"DEBT_TO_MKT_CAP"</f>
        <v>DEBT_TO_MKT_CAP</v>
      </c>
      <c r="E309" t="str">
        <f t="shared" ref="E309:E323" si="59">"动态"</f>
        <v>动态</v>
      </c>
      <c r="F309">
        <f ca="1">IF(AND(ISNUMBER($F$751),$B$419=1),$F$751,HLOOKUP(INDIRECT(ADDRESS(2,COLUMN())),OFFSET($BN$2,0,0,ROW()-1,60),ROW()-1,FALSE))</f>
        <v>1.1987575690000001</v>
      </c>
      <c r="G309">
        <f ca="1">IF(AND(ISNUMBER($G$751),$B$419=1),$G$751,HLOOKUP(INDIRECT(ADDRESS(2,COLUMN())),OFFSET($BN$2,0,0,ROW()-1,60),ROW()-1,FALSE))</f>
        <v>0.99755908699999996</v>
      </c>
      <c r="H309">
        <f ca="1">IF(AND(ISNUMBER($H$751),$B$419=1),$H$751,HLOOKUP(INDIRECT(ADDRESS(2,COLUMN())),OFFSET($BN$2,0,0,ROW()-1,60),ROW()-1,FALSE))</f>
        <v>0.99666762399999997</v>
      </c>
      <c r="I309">
        <f ca="1">IF(AND(ISNUMBER($I$751),$B$419=1),$I$751,HLOOKUP(INDIRECT(ADDRESS(2,COLUMN())),OFFSET($BN$2,0,0,ROW()-1,60),ROW()-1,FALSE))</f>
        <v>1.0675884579999999</v>
      </c>
      <c r="J309">
        <f ca="1">IF(AND(ISNUMBER($J$751),$B$419=1),$J$751,HLOOKUP(INDIRECT(ADDRESS(2,COLUMN())),OFFSET($BN$2,0,0,ROW()-1,60),ROW()-1,FALSE))</f>
        <v>0.90552146</v>
      </c>
      <c r="K309">
        <f ca="1">IF(AND(ISNUMBER($K$751),$B$419=1),$K$751,HLOOKUP(INDIRECT(ADDRESS(2,COLUMN())),OFFSET($BN$2,0,0,ROW()-1,60),ROW()-1,FALSE))</f>
        <v>0.78569220100000003</v>
      </c>
      <c r="L309">
        <f ca="1">IF(AND(ISNUMBER($L$751),$B$419=1),$L$751,HLOOKUP(INDIRECT(ADDRESS(2,COLUMN())),OFFSET($BN$2,0,0,ROW()-1,60),ROW()-1,FALSE))</f>
        <v>0.69262066600000005</v>
      </c>
      <c r="M309">
        <f ca="1">IF(AND(ISNUMBER($M$751),$B$419=1),$M$751,HLOOKUP(INDIRECT(ADDRESS(2,COLUMN())),OFFSET($BN$2,0,0,ROW()-1,60),ROW()-1,FALSE))</f>
        <v>0.74889853900000003</v>
      </c>
      <c r="N309">
        <f ca="1">IF(AND(ISNUMBER($N$751),$B$419=1),$N$751,HLOOKUP(INDIRECT(ADDRESS(2,COLUMN())),OFFSET($BN$2,0,0,ROW()-1,60),ROW()-1,FALSE))</f>
        <v>0.78381513700000005</v>
      </c>
      <c r="O309">
        <f ca="1">IF(AND(ISNUMBER($O$751),$B$419=1),$O$751,HLOOKUP(INDIRECT(ADDRESS(2,COLUMN())),OFFSET($BN$2,0,0,ROW()-1,60),ROW()-1,FALSE))</f>
        <v>0.77517640300000001</v>
      </c>
      <c r="P309">
        <f ca="1">IF(AND(ISNUMBER($P$751),$B$419=1),$P$751,HLOOKUP(INDIRECT(ADDRESS(2,COLUMN())),OFFSET($BN$2,0,0,ROW()-1,60),ROW()-1,FALSE))</f>
        <v>0.851726498</v>
      </c>
      <c r="Q309">
        <f ca="1">IF(AND(ISNUMBER($Q$751),$B$419=1),$Q$751,HLOOKUP(INDIRECT(ADDRESS(2,COLUMN())),OFFSET($BN$2,0,0,ROW()-1,60),ROW()-1,FALSE))</f>
        <v>0.87220938000000003</v>
      </c>
      <c r="R309">
        <f ca="1">IF(AND(ISNUMBER($R$751),$B$419=1),$R$751,HLOOKUP(INDIRECT(ADDRESS(2,COLUMN())),OFFSET($BN$2,0,0,ROW()-1,60),ROW()-1,FALSE))</f>
        <v>0.76759347600000005</v>
      </c>
      <c r="S309">
        <f ca="1">IF(AND(ISNUMBER($S$751),$B$419=1),$S$751,HLOOKUP(INDIRECT(ADDRESS(2,COLUMN())),OFFSET($BN$2,0,0,ROW()-1,60),ROW()-1,FALSE))</f>
        <v>0.81761364299999995</v>
      </c>
      <c r="T309">
        <f ca="1">IF(AND(ISNUMBER($T$751),$B$419=1),$T$751,HLOOKUP(INDIRECT(ADDRESS(2,COLUMN())),OFFSET($BN$2,0,0,ROW()-1,60),ROW()-1,FALSE))</f>
        <v>1.0875278100000001</v>
      </c>
      <c r="U309">
        <f ca="1">IF(AND(ISNUMBER($U$751),$B$419=1),$U$751,HLOOKUP(INDIRECT(ADDRESS(2,COLUMN())),OFFSET($BN$2,0,0,ROW()-1,60),ROW()-1,FALSE))</f>
        <v>1.0572860340000001</v>
      </c>
      <c r="V309">
        <f ca="1">IF(AND(ISNUMBER($V$751),$B$419=1),$V$751,HLOOKUP(INDIRECT(ADDRESS(2,COLUMN())),OFFSET($BN$2,0,0,ROW()-1,60),ROW()-1,FALSE))</f>
        <v>1.219747133</v>
      </c>
      <c r="W309">
        <f ca="1">IF(AND(ISNUMBER($W$751),$B$419=1),$W$751,HLOOKUP(INDIRECT(ADDRESS(2,COLUMN())),OFFSET($BN$2,0,0,ROW()-1,60),ROW()-1,FALSE))</f>
        <v>1.280900521</v>
      </c>
      <c r="X309" t="str">
        <f ca="1">IF(AND(ISNUMBER($X$751),$B$419=1),$X$751,HLOOKUP(INDIRECT(ADDRESS(2,COLUMN())),OFFSET($BN$2,0,0,ROW()-1,60),ROW()-1,FALSE))</f>
        <v/>
      </c>
      <c r="Y309" t="str">
        <f ca="1">IF(AND(ISNUMBER($Y$751),$B$419=1),$Y$751,HLOOKUP(INDIRECT(ADDRESS(2,COLUMN())),OFFSET($BN$2,0,0,ROW()-1,60),ROW()-1,FALSE))</f>
        <v/>
      </c>
      <c r="Z309" t="str">
        <f ca="1">IF(AND(ISNUMBER($Z$751),$B$419=1),$Z$751,HLOOKUP(INDIRECT(ADDRESS(2,COLUMN())),OFFSET($BN$2,0,0,ROW()-1,60),ROW()-1,FALSE))</f>
        <v/>
      </c>
      <c r="AA309" t="str">
        <f ca="1">IF(AND(ISNUMBER($AA$751),$B$419=1),$AA$751,HLOOKUP(INDIRECT(ADDRESS(2,COLUMN())),OFFSET($BN$2,0,0,ROW()-1,60),ROW()-1,FALSE))</f>
        <v/>
      </c>
      <c r="AB309" t="str">
        <f ca="1">IF(AND(ISNUMBER($AB$751),$B$419=1),$AB$751,HLOOKUP(INDIRECT(ADDRESS(2,COLUMN())),OFFSET($BN$2,0,0,ROW()-1,60),ROW()-1,FALSE))</f>
        <v/>
      </c>
      <c r="AC309" t="str">
        <f ca="1">IF(AND(ISNUMBER($AC$751),$B$419=1),$AC$751,HLOOKUP(INDIRECT(ADDRESS(2,COLUMN())),OFFSET($BN$2,0,0,ROW()-1,60),ROW()-1,FALSE))</f>
        <v/>
      </c>
      <c r="AD309" t="str">
        <f ca="1">IF(AND(ISNUMBER($AD$751),$B$419=1),$AD$751,HLOOKUP(INDIRECT(ADDRESS(2,COLUMN())),OFFSET($BN$2,0,0,ROW()-1,60),ROW()-1,FALSE))</f>
        <v/>
      </c>
      <c r="AE309" t="str">
        <f ca="1">IF(AND(ISNUMBER($AE$751),$B$419=1),$AE$751,HLOOKUP(INDIRECT(ADDRESS(2,COLUMN())),OFFSET($BN$2,0,0,ROW()-1,60),ROW()-1,FALSE))</f>
        <v/>
      </c>
      <c r="AF309" t="str">
        <f ca="1">IF(AND(ISNUMBER($AF$751),$B$419=1),$AF$751,HLOOKUP(INDIRECT(ADDRESS(2,COLUMN())),OFFSET($BN$2,0,0,ROW()-1,60),ROW()-1,FALSE))</f>
        <v/>
      </c>
      <c r="AG309" t="str">
        <f ca="1">IF(AND(ISNUMBER($AG$751),$B$419=1),$AG$751,HLOOKUP(INDIRECT(ADDRESS(2,COLUMN())),OFFSET($BN$2,0,0,ROW()-1,60),ROW()-1,FALSE))</f>
        <v/>
      </c>
      <c r="AH309" t="str">
        <f ca="1">IF(AND(ISNUMBER($AH$751),$B$419=1),$AH$751,HLOOKUP(INDIRECT(ADDRESS(2,COLUMN())),OFFSET($BN$2,0,0,ROW()-1,60),ROW()-1,FALSE))</f>
        <v/>
      </c>
      <c r="AI309" t="str">
        <f ca="1">IF(AND(ISNUMBER($AI$751),$B$419=1),$AI$751,HLOOKUP(INDIRECT(ADDRESS(2,COLUMN())),OFFSET($BN$2,0,0,ROW()-1,60),ROW()-1,FALSE))</f>
        <v/>
      </c>
      <c r="AJ309" t="str">
        <f ca="1">IF(AND(ISNUMBER($AJ$751),$B$419=1),$AJ$751,HLOOKUP(INDIRECT(ADDRESS(2,COLUMN())),OFFSET($BN$2,0,0,ROW()-1,60),ROW()-1,FALSE))</f>
        <v/>
      </c>
      <c r="AK309" t="str">
        <f ca="1">IF(AND(ISNUMBER($AK$751),$B$419=1),$AK$751,HLOOKUP(INDIRECT(ADDRESS(2,COLUMN())),OFFSET($BN$2,0,0,ROW()-1,60),ROW()-1,FALSE))</f>
        <v/>
      </c>
      <c r="AL309" t="str">
        <f ca="1">IF(AND(ISNUMBER($AL$751),$B$419=1),$AL$751,HLOOKUP(INDIRECT(ADDRESS(2,COLUMN())),OFFSET($BN$2,0,0,ROW()-1,60),ROW()-1,FALSE))</f>
        <v/>
      </c>
      <c r="AM309" t="str">
        <f ca="1">IF(AND(ISNUMBER($AM$751),$B$419=1),$AM$751,HLOOKUP(INDIRECT(ADDRESS(2,COLUMN())),OFFSET($BN$2,0,0,ROW()-1,60),ROW()-1,FALSE))</f>
        <v/>
      </c>
      <c r="AN309" t="str">
        <f ca="1">IF(AND(ISNUMBER($AN$751),$B$419=1),$AN$751,HLOOKUP(INDIRECT(ADDRESS(2,COLUMN())),OFFSET($BN$2,0,0,ROW()-1,60),ROW()-1,FALSE))</f>
        <v/>
      </c>
      <c r="AO309" t="str">
        <f ca="1">IF(AND(ISNUMBER($AO$751),$B$419=1),$AO$751,HLOOKUP(INDIRECT(ADDRESS(2,COLUMN())),OFFSET($BN$2,0,0,ROW()-1,60),ROW()-1,FALSE))</f>
        <v/>
      </c>
      <c r="AP309" t="str">
        <f ca="1">IF(AND(ISNUMBER($AP$751),$B$419=1),$AP$751,HLOOKUP(INDIRECT(ADDRESS(2,COLUMN())),OFFSET($BN$2,0,0,ROW()-1,60),ROW()-1,FALSE))</f>
        <v/>
      </c>
      <c r="AQ309" t="str">
        <f ca="1">IF(AND(ISNUMBER($AQ$751),$B$419=1),$AQ$751,HLOOKUP(INDIRECT(ADDRESS(2,COLUMN())),OFFSET($BN$2,0,0,ROW()-1,60),ROW()-1,FALSE))</f>
        <v/>
      </c>
      <c r="AR309" t="str">
        <f ca="1">IF(AND(ISNUMBER($AR$751),$B$419=1),$AR$751,HLOOKUP(INDIRECT(ADDRESS(2,COLUMN())),OFFSET($BN$2,0,0,ROW()-1,60),ROW()-1,FALSE))</f>
        <v/>
      </c>
      <c r="AS309" t="str">
        <f ca="1">IF(AND(ISNUMBER($AS$751),$B$419=1),$AS$751,HLOOKUP(INDIRECT(ADDRESS(2,COLUMN())),OFFSET($BN$2,0,0,ROW()-1,60),ROW()-1,FALSE))</f>
        <v/>
      </c>
      <c r="AT309" t="str">
        <f ca="1">IF(AND(ISNUMBER($AT$751),$B$419=1),$AT$751,HLOOKUP(INDIRECT(ADDRESS(2,COLUMN())),OFFSET($BN$2,0,0,ROW()-1,60),ROW()-1,FALSE))</f>
        <v/>
      </c>
      <c r="AU309" t="str">
        <f ca="1">IF(AND(ISNUMBER($AU$751),$B$419=1),$AU$751,HLOOKUP(INDIRECT(ADDRESS(2,COLUMN())),OFFSET($BN$2,0,0,ROW()-1,60),ROW()-1,FALSE))</f>
        <v/>
      </c>
      <c r="AV309" t="str">
        <f ca="1">IF(AND(ISNUMBER($AV$751),$B$419=1),$AV$751,HLOOKUP(INDIRECT(ADDRESS(2,COLUMN())),OFFSET($BN$2,0,0,ROW()-1,60),ROW()-1,FALSE))</f>
        <v/>
      </c>
      <c r="AW309" t="str">
        <f ca="1">IF(AND(ISNUMBER($AW$751),$B$419=1),$AW$751,HLOOKUP(INDIRECT(ADDRESS(2,COLUMN())),OFFSET($BN$2,0,0,ROW()-1,60),ROW()-1,FALSE))</f>
        <v/>
      </c>
      <c r="AX309" t="str">
        <f ca="1">IF(AND(ISNUMBER($AX$751),$B$419=1),$AX$751,HLOOKUP(INDIRECT(ADDRESS(2,COLUMN())),OFFSET($BN$2,0,0,ROW()-1,60),ROW()-1,FALSE))</f>
        <v/>
      </c>
      <c r="AY309" t="str">
        <f ca="1">IF(AND(ISNUMBER($AY$751),$B$419=1),$AY$751,HLOOKUP(INDIRECT(ADDRESS(2,COLUMN())),OFFSET($BN$2,0,0,ROW()-1,60),ROW()-1,FALSE))</f>
        <v/>
      </c>
      <c r="AZ309" t="str">
        <f ca="1">IF(AND(ISNUMBER($AZ$751),$B$419=1),$AZ$751,HLOOKUP(INDIRECT(ADDRESS(2,COLUMN())),OFFSET($BN$2,0,0,ROW()-1,60),ROW()-1,FALSE))</f>
        <v/>
      </c>
      <c r="BA309" t="str">
        <f ca="1">IF(AND(ISNUMBER($BA$751),$B$419=1),$BA$751,HLOOKUP(INDIRECT(ADDRESS(2,COLUMN())),OFFSET($BN$2,0,0,ROW()-1,60),ROW()-1,FALSE))</f>
        <v/>
      </c>
      <c r="BB309" t="str">
        <f ca="1">IF(AND(ISNUMBER($BB$751),$B$419=1),$BB$751,HLOOKUP(INDIRECT(ADDRESS(2,COLUMN())),OFFSET($BN$2,0,0,ROW()-1,60),ROW()-1,FALSE))</f>
        <v/>
      </c>
      <c r="BC309" t="str">
        <f ca="1">IF(AND(ISNUMBER($BC$751),$B$419=1),$BC$751,HLOOKUP(INDIRECT(ADDRESS(2,COLUMN())),OFFSET($BN$2,0,0,ROW()-1,60),ROW()-1,FALSE))</f>
        <v/>
      </c>
      <c r="BD309" t="str">
        <f ca="1">IF(AND(ISNUMBER($BD$751),$B$419=1),$BD$751,HLOOKUP(INDIRECT(ADDRESS(2,COLUMN())),OFFSET($BN$2,0,0,ROW()-1,60),ROW()-1,FALSE))</f>
        <v/>
      </c>
      <c r="BE309" t="str">
        <f ca="1">IF(AND(ISNUMBER($BE$751),$B$419=1),$BE$751,HLOOKUP(INDIRECT(ADDRESS(2,COLUMN())),OFFSET($BN$2,0,0,ROW()-1,60),ROW()-1,FALSE))</f>
        <v/>
      </c>
      <c r="BF309" t="str">
        <f ca="1">IF(AND(ISNUMBER($BF$751),$B$419=1),$BF$751,HLOOKUP(INDIRECT(ADDRESS(2,COLUMN())),OFFSET($BN$2,0,0,ROW()-1,60),ROW()-1,FALSE))</f>
        <v/>
      </c>
      <c r="BG309" t="str">
        <f ca="1">IF(AND(ISNUMBER($BG$751),$B$419=1),$BG$751,HLOOKUP(INDIRECT(ADDRESS(2,COLUMN())),OFFSET($BN$2,0,0,ROW()-1,60),ROW()-1,FALSE))</f>
        <v/>
      </c>
      <c r="BH309" t="str">
        <f ca="1">IF(AND(ISNUMBER($BH$751),$B$419=1),$BH$751,HLOOKUP(INDIRECT(ADDRESS(2,COLUMN())),OFFSET($BN$2,0,0,ROW()-1,60),ROW()-1,FALSE))</f>
        <v/>
      </c>
      <c r="BI309" t="str">
        <f ca="1">IF(AND(ISNUMBER($BI$751),$B$419=1),$BI$751,HLOOKUP(INDIRECT(ADDRESS(2,COLUMN())),OFFSET($BN$2,0,0,ROW()-1,60),ROW()-1,FALSE))</f>
        <v/>
      </c>
      <c r="BJ309" t="str">
        <f ca="1">IF(AND(ISNUMBER($BJ$751),$B$419=1),$BJ$751,HLOOKUP(INDIRECT(ADDRESS(2,COLUMN())),OFFSET($BN$2,0,0,ROW()-1,60),ROW()-1,FALSE))</f>
        <v/>
      </c>
      <c r="BK309" t="str">
        <f ca="1">IF(AND(ISNUMBER($BK$751),$B$419=1),$BK$751,HLOOKUP(INDIRECT(ADDRESS(2,COLUMN())),OFFSET($BN$2,0,0,ROW()-1,60),ROW()-1,FALSE))</f>
        <v/>
      </c>
      <c r="BL309" t="str">
        <f ca="1">IF(AND(ISNUMBER($BL$751),$B$419=1),$BL$751,HLOOKUP(INDIRECT(ADDRESS(2,COLUMN())),OFFSET($BN$2,0,0,ROW()-1,60),ROW()-1,FALSE))</f>
        <v/>
      </c>
      <c r="BM309" t="str">
        <f ca="1">IF(AND(ISNUMBER($BM$751),$B$419=1),$BM$751,HLOOKUP(INDIRECT(ADDRESS(2,COLUMN())),OFFSET($BN$2,0,0,ROW()-1,60),ROW()-1,FALSE))</f>
        <v/>
      </c>
      <c r="BN309">
        <f>1.198757569</f>
        <v>1.1987575690000001</v>
      </c>
      <c r="BO309">
        <f>0.997559087</f>
        <v>0.99755908699999996</v>
      </c>
      <c r="BP309">
        <f>0.996667624</f>
        <v>0.99666762399999997</v>
      </c>
      <c r="BQ309">
        <f>1.067588458</f>
        <v>1.0675884579999999</v>
      </c>
      <c r="BR309">
        <f>0.90552146</f>
        <v>0.90552146</v>
      </c>
      <c r="BS309">
        <f>0.785692201</f>
        <v>0.78569220100000003</v>
      </c>
      <c r="BT309">
        <f>0.692620666</f>
        <v>0.69262066600000005</v>
      </c>
      <c r="BU309">
        <f>0.748898539</f>
        <v>0.74889853900000003</v>
      </c>
      <c r="BV309">
        <f>0.783815137</f>
        <v>0.78381513700000005</v>
      </c>
      <c r="BW309">
        <f>0.775176403</f>
        <v>0.77517640300000001</v>
      </c>
      <c r="BX309">
        <f>0.851726498</f>
        <v>0.851726498</v>
      </c>
      <c r="BY309">
        <f>0.87220938</f>
        <v>0.87220938000000003</v>
      </c>
      <c r="BZ309">
        <f>0.767593476</f>
        <v>0.76759347600000005</v>
      </c>
      <c r="CA309">
        <f>0.817613643</f>
        <v>0.81761364299999995</v>
      </c>
      <c r="CB309">
        <f>1.08752781</f>
        <v>1.0875278100000001</v>
      </c>
      <c r="CC309">
        <f>1.057286034</f>
        <v>1.0572860340000001</v>
      </c>
      <c r="CD309">
        <f>1.219747133</f>
        <v>1.219747133</v>
      </c>
      <c r="CE309">
        <f>1.280900521</f>
        <v>1.280900521</v>
      </c>
      <c r="CF309" t="str">
        <f>""</f>
        <v/>
      </c>
      <c r="CG309" t="str">
        <f>""</f>
        <v/>
      </c>
      <c r="CH309" t="str">
        <f>""</f>
        <v/>
      </c>
      <c r="CI309" t="str">
        <f>""</f>
        <v/>
      </c>
      <c r="CJ309" t="str">
        <f>""</f>
        <v/>
      </c>
      <c r="CK309" t="str">
        <f>""</f>
        <v/>
      </c>
      <c r="CL309" t="str">
        <f>""</f>
        <v/>
      </c>
      <c r="CM309" t="str">
        <f>""</f>
        <v/>
      </c>
      <c r="CN309" t="str">
        <f>""</f>
        <v/>
      </c>
      <c r="CO309" t="str">
        <f>""</f>
        <v/>
      </c>
      <c r="CP309" t="str">
        <f>""</f>
        <v/>
      </c>
      <c r="CQ309" t="str">
        <f>""</f>
        <v/>
      </c>
      <c r="CR309" t="str">
        <f>""</f>
        <v/>
      </c>
      <c r="CS309" t="str">
        <f>""</f>
        <v/>
      </c>
      <c r="CT309" t="str">
        <f>""</f>
        <v/>
      </c>
      <c r="CU309" t="str">
        <f>""</f>
        <v/>
      </c>
      <c r="CV309" t="str">
        <f>""</f>
        <v/>
      </c>
      <c r="CW309" t="str">
        <f>""</f>
        <v/>
      </c>
      <c r="CX309" t="str">
        <f>""</f>
        <v/>
      </c>
      <c r="CY309" t="str">
        <f>""</f>
        <v/>
      </c>
      <c r="CZ309" t="str">
        <f>""</f>
        <v/>
      </c>
      <c r="DA309" t="str">
        <f>""</f>
        <v/>
      </c>
      <c r="DB309" t="str">
        <f>""</f>
        <v/>
      </c>
      <c r="DC309" t="str">
        <f>""</f>
        <v/>
      </c>
      <c r="DD309" t="str">
        <f>""</f>
        <v/>
      </c>
      <c r="DE309" t="str">
        <f>""</f>
        <v/>
      </c>
      <c r="DF309" t="str">
        <f>""</f>
        <v/>
      </c>
      <c r="DG309" t="str">
        <f>""</f>
        <v/>
      </c>
      <c r="DH309" t="str">
        <f>""</f>
        <v/>
      </c>
      <c r="DI309" t="str">
        <f>""</f>
        <v/>
      </c>
      <c r="DJ309" t="str">
        <f>""</f>
        <v/>
      </c>
      <c r="DK309" t="str">
        <f>""</f>
        <v/>
      </c>
      <c r="DL309" t="str">
        <f>""</f>
        <v/>
      </c>
      <c r="DM309" t="str">
        <f>""</f>
        <v/>
      </c>
      <c r="DN309" t="str">
        <f>""</f>
        <v/>
      </c>
      <c r="DO309" t="str">
        <f>""</f>
        <v/>
      </c>
      <c r="DP309" t="str">
        <f>""</f>
        <v/>
      </c>
      <c r="DQ309" t="str">
        <f>""</f>
        <v/>
      </c>
      <c r="DR309" t="str">
        <f>""</f>
        <v/>
      </c>
      <c r="DS309" t="str">
        <f>""</f>
        <v/>
      </c>
      <c r="DT309" t="str">
        <f>""</f>
        <v/>
      </c>
      <c r="DU309" t="str">
        <f>""</f>
        <v/>
      </c>
    </row>
    <row r="310" spans="1:125">
      <c r="A310" t="str">
        <f>"    CBL &amp; Associates Properties In"</f>
        <v xml:space="preserve">    CBL &amp; Associates Properties In</v>
      </c>
      <c r="B310" t="str">
        <f>"CBL US Equity"</f>
        <v>CBL US Equity</v>
      </c>
      <c r="C310" t="str">
        <f t="shared" si="57"/>
        <v>RR263</v>
      </c>
      <c r="D310" t="str">
        <f t="shared" si="58"/>
        <v>DEBT_TO_MKT_CAP</v>
      </c>
      <c r="E310" t="str">
        <f t="shared" si="59"/>
        <v>动态</v>
      </c>
      <c r="F310">
        <f ca="1">IF(AND(ISNUMBER($F$752),$B$419=1),$F$752,HLOOKUP(INDIRECT(ADDRESS(2,COLUMN())),OFFSET($BN$2,0,0,ROW()-1,60),ROW()-1,FALSE))</f>
        <v>5.1919957730000004</v>
      </c>
      <c r="G310">
        <f ca="1">IF(AND(ISNUMBER($G$752),$B$419=1),$G$752,HLOOKUP(INDIRECT(ADDRESS(2,COLUMN())),OFFSET($BN$2,0,0,ROW()-1,60),ROW()-1,FALSE))</f>
        <v>4.3687438839999997</v>
      </c>
      <c r="H310">
        <f ca="1">IF(AND(ISNUMBER($H$752),$B$419=1),$H$752,HLOOKUP(INDIRECT(ADDRESS(2,COLUMN())),OFFSET($BN$2,0,0,ROW()-1,60),ROW()-1,FALSE))</f>
        <v>2.9370702450000001</v>
      </c>
      <c r="I310">
        <f ca="1">IF(AND(ISNUMBER($I$752),$B$419=1),$I$752,HLOOKUP(INDIRECT(ADDRESS(2,COLUMN())),OFFSET($BN$2,0,0,ROW()-1,60),ROW()-1,FALSE))</f>
        <v>2.946212085</v>
      </c>
      <c r="J310">
        <f ca="1">IF(AND(ISNUMBER($J$752),$B$419=1),$J$752,HLOOKUP(INDIRECT(ADDRESS(2,COLUMN())),OFFSET($BN$2,0,0,ROW()-1,60),ROW()-1,FALSE))</f>
        <v>2.770695194</v>
      </c>
      <c r="K310">
        <f ca="1">IF(AND(ISNUMBER($K$752),$B$419=1),$K$752,HLOOKUP(INDIRECT(ADDRESS(2,COLUMN())),OFFSET($BN$2,0,0,ROW()-1,60),ROW()-1,FALSE))</f>
        <v>2.2734219969999998</v>
      </c>
      <c r="L310">
        <f ca="1">IF(AND(ISNUMBER($L$752),$B$419=1),$L$752,HLOOKUP(INDIRECT(ADDRESS(2,COLUMN())),OFFSET($BN$2,0,0,ROW()-1,60),ROW()-1,FALSE))</f>
        <v>2.1854033149999998</v>
      </c>
      <c r="M310">
        <f ca="1">IF(AND(ISNUMBER($M$752),$B$419=1),$M$752,HLOOKUP(INDIRECT(ADDRESS(2,COLUMN())),OFFSET($BN$2,0,0,ROW()-1,60),ROW()-1,FALSE))</f>
        <v>2.8795255360000001</v>
      </c>
      <c r="N310">
        <f ca="1">IF(AND(ISNUMBER($N$752),$B$419=1),$N$752,HLOOKUP(INDIRECT(ADDRESS(2,COLUMN())),OFFSET($BN$2,0,0,ROW()-1,60),ROW()-1,FALSE))</f>
        <v>2.3043661009999998</v>
      </c>
      <c r="O310">
        <f ca="1">IF(AND(ISNUMBER($O$752),$B$419=1),$O$752,HLOOKUP(INDIRECT(ADDRESS(2,COLUMN())),OFFSET($BN$2,0,0,ROW()-1,60),ROW()-1,FALSE))</f>
        <v>2.233540246</v>
      </c>
      <c r="P310">
        <f ca="1">IF(AND(ISNUMBER($P$752),$B$419=1),$P$752,HLOOKUP(INDIRECT(ADDRESS(2,COLUMN())),OFFSET($BN$2,0,0,ROW()-1,60),ROW()-1,FALSE))</f>
        <v>2.0566819710000002</v>
      </c>
      <c r="Q310">
        <f ca="1">IF(AND(ISNUMBER($Q$752),$B$419=1),$Q$752,HLOOKUP(INDIRECT(ADDRESS(2,COLUMN())),OFFSET($BN$2,0,0,ROW()-1,60),ROW()-1,FALSE))</f>
        <v>1.7502452959999999</v>
      </c>
      <c r="R310">
        <f ca="1">IF(AND(ISNUMBER($R$752),$B$419=1),$R$752,HLOOKUP(INDIRECT(ADDRESS(2,COLUMN())),OFFSET($BN$2,0,0,ROW()-1,60),ROW()-1,FALSE))</f>
        <v>1.3832990979999999</v>
      </c>
      <c r="S310">
        <f ca="1">IF(AND(ISNUMBER($S$752),$B$419=1),$S$752,HLOOKUP(INDIRECT(ADDRESS(2,COLUMN())),OFFSET($BN$2,0,0,ROW()-1,60),ROW()-1,FALSE))</f>
        <v>1.4163997509999999</v>
      </c>
      <c r="T310">
        <f ca="1">IF(AND(ISNUMBER($T$752),$B$419=1),$T$752,HLOOKUP(INDIRECT(ADDRESS(2,COLUMN())),OFFSET($BN$2,0,0,ROW()-1,60),ROW()-1,FALSE))</f>
        <v>1.5458905970000001</v>
      </c>
      <c r="U310">
        <f ca="1">IF(AND(ISNUMBER($U$752),$B$419=1),$U$752,HLOOKUP(INDIRECT(ADDRESS(2,COLUMN())),OFFSET($BN$2,0,0,ROW()-1,60),ROW()-1,FALSE))</f>
        <v>1.487069601</v>
      </c>
      <c r="V310">
        <f ca="1">IF(AND(ISNUMBER($V$752),$B$419=1),$V$752,HLOOKUP(INDIRECT(ADDRESS(2,COLUMN())),OFFSET($BN$2,0,0,ROW()-1,60),ROW()-1,FALSE))</f>
        <v>1.5881732120000001</v>
      </c>
      <c r="W310">
        <f ca="1">IF(AND(ISNUMBER($W$752),$B$419=1),$W$752,HLOOKUP(INDIRECT(ADDRESS(2,COLUMN())),OFFSET($BN$2,0,0,ROW()-1,60),ROW()-1,FALSE))</f>
        <v>1.591826988</v>
      </c>
      <c r="X310">
        <f ca="1">IF(AND(ISNUMBER($X$752),$B$419=1),$X$752,HLOOKUP(INDIRECT(ADDRESS(2,COLUMN())),OFFSET($BN$2,0,0,ROW()-1,60),ROW()-1,FALSE))</f>
        <v>1.4999734579999999</v>
      </c>
      <c r="Y310">
        <f ca="1">IF(AND(ISNUMBER($Y$752),$B$419=1),$Y$752,HLOOKUP(INDIRECT(ADDRESS(2,COLUMN())),OFFSET($BN$2,0,0,ROW()-1,60),ROW()-1,FALSE))</f>
        <v>1.3113644209999999</v>
      </c>
      <c r="Z310">
        <f ca="1">IF(AND(ISNUMBER($Z$752),$B$419=1),$Z$752,HLOOKUP(INDIRECT(ADDRESS(2,COLUMN())),OFFSET($BN$2,0,0,ROW()-1,60),ROW()-1,FALSE))</f>
        <v>1.2280533060000001</v>
      </c>
      <c r="AA310">
        <f ca="1">IF(AND(ISNUMBER($AA$752),$B$419=1),$AA$752,HLOOKUP(INDIRECT(ADDRESS(2,COLUMN())),OFFSET($BN$2,0,0,ROW()-1,60),ROW()-1,FALSE))</f>
        <v>1.3894930210000001</v>
      </c>
      <c r="AB310">
        <f ca="1">IF(AND(ISNUMBER($AB$752),$B$419=1),$AB$752,HLOOKUP(INDIRECT(ADDRESS(2,COLUMN())),OFFSET($BN$2,0,0,ROW()-1,60),ROW()-1,FALSE))</f>
        <v>1.389415743</v>
      </c>
      <c r="AC310">
        <f ca="1">IF(AND(ISNUMBER($AC$752),$B$419=1),$AC$752,HLOOKUP(INDIRECT(ADDRESS(2,COLUMN())),OFFSET($BN$2,0,0,ROW()-1,60),ROW()-1,FALSE))</f>
        <v>1.6150450489999999</v>
      </c>
      <c r="AD310">
        <f ca="1">IF(AND(ISNUMBER($AD$752),$B$419=1),$AD$752,HLOOKUP(INDIRECT(ADDRESS(2,COLUMN())),OFFSET($BN$2,0,0,ROW()-1,60),ROW()-1,FALSE))</f>
        <v>1.5885905149999999</v>
      </c>
      <c r="AE310">
        <f ca="1">IF(AND(ISNUMBER($AE$752),$B$419=1),$AE$752,HLOOKUP(INDIRECT(ADDRESS(2,COLUMN())),OFFSET($BN$2,0,0,ROW()-1,60),ROW()-1,FALSE))</f>
        <v>1.9273234530000001</v>
      </c>
      <c r="AF310">
        <f ca="1">IF(AND(ISNUMBER($AF$752),$B$419=1),$AF$752,HLOOKUP(INDIRECT(ADDRESS(2,COLUMN())),OFFSET($BN$2,0,0,ROW()-1,60),ROW()-1,FALSE))</f>
        <v>3.1049715899999999</v>
      </c>
      <c r="AG310">
        <f ca="1">IF(AND(ISNUMBER($AG$752),$B$419=1),$AG$752,HLOOKUP(INDIRECT(ADDRESS(2,COLUMN())),OFFSET($BN$2,0,0,ROW()-1,60),ROW()-1,FALSE))</f>
        <v>1.9310221320000001</v>
      </c>
      <c r="AH310">
        <f ca="1">IF(AND(ISNUMBER($AH$752),$B$419=1),$AH$752,HLOOKUP(INDIRECT(ADDRESS(2,COLUMN())),OFFSET($BN$2,0,0,ROW()-1,60),ROW()-1,FALSE))</f>
        <v>2.0088660030000001</v>
      </c>
      <c r="AI310">
        <f ca="1">IF(AND(ISNUMBER($AI$752),$B$419=1),$AI$752,HLOOKUP(INDIRECT(ADDRESS(2,COLUMN())),OFFSET($BN$2,0,0,ROW()-1,60),ROW()-1,FALSE))</f>
        <v>2.1560233680000001</v>
      </c>
      <c r="AJ310">
        <f ca="1">IF(AND(ISNUMBER($AJ$752),$B$419=1),$AJ$752,HLOOKUP(INDIRECT(ADDRESS(2,COLUMN())),OFFSET($BN$2,0,0,ROW()-1,60),ROW()-1,FALSE))</f>
        <v>3.0083408199999999</v>
      </c>
      <c r="AK310">
        <f ca="1">IF(AND(ISNUMBER($AK$752),$B$419=1),$AK$752,HLOOKUP(INDIRECT(ADDRESS(2,COLUMN())),OFFSET($BN$2,0,0,ROW()-1,60),ROW()-1,FALSE))</f>
        <v>3.1766420850000001</v>
      </c>
      <c r="AL310">
        <f ca="1">IF(AND(ISNUMBER($AL$752),$B$419=1),$AL$752,HLOOKUP(INDIRECT(ADDRESS(2,COLUMN())),OFFSET($BN$2,0,0,ROW()-1,60),ROW()-1,FALSE))</f>
        <v>2.8894430409999998</v>
      </c>
      <c r="AM310">
        <f ca="1">IF(AND(ISNUMBER($AM$752),$B$419=1),$AM$752,HLOOKUP(INDIRECT(ADDRESS(2,COLUMN())),OFFSET($BN$2,0,0,ROW()-1,60),ROW()-1,FALSE))</f>
        <v>4.2122777969999996</v>
      </c>
      <c r="AN310">
        <f ca="1">IF(AND(ISNUMBER($AN$752),$B$419=1),$AN$752,HLOOKUP(INDIRECT(ADDRESS(2,COLUMN())),OFFSET($BN$2,0,0,ROW()-1,60),ROW()-1,FALSE))</f>
        <v>4.2464754879999997</v>
      </c>
      <c r="AO310">
        <f ca="1">IF(AND(ISNUMBER($AO$752),$B$419=1),$AO$752,HLOOKUP(INDIRECT(ADDRESS(2,COLUMN())),OFFSET($BN$2,0,0,ROW()-1,60),ROW()-1,FALSE))</f>
        <v>7.6572254820000003</v>
      </c>
      <c r="AP310">
        <f ca="1">IF(AND(ISNUMBER($AP$752),$B$419=1),$AP$752,HLOOKUP(INDIRECT(ADDRESS(2,COLUMN())),OFFSET($BN$2,0,0,ROW()-1,60),ROW()-1,FALSE))</f>
        <v>38.88870738</v>
      </c>
      <c r="AQ310">
        <f ca="1">IF(AND(ISNUMBER($AQ$752),$B$419=1),$AQ$752,HLOOKUP(INDIRECT(ADDRESS(2,COLUMN())),OFFSET($BN$2,0,0,ROW()-1,60),ROW()-1,FALSE))</f>
        <v>14.13346426</v>
      </c>
      <c r="AR310">
        <f ca="1">IF(AND(ISNUMBER($AR$752),$B$419=1),$AR$752,HLOOKUP(INDIRECT(ADDRESS(2,COLUMN())),OFFSET($BN$2,0,0,ROW()-1,60),ROW()-1,FALSE))</f>
        <v>4.5225430470000001</v>
      </c>
      <c r="AS310">
        <f ca="1">IF(AND(ISNUMBER($AS$752),$B$419=1),$AS$752,HLOOKUP(INDIRECT(ADDRESS(2,COLUMN())),OFFSET($BN$2,0,0,ROW()-1,60),ROW()-1,FALSE))</f>
        <v>3.9597948820000002</v>
      </c>
      <c r="AT310">
        <f ca="1">IF(AND(ISNUMBER($AT$752),$B$419=1),$AT$752,HLOOKUP(INDIRECT(ADDRESS(2,COLUMN())),OFFSET($BN$2,0,0,ROW()-1,60),ROW()-1,FALSE))</f>
        <v>3.7729982880000001</v>
      </c>
      <c r="AU310">
        <f ca="1">IF(AND(ISNUMBER($AU$752),$B$419=1),$AU$752,HLOOKUP(INDIRECT(ADDRESS(2,COLUMN())),OFFSET($BN$2,0,0,ROW()-1,60),ROW()-1,FALSE))</f>
        <v>3.7357227430000002</v>
      </c>
      <c r="AV310">
        <f ca="1">IF(AND(ISNUMBER($AV$752),$B$419=1),$AV$752,HLOOKUP(INDIRECT(ADDRESS(2,COLUMN())),OFFSET($BN$2,0,0,ROW()-1,60),ROW()-1,FALSE))</f>
        <v>2.195394254</v>
      </c>
      <c r="AW310">
        <f ca="1">IF(AND(ISNUMBER($AW$752),$B$419=1),$AW$752,HLOOKUP(INDIRECT(ADDRESS(2,COLUMN())),OFFSET($BN$2,0,0,ROW()-1,60),ROW()-1,FALSE))</f>
        <v>2.092791643</v>
      </c>
      <c r="AX310">
        <f ca="1">IF(AND(ISNUMBER($AX$752),$B$419=1),$AX$752,HLOOKUP(INDIRECT(ADDRESS(2,COLUMN())),OFFSET($BN$2,0,0,ROW()-1,60),ROW()-1,FALSE))</f>
        <v>1.6042724260000001</v>
      </c>
      <c r="AY310">
        <f ca="1">IF(AND(ISNUMBER($AY$752),$B$419=1),$AY$752,HLOOKUP(INDIRECT(ADDRESS(2,COLUMN())),OFFSET($BN$2,0,0,ROW()-1,60),ROW()-1,FALSE))</f>
        <v>1.6110562429999999</v>
      </c>
      <c r="AZ310">
        <f ca="1">IF(AND(ISNUMBER($AZ$752),$B$419=1),$AZ$752,HLOOKUP(INDIRECT(ADDRESS(2,COLUMN())),OFFSET($BN$2,0,0,ROW()-1,60),ROW()-1,FALSE))</f>
        <v>1.647884769</v>
      </c>
      <c r="BA310">
        <f ca="1">IF(AND(ISNUMBER($BA$752),$B$419=1),$BA$752,HLOOKUP(INDIRECT(ADDRESS(2,COLUMN())),OFFSET($BN$2,0,0,ROW()-1,60),ROW()-1,FALSE))</f>
        <v>1.74375638</v>
      </c>
      <c r="BB310">
        <f ca="1">IF(AND(ISNUMBER($BB$752),$B$419=1),$BB$752,HLOOKUP(INDIRECT(ADDRESS(2,COLUMN())),OFFSET($BN$2,0,0,ROW()-1,60),ROW()-1,FALSE))</f>
        <v>1.614356549</v>
      </c>
      <c r="BC310">
        <f ca="1">IF(AND(ISNUMBER($BC$752),$B$419=1),$BC$752,HLOOKUP(INDIRECT(ADDRESS(2,COLUMN())),OFFSET($BN$2,0,0,ROW()-1,60),ROW()-1,FALSE))</f>
        <v>1.7236629809999999</v>
      </c>
      <c r="BD310">
        <f ca="1">IF(AND(ISNUMBER($BD$752),$B$419=1),$BD$752,HLOOKUP(INDIRECT(ADDRESS(2,COLUMN())),OFFSET($BN$2,0,0,ROW()-1,60),ROW()-1,FALSE))</f>
        <v>1.410357879</v>
      </c>
      <c r="BE310">
        <f ca="1">IF(AND(ISNUMBER($BE$752),$B$419=1),$BE$752,HLOOKUP(INDIRECT(ADDRESS(2,COLUMN())),OFFSET($BN$2,0,0,ROW()-1,60),ROW()-1,FALSE))</f>
        <v>1.278467236</v>
      </c>
      <c r="BF310">
        <f ca="1">IF(AND(ISNUMBER($BF$752),$B$419=1),$BF$752,HLOOKUP(INDIRECT(ADDRESS(2,COLUMN())),OFFSET($BN$2,0,0,ROW()-1,60),ROW()-1,FALSE))</f>
        <v>1.500573742</v>
      </c>
      <c r="BG310">
        <f ca="1">IF(AND(ISNUMBER($BG$752),$B$419=1),$BG$752,HLOOKUP(INDIRECT(ADDRESS(2,COLUMN())),OFFSET($BN$2,0,0,ROW()-1,60),ROW()-1,FALSE))</f>
        <v>1.414250684</v>
      </c>
      <c r="BH310">
        <f ca="1">IF(AND(ISNUMBER($BH$752),$B$419=1),$BH$752,HLOOKUP(INDIRECT(ADDRESS(2,COLUMN())),OFFSET($BN$2,0,0,ROW()-1,60),ROW()-1,FALSE))</f>
        <v>1.752030207</v>
      </c>
      <c r="BI310">
        <f ca="1">IF(AND(ISNUMBER($BI$752),$B$419=1),$BI$752,HLOOKUP(INDIRECT(ADDRESS(2,COLUMN())),OFFSET($BN$2,0,0,ROW()-1,60),ROW()-1,FALSE))</f>
        <v>1.8318015999999999</v>
      </c>
      <c r="BJ310">
        <f ca="1">IF(AND(ISNUMBER($BJ$752),$B$419=1),$BJ$752,HLOOKUP(INDIRECT(ADDRESS(2,COLUMN())),OFFSET($BN$2,0,0,ROW()-1,60),ROW()-1,FALSE))</f>
        <v>1.5138797159999999</v>
      </c>
      <c r="BK310">
        <f ca="1">IF(AND(ISNUMBER($BK$752),$B$419=1),$BK$752,HLOOKUP(INDIRECT(ADDRESS(2,COLUMN())),OFFSET($BN$2,0,0,ROW()-1,60),ROW()-1,FALSE))</f>
        <v>1.601974891</v>
      </c>
      <c r="BL310">
        <f ca="1">IF(AND(ISNUMBER($BL$752),$B$419=1),$BL$752,HLOOKUP(INDIRECT(ADDRESS(2,COLUMN())),OFFSET($BN$2,0,0,ROW()-1,60),ROW()-1,FALSE))</f>
        <v>1.7378875730000001</v>
      </c>
      <c r="BM310">
        <f ca="1">IF(AND(ISNUMBER($BM$752),$B$419=1),$BM$752,HLOOKUP(INDIRECT(ADDRESS(2,COLUMN())),OFFSET($BN$2,0,0,ROW()-1,60),ROW()-1,FALSE))</f>
        <v>1.9700291059999999</v>
      </c>
      <c r="BN310">
        <f>5.191995773</f>
        <v>5.1919957730000004</v>
      </c>
      <c r="BO310">
        <f>4.368743884</f>
        <v>4.3687438839999997</v>
      </c>
      <c r="BP310">
        <f>2.937070245</f>
        <v>2.9370702450000001</v>
      </c>
      <c r="BQ310">
        <f>2.946212085</f>
        <v>2.946212085</v>
      </c>
      <c r="BR310">
        <f>2.770695194</f>
        <v>2.770695194</v>
      </c>
      <c r="BS310">
        <f>2.273421997</f>
        <v>2.2734219969999998</v>
      </c>
      <c r="BT310">
        <f>2.185403315</f>
        <v>2.1854033149999998</v>
      </c>
      <c r="BU310">
        <f>2.879525536</f>
        <v>2.8795255360000001</v>
      </c>
      <c r="BV310">
        <f>2.304366101</f>
        <v>2.3043661009999998</v>
      </c>
      <c r="BW310">
        <f>2.233540246</f>
        <v>2.233540246</v>
      </c>
      <c r="BX310">
        <f>2.056681971</f>
        <v>2.0566819710000002</v>
      </c>
      <c r="BY310">
        <f>1.750245296</f>
        <v>1.7502452959999999</v>
      </c>
      <c r="BZ310">
        <f>1.383299098</f>
        <v>1.3832990979999999</v>
      </c>
      <c r="CA310">
        <f>1.416399751</f>
        <v>1.4163997509999999</v>
      </c>
      <c r="CB310">
        <f>1.545890597</f>
        <v>1.5458905970000001</v>
      </c>
      <c r="CC310">
        <f>1.487069601</f>
        <v>1.487069601</v>
      </c>
      <c r="CD310">
        <f>1.588173212</f>
        <v>1.5881732120000001</v>
      </c>
      <c r="CE310">
        <f>1.591826988</f>
        <v>1.591826988</v>
      </c>
      <c r="CF310">
        <f>1.499973458</f>
        <v>1.4999734579999999</v>
      </c>
      <c r="CG310">
        <f>1.311364421</f>
        <v>1.3113644209999999</v>
      </c>
      <c r="CH310">
        <f>1.228053306</f>
        <v>1.2280533060000001</v>
      </c>
      <c r="CI310">
        <f>1.389493021</f>
        <v>1.3894930210000001</v>
      </c>
      <c r="CJ310">
        <f>1.389415743</f>
        <v>1.389415743</v>
      </c>
      <c r="CK310">
        <f>1.615045049</f>
        <v>1.6150450489999999</v>
      </c>
      <c r="CL310">
        <f>1.588590515</f>
        <v>1.5885905149999999</v>
      </c>
      <c r="CM310">
        <f>1.927323453</f>
        <v>1.9273234530000001</v>
      </c>
      <c r="CN310">
        <f>3.10497159</f>
        <v>3.1049715899999999</v>
      </c>
      <c r="CO310">
        <f>1.931022132</f>
        <v>1.9310221320000001</v>
      </c>
      <c r="CP310">
        <f>2.008866003</f>
        <v>2.0088660030000001</v>
      </c>
      <c r="CQ310">
        <f>2.156023368</f>
        <v>2.1560233680000001</v>
      </c>
      <c r="CR310">
        <f>3.00834082</f>
        <v>3.0083408199999999</v>
      </c>
      <c r="CS310">
        <f>3.176642085</f>
        <v>3.1766420850000001</v>
      </c>
      <c r="CT310">
        <f>2.889443041</f>
        <v>2.8894430409999998</v>
      </c>
      <c r="CU310">
        <f>4.212277797</f>
        <v>4.2122777969999996</v>
      </c>
      <c r="CV310">
        <f>4.246475488</f>
        <v>4.2464754879999997</v>
      </c>
      <c r="CW310">
        <f>7.657225482</f>
        <v>7.6572254820000003</v>
      </c>
      <c r="CX310">
        <f>38.88870738</f>
        <v>38.88870738</v>
      </c>
      <c r="CY310">
        <f>14.13346426</f>
        <v>14.13346426</v>
      </c>
      <c r="CZ310">
        <f>4.522543047</f>
        <v>4.5225430470000001</v>
      </c>
      <c r="DA310">
        <f>3.959794882</f>
        <v>3.9597948820000002</v>
      </c>
      <c r="DB310">
        <f>3.772998288</f>
        <v>3.7729982880000001</v>
      </c>
      <c r="DC310">
        <f>3.735722743</f>
        <v>3.7357227430000002</v>
      </c>
      <c r="DD310">
        <f>2.195394254</f>
        <v>2.195394254</v>
      </c>
      <c r="DE310">
        <f>2.092791643</f>
        <v>2.092791643</v>
      </c>
      <c r="DF310">
        <f>1.604272426</f>
        <v>1.6042724260000001</v>
      </c>
      <c r="DG310">
        <f>1.611056243</f>
        <v>1.6110562429999999</v>
      </c>
      <c r="DH310">
        <f>1.647884769</f>
        <v>1.647884769</v>
      </c>
      <c r="DI310">
        <f>1.74375638</f>
        <v>1.74375638</v>
      </c>
      <c r="DJ310">
        <f>1.614356549</f>
        <v>1.614356549</v>
      </c>
      <c r="DK310">
        <f>1.723662981</f>
        <v>1.7236629809999999</v>
      </c>
      <c r="DL310">
        <f>1.410357879</f>
        <v>1.410357879</v>
      </c>
      <c r="DM310">
        <f>1.278467236</f>
        <v>1.278467236</v>
      </c>
      <c r="DN310">
        <f>1.500573742</f>
        <v>1.500573742</v>
      </c>
      <c r="DO310">
        <f>1.414250684</f>
        <v>1.414250684</v>
      </c>
      <c r="DP310">
        <f>1.752030207</f>
        <v>1.752030207</v>
      </c>
      <c r="DQ310">
        <f>1.8318016</f>
        <v>1.8318015999999999</v>
      </c>
      <c r="DR310">
        <f>1.513879716</f>
        <v>1.5138797159999999</v>
      </c>
      <c r="DS310">
        <f>1.601974891</f>
        <v>1.601974891</v>
      </c>
      <c r="DT310">
        <f>1.737887573</f>
        <v>1.7378875730000001</v>
      </c>
      <c r="DU310">
        <f>1.970029106</f>
        <v>1.9700291059999999</v>
      </c>
    </row>
    <row r="311" spans="1:125">
      <c r="A311" t="str">
        <f>"    DDR Corp"</f>
        <v xml:space="preserve">    DDR Corp</v>
      </c>
      <c r="B311" t="str">
        <f>"DDR US Equity"</f>
        <v>DDR US Equity</v>
      </c>
      <c r="C311" t="str">
        <f t="shared" si="57"/>
        <v>RR263</v>
      </c>
      <c r="D311" t="str">
        <f t="shared" si="58"/>
        <v>DEBT_TO_MKT_CAP</v>
      </c>
      <c r="E311" t="str">
        <f t="shared" si="59"/>
        <v>动态</v>
      </c>
      <c r="F311">
        <f ca="1">IF(AND(ISNUMBER($F$753),$B$419=1),$F$753,HLOOKUP(INDIRECT(ADDRESS(2,COLUMN())),OFFSET($BN$2,0,0,ROW()-1,60),ROW()-1,FALSE))</f>
        <v>1.4245246570000001</v>
      </c>
      <c r="G311">
        <f ca="1">IF(AND(ISNUMBER($G$753),$B$419=1),$G$753,HLOOKUP(INDIRECT(ADDRESS(2,COLUMN())),OFFSET($BN$2,0,0,ROW()-1,60),ROW()-1,FALSE))</f>
        <v>1.165948083</v>
      </c>
      <c r="H311">
        <f ca="1">IF(AND(ISNUMBER($H$753),$B$419=1),$H$753,HLOOKUP(INDIRECT(ADDRESS(2,COLUMN())),OFFSET($BN$2,0,0,ROW()-1,60),ROW()-1,FALSE))</f>
        <v>1.192475604</v>
      </c>
      <c r="I311">
        <f ca="1">IF(AND(ISNUMBER($I$753),$B$419=1),$I$753,HLOOKUP(INDIRECT(ADDRESS(2,COLUMN())),OFFSET($BN$2,0,0,ROW()-1,60),ROW()-1,FALSE))</f>
        <v>1.371624307</v>
      </c>
      <c r="J311">
        <f ca="1">IF(AND(ISNUMBER($J$753),$B$419=1),$J$753,HLOOKUP(INDIRECT(ADDRESS(2,COLUMN())),OFFSET($BN$2,0,0,ROW()-1,60),ROW()-1,FALSE))</f>
        <v>0.98435780500000003</v>
      </c>
      <c r="K311">
        <f ca="1">IF(AND(ISNUMBER($K$753),$B$419=1),$K$753,HLOOKUP(INDIRECT(ADDRESS(2,COLUMN())),OFFSET($BN$2,0,0,ROW()-1,60),ROW()-1,FALSE))</f>
        <v>0.80351418399999996</v>
      </c>
      <c r="L311">
        <f ca="1">IF(AND(ISNUMBER($L$753),$B$419=1),$L$753,HLOOKUP(INDIRECT(ADDRESS(2,COLUMN())),OFFSET($BN$2,0,0,ROW()-1,60),ROW()-1,FALSE))</f>
        <v>0.77882992399999995</v>
      </c>
      <c r="M311">
        <f ca="1">IF(AND(ISNUMBER($M$753),$B$419=1),$M$753,HLOOKUP(INDIRECT(ADDRESS(2,COLUMN())),OFFSET($BN$2,0,0,ROW()-1,60),ROW()-1,FALSE))</f>
        <v>0.74507150799999999</v>
      </c>
      <c r="N311">
        <f ca="1">IF(AND(ISNUMBER($N$753),$B$419=1),$N$753,HLOOKUP(INDIRECT(ADDRESS(2,COLUMN())),OFFSET($BN$2,0,0,ROW()-1,60),ROW()-1,FALSE))</f>
        <v>0.77424812799999998</v>
      </c>
      <c r="O311">
        <f ca="1">IF(AND(ISNUMBER($O$753),$B$419=1),$O$753,HLOOKUP(INDIRECT(ADDRESS(2,COLUMN())),OFFSET($BN$2,0,0,ROW()-1,60),ROW()-1,FALSE))</f>
        <v>0.84278673599999998</v>
      </c>
      <c r="P311">
        <f ca="1">IF(AND(ISNUMBER($P$753),$B$419=1),$P$753,HLOOKUP(INDIRECT(ADDRESS(2,COLUMN())),OFFSET($BN$2,0,0,ROW()-1,60),ROW()-1,FALSE))</f>
        <v>0.93789957999999995</v>
      </c>
      <c r="Q311">
        <f ca="1">IF(AND(ISNUMBER($Q$753),$B$419=1),$Q$753,HLOOKUP(INDIRECT(ADDRESS(2,COLUMN())),OFFSET($BN$2,0,0,ROW()-1,60),ROW()-1,FALSE))</f>
        <v>0.94238517200000005</v>
      </c>
      <c r="R311">
        <f ca="1">IF(AND(ISNUMBER($R$753),$B$419=1),$R$753,HLOOKUP(INDIRECT(ADDRESS(2,COLUMN())),OFFSET($BN$2,0,0,ROW()-1,60),ROW()-1,FALSE))</f>
        <v>0.78063938600000005</v>
      </c>
      <c r="S311">
        <f ca="1">IF(AND(ISNUMBER($S$753),$B$419=1),$S$753,HLOOKUP(INDIRECT(ADDRESS(2,COLUMN())),OFFSET($BN$2,0,0,ROW()-1,60),ROW()-1,FALSE))</f>
        <v>0.78758061499999998</v>
      </c>
      <c r="T311">
        <f ca="1">IF(AND(ISNUMBER($T$753),$B$419=1),$T$753,HLOOKUP(INDIRECT(ADDRESS(2,COLUMN())),OFFSET($BN$2,0,0,ROW()-1,60),ROW()-1,FALSE))</f>
        <v>0.87050437800000002</v>
      </c>
      <c r="U311">
        <f ca="1">IF(AND(ISNUMBER($U$753),$B$419=1),$U$753,HLOOKUP(INDIRECT(ADDRESS(2,COLUMN())),OFFSET($BN$2,0,0,ROW()-1,60),ROW()-1,FALSE))</f>
        <v>0.84119167800000005</v>
      </c>
      <c r="V311">
        <f ca="1">IF(AND(ISNUMBER($V$753),$B$419=1),$V$753,HLOOKUP(INDIRECT(ADDRESS(2,COLUMN())),OFFSET($BN$2,0,0,ROW()-1,60),ROW()-1,FALSE))</f>
        <v>0.88599571799999999</v>
      </c>
      <c r="W311">
        <f ca="1">IF(AND(ISNUMBER($W$753),$B$419=1),$W$753,HLOOKUP(INDIRECT(ADDRESS(2,COLUMN())),OFFSET($BN$2,0,0,ROW()-1,60),ROW()-1,FALSE))</f>
        <v>0.95890591199999997</v>
      </c>
      <c r="X311">
        <f ca="1">IF(AND(ISNUMBER($X$753),$B$419=1),$X$753,HLOOKUP(INDIRECT(ADDRESS(2,COLUMN())),OFFSET($BN$2,0,0,ROW()-1,60),ROW()-1,FALSE))</f>
        <v>0.91389028299999997</v>
      </c>
      <c r="Y311">
        <f ca="1">IF(AND(ISNUMBER($Y$753),$B$419=1),$Y$753,HLOOKUP(INDIRECT(ADDRESS(2,COLUMN())),OFFSET($BN$2,0,0,ROW()-1,60),ROW()-1,FALSE))</f>
        <v>0.75405261999999995</v>
      </c>
      <c r="Z311">
        <f ca="1">IF(AND(ISNUMBER($Z$753),$B$419=1),$Z$753,HLOOKUP(INDIRECT(ADDRESS(2,COLUMN())),OFFSET($BN$2,0,0,ROW()-1,60),ROW()-1,FALSE))</f>
        <v>0.79347524999999997</v>
      </c>
      <c r="AA311">
        <f ca="1">IF(AND(ISNUMBER($AA$753),$B$419=1),$AA$753,HLOOKUP(INDIRECT(ADDRESS(2,COLUMN())),OFFSET($BN$2,0,0,ROW()-1,60),ROW()-1,FALSE))</f>
        <v>0.89037462499999998</v>
      </c>
      <c r="AB311">
        <f ca="1">IF(AND(ISNUMBER($AB$753),$B$419=1),$AB$753,HLOOKUP(INDIRECT(ADDRESS(2,COLUMN())),OFFSET($BN$2,0,0,ROW()-1,60),ROW()-1,FALSE))</f>
        <v>0.92212008300000003</v>
      </c>
      <c r="AC311">
        <f ca="1">IF(AND(ISNUMBER($AC$753),$B$419=1),$AC$753,HLOOKUP(INDIRECT(ADDRESS(2,COLUMN())),OFFSET($BN$2,0,0,ROW()-1,60),ROW()-1,FALSE))</f>
        <v>0.99115763599999995</v>
      </c>
      <c r="AD311">
        <f ca="1">IF(AND(ISNUMBER($AD$753),$B$419=1),$AD$753,HLOOKUP(INDIRECT(ADDRESS(2,COLUMN())),OFFSET($BN$2,0,0,ROW()-1,60),ROW()-1,FALSE))</f>
        <v>1.022000945</v>
      </c>
      <c r="AE311">
        <f ca="1">IF(AND(ISNUMBER($AE$753),$B$419=1),$AE$753,HLOOKUP(INDIRECT(ADDRESS(2,COLUMN())),OFFSET($BN$2,0,0,ROW()-1,60),ROW()-1,FALSE))</f>
        <v>1.2177216790000001</v>
      </c>
      <c r="AF311">
        <f ca="1">IF(AND(ISNUMBER($AF$753),$B$419=1),$AF$753,HLOOKUP(INDIRECT(ADDRESS(2,COLUMN())),OFFSET($BN$2,0,0,ROW()-1,60),ROW()-1,FALSE))</f>
        <v>1.4025926070000001</v>
      </c>
      <c r="AG311">
        <f ca="1">IF(AND(ISNUMBER($AG$753),$B$419=1),$AG$753,HLOOKUP(INDIRECT(ADDRESS(2,COLUMN())),OFFSET($BN$2,0,0,ROW()-1,60),ROW()-1,FALSE))</f>
        <v>1.080443936</v>
      </c>
      <c r="AH311">
        <f ca="1">IF(AND(ISNUMBER($AH$753),$B$419=1),$AH$753,HLOOKUP(INDIRECT(ADDRESS(2,COLUMN())),OFFSET($BN$2,0,0,ROW()-1,60),ROW()-1,FALSE))</f>
        <v>1.142884775</v>
      </c>
      <c r="AI311">
        <f ca="1">IF(AND(ISNUMBER($AI$753),$B$419=1),$AI$753,HLOOKUP(INDIRECT(ADDRESS(2,COLUMN())),OFFSET($BN$2,0,0,ROW()-1,60),ROW()-1,FALSE))</f>
        <v>1.1919180170000001</v>
      </c>
      <c r="AJ311">
        <f ca="1">IF(AND(ISNUMBER($AJ$753),$B$419=1),$AJ$753,HLOOKUP(INDIRECT(ADDRESS(2,COLUMN())),OFFSET($BN$2,0,0,ROW()-1,60),ROW()-1,FALSE))</f>
        <v>1.5661845000000001</v>
      </c>
      <c r="AK311">
        <f ca="1">IF(AND(ISNUMBER($AK$753),$B$419=1),$AK$753,HLOOKUP(INDIRECT(ADDRESS(2,COLUMN())),OFFSET($BN$2,0,0,ROW()-1,60),ROW()-1,FALSE))</f>
        <v>1.873623448</v>
      </c>
      <c r="AL311">
        <f ca="1">IF(AND(ISNUMBER($AL$753),$B$419=1),$AL$753,HLOOKUP(INDIRECT(ADDRESS(2,COLUMN())),OFFSET($BN$2,0,0,ROW()-1,60),ROW()-1,FALSE))</f>
        <v>1.5570974829999999</v>
      </c>
      <c r="AM311">
        <f ca="1">IF(AND(ISNUMBER($AM$753),$B$419=1),$AM$753,HLOOKUP(INDIRECT(ADDRESS(2,COLUMN())),OFFSET($BN$2,0,0,ROW()-1,60),ROW()-1,FALSE))</f>
        <v>2.845045442</v>
      </c>
      <c r="AN311">
        <f ca="1">IF(AND(ISNUMBER($AN$753),$B$419=1),$AN$753,HLOOKUP(INDIRECT(ADDRESS(2,COLUMN())),OFFSET($BN$2,0,0,ROW()-1,60),ROW()-1,FALSE))</f>
        <v>3.137989975</v>
      </c>
      <c r="AO311">
        <f ca="1">IF(AND(ISNUMBER($AO$753),$B$419=1),$AO$753,HLOOKUP(INDIRECT(ADDRESS(2,COLUMN())),OFFSET($BN$2,0,0,ROW()-1,60),ROW()-1,FALSE))</f>
        <v>8.2879638849999999</v>
      </c>
      <c r="AP311">
        <f ca="1">IF(AND(ISNUMBER($AP$753),$B$419=1),$AP$753,HLOOKUP(INDIRECT(ADDRESS(2,COLUMN())),OFFSET($BN$2,0,0,ROW()-1,60),ROW()-1,FALSE))</f>
        <v>20.88269798</v>
      </c>
      <c r="AQ311">
        <f ca="1">IF(AND(ISNUMBER($AQ$753),$B$419=1),$AQ$753,HLOOKUP(INDIRECT(ADDRESS(2,COLUMN())),OFFSET($BN$2,0,0,ROW()-1,60),ROW()-1,FALSE))</f>
        <v>9.9949567950000002</v>
      </c>
      <c r="AR311">
        <f ca="1">IF(AND(ISNUMBER($AR$753),$B$419=1),$AR$753,HLOOKUP(INDIRECT(ADDRESS(2,COLUMN())),OFFSET($BN$2,0,0,ROW()-1,60),ROW()-1,FALSE))</f>
        <v>1.550571857</v>
      </c>
      <c r="AS311">
        <f ca="1">IF(AND(ISNUMBER($AS$753),$B$419=1),$AS$753,HLOOKUP(INDIRECT(ADDRESS(2,COLUMN())),OFFSET($BN$2,0,0,ROW()-1,60),ROW()-1,FALSE))</f>
        <v>1.3977403559999999</v>
      </c>
      <c r="AT311">
        <f ca="1">IF(AND(ISNUMBER($AT$753),$B$419=1),$AT$753,HLOOKUP(INDIRECT(ADDRESS(2,COLUMN())),OFFSET($BN$2,0,0,ROW()-1,60),ROW()-1,FALSE))</f>
        <v>1.141393576</v>
      </c>
      <c r="AU311">
        <f ca="1">IF(AND(ISNUMBER($AU$753),$B$419=1),$AU$753,HLOOKUP(INDIRECT(ADDRESS(2,COLUMN())),OFFSET($BN$2,0,0,ROW()-1,60),ROW()-1,FALSE))</f>
        <v>1.188488684</v>
      </c>
      <c r="AV311">
        <f ca="1">IF(AND(ISNUMBER($AV$753),$B$419=1),$AV$753,HLOOKUP(INDIRECT(ADDRESS(2,COLUMN())),OFFSET($BN$2,0,0,ROW()-1,60),ROW()-1,FALSE))</f>
        <v>0.74998582800000002</v>
      </c>
      <c r="AW311">
        <f ca="1">IF(AND(ISNUMBER($AW$753),$B$419=1),$AW$753,HLOOKUP(INDIRECT(ADDRESS(2,COLUMN())),OFFSET($BN$2,0,0,ROW()-1,60),ROW()-1,FALSE))</f>
        <v>0.77725169100000002</v>
      </c>
      <c r="AX311">
        <f ca="1">IF(AND(ISNUMBER($AX$753),$B$419=1),$AX$753,HLOOKUP(INDIRECT(ADDRESS(2,COLUMN())),OFFSET($BN$2,0,0,ROW()-1,60),ROW()-1,FALSE))</f>
        <v>0.76905465399999995</v>
      </c>
      <c r="AY311">
        <f ca="1">IF(AND(ISNUMBER($AY$753),$B$419=1),$AY$753,HLOOKUP(INDIRECT(ADDRESS(2,COLUMN())),OFFSET($BN$2,0,0,ROW()-1,60),ROW()-1,FALSE))</f>
        <v>0.55976934</v>
      </c>
      <c r="AZ311">
        <f ca="1">IF(AND(ISNUMBER($AZ$753),$B$419=1),$AZ$753,HLOOKUP(INDIRECT(ADDRESS(2,COLUMN())),OFFSET($BN$2,0,0,ROW()-1,60),ROW()-1,FALSE))</f>
        <v>0.66654720000000001</v>
      </c>
      <c r="BA311">
        <f ca="1">IF(AND(ISNUMBER($BA$753),$B$419=1),$BA$753,HLOOKUP(INDIRECT(ADDRESS(2,COLUMN())),OFFSET($BN$2,0,0,ROW()-1,60),ROW()-1,FALSE))</f>
        <v>0.71216586299999995</v>
      </c>
      <c r="BB311">
        <f ca="1">IF(AND(ISNUMBER($BB$753),$B$419=1),$BB$753,HLOOKUP(INDIRECT(ADDRESS(2,COLUMN())),OFFSET($BN$2,0,0,ROW()-1,60),ROW()-1,FALSE))</f>
        <v>0.68349591200000004</v>
      </c>
      <c r="BC311">
        <f ca="1">IF(AND(ISNUMBER($BC$753),$B$419=1),$BC$753,HLOOKUP(INDIRECT(ADDRESS(2,COLUMN())),OFFSET($BN$2,0,0,ROW()-1,60),ROW()-1,FALSE))</f>
        <v>0.76015965399999996</v>
      </c>
      <c r="BD311">
        <f ca="1">IF(AND(ISNUMBER($BD$753),$B$419=1),$BD$753,HLOOKUP(INDIRECT(ADDRESS(2,COLUMN())),OFFSET($BN$2,0,0,ROW()-1,60),ROW()-1,FALSE))</f>
        <v>0.755678772</v>
      </c>
      <c r="BE311">
        <f ca="1">IF(AND(ISNUMBER($BE$753),$B$419=1),$BE$753,HLOOKUP(INDIRECT(ADDRESS(2,COLUMN())),OFFSET($BN$2,0,0,ROW()-1,60),ROW()-1,FALSE))</f>
        <v>0.75240489399999999</v>
      </c>
      <c r="BF311">
        <f ca="1">IF(AND(ISNUMBER($BF$753),$B$419=1),$BF$753,HLOOKUP(INDIRECT(ADDRESS(2,COLUMN())),OFFSET($BN$2,0,0,ROW()-1,60),ROW()-1,FALSE))</f>
        <v>0.83581467300000001</v>
      </c>
      <c r="BG311">
        <f ca="1">IF(AND(ISNUMBER($BG$753),$B$419=1),$BG$753,HLOOKUP(INDIRECT(ADDRESS(2,COLUMN())),OFFSET($BN$2,0,0,ROW()-1,60),ROW()-1,FALSE))</f>
        <v>0.598567654</v>
      </c>
      <c r="BH311">
        <f ca="1">IF(AND(ISNUMBER($BH$753),$B$419=1),$BH$753,HLOOKUP(INDIRECT(ADDRESS(2,COLUMN())),OFFSET($BN$2,0,0,ROW()-1,60),ROW()-1,FALSE))</f>
        <v>0.81924331800000005</v>
      </c>
      <c r="BI311">
        <f ca="1">IF(AND(ISNUMBER($BI$753),$B$419=1),$BI$753,HLOOKUP(INDIRECT(ADDRESS(2,COLUMN())),OFFSET($BN$2,0,0,ROW()-1,60),ROW()-1,FALSE))</f>
        <v>0.89880323200000001</v>
      </c>
      <c r="BJ311">
        <f ca="1">IF(AND(ISNUMBER($BJ$753),$B$419=1),$BJ$753,HLOOKUP(INDIRECT(ADDRESS(2,COLUMN())),OFFSET($BN$2,0,0,ROW()-1,60),ROW()-1,FALSE))</f>
        <v>0.59510669699999996</v>
      </c>
      <c r="BK311">
        <f ca="1">IF(AND(ISNUMBER($BK$753),$B$419=1),$BK$753,HLOOKUP(INDIRECT(ADDRESS(2,COLUMN())),OFFSET($BN$2,0,0,ROW()-1,60),ROW()-1,FALSE))</f>
        <v>0.71831567500000004</v>
      </c>
      <c r="BL311">
        <f ca="1">IF(AND(ISNUMBER($BL$753),$B$419=1),$BL$753,HLOOKUP(INDIRECT(ADDRESS(2,COLUMN())),OFFSET($BN$2,0,0,ROW()-1,60),ROW()-1,FALSE))</f>
        <v>0.82132406800000002</v>
      </c>
      <c r="BM311">
        <f ca="1">IF(AND(ISNUMBER($BM$753),$B$419=1),$BM$753,HLOOKUP(INDIRECT(ADDRESS(2,COLUMN())),OFFSET($BN$2,0,0,ROW()-1,60),ROW()-1,FALSE))</f>
        <v>0.875937093</v>
      </c>
      <c r="BN311">
        <f>1.424524657</f>
        <v>1.4245246570000001</v>
      </c>
      <c r="BO311">
        <f>1.165948083</f>
        <v>1.165948083</v>
      </c>
      <c r="BP311">
        <f>1.192475604</f>
        <v>1.192475604</v>
      </c>
      <c r="BQ311">
        <f>1.371624307</f>
        <v>1.371624307</v>
      </c>
      <c r="BR311">
        <f>0.984357805</f>
        <v>0.98435780500000003</v>
      </c>
      <c r="BS311">
        <f>0.803514184</f>
        <v>0.80351418399999996</v>
      </c>
      <c r="BT311">
        <f>0.778829924</f>
        <v>0.77882992399999995</v>
      </c>
      <c r="BU311">
        <f>0.745071508</f>
        <v>0.74507150799999999</v>
      </c>
      <c r="BV311">
        <f>0.774248128</f>
        <v>0.77424812799999998</v>
      </c>
      <c r="BW311">
        <f>0.842786736</f>
        <v>0.84278673599999998</v>
      </c>
      <c r="BX311">
        <f>0.93789958</f>
        <v>0.93789957999999995</v>
      </c>
      <c r="BY311">
        <f>0.942385172</f>
        <v>0.94238517200000005</v>
      </c>
      <c r="BZ311">
        <f>0.780639386</f>
        <v>0.78063938600000005</v>
      </c>
      <c r="CA311">
        <f>0.787580615</f>
        <v>0.78758061499999998</v>
      </c>
      <c r="CB311">
        <f>0.870504378</f>
        <v>0.87050437800000002</v>
      </c>
      <c r="CC311">
        <f>0.841191678</f>
        <v>0.84119167800000005</v>
      </c>
      <c r="CD311">
        <f>0.885995718</f>
        <v>0.88599571799999999</v>
      </c>
      <c r="CE311">
        <f>0.958905912</f>
        <v>0.95890591199999997</v>
      </c>
      <c r="CF311">
        <f>0.913890283</f>
        <v>0.91389028299999997</v>
      </c>
      <c r="CG311">
        <f>0.75405262</f>
        <v>0.75405261999999995</v>
      </c>
      <c r="CH311">
        <f>0.79347525</f>
        <v>0.79347524999999997</v>
      </c>
      <c r="CI311">
        <f>0.890374625</f>
        <v>0.89037462499999998</v>
      </c>
      <c r="CJ311">
        <f>0.922120083</f>
        <v>0.92212008300000003</v>
      </c>
      <c r="CK311">
        <f>0.991157636</f>
        <v>0.99115763599999995</v>
      </c>
      <c r="CL311">
        <f>1.022000945</f>
        <v>1.022000945</v>
      </c>
      <c r="CM311">
        <f>1.217721679</f>
        <v>1.2177216790000001</v>
      </c>
      <c r="CN311">
        <f>1.402592607</f>
        <v>1.4025926070000001</v>
      </c>
      <c r="CO311">
        <f>1.080443936</f>
        <v>1.080443936</v>
      </c>
      <c r="CP311">
        <f>1.142884775</f>
        <v>1.142884775</v>
      </c>
      <c r="CQ311">
        <f>1.191918017</f>
        <v>1.1919180170000001</v>
      </c>
      <c r="CR311">
        <f>1.5661845</f>
        <v>1.5661845000000001</v>
      </c>
      <c r="CS311">
        <f>1.873623448</f>
        <v>1.873623448</v>
      </c>
      <c r="CT311">
        <f>1.557097483</f>
        <v>1.5570974829999999</v>
      </c>
      <c r="CU311">
        <f>2.845045442</f>
        <v>2.845045442</v>
      </c>
      <c r="CV311">
        <f>3.137989975</f>
        <v>3.137989975</v>
      </c>
      <c r="CW311">
        <f>8.287963885</f>
        <v>8.2879638849999999</v>
      </c>
      <c r="CX311">
        <f>20.88269798</f>
        <v>20.88269798</v>
      </c>
      <c r="CY311">
        <f>9.994956795</f>
        <v>9.9949567950000002</v>
      </c>
      <c r="CZ311">
        <f>1.550571857</f>
        <v>1.550571857</v>
      </c>
      <c r="DA311">
        <f>1.397740356</f>
        <v>1.3977403559999999</v>
      </c>
      <c r="DB311">
        <f>1.141393576</f>
        <v>1.141393576</v>
      </c>
      <c r="DC311">
        <f>1.188488684</f>
        <v>1.188488684</v>
      </c>
      <c r="DD311">
        <f>0.749985828</f>
        <v>0.74998582800000002</v>
      </c>
      <c r="DE311">
        <f>0.777251691</f>
        <v>0.77725169100000002</v>
      </c>
      <c r="DF311">
        <f>0.769054654</f>
        <v>0.76905465399999995</v>
      </c>
      <c r="DG311">
        <f>0.55976934</f>
        <v>0.55976934</v>
      </c>
      <c r="DH311">
        <f>0.6665472</f>
        <v>0.66654720000000001</v>
      </c>
      <c r="DI311">
        <f>0.712165863</f>
        <v>0.71216586299999995</v>
      </c>
      <c r="DJ311">
        <f>0.683495912</f>
        <v>0.68349591200000004</v>
      </c>
      <c r="DK311">
        <f>0.760159654</f>
        <v>0.76015965399999996</v>
      </c>
      <c r="DL311">
        <f>0.755678772</f>
        <v>0.755678772</v>
      </c>
      <c r="DM311">
        <f>0.752404894</f>
        <v>0.75240489399999999</v>
      </c>
      <c r="DN311">
        <f>0.835814673</f>
        <v>0.83581467300000001</v>
      </c>
      <c r="DO311">
        <f>0.598567654</f>
        <v>0.598567654</v>
      </c>
      <c r="DP311">
        <f>0.819243318</f>
        <v>0.81924331800000005</v>
      </c>
      <c r="DQ311">
        <f>0.898803232</f>
        <v>0.89880323200000001</v>
      </c>
      <c r="DR311">
        <f>0.595106697</f>
        <v>0.59510669699999996</v>
      </c>
      <c r="DS311">
        <f>0.718315675</f>
        <v>0.71831567500000004</v>
      </c>
      <c r="DT311">
        <f>0.821324068</f>
        <v>0.82132406800000002</v>
      </c>
      <c r="DU311">
        <f>0.875937093</f>
        <v>0.875937093</v>
      </c>
    </row>
    <row r="312" spans="1:125">
      <c r="A312" t="str">
        <f>"    Federal Realty Investment Trus"</f>
        <v xml:space="preserve">    Federal Realty Investment Trus</v>
      </c>
      <c r="B312" t="str">
        <f>"FRT US Equity"</f>
        <v>FRT US Equity</v>
      </c>
      <c r="C312" t="str">
        <f t="shared" si="57"/>
        <v>RR263</v>
      </c>
      <c r="D312" t="str">
        <f t="shared" si="58"/>
        <v>DEBT_TO_MKT_CAP</v>
      </c>
      <c r="E312" t="str">
        <f t="shared" si="59"/>
        <v>动态</v>
      </c>
      <c r="F312">
        <f ca="1">IF(AND(ISNUMBER($F$754),$B$419=1),$F$754,HLOOKUP(INDIRECT(ADDRESS(2,COLUMN())),OFFSET($BN$2,0,0,ROW()-1,60),ROW()-1,FALSE))</f>
        <v>0.38252908400000002</v>
      </c>
      <c r="G312">
        <f ca="1">IF(AND(ISNUMBER($G$754),$B$419=1),$G$754,HLOOKUP(INDIRECT(ADDRESS(2,COLUMN())),OFFSET($BN$2,0,0,ROW()-1,60),ROW()-1,FALSE))</f>
        <v>0.34092196299999999</v>
      </c>
      <c r="H312">
        <f ca="1">IF(AND(ISNUMBER($H$754),$B$419=1),$H$754,HLOOKUP(INDIRECT(ADDRESS(2,COLUMN())),OFFSET($BN$2,0,0,ROW()-1,60),ROW()-1,FALSE))</f>
        <v>0.36218212599999999</v>
      </c>
      <c r="I312">
        <f ca="1">IF(AND(ISNUMBER($I$754),$B$419=1),$I$754,HLOOKUP(INDIRECT(ADDRESS(2,COLUMN())),OFFSET($BN$2,0,0,ROW()-1,60),ROW()-1,FALSE))</f>
        <v>0.34423875500000001</v>
      </c>
      <c r="J312">
        <f ca="1">IF(AND(ISNUMBER($J$754),$B$419=1),$J$754,HLOOKUP(INDIRECT(ADDRESS(2,COLUMN())),OFFSET($BN$2,0,0,ROW()-1,60),ROW()-1,FALSE))</f>
        <v>0.31275069799999999</v>
      </c>
      <c r="K312">
        <f ca="1">IF(AND(ISNUMBER($K$754),$B$419=1),$K$754,HLOOKUP(INDIRECT(ADDRESS(2,COLUMN())),OFFSET($BN$2,0,0,ROW()-1,60),ROW()-1,FALSE))</f>
        <v>0.27431556400000001</v>
      </c>
      <c r="L312">
        <f ca="1">IF(AND(ISNUMBER($L$754),$B$419=1),$L$754,HLOOKUP(INDIRECT(ADDRESS(2,COLUMN())),OFFSET($BN$2,0,0,ROW()-1,60),ROW()-1,FALSE))</f>
        <v>0.25553913099999997</v>
      </c>
      <c r="M312">
        <f ca="1">IF(AND(ISNUMBER($M$754),$B$419=1),$M$754,HLOOKUP(INDIRECT(ADDRESS(2,COLUMN())),OFFSET($BN$2,0,0,ROW()-1,60),ROW()-1,FALSE))</f>
        <v>0.227033071</v>
      </c>
      <c r="N312">
        <f ca="1">IF(AND(ISNUMBER($N$754),$B$419=1),$N$754,HLOOKUP(INDIRECT(ADDRESS(2,COLUMN())),OFFSET($BN$2,0,0,ROW()-1,60),ROW()-1,FALSE))</f>
        <v>0.24049067399999999</v>
      </c>
      <c r="O312">
        <f ca="1">IF(AND(ISNUMBER($O$754),$B$419=1),$O$754,HLOOKUP(INDIRECT(ADDRESS(2,COLUMN())),OFFSET($BN$2,0,0,ROW()-1,60),ROW()-1,FALSE))</f>
        <v>0.25902315100000001</v>
      </c>
      <c r="P312">
        <f ca="1">IF(AND(ISNUMBER($P$754),$B$419=1),$P$754,HLOOKUP(INDIRECT(ADDRESS(2,COLUMN())),OFFSET($BN$2,0,0,ROW()-1,60),ROW()-1,FALSE))</f>
        <v>0.268529079</v>
      </c>
      <c r="Q312">
        <f ca="1">IF(AND(ISNUMBER($Q$754),$B$419=1),$Q$754,HLOOKUP(INDIRECT(ADDRESS(2,COLUMN())),OFFSET($BN$2,0,0,ROW()-1,60),ROW()-1,FALSE))</f>
        <v>0.288661006</v>
      </c>
      <c r="R312">
        <f ca="1">IF(AND(ISNUMBER($R$754),$B$419=1),$R$754,HLOOKUP(INDIRECT(ADDRESS(2,COLUMN())),OFFSET($BN$2,0,0,ROW()-1,60),ROW()-1,FALSE))</f>
        <v>0.260802861</v>
      </c>
      <c r="S312">
        <f ca="1">IF(AND(ISNUMBER($S$754),$B$419=1),$S$754,HLOOKUP(INDIRECT(ADDRESS(2,COLUMN())),OFFSET($BN$2,0,0,ROW()-1,60),ROW()-1,FALSE))</f>
        <v>0.26500411099999999</v>
      </c>
      <c r="T312">
        <f ca="1">IF(AND(ISNUMBER($T$754),$B$419=1),$T$754,HLOOKUP(INDIRECT(ADDRESS(2,COLUMN())),OFFSET($BN$2,0,0,ROW()-1,60),ROW()-1,FALSE))</f>
        <v>0.28587769299999999</v>
      </c>
      <c r="U312">
        <f ca="1">IF(AND(ISNUMBER($U$754),$B$419=1),$U$754,HLOOKUP(INDIRECT(ADDRESS(2,COLUMN())),OFFSET($BN$2,0,0,ROW()-1,60),ROW()-1,FALSE))</f>
        <v>0.28984652599999999</v>
      </c>
      <c r="V312">
        <f ca="1">IF(AND(ISNUMBER($V$754),$B$419=1),$V$754,HLOOKUP(INDIRECT(ADDRESS(2,COLUMN())),OFFSET($BN$2,0,0,ROW()-1,60),ROW()-1,FALSE))</f>
        <v>0.31001635799999999</v>
      </c>
      <c r="W312">
        <f ca="1">IF(AND(ISNUMBER($W$754),$B$419=1),$W$754,HLOOKUP(INDIRECT(ADDRESS(2,COLUMN())),OFFSET($BN$2,0,0,ROW()-1,60),ROW()-1,FALSE))</f>
        <v>0.352021115</v>
      </c>
      <c r="X312">
        <f ca="1">IF(AND(ISNUMBER($X$754),$B$419=1),$X$754,HLOOKUP(INDIRECT(ADDRESS(2,COLUMN())),OFFSET($BN$2,0,0,ROW()-1,60),ROW()-1,FALSE))</f>
        <v>0.34602773799999997</v>
      </c>
      <c r="Y312">
        <f ca="1">IF(AND(ISNUMBER($Y$754),$B$419=1),$Y$754,HLOOKUP(INDIRECT(ADDRESS(2,COLUMN())),OFFSET($BN$2,0,0,ROW()-1,60),ROW()-1,FALSE))</f>
        <v>0.34148636799999998</v>
      </c>
      <c r="Z312">
        <f ca="1">IF(AND(ISNUMBER($Z$754),$B$419=1),$Z$754,HLOOKUP(INDIRECT(ADDRESS(2,COLUMN())),OFFSET($BN$2,0,0,ROW()-1,60),ROW()-1,FALSE))</f>
        <v>0.31305193599999998</v>
      </c>
      <c r="AA312">
        <f ca="1">IF(AND(ISNUMBER($AA$754),$B$419=1),$AA$754,HLOOKUP(INDIRECT(ADDRESS(2,COLUMN())),OFFSET($BN$2,0,0,ROW()-1,60),ROW()-1,FALSE))</f>
        <v>0.328546369</v>
      </c>
      <c r="AB312">
        <f ca="1">IF(AND(ISNUMBER($AB$754),$B$419=1),$AB$754,HLOOKUP(INDIRECT(ADDRESS(2,COLUMN())),OFFSET($BN$2,0,0,ROW()-1,60),ROW()-1,FALSE))</f>
        <v>0.32268065200000001</v>
      </c>
      <c r="AC312">
        <f ca="1">IF(AND(ISNUMBER($AC$754),$B$419=1),$AC$754,HLOOKUP(INDIRECT(ADDRESS(2,COLUMN())),OFFSET($BN$2,0,0,ROW()-1,60),ROW()-1,FALSE))</f>
        <v>0.31720506100000001</v>
      </c>
      <c r="AD312">
        <f ca="1">IF(AND(ISNUMBER($AD$754),$B$419=1),$AD$754,HLOOKUP(INDIRECT(ADDRESS(2,COLUMN())),OFFSET($BN$2,0,0,ROW()-1,60),ROW()-1,FALSE))</f>
        <v>0.34323029599999999</v>
      </c>
      <c r="AE312">
        <f ca="1">IF(AND(ISNUMBER($AE$754),$B$419=1),$AE$754,HLOOKUP(INDIRECT(ADDRESS(2,COLUMN())),OFFSET($BN$2,0,0,ROW()-1,60),ROW()-1,FALSE))</f>
        <v>0.36622141600000002</v>
      </c>
      <c r="AF312">
        <f ca="1">IF(AND(ISNUMBER($AF$754),$B$419=1),$AF$754,HLOOKUP(INDIRECT(ADDRESS(2,COLUMN())),OFFSET($BN$2,0,0,ROW()-1,60),ROW()-1,FALSE))</f>
        <v>0.33441468800000002</v>
      </c>
      <c r="AG312">
        <f ca="1">IF(AND(ISNUMBER($AG$754),$B$419=1),$AG$754,HLOOKUP(INDIRECT(ADDRESS(2,COLUMN())),OFFSET($BN$2,0,0,ROW()-1,60),ROW()-1,FALSE))</f>
        <v>0.332031729</v>
      </c>
      <c r="AH312">
        <f ca="1">IF(AND(ISNUMBER($AH$754),$B$419=1),$AH$754,HLOOKUP(INDIRECT(ADDRESS(2,COLUMN())),OFFSET($BN$2,0,0,ROW()-1,60),ROW()-1,FALSE))</f>
        <v>0.35944346500000002</v>
      </c>
      <c r="AI312">
        <f ca="1">IF(AND(ISNUMBER($AI$754),$B$419=1),$AI$754,HLOOKUP(INDIRECT(ADDRESS(2,COLUMN())),OFFSET($BN$2,0,0,ROW()-1,60),ROW()-1,FALSE))</f>
        <v>0.36858352999999999</v>
      </c>
      <c r="AJ312">
        <f ca="1">IF(AND(ISNUMBER($AJ$754),$B$419=1),$AJ$754,HLOOKUP(INDIRECT(ADDRESS(2,COLUMN())),OFFSET($BN$2,0,0,ROW()-1,60),ROW()-1,FALSE))</f>
        <v>0.34317787999999999</v>
      </c>
      <c r="AK312">
        <f ca="1">IF(AND(ISNUMBER($AK$754),$B$419=1),$AK$754,HLOOKUP(INDIRECT(ADDRESS(2,COLUMN())),OFFSET($BN$2,0,0,ROW()-1,60),ROW()-1,FALSE))</f>
        <v>0.39365233100000002</v>
      </c>
      <c r="AL312">
        <f ca="1">IF(AND(ISNUMBER($AL$754),$B$419=1),$AL$754,HLOOKUP(INDIRECT(ADDRESS(2,COLUMN())),OFFSET($BN$2,0,0,ROW()-1,60),ROW()-1,FALSE))</f>
        <v>0.37674936999999997</v>
      </c>
      <c r="AM312">
        <f ca="1">IF(AND(ISNUMBER($AM$754),$B$419=1),$AM$754,HLOOKUP(INDIRECT(ADDRESS(2,COLUMN())),OFFSET($BN$2,0,0,ROW()-1,60),ROW()-1,FALSE))</f>
        <v>0.43292470700000002</v>
      </c>
      <c r="AN312">
        <f ca="1">IF(AND(ISNUMBER($AN$754),$B$419=1),$AN$754,HLOOKUP(INDIRECT(ADDRESS(2,COLUMN())),OFFSET($BN$2,0,0,ROW()-1,60),ROW()-1,FALSE))</f>
        <v>0.54624925700000004</v>
      </c>
      <c r="AO312">
        <f ca="1">IF(AND(ISNUMBER($AO$754),$B$419=1),$AO$754,HLOOKUP(INDIRECT(ADDRESS(2,COLUMN())),OFFSET($BN$2,0,0,ROW()-1,60),ROW()-1,FALSE))</f>
        <v>0.62271198900000002</v>
      </c>
      <c r="AP312">
        <f ca="1">IF(AND(ISNUMBER($AP$754),$B$419=1),$AP$754,HLOOKUP(INDIRECT(ADDRESS(2,COLUMN())),OFFSET($BN$2,0,0,ROW()-1,60),ROW()-1,FALSE))</f>
        <v>0.64420733799999996</v>
      </c>
      <c r="AQ312">
        <f ca="1">IF(AND(ISNUMBER($AQ$754),$B$419=1),$AQ$754,HLOOKUP(INDIRECT(ADDRESS(2,COLUMN())),OFFSET($BN$2,0,0,ROW()-1,60),ROW()-1,FALSE))</f>
        <v>0.47684312099999998</v>
      </c>
      <c r="AR312">
        <f ca="1">IF(AND(ISNUMBER($AR$754),$B$419=1),$AR$754,HLOOKUP(INDIRECT(ADDRESS(2,COLUMN())),OFFSET($BN$2,0,0,ROW()-1,60),ROW()-1,FALSE))</f>
        <v>0.34791305700000003</v>
      </c>
      <c r="AS312">
        <f ca="1">IF(AND(ISNUMBER($AS$754),$B$419=1),$AS$754,HLOOKUP(INDIRECT(ADDRESS(2,COLUMN())),OFFSET($BN$2,0,0,ROW()-1,60),ROW()-1,FALSE))</f>
        <v>0.41069278199999998</v>
      </c>
      <c r="AT312">
        <f ca="1">IF(AND(ISNUMBER($AT$754),$B$419=1),$AT$754,HLOOKUP(INDIRECT(ADDRESS(2,COLUMN())),OFFSET($BN$2,0,0,ROW()-1,60),ROW()-1,FALSE))</f>
        <v>0.35731421600000002</v>
      </c>
      <c r="AU312">
        <f ca="1">IF(AND(ISNUMBER($AU$754),$B$419=1),$AU$754,HLOOKUP(INDIRECT(ADDRESS(2,COLUMN())),OFFSET($BN$2,0,0,ROW()-1,60),ROW()-1,FALSE))</f>
        <v>0.34019768</v>
      </c>
      <c r="AV312">
        <f ca="1">IF(AND(ISNUMBER($AV$754),$B$419=1),$AV$754,HLOOKUP(INDIRECT(ADDRESS(2,COLUMN())),OFFSET($BN$2,0,0,ROW()-1,60),ROW()-1,FALSE))</f>
        <v>0.36723704200000001</v>
      </c>
      <c r="AW312">
        <f ca="1">IF(AND(ISNUMBER($AW$754),$B$419=1),$AW$754,HLOOKUP(INDIRECT(ADDRESS(2,COLUMN())),OFFSET($BN$2,0,0,ROW()-1,60),ROW()-1,FALSE))</f>
        <v>0.41651418699999998</v>
      </c>
      <c r="AX312">
        <f ca="1">IF(AND(ISNUMBER($AX$754),$B$419=1),$AX$754,HLOOKUP(INDIRECT(ADDRESS(2,COLUMN())),OFFSET($BN$2,0,0,ROW()-1,60),ROW()-1,FALSE))</f>
        <v>0.36408042800000001</v>
      </c>
      <c r="AY312">
        <f ca="1">IF(AND(ISNUMBER($AY$754),$B$419=1),$AY$754,HLOOKUP(INDIRECT(ADDRESS(2,COLUMN())),OFFSET($BN$2,0,0,ROW()-1,60),ROW()-1,FALSE))</f>
        <v>0.36108561</v>
      </c>
      <c r="AZ312">
        <f ca="1">IF(AND(ISNUMBER($AZ$754),$B$419=1),$AZ$754,HLOOKUP(INDIRECT(ADDRESS(2,COLUMN())),OFFSET($BN$2,0,0,ROW()-1,60),ROW()-1,FALSE))</f>
        <v>0.38379344599999998</v>
      </c>
      <c r="BA312">
        <f ca="1">IF(AND(ISNUMBER($BA$754),$B$419=1),$BA$754,HLOOKUP(INDIRECT(ADDRESS(2,COLUMN())),OFFSET($BN$2,0,0,ROW()-1,60),ROW()-1,FALSE))</f>
        <v>0.37534320199999999</v>
      </c>
      <c r="BB312">
        <f ca="1">IF(AND(ISNUMBER($BB$754),$B$419=1),$BB$754,HLOOKUP(INDIRECT(ADDRESS(2,COLUMN())),OFFSET($BN$2,0,0,ROW()-1,60),ROW()-1,FALSE))</f>
        <v>0.349174545</v>
      </c>
      <c r="BC312">
        <f ca="1">IF(AND(ISNUMBER($BC$754),$B$419=1),$BC$754,HLOOKUP(INDIRECT(ADDRESS(2,COLUMN())),OFFSET($BN$2,0,0,ROW()-1,60),ROW()-1,FALSE))</f>
        <v>0.434573286</v>
      </c>
      <c r="BD312">
        <f ca="1">IF(AND(ISNUMBER($BD$754),$B$419=1),$BD$754,HLOOKUP(INDIRECT(ADDRESS(2,COLUMN())),OFFSET($BN$2,0,0,ROW()-1,60),ROW()-1,FALSE))</f>
        <v>0.41538818100000002</v>
      </c>
      <c r="BE312">
        <f ca="1">IF(AND(ISNUMBER($BE$754),$B$419=1),$BE$754,HLOOKUP(INDIRECT(ADDRESS(2,COLUMN())),OFFSET($BN$2,0,0,ROW()-1,60),ROW()-1,FALSE))</f>
        <v>0.43336523500000002</v>
      </c>
      <c r="BF312">
        <f ca="1">IF(AND(ISNUMBER($BF$754),$B$419=1),$BF$754,HLOOKUP(INDIRECT(ADDRESS(2,COLUMN())),OFFSET($BN$2,0,0,ROW()-1,60),ROW()-1,FALSE))</f>
        <v>0.53612132599999995</v>
      </c>
      <c r="BG312">
        <f ca="1">IF(AND(ISNUMBER($BG$754),$B$419=1),$BG$754,HLOOKUP(INDIRECT(ADDRESS(2,COLUMN())),OFFSET($BN$2,0,0,ROW()-1,60),ROW()-1,FALSE))</f>
        <v>0.48449320200000001</v>
      </c>
      <c r="BH312">
        <f ca="1">IF(AND(ISNUMBER($BH$754),$B$419=1),$BH$754,HLOOKUP(INDIRECT(ADDRESS(2,COLUMN())),OFFSET($BN$2,0,0,ROW()-1,60),ROW()-1,FALSE))</f>
        <v>0.57053037100000004</v>
      </c>
      <c r="BI312">
        <f ca="1">IF(AND(ISNUMBER($BI$754),$B$419=1),$BI$754,HLOOKUP(INDIRECT(ADDRESS(2,COLUMN())),OFFSET($BN$2,0,0,ROW()-1,60),ROW()-1,FALSE))</f>
        <v>0.61626883399999999</v>
      </c>
      <c r="BJ312">
        <f ca="1">IF(AND(ISNUMBER($BJ$754),$B$419=1),$BJ$754,HLOOKUP(INDIRECT(ADDRESS(2,COLUMN())),OFFSET($BN$2,0,0,ROW()-1,60),ROW()-1,FALSE))</f>
        <v>0.62028709500000001</v>
      </c>
      <c r="BK312">
        <f ca="1">IF(AND(ISNUMBER($BK$754),$B$419=1),$BK$754,HLOOKUP(INDIRECT(ADDRESS(2,COLUMN())),OFFSET($BN$2,0,0,ROW()-1,60),ROW()-1,FALSE))</f>
        <v>0.694177602</v>
      </c>
      <c r="BL312">
        <f ca="1">IF(AND(ISNUMBER($BL$754),$B$419=1),$BL$754,HLOOKUP(INDIRECT(ADDRESS(2,COLUMN())),OFFSET($BN$2,0,0,ROW()-1,60),ROW()-1,FALSE))</f>
        <v>0.67726330800000001</v>
      </c>
      <c r="BM312">
        <f ca="1">IF(AND(ISNUMBER($BM$754),$B$419=1),$BM$754,HLOOKUP(INDIRECT(ADDRESS(2,COLUMN())),OFFSET($BN$2,0,0,ROW()-1,60),ROW()-1,FALSE))</f>
        <v>0.78910720599999995</v>
      </c>
      <c r="BN312">
        <f>0.382529084</f>
        <v>0.38252908400000002</v>
      </c>
      <c r="BO312">
        <f>0.340921963</f>
        <v>0.34092196299999999</v>
      </c>
      <c r="BP312">
        <f>0.362182126</f>
        <v>0.36218212599999999</v>
      </c>
      <c r="BQ312">
        <f>0.344238755</f>
        <v>0.34423875500000001</v>
      </c>
      <c r="BR312">
        <f>0.312750698</f>
        <v>0.31275069799999999</v>
      </c>
      <c r="BS312">
        <f>0.274315564</f>
        <v>0.27431556400000001</v>
      </c>
      <c r="BT312">
        <f>0.255539131</f>
        <v>0.25553913099999997</v>
      </c>
      <c r="BU312">
        <f>0.227033071</f>
        <v>0.227033071</v>
      </c>
      <c r="BV312">
        <f>0.240490674</f>
        <v>0.24049067399999999</v>
      </c>
      <c r="BW312">
        <f>0.259023151</f>
        <v>0.25902315100000001</v>
      </c>
      <c r="BX312">
        <f>0.268529079</f>
        <v>0.268529079</v>
      </c>
      <c r="BY312">
        <f>0.288661006</f>
        <v>0.288661006</v>
      </c>
      <c r="BZ312">
        <f>0.260802861</f>
        <v>0.260802861</v>
      </c>
      <c r="CA312">
        <f>0.265004111</f>
        <v>0.26500411099999999</v>
      </c>
      <c r="CB312">
        <f>0.285877693</f>
        <v>0.28587769299999999</v>
      </c>
      <c r="CC312">
        <f>0.289846526</f>
        <v>0.28984652599999999</v>
      </c>
      <c r="CD312">
        <f>0.310016358</f>
        <v>0.31001635799999999</v>
      </c>
      <c r="CE312">
        <f>0.352021115</f>
        <v>0.352021115</v>
      </c>
      <c r="CF312">
        <f>0.346027738</f>
        <v>0.34602773799999997</v>
      </c>
      <c r="CG312">
        <f>0.341486368</f>
        <v>0.34148636799999998</v>
      </c>
      <c r="CH312">
        <f>0.313051936</f>
        <v>0.31305193599999998</v>
      </c>
      <c r="CI312">
        <f>0.328546369</f>
        <v>0.328546369</v>
      </c>
      <c r="CJ312">
        <f>0.322680652</f>
        <v>0.32268065200000001</v>
      </c>
      <c r="CK312">
        <f>0.317205061</f>
        <v>0.31720506100000001</v>
      </c>
      <c r="CL312">
        <f>0.343230296</f>
        <v>0.34323029599999999</v>
      </c>
      <c r="CM312">
        <f>0.366221416</f>
        <v>0.36622141600000002</v>
      </c>
      <c r="CN312">
        <f>0.334414688</f>
        <v>0.33441468800000002</v>
      </c>
      <c r="CO312">
        <f>0.332031729</f>
        <v>0.332031729</v>
      </c>
      <c r="CP312">
        <f>0.359443465</f>
        <v>0.35944346500000002</v>
      </c>
      <c r="CQ312">
        <f>0.36858353</f>
        <v>0.36858352999999999</v>
      </c>
      <c r="CR312">
        <f>0.34317788</f>
        <v>0.34317787999999999</v>
      </c>
      <c r="CS312">
        <f>0.393652331</f>
        <v>0.39365233100000002</v>
      </c>
      <c r="CT312">
        <f>0.37674937</f>
        <v>0.37674936999999997</v>
      </c>
      <c r="CU312">
        <f>0.432924707</f>
        <v>0.43292470700000002</v>
      </c>
      <c r="CV312">
        <f>0.546249257</f>
        <v>0.54624925700000004</v>
      </c>
      <c r="CW312">
        <f>0.622711989</f>
        <v>0.62271198900000002</v>
      </c>
      <c r="CX312">
        <f>0.644207338</f>
        <v>0.64420733799999996</v>
      </c>
      <c r="CY312">
        <f>0.476843121</f>
        <v>0.47684312099999998</v>
      </c>
      <c r="CZ312">
        <f>0.347913057</f>
        <v>0.34791305700000003</v>
      </c>
      <c r="DA312">
        <f>0.410692782</f>
        <v>0.41069278199999998</v>
      </c>
      <c r="DB312">
        <f>0.357314216</f>
        <v>0.35731421600000002</v>
      </c>
      <c r="DC312">
        <f>0.34019768</f>
        <v>0.34019768</v>
      </c>
      <c r="DD312">
        <f>0.367237042</f>
        <v>0.36723704200000001</v>
      </c>
      <c r="DE312">
        <f>0.416514187</f>
        <v>0.41651418699999998</v>
      </c>
      <c r="DF312">
        <f>0.364080428</f>
        <v>0.36408042800000001</v>
      </c>
      <c r="DG312">
        <f>0.36108561</f>
        <v>0.36108561</v>
      </c>
      <c r="DH312">
        <f>0.383793446</f>
        <v>0.38379344599999998</v>
      </c>
      <c r="DI312">
        <f>0.375343202</f>
        <v>0.37534320199999999</v>
      </c>
      <c r="DJ312">
        <f>0.349174545</f>
        <v>0.349174545</v>
      </c>
      <c r="DK312">
        <f>0.434573286</f>
        <v>0.434573286</v>
      </c>
      <c r="DL312">
        <f>0.415388181</f>
        <v>0.41538818100000002</v>
      </c>
      <c r="DM312">
        <f>0.433365235</f>
        <v>0.43336523500000002</v>
      </c>
      <c r="DN312">
        <f>0.536121326</f>
        <v>0.53612132599999995</v>
      </c>
      <c r="DO312">
        <f>0.484493202</f>
        <v>0.48449320200000001</v>
      </c>
      <c r="DP312">
        <f>0.570530371</f>
        <v>0.57053037100000004</v>
      </c>
      <c r="DQ312">
        <f>0.616268834</f>
        <v>0.61626883399999999</v>
      </c>
      <c r="DR312">
        <f>0.620287095</f>
        <v>0.62028709500000001</v>
      </c>
      <c r="DS312">
        <f>0.694177602</f>
        <v>0.694177602</v>
      </c>
      <c r="DT312">
        <f>0.677263308</f>
        <v>0.67726330800000001</v>
      </c>
      <c r="DU312">
        <f>0.789107206</f>
        <v>0.78910720599999995</v>
      </c>
    </row>
    <row r="313" spans="1:125">
      <c r="A313" t="str">
        <f>"    Kimco Realty Corp"</f>
        <v xml:space="preserve">    Kimco Realty Corp</v>
      </c>
      <c r="B313" t="str">
        <f>"KIM US Equity"</f>
        <v>KIM US Equity</v>
      </c>
      <c r="C313" t="str">
        <f t="shared" si="57"/>
        <v>RR263</v>
      </c>
      <c r="D313" t="str">
        <f t="shared" si="58"/>
        <v>DEBT_TO_MKT_CAP</v>
      </c>
      <c r="E313" t="str">
        <f t="shared" si="59"/>
        <v>动态</v>
      </c>
      <c r="F313">
        <f ca="1">IF(AND(ISNUMBER($F$755),$B$419=1),$F$755,HLOOKUP(INDIRECT(ADDRESS(2,COLUMN())),OFFSET($BN$2,0,0,ROW()-1,60),ROW()-1,FALSE))</f>
        <v>0.87723365200000003</v>
      </c>
      <c r="G313">
        <f ca="1">IF(AND(ISNUMBER($G$755),$B$419=1),$G$755,HLOOKUP(INDIRECT(ADDRESS(2,COLUMN())),OFFSET($BN$2,0,0,ROW()-1,60),ROW()-1,FALSE))</f>
        <v>0.70919027000000001</v>
      </c>
      <c r="H313">
        <f ca="1">IF(AND(ISNUMBER($H$755),$B$419=1),$H$755,HLOOKUP(INDIRECT(ADDRESS(2,COLUMN())),OFFSET($BN$2,0,0,ROW()-1,60),ROW()-1,FALSE))</f>
        <v>0.66712463700000002</v>
      </c>
      <c r="I313">
        <f ca="1">IF(AND(ISNUMBER($I$755),$B$419=1),$I$755,HLOOKUP(INDIRECT(ADDRESS(2,COLUMN())),OFFSET($BN$2,0,0,ROW()-1,60),ROW()-1,FALSE))</f>
        <v>0.69009578999999999</v>
      </c>
      <c r="J313">
        <f ca="1">IF(AND(ISNUMBER($J$755),$B$419=1),$J$755,HLOOKUP(INDIRECT(ADDRESS(2,COLUMN())),OFFSET($BN$2,0,0,ROW()-1,60),ROW()-1,FALSE))</f>
        <v>0.54506877200000003</v>
      </c>
      <c r="K313">
        <f ca="1">IF(AND(ISNUMBER($K$755),$B$419=1),$K$755,HLOOKUP(INDIRECT(ADDRESS(2,COLUMN())),OFFSET($BN$2,0,0,ROW()-1,60),ROW()-1,FALSE))</f>
        <v>0.47377345199999998</v>
      </c>
      <c r="L313">
        <f ca="1">IF(AND(ISNUMBER($L$755),$B$419=1),$L$755,HLOOKUP(INDIRECT(ADDRESS(2,COLUMN())),OFFSET($BN$2,0,0,ROW()-1,60),ROW()-1,FALSE))</f>
        <v>0.41117090899999997</v>
      </c>
      <c r="M313">
        <f ca="1">IF(AND(ISNUMBER($M$755),$B$419=1),$M$755,HLOOKUP(INDIRECT(ADDRESS(2,COLUMN())),OFFSET($BN$2,0,0,ROW()-1,60),ROW()-1,FALSE))</f>
        <v>0.39402998099999997</v>
      </c>
      <c r="N313">
        <f ca="1">IF(AND(ISNUMBER($N$755),$B$419=1),$N$755,HLOOKUP(INDIRECT(ADDRESS(2,COLUMN())),OFFSET($BN$2,0,0,ROW()-1,60),ROW()-1,FALSE))</f>
        <v>0.432927018</v>
      </c>
      <c r="O313">
        <f ca="1">IF(AND(ISNUMBER($O$755),$B$419=1),$O$755,HLOOKUP(INDIRECT(ADDRESS(2,COLUMN())),OFFSET($BN$2,0,0,ROW()-1,60),ROW()-1,FALSE))</f>
        <v>0.49160719600000002</v>
      </c>
      <c r="P313">
        <f ca="1">IF(AND(ISNUMBER($P$755),$B$419=1),$P$755,HLOOKUP(INDIRECT(ADDRESS(2,COLUMN())),OFFSET($BN$2,0,0,ROW()-1,60),ROW()-1,FALSE))</f>
        <v>0.544797541</v>
      </c>
      <c r="Q313">
        <f ca="1">IF(AND(ISNUMBER($Q$755),$B$419=1),$Q$755,HLOOKUP(INDIRECT(ADDRESS(2,COLUMN())),OFFSET($BN$2,0,0,ROW()-1,60),ROW()-1,FALSE))</f>
        <v>0.59523891399999995</v>
      </c>
      <c r="R313">
        <f ca="1">IF(AND(ISNUMBER($R$755),$B$419=1),$R$755,HLOOKUP(INDIRECT(ADDRESS(2,COLUMN())),OFFSET($BN$2,0,0,ROW()-1,60),ROW()-1,FALSE))</f>
        <v>0.51640946499999996</v>
      </c>
      <c r="S313">
        <f ca="1">IF(AND(ISNUMBER($S$755),$B$419=1),$S$755,HLOOKUP(INDIRECT(ADDRESS(2,COLUMN())),OFFSET($BN$2,0,0,ROW()-1,60),ROW()-1,FALSE))</f>
        <v>0.444345938</v>
      </c>
      <c r="T313">
        <f ca="1">IF(AND(ISNUMBER($T$755),$B$419=1),$T$755,HLOOKUP(INDIRECT(ADDRESS(2,COLUMN())),OFFSET($BN$2,0,0,ROW()-1,60),ROW()-1,FALSE))</f>
        <v>0.52156255500000004</v>
      </c>
      <c r="U313">
        <f ca="1">IF(AND(ISNUMBER($U$755),$B$419=1),$U$755,HLOOKUP(INDIRECT(ADDRESS(2,COLUMN())),OFFSET($BN$2,0,0,ROW()-1,60),ROW()-1,FALSE))</f>
        <v>0.50134052600000001</v>
      </c>
      <c r="V313">
        <f ca="1">IF(AND(ISNUMBER($V$755),$B$419=1),$V$755,HLOOKUP(INDIRECT(ADDRESS(2,COLUMN())),OFFSET($BN$2,0,0,ROW()-1,60),ROW()-1,FALSE))</f>
        <v>0.48770155100000001</v>
      </c>
      <c r="W313">
        <f ca="1">IF(AND(ISNUMBER($W$755),$B$419=1),$W$755,HLOOKUP(INDIRECT(ADDRESS(2,COLUMN())),OFFSET($BN$2,0,0,ROW()-1,60),ROW()-1,FALSE))</f>
        <v>0.52171567299999999</v>
      </c>
      <c r="X313">
        <f ca="1">IF(AND(ISNUMBER($X$755),$B$419=1),$X$755,HLOOKUP(INDIRECT(ADDRESS(2,COLUMN())),OFFSET($BN$2,0,0,ROW()-1,60),ROW()-1,FALSE))</f>
        <v>0.52992669999999997</v>
      </c>
      <c r="Y313">
        <f ca="1">IF(AND(ISNUMBER($Y$755),$B$419=1),$Y$755,HLOOKUP(INDIRECT(ADDRESS(2,COLUMN())),OFFSET($BN$2,0,0,ROW()-1,60),ROW()-1,FALSE))</f>
        <v>0.50970020699999996</v>
      </c>
      <c r="Z313">
        <f ca="1">IF(AND(ISNUMBER($Z$755),$B$419=1),$Z$755,HLOOKUP(INDIRECT(ADDRESS(2,COLUMN())),OFFSET($BN$2,0,0,ROW()-1,60),ROW()-1,FALSE))</f>
        <v>0.48716990100000002</v>
      </c>
      <c r="AA313">
        <f ca="1">IF(AND(ISNUMBER($AA$755),$B$419=1),$AA$755,HLOOKUP(INDIRECT(ADDRESS(2,COLUMN())),OFFSET($BN$2,0,0,ROW()-1,60),ROW()-1,FALSE))</f>
        <v>0.53271983099999998</v>
      </c>
      <c r="AB313">
        <f ca="1">IF(AND(ISNUMBER($AB$755),$B$419=1),$AB$755,HLOOKUP(INDIRECT(ADDRESS(2,COLUMN())),OFFSET($BN$2,0,0,ROW()-1,60),ROW()-1,FALSE))</f>
        <v>0.511359597</v>
      </c>
      <c r="AC313">
        <f ca="1">IF(AND(ISNUMBER($AC$755),$B$419=1),$AC$755,HLOOKUP(INDIRECT(ADDRESS(2,COLUMN())),OFFSET($BN$2,0,0,ROW()-1,60),ROW()-1,FALSE))</f>
        <v>0.541283666</v>
      </c>
      <c r="AD313">
        <f ca="1">IF(AND(ISNUMBER($AD$755),$B$419=1),$AD$755,HLOOKUP(INDIRECT(ADDRESS(2,COLUMN())),OFFSET($BN$2,0,0,ROW()-1,60),ROW()-1,FALSE))</f>
        <v>0.49849714899999997</v>
      </c>
      <c r="AE313">
        <f ca="1">IF(AND(ISNUMBER($AE$755),$B$419=1),$AE$755,HLOOKUP(INDIRECT(ADDRESS(2,COLUMN())),OFFSET($BN$2,0,0,ROW()-1,60),ROW()-1,FALSE))</f>
        <v>0.62256757900000004</v>
      </c>
      <c r="AF313">
        <f ca="1">IF(AND(ISNUMBER($AF$755),$B$419=1),$AF$755,HLOOKUP(INDIRECT(ADDRESS(2,COLUMN())),OFFSET($BN$2,0,0,ROW()-1,60),ROW()-1,FALSE))</f>
        <v>0.65151097499999999</v>
      </c>
      <c r="AG313">
        <f ca="1">IF(AND(ISNUMBER($AG$755),$B$419=1),$AG$755,HLOOKUP(INDIRECT(ADDRESS(2,COLUMN())),OFFSET($BN$2,0,0,ROW()-1,60),ROW()-1,FALSE))</f>
        <v>0.52475661500000004</v>
      </c>
      <c r="AH313">
        <f ca="1">IF(AND(ISNUMBER($AH$755),$B$419=1),$AH$755,HLOOKUP(INDIRECT(ADDRESS(2,COLUMN())),OFFSET($BN$2,0,0,ROW()-1,60),ROW()-1,FALSE))</f>
        <v>0.55676672299999996</v>
      </c>
      <c r="AI313">
        <f ca="1">IF(AND(ISNUMBER($AI$755),$B$419=1),$AI$755,HLOOKUP(INDIRECT(ADDRESS(2,COLUMN())),OFFSET($BN$2,0,0,ROW()-1,60),ROW()-1,FALSE))</f>
        <v>0.55425257500000003</v>
      </c>
      <c r="AJ313">
        <f ca="1">IF(AND(ISNUMBER($AJ$755),$B$419=1),$AJ$755,HLOOKUP(INDIRECT(ADDRESS(2,COLUMN())),OFFSET($BN$2,0,0,ROW()-1,60),ROW()-1,FALSE))</f>
        <v>0.63205921899999995</v>
      </c>
      <c r="AK313">
        <f ca="1">IF(AND(ISNUMBER($AK$755),$B$419=1),$AK$755,HLOOKUP(INDIRECT(ADDRESS(2,COLUMN())),OFFSET($BN$2,0,0,ROW()-1,60),ROW()-1,FALSE))</f>
        <v>0.781480434</v>
      </c>
      <c r="AL313">
        <f ca="1">IF(AND(ISNUMBER($AL$755),$B$419=1),$AL$755,HLOOKUP(INDIRECT(ADDRESS(2,COLUMN())),OFFSET($BN$2,0,0,ROW()-1,60),ROW()-1,FALSE))</f>
        <v>0.71333120100000003</v>
      </c>
      <c r="AM313">
        <f ca="1">IF(AND(ISNUMBER($AM$755),$B$419=1),$AM$755,HLOOKUP(INDIRECT(ADDRESS(2,COLUMN())),OFFSET($BN$2,0,0,ROW()-1,60),ROW()-1,FALSE))</f>
        <v>0.81578991300000003</v>
      </c>
      <c r="AN313">
        <f ca="1">IF(AND(ISNUMBER($AN$755),$B$419=1),$AN$755,HLOOKUP(INDIRECT(ADDRESS(2,COLUMN())),OFFSET($BN$2,0,0,ROW()-1,60),ROW()-1,FALSE))</f>
        <v>0.80935199700000005</v>
      </c>
      <c r="AO313">
        <f ca="1">IF(AND(ISNUMBER($AO$755),$B$419=1),$AO$755,HLOOKUP(INDIRECT(ADDRESS(2,COLUMN())),OFFSET($BN$2,0,0,ROW()-1,60),ROW()-1,FALSE))</f>
        <v>1.0942079179999999</v>
      </c>
      <c r="AP313">
        <f ca="1">IF(AND(ISNUMBER($AP$755),$B$419=1),$AP$755,HLOOKUP(INDIRECT(ADDRESS(2,COLUMN())),OFFSET($BN$2,0,0,ROW()-1,60),ROW()-1,FALSE))</f>
        <v>2.2519983419999998</v>
      </c>
      <c r="AQ313">
        <f ca="1">IF(AND(ISNUMBER($AQ$755),$B$419=1),$AQ$755,HLOOKUP(INDIRECT(ADDRESS(2,COLUMN())),OFFSET($BN$2,0,0,ROW()-1,60),ROW()-1,FALSE))</f>
        <v>0.93610310100000005</v>
      </c>
      <c r="AR313">
        <f ca="1">IF(AND(ISNUMBER($AR$755),$B$419=1),$AR$755,HLOOKUP(INDIRECT(ADDRESS(2,COLUMN())),OFFSET($BN$2,0,0,ROW()-1,60),ROW()-1,FALSE))</f>
        <v>0.44965895299999997</v>
      </c>
      <c r="AS313">
        <f ca="1">IF(AND(ISNUMBER($AS$755),$B$419=1),$AS$755,HLOOKUP(INDIRECT(ADDRESS(2,COLUMN())),OFFSET($BN$2,0,0,ROW()-1,60),ROW()-1,FALSE))</f>
        <v>0.54119650500000005</v>
      </c>
      <c r="AT313">
        <f ca="1">IF(AND(ISNUMBER($AT$755),$B$419=1),$AT$755,HLOOKUP(INDIRECT(ADDRESS(2,COLUMN())),OFFSET($BN$2,0,0,ROW()-1,60),ROW()-1,FALSE))</f>
        <v>0.45782414100000002</v>
      </c>
      <c r="AU313">
        <f ca="1">IF(AND(ISNUMBER($AU$755),$B$419=1),$AU$755,HLOOKUP(INDIRECT(ADDRESS(2,COLUMN())),OFFSET($BN$2,0,0,ROW()-1,60),ROW()-1,FALSE))</f>
        <v>0.45837626599999998</v>
      </c>
      <c r="AV313">
        <f ca="1">IF(AND(ISNUMBER($AV$755),$B$419=1),$AV$755,HLOOKUP(INDIRECT(ADDRESS(2,COLUMN())),OFFSET($BN$2,0,0,ROW()-1,60),ROW()-1,FALSE))</f>
        <v>0.38730371600000002</v>
      </c>
      <c r="AW313">
        <f ca="1">IF(AND(ISNUMBER($AW$755),$B$419=1),$AW$755,HLOOKUP(INDIRECT(ADDRESS(2,COLUMN())),OFFSET($BN$2,0,0,ROW()-1,60),ROW()-1,FALSE))</f>
        <v>0.43685144399999998</v>
      </c>
      <c r="AX313">
        <f ca="1">IF(AND(ISNUMBER($AX$755),$B$419=1),$AX$755,HLOOKUP(INDIRECT(ADDRESS(2,COLUMN())),OFFSET($BN$2,0,0,ROW()-1,60),ROW()-1,FALSE))</f>
        <v>0.29648875400000002</v>
      </c>
      <c r="AY313">
        <f ca="1">IF(AND(ISNUMBER($AY$755),$B$419=1),$AY$755,HLOOKUP(INDIRECT(ADDRESS(2,COLUMN())),OFFSET($BN$2,0,0,ROW()-1,60),ROW()-1,FALSE))</f>
        <v>0.31851032600000001</v>
      </c>
      <c r="AZ313">
        <f ca="1">IF(AND(ISNUMBER($AZ$755),$B$419=1),$AZ$755,HLOOKUP(INDIRECT(ADDRESS(2,COLUMN())),OFFSET($BN$2,0,0,ROW()-1,60),ROW()-1,FALSE))</f>
        <v>0.32497710200000002</v>
      </c>
      <c r="BA313">
        <f ca="1">IF(AND(ISNUMBER($BA$755),$B$419=1),$BA$755,HLOOKUP(INDIRECT(ADDRESS(2,COLUMN())),OFFSET($BN$2,0,0,ROW()-1,60),ROW()-1,FALSE))</f>
        <v>0.35774618600000002</v>
      </c>
      <c r="BB313">
        <f ca="1">IF(AND(ISNUMBER($BB$755),$B$419=1),$BB$755,HLOOKUP(INDIRECT(ADDRESS(2,COLUMN())),OFFSET($BN$2,0,0,ROW()-1,60),ROW()-1,FALSE))</f>
        <v>0.311253999</v>
      </c>
      <c r="BC313">
        <f ca="1">IF(AND(ISNUMBER($BC$755),$B$419=1),$BC$755,HLOOKUP(INDIRECT(ADDRESS(2,COLUMN())),OFFSET($BN$2,0,0,ROW()-1,60),ROW()-1,FALSE))</f>
        <v>0.36909882700000002</v>
      </c>
      <c r="BD313">
        <f ca="1">IF(AND(ISNUMBER($BD$755),$B$419=1),$BD$755,HLOOKUP(INDIRECT(ADDRESS(2,COLUMN())),OFFSET($BN$2,0,0,ROW()-1,60),ROW()-1,FALSE))</f>
        <v>0.33053387899999997</v>
      </c>
      <c r="BE313">
        <f ca="1">IF(AND(ISNUMBER($BE$755),$B$419=1),$BE$755,HLOOKUP(INDIRECT(ADDRESS(2,COLUMN())),OFFSET($BN$2,0,0,ROW()-1,60),ROW()-1,FALSE))</f>
        <v>0.34021934700000001</v>
      </c>
      <c r="BF313">
        <f ca="1">IF(AND(ISNUMBER($BF$755),$B$419=1),$BF$755,HLOOKUP(INDIRECT(ADDRESS(2,COLUMN())),OFFSET($BN$2,0,0,ROW()-1,60),ROW()-1,FALSE))</f>
        <v>0.353207412</v>
      </c>
      <c r="BG313">
        <f ca="1">IF(AND(ISNUMBER($BG$755),$B$419=1),$BG$755,HLOOKUP(INDIRECT(ADDRESS(2,COLUMN())),OFFSET($BN$2,0,0,ROW()-1,60),ROW()-1,FALSE))</f>
        <v>0.32607504700000001</v>
      </c>
      <c r="BH313">
        <f ca="1">IF(AND(ISNUMBER($BH$755),$B$419=1),$BH$755,HLOOKUP(INDIRECT(ADDRESS(2,COLUMN())),OFFSET($BN$2,0,0,ROW()-1,60),ROW()-1,FALSE))</f>
        <v>0.31886767799999999</v>
      </c>
      <c r="BI313">
        <f ca="1">IF(AND(ISNUMBER($BI$755),$B$419=1),$BI$755,HLOOKUP(INDIRECT(ADDRESS(2,COLUMN())),OFFSET($BN$2,0,0,ROW()-1,60),ROW()-1,FALSE))</f>
        <v>0.36394534099999998</v>
      </c>
      <c r="BJ313">
        <f ca="1">IF(AND(ISNUMBER($BJ$755),$B$419=1),$BJ$755,HLOOKUP(INDIRECT(ADDRESS(2,COLUMN())),OFFSET($BN$2,0,0,ROW()-1,60),ROW()-1,FALSE))</f>
        <v>0.39717676299999999</v>
      </c>
      <c r="BK313">
        <f ca="1">IF(AND(ISNUMBER($BK$755),$B$419=1),$BK$755,HLOOKUP(INDIRECT(ADDRESS(2,COLUMN())),OFFSET($BN$2,0,0,ROW()-1,60),ROW()-1,FALSE))</f>
        <v>0.43613760800000001</v>
      </c>
      <c r="BL313">
        <f ca="1">IF(AND(ISNUMBER($BL$755),$B$419=1),$BL$755,HLOOKUP(INDIRECT(ADDRESS(2,COLUMN())),OFFSET($BN$2,0,0,ROW()-1,60),ROW()-1,FALSE))</f>
        <v>0.33768139200000002</v>
      </c>
      <c r="BM313">
        <f ca="1">IF(AND(ISNUMBER($BM$755),$B$419=1),$BM$755,HLOOKUP(INDIRECT(ADDRESS(2,COLUMN())),OFFSET($BN$2,0,0,ROW()-1,60),ROW()-1,FALSE))</f>
        <v>0.44485235699999998</v>
      </c>
      <c r="BN313">
        <f>0.877233652</f>
        <v>0.87723365200000003</v>
      </c>
      <c r="BO313">
        <f>0.70919027</f>
        <v>0.70919027000000001</v>
      </c>
      <c r="BP313">
        <f>0.667124637</f>
        <v>0.66712463700000002</v>
      </c>
      <c r="BQ313">
        <f>0.69009579</f>
        <v>0.69009578999999999</v>
      </c>
      <c r="BR313">
        <f>0.545068772</f>
        <v>0.54506877200000003</v>
      </c>
      <c r="BS313">
        <f>0.473773452</f>
        <v>0.47377345199999998</v>
      </c>
      <c r="BT313">
        <f>0.411170909</f>
        <v>0.41117090899999997</v>
      </c>
      <c r="BU313">
        <f>0.394029981</f>
        <v>0.39402998099999997</v>
      </c>
      <c r="BV313">
        <f>0.432927018</f>
        <v>0.432927018</v>
      </c>
      <c r="BW313">
        <f>0.491607196</f>
        <v>0.49160719600000002</v>
      </c>
      <c r="BX313">
        <f>0.544797541</f>
        <v>0.544797541</v>
      </c>
      <c r="BY313">
        <f>0.595238914</f>
        <v>0.59523891399999995</v>
      </c>
      <c r="BZ313">
        <f>0.516409465</f>
        <v>0.51640946499999996</v>
      </c>
      <c r="CA313">
        <f>0.444345938</f>
        <v>0.444345938</v>
      </c>
      <c r="CB313">
        <f>0.521562555</f>
        <v>0.52156255500000004</v>
      </c>
      <c r="CC313">
        <f>0.501340526</f>
        <v>0.50134052600000001</v>
      </c>
      <c r="CD313">
        <f>0.487701551</f>
        <v>0.48770155100000001</v>
      </c>
      <c r="CE313">
        <f>0.521715673</f>
        <v>0.52171567299999999</v>
      </c>
      <c r="CF313">
        <f>0.5299267</f>
        <v>0.52992669999999997</v>
      </c>
      <c r="CG313">
        <f>0.509700207</f>
        <v>0.50970020699999996</v>
      </c>
      <c r="CH313">
        <f>0.487169901</f>
        <v>0.48716990100000002</v>
      </c>
      <c r="CI313">
        <f>0.532719831</f>
        <v>0.53271983099999998</v>
      </c>
      <c r="CJ313">
        <f>0.511359597</f>
        <v>0.511359597</v>
      </c>
      <c r="CK313">
        <f>0.541283666</f>
        <v>0.541283666</v>
      </c>
      <c r="CL313">
        <f>0.498497149</f>
        <v>0.49849714899999997</v>
      </c>
      <c r="CM313">
        <f>0.622567579</f>
        <v>0.62256757900000004</v>
      </c>
      <c r="CN313">
        <f>0.651510975</f>
        <v>0.65151097499999999</v>
      </c>
      <c r="CO313">
        <f>0.524756615</f>
        <v>0.52475661500000004</v>
      </c>
      <c r="CP313">
        <f>0.556766723</f>
        <v>0.55676672299999996</v>
      </c>
      <c r="CQ313">
        <f>0.554252575</f>
        <v>0.55425257500000003</v>
      </c>
      <c r="CR313">
        <f>0.632059219</f>
        <v>0.63205921899999995</v>
      </c>
      <c r="CS313">
        <f>0.781480434</f>
        <v>0.781480434</v>
      </c>
      <c r="CT313">
        <f>0.713331201</f>
        <v>0.71333120100000003</v>
      </c>
      <c r="CU313">
        <f>0.815789913</f>
        <v>0.81578991300000003</v>
      </c>
      <c r="CV313">
        <f>0.809351997</f>
        <v>0.80935199700000005</v>
      </c>
      <c r="CW313">
        <f>1.094207918</f>
        <v>1.0942079179999999</v>
      </c>
      <c r="CX313">
        <f>2.251998342</f>
        <v>2.2519983419999998</v>
      </c>
      <c r="CY313">
        <f>0.936103101</f>
        <v>0.93610310100000005</v>
      </c>
      <c r="CZ313">
        <f>0.449658953</f>
        <v>0.44965895299999997</v>
      </c>
      <c r="DA313">
        <f>0.541196505</f>
        <v>0.54119650500000005</v>
      </c>
      <c r="DB313">
        <f>0.457824141</f>
        <v>0.45782414100000002</v>
      </c>
      <c r="DC313">
        <f>0.458376266</f>
        <v>0.45837626599999998</v>
      </c>
      <c r="DD313">
        <f>0.387303716</f>
        <v>0.38730371600000002</v>
      </c>
      <c r="DE313">
        <f>0.436851444</f>
        <v>0.43685144399999998</v>
      </c>
      <c r="DF313">
        <f>0.296488754</f>
        <v>0.29648875400000002</v>
      </c>
      <c r="DG313">
        <f>0.318510326</f>
        <v>0.31851032600000001</v>
      </c>
      <c r="DH313">
        <f>0.324977102</f>
        <v>0.32497710200000002</v>
      </c>
      <c r="DI313">
        <f>0.357746186</f>
        <v>0.35774618600000002</v>
      </c>
      <c r="DJ313">
        <f>0.311253999</f>
        <v>0.311253999</v>
      </c>
      <c r="DK313">
        <f>0.369098827</f>
        <v>0.36909882700000002</v>
      </c>
      <c r="DL313">
        <f>0.330533879</f>
        <v>0.33053387899999997</v>
      </c>
      <c r="DM313">
        <f>0.340219347</f>
        <v>0.34021934700000001</v>
      </c>
      <c r="DN313">
        <f>0.353207412</f>
        <v>0.353207412</v>
      </c>
      <c r="DO313">
        <f>0.326075047</f>
        <v>0.32607504700000001</v>
      </c>
      <c r="DP313">
        <f>0.318867678</f>
        <v>0.31886767799999999</v>
      </c>
      <c r="DQ313">
        <f>0.363945341</f>
        <v>0.36394534099999998</v>
      </c>
      <c r="DR313">
        <f>0.397176763</f>
        <v>0.39717676299999999</v>
      </c>
      <c r="DS313">
        <f>0.436137608</f>
        <v>0.43613760800000001</v>
      </c>
      <c r="DT313">
        <f>0.337681392</f>
        <v>0.33768139200000002</v>
      </c>
      <c r="DU313">
        <f>0.444852357</f>
        <v>0.44485235699999998</v>
      </c>
    </row>
    <row r="314" spans="1:125">
      <c r="A314" t="str">
        <f>"    National Retail Properties Inc"</f>
        <v xml:space="preserve">    National Retail Properties Inc</v>
      </c>
      <c r="B314" t="str">
        <f>"NNN US Equity"</f>
        <v>NNN US Equity</v>
      </c>
      <c r="C314" t="str">
        <f t="shared" si="57"/>
        <v>RR263</v>
      </c>
      <c r="D314" t="str">
        <f t="shared" si="58"/>
        <v>DEBT_TO_MKT_CAP</v>
      </c>
      <c r="E314" t="str">
        <f t="shared" si="59"/>
        <v>动态</v>
      </c>
      <c r="F314">
        <f ca="1">IF(AND(ISNUMBER($F$756),$B$419=1),$F$756,HLOOKUP(INDIRECT(ADDRESS(2,COLUMN())),OFFSET($BN$2,0,0,ROW()-1,60),ROW()-1,FALSE))</f>
        <v>0.42978123099999999</v>
      </c>
      <c r="G314">
        <f ca="1">IF(AND(ISNUMBER($G$756),$B$419=1),$G$756,HLOOKUP(INDIRECT(ADDRESS(2,COLUMN())),OFFSET($BN$2,0,0,ROW()-1,60),ROW()-1,FALSE))</f>
        <v>0.39344062699999999</v>
      </c>
      <c r="H314">
        <f ca="1">IF(AND(ISNUMBER($H$756),$B$419=1),$H$756,HLOOKUP(INDIRECT(ADDRESS(2,COLUMN())),OFFSET($BN$2,0,0,ROW()-1,60),ROW()-1,FALSE))</f>
        <v>0.435714663</v>
      </c>
      <c r="I314">
        <f ca="1">IF(AND(ISNUMBER($I$756),$B$419=1),$I$756,HLOOKUP(INDIRECT(ADDRESS(2,COLUMN())),OFFSET($BN$2,0,0,ROW()-1,60),ROW()-1,FALSE))</f>
        <v>0.43365594200000002</v>
      </c>
      <c r="J314">
        <f ca="1">IF(AND(ISNUMBER($J$756),$B$419=1),$J$756,HLOOKUP(INDIRECT(ADDRESS(2,COLUMN())),OFFSET($BN$2,0,0,ROW()-1,60),ROW()-1,FALSE))</f>
        <v>0.35722421100000001</v>
      </c>
      <c r="K314">
        <f ca="1">IF(AND(ISNUMBER($K$756),$B$419=1),$K$756,HLOOKUP(INDIRECT(ADDRESS(2,COLUMN())),OFFSET($BN$2,0,0,ROW()-1,60),ROW()-1,FALSE))</f>
        <v>0.35548666899999998</v>
      </c>
      <c r="L314">
        <f ca="1">IF(AND(ISNUMBER($L$756),$B$419=1),$L$756,HLOOKUP(INDIRECT(ADDRESS(2,COLUMN())),OFFSET($BN$2,0,0,ROW()-1,60),ROW()-1,FALSE))</f>
        <v>0.288313863</v>
      </c>
      <c r="M314">
        <f ca="1">IF(AND(ISNUMBER($M$756),$B$419=1),$M$756,HLOOKUP(INDIRECT(ADDRESS(2,COLUMN())),OFFSET($BN$2,0,0,ROW()-1,60),ROW()-1,FALSE))</f>
        <v>0.28429003200000003</v>
      </c>
      <c r="N314">
        <f ca="1">IF(AND(ISNUMBER($N$756),$B$419=1),$N$756,HLOOKUP(INDIRECT(ADDRESS(2,COLUMN())),OFFSET($BN$2,0,0,ROW()-1,60),ROW()-1,FALSE))</f>
        <v>0.29888925</v>
      </c>
      <c r="O314">
        <f ca="1">IF(AND(ISNUMBER($O$756),$B$419=1),$O$756,HLOOKUP(INDIRECT(ADDRESS(2,COLUMN())),OFFSET($BN$2,0,0,ROW()-1,60),ROW()-1,FALSE))</f>
        <v>0.36234081099999998</v>
      </c>
      <c r="P314">
        <f ca="1">IF(AND(ISNUMBER($P$756),$B$419=1),$P$756,HLOOKUP(INDIRECT(ADDRESS(2,COLUMN())),OFFSET($BN$2,0,0,ROW()-1,60),ROW()-1,FALSE))</f>
        <v>0.414811135</v>
      </c>
      <c r="Q314">
        <f ca="1">IF(AND(ISNUMBER($Q$756),$B$419=1),$Q$756,HLOOKUP(INDIRECT(ADDRESS(2,COLUMN())),OFFSET($BN$2,0,0,ROW()-1,60),ROW()-1,FALSE))</f>
        <v>0.39814928700000002</v>
      </c>
      <c r="R314">
        <f ca="1">IF(AND(ISNUMBER($R$756),$B$419=1),$R$756,HLOOKUP(INDIRECT(ADDRESS(2,COLUMN())),OFFSET($BN$2,0,0,ROW()-1,60),ROW()-1,FALSE))</f>
        <v>0.32658418900000002</v>
      </c>
      <c r="S314">
        <f ca="1">IF(AND(ISNUMBER($S$756),$B$419=1),$S$756,HLOOKUP(INDIRECT(ADDRESS(2,COLUMN())),OFFSET($BN$2,0,0,ROW()-1,60),ROW()-1,FALSE))</f>
        <v>0.33751146599999998</v>
      </c>
      <c r="T314">
        <f ca="1">IF(AND(ISNUMBER($T$756),$B$419=1),$T$756,HLOOKUP(INDIRECT(ADDRESS(2,COLUMN())),OFFSET($BN$2,0,0,ROW()-1,60),ROW()-1,FALSE))</f>
        <v>0.43036627900000002</v>
      </c>
      <c r="U314">
        <f ca="1">IF(AND(ISNUMBER($U$756),$B$419=1),$U$756,HLOOKUP(INDIRECT(ADDRESS(2,COLUMN())),OFFSET($BN$2,0,0,ROW()-1,60),ROW()-1,FALSE))</f>
        <v>0.37608016300000002</v>
      </c>
      <c r="V314">
        <f ca="1">IF(AND(ISNUMBER($V$756),$B$419=1),$V$756,HLOOKUP(INDIRECT(ADDRESS(2,COLUMN())),OFFSET($BN$2,0,0,ROW()-1,60),ROW()-1,FALSE))</f>
        <v>0.38270492499999997</v>
      </c>
      <c r="W314">
        <f ca="1">IF(AND(ISNUMBER($W$756),$B$419=1),$W$756,HLOOKUP(INDIRECT(ADDRESS(2,COLUMN())),OFFSET($BN$2,0,0,ROW()-1,60),ROW()-1,FALSE))</f>
        <v>0.42480837700000001</v>
      </c>
      <c r="X314">
        <f ca="1">IF(AND(ISNUMBER($X$756),$B$419=1),$X$756,HLOOKUP(INDIRECT(ADDRESS(2,COLUMN())),OFFSET($BN$2,0,0,ROW()-1,60),ROW()-1,FALSE))</f>
        <v>0.39510714899999999</v>
      </c>
      <c r="Y314">
        <f ca="1">IF(AND(ISNUMBER($Y$756),$B$419=1),$Y$756,HLOOKUP(INDIRECT(ADDRESS(2,COLUMN())),OFFSET($BN$2,0,0,ROW()-1,60),ROW()-1,FALSE))</f>
        <v>0.43491601400000002</v>
      </c>
      <c r="Z314">
        <f ca="1">IF(AND(ISNUMBER($Z$756),$B$419=1),$Z$756,HLOOKUP(INDIRECT(ADDRESS(2,COLUMN())),OFFSET($BN$2,0,0,ROW()-1,60),ROW()-1,FALSE))</f>
        <v>0.34798379699999998</v>
      </c>
      <c r="AA314">
        <f ca="1">IF(AND(ISNUMBER($AA$756),$B$419=1),$AA$756,HLOOKUP(INDIRECT(ADDRESS(2,COLUMN())),OFFSET($BN$2,0,0,ROW()-1,60),ROW()-1,FALSE))</f>
        <v>0.46224746999999999</v>
      </c>
      <c r="AB314">
        <f ca="1">IF(AND(ISNUMBER($AB$756),$B$419=1),$AB$756,HLOOKUP(INDIRECT(ADDRESS(2,COLUMN())),OFFSET($BN$2,0,0,ROW()-1,60),ROW()-1,FALSE))</f>
        <v>0.46513760500000001</v>
      </c>
      <c r="AC314">
        <f ca="1">IF(AND(ISNUMBER($AC$756),$B$419=1),$AC$756,HLOOKUP(INDIRECT(ADDRESS(2,COLUMN())),OFFSET($BN$2,0,0,ROW()-1,60),ROW()-1,FALSE))</f>
        <v>0.45405644299999998</v>
      </c>
      <c r="AD314">
        <f ca="1">IF(AND(ISNUMBER($AD$756),$B$419=1),$AD$756,HLOOKUP(INDIRECT(ADDRESS(2,COLUMN())),OFFSET($BN$2,0,0,ROW()-1,60),ROW()-1,FALSE))</f>
        <v>0.452219078</v>
      </c>
      <c r="AE314">
        <f ca="1">IF(AND(ISNUMBER($AE$756),$B$419=1),$AE$756,HLOOKUP(INDIRECT(ADDRESS(2,COLUMN())),OFFSET($BN$2,0,0,ROW()-1,60),ROW()-1,FALSE))</f>
        <v>0.49572348300000002</v>
      </c>
      <c r="AF314">
        <f ca="1">IF(AND(ISNUMBER($AF$756),$B$419=1),$AF$756,HLOOKUP(INDIRECT(ADDRESS(2,COLUMN())),OFFSET($BN$2,0,0,ROW()-1,60),ROW()-1,FALSE))</f>
        <v>0.50290043200000001</v>
      </c>
      <c r="AG314">
        <f ca="1">IF(AND(ISNUMBER($AG$756),$B$419=1),$AG$756,HLOOKUP(INDIRECT(ADDRESS(2,COLUMN())),OFFSET($BN$2,0,0,ROW()-1,60),ROW()-1,FALSE))</f>
        <v>0.57336171800000002</v>
      </c>
      <c r="AH314">
        <f ca="1">IF(AND(ISNUMBER($AH$756),$B$419=1),$AH$756,HLOOKUP(INDIRECT(ADDRESS(2,COLUMN())),OFFSET($BN$2,0,0,ROW()-1,60),ROW()-1,FALSE))</f>
        <v>0.52921998100000001</v>
      </c>
      <c r="AI314">
        <f ca="1">IF(AND(ISNUMBER($AI$756),$B$419=1),$AI$756,HLOOKUP(INDIRECT(ADDRESS(2,COLUMN())),OFFSET($BN$2,0,0,ROW()-1,60),ROW()-1,FALSE))</f>
        <v>0.51245382799999994</v>
      </c>
      <c r="AJ314">
        <f ca="1">IF(AND(ISNUMBER($AJ$756),$B$419=1),$AJ$756,HLOOKUP(INDIRECT(ADDRESS(2,COLUMN())),OFFSET($BN$2,0,0,ROW()-1,60),ROW()-1,FALSE))</f>
        <v>0.48166737799999998</v>
      </c>
      <c r="AK314">
        <f ca="1">IF(AND(ISNUMBER($AK$756),$B$419=1),$AK$756,HLOOKUP(INDIRECT(ADDRESS(2,COLUMN())),OFFSET($BN$2,0,0,ROW()-1,60),ROW()-1,FALSE))</f>
        <v>0.55725953500000003</v>
      </c>
      <c r="AL314">
        <f ca="1">IF(AND(ISNUMBER($AL$756),$B$419=1),$AL$756,HLOOKUP(INDIRECT(ADDRESS(2,COLUMN())),OFFSET($BN$2,0,0,ROW()-1,60),ROW()-1,FALSE))</f>
        <v>0.52513510799999996</v>
      </c>
      <c r="AM314">
        <f ca="1">IF(AND(ISNUMBER($AM$756),$B$419=1),$AM$756,HLOOKUP(INDIRECT(ADDRESS(2,COLUMN())),OFFSET($BN$2,0,0,ROW()-1,60),ROW()-1,FALSE))</f>
        <v>0.56468846399999995</v>
      </c>
      <c r="AN314">
        <f ca="1">IF(AND(ISNUMBER($AN$756),$B$419=1),$AN$756,HLOOKUP(INDIRECT(ADDRESS(2,COLUMN())),OFFSET($BN$2,0,0,ROW()-1,60),ROW()-1,FALSE))</f>
        <v>0.56901592199999995</v>
      </c>
      <c r="AO314">
        <f ca="1">IF(AND(ISNUMBER($AO$756),$B$419=1),$AO$756,HLOOKUP(INDIRECT(ADDRESS(2,COLUMN())),OFFSET($BN$2,0,0,ROW()-1,60),ROW()-1,FALSE))</f>
        <v>0.72605691299999997</v>
      </c>
      <c r="AP314">
        <f ca="1">IF(AND(ISNUMBER($AP$756),$B$419=1),$AP$756,HLOOKUP(INDIRECT(ADDRESS(2,COLUMN())),OFFSET($BN$2,0,0,ROW()-1,60),ROW()-1,FALSE))</f>
        <v>0.80397888399999995</v>
      </c>
      <c r="AQ314">
        <f ca="1">IF(AND(ISNUMBER($AQ$756),$B$419=1),$AQ$756,HLOOKUP(INDIRECT(ADDRESS(2,COLUMN())),OFFSET($BN$2,0,0,ROW()-1,60),ROW()-1,FALSE))</f>
        <v>0.76260472400000001</v>
      </c>
      <c r="AR314">
        <f ca="1">IF(AND(ISNUMBER($AR$756),$B$419=1),$AR$756,HLOOKUP(INDIRECT(ADDRESS(2,COLUMN())),OFFSET($BN$2,0,0,ROW()-1,60),ROW()-1,FALSE))</f>
        <v>0.59234498899999999</v>
      </c>
      <c r="AS314">
        <f ca="1">IF(AND(ISNUMBER($AS$756),$B$419=1),$AS$756,HLOOKUP(INDIRECT(ADDRESS(2,COLUMN())),OFFSET($BN$2,0,0,ROW()-1,60),ROW()-1,FALSE))</f>
        <v>0.76809984200000003</v>
      </c>
      <c r="AT314">
        <f ca="1">IF(AND(ISNUMBER($AT$756),$B$419=1),$AT$756,HLOOKUP(INDIRECT(ADDRESS(2,COLUMN())),OFFSET($BN$2,0,0,ROW()-1,60),ROW()-1,FALSE))</f>
        <v>0.73500566499999997</v>
      </c>
      <c r="AU314">
        <f ca="1">IF(AND(ISNUMBER($AU$756),$B$419=1),$AU$756,HLOOKUP(INDIRECT(ADDRESS(2,COLUMN())),OFFSET($BN$2,0,0,ROW()-1,60),ROW()-1,FALSE))</f>
        <v>0.63068938200000002</v>
      </c>
      <c r="AV314">
        <f ca="1">IF(AND(ISNUMBER($AV$756),$B$419=1),$AV$756,HLOOKUP(INDIRECT(ADDRESS(2,COLUMN())),OFFSET($BN$2,0,0,ROW()-1,60),ROW()-1,FALSE))</f>
        <v>0.61580373300000002</v>
      </c>
      <c r="AW314">
        <f ca="1">IF(AND(ISNUMBER($AW$756),$B$419=1),$AW$756,HLOOKUP(INDIRECT(ADDRESS(2,COLUMN())),OFFSET($BN$2,0,0,ROW()-1,60),ROW()-1,FALSE))</f>
        <v>0.629701077</v>
      </c>
      <c r="AX314">
        <f ca="1">IF(AND(ISNUMBER($AX$756),$B$419=1),$AX$756,HLOOKUP(INDIRECT(ADDRESS(2,COLUMN())),OFFSET($BN$2,0,0,ROW()-1,60),ROW()-1,FALSE))</f>
        <v>0.45744405999999999</v>
      </c>
      <c r="AY314">
        <f ca="1">IF(AND(ISNUMBER($AY$756),$B$419=1),$AY$756,HLOOKUP(INDIRECT(ADDRESS(2,COLUMN())),OFFSET($BN$2,0,0,ROW()-1,60),ROW()-1,FALSE))</f>
        <v>0.57328907200000001</v>
      </c>
      <c r="AZ314">
        <f ca="1">IF(AND(ISNUMBER($AZ$756),$B$419=1),$AZ$756,HLOOKUP(INDIRECT(ADDRESS(2,COLUMN())),OFFSET($BN$2,0,0,ROW()-1,60),ROW()-1,FALSE))</f>
        <v>0.66078404899999998</v>
      </c>
      <c r="BA314">
        <f ca="1">IF(AND(ISNUMBER($BA$756),$B$419=1),$BA$756,HLOOKUP(INDIRECT(ADDRESS(2,COLUMN())),OFFSET($BN$2,0,0,ROW()-1,60),ROW()-1,FALSE))</f>
        <v>0.63088527100000003</v>
      </c>
      <c r="BB314">
        <f ca="1">IF(AND(ISNUMBER($BB$756),$B$419=1),$BB$756,HLOOKUP(INDIRECT(ADDRESS(2,COLUMN())),OFFSET($BN$2,0,0,ROW()-1,60),ROW()-1,FALSE))</f>
        <v>0.64700211399999996</v>
      </c>
      <c r="BC314">
        <f ca="1">IF(AND(ISNUMBER($BC$756),$B$419=1),$BC$756,HLOOKUP(INDIRECT(ADDRESS(2,COLUMN())),OFFSET($BN$2,0,0,ROW()-1,60),ROW()-1,FALSE))</f>
        <v>0.77977160099999998</v>
      </c>
      <c r="BD314">
        <f ca="1">IF(AND(ISNUMBER($BD$756),$B$419=1),$BD$756,HLOOKUP(INDIRECT(ADDRESS(2,COLUMN())),OFFSET($BN$2,0,0,ROW()-1,60),ROW()-1,FALSE))</f>
        <v>0.60006903300000003</v>
      </c>
      <c r="BE314">
        <f ca="1">IF(AND(ISNUMBER($BE$756),$B$419=1),$BE$756,HLOOKUP(INDIRECT(ADDRESS(2,COLUMN())),OFFSET($BN$2,0,0,ROW()-1,60),ROW()-1,FALSE))</f>
        <v>0.56517483899999998</v>
      </c>
      <c r="BF314">
        <f ca="1">IF(AND(ISNUMBER($BF$756),$B$419=1),$BF$756,HLOOKUP(INDIRECT(ADDRESS(2,COLUMN())),OFFSET($BN$2,0,0,ROW()-1,60),ROW()-1,FALSE))</f>
        <v>0.53152666299999995</v>
      </c>
      <c r="BG314">
        <f ca="1">IF(AND(ISNUMBER($BG$756),$B$419=1),$BG$756,HLOOKUP(INDIRECT(ADDRESS(2,COLUMN())),OFFSET($BN$2,0,0,ROW()-1,60),ROW()-1,FALSE))</f>
        <v>0.48967569599999999</v>
      </c>
      <c r="BH314">
        <f ca="1">IF(AND(ISNUMBER($BH$756),$B$419=1),$BH$756,HLOOKUP(INDIRECT(ADDRESS(2,COLUMN())),OFFSET($BN$2,0,0,ROW()-1,60),ROW()-1,FALSE))</f>
        <v>0.59059894099999999</v>
      </c>
      <c r="BI314">
        <f ca="1">IF(AND(ISNUMBER($BI$756),$B$419=1),$BI$756,HLOOKUP(INDIRECT(ADDRESS(2,COLUMN())),OFFSET($BN$2,0,0,ROW()-1,60),ROW()-1,FALSE))</f>
        <v>0.61302284799999995</v>
      </c>
      <c r="BJ314">
        <f ca="1">IF(AND(ISNUMBER($BJ$756),$B$419=1),$BJ$756,HLOOKUP(INDIRECT(ADDRESS(2,COLUMN())),OFFSET($BN$2,0,0,ROW()-1,60),ROW()-1,FALSE))</f>
        <v>0.49458946500000001</v>
      </c>
      <c r="BK314">
        <f ca="1">IF(AND(ISNUMBER($BK$756),$B$419=1),$BK$756,HLOOKUP(INDIRECT(ADDRESS(2,COLUMN())),OFFSET($BN$2,0,0,ROW()-1,60),ROW()-1,FALSE))</f>
        <v>0.56493004300000005</v>
      </c>
      <c r="BL314">
        <f ca="1">IF(AND(ISNUMBER($BL$756),$B$419=1),$BL$756,HLOOKUP(INDIRECT(ADDRESS(2,COLUMN())),OFFSET($BN$2,0,0,ROW()-1,60),ROW()-1,FALSE))</f>
        <v>0.59837103400000002</v>
      </c>
      <c r="BM314">
        <f ca="1">IF(AND(ISNUMBER($BM$756),$B$419=1),$BM$756,HLOOKUP(INDIRECT(ADDRESS(2,COLUMN())),OFFSET($BN$2,0,0,ROW()-1,60),ROW()-1,FALSE))</f>
        <v>0.63011692399999997</v>
      </c>
      <c r="BN314">
        <f>0.429781231</f>
        <v>0.42978123099999999</v>
      </c>
      <c r="BO314">
        <f>0.393440627</f>
        <v>0.39344062699999999</v>
      </c>
      <c r="BP314">
        <f>0.435714663</f>
        <v>0.435714663</v>
      </c>
      <c r="BQ314">
        <f>0.433655942</f>
        <v>0.43365594200000002</v>
      </c>
      <c r="BR314">
        <f>0.357224211</f>
        <v>0.35722421100000001</v>
      </c>
      <c r="BS314">
        <f>0.355486669</f>
        <v>0.35548666899999998</v>
      </c>
      <c r="BT314">
        <f>0.288313863</f>
        <v>0.288313863</v>
      </c>
      <c r="BU314">
        <f>0.284290032</f>
        <v>0.28429003200000003</v>
      </c>
      <c r="BV314">
        <f>0.29888925</f>
        <v>0.29888925</v>
      </c>
      <c r="BW314">
        <f>0.362340811</f>
        <v>0.36234081099999998</v>
      </c>
      <c r="BX314">
        <f>0.414811135</f>
        <v>0.414811135</v>
      </c>
      <c r="BY314">
        <f>0.398149287</f>
        <v>0.39814928700000002</v>
      </c>
      <c r="BZ314">
        <f>0.326584189</f>
        <v>0.32658418900000002</v>
      </c>
      <c r="CA314">
        <f>0.337511466</f>
        <v>0.33751146599999998</v>
      </c>
      <c r="CB314">
        <f>0.430366279</f>
        <v>0.43036627900000002</v>
      </c>
      <c r="CC314">
        <f>0.376080163</f>
        <v>0.37608016300000002</v>
      </c>
      <c r="CD314">
        <f>0.382704925</f>
        <v>0.38270492499999997</v>
      </c>
      <c r="CE314">
        <f>0.424808377</f>
        <v>0.42480837700000001</v>
      </c>
      <c r="CF314">
        <f>0.395107149</f>
        <v>0.39510714899999999</v>
      </c>
      <c r="CG314">
        <f>0.434916014</f>
        <v>0.43491601400000002</v>
      </c>
      <c r="CH314">
        <f>0.347983797</f>
        <v>0.34798379699999998</v>
      </c>
      <c r="CI314">
        <f>0.46224747</f>
        <v>0.46224746999999999</v>
      </c>
      <c r="CJ314">
        <f>0.465137605</f>
        <v>0.46513760500000001</v>
      </c>
      <c r="CK314">
        <f>0.454056443</f>
        <v>0.45405644299999998</v>
      </c>
      <c r="CL314">
        <f>0.452219078</f>
        <v>0.452219078</v>
      </c>
      <c r="CM314">
        <f>0.495723483</f>
        <v>0.49572348300000002</v>
      </c>
      <c r="CN314">
        <f>0.502900432</f>
        <v>0.50290043200000001</v>
      </c>
      <c r="CO314">
        <f>0.573361718</f>
        <v>0.57336171800000002</v>
      </c>
      <c r="CP314">
        <f>0.529219981</f>
        <v>0.52921998100000001</v>
      </c>
      <c r="CQ314">
        <f>0.512453828</f>
        <v>0.51245382799999994</v>
      </c>
      <c r="CR314">
        <f>0.481667378</f>
        <v>0.48166737799999998</v>
      </c>
      <c r="CS314">
        <f>0.557259535</f>
        <v>0.55725953500000003</v>
      </c>
      <c r="CT314">
        <f>0.525135108</f>
        <v>0.52513510799999996</v>
      </c>
      <c r="CU314">
        <f>0.564688464</f>
        <v>0.56468846399999995</v>
      </c>
      <c r="CV314">
        <f>0.569015922</f>
        <v>0.56901592199999995</v>
      </c>
      <c r="CW314">
        <f>0.726056913</f>
        <v>0.72605691299999997</v>
      </c>
      <c r="CX314">
        <f>0.803978884</f>
        <v>0.80397888399999995</v>
      </c>
      <c r="CY314">
        <f>0.762604724</f>
        <v>0.76260472400000001</v>
      </c>
      <c r="CZ314">
        <f>0.592344989</f>
        <v>0.59234498899999999</v>
      </c>
      <c r="DA314">
        <f>0.768099842</f>
        <v>0.76809984200000003</v>
      </c>
      <c r="DB314">
        <f>0.735005665</f>
        <v>0.73500566499999997</v>
      </c>
      <c r="DC314">
        <f>0.630689382</f>
        <v>0.63068938200000002</v>
      </c>
      <c r="DD314">
        <f>0.615803733</f>
        <v>0.61580373300000002</v>
      </c>
      <c r="DE314">
        <f>0.629701077</f>
        <v>0.629701077</v>
      </c>
      <c r="DF314">
        <f>0.45744406</f>
        <v>0.45744405999999999</v>
      </c>
      <c r="DG314">
        <f>0.573289072</f>
        <v>0.57328907200000001</v>
      </c>
      <c r="DH314">
        <f>0.660784049</f>
        <v>0.66078404899999998</v>
      </c>
      <c r="DI314">
        <f>0.630885271</f>
        <v>0.63088527100000003</v>
      </c>
      <c r="DJ314">
        <f>0.647002114</f>
        <v>0.64700211399999996</v>
      </c>
      <c r="DK314">
        <f>0.779771601</f>
        <v>0.77977160099999998</v>
      </c>
      <c r="DL314">
        <f>0.600069033</f>
        <v>0.60006903300000003</v>
      </c>
      <c r="DM314">
        <f>0.565174839</f>
        <v>0.56517483899999998</v>
      </c>
      <c r="DN314">
        <f>0.531526663</f>
        <v>0.53152666299999995</v>
      </c>
      <c r="DO314">
        <f>0.489675696</f>
        <v>0.48967569599999999</v>
      </c>
      <c r="DP314">
        <f>0.590598941</f>
        <v>0.59059894099999999</v>
      </c>
      <c r="DQ314">
        <f>0.613022848</f>
        <v>0.61302284799999995</v>
      </c>
      <c r="DR314">
        <f>0.494589465</f>
        <v>0.49458946500000001</v>
      </c>
      <c r="DS314">
        <f>0.564930043</f>
        <v>0.56493004300000005</v>
      </c>
      <c r="DT314">
        <f>0.598371034</f>
        <v>0.59837103400000002</v>
      </c>
      <c r="DU314">
        <f>0.630116924</f>
        <v>0.63011692399999997</v>
      </c>
    </row>
    <row r="315" spans="1:125">
      <c r="A315" t="str">
        <f>"    Realty Income Corp"</f>
        <v xml:space="preserve">    Realty Income Corp</v>
      </c>
      <c r="B315" t="str">
        <f>"O US Equity"</f>
        <v>O US Equity</v>
      </c>
      <c r="C315" t="str">
        <f t="shared" si="57"/>
        <v>RR263</v>
      </c>
      <c r="D315" t="str">
        <f t="shared" si="58"/>
        <v>DEBT_TO_MKT_CAP</v>
      </c>
      <c r="E315" t="str">
        <f t="shared" si="59"/>
        <v>动态</v>
      </c>
      <c r="F315">
        <f ca="1">IF(AND(ISNUMBER($F$757),$B$419=1),$F$757,HLOOKUP(INDIRECT(ADDRESS(2,COLUMN())),OFFSET($BN$2,0,0,ROW()-1,60),ROW()-1,FALSE))</f>
        <v>0.417894606</v>
      </c>
      <c r="G315">
        <f ca="1">IF(AND(ISNUMBER($G$757),$B$419=1),$G$757,HLOOKUP(INDIRECT(ADDRESS(2,COLUMN())),OFFSET($BN$2,0,0,ROW()-1,60),ROW()-1,FALSE))</f>
        <v>0.38036455000000002</v>
      </c>
      <c r="H315">
        <f ca="1">IF(AND(ISNUMBER($H$757),$B$419=1),$H$757,HLOOKUP(INDIRECT(ADDRESS(2,COLUMN())),OFFSET($BN$2,0,0,ROW()-1,60),ROW()-1,FALSE))</f>
        <v>0.382028117</v>
      </c>
      <c r="I315">
        <f ca="1">IF(AND(ISNUMBER($I$757),$B$419=1),$I$757,HLOOKUP(INDIRECT(ADDRESS(2,COLUMN())),OFFSET($BN$2,0,0,ROW()-1,60),ROW()-1,FALSE))</f>
        <v>0.39741718500000001</v>
      </c>
      <c r="J315">
        <f ca="1">IF(AND(ISNUMBER($J$757),$B$419=1),$J$757,HLOOKUP(INDIRECT(ADDRESS(2,COLUMN())),OFFSET($BN$2,0,0,ROW()-1,60),ROW()-1,FALSE))</f>
        <v>0.33605873000000003</v>
      </c>
      <c r="K315">
        <f ca="1">IF(AND(ISNUMBER($K$757),$B$419=1),$K$757,HLOOKUP(INDIRECT(ADDRESS(2,COLUMN())),OFFSET($BN$2,0,0,ROW()-1,60),ROW()-1,FALSE))</f>
        <v>0.39286153899999998</v>
      </c>
      <c r="L315">
        <f ca="1">IF(AND(ISNUMBER($L$757),$B$419=1),$L$757,HLOOKUP(INDIRECT(ADDRESS(2,COLUMN())),OFFSET($BN$2,0,0,ROW()-1,60),ROW()-1,FALSE))</f>
        <v>0.303402434</v>
      </c>
      <c r="M315">
        <f ca="1">IF(AND(ISNUMBER($M$757),$B$419=1),$M$757,HLOOKUP(INDIRECT(ADDRESS(2,COLUMN())),OFFSET($BN$2,0,0,ROW()-1,60),ROW()-1,FALSE))</f>
        <v>0.27687749499999997</v>
      </c>
      <c r="N315">
        <f ca="1">IF(AND(ISNUMBER($N$757),$B$419=1),$N$757,HLOOKUP(INDIRECT(ADDRESS(2,COLUMN())),OFFSET($BN$2,0,0,ROW()-1,60),ROW()-1,FALSE))</f>
        <v>0.32597218100000003</v>
      </c>
      <c r="O315">
        <f ca="1">IF(AND(ISNUMBER($O$757),$B$419=1),$O$757,HLOOKUP(INDIRECT(ADDRESS(2,COLUMN())),OFFSET($BN$2,0,0,ROW()-1,60),ROW()-1,FALSE))</f>
        <v>0.37393179999999998</v>
      </c>
      <c r="P315">
        <f ca="1">IF(AND(ISNUMBER($P$757),$B$419=1),$P$757,HLOOKUP(INDIRECT(ADDRESS(2,COLUMN())),OFFSET($BN$2,0,0,ROW()-1,60),ROW()-1,FALSE))</f>
        <v>0.47181860799999997</v>
      </c>
      <c r="Q315">
        <f ca="1">IF(AND(ISNUMBER($Q$757),$B$419=1),$Q$757,HLOOKUP(INDIRECT(ADDRESS(2,COLUMN())),OFFSET($BN$2,0,0,ROW()-1,60),ROW()-1,FALSE))</f>
        <v>0.51398158999999999</v>
      </c>
      <c r="R315">
        <f ca="1">IF(AND(ISNUMBER($R$757),$B$419=1),$R$757,HLOOKUP(INDIRECT(ADDRESS(2,COLUMN())),OFFSET($BN$2,0,0,ROW()-1,60),ROW()-1,FALSE))</f>
        <v>0.428960114</v>
      </c>
      <c r="S315">
        <f ca="1">IF(AND(ISNUMBER($S$757),$B$419=1),$S$757,HLOOKUP(INDIRECT(ADDRESS(2,COLUMN())),OFFSET($BN$2,0,0,ROW()-1,60),ROW()-1,FALSE))</f>
        <v>0.46411714100000001</v>
      </c>
      <c r="T315">
        <f ca="1">IF(AND(ISNUMBER($T$757),$B$419=1),$T$757,HLOOKUP(INDIRECT(ADDRESS(2,COLUMN())),OFFSET($BN$2,0,0,ROW()-1,60),ROW()-1,FALSE))</f>
        <v>0.52440305600000003</v>
      </c>
      <c r="U315">
        <f ca="1">IF(AND(ISNUMBER($U$757),$B$419=1),$U$757,HLOOKUP(INDIRECT(ADDRESS(2,COLUMN())),OFFSET($BN$2,0,0,ROW()-1,60),ROW()-1,FALSE))</f>
        <v>0.46695831500000001</v>
      </c>
      <c r="V315">
        <f ca="1">IF(AND(ISNUMBER($V$757),$B$419=1),$V$757,HLOOKUP(INDIRECT(ADDRESS(2,COLUMN())),OFFSET($BN$2,0,0,ROW()-1,60),ROW()-1,FALSE))</f>
        <v>0.53253895299999998</v>
      </c>
      <c r="W315">
        <f ca="1">IF(AND(ISNUMBER($W$757),$B$419=1),$W$757,HLOOKUP(INDIRECT(ADDRESS(2,COLUMN())),OFFSET($BN$2,0,0,ROW()-1,60),ROW()-1,FALSE))</f>
        <v>0.54153206600000003</v>
      </c>
      <c r="X315">
        <f ca="1">IF(AND(ISNUMBER($X$757),$B$419=1),$X$757,HLOOKUP(INDIRECT(ADDRESS(2,COLUMN())),OFFSET($BN$2,0,0,ROW()-1,60),ROW()-1,FALSE))</f>
        <v>0.58343726100000004</v>
      </c>
      <c r="Y315">
        <f ca="1">IF(AND(ISNUMBER($Y$757),$B$419=1),$Y$757,HLOOKUP(INDIRECT(ADDRESS(2,COLUMN())),OFFSET($BN$2,0,0,ROW()-1,60),ROW()-1,FALSE))</f>
        <v>0.49224760000000001</v>
      </c>
      <c r="Z315">
        <f ca="1">IF(AND(ISNUMBER($Z$757),$B$419=1),$Z$757,HLOOKUP(INDIRECT(ADDRESS(2,COLUMN())),OFFSET($BN$2,0,0,ROW()-1,60),ROW()-1,FALSE))</f>
        <v>0.38225108000000002</v>
      </c>
      <c r="AA315">
        <f ca="1">IF(AND(ISNUMBER($AA$757),$B$419=1),$AA$757,HLOOKUP(INDIRECT(ADDRESS(2,COLUMN())),OFFSET($BN$2,0,0,ROW()-1,60),ROW()-1,FALSE))</f>
        <v>0.53481121499999995</v>
      </c>
      <c r="AB315">
        <f ca="1">IF(AND(ISNUMBER($AB$757),$B$419=1),$AB$757,HLOOKUP(INDIRECT(ADDRESS(2,COLUMN())),OFFSET($BN$2,0,0,ROW()-1,60),ROW()-1,FALSE))</f>
        <v>0.45677447300000001</v>
      </c>
      <c r="AC315">
        <f ca="1">IF(AND(ISNUMBER($AC$757),$B$419=1),$AC$757,HLOOKUP(INDIRECT(ADDRESS(2,COLUMN())),OFFSET($BN$2,0,0,ROW()-1,60),ROW()-1,FALSE))</f>
        <v>0.35716045800000001</v>
      </c>
      <c r="AD315">
        <f ca="1">IF(AND(ISNUMBER($AD$757),$B$419=1),$AD$757,HLOOKUP(INDIRECT(ADDRESS(2,COLUMN())),OFFSET($BN$2,0,0,ROW()-1,60),ROW()-1,FALSE))</f>
        <v>0.35808705000000002</v>
      </c>
      <c r="AE315">
        <f ca="1">IF(AND(ISNUMBER($AE$757),$B$419=1),$AE$757,HLOOKUP(INDIRECT(ADDRESS(2,COLUMN())),OFFSET($BN$2,0,0,ROW()-1,60),ROW()-1,FALSE))</f>
        <v>0.44132195400000002</v>
      </c>
      <c r="AF315">
        <f ca="1">IF(AND(ISNUMBER($AF$757),$B$419=1),$AF$757,HLOOKUP(INDIRECT(ADDRESS(2,COLUMN())),OFFSET($BN$2,0,0,ROW()-1,60),ROW()-1,FALSE))</f>
        <v>0.446605639</v>
      </c>
      <c r="AG315">
        <f ca="1">IF(AND(ISNUMBER($AG$757),$B$419=1),$AG$757,HLOOKUP(INDIRECT(ADDRESS(2,COLUMN())),OFFSET($BN$2,0,0,ROW()-1,60),ROW()-1,FALSE))</f>
        <v>0.42604128699999999</v>
      </c>
      <c r="AH315">
        <f ca="1">IF(AND(ISNUMBER($AH$757),$B$419=1),$AH$757,HLOOKUP(INDIRECT(ADDRESS(2,COLUMN())),OFFSET($BN$2,0,0,ROW()-1,60),ROW()-1,FALSE))</f>
        <v>0.36419594900000002</v>
      </c>
      <c r="AI315">
        <f ca="1">IF(AND(ISNUMBER($AI$757),$B$419=1),$AI$757,HLOOKUP(INDIRECT(ADDRESS(2,COLUMN())),OFFSET($BN$2,0,0,ROW()-1,60),ROW()-1,FALSE))</f>
        <v>0.399529154</v>
      </c>
      <c r="AJ315">
        <f ca="1">IF(AND(ISNUMBER($AJ$757),$B$419=1),$AJ$757,HLOOKUP(INDIRECT(ADDRESS(2,COLUMN())),OFFSET($BN$2,0,0,ROW()-1,60),ROW()-1,FALSE))</f>
        <v>0.42864072199999997</v>
      </c>
      <c r="AK315">
        <f ca="1">IF(AND(ISNUMBER($AK$757),$B$419=1),$AK$757,HLOOKUP(INDIRECT(ADDRESS(2,COLUMN())),OFFSET($BN$2,0,0,ROW()-1,60),ROW()-1,FALSE))</f>
        <v>0.51341504500000001</v>
      </c>
      <c r="AL315">
        <f ca="1">IF(AND(ISNUMBER($AL$757),$B$419=1),$AL$757,HLOOKUP(INDIRECT(ADDRESS(2,COLUMN())),OFFSET($BN$2,0,0,ROW()-1,60),ROW()-1,FALSE))</f>
        <v>0.43379328900000003</v>
      </c>
      <c r="AM315">
        <f ca="1">IF(AND(ISNUMBER($AM$757),$B$419=1),$AM$757,HLOOKUP(INDIRECT(ADDRESS(2,COLUMN())),OFFSET($BN$2,0,0,ROW()-1,60),ROW()-1,FALSE))</f>
        <v>0.50132109899999999</v>
      </c>
      <c r="AN315">
        <f ca="1">IF(AND(ISNUMBER($AN$757),$B$419=1),$AN$757,HLOOKUP(INDIRECT(ADDRESS(2,COLUMN())),OFFSET($BN$2,0,0,ROW()-1,60),ROW()-1,FALSE))</f>
        <v>0.50470628100000003</v>
      </c>
      <c r="AO315">
        <f ca="1">IF(AND(ISNUMBER($AO$757),$B$419=1),$AO$757,HLOOKUP(INDIRECT(ADDRESS(2,COLUMN())),OFFSET($BN$2,0,0,ROW()-1,60),ROW()-1,FALSE))</f>
        <v>0.59037694500000004</v>
      </c>
      <c r="AP315">
        <f ca="1">IF(AND(ISNUMBER($AP$757),$B$419=1),$AP$757,HLOOKUP(INDIRECT(ADDRESS(2,COLUMN())),OFFSET($BN$2,0,0,ROW()-1,60),ROW()-1,FALSE))</f>
        <v>0.68762288199999999</v>
      </c>
      <c r="AQ315">
        <f ca="1">IF(AND(ISNUMBER($AQ$757),$B$419=1),$AQ$757,HLOOKUP(INDIRECT(ADDRESS(2,COLUMN())),OFFSET($BN$2,0,0,ROW()-1,60),ROW()-1,FALSE))</f>
        <v>0.56756829200000003</v>
      </c>
      <c r="AR315">
        <f ca="1">IF(AND(ISNUMBER($AR$757),$B$419=1),$AR$757,HLOOKUP(INDIRECT(ADDRESS(2,COLUMN())),OFFSET($BN$2,0,0,ROW()-1,60),ROW()-1,FALSE))</f>
        <v>0.55191372500000002</v>
      </c>
      <c r="AS315">
        <f ca="1">IF(AND(ISNUMBER($AS$757),$B$419=1),$AS$757,HLOOKUP(INDIRECT(ADDRESS(2,COLUMN())),OFFSET($BN$2,0,0,ROW()-1,60),ROW()-1,FALSE))</f>
        <v>0.63759899399999997</v>
      </c>
      <c r="AT315">
        <f ca="1">IF(AND(ISNUMBER($AT$757),$B$419=1),$AT$757,HLOOKUP(INDIRECT(ADDRESS(2,COLUMN())),OFFSET($BN$2,0,0,ROW()-1,60),ROW()-1,FALSE))</f>
        <v>0.56648436199999996</v>
      </c>
      <c r="AU315">
        <f ca="1">IF(AND(ISNUMBER($AU$757),$B$419=1),$AU$757,HLOOKUP(INDIRECT(ADDRESS(2,COLUMN())),OFFSET($BN$2,0,0,ROW()-1,60),ROW()-1,FALSE))</f>
        <v>0.53826586899999995</v>
      </c>
      <c r="AV315">
        <f ca="1">IF(AND(ISNUMBER($AV$757),$B$419=1),$AV$757,HLOOKUP(INDIRECT(ADDRESS(2,COLUMN())),OFFSET($BN$2,0,0,ROW()-1,60),ROW()-1,FALSE))</f>
        <v>0.52036091500000003</v>
      </c>
      <c r="AW315">
        <f ca="1">IF(AND(ISNUMBER($AW$757),$B$419=1),$AW$757,HLOOKUP(INDIRECT(ADDRESS(2,COLUMN())),OFFSET($BN$2,0,0,ROW()-1,60),ROW()-1,FALSE))</f>
        <v>0.36544899199999997</v>
      </c>
      <c r="AX315">
        <f ca="1">IF(AND(ISNUMBER($AX$757),$B$419=1),$AX$757,HLOOKUP(INDIRECT(ADDRESS(2,COLUMN())),OFFSET($BN$2,0,0,ROW()-1,60),ROW()-1,FALSE))</f>
        <v>0.33907155700000002</v>
      </c>
      <c r="AY315">
        <f ca="1">IF(AND(ISNUMBER($AY$757),$B$419=1),$AY$757,HLOOKUP(INDIRECT(ADDRESS(2,COLUMN())),OFFSET($BN$2,0,0,ROW()-1,60),ROW()-1,FALSE))</f>
        <v>0.332647568</v>
      </c>
      <c r="AZ315">
        <f ca="1">IF(AND(ISNUMBER($AZ$757),$B$419=1),$AZ$757,HLOOKUP(INDIRECT(ADDRESS(2,COLUMN())),OFFSET($BN$2,0,0,ROW()-1,60),ROW()-1,FALSE))</f>
        <v>0.39935523499999998</v>
      </c>
      <c r="BA315">
        <f ca="1">IF(AND(ISNUMBER($BA$757),$B$419=1),$BA$757,HLOOKUP(INDIRECT(ADDRESS(2,COLUMN())),OFFSET($BN$2,0,0,ROW()-1,60),ROW()-1,FALSE))</f>
        <v>0.43304234400000002</v>
      </c>
      <c r="BB315">
        <f ca="1">IF(AND(ISNUMBER($BB$757),$B$419=1),$BB$757,HLOOKUP(INDIRECT(ADDRESS(2,COLUMN())),OFFSET($BN$2,0,0,ROW()-1,60),ROW()-1,FALSE))</f>
        <v>0.36810542400000001</v>
      </c>
      <c r="BC315">
        <f ca="1">IF(AND(ISNUMBER($BC$757),$B$419=1),$BC$757,HLOOKUP(INDIRECT(ADDRESS(2,COLUMN())),OFFSET($BN$2,0,0,ROW()-1,60),ROW()-1,FALSE))</f>
        <v>0.492800126</v>
      </c>
      <c r="BD315">
        <f ca="1">IF(AND(ISNUMBER($BD$757),$B$419=1),$BD$757,HLOOKUP(INDIRECT(ADDRESS(2,COLUMN())),OFFSET($BN$2,0,0,ROW()-1,60),ROW()-1,FALSE))</f>
        <v>0.38494677799999999</v>
      </c>
      <c r="BE315">
        <f ca="1">IF(AND(ISNUMBER($BE$757),$B$419=1),$BE$757,HLOOKUP(INDIRECT(ADDRESS(2,COLUMN())),OFFSET($BN$2,0,0,ROW()-1,60),ROW()-1,FALSE))</f>
        <v>0.31855501200000003</v>
      </c>
      <c r="BF315">
        <f ca="1">IF(AND(ISNUMBER($BF$757),$B$419=1),$BF$757,HLOOKUP(INDIRECT(ADDRESS(2,COLUMN())),OFFSET($BN$2,0,0,ROW()-1,60),ROW()-1,FALSE))</f>
        <v>0.32137060699999997</v>
      </c>
      <c r="BG315">
        <f ca="1">IF(AND(ISNUMBER($BG$757),$B$419=1),$BG$757,HLOOKUP(INDIRECT(ADDRESS(2,COLUMN())),OFFSET($BN$2,0,0,ROW()-1,60),ROW()-1,FALSE))</f>
        <v>0.25110539399999998</v>
      </c>
      <c r="BH315">
        <f ca="1">IF(AND(ISNUMBER($BH$757),$B$419=1),$BH$757,HLOOKUP(INDIRECT(ADDRESS(2,COLUMN())),OFFSET($BN$2,0,0,ROW()-1,60),ROW()-1,FALSE))</f>
        <v>0.29328002199999997</v>
      </c>
      <c r="BI315">
        <f ca="1">IF(AND(ISNUMBER($BI$757),$B$419=1),$BI$757,HLOOKUP(INDIRECT(ADDRESS(2,COLUMN())),OFFSET($BN$2,0,0,ROW()-1,60),ROW()-1,FALSE))</f>
        <v>0.290368601</v>
      </c>
      <c r="BJ315">
        <f ca="1">IF(AND(ISNUMBER($BJ$757),$B$419=1),$BJ$757,HLOOKUP(INDIRECT(ADDRESS(2,COLUMN())),OFFSET($BN$2,0,0,ROW()-1,60),ROW()-1,FALSE))</f>
        <v>0.29017744299999998</v>
      </c>
      <c r="BK315">
        <f ca="1">IF(AND(ISNUMBER($BK$757),$B$419=1),$BK$757,HLOOKUP(INDIRECT(ADDRESS(2,COLUMN())),OFFSET($BN$2,0,0,ROW()-1,60),ROW()-1,FALSE))</f>
        <v>0.333954099</v>
      </c>
      <c r="BL315">
        <f ca="1">IF(AND(ISNUMBER($BL$757),$B$419=1),$BL$757,HLOOKUP(INDIRECT(ADDRESS(2,COLUMN())),OFFSET($BN$2,0,0,ROW()-1,60),ROW()-1,FALSE))</f>
        <v>0.30626254200000003</v>
      </c>
      <c r="BM315">
        <f ca="1">IF(AND(ISNUMBER($BM$757),$B$419=1),$BM$757,HLOOKUP(INDIRECT(ADDRESS(2,COLUMN())),OFFSET($BN$2,0,0,ROW()-1,60),ROW()-1,FALSE))</f>
        <v>0.286585698</v>
      </c>
      <c r="BN315">
        <f>0.417894606</f>
        <v>0.417894606</v>
      </c>
      <c r="BO315">
        <f>0.38036455</f>
        <v>0.38036455000000002</v>
      </c>
      <c r="BP315">
        <f>0.382028117</f>
        <v>0.382028117</v>
      </c>
      <c r="BQ315">
        <f>0.397417185</f>
        <v>0.39741718500000001</v>
      </c>
      <c r="BR315">
        <f>0.33605873</f>
        <v>0.33605873000000003</v>
      </c>
      <c r="BS315">
        <f>0.392861539</f>
        <v>0.39286153899999998</v>
      </c>
      <c r="BT315">
        <f>0.303402434</f>
        <v>0.303402434</v>
      </c>
      <c r="BU315">
        <f>0.276877495</f>
        <v>0.27687749499999997</v>
      </c>
      <c r="BV315">
        <f>0.325972181</f>
        <v>0.32597218100000003</v>
      </c>
      <c r="BW315">
        <f>0.3739318</f>
        <v>0.37393179999999998</v>
      </c>
      <c r="BX315">
        <f>0.471818608</f>
        <v>0.47181860799999997</v>
      </c>
      <c r="BY315">
        <f>0.51398159</f>
        <v>0.51398158999999999</v>
      </c>
      <c r="BZ315">
        <f>0.428960114</f>
        <v>0.428960114</v>
      </c>
      <c r="CA315">
        <f>0.464117141</f>
        <v>0.46411714100000001</v>
      </c>
      <c r="CB315">
        <f>0.524403056</f>
        <v>0.52440305600000003</v>
      </c>
      <c r="CC315">
        <f>0.466958315</f>
        <v>0.46695831500000001</v>
      </c>
      <c r="CD315">
        <f>0.532538953</f>
        <v>0.53253895299999998</v>
      </c>
      <c r="CE315">
        <f>0.541532066</f>
        <v>0.54153206600000003</v>
      </c>
      <c r="CF315">
        <f>0.583437261</f>
        <v>0.58343726100000004</v>
      </c>
      <c r="CG315">
        <f>0.4922476</f>
        <v>0.49224760000000001</v>
      </c>
      <c r="CH315">
        <f>0.38225108</f>
        <v>0.38225108000000002</v>
      </c>
      <c r="CI315">
        <f>0.534811215</f>
        <v>0.53481121499999995</v>
      </c>
      <c r="CJ315">
        <f>0.456774473</f>
        <v>0.45677447300000001</v>
      </c>
      <c r="CK315">
        <f>0.357160458</f>
        <v>0.35716045800000001</v>
      </c>
      <c r="CL315">
        <f>0.35808705</f>
        <v>0.35808705000000002</v>
      </c>
      <c r="CM315">
        <f>0.441321954</f>
        <v>0.44132195400000002</v>
      </c>
      <c r="CN315">
        <f>0.446605639</f>
        <v>0.446605639</v>
      </c>
      <c r="CO315">
        <f>0.426041287</f>
        <v>0.42604128699999999</v>
      </c>
      <c r="CP315">
        <f>0.364195949</f>
        <v>0.36419594900000002</v>
      </c>
      <c r="CQ315">
        <f>0.399529154</f>
        <v>0.399529154</v>
      </c>
      <c r="CR315">
        <f>0.428640722</f>
        <v>0.42864072199999997</v>
      </c>
      <c r="CS315">
        <f>0.513415045</f>
        <v>0.51341504500000001</v>
      </c>
      <c r="CT315">
        <f>0.433793289</f>
        <v>0.43379328900000003</v>
      </c>
      <c r="CU315">
        <f>0.501321099</f>
        <v>0.50132109899999999</v>
      </c>
      <c r="CV315">
        <f>0.504706281</f>
        <v>0.50470628100000003</v>
      </c>
      <c r="CW315">
        <f>0.590376945</f>
        <v>0.59037694500000004</v>
      </c>
      <c r="CX315">
        <f>0.687622882</f>
        <v>0.68762288199999999</v>
      </c>
      <c r="CY315">
        <f>0.567568292</f>
        <v>0.56756829200000003</v>
      </c>
      <c r="CZ315">
        <f>0.551913725</f>
        <v>0.55191372500000002</v>
      </c>
      <c r="DA315">
        <f>0.637598994</f>
        <v>0.63759899399999997</v>
      </c>
      <c r="DB315">
        <f>0.566484362</f>
        <v>0.56648436199999996</v>
      </c>
      <c r="DC315">
        <f>0.538265869</f>
        <v>0.53826586899999995</v>
      </c>
      <c r="DD315">
        <f>0.520360915</f>
        <v>0.52036091500000003</v>
      </c>
      <c r="DE315">
        <f>0.365448992</f>
        <v>0.36544899199999997</v>
      </c>
      <c r="DF315">
        <f>0.339071557</f>
        <v>0.33907155700000002</v>
      </c>
      <c r="DG315">
        <f>0.332647568</f>
        <v>0.332647568</v>
      </c>
      <c r="DH315">
        <f>0.399355235</f>
        <v>0.39935523499999998</v>
      </c>
      <c r="DI315">
        <f>0.433042344</f>
        <v>0.43304234400000002</v>
      </c>
      <c r="DJ315">
        <f>0.368105424</f>
        <v>0.36810542400000001</v>
      </c>
      <c r="DK315">
        <f>0.492800126</f>
        <v>0.492800126</v>
      </c>
      <c r="DL315">
        <f>0.384946778</f>
        <v>0.38494677799999999</v>
      </c>
      <c r="DM315">
        <f>0.318555012</f>
        <v>0.31855501200000003</v>
      </c>
      <c r="DN315">
        <f>0.321370607</f>
        <v>0.32137060699999997</v>
      </c>
      <c r="DO315">
        <f>0.251105394</f>
        <v>0.25110539399999998</v>
      </c>
      <c r="DP315">
        <f>0.293280022</f>
        <v>0.29328002199999997</v>
      </c>
      <c r="DQ315">
        <f>0.290368601</f>
        <v>0.290368601</v>
      </c>
      <c r="DR315">
        <f>0.290177443</f>
        <v>0.29017744299999998</v>
      </c>
      <c r="DS315">
        <f>0.333954099</f>
        <v>0.333954099</v>
      </c>
      <c r="DT315">
        <f>0.306262542</f>
        <v>0.30626254200000003</v>
      </c>
      <c r="DU315">
        <f>0.286585698</f>
        <v>0.286585698</v>
      </c>
    </row>
    <row r="316" spans="1:125">
      <c r="A316" t="str">
        <f>"    Regency Centers Corp"</f>
        <v xml:space="preserve">    Regency Centers Corp</v>
      </c>
      <c r="B316" t="str">
        <f>"REG US Equity"</f>
        <v>REG US Equity</v>
      </c>
      <c r="C316" t="str">
        <f t="shared" si="57"/>
        <v>RR263</v>
      </c>
      <c r="D316" t="str">
        <f t="shared" si="58"/>
        <v>DEBT_TO_MKT_CAP</v>
      </c>
      <c r="E316" t="str">
        <f t="shared" si="59"/>
        <v>动态</v>
      </c>
      <c r="F316">
        <f ca="1">IF(AND(ISNUMBER($F$758),$B$419=1),$F$758,HLOOKUP(INDIRECT(ADDRESS(2,COLUMN())),OFFSET($BN$2,0,0,ROW()-1,60),ROW()-1,FALSE))</f>
        <v>0.357449289</v>
      </c>
      <c r="G316">
        <f ca="1">IF(AND(ISNUMBER($G$758),$B$419=1),$G$758,HLOOKUP(INDIRECT(ADDRESS(2,COLUMN())),OFFSET($BN$2,0,0,ROW()-1,60),ROW()-1,FALSE))</f>
        <v>0.30518378600000001</v>
      </c>
      <c r="H316">
        <f ca="1">IF(AND(ISNUMBER($H$758),$B$419=1),$H$758,HLOOKUP(INDIRECT(ADDRESS(2,COLUMN())),OFFSET($BN$2,0,0,ROW()-1,60),ROW()-1,FALSE))</f>
        <v>0.33342270299999999</v>
      </c>
      <c r="I316">
        <f ca="1">IF(AND(ISNUMBER($I$758),$B$419=1),$I$758,HLOOKUP(INDIRECT(ADDRESS(2,COLUMN())),OFFSET($BN$2,0,0,ROW()-1,60),ROW()-1,FALSE))</f>
        <v>0.32895828500000002</v>
      </c>
      <c r="J316">
        <f ca="1">IF(AND(ISNUMBER($J$758),$B$419=1),$J$758,HLOOKUP(INDIRECT(ADDRESS(2,COLUMN())),OFFSET($BN$2,0,0,ROW()-1,60),ROW()-1,FALSE))</f>
        <v>0.30188437499999998</v>
      </c>
      <c r="K316">
        <f ca="1">IF(AND(ISNUMBER($K$758),$B$419=1),$K$758,HLOOKUP(INDIRECT(ADDRESS(2,COLUMN())),OFFSET($BN$2,0,0,ROW()-1,60),ROW()-1,FALSE))</f>
        <v>0.227600356</v>
      </c>
      <c r="L316">
        <f ca="1">IF(AND(ISNUMBER($L$758),$B$419=1),$L$758,HLOOKUP(INDIRECT(ADDRESS(2,COLUMN())),OFFSET($BN$2,0,0,ROW()-1,60),ROW()-1,FALSE))</f>
        <v>0.20069948000000001</v>
      </c>
      <c r="M316">
        <f ca="1">IF(AND(ISNUMBER($M$758),$B$419=1),$M$758,HLOOKUP(INDIRECT(ADDRESS(2,COLUMN())),OFFSET($BN$2,0,0,ROW()-1,60),ROW()-1,FALSE))</f>
        <v>0.23786528700000001</v>
      </c>
      <c r="N316">
        <f ca="1">IF(AND(ISNUMBER($N$758),$B$419=1),$N$758,HLOOKUP(INDIRECT(ADDRESS(2,COLUMN())),OFFSET($BN$2,0,0,ROW()-1,60),ROW()-1,FALSE))</f>
        <v>0.25077357</v>
      </c>
      <c r="O316">
        <f ca="1">IF(AND(ISNUMBER($O$758),$B$419=1),$O$758,HLOOKUP(INDIRECT(ADDRESS(2,COLUMN())),OFFSET($BN$2,0,0,ROW()-1,60),ROW()-1,FALSE))</f>
        <v>0.29013285599999999</v>
      </c>
      <c r="P316">
        <f ca="1">IF(AND(ISNUMBER($P$758),$B$419=1),$P$758,HLOOKUP(INDIRECT(ADDRESS(2,COLUMN())),OFFSET($BN$2,0,0,ROW()-1,60),ROW()-1,FALSE))</f>
        <v>0.34520585100000001</v>
      </c>
      <c r="Q316">
        <f ca="1">IF(AND(ISNUMBER($Q$758),$B$419=1),$Q$758,HLOOKUP(INDIRECT(ADDRESS(2,COLUMN())),OFFSET($BN$2,0,0,ROW()-1,60),ROW()-1,FALSE))</f>
        <v>0.3568443</v>
      </c>
      <c r="R316">
        <f ca="1">IF(AND(ISNUMBER($R$758),$B$419=1),$R$758,HLOOKUP(INDIRECT(ADDRESS(2,COLUMN())),OFFSET($BN$2,0,0,ROW()-1,60),ROW()-1,FALSE))</f>
        <v>0.31089530100000001</v>
      </c>
      <c r="S316">
        <f ca="1">IF(AND(ISNUMBER($S$758),$B$419=1),$S$758,HLOOKUP(INDIRECT(ADDRESS(2,COLUMN())),OFFSET($BN$2,0,0,ROW()-1,60),ROW()-1,FALSE))</f>
        <v>0.33928673799999998</v>
      </c>
      <c r="T316">
        <f ca="1">IF(AND(ISNUMBER($T$758),$B$419=1),$T$758,HLOOKUP(INDIRECT(ADDRESS(2,COLUMN())),OFFSET($BN$2,0,0,ROW()-1,60),ROW()-1,FALSE))</f>
        <v>0.40622884100000001</v>
      </c>
      <c r="U316">
        <f ca="1">IF(AND(ISNUMBER($U$758),$B$419=1),$U$758,HLOOKUP(INDIRECT(ADDRESS(2,COLUMN())),OFFSET($BN$2,0,0,ROW()-1,60),ROW()-1,FALSE))</f>
        <v>0.39432255900000002</v>
      </c>
      <c r="V316">
        <f ca="1">IF(AND(ISNUMBER($V$758),$B$419=1),$V$758,HLOOKUP(INDIRECT(ADDRESS(2,COLUMN())),OFFSET($BN$2,0,0,ROW()-1,60),ROW()-1,FALSE))</f>
        <v>0.423601057</v>
      </c>
      <c r="W316">
        <f ca="1">IF(AND(ISNUMBER($W$758),$B$419=1),$W$758,HLOOKUP(INDIRECT(ADDRESS(2,COLUMN())),OFFSET($BN$2,0,0,ROW()-1,60),ROW()-1,FALSE))</f>
        <v>0.43309377399999999</v>
      </c>
      <c r="X316">
        <f ca="1">IF(AND(ISNUMBER($X$758),$B$419=1),$X$758,HLOOKUP(INDIRECT(ADDRESS(2,COLUMN())),OFFSET($BN$2,0,0,ROW()-1,60),ROW()-1,FALSE))</f>
        <v>0.417022632</v>
      </c>
      <c r="Y316">
        <f ca="1">IF(AND(ISNUMBER($Y$758),$B$419=1),$Y$758,HLOOKUP(INDIRECT(ADDRESS(2,COLUMN())),OFFSET($BN$2,0,0,ROW()-1,60),ROW()-1,FALSE))</f>
        <v>0.40573735799999999</v>
      </c>
      <c r="Z316">
        <f ca="1">IF(AND(ISNUMBER($Z$758),$B$419=1),$Z$758,HLOOKUP(INDIRECT(ADDRESS(2,COLUMN())),OFFSET($BN$2,0,0,ROW()-1,60),ROW()-1,FALSE))</f>
        <v>0.40283010000000002</v>
      </c>
      <c r="AA316">
        <f ca="1">IF(AND(ISNUMBER($AA$758),$B$419=1),$AA$758,HLOOKUP(INDIRECT(ADDRESS(2,COLUMN())),OFFSET($BN$2,0,0,ROW()-1,60),ROW()-1,FALSE))</f>
        <v>0.45504906099999998</v>
      </c>
      <c r="AB316">
        <f ca="1">IF(AND(ISNUMBER($AB$758),$B$419=1),$AB$758,HLOOKUP(INDIRECT(ADDRESS(2,COLUMN())),OFFSET($BN$2,0,0,ROW()-1,60),ROW()-1,FALSE))</f>
        <v>0.41476781099999999</v>
      </c>
      <c r="AC316">
        <f ca="1">IF(AND(ISNUMBER($AC$758),$B$419=1),$AC$758,HLOOKUP(INDIRECT(ADDRESS(2,COLUMN())),OFFSET($BN$2,0,0,ROW()-1,60),ROW()-1,FALSE))</f>
        <v>0.48136000800000001</v>
      </c>
      <c r="AD316">
        <f ca="1">IF(AND(ISNUMBER($AD$758),$B$419=1),$AD$758,HLOOKUP(INDIRECT(ADDRESS(2,COLUMN())),OFFSET($BN$2,0,0,ROW()-1,60),ROW()-1,FALSE))</f>
        <v>0.50487137800000004</v>
      </c>
      <c r="AE316">
        <f ca="1">IF(AND(ISNUMBER($AE$758),$B$419=1),$AE$758,HLOOKUP(INDIRECT(ADDRESS(2,COLUMN())),OFFSET($BN$2,0,0,ROW()-1,60),ROW()-1,FALSE))</f>
        <v>0.58491827900000004</v>
      </c>
      <c r="AF316">
        <f ca="1">IF(AND(ISNUMBER($AF$758),$B$419=1),$AF$758,HLOOKUP(INDIRECT(ADDRESS(2,COLUMN())),OFFSET($BN$2,0,0,ROW()-1,60),ROW()-1,FALSE))</f>
        <v>0.64422655699999998</v>
      </c>
      <c r="AG316">
        <f ca="1">IF(AND(ISNUMBER($AG$758),$B$419=1),$AG$758,HLOOKUP(INDIRECT(ADDRESS(2,COLUMN())),OFFSET($BN$2,0,0,ROW()-1,60),ROW()-1,FALSE))</f>
        <v>0.49743868600000002</v>
      </c>
      <c r="AH316">
        <f ca="1">IF(AND(ISNUMBER($AH$758),$B$419=1),$AH$758,HLOOKUP(INDIRECT(ADDRESS(2,COLUMN())),OFFSET($BN$2,0,0,ROW()-1,60),ROW()-1,FALSE))</f>
        <v>0.53877733500000002</v>
      </c>
      <c r="AI316">
        <f ca="1">IF(AND(ISNUMBER($AI$758),$B$419=1),$AI$758,HLOOKUP(INDIRECT(ADDRESS(2,COLUMN())),OFFSET($BN$2,0,0,ROW()-1,60),ROW()-1,FALSE))</f>
        <v>0.60222916699999995</v>
      </c>
      <c r="AJ316">
        <f ca="1">IF(AND(ISNUMBER($AJ$758),$B$419=1),$AJ$758,HLOOKUP(INDIRECT(ADDRESS(2,COLUMN())),OFFSET($BN$2,0,0,ROW()-1,60),ROW()-1,FALSE))</f>
        <v>0.61638834799999997</v>
      </c>
      <c r="AK316">
        <f ca="1">IF(AND(ISNUMBER($AK$758),$B$419=1),$AK$758,HLOOKUP(INDIRECT(ADDRESS(2,COLUMN())),OFFSET($BN$2,0,0,ROW()-1,60),ROW()-1,FALSE))</f>
        <v>0.71214148799999999</v>
      </c>
      <c r="AL316">
        <f ca="1">IF(AND(ISNUMBER($AL$758),$B$419=1),$AL$758,HLOOKUP(INDIRECT(ADDRESS(2,COLUMN())),OFFSET($BN$2,0,0,ROW()-1,60),ROW()-1,FALSE))</f>
        <v>0.61377013499999999</v>
      </c>
      <c r="AM316">
        <f ca="1">IF(AND(ISNUMBER($AM$758),$B$419=1),$AM$758,HLOOKUP(INDIRECT(ADDRESS(2,COLUMN())),OFFSET($BN$2,0,0,ROW()-1,60),ROW()-1,FALSE))</f>
        <v>0.59792750800000005</v>
      </c>
      <c r="AN316">
        <f ca="1">IF(AND(ISNUMBER($AN$758),$B$419=1),$AN$758,HLOOKUP(INDIRECT(ADDRESS(2,COLUMN())),OFFSET($BN$2,0,0,ROW()-1,60),ROW()-1,FALSE))</f>
        <v>0.70462610699999995</v>
      </c>
      <c r="AO316">
        <f ca="1">IF(AND(ISNUMBER($AO$758),$B$419=1),$AO$758,HLOOKUP(INDIRECT(ADDRESS(2,COLUMN())),OFFSET($BN$2,0,0,ROW()-1,60),ROW()-1,FALSE))</f>
        <v>0.73637202199999996</v>
      </c>
      <c r="AP316">
        <f ca="1">IF(AND(ISNUMBER($AP$758),$B$419=1),$AP$758,HLOOKUP(INDIRECT(ADDRESS(2,COLUMN())),OFFSET($BN$2,0,0,ROW()-1,60),ROW()-1,FALSE))</f>
        <v>1.2068774920000001</v>
      </c>
      <c r="AQ316">
        <f ca="1">IF(AND(ISNUMBER($AQ$758),$B$419=1),$AQ$758,HLOOKUP(INDIRECT(ADDRESS(2,COLUMN())),OFFSET($BN$2,0,0,ROW()-1,60),ROW()-1,FALSE))</f>
        <v>0.648869064</v>
      </c>
      <c r="AR316">
        <f ca="1">IF(AND(ISNUMBER($AR$758),$B$419=1),$AR$758,HLOOKUP(INDIRECT(ADDRESS(2,COLUMN())),OFFSET($BN$2,0,0,ROW()-1,60),ROW()-1,FALSE))</f>
        <v>0.454886448</v>
      </c>
      <c r="AS316">
        <f ca="1">IF(AND(ISNUMBER($AS$758),$B$419=1),$AS$758,HLOOKUP(INDIRECT(ADDRESS(2,COLUMN())),OFFSET($BN$2,0,0,ROW()-1,60),ROW()-1,FALSE))</f>
        <v>0.52729805100000005</v>
      </c>
      <c r="AT316">
        <f ca="1">IF(AND(ISNUMBER($AT$758),$B$419=1),$AT$758,HLOOKUP(INDIRECT(ADDRESS(2,COLUMN())),OFFSET($BN$2,0,0,ROW()-1,60),ROW()-1,FALSE))</f>
        <v>0.46470631600000001</v>
      </c>
      <c r="AU316">
        <f ca="1">IF(AND(ISNUMBER($AU$758),$B$419=1),$AU$758,HLOOKUP(INDIRECT(ADDRESS(2,COLUMN())),OFFSET($BN$2,0,0,ROW()-1,60),ROW()-1,FALSE))</f>
        <v>0.44255671299999999</v>
      </c>
      <c r="AV316">
        <f ca="1">IF(AND(ISNUMBER($AV$758),$B$419=1),$AV$758,HLOOKUP(INDIRECT(ADDRESS(2,COLUMN())),OFFSET($BN$2,0,0,ROW()-1,60),ROW()-1,FALSE))</f>
        <v>0.36205349100000001</v>
      </c>
      <c r="AW316">
        <f ca="1">IF(AND(ISNUMBER($AW$758),$B$419=1),$AW$758,HLOOKUP(INDIRECT(ADDRESS(2,COLUMN())),OFFSET($BN$2,0,0,ROW()-1,60),ROW()-1,FALSE))</f>
        <v>0.37179305899999998</v>
      </c>
      <c r="AX316">
        <f ca="1">IF(AND(ISNUMBER($AX$758),$B$419=1),$AX$758,HLOOKUP(INDIRECT(ADDRESS(2,COLUMN())),OFFSET($BN$2,0,0,ROW()-1,60),ROW()-1,FALSE))</f>
        <v>0.28658626599999998</v>
      </c>
      <c r="AY316">
        <f ca="1">IF(AND(ISNUMBER($AY$758),$B$419=1),$AY$758,HLOOKUP(INDIRECT(ADDRESS(2,COLUMN())),OFFSET($BN$2,0,0,ROW()-1,60),ROW()-1,FALSE))</f>
        <v>0.28724515299999998</v>
      </c>
      <c r="AZ316">
        <f ca="1">IF(AND(ISNUMBER($AZ$758),$B$419=1),$AZ$758,HLOOKUP(INDIRECT(ADDRESS(2,COLUMN())),OFFSET($BN$2,0,0,ROW()-1,60),ROW()-1,FALSE))</f>
        <v>0.33844013299999998</v>
      </c>
      <c r="BA316">
        <f ca="1">IF(AND(ISNUMBER($BA$758),$B$419=1),$BA$758,HLOOKUP(INDIRECT(ADDRESS(2,COLUMN())),OFFSET($BN$2,0,0,ROW()-1,60),ROW()-1,FALSE))</f>
        <v>0.36395540199999998</v>
      </c>
      <c r="BB316">
        <f ca="1">IF(AND(ISNUMBER($BB$758),$B$419=1),$BB$758,HLOOKUP(INDIRECT(ADDRESS(2,COLUMN())),OFFSET($BN$2,0,0,ROW()-1,60),ROW()-1,FALSE))</f>
        <v>0.33147763899999999</v>
      </c>
      <c r="BC316">
        <f ca="1">IF(AND(ISNUMBER($BC$758),$B$419=1),$BC$758,HLOOKUP(INDIRECT(ADDRESS(2,COLUMN())),OFFSET($BN$2,0,0,ROW()-1,60),ROW()-1,FALSE))</f>
        <v>0.39501354599999999</v>
      </c>
      <c r="BD316">
        <f ca="1">IF(AND(ISNUMBER($BD$758),$B$419=1),$BD$758,HLOOKUP(INDIRECT(ADDRESS(2,COLUMN())),OFFSET($BN$2,0,0,ROW()-1,60),ROW()-1,FALSE))</f>
        <v>0.42482292500000002</v>
      </c>
      <c r="BE316">
        <f ca="1">IF(AND(ISNUMBER($BE$758),$B$419=1),$BE$758,HLOOKUP(INDIRECT(ADDRESS(2,COLUMN())),OFFSET($BN$2,0,0,ROW()-1,60),ROW()-1,FALSE))</f>
        <v>0.47751334899999998</v>
      </c>
      <c r="BF316">
        <f ca="1">IF(AND(ISNUMBER($BF$758),$B$419=1),$BF$758,HLOOKUP(INDIRECT(ADDRESS(2,COLUMN())),OFFSET($BN$2,0,0,ROW()-1,60),ROW()-1,FALSE))</f>
        <v>0.47713647399999998</v>
      </c>
      <c r="BG316">
        <f ca="1">IF(AND(ISNUMBER($BG$758),$B$419=1),$BG$758,HLOOKUP(INDIRECT(ADDRESS(2,COLUMN())),OFFSET($BN$2,0,0,ROW()-1,60),ROW()-1,FALSE))</f>
        <v>0.42043994200000001</v>
      </c>
      <c r="BH316">
        <f ca="1">IF(AND(ISNUMBER($BH$758),$B$419=1),$BH$758,HLOOKUP(INDIRECT(ADDRESS(2,COLUMN())),OFFSET($BN$2,0,0,ROW()-1,60),ROW()-1,FALSE))</f>
        <v>0.49860506100000002</v>
      </c>
      <c r="BI316">
        <f ca="1">IF(AND(ISNUMBER($BI$758),$B$419=1),$BI$758,HLOOKUP(INDIRECT(ADDRESS(2,COLUMN())),OFFSET($BN$2,0,0,ROW()-1,60),ROW()-1,FALSE))</f>
        <v>0.56471231</v>
      </c>
      <c r="BJ316">
        <f ca="1">IF(AND(ISNUMBER($BJ$758),$B$419=1),$BJ$758,HLOOKUP(INDIRECT(ADDRESS(2,COLUMN())),OFFSET($BN$2,0,0,ROW()-1,60),ROW()-1,FALSE))</f>
        <v>0.51116815599999998</v>
      </c>
      <c r="BK316">
        <f ca="1">IF(AND(ISNUMBER($BK$758),$B$419=1),$BK$758,HLOOKUP(INDIRECT(ADDRESS(2,COLUMN())),OFFSET($BN$2,0,0,ROW()-1,60),ROW()-1,FALSE))</f>
        <v>0.59512643099999996</v>
      </c>
      <c r="BL316">
        <f ca="1">IF(AND(ISNUMBER($BL$758),$B$419=1),$BL$758,HLOOKUP(INDIRECT(ADDRESS(2,COLUMN())),OFFSET($BN$2,0,0,ROW()-1,60),ROW()-1,FALSE))</f>
        <v>0.69856935899999995</v>
      </c>
      <c r="BM316">
        <f ca="1">IF(AND(ISNUMBER($BM$758),$B$419=1),$BM$758,HLOOKUP(INDIRECT(ADDRESS(2,COLUMN())),OFFSET($BN$2,0,0,ROW()-1,60),ROW()-1,FALSE))</f>
        <v>0.69940187200000004</v>
      </c>
      <c r="BN316">
        <f>0.357449289</f>
        <v>0.357449289</v>
      </c>
      <c r="BO316">
        <f>0.305183786</f>
        <v>0.30518378600000001</v>
      </c>
      <c r="BP316">
        <f>0.333422703</f>
        <v>0.33342270299999999</v>
      </c>
      <c r="BQ316">
        <f>0.328958285</f>
        <v>0.32895828500000002</v>
      </c>
      <c r="BR316">
        <f>0.301884375</f>
        <v>0.30188437499999998</v>
      </c>
      <c r="BS316">
        <f>0.227600356</f>
        <v>0.227600356</v>
      </c>
      <c r="BT316">
        <f>0.20069948</f>
        <v>0.20069948000000001</v>
      </c>
      <c r="BU316">
        <f>0.237865287</f>
        <v>0.23786528700000001</v>
      </c>
      <c r="BV316">
        <f>0.25077357</f>
        <v>0.25077357</v>
      </c>
      <c r="BW316">
        <f>0.290132856</f>
        <v>0.29013285599999999</v>
      </c>
      <c r="BX316">
        <f>0.345205851</f>
        <v>0.34520585100000001</v>
      </c>
      <c r="BY316">
        <f>0.3568443</f>
        <v>0.3568443</v>
      </c>
      <c r="BZ316">
        <f>0.310895301</f>
        <v>0.31089530100000001</v>
      </c>
      <c r="CA316">
        <f>0.339286738</f>
        <v>0.33928673799999998</v>
      </c>
      <c r="CB316">
        <f>0.406228841</f>
        <v>0.40622884100000001</v>
      </c>
      <c r="CC316">
        <f>0.394322559</f>
        <v>0.39432255900000002</v>
      </c>
      <c r="CD316">
        <f>0.423601057</f>
        <v>0.423601057</v>
      </c>
      <c r="CE316">
        <f>0.433093774</f>
        <v>0.43309377399999999</v>
      </c>
      <c r="CF316">
        <f>0.417022632</f>
        <v>0.417022632</v>
      </c>
      <c r="CG316">
        <f>0.405737358</f>
        <v>0.40573735799999999</v>
      </c>
      <c r="CH316">
        <f>0.4028301</f>
        <v>0.40283010000000002</v>
      </c>
      <c r="CI316">
        <f>0.455049061</f>
        <v>0.45504906099999998</v>
      </c>
      <c r="CJ316">
        <f>0.414767811</f>
        <v>0.41476781099999999</v>
      </c>
      <c r="CK316">
        <f>0.481360008</f>
        <v>0.48136000800000001</v>
      </c>
      <c r="CL316">
        <f>0.504871378</f>
        <v>0.50487137800000004</v>
      </c>
      <c r="CM316">
        <f>0.584918279</f>
        <v>0.58491827900000004</v>
      </c>
      <c r="CN316">
        <f>0.644226557</f>
        <v>0.64422655699999998</v>
      </c>
      <c r="CO316">
        <f>0.497438686</f>
        <v>0.49743868600000002</v>
      </c>
      <c r="CP316">
        <f>0.538777335</f>
        <v>0.53877733500000002</v>
      </c>
      <c r="CQ316">
        <f>0.602229167</f>
        <v>0.60222916699999995</v>
      </c>
      <c r="CR316">
        <f>0.616388348</f>
        <v>0.61638834799999997</v>
      </c>
      <c r="CS316">
        <f>0.712141488</f>
        <v>0.71214148799999999</v>
      </c>
      <c r="CT316">
        <f>0.613770135</f>
        <v>0.61377013499999999</v>
      </c>
      <c r="CU316">
        <f>0.597927508</f>
        <v>0.59792750800000005</v>
      </c>
      <c r="CV316">
        <f>0.704626107</f>
        <v>0.70462610699999995</v>
      </c>
      <c r="CW316">
        <f>0.736372022</f>
        <v>0.73637202199999996</v>
      </c>
      <c r="CX316">
        <f>1.206877492</f>
        <v>1.2068774920000001</v>
      </c>
      <c r="CY316">
        <f>0.648869064</f>
        <v>0.648869064</v>
      </c>
      <c r="CZ316">
        <f>0.454886448</f>
        <v>0.454886448</v>
      </c>
      <c r="DA316">
        <f>0.527298051</f>
        <v>0.52729805100000005</v>
      </c>
      <c r="DB316">
        <f>0.464706316</f>
        <v>0.46470631600000001</v>
      </c>
      <c r="DC316">
        <f>0.442556713</f>
        <v>0.44255671299999999</v>
      </c>
      <c r="DD316">
        <f>0.362053491</f>
        <v>0.36205349100000001</v>
      </c>
      <c r="DE316">
        <f>0.371793059</f>
        <v>0.37179305899999998</v>
      </c>
      <c r="DF316">
        <f>0.286586266</f>
        <v>0.28658626599999998</v>
      </c>
      <c r="DG316">
        <f>0.287245153</f>
        <v>0.28724515299999998</v>
      </c>
      <c r="DH316">
        <f>0.338440133</f>
        <v>0.33844013299999998</v>
      </c>
      <c r="DI316">
        <f>0.363955402</f>
        <v>0.36395540199999998</v>
      </c>
      <c r="DJ316">
        <f>0.331477639</f>
        <v>0.33147763899999999</v>
      </c>
      <c r="DK316">
        <f>0.395013546</f>
        <v>0.39501354599999999</v>
      </c>
      <c r="DL316">
        <f>0.424822925</f>
        <v>0.42482292500000002</v>
      </c>
      <c r="DM316">
        <f>0.477513349</f>
        <v>0.47751334899999998</v>
      </c>
      <c r="DN316">
        <f>0.477136474</f>
        <v>0.47713647399999998</v>
      </c>
      <c r="DO316">
        <f>0.420439942</f>
        <v>0.42043994200000001</v>
      </c>
      <c r="DP316">
        <f>0.498605061</f>
        <v>0.49860506100000002</v>
      </c>
      <c r="DQ316">
        <f>0.56471231</f>
        <v>0.56471231</v>
      </c>
      <c r="DR316">
        <f>0.511168156</f>
        <v>0.51116815599999998</v>
      </c>
      <c r="DS316">
        <f>0.595126431</f>
        <v>0.59512643099999996</v>
      </c>
      <c r="DT316">
        <f>0.698569359</f>
        <v>0.69856935899999995</v>
      </c>
      <c r="DU316">
        <f>0.699401872</f>
        <v>0.69940187200000004</v>
      </c>
    </row>
    <row r="317" spans="1:125">
      <c r="A317" t="str">
        <f>"    Retail Opportunity Investments"</f>
        <v xml:space="preserve">    Retail Opportunity Investments</v>
      </c>
      <c r="B317" t="str">
        <f>"ROIC US Equity"</f>
        <v>ROIC US Equity</v>
      </c>
      <c r="C317" t="str">
        <f t="shared" si="57"/>
        <v>RR263</v>
      </c>
      <c r="D317" t="str">
        <f t="shared" si="58"/>
        <v>DEBT_TO_MKT_CAP</v>
      </c>
      <c r="E317" t="str">
        <f t="shared" si="59"/>
        <v>动态</v>
      </c>
      <c r="F317">
        <f ca="1">IF(AND(ISNUMBER($F$759),$B$419=1),$F$759,HLOOKUP(INDIRECT(ADDRESS(2,COLUMN())),OFFSET($BN$2,0,0,ROW()-1,60),ROW()-1,FALSE))</f>
        <v>0.74652553399999999</v>
      </c>
      <c r="G317">
        <f ca="1">IF(AND(ISNUMBER($G$759),$B$419=1),$G$759,HLOOKUP(INDIRECT(ADDRESS(2,COLUMN())),OFFSET($BN$2,0,0,ROW()-1,60),ROW()-1,FALSE))</f>
        <v>0.67933587900000003</v>
      </c>
      <c r="H317">
        <f ca="1">IF(AND(ISNUMBER($H$759),$B$419=1),$H$759,HLOOKUP(INDIRECT(ADDRESS(2,COLUMN())),OFFSET($BN$2,0,0,ROW()-1,60),ROW()-1,FALSE))</f>
        <v>0.65474830799999995</v>
      </c>
      <c r="I317">
        <f ca="1">IF(AND(ISNUMBER($I$759),$B$419=1),$I$759,HLOOKUP(INDIRECT(ADDRESS(2,COLUMN())),OFFSET($BN$2,0,0,ROW()-1,60),ROW()-1,FALSE))</f>
        <v>0.63248838600000001</v>
      </c>
      <c r="J317">
        <f ca="1">IF(AND(ISNUMBER($J$759),$B$419=1),$J$759,HLOOKUP(INDIRECT(ADDRESS(2,COLUMN())),OFFSET($BN$2,0,0,ROW()-1,60),ROW()-1,FALSE))</f>
        <v>0.53980384699999995</v>
      </c>
      <c r="K317">
        <f ca="1">IF(AND(ISNUMBER($K$759),$B$419=1),$K$759,HLOOKUP(INDIRECT(ADDRESS(2,COLUMN())),OFFSET($BN$2,0,0,ROW()-1,60),ROW()-1,FALSE))</f>
        <v>0.500669637</v>
      </c>
      <c r="L317">
        <f ca="1">IF(AND(ISNUMBER($L$759),$B$419=1),$L$759,HLOOKUP(INDIRECT(ADDRESS(2,COLUMN())),OFFSET($BN$2,0,0,ROW()-1,60),ROW()-1,FALSE))</f>
        <v>0.44586232399999998</v>
      </c>
      <c r="M317">
        <f ca="1">IF(AND(ISNUMBER($M$759),$B$419=1),$M$759,HLOOKUP(INDIRECT(ADDRESS(2,COLUMN())),OFFSET($BN$2,0,0,ROW()-1,60),ROW()-1,FALSE))</f>
        <v>0.54639924399999995</v>
      </c>
      <c r="N317">
        <f ca="1">IF(AND(ISNUMBER($N$759),$B$419=1),$N$759,HLOOKUP(INDIRECT(ADDRESS(2,COLUMN())),OFFSET($BN$2,0,0,ROW()-1,60),ROW()-1,FALSE))</f>
        <v>0.51508420600000004</v>
      </c>
      <c r="O317">
        <f ca="1">IF(AND(ISNUMBER($O$759),$B$419=1),$O$759,HLOOKUP(INDIRECT(ADDRESS(2,COLUMN())),OFFSET($BN$2,0,0,ROW()-1,60),ROW()-1,FALSE))</f>
        <v>0.55158018499999995</v>
      </c>
      <c r="P317">
        <f ca="1">IF(AND(ISNUMBER($P$759),$B$419=1),$P$759,HLOOKUP(INDIRECT(ADDRESS(2,COLUMN())),OFFSET($BN$2,0,0,ROW()-1,60),ROW()-1,FALSE))</f>
        <v>0.53396014400000003</v>
      </c>
      <c r="Q317">
        <f ca="1">IF(AND(ISNUMBER($Q$759),$B$419=1),$Q$759,HLOOKUP(INDIRECT(ADDRESS(2,COLUMN())),OFFSET($BN$2,0,0,ROW()-1,60),ROW()-1,FALSE))</f>
        <v>0.58257838200000001</v>
      </c>
      <c r="R317">
        <f ca="1">IF(AND(ISNUMBER($R$759),$B$419=1),$R$759,HLOOKUP(INDIRECT(ADDRESS(2,COLUMN())),OFFSET($BN$2,0,0,ROW()-1,60),ROW()-1,FALSE))</f>
        <v>0.48175944900000001</v>
      </c>
      <c r="S317">
        <f ca="1">IF(AND(ISNUMBER($S$759),$B$419=1),$S$759,HLOOKUP(INDIRECT(ADDRESS(2,COLUMN())),OFFSET($BN$2,0,0,ROW()-1,60),ROW()-1,FALSE))</f>
        <v>0.47621943500000002</v>
      </c>
      <c r="T317">
        <f ca="1">IF(AND(ISNUMBER($T$759),$B$419=1),$T$759,HLOOKUP(INDIRECT(ADDRESS(2,COLUMN())),OFFSET($BN$2,0,0,ROW()-1,60),ROW()-1,FALSE))</f>
        <v>0.50536441700000001</v>
      </c>
      <c r="U317">
        <f ca="1">IF(AND(ISNUMBER($U$759),$B$419=1),$U$759,HLOOKUP(INDIRECT(ADDRESS(2,COLUMN())),OFFSET($BN$2,0,0,ROW()-1,60),ROW()-1,FALSE))</f>
        <v>0.48202457799999998</v>
      </c>
      <c r="V317">
        <f ca="1">IF(AND(ISNUMBER($V$759),$B$419=1),$V$759,HLOOKUP(INDIRECT(ADDRESS(2,COLUMN())),OFFSET($BN$2,0,0,ROW()-1,60),ROW()-1,FALSE))</f>
        <v>0.63168809999999997</v>
      </c>
      <c r="W317">
        <f ca="1">IF(AND(ISNUMBER($W$759),$B$419=1),$W$759,HLOOKUP(INDIRECT(ADDRESS(2,COLUMN())),OFFSET($BN$2,0,0,ROW()-1,60),ROW()-1,FALSE))</f>
        <v>0.58608719600000003</v>
      </c>
      <c r="X317">
        <f ca="1">IF(AND(ISNUMBER($X$759),$B$419=1),$X$759,HLOOKUP(INDIRECT(ADDRESS(2,COLUMN())),OFFSET($BN$2,0,0,ROW()-1,60),ROW()-1,FALSE))</f>
        <v>0.50595246199999999</v>
      </c>
      <c r="Y317">
        <f ca="1">IF(AND(ISNUMBER($Y$759),$B$419=1),$Y$759,HLOOKUP(INDIRECT(ADDRESS(2,COLUMN())),OFFSET($BN$2,0,0,ROW()-1,60),ROW()-1,FALSE))</f>
        <v>0.41834511800000002</v>
      </c>
      <c r="Z317">
        <f ca="1">IF(AND(ISNUMBER($Z$759),$B$419=1),$Z$759,HLOOKUP(INDIRECT(ADDRESS(2,COLUMN())),OFFSET($BN$2,0,0,ROW()-1,60),ROW()-1,FALSE))</f>
        <v>0.36918295000000001</v>
      </c>
      <c r="AA317">
        <f ca="1">IF(AND(ISNUMBER($AA$759),$B$419=1),$AA$759,HLOOKUP(INDIRECT(ADDRESS(2,COLUMN())),OFFSET($BN$2,0,0,ROW()-1,60),ROW()-1,FALSE))</f>
        <v>0.57587651799999995</v>
      </c>
      <c r="AB317">
        <f ca="1">IF(AND(ISNUMBER($AB$759),$B$419=1),$AB$759,HLOOKUP(INDIRECT(ADDRESS(2,COLUMN())),OFFSET($BN$2,0,0,ROW()-1,60),ROW()-1,FALSE))</f>
        <v>0.39507388300000001</v>
      </c>
      <c r="AC317">
        <f ca="1">IF(AND(ISNUMBER($AC$759),$B$419=1),$AC$759,HLOOKUP(INDIRECT(ADDRESS(2,COLUMN())),OFFSET($BN$2,0,0,ROW()-1,60),ROW()-1,FALSE))</f>
        <v>0.38684709499999997</v>
      </c>
      <c r="AD317">
        <f ca="1">IF(AND(ISNUMBER($AD$759),$B$419=1),$AD$759,HLOOKUP(INDIRECT(ADDRESS(2,COLUMN())),OFFSET($BN$2,0,0,ROW()-1,60),ROW()-1,FALSE))</f>
        <v>0.322553486</v>
      </c>
      <c r="AE317">
        <f ca="1">IF(AND(ISNUMBER($AE$759),$B$419=1),$AE$759,HLOOKUP(INDIRECT(ADDRESS(2,COLUMN())),OFFSET($BN$2,0,0,ROW()-1,60),ROW()-1,FALSE))</f>
        <v>0.29495288200000003</v>
      </c>
      <c r="AF317">
        <f ca="1">IF(AND(ISNUMBER($AF$759),$B$419=1),$AF$759,HLOOKUP(INDIRECT(ADDRESS(2,COLUMN())),OFFSET($BN$2,0,0,ROW()-1,60),ROW()-1,FALSE))</f>
        <v>0.43018524000000002</v>
      </c>
      <c r="AG317">
        <f ca="1">IF(AND(ISNUMBER($AG$759),$B$419=1),$AG$759,HLOOKUP(INDIRECT(ADDRESS(2,COLUMN())),OFFSET($BN$2,0,0,ROW()-1,60),ROW()-1,FALSE))</f>
        <v>0.14705131099999999</v>
      </c>
      <c r="AH317">
        <f ca="1">IF(AND(ISNUMBER($AH$759),$B$419=1),$AH$759,HLOOKUP(INDIRECT(ADDRESS(2,COLUMN())),OFFSET($BN$2,0,0,ROW()-1,60),ROW()-1,FALSE))</f>
        <v>0.120271299</v>
      </c>
      <c r="AI317">
        <f ca="1">IF(AND(ISNUMBER($AI$759),$B$419=1),$AI$759,HLOOKUP(INDIRECT(ADDRESS(2,COLUMN())),OFFSET($BN$2,0,0,ROW()-1,60),ROW()-1,FALSE))</f>
        <v>0</v>
      </c>
      <c r="AJ317">
        <f ca="1">IF(AND(ISNUMBER($AJ$759),$B$419=1),$AJ$759,HLOOKUP(INDIRECT(ADDRESS(2,COLUMN())),OFFSET($BN$2,0,0,ROW()-1,60),ROW()-1,FALSE))</f>
        <v>0</v>
      </c>
      <c r="AK317">
        <f ca="1">IF(AND(ISNUMBER($AK$759),$B$419=1),$AK$759,HLOOKUP(INDIRECT(ADDRESS(2,COLUMN())),OFFSET($BN$2,0,0,ROW()-1,60),ROW()-1,FALSE))</f>
        <v>0</v>
      </c>
      <c r="AL317">
        <f ca="1">IF(AND(ISNUMBER($AL$759),$B$419=1),$AL$759,HLOOKUP(INDIRECT(ADDRESS(2,COLUMN())),OFFSET($BN$2,0,0,ROW()-1,60),ROW()-1,FALSE))</f>
        <v>0</v>
      </c>
      <c r="AM317" t="str">
        <f ca="1">IF(AND(ISNUMBER($AM$759),$B$419=1),$AM$759,HLOOKUP(INDIRECT(ADDRESS(2,COLUMN())),OFFSET($BN$2,0,0,ROW()-1,60),ROW()-1,FALSE))</f>
        <v/>
      </c>
      <c r="AN317" t="str">
        <f ca="1">IF(AND(ISNUMBER($AN$759),$B$419=1),$AN$759,HLOOKUP(INDIRECT(ADDRESS(2,COLUMN())),OFFSET($BN$2,0,0,ROW()-1,60),ROW()-1,FALSE))</f>
        <v/>
      </c>
      <c r="AO317" t="str">
        <f ca="1">IF(AND(ISNUMBER($AO$759),$B$419=1),$AO$759,HLOOKUP(INDIRECT(ADDRESS(2,COLUMN())),OFFSET($BN$2,0,0,ROW()-1,60),ROW()-1,FALSE))</f>
        <v/>
      </c>
      <c r="AP317" t="str">
        <f ca="1">IF(AND(ISNUMBER($AP$759),$B$419=1),$AP$759,HLOOKUP(INDIRECT(ADDRESS(2,COLUMN())),OFFSET($BN$2,0,0,ROW()-1,60),ROW()-1,FALSE))</f>
        <v/>
      </c>
      <c r="AQ317" t="str">
        <f ca="1">IF(AND(ISNUMBER($AQ$759),$B$419=1),$AQ$759,HLOOKUP(INDIRECT(ADDRESS(2,COLUMN())),OFFSET($BN$2,0,0,ROW()-1,60),ROW()-1,FALSE))</f>
        <v/>
      </c>
      <c r="AR317" t="str">
        <f ca="1">IF(AND(ISNUMBER($AR$759),$B$419=1),$AR$759,HLOOKUP(INDIRECT(ADDRESS(2,COLUMN())),OFFSET($BN$2,0,0,ROW()-1,60),ROW()-1,FALSE))</f>
        <v/>
      </c>
      <c r="AS317" t="str">
        <f ca="1">IF(AND(ISNUMBER($AS$759),$B$419=1),$AS$759,HLOOKUP(INDIRECT(ADDRESS(2,COLUMN())),OFFSET($BN$2,0,0,ROW()-1,60),ROW()-1,FALSE))</f>
        <v/>
      </c>
      <c r="AT317" t="str">
        <f ca="1">IF(AND(ISNUMBER($AT$759),$B$419=1),$AT$759,HLOOKUP(INDIRECT(ADDRESS(2,COLUMN())),OFFSET($BN$2,0,0,ROW()-1,60),ROW()-1,FALSE))</f>
        <v/>
      </c>
      <c r="AU317" t="str">
        <f ca="1">IF(AND(ISNUMBER($AU$759),$B$419=1),$AU$759,HLOOKUP(INDIRECT(ADDRESS(2,COLUMN())),OFFSET($BN$2,0,0,ROW()-1,60),ROW()-1,FALSE))</f>
        <v/>
      </c>
      <c r="AV317" t="str">
        <f ca="1">IF(AND(ISNUMBER($AV$759),$B$419=1),$AV$759,HLOOKUP(INDIRECT(ADDRESS(2,COLUMN())),OFFSET($BN$2,0,0,ROW()-1,60),ROW()-1,FALSE))</f>
        <v/>
      </c>
      <c r="AW317" t="str">
        <f ca="1">IF(AND(ISNUMBER($AW$759),$B$419=1),$AW$759,HLOOKUP(INDIRECT(ADDRESS(2,COLUMN())),OFFSET($BN$2,0,0,ROW()-1,60),ROW()-1,FALSE))</f>
        <v/>
      </c>
      <c r="AX317" t="str">
        <f ca="1">IF(AND(ISNUMBER($AX$759),$B$419=1),$AX$759,HLOOKUP(INDIRECT(ADDRESS(2,COLUMN())),OFFSET($BN$2,0,0,ROW()-1,60),ROW()-1,FALSE))</f>
        <v/>
      </c>
      <c r="AY317" t="str">
        <f ca="1">IF(AND(ISNUMBER($AY$759),$B$419=1),$AY$759,HLOOKUP(INDIRECT(ADDRESS(2,COLUMN())),OFFSET($BN$2,0,0,ROW()-1,60),ROW()-1,FALSE))</f>
        <v/>
      </c>
      <c r="AZ317" t="str">
        <f ca="1">IF(AND(ISNUMBER($AZ$759),$B$419=1),$AZ$759,HLOOKUP(INDIRECT(ADDRESS(2,COLUMN())),OFFSET($BN$2,0,0,ROW()-1,60),ROW()-1,FALSE))</f>
        <v/>
      </c>
      <c r="BA317" t="str">
        <f ca="1">IF(AND(ISNUMBER($BA$759),$B$419=1),$BA$759,HLOOKUP(INDIRECT(ADDRESS(2,COLUMN())),OFFSET($BN$2,0,0,ROW()-1,60),ROW()-1,FALSE))</f>
        <v/>
      </c>
      <c r="BB317" t="str">
        <f ca="1">IF(AND(ISNUMBER($BB$759),$B$419=1),$BB$759,HLOOKUP(INDIRECT(ADDRESS(2,COLUMN())),OFFSET($BN$2,0,0,ROW()-1,60),ROW()-1,FALSE))</f>
        <v/>
      </c>
      <c r="BC317" t="str">
        <f ca="1">IF(AND(ISNUMBER($BC$759),$B$419=1),$BC$759,HLOOKUP(INDIRECT(ADDRESS(2,COLUMN())),OFFSET($BN$2,0,0,ROW()-1,60),ROW()-1,FALSE))</f>
        <v/>
      </c>
      <c r="BD317" t="str">
        <f ca="1">IF(AND(ISNUMBER($BD$759),$B$419=1),$BD$759,HLOOKUP(INDIRECT(ADDRESS(2,COLUMN())),OFFSET($BN$2,0,0,ROW()-1,60),ROW()-1,FALSE))</f>
        <v/>
      </c>
      <c r="BE317" t="str">
        <f ca="1">IF(AND(ISNUMBER($BE$759),$B$419=1),$BE$759,HLOOKUP(INDIRECT(ADDRESS(2,COLUMN())),OFFSET($BN$2,0,0,ROW()-1,60),ROW()-1,FALSE))</f>
        <v/>
      </c>
      <c r="BF317" t="str">
        <f ca="1">IF(AND(ISNUMBER($BF$759),$B$419=1),$BF$759,HLOOKUP(INDIRECT(ADDRESS(2,COLUMN())),OFFSET($BN$2,0,0,ROW()-1,60),ROW()-1,FALSE))</f>
        <v/>
      </c>
      <c r="BG317" t="str">
        <f ca="1">IF(AND(ISNUMBER($BG$759),$B$419=1),$BG$759,HLOOKUP(INDIRECT(ADDRESS(2,COLUMN())),OFFSET($BN$2,0,0,ROW()-1,60),ROW()-1,FALSE))</f>
        <v/>
      </c>
      <c r="BH317" t="str">
        <f ca="1">IF(AND(ISNUMBER($BH$759),$B$419=1),$BH$759,HLOOKUP(INDIRECT(ADDRESS(2,COLUMN())),OFFSET($BN$2,0,0,ROW()-1,60),ROW()-1,FALSE))</f>
        <v/>
      </c>
      <c r="BI317" t="str">
        <f ca="1">IF(AND(ISNUMBER($BI$759),$B$419=1),$BI$759,HLOOKUP(INDIRECT(ADDRESS(2,COLUMN())),OFFSET($BN$2,0,0,ROW()-1,60),ROW()-1,FALSE))</f>
        <v/>
      </c>
      <c r="BJ317" t="str">
        <f ca="1">IF(AND(ISNUMBER($BJ$759),$B$419=1),$BJ$759,HLOOKUP(INDIRECT(ADDRESS(2,COLUMN())),OFFSET($BN$2,0,0,ROW()-1,60),ROW()-1,FALSE))</f>
        <v/>
      </c>
      <c r="BK317" t="str">
        <f ca="1">IF(AND(ISNUMBER($BK$759),$B$419=1),$BK$759,HLOOKUP(INDIRECT(ADDRESS(2,COLUMN())),OFFSET($BN$2,0,0,ROW()-1,60),ROW()-1,FALSE))</f>
        <v/>
      </c>
      <c r="BL317" t="str">
        <f ca="1">IF(AND(ISNUMBER($BL$759),$B$419=1),$BL$759,HLOOKUP(INDIRECT(ADDRESS(2,COLUMN())),OFFSET($BN$2,0,0,ROW()-1,60),ROW()-1,FALSE))</f>
        <v/>
      </c>
      <c r="BM317" t="str">
        <f ca="1">IF(AND(ISNUMBER($BM$759),$B$419=1),$BM$759,HLOOKUP(INDIRECT(ADDRESS(2,COLUMN())),OFFSET($BN$2,0,0,ROW()-1,60),ROW()-1,FALSE))</f>
        <v/>
      </c>
      <c r="BN317">
        <f>0.746525534</f>
        <v>0.74652553399999999</v>
      </c>
      <c r="BO317">
        <f>0.679335879</f>
        <v>0.67933587900000003</v>
      </c>
      <c r="BP317">
        <f>0.654748308</f>
        <v>0.65474830799999995</v>
      </c>
      <c r="BQ317">
        <f>0.632488386</f>
        <v>0.63248838600000001</v>
      </c>
      <c r="BR317">
        <f>0.539803847</f>
        <v>0.53980384699999995</v>
      </c>
      <c r="BS317">
        <f>0.500669637</f>
        <v>0.500669637</v>
      </c>
      <c r="BT317">
        <f>0.445862324</f>
        <v>0.44586232399999998</v>
      </c>
      <c r="BU317">
        <f>0.546399244</f>
        <v>0.54639924399999995</v>
      </c>
      <c r="BV317">
        <f>0.515084206</f>
        <v>0.51508420600000004</v>
      </c>
      <c r="BW317">
        <f>0.551580185</f>
        <v>0.55158018499999995</v>
      </c>
      <c r="BX317">
        <f>0.533960144</f>
        <v>0.53396014400000003</v>
      </c>
      <c r="BY317">
        <f>0.582578382</f>
        <v>0.58257838200000001</v>
      </c>
      <c r="BZ317">
        <f>0.481759449</f>
        <v>0.48175944900000001</v>
      </c>
      <c r="CA317">
        <f>0.476219435</f>
        <v>0.47621943500000002</v>
      </c>
      <c r="CB317">
        <f>0.505364417</f>
        <v>0.50536441700000001</v>
      </c>
      <c r="CC317">
        <f>0.482024578</f>
        <v>0.48202457799999998</v>
      </c>
      <c r="CD317">
        <f>0.6316881</f>
        <v>0.63168809999999997</v>
      </c>
      <c r="CE317">
        <f>0.586087196</f>
        <v>0.58608719600000003</v>
      </c>
      <c r="CF317">
        <f>0.505952462</f>
        <v>0.50595246199999999</v>
      </c>
      <c r="CG317">
        <f>0.418345118</f>
        <v>0.41834511800000002</v>
      </c>
      <c r="CH317">
        <f>0.36918295</f>
        <v>0.36918295000000001</v>
      </c>
      <c r="CI317">
        <f>0.575876518</f>
        <v>0.57587651799999995</v>
      </c>
      <c r="CJ317">
        <f>0.395073883</f>
        <v>0.39507388300000001</v>
      </c>
      <c r="CK317">
        <f>0.386847095</f>
        <v>0.38684709499999997</v>
      </c>
      <c r="CL317">
        <f>0.322553486</f>
        <v>0.322553486</v>
      </c>
      <c r="CM317">
        <f>0.294952882</f>
        <v>0.29495288200000003</v>
      </c>
      <c r="CN317">
        <f>0.43018524</f>
        <v>0.43018524000000002</v>
      </c>
      <c r="CO317">
        <f>0.147051311</f>
        <v>0.14705131099999999</v>
      </c>
      <c r="CP317">
        <f>0.120271299</f>
        <v>0.120271299</v>
      </c>
      <c r="CQ317">
        <f>0</f>
        <v>0</v>
      </c>
      <c r="CR317">
        <f>0</f>
        <v>0</v>
      </c>
      <c r="CS317">
        <f>0</f>
        <v>0</v>
      </c>
      <c r="CT317">
        <f>0</f>
        <v>0</v>
      </c>
      <c r="CU317" t="str">
        <f>""</f>
        <v/>
      </c>
      <c r="CV317" t="str">
        <f>""</f>
        <v/>
      </c>
      <c r="CW317" t="str">
        <f>""</f>
        <v/>
      </c>
      <c r="CX317" t="str">
        <f>""</f>
        <v/>
      </c>
      <c r="CY317" t="str">
        <f>""</f>
        <v/>
      </c>
      <c r="CZ317" t="str">
        <f>""</f>
        <v/>
      </c>
      <c r="DA317" t="str">
        <f>""</f>
        <v/>
      </c>
      <c r="DB317" t="str">
        <f>""</f>
        <v/>
      </c>
      <c r="DC317" t="str">
        <f>""</f>
        <v/>
      </c>
      <c r="DD317" t="str">
        <f>""</f>
        <v/>
      </c>
      <c r="DE317" t="str">
        <f>""</f>
        <v/>
      </c>
      <c r="DF317" t="str">
        <f>""</f>
        <v/>
      </c>
      <c r="DG317" t="str">
        <f>""</f>
        <v/>
      </c>
      <c r="DH317" t="str">
        <f>""</f>
        <v/>
      </c>
      <c r="DI317" t="str">
        <f>""</f>
        <v/>
      </c>
      <c r="DJ317" t="str">
        <f>""</f>
        <v/>
      </c>
      <c r="DK317" t="str">
        <f>""</f>
        <v/>
      </c>
      <c r="DL317" t="str">
        <f>""</f>
        <v/>
      </c>
      <c r="DM317" t="str">
        <f>""</f>
        <v/>
      </c>
      <c r="DN317" t="str">
        <f>""</f>
        <v/>
      </c>
      <c r="DO317" t="str">
        <f>""</f>
        <v/>
      </c>
      <c r="DP317" t="str">
        <f>""</f>
        <v/>
      </c>
      <c r="DQ317" t="str">
        <f>""</f>
        <v/>
      </c>
      <c r="DR317" t="str">
        <f>""</f>
        <v/>
      </c>
      <c r="DS317" t="str">
        <f>""</f>
        <v/>
      </c>
      <c r="DT317" t="str">
        <f>""</f>
        <v/>
      </c>
      <c r="DU317" t="str">
        <f>""</f>
        <v/>
      </c>
    </row>
    <row r="318" spans="1:125">
      <c r="A318" t="str">
        <f>"    Retail Properties of America I"</f>
        <v xml:space="preserve">    Retail Properties of America I</v>
      </c>
      <c r="B318" t="str">
        <f>"RPAI US Equity"</f>
        <v>RPAI US Equity</v>
      </c>
      <c r="C318" t="str">
        <f t="shared" si="57"/>
        <v>RR263</v>
      </c>
      <c r="D318" t="str">
        <f t="shared" si="58"/>
        <v>DEBT_TO_MKT_CAP</v>
      </c>
      <c r="E318" t="str">
        <f t="shared" si="59"/>
        <v>动态</v>
      </c>
      <c r="F318">
        <f ca="1">IF(AND(ISNUMBER($F$760),$B$419=1),$F$760,HLOOKUP(INDIRECT(ADDRESS(2,COLUMN())),OFFSET($BN$2,0,0,ROW()-1,60),ROW()-1,FALSE))</f>
        <v>0.66757759999999999</v>
      </c>
      <c r="G318">
        <f ca="1">IF(AND(ISNUMBER($G$760),$B$419=1),$G$760,HLOOKUP(INDIRECT(ADDRESS(2,COLUMN())),OFFSET($BN$2,0,0,ROW()-1,60),ROW()-1,FALSE))</f>
        <v>0.57206994700000002</v>
      </c>
      <c r="H318">
        <f ca="1">IF(AND(ISNUMBER($H$760),$B$419=1),$H$760,HLOOKUP(INDIRECT(ADDRESS(2,COLUMN())),OFFSET($BN$2,0,0,ROW()-1,60),ROW()-1,FALSE))</f>
        <v>0.56644170999999999</v>
      </c>
      <c r="I318">
        <f ca="1">IF(AND(ISNUMBER($I$760),$B$419=1),$I$760,HLOOKUP(INDIRECT(ADDRESS(2,COLUMN())),OFFSET($BN$2,0,0,ROW()-1,60),ROW()-1,FALSE))</f>
        <v>0.64971325800000002</v>
      </c>
      <c r="J318">
        <f ca="1">IF(AND(ISNUMBER($J$760),$B$419=1),$J$760,HLOOKUP(INDIRECT(ADDRESS(2,COLUMN())),OFFSET($BN$2,0,0,ROW()-1,60),ROW()-1,FALSE))</f>
        <v>0.60822756099999997</v>
      </c>
      <c r="K318">
        <f ca="1">IF(AND(ISNUMBER($K$760),$B$419=1),$K$760,HLOOKUP(INDIRECT(ADDRESS(2,COLUMN())),OFFSET($BN$2,0,0,ROW()-1,60),ROW()-1,FALSE))</f>
        <v>0.54903860999999998</v>
      </c>
      <c r="L318">
        <f ca="1">IF(AND(ISNUMBER($L$760),$B$419=1),$L$760,HLOOKUP(INDIRECT(ADDRESS(2,COLUMN())),OFFSET($BN$2,0,0,ROW()-1,60),ROW()-1,FALSE))</f>
        <v>0.51224965600000005</v>
      </c>
      <c r="M318">
        <f ca="1">IF(AND(ISNUMBER($M$760),$B$419=1),$M$760,HLOOKUP(INDIRECT(ADDRESS(2,COLUMN())),OFFSET($BN$2,0,0,ROW()-1,60),ROW()-1,FALSE))</f>
        <v>0.56844813800000005</v>
      </c>
      <c r="N318">
        <f ca="1">IF(AND(ISNUMBER($N$760),$B$419=1),$N$760,HLOOKUP(INDIRECT(ADDRESS(2,COLUMN())),OFFSET($BN$2,0,0,ROW()-1,60),ROW()-1,FALSE))</f>
        <v>0.59800780099999995</v>
      </c>
      <c r="O318">
        <f ca="1">IF(AND(ISNUMBER($O$760),$B$419=1),$O$760,HLOOKUP(INDIRECT(ADDRESS(2,COLUMN())),OFFSET($BN$2,0,0,ROW()-1,60),ROW()-1,FALSE))</f>
        <v>0.61814148599999996</v>
      </c>
      <c r="P318">
        <f ca="1">IF(AND(ISNUMBER($P$760),$B$419=1),$P$760,HLOOKUP(INDIRECT(ADDRESS(2,COLUMN())),OFFSET($BN$2,0,0,ROW()-1,60),ROW()-1,FALSE))</f>
        <v>0.69094772000000004</v>
      </c>
      <c r="Q318">
        <f ca="1">IF(AND(ISNUMBER($Q$760),$B$419=1),$Q$760,HLOOKUP(INDIRECT(ADDRESS(2,COLUMN())),OFFSET($BN$2,0,0,ROW()-1,60),ROW()-1,FALSE))</f>
        <v>0.75594770899999997</v>
      </c>
      <c r="R318">
        <f ca="1">IF(AND(ISNUMBER($R$760),$B$419=1),$R$760,HLOOKUP(INDIRECT(ADDRESS(2,COLUMN())),OFFSET($BN$2,0,0,ROW()-1,60),ROW()-1,FALSE))</f>
        <v>0.67096239899999999</v>
      </c>
      <c r="S318">
        <f ca="1">IF(AND(ISNUMBER($S$760),$B$419=1),$S$760,HLOOKUP(INDIRECT(ADDRESS(2,COLUMN())),OFFSET($BN$2,0,0,ROW()-1,60),ROW()-1,FALSE))</f>
        <v>0.59117537399999998</v>
      </c>
      <c r="T318">
        <f ca="1">IF(AND(ISNUMBER($T$760),$B$419=1),$T$760,HLOOKUP(INDIRECT(ADDRESS(2,COLUMN())),OFFSET($BN$2,0,0,ROW()-1,60),ROW()-1,FALSE))</f>
        <v>0.69644782500000002</v>
      </c>
      <c r="U318">
        <f ca="1">IF(AND(ISNUMBER($U$760),$B$419=1),$U$760,HLOOKUP(INDIRECT(ADDRESS(2,COLUMN())),OFFSET($BN$2,0,0,ROW()-1,60),ROW()-1,FALSE))</f>
        <v>0.68484016999999997</v>
      </c>
      <c r="V318">
        <f ca="1">IF(AND(ISNUMBER($V$760),$B$419=1),$V$760,HLOOKUP(INDIRECT(ADDRESS(2,COLUMN())),OFFSET($BN$2,0,0,ROW()-1,60),ROW()-1,FALSE))</f>
        <v>0.71649244999999995</v>
      </c>
      <c r="W318">
        <f ca="1">IF(AND(ISNUMBER($W$760),$B$419=1),$W$760,HLOOKUP(INDIRECT(ADDRESS(2,COLUMN())),OFFSET($BN$2,0,0,ROW()-1,60),ROW()-1,FALSE))</f>
        <v>0.76507382999999995</v>
      </c>
      <c r="X318">
        <f ca="1">IF(AND(ISNUMBER($X$760),$B$419=1),$X$760,HLOOKUP(INDIRECT(ADDRESS(2,COLUMN())),OFFSET($BN$2,0,0,ROW()-1,60),ROW()-1,FALSE))</f>
        <v>0.71478754499999997</v>
      </c>
      <c r="Y318">
        <f ca="1">IF(AND(ISNUMBER($Y$760),$B$419=1),$Y$760,HLOOKUP(INDIRECT(ADDRESS(2,COLUMN())),OFFSET($BN$2,0,0,ROW()-1,60),ROW()-1,FALSE))</f>
        <v>0.72392476699999997</v>
      </c>
      <c r="Z318">
        <f ca="1">IF(AND(ISNUMBER($Z$760),$B$419=1),$Z$760,HLOOKUP(INDIRECT(ADDRESS(2,COLUMN())),OFFSET($BN$2,0,0,ROW()-1,60),ROW()-1,FALSE))</f>
        <v>0.73375576200000003</v>
      </c>
      <c r="AA318">
        <f ca="1">IF(AND(ISNUMBER($AA$760),$B$419=1),$AA$760,HLOOKUP(INDIRECT(ADDRESS(2,COLUMN())),OFFSET($BN$2,0,0,ROW()-1,60),ROW()-1,FALSE))</f>
        <v>0.93857101600000004</v>
      </c>
      <c r="AB318">
        <f ca="1">IF(AND(ISNUMBER($AB$760),$B$419=1),$AB$760,HLOOKUP(INDIRECT(ADDRESS(2,COLUMN())),OFFSET($BN$2,0,0,ROW()-1,60),ROW()-1,FALSE))</f>
        <v>1.122381131</v>
      </c>
      <c r="AC318">
        <f ca="1">IF(AND(ISNUMBER($AC$760),$B$419=1),$AC$760,HLOOKUP(INDIRECT(ADDRESS(2,COLUMN())),OFFSET($BN$2,0,0,ROW()-1,60),ROW()-1,FALSE))</f>
        <v>1.396756879</v>
      </c>
      <c r="AD318" t="str">
        <f ca="1">IF(AND(ISNUMBER($AD$760),$B$419=1),$AD$760,HLOOKUP(INDIRECT(ADDRESS(2,COLUMN())),OFFSET($BN$2,0,0,ROW()-1,60),ROW()-1,FALSE))</f>
        <v/>
      </c>
      <c r="AE318" t="str">
        <f ca="1">IF(AND(ISNUMBER($AE$760),$B$419=1),$AE$760,HLOOKUP(INDIRECT(ADDRESS(2,COLUMN())),OFFSET($BN$2,0,0,ROW()-1,60),ROW()-1,FALSE))</f>
        <v/>
      </c>
      <c r="AF318" t="str">
        <f ca="1">IF(AND(ISNUMBER($AF$760),$B$419=1),$AF$760,HLOOKUP(INDIRECT(ADDRESS(2,COLUMN())),OFFSET($BN$2,0,0,ROW()-1,60),ROW()-1,FALSE))</f>
        <v/>
      </c>
      <c r="AG318" t="str">
        <f ca="1">IF(AND(ISNUMBER($AG$760),$B$419=1),$AG$760,HLOOKUP(INDIRECT(ADDRESS(2,COLUMN())),OFFSET($BN$2,0,0,ROW()-1,60),ROW()-1,FALSE))</f>
        <v/>
      </c>
      <c r="AH318" t="str">
        <f ca="1">IF(AND(ISNUMBER($AH$760),$B$419=1),$AH$760,HLOOKUP(INDIRECT(ADDRESS(2,COLUMN())),OFFSET($BN$2,0,0,ROW()-1,60),ROW()-1,FALSE))</f>
        <v/>
      </c>
      <c r="AI318" t="str">
        <f ca="1">IF(AND(ISNUMBER($AI$760),$B$419=1),$AI$760,HLOOKUP(INDIRECT(ADDRESS(2,COLUMN())),OFFSET($BN$2,0,0,ROW()-1,60),ROW()-1,FALSE))</f>
        <v/>
      </c>
      <c r="AJ318" t="str">
        <f ca="1">IF(AND(ISNUMBER($AJ$760),$B$419=1),$AJ$760,HLOOKUP(INDIRECT(ADDRESS(2,COLUMN())),OFFSET($BN$2,0,0,ROW()-1,60),ROW()-1,FALSE))</f>
        <v/>
      </c>
      <c r="AK318" t="str">
        <f ca="1">IF(AND(ISNUMBER($AK$760),$B$419=1),$AK$760,HLOOKUP(INDIRECT(ADDRESS(2,COLUMN())),OFFSET($BN$2,0,0,ROW()-1,60),ROW()-1,FALSE))</f>
        <v/>
      </c>
      <c r="AL318" t="str">
        <f ca="1">IF(AND(ISNUMBER($AL$760),$B$419=1),$AL$760,HLOOKUP(INDIRECT(ADDRESS(2,COLUMN())),OFFSET($BN$2,0,0,ROW()-1,60),ROW()-1,FALSE))</f>
        <v/>
      </c>
      <c r="AM318" t="str">
        <f ca="1">IF(AND(ISNUMBER($AM$760),$B$419=1),$AM$760,HLOOKUP(INDIRECT(ADDRESS(2,COLUMN())),OFFSET($BN$2,0,0,ROW()-1,60),ROW()-1,FALSE))</f>
        <v/>
      </c>
      <c r="AN318" t="str">
        <f ca="1">IF(AND(ISNUMBER($AN$760),$B$419=1),$AN$760,HLOOKUP(INDIRECT(ADDRESS(2,COLUMN())),OFFSET($BN$2,0,0,ROW()-1,60),ROW()-1,FALSE))</f>
        <v/>
      </c>
      <c r="AO318" t="str">
        <f ca="1">IF(AND(ISNUMBER($AO$760),$B$419=1),$AO$760,HLOOKUP(INDIRECT(ADDRESS(2,COLUMN())),OFFSET($BN$2,0,0,ROW()-1,60),ROW()-1,FALSE))</f>
        <v/>
      </c>
      <c r="AP318" t="str">
        <f ca="1">IF(AND(ISNUMBER($AP$760),$B$419=1),$AP$760,HLOOKUP(INDIRECT(ADDRESS(2,COLUMN())),OFFSET($BN$2,0,0,ROW()-1,60),ROW()-1,FALSE))</f>
        <v/>
      </c>
      <c r="AQ318" t="str">
        <f ca="1">IF(AND(ISNUMBER($AQ$760),$B$419=1),$AQ$760,HLOOKUP(INDIRECT(ADDRESS(2,COLUMN())),OFFSET($BN$2,0,0,ROW()-1,60),ROW()-1,FALSE))</f>
        <v/>
      </c>
      <c r="AR318" t="str">
        <f ca="1">IF(AND(ISNUMBER($AR$760),$B$419=1),$AR$760,HLOOKUP(INDIRECT(ADDRESS(2,COLUMN())),OFFSET($BN$2,0,0,ROW()-1,60),ROW()-1,FALSE))</f>
        <v/>
      </c>
      <c r="AS318" t="str">
        <f ca="1">IF(AND(ISNUMBER($AS$760),$B$419=1),$AS$760,HLOOKUP(INDIRECT(ADDRESS(2,COLUMN())),OFFSET($BN$2,0,0,ROW()-1,60),ROW()-1,FALSE))</f>
        <v/>
      </c>
      <c r="AT318" t="str">
        <f ca="1">IF(AND(ISNUMBER($AT$760),$B$419=1),$AT$760,HLOOKUP(INDIRECT(ADDRESS(2,COLUMN())),OFFSET($BN$2,0,0,ROW()-1,60),ROW()-1,FALSE))</f>
        <v/>
      </c>
      <c r="AU318" t="str">
        <f ca="1">IF(AND(ISNUMBER($AU$760),$B$419=1),$AU$760,HLOOKUP(INDIRECT(ADDRESS(2,COLUMN())),OFFSET($BN$2,0,0,ROW()-1,60),ROW()-1,FALSE))</f>
        <v/>
      </c>
      <c r="AV318" t="str">
        <f ca="1">IF(AND(ISNUMBER($AV$760),$B$419=1),$AV$760,HLOOKUP(INDIRECT(ADDRESS(2,COLUMN())),OFFSET($BN$2,0,0,ROW()-1,60),ROW()-1,FALSE))</f>
        <v/>
      </c>
      <c r="AW318" t="str">
        <f ca="1">IF(AND(ISNUMBER($AW$760),$B$419=1),$AW$760,HLOOKUP(INDIRECT(ADDRESS(2,COLUMN())),OFFSET($BN$2,0,0,ROW()-1,60),ROW()-1,FALSE))</f>
        <v/>
      </c>
      <c r="AX318" t="str">
        <f ca="1">IF(AND(ISNUMBER($AX$760),$B$419=1),$AX$760,HLOOKUP(INDIRECT(ADDRESS(2,COLUMN())),OFFSET($BN$2,0,0,ROW()-1,60),ROW()-1,FALSE))</f>
        <v/>
      </c>
      <c r="AY318" t="str">
        <f ca="1">IF(AND(ISNUMBER($AY$760),$B$419=1),$AY$760,HLOOKUP(INDIRECT(ADDRESS(2,COLUMN())),OFFSET($BN$2,0,0,ROW()-1,60),ROW()-1,FALSE))</f>
        <v/>
      </c>
      <c r="AZ318" t="str">
        <f ca="1">IF(AND(ISNUMBER($AZ$760),$B$419=1),$AZ$760,HLOOKUP(INDIRECT(ADDRESS(2,COLUMN())),OFFSET($BN$2,0,0,ROW()-1,60),ROW()-1,FALSE))</f>
        <v/>
      </c>
      <c r="BA318" t="str">
        <f ca="1">IF(AND(ISNUMBER($BA$760),$B$419=1),$BA$760,HLOOKUP(INDIRECT(ADDRESS(2,COLUMN())),OFFSET($BN$2,0,0,ROW()-1,60),ROW()-1,FALSE))</f>
        <v/>
      </c>
      <c r="BB318" t="str">
        <f ca="1">IF(AND(ISNUMBER($BB$760),$B$419=1),$BB$760,HLOOKUP(INDIRECT(ADDRESS(2,COLUMN())),OFFSET($BN$2,0,0,ROW()-1,60),ROW()-1,FALSE))</f>
        <v/>
      </c>
      <c r="BC318" t="str">
        <f ca="1">IF(AND(ISNUMBER($BC$760),$B$419=1),$BC$760,HLOOKUP(INDIRECT(ADDRESS(2,COLUMN())),OFFSET($BN$2,0,0,ROW()-1,60),ROW()-1,FALSE))</f>
        <v/>
      </c>
      <c r="BD318" t="str">
        <f ca="1">IF(AND(ISNUMBER($BD$760),$B$419=1),$BD$760,HLOOKUP(INDIRECT(ADDRESS(2,COLUMN())),OFFSET($BN$2,0,0,ROW()-1,60),ROW()-1,FALSE))</f>
        <v/>
      </c>
      <c r="BE318" t="str">
        <f ca="1">IF(AND(ISNUMBER($BE$760),$B$419=1),$BE$760,HLOOKUP(INDIRECT(ADDRESS(2,COLUMN())),OFFSET($BN$2,0,0,ROW()-1,60),ROW()-1,FALSE))</f>
        <v/>
      </c>
      <c r="BF318" t="str">
        <f ca="1">IF(AND(ISNUMBER($BF$760),$B$419=1),$BF$760,HLOOKUP(INDIRECT(ADDRESS(2,COLUMN())),OFFSET($BN$2,0,0,ROW()-1,60),ROW()-1,FALSE))</f>
        <v/>
      </c>
      <c r="BG318" t="str">
        <f ca="1">IF(AND(ISNUMBER($BG$760),$B$419=1),$BG$760,HLOOKUP(INDIRECT(ADDRESS(2,COLUMN())),OFFSET($BN$2,0,0,ROW()-1,60),ROW()-1,FALSE))</f>
        <v/>
      </c>
      <c r="BH318" t="str">
        <f ca="1">IF(AND(ISNUMBER($BH$760),$B$419=1),$BH$760,HLOOKUP(INDIRECT(ADDRESS(2,COLUMN())),OFFSET($BN$2,0,0,ROW()-1,60),ROW()-1,FALSE))</f>
        <v/>
      </c>
      <c r="BI318" t="str">
        <f ca="1">IF(AND(ISNUMBER($BI$760),$B$419=1),$BI$760,HLOOKUP(INDIRECT(ADDRESS(2,COLUMN())),OFFSET($BN$2,0,0,ROW()-1,60),ROW()-1,FALSE))</f>
        <v/>
      </c>
      <c r="BJ318" t="str">
        <f ca="1">IF(AND(ISNUMBER($BJ$760),$B$419=1),$BJ$760,HLOOKUP(INDIRECT(ADDRESS(2,COLUMN())),OFFSET($BN$2,0,0,ROW()-1,60),ROW()-1,FALSE))</f>
        <v/>
      </c>
      <c r="BK318" t="str">
        <f ca="1">IF(AND(ISNUMBER($BK$760),$B$419=1),$BK$760,HLOOKUP(INDIRECT(ADDRESS(2,COLUMN())),OFFSET($BN$2,0,0,ROW()-1,60),ROW()-1,FALSE))</f>
        <v/>
      </c>
      <c r="BL318" t="str">
        <f ca="1">IF(AND(ISNUMBER($BL$760),$B$419=1),$BL$760,HLOOKUP(INDIRECT(ADDRESS(2,COLUMN())),OFFSET($BN$2,0,0,ROW()-1,60),ROW()-1,FALSE))</f>
        <v/>
      </c>
      <c r="BM318" t="str">
        <f ca="1">IF(AND(ISNUMBER($BM$760),$B$419=1),$BM$760,HLOOKUP(INDIRECT(ADDRESS(2,COLUMN())),OFFSET($BN$2,0,0,ROW()-1,60),ROW()-1,FALSE))</f>
        <v/>
      </c>
      <c r="BN318">
        <f>0.6675776</f>
        <v>0.66757759999999999</v>
      </c>
      <c r="BO318">
        <f>0.572069947</f>
        <v>0.57206994700000002</v>
      </c>
      <c r="BP318">
        <f>0.56644171</f>
        <v>0.56644170999999999</v>
      </c>
      <c r="BQ318">
        <f>0.649713258</f>
        <v>0.64971325800000002</v>
      </c>
      <c r="BR318">
        <f>0.608227561</f>
        <v>0.60822756099999997</v>
      </c>
      <c r="BS318">
        <f>0.54903861</f>
        <v>0.54903860999999998</v>
      </c>
      <c r="BT318">
        <f>0.512249656</f>
        <v>0.51224965600000005</v>
      </c>
      <c r="BU318">
        <f>0.568448138</f>
        <v>0.56844813800000005</v>
      </c>
      <c r="BV318">
        <f>0.598007801</f>
        <v>0.59800780099999995</v>
      </c>
      <c r="BW318">
        <f>0.618141486</f>
        <v>0.61814148599999996</v>
      </c>
      <c r="BX318">
        <f>0.69094772</f>
        <v>0.69094772000000004</v>
      </c>
      <c r="BY318">
        <f>0.755947709</f>
        <v>0.75594770899999997</v>
      </c>
      <c r="BZ318">
        <f>0.670962399</f>
        <v>0.67096239899999999</v>
      </c>
      <c r="CA318">
        <f>0.591175374</f>
        <v>0.59117537399999998</v>
      </c>
      <c r="CB318">
        <f>0.696447825</f>
        <v>0.69644782500000002</v>
      </c>
      <c r="CC318">
        <f>0.68484017</f>
        <v>0.68484016999999997</v>
      </c>
      <c r="CD318">
        <f>0.71649245</f>
        <v>0.71649244999999995</v>
      </c>
      <c r="CE318">
        <f>0.76507383</f>
        <v>0.76507382999999995</v>
      </c>
      <c r="CF318">
        <f>0.714787545</f>
        <v>0.71478754499999997</v>
      </c>
      <c r="CG318">
        <f>0.723924767</f>
        <v>0.72392476699999997</v>
      </c>
      <c r="CH318">
        <f>0.733755762</f>
        <v>0.73375576200000003</v>
      </c>
      <c r="CI318">
        <f>0.938571016</f>
        <v>0.93857101600000004</v>
      </c>
      <c r="CJ318">
        <f>1.122381131</f>
        <v>1.122381131</v>
      </c>
      <c r="CK318">
        <f>1.396756879</f>
        <v>1.396756879</v>
      </c>
      <c r="CL318" t="str">
        <f>""</f>
        <v/>
      </c>
      <c r="CM318" t="str">
        <f>""</f>
        <v/>
      </c>
      <c r="CN318" t="str">
        <f>""</f>
        <v/>
      </c>
      <c r="CO318" t="str">
        <f>""</f>
        <v/>
      </c>
      <c r="CP318" t="str">
        <f>""</f>
        <v/>
      </c>
      <c r="CQ318" t="str">
        <f>""</f>
        <v/>
      </c>
      <c r="CR318" t="str">
        <f>""</f>
        <v/>
      </c>
      <c r="CS318" t="str">
        <f>""</f>
        <v/>
      </c>
      <c r="CT318" t="str">
        <f>""</f>
        <v/>
      </c>
      <c r="CU318" t="str">
        <f>""</f>
        <v/>
      </c>
      <c r="CV318" t="str">
        <f>""</f>
        <v/>
      </c>
      <c r="CW318" t="str">
        <f>""</f>
        <v/>
      </c>
      <c r="CX318" t="str">
        <f>""</f>
        <v/>
      </c>
      <c r="CY318" t="str">
        <f>""</f>
        <v/>
      </c>
      <c r="CZ318" t="str">
        <f>""</f>
        <v/>
      </c>
      <c r="DA318" t="str">
        <f>""</f>
        <v/>
      </c>
      <c r="DB318" t="str">
        <f>""</f>
        <v/>
      </c>
      <c r="DC318" t="str">
        <f>""</f>
        <v/>
      </c>
      <c r="DD318" t="str">
        <f>""</f>
        <v/>
      </c>
      <c r="DE318" t="str">
        <f>""</f>
        <v/>
      </c>
      <c r="DF318" t="str">
        <f>""</f>
        <v/>
      </c>
      <c r="DG318" t="str">
        <f>""</f>
        <v/>
      </c>
      <c r="DH318" t="str">
        <f>""</f>
        <v/>
      </c>
      <c r="DI318" t="str">
        <f>""</f>
        <v/>
      </c>
      <c r="DJ318" t="str">
        <f>""</f>
        <v/>
      </c>
      <c r="DK318" t="str">
        <f>""</f>
        <v/>
      </c>
      <c r="DL318" t="str">
        <f>""</f>
        <v/>
      </c>
      <c r="DM318" t="str">
        <f>""</f>
        <v/>
      </c>
      <c r="DN318" t="str">
        <f>""</f>
        <v/>
      </c>
      <c r="DO318" t="str">
        <f>""</f>
        <v/>
      </c>
      <c r="DP318" t="str">
        <f>""</f>
        <v/>
      </c>
      <c r="DQ318" t="str">
        <f>""</f>
        <v/>
      </c>
      <c r="DR318" t="str">
        <f>""</f>
        <v/>
      </c>
      <c r="DS318" t="str">
        <f>""</f>
        <v/>
      </c>
      <c r="DT318" t="str">
        <f>""</f>
        <v/>
      </c>
      <c r="DU318" t="str">
        <f>""</f>
        <v/>
      </c>
    </row>
    <row r="319" spans="1:125">
      <c r="A319" t="str">
        <f>"    Simon Property Group Inc"</f>
        <v xml:space="preserve">    Simon Property Group Inc</v>
      </c>
      <c r="B319" t="str">
        <f>"SPG US Equity"</f>
        <v>SPG US Equity</v>
      </c>
      <c r="C319" t="str">
        <f t="shared" si="57"/>
        <v>RR263</v>
      </c>
      <c r="D319" t="str">
        <f t="shared" si="58"/>
        <v>DEBT_TO_MKT_CAP</v>
      </c>
      <c r="E319" t="str">
        <f t="shared" si="59"/>
        <v>动态</v>
      </c>
      <c r="F319">
        <f ca="1">IF(AND(ISNUMBER($F$761),$B$419=1),$F$761,HLOOKUP(INDIRECT(ADDRESS(2,COLUMN())),OFFSET($BN$2,0,0,ROW()-1,60),ROW()-1,FALSE))</f>
        <v>0.488318537</v>
      </c>
      <c r="G319">
        <f ca="1">IF(AND(ISNUMBER($G$761),$B$419=1),$G$761,HLOOKUP(INDIRECT(ADDRESS(2,COLUMN())),OFFSET($BN$2,0,0,ROW()-1,60),ROW()-1,FALSE))</f>
        <v>0.461392996</v>
      </c>
      <c r="H319">
        <f ca="1">IF(AND(ISNUMBER($H$761),$B$419=1),$H$761,HLOOKUP(INDIRECT(ADDRESS(2,COLUMN())),OFFSET($BN$2,0,0,ROW()-1,60),ROW()-1,FALSE))</f>
        <v>0.46775065599999999</v>
      </c>
      <c r="I319">
        <f ca="1">IF(AND(ISNUMBER($I$761),$B$419=1),$I$761,HLOOKUP(INDIRECT(ADDRESS(2,COLUMN())),OFFSET($BN$2,0,0,ROW()-1,60),ROW()-1,FALSE))</f>
        <v>0.46379874199999999</v>
      </c>
      <c r="J319">
        <f ca="1">IF(AND(ISNUMBER($J$761),$B$419=1),$J$761,HLOOKUP(INDIRECT(ADDRESS(2,COLUMN())),OFFSET($BN$2,0,0,ROW()-1,60),ROW()-1,FALSE))</f>
        <v>0.42073324400000001</v>
      </c>
      <c r="K319">
        <f ca="1">IF(AND(ISNUMBER($K$761),$B$419=1),$K$761,HLOOKUP(INDIRECT(ADDRESS(2,COLUMN())),OFFSET($BN$2,0,0,ROW()-1,60),ROW()-1,FALSE))</f>
        <v>0.41155051100000001</v>
      </c>
      <c r="L319">
        <f ca="1">IF(AND(ISNUMBER($L$761),$B$419=1),$L$761,HLOOKUP(INDIRECT(ADDRESS(2,COLUMN())),OFFSET($BN$2,0,0,ROW()-1,60),ROW()-1,FALSE))</f>
        <v>0.35478612999999998</v>
      </c>
      <c r="M319">
        <f ca="1">IF(AND(ISNUMBER($M$761),$B$419=1),$M$761,HLOOKUP(INDIRECT(ADDRESS(2,COLUMN())),OFFSET($BN$2,0,0,ROW()-1,60),ROW()-1,FALSE))</f>
        <v>0.341574765</v>
      </c>
      <c r="N319">
        <f ca="1">IF(AND(ISNUMBER($N$761),$B$419=1),$N$761,HLOOKUP(INDIRECT(ADDRESS(2,COLUMN())),OFFSET($BN$2,0,0,ROW()-1,60),ROW()-1,FALSE))</f>
        <v>0.35139900800000001</v>
      </c>
      <c r="O319">
        <f ca="1">IF(AND(ISNUMBER($O$761),$B$419=1),$O$761,HLOOKUP(INDIRECT(ADDRESS(2,COLUMN())),OFFSET($BN$2,0,0,ROW()-1,60),ROW()-1,FALSE))</f>
        <v>0.37259756300000002</v>
      </c>
      <c r="P319">
        <f ca="1">IF(AND(ISNUMBER($P$761),$B$419=1),$P$761,HLOOKUP(INDIRECT(ADDRESS(2,COLUMN())),OFFSET($BN$2,0,0,ROW()-1,60),ROW()-1,FALSE))</f>
        <v>0.39807499299999999</v>
      </c>
      <c r="Q319">
        <f ca="1">IF(AND(ISNUMBER($Q$761),$B$419=1),$Q$761,HLOOKUP(INDIRECT(ADDRESS(2,COLUMN())),OFFSET($BN$2,0,0,ROW()-1,60),ROW()-1,FALSE))</f>
        <v>0.409813029</v>
      </c>
      <c r="R319">
        <f ca="1">IF(AND(ISNUMBER($R$761),$B$419=1),$R$761,HLOOKUP(INDIRECT(ADDRESS(2,COLUMN())),OFFSET($BN$2,0,0,ROW()-1,60),ROW()-1,FALSE))</f>
        <v>0.35270761699999997</v>
      </c>
      <c r="S319">
        <f ca="1">IF(AND(ISNUMBER($S$761),$B$419=1),$S$761,HLOOKUP(INDIRECT(ADDRESS(2,COLUMN())),OFFSET($BN$2,0,0,ROW()-1,60),ROW()-1,FALSE))</f>
        <v>0.36845006400000002</v>
      </c>
      <c r="T319">
        <f ca="1">IF(AND(ISNUMBER($T$761),$B$419=1),$T$761,HLOOKUP(INDIRECT(ADDRESS(2,COLUMN())),OFFSET($BN$2,0,0,ROW()-1,60),ROW()-1,FALSE))</f>
        <v>0.414951183</v>
      </c>
      <c r="U319">
        <f ca="1">IF(AND(ISNUMBER($U$761),$B$419=1),$U$761,HLOOKUP(INDIRECT(ADDRESS(2,COLUMN())),OFFSET($BN$2,0,0,ROW()-1,60),ROW()-1,FALSE))</f>
        <v>0.42397653200000002</v>
      </c>
      <c r="V319">
        <f ca="1">IF(AND(ISNUMBER($V$761),$B$419=1),$V$761,HLOOKUP(INDIRECT(ADDRESS(2,COLUMN())),OFFSET($BN$2,0,0,ROW()-1,60),ROW()-1,FALSE))</f>
        <v>0.449888962</v>
      </c>
      <c r="W319">
        <f ca="1">IF(AND(ISNUMBER($W$761),$B$419=1),$W$761,HLOOKUP(INDIRECT(ADDRESS(2,COLUMN())),OFFSET($BN$2,0,0,ROW()-1,60),ROW()-1,FALSE))</f>
        <v>0.499542031</v>
      </c>
      <c r="X319">
        <f ca="1">IF(AND(ISNUMBER($X$761),$B$419=1),$X$761,HLOOKUP(INDIRECT(ADDRESS(2,COLUMN())),OFFSET($BN$2,0,0,ROW()-1,60),ROW()-1,FALSE))</f>
        <v>0.494114049</v>
      </c>
      <c r="Y319">
        <f ca="1">IF(AND(ISNUMBER($Y$761),$B$419=1),$Y$761,HLOOKUP(INDIRECT(ADDRESS(2,COLUMN())),OFFSET($BN$2,0,0,ROW()-1,60),ROW()-1,FALSE))</f>
        <v>0.46336487599999998</v>
      </c>
      <c r="Z319">
        <f ca="1">IF(AND(ISNUMBER($Z$761),$B$419=1),$Z$761,HLOOKUP(INDIRECT(ADDRESS(2,COLUMN())),OFFSET($BN$2,0,0,ROW()-1,60),ROW()-1,FALSE))</f>
        <v>0.45916328699999998</v>
      </c>
      <c r="AA319">
        <f ca="1">IF(AND(ISNUMBER($AA$761),$B$419=1),$AA$761,HLOOKUP(INDIRECT(ADDRESS(2,COLUMN())),OFFSET($BN$2,0,0,ROW()-1,60),ROW()-1,FALSE))</f>
        <v>0.47261018100000002</v>
      </c>
      <c r="AB319">
        <f ca="1">IF(AND(ISNUMBER($AB$761),$B$419=1),$AB$761,HLOOKUP(INDIRECT(ADDRESS(2,COLUMN())),OFFSET($BN$2,0,0,ROW()-1,60),ROW()-1,FALSE))</f>
        <v>0.48081207799999998</v>
      </c>
      <c r="AC319">
        <f ca="1">IF(AND(ISNUMBER($AC$761),$B$419=1),$AC$761,HLOOKUP(INDIRECT(ADDRESS(2,COLUMN())),OFFSET($BN$2,0,0,ROW()-1,60),ROW()-1,FALSE))</f>
        <v>0.47618739199999999</v>
      </c>
      <c r="AD319">
        <f ca="1">IF(AND(ISNUMBER($AD$761),$B$419=1),$AD$761,HLOOKUP(INDIRECT(ADDRESS(2,COLUMN())),OFFSET($BN$2,0,0,ROW()-1,60),ROW()-1,FALSE))</f>
        <v>0.50999759</v>
      </c>
      <c r="AE319">
        <f ca="1">IF(AND(ISNUMBER($AE$761),$B$419=1),$AE$761,HLOOKUP(INDIRECT(ADDRESS(2,COLUMN())),OFFSET($BN$2,0,0,ROW()-1,60),ROW()-1,FALSE))</f>
        <v>0.486944971</v>
      </c>
      <c r="AF319">
        <f ca="1">IF(AND(ISNUMBER($AF$761),$B$419=1),$AF$761,HLOOKUP(INDIRECT(ADDRESS(2,COLUMN())),OFFSET($BN$2,0,0,ROW()-1,60),ROW()-1,FALSE))</f>
        <v>0.55445185500000005</v>
      </c>
      <c r="AG319">
        <f ca="1">IF(AND(ISNUMBER($AG$761),$B$419=1),$AG$761,HLOOKUP(INDIRECT(ADDRESS(2,COLUMN())),OFFSET($BN$2,0,0,ROW()-1,60),ROW()-1,FALSE))</f>
        <v>0.49907811699999999</v>
      </c>
      <c r="AH319">
        <f ca="1">IF(AND(ISNUMBER($AH$761),$B$419=1),$AH$761,HLOOKUP(INDIRECT(ADDRESS(2,COLUMN())),OFFSET($BN$2,0,0,ROW()-1,60),ROW()-1,FALSE))</f>
        <v>0.53960210900000005</v>
      </c>
      <c r="AI319">
        <f ca="1">IF(AND(ISNUMBER($AI$761),$B$419=1),$AI$761,HLOOKUP(INDIRECT(ADDRESS(2,COLUMN())),OFFSET($BN$2,0,0,ROW()-1,60),ROW()-1,FALSE))</f>
        <v>0.59963194399999997</v>
      </c>
      <c r="AJ319">
        <f ca="1">IF(AND(ISNUMBER($AJ$761),$B$419=1),$AJ$761,HLOOKUP(INDIRECT(ADDRESS(2,COLUMN())),OFFSET($BN$2,0,0,ROW()-1,60),ROW()-1,FALSE))</f>
        <v>0.64388656899999996</v>
      </c>
      <c r="AK319">
        <f ca="1">IF(AND(ISNUMBER($AK$761),$B$419=1),$AK$761,HLOOKUP(INDIRECT(ADDRESS(2,COLUMN())),OFFSET($BN$2,0,0,ROW()-1,60),ROW()-1,FALSE))</f>
        <v>0.72219705300000003</v>
      </c>
      <c r="AL319">
        <f ca="1">IF(AND(ISNUMBER($AL$761),$B$419=1),$AL$761,HLOOKUP(INDIRECT(ADDRESS(2,COLUMN())),OFFSET($BN$2,0,0,ROW()-1,60),ROW()-1,FALSE))</f>
        <v>0.73503479599999999</v>
      </c>
      <c r="AM319">
        <f ca="1">IF(AND(ISNUMBER($AM$761),$B$419=1),$AM$761,HLOOKUP(INDIRECT(ADDRESS(2,COLUMN())),OFFSET($BN$2,0,0,ROW()-1,60),ROW()-1,FALSE))</f>
        <v>0.81882420099999997</v>
      </c>
      <c r="AN319">
        <f ca="1">IF(AND(ISNUMBER($AN$761),$B$419=1),$AN$761,HLOOKUP(INDIRECT(ADDRESS(2,COLUMN())),OFFSET($BN$2,0,0,ROW()-1,60),ROW()-1,FALSE))</f>
        <v>0.94945267499999997</v>
      </c>
      <c r="AO319">
        <f ca="1">IF(AND(ISNUMBER($AO$761),$B$419=1),$AO$761,HLOOKUP(INDIRECT(ADDRESS(2,COLUMN())),OFFSET($BN$2,0,0,ROW()-1,60),ROW()-1,FALSE))</f>
        <v>1.24139288</v>
      </c>
      <c r="AP319">
        <f ca="1">IF(AND(ISNUMBER($AP$761),$B$419=1),$AP$761,HLOOKUP(INDIRECT(ADDRESS(2,COLUMN())),OFFSET($BN$2,0,0,ROW()-1,60),ROW()-1,FALSE))</f>
        <v>2.0191333829999998</v>
      </c>
      <c r="AQ319">
        <f ca="1">IF(AND(ISNUMBER($AQ$761),$B$419=1),$AQ$761,HLOOKUP(INDIRECT(ADDRESS(2,COLUMN())),OFFSET($BN$2,0,0,ROW()-1,60),ROW()-1,FALSE))</f>
        <v>1.503884537</v>
      </c>
      <c r="AR319">
        <f ca="1">IF(AND(ISNUMBER($AR$761),$B$419=1),$AR$761,HLOOKUP(INDIRECT(ADDRESS(2,COLUMN())),OFFSET($BN$2,0,0,ROW()-1,60),ROW()-1,FALSE))</f>
        <v>0.81905419199999996</v>
      </c>
      <c r="AS319">
        <f ca="1">IF(AND(ISNUMBER($AS$761),$B$419=1),$AS$761,HLOOKUP(INDIRECT(ADDRESS(2,COLUMN())),OFFSET($BN$2,0,0,ROW()-1,60),ROW()-1,FALSE))</f>
        <v>0.87296890100000002</v>
      </c>
      <c r="AT319">
        <f ca="1">IF(AND(ISNUMBER($AT$761),$B$419=1),$AT$761,HLOOKUP(INDIRECT(ADDRESS(2,COLUMN())),OFFSET($BN$2,0,0,ROW()-1,60),ROW()-1,FALSE))</f>
        <v>0.84185354400000001</v>
      </c>
      <c r="AU319">
        <f ca="1">IF(AND(ISNUMBER($AU$761),$B$419=1),$AU$761,HLOOKUP(INDIRECT(ADDRESS(2,COLUMN())),OFFSET($BN$2,0,0,ROW()-1,60),ROW()-1,FALSE))</f>
        <v>0.88887230299999997</v>
      </c>
      <c r="AV319">
        <f ca="1">IF(AND(ISNUMBER($AV$761),$B$419=1),$AV$761,HLOOKUP(INDIRECT(ADDRESS(2,COLUMN())),OFFSET($BN$2,0,0,ROW()-1,60),ROW()-1,FALSE))</f>
        <v>0.77290087100000004</v>
      </c>
      <c r="AW319">
        <f ca="1">IF(AND(ISNUMBER($AW$761),$B$419=1),$AW$761,HLOOKUP(INDIRECT(ADDRESS(2,COLUMN())),OFFSET($BN$2,0,0,ROW()-1,60),ROW()-1,FALSE))</f>
        <v>0.79093992000000002</v>
      </c>
      <c r="AX319">
        <f ca="1">IF(AND(ISNUMBER($AX$761),$B$419=1),$AX$761,HLOOKUP(INDIRECT(ADDRESS(2,COLUMN())),OFFSET($BN$2,0,0,ROW()-1,60),ROW()-1,FALSE))</f>
        <v>0.69579207099999996</v>
      </c>
      <c r="AY319">
        <f ca="1">IF(AND(ISNUMBER($AY$761),$B$419=1),$AY$761,HLOOKUP(INDIRECT(ADDRESS(2,COLUMN())),OFFSET($BN$2,0,0,ROW()-1,60),ROW()-1,FALSE))</f>
        <v>0.68681015599999995</v>
      </c>
      <c r="AZ319">
        <f ca="1">IF(AND(ISNUMBER($AZ$761),$B$419=1),$AZ$761,HLOOKUP(INDIRECT(ADDRESS(2,COLUMN())),OFFSET($BN$2,0,0,ROW()-1,60),ROW()-1,FALSE))</f>
        <v>0.71178366500000001</v>
      </c>
      <c r="BA319">
        <f ca="1">IF(AND(ISNUMBER($BA$761),$B$419=1),$BA$761,HLOOKUP(INDIRECT(ADDRESS(2,COLUMN())),OFFSET($BN$2,0,0,ROW()-1,60),ROW()-1,FALSE))</f>
        <v>0.77155156499999999</v>
      </c>
      <c r="BB319">
        <f ca="1">IF(AND(ISNUMBER($BB$761),$B$419=1),$BB$761,HLOOKUP(INDIRECT(ADDRESS(2,COLUMN())),OFFSET($BN$2,0,0,ROW()-1,60),ROW()-1,FALSE))</f>
        <v>0.76247604400000002</v>
      </c>
      <c r="BC319">
        <f ca="1">IF(AND(ISNUMBER($BC$761),$B$419=1),$BC$761,HLOOKUP(INDIRECT(ADDRESS(2,COLUMN())),OFFSET($BN$2,0,0,ROW()-1,60),ROW()-1,FALSE))</f>
        <v>0.81944500799999997</v>
      </c>
      <c r="BD319">
        <f ca="1">IF(AND(ISNUMBER($BD$761),$B$419=1),$BD$761,HLOOKUP(INDIRECT(ADDRESS(2,COLUMN())),OFFSET($BN$2,0,0,ROW()-1,60),ROW()-1,FALSE))</f>
        <v>0.86085976500000005</v>
      </c>
      <c r="BE319">
        <f ca="1">IF(AND(ISNUMBER($BE$761),$B$419=1),$BE$761,HLOOKUP(INDIRECT(ADDRESS(2,COLUMN())),OFFSET($BN$2,0,0,ROW()-1,60),ROW()-1,FALSE))</f>
        <v>0.89475967099999998</v>
      </c>
      <c r="BF319">
        <f ca="1">IF(AND(ISNUMBER($BF$761),$B$419=1),$BF$761,HLOOKUP(INDIRECT(ADDRESS(2,COLUMN())),OFFSET($BN$2,0,0,ROW()-1,60),ROW()-1,FALSE))</f>
        <v>1.074683839</v>
      </c>
      <c r="BG319">
        <f ca="1">IF(AND(ISNUMBER($BG$761),$B$419=1),$BG$761,HLOOKUP(INDIRECT(ADDRESS(2,COLUMN())),OFFSET($BN$2,0,0,ROW()-1,60),ROW()-1,FALSE))</f>
        <v>1.0198219040000001</v>
      </c>
      <c r="BH319">
        <f ca="1">IF(AND(ISNUMBER($BH$761),$B$419=1),$BH$761,HLOOKUP(INDIRECT(ADDRESS(2,COLUMN())),OFFSET($BN$2,0,0,ROW()-1,60),ROW()-1,FALSE))</f>
        <v>0.987911384</v>
      </c>
      <c r="BI319">
        <f ca="1">IF(AND(ISNUMBER($BI$761),$B$419=1),$BI$761,HLOOKUP(INDIRECT(ADDRESS(2,COLUMN())),OFFSET($BN$2,0,0,ROW()-1,60),ROW()-1,FALSE))</f>
        <v>1.0328156500000001</v>
      </c>
      <c r="BJ319">
        <f ca="1">IF(AND(ISNUMBER($BJ$761),$B$419=1),$BJ$761,HLOOKUP(INDIRECT(ADDRESS(2,COLUMN())),OFFSET($BN$2,0,0,ROW()-1,60),ROW()-1,FALSE))</f>
        <v>0.89442709399999998</v>
      </c>
      <c r="BK319">
        <f ca="1">IF(AND(ISNUMBER($BK$761),$B$419=1),$BK$761,HLOOKUP(INDIRECT(ADDRESS(2,COLUMN())),OFFSET($BN$2,0,0,ROW()-1,60),ROW()-1,FALSE))</f>
        <v>1.158064727</v>
      </c>
      <c r="BL319">
        <f ca="1">IF(AND(ISNUMBER($BL$761),$B$419=1),$BL$761,HLOOKUP(INDIRECT(ADDRESS(2,COLUMN())),OFFSET($BN$2,0,0,ROW()-1,60),ROW()-1,FALSE))</f>
        <v>1.193106005</v>
      </c>
      <c r="BM319">
        <f ca="1">IF(AND(ISNUMBER($BM$761),$B$419=1),$BM$761,HLOOKUP(INDIRECT(ADDRESS(2,COLUMN())),OFFSET($BN$2,0,0,ROW()-1,60),ROW()-1,FALSE))</f>
        <v>1.315170843</v>
      </c>
      <c r="BN319">
        <f>0.488318537</f>
        <v>0.488318537</v>
      </c>
      <c r="BO319">
        <f>0.461392996</f>
        <v>0.461392996</v>
      </c>
      <c r="BP319">
        <f>0.467750656</f>
        <v>0.46775065599999999</v>
      </c>
      <c r="BQ319">
        <f>0.463798742</f>
        <v>0.46379874199999999</v>
      </c>
      <c r="BR319">
        <f>0.420733244</f>
        <v>0.42073324400000001</v>
      </c>
      <c r="BS319">
        <f>0.411550511</f>
        <v>0.41155051100000001</v>
      </c>
      <c r="BT319">
        <f>0.35478613</f>
        <v>0.35478612999999998</v>
      </c>
      <c r="BU319">
        <f>0.341574765</f>
        <v>0.341574765</v>
      </c>
      <c r="BV319">
        <f>0.351399008</f>
        <v>0.35139900800000001</v>
      </c>
      <c r="BW319">
        <f>0.372597563</f>
        <v>0.37259756300000002</v>
      </c>
      <c r="BX319">
        <f>0.398074993</f>
        <v>0.39807499299999999</v>
      </c>
      <c r="BY319">
        <f>0.409813029</f>
        <v>0.409813029</v>
      </c>
      <c r="BZ319">
        <f>0.352707617</f>
        <v>0.35270761699999997</v>
      </c>
      <c r="CA319">
        <f>0.368450064</f>
        <v>0.36845006400000002</v>
      </c>
      <c r="CB319">
        <f>0.414951183</f>
        <v>0.414951183</v>
      </c>
      <c r="CC319">
        <f>0.423976532</f>
        <v>0.42397653200000002</v>
      </c>
      <c r="CD319">
        <f>0.449888962</f>
        <v>0.449888962</v>
      </c>
      <c r="CE319">
        <f>0.499542031</f>
        <v>0.499542031</v>
      </c>
      <c r="CF319">
        <f>0.494114049</f>
        <v>0.494114049</v>
      </c>
      <c r="CG319">
        <f>0.463364876</f>
        <v>0.46336487599999998</v>
      </c>
      <c r="CH319">
        <f>0.459163287</f>
        <v>0.45916328699999998</v>
      </c>
      <c r="CI319">
        <f>0.472610181</f>
        <v>0.47261018100000002</v>
      </c>
      <c r="CJ319">
        <f>0.480812078</f>
        <v>0.48081207799999998</v>
      </c>
      <c r="CK319">
        <f>0.476187392</f>
        <v>0.47618739199999999</v>
      </c>
      <c r="CL319">
        <f>0.50999759</f>
        <v>0.50999759</v>
      </c>
      <c r="CM319">
        <f>0.486944971</f>
        <v>0.486944971</v>
      </c>
      <c r="CN319">
        <f>0.554451855</f>
        <v>0.55445185500000005</v>
      </c>
      <c r="CO319">
        <f>0.499078117</f>
        <v>0.49907811699999999</v>
      </c>
      <c r="CP319">
        <f>0.539602109</f>
        <v>0.53960210900000005</v>
      </c>
      <c r="CQ319">
        <f>0.599631944</f>
        <v>0.59963194399999997</v>
      </c>
      <c r="CR319">
        <f>0.643886569</f>
        <v>0.64388656899999996</v>
      </c>
      <c r="CS319">
        <f>0.722197053</f>
        <v>0.72219705300000003</v>
      </c>
      <c r="CT319">
        <f>0.735034796</f>
        <v>0.73503479599999999</v>
      </c>
      <c r="CU319">
        <f>0.818824201</f>
        <v>0.81882420099999997</v>
      </c>
      <c r="CV319">
        <f>0.949452675</f>
        <v>0.94945267499999997</v>
      </c>
      <c r="CW319">
        <f>1.24139288</f>
        <v>1.24139288</v>
      </c>
      <c r="CX319">
        <f>2.019133383</f>
        <v>2.0191333829999998</v>
      </c>
      <c r="CY319">
        <f>1.503884537</f>
        <v>1.503884537</v>
      </c>
      <c r="CZ319">
        <f>0.819054192</f>
        <v>0.81905419199999996</v>
      </c>
      <c r="DA319">
        <f>0.872968901</f>
        <v>0.87296890100000002</v>
      </c>
      <c r="DB319">
        <f>0.841853544</f>
        <v>0.84185354400000001</v>
      </c>
      <c r="DC319">
        <f>0.888872303</f>
        <v>0.88887230299999997</v>
      </c>
      <c r="DD319">
        <f>0.772900871</f>
        <v>0.77290087100000004</v>
      </c>
      <c r="DE319">
        <f>0.79093992</f>
        <v>0.79093992000000002</v>
      </c>
      <c r="DF319">
        <f>0.695792071</f>
        <v>0.69579207099999996</v>
      </c>
      <c r="DG319">
        <f>0.686810156</f>
        <v>0.68681015599999995</v>
      </c>
      <c r="DH319">
        <f>0.711783665</f>
        <v>0.71178366500000001</v>
      </c>
      <c r="DI319">
        <f>0.771551565</f>
        <v>0.77155156499999999</v>
      </c>
      <c r="DJ319">
        <f>0.762476044</f>
        <v>0.76247604400000002</v>
      </c>
      <c r="DK319">
        <f>0.819445008</f>
        <v>0.81944500799999997</v>
      </c>
      <c r="DL319">
        <f>0.860859765</f>
        <v>0.86085976500000005</v>
      </c>
      <c r="DM319">
        <f>0.894759671</f>
        <v>0.89475967099999998</v>
      </c>
      <c r="DN319">
        <f>1.074683839</f>
        <v>1.074683839</v>
      </c>
      <c r="DO319">
        <f>1.019821904</f>
        <v>1.0198219040000001</v>
      </c>
      <c r="DP319">
        <f>0.987911384</f>
        <v>0.987911384</v>
      </c>
      <c r="DQ319">
        <f>1.03281565</f>
        <v>1.0328156500000001</v>
      </c>
      <c r="DR319">
        <f>0.894427094</f>
        <v>0.89442709399999998</v>
      </c>
      <c r="DS319">
        <f>1.158064727</f>
        <v>1.158064727</v>
      </c>
      <c r="DT319">
        <f>1.193106005</f>
        <v>1.193106005</v>
      </c>
      <c r="DU319">
        <f>1.315170843</f>
        <v>1.315170843</v>
      </c>
    </row>
    <row r="320" spans="1:125">
      <c r="A320" t="str">
        <f>"    Tanger Factory Outlet Centers"</f>
        <v xml:space="preserve">    Tanger Factory Outlet Centers</v>
      </c>
      <c r="B320" t="str">
        <f>"SKT US Equity"</f>
        <v>SKT US Equity</v>
      </c>
      <c r="C320" t="str">
        <f t="shared" si="57"/>
        <v>RR263</v>
      </c>
      <c r="D320" t="str">
        <f t="shared" si="58"/>
        <v>DEBT_TO_MKT_CAP</v>
      </c>
      <c r="E320" t="str">
        <f t="shared" si="59"/>
        <v>动态</v>
      </c>
      <c r="F320">
        <f ca="1">IF(AND(ISNUMBER($F$762),$B$419=1),$F$762,HLOOKUP(INDIRECT(ADDRESS(2,COLUMN())),OFFSET($BN$2,0,0,ROW()-1,60),ROW()-1,FALSE))</f>
        <v>0.85029714599999995</v>
      </c>
      <c r="G320">
        <f ca="1">IF(AND(ISNUMBER($G$762),$B$419=1),$G$762,HLOOKUP(INDIRECT(ADDRESS(2,COLUMN())),OFFSET($BN$2,0,0,ROW()-1,60),ROW()-1,FALSE))</f>
        <v>0.703787563</v>
      </c>
      <c r="H320">
        <f ca="1">IF(AND(ISNUMBER($H$762),$B$419=1),$H$762,HLOOKUP(INDIRECT(ADDRESS(2,COLUMN())),OFFSET($BN$2,0,0,ROW()-1,60),ROW()-1,FALSE))</f>
        <v>0.74562018299999999</v>
      </c>
      <c r="I320">
        <f ca="1">IF(AND(ISNUMBER($I$762),$B$419=1),$I$762,HLOOKUP(INDIRECT(ADDRESS(2,COLUMN())),OFFSET($BN$2,0,0,ROW()-1,60),ROW()-1,FALSE))</f>
        <v>0.68996422700000004</v>
      </c>
      <c r="J320">
        <f ca="1">IF(AND(ISNUMBER($J$762),$B$419=1),$J$762,HLOOKUP(INDIRECT(ADDRESS(2,COLUMN())),OFFSET($BN$2,0,0,ROW()-1,60),ROW()-1,FALSE))</f>
        <v>0.53875614100000002</v>
      </c>
      <c r="K320">
        <f ca="1">IF(AND(ISNUMBER($K$762),$B$419=1),$K$762,HLOOKUP(INDIRECT(ADDRESS(2,COLUMN())),OFFSET($BN$2,0,0,ROW()-1,60),ROW()-1,FALSE))</f>
        <v>0.49103583200000001</v>
      </c>
      <c r="L320">
        <f ca="1">IF(AND(ISNUMBER($L$762),$B$419=1),$L$762,HLOOKUP(INDIRECT(ADDRESS(2,COLUMN())),OFFSET($BN$2,0,0,ROW()-1,60),ROW()-1,FALSE))</f>
        <v>0.46085775899999998</v>
      </c>
      <c r="M320">
        <f ca="1">IF(AND(ISNUMBER($M$762),$B$419=1),$M$762,HLOOKUP(INDIRECT(ADDRESS(2,COLUMN())),OFFSET($BN$2,0,0,ROW()-1,60),ROW()-1,FALSE))</f>
        <v>0.41498869900000002</v>
      </c>
      <c r="N320">
        <f ca="1">IF(AND(ISNUMBER($N$762),$B$419=1),$N$762,HLOOKUP(INDIRECT(ADDRESS(2,COLUMN())),OFFSET($BN$2,0,0,ROW()-1,60),ROW()-1,FALSE))</f>
        <v>0.42293619999999998</v>
      </c>
      <c r="O320">
        <f ca="1">IF(AND(ISNUMBER($O$762),$B$419=1),$O$762,HLOOKUP(INDIRECT(ADDRESS(2,COLUMN())),OFFSET($BN$2,0,0,ROW()-1,60),ROW()-1,FALSE))</f>
        <v>0.49515641399999999</v>
      </c>
      <c r="P320">
        <f ca="1">IF(AND(ISNUMBER($P$762),$B$419=1),$P$762,HLOOKUP(INDIRECT(ADDRESS(2,COLUMN())),OFFSET($BN$2,0,0,ROW()-1,60),ROW()-1,FALSE))</f>
        <v>0.487109715</v>
      </c>
      <c r="Q320">
        <f ca="1">IF(AND(ISNUMBER($Q$762),$B$419=1),$Q$762,HLOOKUP(INDIRECT(ADDRESS(2,COLUMN())),OFFSET($BN$2,0,0,ROW()-1,60),ROW()-1,FALSE))</f>
        <v>0.49851345600000002</v>
      </c>
      <c r="R320">
        <f ca="1">IF(AND(ISNUMBER($R$762),$B$419=1),$R$762,HLOOKUP(INDIRECT(ADDRESS(2,COLUMN())),OFFSET($BN$2,0,0,ROW()-1,60),ROW()-1,FALSE))</f>
        <v>0.43517814799999999</v>
      </c>
      <c r="S320">
        <f ca="1">IF(AND(ISNUMBER($S$762),$B$419=1),$S$762,HLOOKUP(INDIRECT(ADDRESS(2,COLUMN())),OFFSET($BN$2,0,0,ROW()-1,60),ROW()-1,FALSE))</f>
        <v>0.40717507600000002</v>
      </c>
      <c r="T320">
        <f ca="1">IF(AND(ISNUMBER($T$762),$B$419=1),$T$762,HLOOKUP(INDIRECT(ADDRESS(2,COLUMN())),OFFSET($BN$2,0,0,ROW()-1,60),ROW()-1,FALSE))</f>
        <v>0.46926614300000002</v>
      </c>
      <c r="U320">
        <f ca="1">IF(AND(ISNUMBER($U$762),$B$419=1),$U$762,HLOOKUP(INDIRECT(ADDRESS(2,COLUMN())),OFFSET($BN$2,0,0,ROW()-1,60),ROW()-1,FALSE))</f>
        <v>0.42265854400000002</v>
      </c>
      <c r="V320">
        <f ca="1">IF(AND(ISNUMBER($V$762),$B$419=1),$V$762,HLOOKUP(INDIRECT(ADDRESS(2,COLUMN())),OFFSET($BN$2,0,0,ROW()-1,60),ROW()-1,FALSE))</f>
        <v>0.410533127</v>
      </c>
      <c r="W320">
        <f ca="1">IF(AND(ISNUMBER($W$762),$B$419=1),$W$762,HLOOKUP(INDIRECT(ADDRESS(2,COLUMN())),OFFSET($BN$2,0,0,ROW()-1,60),ROW()-1,FALSE))</f>
        <v>0.44222540799999999</v>
      </c>
      <c r="X320">
        <f ca="1">IF(AND(ISNUMBER($X$762),$B$419=1),$X$762,HLOOKUP(INDIRECT(ADDRESS(2,COLUMN())),OFFSET($BN$2,0,0,ROW()-1,60),ROW()-1,FALSE))</f>
        <v>0.431761169</v>
      </c>
      <c r="Y320">
        <f ca="1">IF(AND(ISNUMBER($Y$762),$B$419=1),$Y$762,HLOOKUP(INDIRECT(ADDRESS(2,COLUMN())),OFFSET($BN$2,0,0,ROW()-1,60),ROW()-1,FALSE))</f>
        <v>0.35789404400000002</v>
      </c>
      <c r="Z320">
        <f ca="1">IF(AND(ISNUMBER($Z$762),$B$419=1),$Z$762,HLOOKUP(INDIRECT(ADDRESS(2,COLUMN())),OFFSET($BN$2,0,0,ROW()-1,60),ROW()-1,FALSE))</f>
        <v>0.32193609000000001</v>
      </c>
      <c r="AA320">
        <f ca="1">IF(AND(ISNUMBER($AA$762),$B$419=1),$AA$762,HLOOKUP(INDIRECT(ADDRESS(2,COLUMN())),OFFSET($BN$2,0,0,ROW()-1,60),ROW()-1,FALSE))</f>
        <v>0.342698593</v>
      </c>
      <c r="AB320">
        <f ca="1">IF(AND(ISNUMBER($AB$762),$B$419=1),$AB$762,HLOOKUP(INDIRECT(ADDRESS(2,COLUMN())),OFFSET($BN$2,0,0,ROW()-1,60),ROW()-1,FALSE))</f>
        <v>0.350330745</v>
      </c>
      <c r="AC320">
        <f ca="1">IF(AND(ISNUMBER($AC$762),$B$419=1),$AC$762,HLOOKUP(INDIRECT(ADDRESS(2,COLUMN())),OFFSET($BN$2,0,0,ROW()-1,60),ROW()-1,FALSE))</f>
        <v>0.36137438500000002</v>
      </c>
      <c r="AD320">
        <f ca="1">IF(AND(ISNUMBER($AD$762),$B$419=1),$AD$762,HLOOKUP(INDIRECT(ADDRESS(2,COLUMN())),OFFSET($BN$2,0,0,ROW()-1,60),ROW()-1,FALSE))</f>
        <v>0.39068663300000001</v>
      </c>
      <c r="AE320">
        <f ca="1">IF(AND(ISNUMBER($AE$762),$B$419=1),$AE$762,HLOOKUP(INDIRECT(ADDRESS(2,COLUMN())),OFFSET($BN$2,0,0,ROW()-1,60),ROW()-1,FALSE))</f>
        <v>0.408833791</v>
      </c>
      <c r="AF320">
        <f ca="1">IF(AND(ISNUMBER($AF$762),$B$419=1),$AF$762,HLOOKUP(INDIRECT(ADDRESS(2,COLUMN())),OFFSET($BN$2,0,0,ROW()-1,60),ROW()-1,FALSE))</f>
        <v>0.448191691</v>
      </c>
      <c r="AG320">
        <f ca="1">IF(AND(ISNUMBER($AG$762),$B$419=1),$AG$762,HLOOKUP(INDIRECT(ADDRESS(2,COLUMN())),OFFSET($BN$2,0,0,ROW()-1,60),ROW()-1,FALSE))</f>
        <v>0.40018047499999998</v>
      </c>
      <c r="AH320">
        <f ca="1">IF(AND(ISNUMBER($AH$762),$B$419=1),$AH$762,HLOOKUP(INDIRECT(ADDRESS(2,COLUMN())),OFFSET($BN$2,0,0,ROW()-1,60),ROW()-1,FALSE))</f>
        <v>0.35241345800000001</v>
      </c>
      <c r="AI320">
        <f ca="1">IF(AND(ISNUMBER($AI$762),$B$419=1),$AI$762,HLOOKUP(INDIRECT(ADDRESS(2,COLUMN())),OFFSET($BN$2,0,0,ROW()-1,60),ROW()-1,FALSE))</f>
        <v>0.360164068</v>
      </c>
      <c r="AJ320">
        <f ca="1">IF(AND(ISNUMBER($AJ$762),$B$419=1),$AJ$762,HLOOKUP(INDIRECT(ADDRESS(2,COLUMN())),OFFSET($BN$2,0,0,ROW()-1,60),ROW()-1,FALSE))</f>
        <v>0.33561728099999999</v>
      </c>
      <c r="AK320">
        <f ca="1">IF(AND(ISNUMBER($AK$762),$B$419=1),$AK$762,HLOOKUP(INDIRECT(ADDRESS(2,COLUMN())),OFFSET($BN$2,0,0,ROW()-1,60),ROW()-1,FALSE))</f>
        <v>0.37980367100000001</v>
      </c>
      <c r="AL320">
        <f ca="1">IF(AND(ISNUMBER($AL$762),$B$419=1),$AL$762,HLOOKUP(INDIRECT(ADDRESS(2,COLUMN())),OFFSET($BN$2,0,0,ROW()-1,60),ROW()-1,FALSE))</f>
        <v>0.34790613500000001</v>
      </c>
      <c r="AM320">
        <f ca="1">IF(AND(ISNUMBER($AM$762),$B$419=1),$AM$762,HLOOKUP(INDIRECT(ADDRESS(2,COLUMN())),OFFSET($BN$2,0,0,ROW()-1,60),ROW()-1,FALSE))</f>
        <v>0.37225676800000002</v>
      </c>
      <c r="AN320">
        <f ca="1">IF(AND(ISNUMBER($AN$762),$B$419=1),$AN$762,HLOOKUP(INDIRECT(ADDRESS(2,COLUMN())),OFFSET($BN$2,0,0,ROW()-1,60),ROW()-1,FALSE))</f>
        <v>0.39144100300000001</v>
      </c>
      <c r="AO320">
        <f ca="1">IF(AND(ISNUMBER($AO$762),$B$419=1),$AO$762,HLOOKUP(INDIRECT(ADDRESS(2,COLUMN())),OFFSET($BN$2,0,0,ROW()-1,60),ROW()-1,FALSE))</f>
        <v>0.69659057499999999</v>
      </c>
      <c r="AP320">
        <f ca="1">IF(AND(ISNUMBER($AP$762),$B$419=1),$AP$762,HLOOKUP(INDIRECT(ADDRESS(2,COLUMN())),OFFSET($BN$2,0,0,ROW()-1,60),ROW()-1,FALSE))</f>
        <v>0.87249132699999998</v>
      </c>
      <c r="AQ320">
        <f ca="1">IF(AND(ISNUMBER($AQ$762),$B$419=1),$AQ$762,HLOOKUP(INDIRECT(ADDRESS(2,COLUMN())),OFFSET($BN$2,0,0,ROW()-1,60),ROW()-1,FALSE))</f>
        <v>0.67060201500000005</v>
      </c>
      <c r="AR320">
        <f ca="1">IF(AND(ISNUMBER($AR$762),$B$419=1),$AR$762,HLOOKUP(INDIRECT(ADDRESS(2,COLUMN())),OFFSET($BN$2,0,0,ROW()-1,60),ROW()-1,FALSE))</f>
        <v>0.56567913400000003</v>
      </c>
      <c r="AS320">
        <f ca="1">IF(AND(ISNUMBER($AS$762),$B$419=1),$AS$762,HLOOKUP(INDIRECT(ADDRESS(2,COLUMN())),OFFSET($BN$2,0,0,ROW()-1,60),ROW()-1,FALSE))</f>
        <v>0.672503988</v>
      </c>
      <c r="AT320">
        <f ca="1">IF(AND(ISNUMBER($AT$762),$B$419=1),$AT$762,HLOOKUP(INDIRECT(ADDRESS(2,COLUMN())),OFFSET($BN$2,0,0,ROW()-1,60),ROW()-1,FALSE))</f>
        <v>0.60365754599999999</v>
      </c>
      <c r="AU320">
        <f ca="1">IF(AND(ISNUMBER($AU$762),$B$419=1),$AU$762,HLOOKUP(INDIRECT(ADDRESS(2,COLUMN())),OFFSET($BN$2,0,0,ROW()-1,60),ROW()-1,FALSE))</f>
        <v>0.61826493599999999</v>
      </c>
      <c r="AV320">
        <f ca="1">IF(AND(ISNUMBER($AV$762),$B$419=1),$AV$762,HLOOKUP(INDIRECT(ADDRESS(2,COLUMN())),OFFSET($BN$2,0,0,ROW()-1,60),ROW()-1,FALSE))</f>
        <v>0.570788607</v>
      </c>
      <c r="AW320">
        <f ca="1">IF(AND(ISNUMBER($AW$762),$B$419=1),$AW$762,HLOOKUP(INDIRECT(ADDRESS(2,COLUMN())),OFFSET($BN$2,0,0,ROW()-1,60),ROW()-1,FALSE))</f>
        <v>0.58334871799999999</v>
      </c>
      <c r="AX320">
        <f ca="1">IF(AND(ISNUMBER($AX$762),$B$419=1),$AX$762,HLOOKUP(INDIRECT(ADDRESS(2,COLUMN())),OFFSET($BN$2,0,0,ROW()-1,60),ROW()-1,FALSE))</f>
        <v>0.54001485599999999</v>
      </c>
      <c r="AY320">
        <f ca="1">IF(AND(ISNUMBER($AY$762),$B$419=1),$AY$762,HLOOKUP(INDIRECT(ADDRESS(2,COLUMN())),OFFSET($BN$2,0,0,ROW()-1,60),ROW()-1,FALSE))</f>
        <v>0.57917567700000006</v>
      </c>
      <c r="AZ320">
        <f ca="1">IF(AND(ISNUMBER($AZ$762),$B$419=1),$AZ$762,HLOOKUP(INDIRECT(ADDRESS(2,COLUMN())),OFFSET($BN$2,0,0,ROW()-1,60),ROW()-1,FALSE))</f>
        <v>0.61587277699999998</v>
      </c>
      <c r="BA320">
        <f ca="1">IF(AND(ISNUMBER($BA$762),$B$419=1),$BA$762,HLOOKUP(INDIRECT(ADDRESS(2,COLUMN())),OFFSET($BN$2,0,0,ROW()-1,60),ROW()-1,FALSE))</f>
        <v>0.649165412</v>
      </c>
      <c r="BB320">
        <f ca="1">IF(AND(ISNUMBER($BB$762),$B$419=1),$BB$762,HLOOKUP(INDIRECT(ADDRESS(2,COLUMN())),OFFSET($BN$2,0,0,ROW()-1,60),ROW()-1,FALSE))</f>
        <v>0.61358182400000005</v>
      </c>
      <c r="BC320">
        <f ca="1">IF(AND(ISNUMBER($BC$762),$B$419=1),$BC$762,HLOOKUP(INDIRECT(ADDRESS(2,COLUMN())),OFFSET($BN$2,0,0,ROW()-1,60),ROW()-1,FALSE))</f>
        <v>0.76674812199999998</v>
      </c>
      <c r="BD320">
        <f ca="1">IF(AND(ISNUMBER($BD$762),$B$419=1),$BD$762,HLOOKUP(INDIRECT(ADDRESS(2,COLUMN())),OFFSET($BN$2,0,0,ROW()-1,60),ROW()-1,FALSE))</f>
        <v>0.50908478800000001</v>
      </c>
      <c r="BE320">
        <f ca="1">IF(AND(ISNUMBER($BE$762),$B$419=1),$BE$762,HLOOKUP(INDIRECT(ADDRESS(2,COLUMN())),OFFSET($BN$2,0,0,ROW()-1,60),ROW()-1,FALSE))</f>
        <v>0.65767002399999996</v>
      </c>
      <c r="BF320">
        <f ca="1">IF(AND(ISNUMBER($BF$762),$B$419=1),$BF$762,HLOOKUP(INDIRECT(ADDRESS(2,COLUMN())),OFFSET($BN$2,0,0,ROW()-1,60),ROW()-1,FALSE))</f>
        <v>0.81646584099999997</v>
      </c>
      <c r="BG320">
        <f ca="1">IF(AND(ISNUMBER($BG$762),$B$419=1),$BG$762,HLOOKUP(INDIRECT(ADDRESS(2,COLUMN())),OFFSET($BN$2,0,0,ROW()-1,60),ROW()-1,FALSE))</f>
        <v>0.68863310700000002</v>
      </c>
      <c r="BH320">
        <f ca="1">IF(AND(ISNUMBER($BH$762),$B$419=1),$BH$762,HLOOKUP(INDIRECT(ADDRESS(2,COLUMN())),OFFSET($BN$2,0,0,ROW()-1,60),ROW()-1,FALSE))</f>
        <v>0.83457527600000003</v>
      </c>
      <c r="BI320">
        <f ca="1">IF(AND(ISNUMBER($BI$762),$B$419=1),$BI$762,HLOOKUP(INDIRECT(ADDRESS(2,COLUMN())),OFFSET($BN$2,0,0,ROW()-1,60),ROW()-1,FALSE))</f>
        <v>0.966084524</v>
      </c>
      <c r="BJ320">
        <f ca="1">IF(AND(ISNUMBER($BJ$762),$B$419=1),$BJ$762,HLOOKUP(INDIRECT(ADDRESS(2,COLUMN())),OFFSET($BN$2,0,0,ROW()-1,60),ROW()-1,FALSE))</f>
        <v>0.86219667899999997</v>
      </c>
      <c r="BK320">
        <f ca="1">IF(AND(ISNUMBER($BK$762),$B$419=1),$BK$762,HLOOKUP(INDIRECT(ADDRESS(2,COLUMN())),OFFSET($BN$2,0,0,ROW()-1,60),ROW()-1,FALSE))</f>
        <v>1.027399916</v>
      </c>
      <c r="BL320">
        <f ca="1">IF(AND(ISNUMBER($BL$762),$B$419=1),$BL$762,HLOOKUP(INDIRECT(ADDRESS(2,COLUMN())),OFFSET($BN$2,0,0,ROW()-1,60),ROW()-1,FALSE))</f>
        <v>0.86138066499999999</v>
      </c>
      <c r="BM320">
        <f ca="1">IF(AND(ISNUMBER($BM$762),$B$419=1),$BM$762,HLOOKUP(INDIRECT(ADDRESS(2,COLUMN())),OFFSET($BN$2,0,0,ROW()-1,60),ROW()-1,FALSE))</f>
        <v>1.073608361</v>
      </c>
      <c r="BN320">
        <f>0.850297146</f>
        <v>0.85029714599999995</v>
      </c>
      <c r="BO320">
        <f>0.703787563</f>
        <v>0.703787563</v>
      </c>
      <c r="BP320">
        <f>0.745620183</f>
        <v>0.74562018299999999</v>
      </c>
      <c r="BQ320">
        <f>0.689964227</f>
        <v>0.68996422700000004</v>
      </c>
      <c r="BR320">
        <f>0.538756141</f>
        <v>0.53875614100000002</v>
      </c>
      <c r="BS320">
        <f>0.491035832</f>
        <v>0.49103583200000001</v>
      </c>
      <c r="BT320">
        <f>0.460857759</f>
        <v>0.46085775899999998</v>
      </c>
      <c r="BU320">
        <f>0.414988699</f>
        <v>0.41498869900000002</v>
      </c>
      <c r="BV320">
        <f>0.4229362</f>
        <v>0.42293619999999998</v>
      </c>
      <c r="BW320">
        <f>0.495156414</f>
        <v>0.49515641399999999</v>
      </c>
      <c r="BX320">
        <f>0.487109715</f>
        <v>0.487109715</v>
      </c>
      <c r="BY320">
        <f>0.498513456</f>
        <v>0.49851345600000002</v>
      </c>
      <c r="BZ320">
        <f>0.435178148</f>
        <v>0.43517814799999999</v>
      </c>
      <c r="CA320">
        <f>0.407175076</f>
        <v>0.40717507600000002</v>
      </c>
      <c r="CB320">
        <f>0.469266143</f>
        <v>0.46926614300000002</v>
      </c>
      <c r="CC320">
        <f>0.422658544</f>
        <v>0.42265854400000002</v>
      </c>
      <c r="CD320">
        <f>0.410533127</f>
        <v>0.410533127</v>
      </c>
      <c r="CE320">
        <f>0.442225408</f>
        <v>0.44222540799999999</v>
      </c>
      <c r="CF320">
        <f>0.431761169</f>
        <v>0.431761169</v>
      </c>
      <c r="CG320">
        <f>0.357894044</f>
        <v>0.35789404400000002</v>
      </c>
      <c r="CH320">
        <f>0.32193609</f>
        <v>0.32193609000000001</v>
      </c>
      <c r="CI320">
        <f>0.342698593</f>
        <v>0.342698593</v>
      </c>
      <c r="CJ320">
        <f>0.350330745</f>
        <v>0.350330745</v>
      </c>
      <c r="CK320">
        <f>0.361374385</f>
        <v>0.36137438500000002</v>
      </c>
      <c r="CL320">
        <f>0.390686633</f>
        <v>0.39068663300000001</v>
      </c>
      <c r="CM320">
        <f>0.408833791</f>
        <v>0.408833791</v>
      </c>
      <c r="CN320">
        <f>0.448191691</f>
        <v>0.448191691</v>
      </c>
      <c r="CO320">
        <f>0.400180475</f>
        <v>0.40018047499999998</v>
      </c>
      <c r="CP320">
        <f>0.352413458</f>
        <v>0.35241345800000001</v>
      </c>
      <c r="CQ320">
        <f>0.360164068</f>
        <v>0.360164068</v>
      </c>
      <c r="CR320">
        <f>0.335617281</f>
        <v>0.33561728099999999</v>
      </c>
      <c r="CS320">
        <f>0.379803671</f>
        <v>0.37980367100000001</v>
      </c>
      <c r="CT320">
        <f>0.347906135</f>
        <v>0.34790613500000001</v>
      </c>
      <c r="CU320">
        <f>0.372256768</f>
        <v>0.37225676800000002</v>
      </c>
      <c r="CV320">
        <f>0.391441003</f>
        <v>0.39144100300000001</v>
      </c>
      <c r="CW320">
        <f>0.696590575</f>
        <v>0.69659057499999999</v>
      </c>
      <c r="CX320">
        <f>0.872491327</f>
        <v>0.87249132699999998</v>
      </c>
      <c r="CY320">
        <f>0.670602015</f>
        <v>0.67060201500000005</v>
      </c>
      <c r="CZ320">
        <f>0.565679134</f>
        <v>0.56567913400000003</v>
      </c>
      <c r="DA320">
        <f>0.672503988</f>
        <v>0.672503988</v>
      </c>
      <c r="DB320">
        <f>0.603657546</f>
        <v>0.60365754599999999</v>
      </c>
      <c r="DC320">
        <f>0.618264936</f>
        <v>0.61826493599999999</v>
      </c>
      <c r="DD320">
        <f>0.570788607</f>
        <v>0.570788607</v>
      </c>
      <c r="DE320">
        <f>0.583348718</f>
        <v>0.58334871799999999</v>
      </c>
      <c r="DF320">
        <f>0.540014856</f>
        <v>0.54001485599999999</v>
      </c>
      <c r="DG320">
        <f>0.579175677</f>
        <v>0.57917567700000006</v>
      </c>
      <c r="DH320">
        <f>0.615872777</f>
        <v>0.61587277699999998</v>
      </c>
      <c r="DI320">
        <f>0.649165412</f>
        <v>0.649165412</v>
      </c>
      <c r="DJ320">
        <f>0.613581824</f>
        <v>0.61358182400000005</v>
      </c>
      <c r="DK320">
        <f>0.766748122</f>
        <v>0.76674812199999998</v>
      </c>
      <c r="DL320">
        <f>0.509084788</f>
        <v>0.50908478800000001</v>
      </c>
      <c r="DM320">
        <f>0.657670024</f>
        <v>0.65767002399999996</v>
      </c>
      <c r="DN320">
        <f>0.816465841</f>
        <v>0.81646584099999997</v>
      </c>
      <c r="DO320">
        <f>0.688633107</f>
        <v>0.68863310700000002</v>
      </c>
      <c r="DP320">
        <f>0.834575276</f>
        <v>0.83457527600000003</v>
      </c>
      <c r="DQ320">
        <f>0.966084524</f>
        <v>0.966084524</v>
      </c>
      <c r="DR320">
        <f>0.862196679</f>
        <v>0.86219667899999997</v>
      </c>
      <c r="DS320">
        <f>1.027399916</f>
        <v>1.027399916</v>
      </c>
      <c r="DT320">
        <f>0.861380665</f>
        <v>0.86138066499999999</v>
      </c>
      <c r="DU320">
        <f>1.073608361</f>
        <v>1.073608361</v>
      </c>
    </row>
    <row r="321" spans="1:125">
      <c r="A321" t="str">
        <f>"    VEREIT Inc"</f>
        <v xml:space="preserve">    VEREIT Inc</v>
      </c>
      <c r="B321" t="str">
        <f>"VER US Equity"</f>
        <v>VER US Equity</v>
      </c>
      <c r="C321" t="str">
        <f t="shared" si="57"/>
        <v>RR263</v>
      </c>
      <c r="D321" t="str">
        <f t="shared" si="58"/>
        <v>DEBT_TO_MKT_CAP</v>
      </c>
      <c r="E321" t="str">
        <f t="shared" si="59"/>
        <v>动态</v>
      </c>
      <c r="F321">
        <f ca="1">IF(AND(ISNUMBER($F$763),$B$419=1),$F$763,HLOOKUP(INDIRECT(ADDRESS(2,COLUMN())),OFFSET($BN$2,0,0,ROW()-1,60),ROW()-1,FALSE))</f>
        <v>0.88806748199999996</v>
      </c>
      <c r="G321">
        <f ca="1">IF(AND(ISNUMBER($G$763),$B$419=1),$G$763,HLOOKUP(INDIRECT(ADDRESS(2,COLUMN())),OFFSET($BN$2,0,0,ROW()-1,60),ROW()-1,FALSE))</f>
        <v>0.800270759</v>
      </c>
      <c r="H321">
        <f ca="1">IF(AND(ISNUMBER($H$763),$B$419=1),$H$763,HLOOKUP(INDIRECT(ADDRESS(2,COLUMN())),OFFSET($BN$2,0,0,ROW()-1,60),ROW()-1,FALSE))</f>
        <v>0.73265253100000005</v>
      </c>
      <c r="I321">
        <f ca="1">IF(AND(ISNUMBER($I$763),$B$419=1),$I$763,HLOOKUP(INDIRECT(ADDRESS(2,COLUMN())),OFFSET($BN$2,0,0,ROW()-1,60),ROW()-1,FALSE))</f>
        <v>0.76736684099999997</v>
      </c>
      <c r="J321">
        <f ca="1">IF(AND(ISNUMBER($J$763),$B$419=1),$J$763,HLOOKUP(INDIRECT(ADDRESS(2,COLUMN())),OFFSET($BN$2,0,0,ROW()-1,60),ROW()-1,FALSE))</f>
        <v>0.76012531100000003</v>
      </c>
      <c r="K321">
        <f ca="1">IF(AND(ISNUMBER($K$763),$B$419=1),$K$763,HLOOKUP(INDIRECT(ADDRESS(2,COLUMN())),OFFSET($BN$2,0,0,ROW()-1,60),ROW()-1,FALSE))</f>
        <v>0.772582349</v>
      </c>
      <c r="L321">
        <f ca="1">IF(AND(ISNUMBER($L$763),$B$419=1),$L$763,HLOOKUP(INDIRECT(ADDRESS(2,COLUMN())),OFFSET($BN$2,0,0,ROW()-1,60),ROW()-1,FALSE))</f>
        <v>0.64866750799999995</v>
      </c>
      <c r="M321">
        <f ca="1">IF(AND(ISNUMBER($M$763),$B$419=1),$M$763,HLOOKUP(INDIRECT(ADDRESS(2,COLUMN())),OFFSET($BN$2,0,0,ROW()-1,60),ROW()-1,FALSE))</f>
        <v>0.92361890999999996</v>
      </c>
      <c r="N321">
        <f ca="1">IF(AND(ISNUMBER($N$763),$B$419=1),$N$763,HLOOKUP(INDIRECT(ADDRESS(2,COLUMN())),OFFSET($BN$2,0,0,ROW()-1,60),ROW()-1,FALSE))</f>
        <v>0.97222487000000002</v>
      </c>
      <c r="O321">
        <f ca="1">IF(AND(ISNUMBER($O$763),$B$419=1),$O$763,HLOOKUP(INDIRECT(ADDRESS(2,COLUMN())),OFFSET($BN$2,0,0,ROW()-1,60),ROW()-1,FALSE))</f>
        <v>1.1245256290000001</v>
      </c>
      <c r="P321">
        <f ca="1">IF(AND(ISNUMBER($P$763),$B$419=1),$P$763,HLOOKUP(INDIRECT(ADDRESS(2,COLUMN())),OFFSET($BN$2,0,0,ROW()-1,60),ROW()-1,FALSE))</f>
        <v>1.2664805770000001</v>
      </c>
      <c r="Q321">
        <f ca="1">IF(AND(ISNUMBER($Q$763),$B$419=1),$Q$763,HLOOKUP(INDIRECT(ADDRESS(2,COLUMN())),OFFSET($BN$2,0,0,ROW()-1,60),ROW()-1,FALSE))</f>
        <v>1.2835499130000001</v>
      </c>
      <c r="R321">
        <f ca="1">IF(AND(ISNUMBER($R$763),$B$419=1),$R$763,HLOOKUP(INDIRECT(ADDRESS(2,COLUMN())),OFFSET($BN$2,0,0,ROW()-1,60),ROW()-1,FALSE))</f>
        <v>1.164399113</v>
      </c>
      <c r="S321">
        <f ca="1">IF(AND(ISNUMBER($S$763),$B$419=1),$S$763,HLOOKUP(INDIRECT(ADDRESS(2,COLUMN())),OFFSET($BN$2,0,0,ROW()-1,60),ROW()-1,FALSE))</f>
        <v>1.245613734</v>
      </c>
      <c r="T321">
        <f ca="1">IF(AND(ISNUMBER($T$763),$B$419=1),$T$763,HLOOKUP(INDIRECT(ADDRESS(2,COLUMN())),OFFSET($BN$2,0,0,ROW()-1,60),ROW()-1,FALSE))</f>
        <v>1.041126191</v>
      </c>
      <c r="U321">
        <f ca="1">IF(AND(ISNUMBER($U$763),$B$419=1),$U$763,HLOOKUP(INDIRECT(ADDRESS(2,COLUMN())),OFFSET($BN$2,0,0,ROW()-1,60),ROW()-1,FALSE))</f>
        <v>0.86055568900000001</v>
      </c>
      <c r="V321">
        <f ca="1">IF(AND(ISNUMBER($V$763),$B$419=1),$V$763,HLOOKUP(INDIRECT(ADDRESS(2,COLUMN())),OFFSET($BN$2,0,0,ROW()-1,60),ROW()-1,FALSE))</f>
        <v>0.96069049100000004</v>
      </c>
      <c r="W321">
        <f ca="1">IF(AND(ISNUMBER($W$763),$B$419=1),$W$763,HLOOKUP(INDIRECT(ADDRESS(2,COLUMN())),OFFSET($BN$2,0,0,ROW()-1,60),ROW()-1,FALSE))</f>
        <v>1.6742384969999999</v>
      </c>
      <c r="X321">
        <f ca="1">IF(AND(ISNUMBER($X$763),$B$419=1),$X$763,HLOOKUP(INDIRECT(ADDRESS(2,COLUMN())),OFFSET($BN$2,0,0,ROW()-1,60),ROW()-1,FALSE))</f>
        <v>0.51906865499999999</v>
      </c>
      <c r="Y321">
        <f ca="1">IF(AND(ISNUMBER($Y$763),$B$419=1),$Y$763,HLOOKUP(INDIRECT(ADDRESS(2,COLUMN())),OFFSET($BN$2,0,0,ROW()-1,60),ROW()-1,FALSE))</f>
        <v>0.36871185499999998</v>
      </c>
      <c r="Z321">
        <f ca="1">IF(AND(ISNUMBER($Z$763),$B$419=1),$Z$763,HLOOKUP(INDIRECT(ADDRESS(2,COLUMN())),OFFSET($BN$2,0,0,ROW()-1,60),ROW()-1,FALSE))</f>
        <v>0.400594012</v>
      </c>
      <c r="AA321">
        <f ca="1">IF(AND(ISNUMBER($AA$763),$B$419=1),$AA$763,HLOOKUP(INDIRECT(ADDRESS(2,COLUMN())),OFFSET($BN$2,0,0,ROW()-1,60),ROW()-1,FALSE))</f>
        <v>2.6367118550000002</v>
      </c>
      <c r="AB321">
        <f ca="1">IF(AND(ISNUMBER($AB$763),$B$419=1),$AB$763,HLOOKUP(INDIRECT(ADDRESS(2,COLUMN())),OFFSET($BN$2,0,0,ROW()-1,60),ROW()-1,FALSE))</f>
        <v>0.90902576499999999</v>
      </c>
      <c r="AC321">
        <f ca="1">IF(AND(ISNUMBER($AC$763),$B$419=1),$AC$763,HLOOKUP(INDIRECT(ADDRESS(2,COLUMN())),OFFSET($BN$2,0,0,ROW()-1,60),ROW()-1,FALSE))</f>
        <v>0.95625492499999998</v>
      </c>
      <c r="AD321">
        <f ca="1">IF(AND(ISNUMBER($AD$763),$B$419=1),$AD$763,HLOOKUP(INDIRECT(ADDRESS(2,COLUMN())),OFFSET($BN$2,0,0,ROW()-1,60),ROW()-1,FALSE))</f>
        <v>0.96160797399999998</v>
      </c>
      <c r="AE321">
        <f ca="1">IF(AND(ISNUMBER($AE$763),$B$419=1),$AE$763,HLOOKUP(INDIRECT(ADDRESS(2,COLUMN())),OFFSET($BN$2,0,0,ROW()-1,60),ROW()-1,FALSE))</f>
        <v>0.95409393399999998</v>
      </c>
      <c r="AF321">
        <f ca="1">IF(AND(ISNUMBER($AF$763),$B$419=1),$AF$763,HLOOKUP(INDIRECT(ADDRESS(2,COLUMN())),OFFSET($BN$2,0,0,ROW()-1,60),ROW()-1,FALSE))</f>
        <v>1.0052763689999999</v>
      </c>
      <c r="AG321" t="str">
        <f ca="1">IF(AND(ISNUMBER($AG$763),$B$419=1),$AG$763,HLOOKUP(INDIRECT(ADDRESS(2,COLUMN())),OFFSET($BN$2,0,0,ROW()-1,60),ROW()-1,FALSE))</f>
        <v/>
      </c>
      <c r="AH321" t="str">
        <f ca="1">IF(AND(ISNUMBER($AH$763),$B$419=1),$AH$763,HLOOKUP(INDIRECT(ADDRESS(2,COLUMN())),OFFSET($BN$2,0,0,ROW()-1,60),ROW()-1,FALSE))</f>
        <v/>
      </c>
      <c r="AI321" t="str">
        <f ca="1">IF(AND(ISNUMBER($AI$763),$B$419=1),$AI$763,HLOOKUP(INDIRECT(ADDRESS(2,COLUMN())),OFFSET($BN$2,0,0,ROW()-1,60),ROW()-1,FALSE))</f>
        <v/>
      </c>
      <c r="AJ321" t="str">
        <f ca="1">IF(AND(ISNUMBER($AJ$763),$B$419=1),$AJ$763,HLOOKUP(INDIRECT(ADDRESS(2,COLUMN())),OFFSET($BN$2,0,0,ROW()-1,60),ROW()-1,FALSE))</f>
        <v/>
      </c>
      <c r="AK321" t="str">
        <f ca="1">IF(AND(ISNUMBER($AK$763),$B$419=1),$AK$763,HLOOKUP(INDIRECT(ADDRESS(2,COLUMN())),OFFSET($BN$2,0,0,ROW()-1,60),ROW()-1,FALSE))</f>
        <v/>
      </c>
      <c r="AL321" t="str">
        <f ca="1">IF(AND(ISNUMBER($AL$763),$B$419=1),$AL$763,HLOOKUP(INDIRECT(ADDRESS(2,COLUMN())),OFFSET($BN$2,0,0,ROW()-1,60),ROW()-1,FALSE))</f>
        <v/>
      </c>
      <c r="AM321" t="str">
        <f ca="1">IF(AND(ISNUMBER($AM$763),$B$419=1),$AM$763,HLOOKUP(INDIRECT(ADDRESS(2,COLUMN())),OFFSET($BN$2,0,0,ROW()-1,60),ROW()-1,FALSE))</f>
        <v/>
      </c>
      <c r="AN321" t="str">
        <f ca="1">IF(AND(ISNUMBER($AN$763),$B$419=1),$AN$763,HLOOKUP(INDIRECT(ADDRESS(2,COLUMN())),OFFSET($BN$2,0,0,ROW()-1,60),ROW()-1,FALSE))</f>
        <v/>
      </c>
      <c r="AO321" t="str">
        <f ca="1">IF(AND(ISNUMBER($AO$763),$B$419=1),$AO$763,HLOOKUP(INDIRECT(ADDRESS(2,COLUMN())),OFFSET($BN$2,0,0,ROW()-1,60),ROW()-1,FALSE))</f>
        <v/>
      </c>
      <c r="AP321" t="str">
        <f ca="1">IF(AND(ISNUMBER($AP$763),$B$419=1),$AP$763,HLOOKUP(INDIRECT(ADDRESS(2,COLUMN())),OFFSET($BN$2,0,0,ROW()-1,60),ROW()-1,FALSE))</f>
        <v/>
      </c>
      <c r="AQ321" t="str">
        <f ca="1">IF(AND(ISNUMBER($AQ$763),$B$419=1),$AQ$763,HLOOKUP(INDIRECT(ADDRESS(2,COLUMN())),OFFSET($BN$2,0,0,ROW()-1,60),ROW()-1,FALSE))</f>
        <v/>
      </c>
      <c r="AR321" t="str">
        <f ca="1">IF(AND(ISNUMBER($AR$763),$B$419=1),$AR$763,HLOOKUP(INDIRECT(ADDRESS(2,COLUMN())),OFFSET($BN$2,0,0,ROW()-1,60),ROW()-1,FALSE))</f>
        <v/>
      </c>
      <c r="AS321" t="str">
        <f ca="1">IF(AND(ISNUMBER($AS$763),$B$419=1),$AS$763,HLOOKUP(INDIRECT(ADDRESS(2,COLUMN())),OFFSET($BN$2,0,0,ROW()-1,60),ROW()-1,FALSE))</f>
        <v/>
      </c>
      <c r="AT321" t="str">
        <f ca="1">IF(AND(ISNUMBER($AT$763),$B$419=1),$AT$763,HLOOKUP(INDIRECT(ADDRESS(2,COLUMN())),OFFSET($BN$2,0,0,ROW()-1,60),ROW()-1,FALSE))</f>
        <v/>
      </c>
      <c r="AU321" t="str">
        <f ca="1">IF(AND(ISNUMBER($AU$763),$B$419=1),$AU$763,HLOOKUP(INDIRECT(ADDRESS(2,COLUMN())),OFFSET($BN$2,0,0,ROW()-1,60),ROW()-1,FALSE))</f>
        <v/>
      </c>
      <c r="AV321" t="str">
        <f ca="1">IF(AND(ISNUMBER($AV$763),$B$419=1),$AV$763,HLOOKUP(INDIRECT(ADDRESS(2,COLUMN())),OFFSET($BN$2,0,0,ROW()-1,60),ROW()-1,FALSE))</f>
        <v/>
      </c>
      <c r="AW321" t="str">
        <f ca="1">IF(AND(ISNUMBER($AW$763),$B$419=1),$AW$763,HLOOKUP(INDIRECT(ADDRESS(2,COLUMN())),OFFSET($BN$2,0,0,ROW()-1,60),ROW()-1,FALSE))</f>
        <v/>
      </c>
      <c r="AX321" t="str">
        <f ca="1">IF(AND(ISNUMBER($AX$763),$B$419=1),$AX$763,HLOOKUP(INDIRECT(ADDRESS(2,COLUMN())),OFFSET($BN$2,0,0,ROW()-1,60),ROW()-1,FALSE))</f>
        <v/>
      </c>
      <c r="AY321" t="str">
        <f ca="1">IF(AND(ISNUMBER($AY$763),$B$419=1),$AY$763,HLOOKUP(INDIRECT(ADDRESS(2,COLUMN())),OFFSET($BN$2,0,0,ROW()-1,60),ROW()-1,FALSE))</f>
        <v/>
      </c>
      <c r="AZ321" t="str">
        <f ca="1">IF(AND(ISNUMBER($AZ$763),$B$419=1),$AZ$763,HLOOKUP(INDIRECT(ADDRESS(2,COLUMN())),OFFSET($BN$2,0,0,ROW()-1,60),ROW()-1,FALSE))</f>
        <v/>
      </c>
      <c r="BA321" t="str">
        <f ca="1">IF(AND(ISNUMBER($BA$763),$B$419=1),$BA$763,HLOOKUP(INDIRECT(ADDRESS(2,COLUMN())),OFFSET($BN$2,0,0,ROW()-1,60),ROW()-1,FALSE))</f>
        <v/>
      </c>
      <c r="BB321" t="str">
        <f ca="1">IF(AND(ISNUMBER($BB$763),$B$419=1),$BB$763,HLOOKUP(INDIRECT(ADDRESS(2,COLUMN())),OFFSET($BN$2,0,0,ROW()-1,60),ROW()-1,FALSE))</f>
        <v/>
      </c>
      <c r="BC321" t="str">
        <f ca="1">IF(AND(ISNUMBER($BC$763),$B$419=1),$BC$763,HLOOKUP(INDIRECT(ADDRESS(2,COLUMN())),OFFSET($BN$2,0,0,ROW()-1,60),ROW()-1,FALSE))</f>
        <v/>
      </c>
      <c r="BD321" t="str">
        <f ca="1">IF(AND(ISNUMBER($BD$763),$B$419=1),$BD$763,HLOOKUP(INDIRECT(ADDRESS(2,COLUMN())),OFFSET($BN$2,0,0,ROW()-1,60),ROW()-1,FALSE))</f>
        <v/>
      </c>
      <c r="BE321" t="str">
        <f ca="1">IF(AND(ISNUMBER($BE$763),$B$419=1),$BE$763,HLOOKUP(INDIRECT(ADDRESS(2,COLUMN())),OFFSET($BN$2,0,0,ROW()-1,60),ROW()-1,FALSE))</f>
        <v/>
      </c>
      <c r="BF321" t="str">
        <f ca="1">IF(AND(ISNUMBER($BF$763),$B$419=1),$BF$763,HLOOKUP(INDIRECT(ADDRESS(2,COLUMN())),OFFSET($BN$2,0,0,ROW()-1,60),ROW()-1,FALSE))</f>
        <v/>
      </c>
      <c r="BG321" t="str">
        <f ca="1">IF(AND(ISNUMBER($BG$763),$B$419=1),$BG$763,HLOOKUP(INDIRECT(ADDRESS(2,COLUMN())),OFFSET($BN$2,0,0,ROW()-1,60),ROW()-1,FALSE))</f>
        <v/>
      </c>
      <c r="BH321" t="str">
        <f ca="1">IF(AND(ISNUMBER($BH$763),$B$419=1),$BH$763,HLOOKUP(INDIRECT(ADDRESS(2,COLUMN())),OFFSET($BN$2,0,0,ROW()-1,60),ROW()-1,FALSE))</f>
        <v/>
      </c>
      <c r="BI321" t="str">
        <f ca="1">IF(AND(ISNUMBER($BI$763),$B$419=1),$BI$763,HLOOKUP(INDIRECT(ADDRESS(2,COLUMN())),OFFSET($BN$2,0,0,ROW()-1,60),ROW()-1,FALSE))</f>
        <v/>
      </c>
      <c r="BJ321" t="str">
        <f ca="1">IF(AND(ISNUMBER($BJ$763),$B$419=1),$BJ$763,HLOOKUP(INDIRECT(ADDRESS(2,COLUMN())),OFFSET($BN$2,0,0,ROW()-1,60),ROW()-1,FALSE))</f>
        <v/>
      </c>
      <c r="BK321" t="str">
        <f ca="1">IF(AND(ISNUMBER($BK$763),$B$419=1),$BK$763,HLOOKUP(INDIRECT(ADDRESS(2,COLUMN())),OFFSET($BN$2,0,0,ROW()-1,60),ROW()-1,FALSE))</f>
        <v/>
      </c>
      <c r="BL321" t="str">
        <f ca="1">IF(AND(ISNUMBER($BL$763),$B$419=1),$BL$763,HLOOKUP(INDIRECT(ADDRESS(2,COLUMN())),OFFSET($BN$2,0,0,ROW()-1,60),ROW()-1,FALSE))</f>
        <v/>
      </c>
      <c r="BM321" t="str">
        <f ca="1">IF(AND(ISNUMBER($BM$763),$B$419=1),$BM$763,HLOOKUP(INDIRECT(ADDRESS(2,COLUMN())),OFFSET($BN$2,0,0,ROW()-1,60),ROW()-1,FALSE))</f>
        <v/>
      </c>
      <c r="BN321">
        <f>0.888067482</f>
        <v>0.88806748199999996</v>
      </c>
      <c r="BO321">
        <f>0.800270759</f>
        <v>0.800270759</v>
      </c>
      <c r="BP321">
        <f>0.732652531</f>
        <v>0.73265253100000005</v>
      </c>
      <c r="BQ321">
        <f>0.767366841</f>
        <v>0.76736684099999997</v>
      </c>
      <c r="BR321">
        <f>0.760125311</f>
        <v>0.76012531100000003</v>
      </c>
      <c r="BS321">
        <f>0.772582349</f>
        <v>0.772582349</v>
      </c>
      <c r="BT321">
        <f>0.648667508</f>
        <v>0.64866750799999995</v>
      </c>
      <c r="BU321">
        <f>0.92361891</f>
        <v>0.92361890999999996</v>
      </c>
      <c r="BV321">
        <f>0.97222487</f>
        <v>0.97222487000000002</v>
      </c>
      <c r="BW321">
        <f>1.124525629</f>
        <v>1.1245256290000001</v>
      </c>
      <c r="BX321">
        <f>1.266480577</f>
        <v>1.2664805770000001</v>
      </c>
      <c r="BY321">
        <f>1.283549913</f>
        <v>1.2835499130000001</v>
      </c>
      <c r="BZ321">
        <f>1.164399113</f>
        <v>1.164399113</v>
      </c>
      <c r="CA321">
        <f>1.245613734</f>
        <v>1.245613734</v>
      </c>
      <c r="CB321">
        <f>1.041126191</f>
        <v>1.041126191</v>
      </c>
      <c r="CC321">
        <f>0.860555689</f>
        <v>0.86055568900000001</v>
      </c>
      <c r="CD321">
        <f>0.960690491</f>
        <v>0.96069049100000004</v>
      </c>
      <c r="CE321">
        <f>1.674238497</f>
        <v>1.6742384969999999</v>
      </c>
      <c r="CF321">
        <f>0.519068655</f>
        <v>0.51906865499999999</v>
      </c>
      <c r="CG321">
        <f>0.368711855</f>
        <v>0.36871185499999998</v>
      </c>
      <c r="CH321">
        <f>0.400594012</f>
        <v>0.400594012</v>
      </c>
      <c r="CI321">
        <f>2.636711855</f>
        <v>2.6367118550000002</v>
      </c>
      <c r="CJ321">
        <f>0.909025765</f>
        <v>0.90902576499999999</v>
      </c>
      <c r="CK321">
        <f>0.956254925</f>
        <v>0.95625492499999998</v>
      </c>
      <c r="CL321">
        <f>0.961607974</f>
        <v>0.96160797399999998</v>
      </c>
      <c r="CM321">
        <f>0.954093934</f>
        <v>0.95409393399999998</v>
      </c>
      <c r="CN321">
        <f>1.005276369</f>
        <v>1.0052763689999999</v>
      </c>
      <c r="CO321" t="str">
        <f>""</f>
        <v/>
      </c>
      <c r="CP321" t="str">
        <f>""</f>
        <v/>
      </c>
      <c r="CQ321" t="str">
        <f>""</f>
        <v/>
      </c>
      <c r="CR321" t="str">
        <f>""</f>
        <v/>
      </c>
      <c r="CS321" t="str">
        <f>""</f>
        <v/>
      </c>
      <c r="CT321" t="str">
        <f>""</f>
        <v/>
      </c>
      <c r="CU321" t="str">
        <f>""</f>
        <v/>
      </c>
      <c r="CV321" t="str">
        <f>""</f>
        <v/>
      </c>
      <c r="CW321" t="str">
        <f>""</f>
        <v/>
      </c>
      <c r="CX321" t="str">
        <f>""</f>
        <v/>
      </c>
      <c r="CY321" t="str">
        <f>""</f>
        <v/>
      </c>
      <c r="CZ321" t="str">
        <f>""</f>
        <v/>
      </c>
      <c r="DA321" t="str">
        <f>""</f>
        <v/>
      </c>
      <c r="DB321" t="str">
        <f>""</f>
        <v/>
      </c>
      <c r="DC321" t="str">
        <f>""</f>
        <v/>
      </c>
      <c r="DD321" t="str">
        <f>""</f>
        <v/>
      </c>
      <c r="DE321" t="str">
        <f>""</f>
        <v/>
      </c>
      <c r="DF321" t="str">
        <f>""</f>
        <v/>
      </c>
      <c r="DG321" t="str">
        <f>""</f>
        <v/>
      </c>
      <c r="DH321" t="str">
        <f>""</f>
        <v/>
      </c>
      <c r="DI321" t="str">
        <f>""</f>
        <v/>
      </c>
      <c r="DJ321" t="str">
        <f>""</f>
        <v/>
      </c>
      <c r="DK321" t="str">
        <f>""</f>
        <v/>
      </c>
      <c r="DL321" t="str">
        <f>""</f>
        <v/>
      </c>
      <c r="DM321" t="str">
        <f>""</f>
        <v/>
      </c>
      <c r="DN321" t="str">
        <f>""</f>
        <v/>
      </c>
      <c r="DO321" t="str">
        <f>""</f>
        <v/>
      </c>
      <c r="DP321" t="str">
        <f>""</f>
        <v/>
      </c>
      <c r="DQ321" t="str">
        <f>""</f>
        <v/>
      </c>
      <c r="DR321" t="str">
        <f>""</f>
        <v/>
      </c>
      <c r="DS321" t="str">
        <f>""</f>
        <v/>
      </c>
      <c r="DT321" t="str">
        <f>""</f>
        <v/>
      </c>
      <c r="DU321" t="str">
        <f>""</f>
        <v/>
      </c>
    </row>
    <row r="322" spans="1:125">
      <c r="A322" t="str">
        <f>"    Washington Prime Group Inc"</f>
        <v xml:space="preserve">    Washington Prime Group Inc</v>
      </c>
      <c r="B322" t="str">
        <f>"WPG US Equity"</f>
        <v>WPG US Equity</v>
      </c>
      <c r="C322" t="str">
        <f t="shared" si="57"/>
        <v>RR263</v>
      </c>
      <c r="D322" t="str">
        <f t="shared" si="58"/>
        <v>DEBT_TO_MKT_CAP</v>
      </c>
      <c r="E322" t="str">
        <f t="shared" si="59"/>
        <v>动态</v>
      </c>
      <c r="F322">
        <f ca="1">IF(AND(ISNUMBER($F$764),$B$419=1),$F$764,HLOOKUP(INDIRECT(ADDRESS(2,COLUMN())),OFFSET($BN$2,0,0,ROW()-1,60),ROW()-1,FALSE))</f>
        <v>2.4067950979999999</v>
      </c>
      <c r="G322">
        <f ca="1">IF(AND(ISNUMBER($G$764),$B$419=1),$G$764,HLOOKUP(INDIRECT(ADDRESS(2,COLUMN())),OFFSET($BN$2,0,0,ROW()-1,60),ROW()-1,FALSE))</f>
        <v>2.1904539719999998</v>
      </c>
      <c r="H322">
        <f ca="1">IF(AND(ISNUMBER($H$764),$B$419=1),$H$764,HLOOKUP(INDIRECT(ADDRESS(2,COLUMN())),OFFSET($BN$2,0,0,ROW()-1,60),ROW()-1,FALSE))</f>
        <v>1.938007281</v>
      </c>
      <c r="I322">
        <f ca="1">IF(AND(ISNUMBER($I$764),$B$419=1),$I$764,HLOOKUP(INDIRECT(ADDRESS(2,COLUMN())),OFFSET($BN$2,0,0,ROW()-1,60),ROW()-1,FALSE))</f>
        <v>1.9332761789999999</v>
      </c>
      <c r="J322">
        <f ca="1">IF(AND(ISNUMBER($J$764),$B$419=1),$J$764,HLOOKUP(INDIRECT(ADDRESS(2,COLUMN())),OFFSET($BN$2,0,0,ROW()-1,60),ROW()-1,FALSE))</f>
        <v>2.1625177550000001</v>
      </c>
      <c r="K322">
        <f ca="1">IF(AND(ISNUMBER($K$764),$B$419=1),$K$764,HLOOKUP(INDIRECT(ADDRESS(2,COLUMN())),OFFSET($BN$2,0,0,ROW()-1,60),ROW()-1,FALSE))</f>
        <v>1.816510404</v>
      </c>
      <c r="L322">
        <f ca="1">IF(AND(ISNUMBER($L$764),$B$419=1),$L$764,HLOOKUP(INDIRECT(ADDRESS(2,COLUMN())),OFFSET($BN$2,0,0,ROW()-1,60),ROW()-1,FALSE))</f>
        <v>1.544306677</v>
      </c>
      <c r="M322">
        <f ca="1">IF(AND(ISNUMBER($M$764),$B$419=1),$M$764,HLOOKUP(INDIRECT(ADDRESS(2,COLUMN())),OFFSET($BN$2,0,0,ROW()-1,60),ROW()-1,FALSE))</f>
        <v>1.6928664470000001</v>
      </c>
      <c r="N322">
        <f ca="1">IF(AND(ISNUMBER($N$764),$B$419=1),$N$764,HLOOKUP(INDIRECT(ADDRESS(2,COLUMN())),OFFSET($BN$2,0,0,ROW()-1,60),ROW()-1,FALSE))</f>
        <v>2.0641958659999999</v>
      </c>
      <c r="O322">
        <f ca="1">IF(AND(ISNUMBER($O$764),$B$419=1),$O$764,HLOOKUP(INDIRECT(ADDRESS(2,COLUMN())),OFFSET($BN$2,0,0,ROW()-1,60),ROW()-1,FALSE))</f>
        <v>1.855773229</v>
      </c>
      <c r="P322">
        <f ca="1">IF(AND(ISNUMBER($P$764),$B$419=1),$P$764,HLOOKUP(INDIRECT(ADDRESS(2,COLUMN())),OFFSET($BN$2,0,0,ROW()-1,60),ROW()-1,FALSE))</f>
        <v>1.687166054</v>
      </c>
      <c r="Q322">
        <f ca="1">IF(AND(ISNUMBER($Q$764),$B$419=1),$Q$764,HLOOKUP(INDIRECT(ADDRESS(2,COLUMN())),OFFSET($BN$2,0,0,ROW()-1,60),ROW()-1,FALSE))</f>
        <v>1.450770753</v>
      </c>
      <c r="R322">
        <f ca="1">IF(AND(ISNUMBER($R$764),$B$419=1),$R$764,HLOOKUP(INDIRECT(ADDRESS(2,COLUMN())),OFFSET($BN$2,0,0,ROW()-1,60),ROW()-1,FALSE))</f>
        <v>1.5789178580000001</v>
      </c>
      <c r="S322">
        <f ca="1">IF(AND(ISNUMBER($S$764),$B$419=1),$S$764,HLOOKUP(INDIRECT(ADDRESS(2,COLUMN())),OFFSET($BN$2,0,0,ROW()-1,60),ROW()-1,FALSE))</f>
        <v>0.87909879099999999</v>
      </c>
      <c r="T322">
        <f ca="1">IF(AND(ISNUMBER($T$764),$B$419=1),$T$764,HLOOKUP(INDIRECT(ADDRESS(2,COLUMN())),OFFSET($BN$2,0,0,ROW()-1,60),ROW()-1,FALSE))</f>
        <v>0.863608712</v>
      </c>
      <c r="U322">
        <f ca="1">IF(AND(ISNUMBER($U$764),$B$419=1),$U$764,HLOOKUP(INDIRECT(ADDRESS(2,COLUMN())),OFFSET($BN$2,0,0,ROW()-1,60),ROW()-1,FALSE))</f>
        <v>0.80721466200000003</v>
      </c>
      <c r="V322" t="str">
        <f ca="1">IF(AND(ISNUMBER($V$764),$B$419=1),$V$764,HLOOKUP(INDIRECT(ADDRESS(2,COLUMN())),OFFSET($BN$2,0,0,ROW()-1,60),ROW()-1,FALSE))</f>
        <v/>
      </c>
      <c r="W322" t="str">
        <f ca="1">IF(AND(ISNUMBER($W$764),$B$419=1),$W$764,HLOOKUP(INDIRECT(ADDRESS(2,COLUMN())),OFFSET($BN$2,0,0,ROW()-1,60),ROW()-1,FALSE))</f>
        <v/>
      </c>
      <c r="X322" t="str">
        <f ca="1">IF(AND(ISNUMBER($X$764),$B$419=1),$X$764,HLOOKUP(INDIRECT(ADDRESS(2,COLUMN())),OFFSET($BN$2,0,0,ROW()-1,60),ROW()-1,FALSE))</f>
        <v/>
      </c>
      <c r="Y322" t="str">
        <f ca="1">IF(AND(ISNUMBER($Y$764),$B$419=1),$Y$764,HLOOKUP(INDIRECT(ADDRESS(2,COLUMN())),OFFSET($BN$2,0,0,ROW()-1,60),ROW()-1,FALSE))</f>
        <v/>
      </c>
      <c r="Z322" t="str">
        <f ca="1">IF(AND(ISNUMBER($Z$764),$B$419=1),$Z$764,HLOOKUP(INDIRECT(ADDRESS(2,COLUMN())),OFFSET($BN$2,0,0,ROW()-1,60),ROW()-1,FALSE))</f>
        <v/>
      </c>
      <c r="AA322" t="str">
        <f ca="1">IF(AND(ISNUMBER($AA$764),$B$419=1),$AA$764,HLOOKUP(INDIRECT(ADDRESS(2,COLUMN())),OFFSET($BN$2,0,0,ROW()-1,60),ROW()-1,FALSE))</f>
        <v/>
      </c>
      <c r="AB322" t="str">
        <f ca="1">IF(AND(ISNUMBER($AB$764),$B$419=1),$AB$764,HLOOKUP(INDIRECT(ADDRESS(2,COLUMN())),OFFSET($BN$2,0,0,ROW()-1,60),ROW()-1,FALSE))</f>
        <v/>
      </c>
      <c r="AC322" t="str">
        <f ca="1">IF(AND(ISNUMBER($AC$764),$B$419=1),$AC$764,HLOOKUP(INDIRECT(ADDRESS(2,COLUMN())),OFFSET($BN$2,0,0,ROW()-1,60),ROW()-1,FALSE))</f>
        <v/>
      </c>
      <c r="AD322" t="str">
        <f ca="1">IF(AND(ISNUMBER($AD$764),$B$419=1),$AD$764,HLOOKUP(INDIRECT(ADDRESS(2,COLUMN())),OFFSET($BN$2,0,0,ROW()-1,60),ROW()-1,FALSE))</f>
        <v/>
      </c>
      <c r="AE322" t="str">
        <f ca="1">IF(AND(ISNUMBER($AE$764),$B$419=1),$AE$764,HLOOKUP(INDIRECT(ADDRESS(2,COLUMN())),OFFSET($BN$2,0,0,ROW()-1,60),ROW()-1,FALSE))</f>
        <v/>
      </c>
      <c r="AF322" t="str">
        <f ca="1">IF(AND(ISNUMBER($AF$764),$B$419=1),$AF$764,HLOOKUP(INDIRECT(ADDRESS(2,COLUMN())),OFFSET($BN$2,0,0,ROW()-1,60),ROW()-1,FALSE))</f>
        <v/>
      </c>
      <c r="AG322" t="str">
        <f ca="1">IF(AND(ISNUMBER($AG$764),$B$419=1),$AG$764,HLOOKUP(INDIRECT(ADDRESS(2,COLUMN())),OFFSET($BN$2,0,0,ROW()-1,60),ROW()-1,FALSE))</f>
        <v/>
      </c>
      <c r="AH322" t="str">
        <f ca="1">IF(AND(ISNUMBER($AH$764),$B$419=1),$AH$764,HLOOKUP(INDIRECT(ADDRESS(2,COLUMN())),OFFSET($BN$2,0,0,ROW()-1,60),ROW()-1,FALSE))</f>
        <v/>
      </c>
      <c r="AI322" t="str">
        <f ca="1">IF(AND(ISNUMBER($AI$764),$B$419=1),$AI$764,HLOOKUP(INDIRECT(ADDRESS(2,COLUMN())),OFFSET($BN$2,0,0,ROW()-1,60),ROW()-1,FALSE))</f>
        <v/>
      </c>
      <c r="AJ322" t="str">
        <f ca="1">IF(AND(ISNUMBER($AJ$764),$B$419=1),$AJ$764,HLOOKUP(INDIRECT(ADDRESS(2,COLUMN())),OFFSET($BN$2,0,0,ROW()-1,60),ROW()-1,FALSE))</f>
        <v/>
      </c>
      <c r="AK322" t="str">
        <f ca="1">IF(AND(ISNUMBER($AK$764),$B$419=1),$AK$764,HLOOKUP(INDIRECT(ADDRESS(2,COLUMN())),OFFSET($BN$2,0,0,ROW()-1,60),ROW()-1,FALSE))</f>
        <v/>
      </c>
      <c r="AL322" t="str">
        <f ca="1">IF(AND(ISNUMBER($AL$764),$B$419=1),$AL$764,HLOOKUP(INDIRECT(ADDRESS(2,COLUMN())),OFFSET($BN$2,0,0,ROW()-1,60),ROW()-1,FALSE))</f>
        <v/>
      </c>
      <c r="AM322" t="str">
        <f ca="1">IF(AND(ISNUMBER($AM$764),$B$419=1),$AM$764,HLOOKUP(INDIRECT(ADDRESS(2,COLUMN())),OFFSET($BN$2,0,0,ROW()-1,60),ROW()-1,FALSE))</f>
        <v/>
      </c>
      <c r="AN322" t="str">
        <f ca="1">IF(AND(ISNUMBER($AN$764),$B$419=1),$AN$764,HLOOKUP(INDIRECT(ADDRESS(2,COLUMN())),OFFSET($BN$2,0,0,ROW()-1,60),ROW()-1,FALSE))</f>
        <v/>
      </c>
      <c r="AO322" t="str">
        <f ca="1">IF(AND(ISNUMBER($AO$764),$B$419=1),$AO$764,HLOOKUP(INDIRECT(ADDRESS(2,COLUMN())),OFFSET($BN$2,0,0,ROW()-1,60),ROW()-1,FALSE))</f>
        <v/>
      </c>
      <c r="AP322" t="str">
        <f ca="1">IF(AND(ISNUMBER($AP$764),$B$419=1),$AP$764,HLOOKUP(INDIRECT(ADDRESS(2,COLUMN())),OFFSET($BN$2,0,0,ROW()-1,60),ROW()-1,FALSE))</f>
        <v/>
      </c>
      <c r="AQ322" t="str">
        <f ca="1">IF(AND(ISNUMBER($AQ$764),$B$419=1),$AQ$764,HLOOKUP(INDIRECT(ADDRESS(2,COLUMN())),OFFSET($BN$2,0,0,ROW()-1,60),ROW()-1,FALSE))</f>
        <v/>
      </c>
      <c r="AR322" t="str">
        <f ca="1">IF(AND(ISNUMBER($AR$764),$B$419=1),$AR$764,HLOOKUP(INDIRECT(ADDRESS(2,COLUMN())),OFFSET($BN$2,0,0,ROW()-1,60),ROW()-1,FALSE))</f>
        <v/>
      </c>
      <c r="AS322" t="str">
        <f ca="1">IF(AND(ISNUMBER($AS$764),$B$419=1),$AS$764,HLOOKUP(INDIRECT(ADDRESS(2,COLUMN())),OFFSET($BN$2,0,0,ROW()-1,60),ROW()-1,FALSE))</f>
        <v/>
      </c>
      <c r="AT322" t="str">
        <f ca="1">IF(AND(ISNUMBER($AT$764),$B$419=1),$AT$764,HLOOKUP(INDIRECT(ADDRESS(2,COLUMN())),OFFSET($BN$2,0,0,ROW()-1,60),ROW()-1,FALSE))</f>
        <v/>
      </c>
      <c r="AU322" t="str">
        <f ca="1">IF(AND(ISNUMBER($AU$764),$B$419=1),$AU$764,HLOOKUP(INDIRECT(ADDRESS(2,COLUMN())),OFFSET($BN$2,0,0,ROW()-1,60),ROW()-1,FALSE))</f>
        <v/>
      </c>
      <c r="AV322" t="str">
        <f ca="1">IF(AND(ISNUMBER($AV$764),$B$419=1),$AV$764,HLOOKUP(INDIRECT(ADDRESS(2,COLUMN())),OFFSET($BN$2,0,0,ROW()-1,60),ROW()-1,FALSE))</f>
        <v/>
      </c>
      <c r="AW322" t="str">
        <f ca="1">IF(AND(ISNUMBER($AW$764),$B$419=1),$AW$764,HLOOKUP(INDIRECT(ADDRESS(2,COLUMN())),OFFSET($BN$2,0,0,ROW()-1,60),ROW()-1,FALSE))</f>
        <v/>
      </c>
      <c r="AX322" t="str">
        <f ca="1">IF(AND(ISNUMBER($AX$764),$B$419=1),$AX$764,HLOOKUP(INDIRECT(ADDRESS(2,COLUMN())),OFFSET($BN$2,0,0,ROW()-1,60),ROW()-1,FALSE))</f>
        <v/>
      </c>
      <c r="AY322" t="str">
        <f ca="1">IF(AND(ISNUMBER($AY$764),$B$419=1),$AY$764,HLOOKUP(INDIRECT(ADDRESS(2,COLUMN())),OFFSET($BN$2,0,0,ROW()-1,60),ROW()-1,FALSE))</f>
        <v/>
      </c>
      <c r="AZ322" t="str">
        <f ca="1">IF(AND(ISNUMBER($AZ$764),$B$419=1),$AZ$764,HLOOKUP(INDIRECT(ADDRESS(2,COLUMN())),OFFSET($BN$2,0,0,ROW()-1,60),ROW()-1,FALSE))</f>
        <v/>
      </c>
      <c r="BA322" t="str">
        <f ca="1">IF(AND(ISNUMBER($BA$764),$B$419=1),$BA$764,HLOOKUP(INDIRECT(ADDRESS(2,COLUMN())),OFFSET($BN$2,0,0,ROW()-1,60),ROW()-1,FALSE))</f>
        <v/>
      </c>
      <c r="BB322" t="str">
        <f ca="1">IF(AND(ISNUMBER($BB$764),$B$419=1),$BB$764,HLOOKUP(INDIRECT(ADDRESS(2,COLUMN())),OFFSET($BN$2,0,0,ROW()-1,60),ROW()-1,FALSE))</f>
        <v/>
      </c>
      <c r="BC322" t="str">
        <f ca="1">IF(AND(ISNUMBER($BC$764),$B$419=1),$BC$764,HLOOKUP(INDIRECT(ADDRESS(2,COLUMN())),OFFSET($BN$2,0,0,ROW()-1,60),ROW()-1,FALSE))</f>
        <v/>
      </c>
      <c r="BD322" t="str">
        <f ca="1">IF(AND(ISNUMBER($BD$764),$B$419=1),$BD$764,HLOOKUP(INDIRECT(ADDRESS(2,COLUMN())),OFFSET($BN$2,0,0,ROW()-1,60),ROW()-1,FALSE))</f>
        <v/>
      </c>
      <c r="BE322" t="str">
        <f ca="1">IF(AND(ISNUMBER($BE$764),$B$419=1),$BE$764,HLOOKUP(INDIRECT(ADDRESS(2,COLUMN())),OFFSET($BN$2,0,0,ROW()-1,60),ROW()-1,FALSE))</f>
        <v/>
      </c>
      <c r="BF322" t="str">
        <f ca="1">IF(AND(ISNUMBER($BF$764),$B$419=1),$BF$764,HLOOKUP(INDIRECT(ADDRESS(2,COLUMN())),OFFSET($BN$2,0,0,ROW()-1,60),ROW()-1,FALSE))</f>
        <v/>
      </c>
      <c r="BG322" t="str">
        <f ca="1">IF(AND(ISNUMBER($BG$764),$B$419=1),$BG$764,HLOOKUP(INDIRECT(ADDRESS(2,COLUMN())),OFFSET($BN$2,0,0,ROW()-1,60),ROW()-1,FALSE))</f>
        <v/>
      </c>
      <c r="BH322" t="str">
        <f ca="1">IF(AND(ISNUMBER($BH$764),$B$419=1),$BH$764,HLOOKUP(INDIRECT(ADDRESS(2,COLUMN())),OFFSET($BN$2,0,0,ROW()-1,60),ROW()-1,FALSE))</f>
        <v/>
      </c>
      <c r="BI322" t="str">
        <f ca="1">IF(AND(ISNUMBER($BI$764),$B$419=1),$BI$764,HLOOKUP(INDIRECT(ADDRESS(2,COLUMN())),OFFSET($BN$2,0,0,ROW()-1,60),ROW()-1,FALSE))</f>
        <v/>
      </c>
      <c r="BJ322" t="str">
        <f ca="1">IF(AND(ISNUMBER($BJ$764),$B$419=1),$BJ$764,HLOOKUP(INDIRECT(ADDRESS(2,COLUMN())),OFFSET($BN$2,0,0,ROW()-1,60),ROW()-1,FALSE))</f>
        <v/>
      </c>
      <c r="BK322" t="str">
        <f ca="1">IF(AND(ISNUMBER($BK$764),$B$419=1),$BK$764,HLOOKUP(INDIRECT(ADDRESS(2,COLUMN())),OFFSET($BN$2,0,0,ROW()-1,60),ROW()-1,FALSE))</f>
        <v/>
      </c>
      <c r="BL322" t="str">
        <f ca="1">IF(AND(ISNUMBER($BL$764),$B$419=1),$BL$764,HLOOKUP(INDIRECT(ADDRESS(2,COLUMN())),OFFSET($BN$2,0,0,ROW()-1,60),ROW()-1,FALSE))</f>
        <v/>
      </c>
      <c r="BM322" t="str">
        <f ca="1">IF(AND(ISNUMBER($BM$764),$B$419=1),$BM$764,HLOOKUP(INDIRECT(ADDRESS(2,COLUMN())),OFFSET($BN$2,0,0,ROW()-1,60),ROW()-1,FALSE))</f>
        <v/>
      </c>
      <c r="BN322">
        <f>2.406795098</f>
        <v>2.4067950979999999</v>
      </c>
      <c r="BO322">
        <f>2.190453972</f>
        <v>2.1904539719999998</v>
      </c>
      <c r="BP322">
        <f>1.938007281</f>
        <v>1.938007281</v>
      </c>
      <c r="BQ322">
        <f>1.933276179</f>
        <v>1.9332761789999999</v>
      </c>
      <c r="BR322">
        <f>2.162517755</f>
        <v>2.1625177550000001</v>
      </c>
      <c r="BS322">
        <f>1.816510404</f>
        <v>1.816510404</v>
      </c>
      <c r="BT322">
        <f>1.544306677</f>
        <v>1.544306677</v>
      </c>
      <c r="BU322">
        <f>1.692866447</f>
        <v>1.6928664470000001</v>
      </c>
      <c r="BV322">
        <f>2.064195866</f>
        <v>2.0641958659999999</v>
      </c>
      <c r="BW322">
        <f>1.855773229</f>
        <v>1.855773229</v>
      </c>
      <c r="BX322">
        <f>1.687166054</f>
        <v>1.687166054</v>
      </c>
      <c r="BY322">
        <f>1.450770753</f>
        <v>1.450770753</v>
      </c>
      <c r="BZ322">
        <f>1.578917858</f>
        <v>1.5789178580000001</v>
      </c>
      <c r="CA322">
        <f>0.879098791</f>
        <v>0.87909879099999999</v>
      </c>
      <c r="CB322">
        <f>0.863608712</f>
        <v>0.863608712</v>
      </c>
      <c r="CC322">
        <f>0.807214662</f>
        <v>0.80721466200000003</v>
      </c>
      <c r="CD322" t="str">
        <f>""</f>
        <v/>
      </c>
      <c r="CE322" t="str">
        <f>""</f>
        <v/>
      </c>
      <c r="CF322" t="str">
        <f>""</f>
        <v/>
      </c>
      <c r="CG322" t="str">
        <f>""</f>
        <v/>
      </c>
      <c r="CH322" t="str">
        <f>""</f>
        <v/>
      </c>
      <c r="CI322" t="str">
        <f>""</f>
        <v/>
      </c>
      <c r="CJ322" t="str">
        <f>""</f>
        <v/>
      </c>
      <c r="CK322" t="str">
        <f>""</f>
        <v/>
      </c>
      <c r="CL322" t="str">
        <f>""</f>
        <v/>
      </c>
      <c r="CM322" t="str">
        <f>""</f>
        <v/>
      </c>
      <c r="CN322" t="str">
        <f>""</f>
        <v/>
      </c>
      <c r="CO322" t="str">
        <f>""</f>
        <v/>
      </c>
      <c r="CP322" t="str">
        <f>""</f>
        <v/>
      </c>
      <c r="CQ322" t="str">
        <f>""</f>
        <v/>
      </c>
      <c r="CR322" t="str">
        <f>""</f>
        <v/>
      </c>
      <c r="CS322" t="str">
        <f>""</f>
        <v/>
      </c>
      <c r="CT322" t="str">
        <f>""</f>
        <v/>
      </c>
      <c r="CU322" t="str">
        <f>""</f>
        <v/>
      </c>
      <c r="CV322" t="str">
        <f>""</f>
        <v/>
      </c>
      <c r="CW322" t="str">
        <f>""</f>
        <v/>
      </c>
      <c r="CX322" t="str">
        <f>""</f>
        <v/>
      </c>
      <c r="CY322" t="str">
        <f>""</f>
        <v/>
      </c>
      <c r="CZ322" t="str">
        <f>""</f>
        <v/>
      </c>
      <c r="DA322" t="str">
        <f>""</f>
        <v/>
      </c>
      <c r="DB322" t="str">
        <f>""</f>
        <v/>
      </c>
      <c r="DC322" t="str">
        <f>""</f>
        <v/>
      </c>
      <c r="DD322" t="str">
        <f>""</f>
        <v/>
      </c>
      <c r="DE322" t="str">
        <f>""</f>
        <v/>
      </c>
      <c r="DF322" t="str">
        <f>""</f>
        <v/>
      </c>
      <c r="DG322" t="str">
        <f>""</f>
        <v/>
      </c>
      <c r="DH322" t="str">
        <f>""</f>
        <v/>
      </c>
      <c r="DI322" t="str">
        <f>""</f>
        <v/>
      </c>
      <c r="DJ322" t="str">
        <f>""</f>
        <v/>
      </c>
      <c r="DK322" t="str">
        <f>""</f>
        <v/>
      </c>
      <c r="DL322" t="str">
        <f>""</f>
        <v/>
      </c>
      <c r="DM322" t="str">
        <f>""</f>
        <v/>
      </c>
      <c r="DN322" t="str">
        <f>""</f>
        <v/>
      </c>
      <c r="DO322" t="str">
        <f>""</f>
        <v/>
      </c>
      <c r="DP322" t="str">
        <f>""</f>
        <v/>
      </c>
      <c r="DQ322" t="str">
        <f>""</f>
        <v/>
      </c>
      <c r="DR322" t="str">
        <f>""</f>
        <v/>
      </c>
      <c r="DS322" t="str">
        <f>""</f>
        <v/>
      </c>
      <c r="DT322" t="str">
        <f>""</f>
        <v/>
      </c>
      <c r="DU322" t="str">
        <f>""</f>
        <v/>
      </c>
    </row>
    <row r="323" spans="1:125">
      <c r="A323" t="str">
        <f>"    Weingarten Realty Investors"</f>
        <v xml:space="preserve">    Weingarten Realty Investors</v>
      </c>
      <c r="B323" t="str">
        <f>"WRI US Equity"</f>
        <v>WRI US Equity</v>
      </c>
      <c r="C323" t="str">
        <f t="shared" si="57"/>
        <v>RR263</v>
      </c>
      <c r="D323" t="str">
        <f t="shared" si="58"/>
        <v>DEBT_TO_MKT_CAP</v>
      </c>
      <c r="E323" t="str">
        <f t="shared" si="59"/>
        <v>动态</v>
      </c>
      <c r="F323">
        <f ca="1">IF(AND(ISNUMBER($F$765),$B$419=1),$F$765,HLOOKUP(INDIRECT(ADDRESS(2,COLUMN())),OFFSET($BN$2,0,0,ROW()-1,60),ROW()-1,FALSE))</f>
        <v>0.58108063600000004</v>
      </c>
      <c r="G323">
        <f ca="1">IF(AND(ISNUMBER($G$765),$B$419=1),$G$765,HLOOKUP(INDIRECT(ADDRESS(2,COLUMN())),OFFSET($BN$2,0,0,ROW()-1,60),ROW()-1,FALSE))</f>
        <v>0.49299467699999999</v>
      </c>
      <c r="H323">
        <f ca="1">IF(AND(ISNUMBER($H$765),$B$419=1),$H$765,HLOOKUP(INDIRECT(ADDRESS(2,COLUMN())),OFFSET($BN$2,0,0,ROW()-1,60),ROW()-1,FALSE))</f>
        <v>0.54325883399999997</v>
      </c>
      <c r="I323">
        <f ca="1">IF(AND(ISNUMBER($I$765),$B$419=1),$I$765,HLOOKUP(INDIRECT(ADDRESS(2,COLUMN())),OFFSET($BN$2,0,0,ROW()-1,60),ROW()-1,FALSE))</f>
        <v>0.59295488399999996</v>
      </c>
      <c r="J323">
        <f ca="1">IF(AND(ISNUMBER($J$765),$B$419=1),$J$765,HLOOKUP(INDIRECT(ADDRESS(2,COLUMN())),OFFSET($BN$2,0,0,ROW()-1,60),ROW()-1,FALSE))</f>
        <v>0.54227386</v>
      </c>
      <c r="K323">
        <f ca="1">IF(AND(ISNUMBER($K$765),$B$419=1),$K$765,HLOOKUP(INDIRECT(ADDRESS(2,COLUMN())),OFFSET($BN$2,0,0,ROW()-1,60),ROW()-1,FALSE))</f>
        <v>0.51413789600000004</v>
      </c>
      <c r="L323">
        <f ca="1">IF(AND(ISNUMBER($L$765),$B$419=1),$L$765,HLOOKUP(INDIRECT(ADDRESS(2,COLUMN())),OFFSET($BN$2,0,0,ROW()-1,60),ROW()-1,FALSE))</f>
        <v>0.46576174999999997</v>
      </c>
      <c r="M323">
        <f ca="1">IF(AND(ISNUMBER($M$765),$B$419=1),$M$765,HLOOKUP(INDIRECT(ADDRESS(2,COLUMN())),OFFSET($BN$2,0,0,ROW()-1,60),ROW()-1,FALSE))</f>
        <v>0.40065774999999998</v>
      </c>
      <c r="N323">
        <f ca="1">IF(AND(ISNUMBER($N$765),$B$419=1),$N$765,HLOOKUP(INDIRECT(ADDRESS(2,COLUMN())),OFFSET($BN$2,0,0,ROW()-1,60),ROW()-1,FALSE))</f>
        <v>0.469870012</v>
      </c>
      <c r="O323">
        <f ca="1">IF(AND(ISNUMBER($O$765),$B$419=1),$O$765,HLOOKUP(INDIRECT(ADDRESS(2,COLUMN())),OFFSET($BN$2,0,0,ROW()-1,60),ROW()-1,FALSE))</f>
        <v>0.49306756699999998</v>
      </c>
      <c r="P323">
        <f ca="1">IF(AND(ISNUMBER($P$765),$B$419=1),$P$765,HLOOKUP(INDIRECT(ADDRESS(2,COLUMN())),OFFSET($BN$2,0,0,ROW()-1,60),ROW()-1,FALSE))</f>
        <v>0.51519428899999997</v>
      </c>
      <c r="Q323">
        <f ca="1">IF(AND(ISNUMBER($Q$765),$B$419=1),$Q$765,HLOOKUP(INDIRECT(ADDRESS(2,COLUMN())),OFFSET($BN$2,0,0,ROW()-1,60),ROW()-1,FALSE))</f>
        <v>0.51548735499999998</v>
      </c>
      <c r="R323">
        <f ca="1">IF(AND(ISNUMBER($R$765),$B$419=1),$R$765,HLOOKUP(INDIRECT(ADDRESS(2,COLUMN())),OFFSET($BN$2,0,0,ROW()-1,60),ROW()-1,FALSE))</f>
        <v>0.43855334299999998</v>
      </c>
      <c r="S323">
        <f ca="1">IF(AND(ISNUMBER($S$765),$B$419=1),$S$765,HLOOKUP(INDIRECT(ADDRESS(2,COLUMN())),OFFSET($BN$2,0,0,ROW()-1,60),ROW()-1,FALSE))</f>
        <v>0.45200890300000002</v>
      </c>
      <c r="T323">
        <f ca="1">IF(AND(ISNUMBER($T$765),$B$419=1),$T$765,HLOOKUP(INDIRECT(ADDRESS(2,COLUMN())),OFFSET($BN$2,0,0,ROW()-1,60),ROW()-1,FALSE))</f>
        <v>0.52138906600000001</v>
      </c>
      <c r="U323">
        <f ca="1">IF(AND(ISNUMBER($U$765),$B$419=1),$U$765,HLOOKUP(INDIRECT(ADDRESS(2,COLUMN())),OFFSET($BN$2,0,0,ROW()-1,60),ROW()-1,FALSE))</f>
        <v>0.51683128199999995</v>
      </c>
      <c r="V323">
        <f ca="1">IF(AND(ISNUMBER($V$765),$B$419=1),$V$765,HLOOKUP(INDIRECT(ADDRESS(2,COLUMN())),OFFSET($BN$2,0,0,ROW()-1,60),ROW()-1,FALSE))</f>
        <v>0.57193443300000002</v>
      </c>
      <c r="W323">
        <f ca="1">IF(AND(ISNUMBER($W$765),$B$419=1),$W$765,HLOOKUP(INDIRECT(ADDRESS(2,COLUMN())),OFFSET($BN$2,0,0,ROW()-1,60),ROW()-1,FALSE))</f>
        <v>0.68781201300000006</v>
      </c>
      <c r="X323">
        <f ca="1">IF(AND(ISNUMBER($X$765),$B$419=1),$X$765,HLOOKUP(INDIRECT(ADDRESS(2,COLUMN())),OFFSET($BN$2,0,0,ROW()-1,60),ROW()-1,FALSE))</f>
        <v>0.64142457500000005</v>
      </c>
      <c r="Y323">
        <f ca="1">IF(AND(ISNUMBER($Y$765),$B$419=1),$Y$765,HLOOKUP(INDIRECT(ADDRESS(2,COLUMN())),OFFSET($BN$2,0,0,ROW()-1,60),ROW()-1,FALSE))</f>
        <v>0.62769791600000002</v>
      </c>
      <c r="Z323">
        <f ca="1">IF(AND(ISNUMBER($Z$765),$B$419=1),$Z$765,HLOOKUP(INDIRECT(ADDRESS(2,COLUMN())),OFFSET($BN$2,0,0,ROW()-1,60),ROW()-1,FALSE))</f>
        <v>0.60511122500000003</v>
      </c>
      <c r="AA323">
        <f ca="1">IF(AND(ISNUMBER($AA$765),$B$419=1),$AA$765,HLOOKUP(INDIRECT(ADDRESS(2,COLUMN())),OFFSET($BN$2,0,0,ROW()-1,60),ROW()-1,FALSE))</f>
        <v>0.67844618199999995</v>
      </c>
      <c r="AB323">
        <f ca="1">IF(AND(ISNUMBER($AB$765),$B$419=1),$AB$765,HLOOKUP(INDIRECT(ADDRESS(2,COLUMN())),OFFSET($BN$2,0,0,ROW()-1,60),ROW()-1,FALSE))</f>
        <v>0.65347001000000005</v>
      </c>
      <c r="AC323">
        <f ca="1">IF(AND(ISNUMBER($AC$765),$B$419=1),$AC$765,HLOOKUP(INDIRECT(ADDRESS(2,COLUMN())),OFFSET($BN$2,0,0,ROW()-1,60),ROW()-1,FALSE))</f>
        <v>0.68750524400000002</v>
      </c>
      <c r="AD323">
        <f ca="1">IF(AND(ISNUMBER($AD$765),$B$419=1),$AD$765,HLOOKUP(INDIRECT(ADDRESS(2,COLUMN())),OFFSET($BN$2,0,0,ROW()-1,60),ROW()-1,FALSE))</f>
        <v>0.781961252</v>
      </c>
      <c r="AE323">
        <f ca="1">IF(AND(ISNUMBER($AE$765),$B$419=1),$AE$765,HLOOKUP(INDIRECT(ADDRESS(2,COLUMN())),OFFSET($BN$2,0,0,ROW()-1,60),ROW()-1,FALSE))</f>
        <v>0.96022135900000005</v>
      </c>
      <c r="AF323">
        <f ca="1">IF(AND(ISNUMBER($AF$765),$B$419=1),$AF$765,HLOOKUP(INDIRECT(ADDRESS(2,COLUMN())),OFFSET($BN$2,0,0,ROW()-1,60),ROW()-1,FALSE))</f>
        <v>1.018622785</v>
      </c>
      <c r="AG323">
        <f ca="1">IF(AND(ISNUMBER($AG$765),$B$419=1),$AG$765,HLOOKUP(INDIRECT(ADDRESS(2,COLUMN())),OFFSET($BN$2,0,0,ROW()-1,60),ROW()-1,FALSE))</f>
        <v>0.86108646600000005</v>
      </c>
      <c r="AH323">
        <f ca="1">IF(AND(ISNUMBER($AH$765),$B$419=1),$AH$765,HLOOKUP(INDIRECT(ADDRESS(2,COLUMN())),OFFSET($BN$2,0,0,ROW()-1,60),ROW()-1,FALSE))</f>
        <v>0.87591486399999996</v>
      </c>
      <c r="AI323">
        <f ca="1">IF(AND(ISNUMBER($AI$765),$B$419=1),$AI$765,HLOOKUP(INDIRECT(ADDRESS(2,COLUMN())),OFFSET($BN$2,0,0,ROW()-1,60),ROW()-1,FALSE))</f>
        <v>0.90505905499999995</v>
      </c>
      <c r="AJ323">
        <f ca="1">IF(AND(ISNUMBER($AJ$765),$B$419=1),$AJ$765,HLOOKUP(INDIRECT(ADDRESS(2,COLUMN())),OFFSET($BN$2,0,0,ROW()-1,60),ROW()-1,FALSE))</f>
        <v>0.98019487500000002</v>
      </c>
      <c r="AK323">
        <f ca="1">IF(AND(ISNUMBER($AK$765),$B$419=1),$AK$765,HLOOKUP(INDIRECT(ADDRESS(2,COLUMN())),OFFSET($BN$2,0,0,ROW()-1,60),ROW()-1,FALSE))</f>
        <v>1.1112557759999999</v>
      </c>
      <c r="AL323">
        <f ca="1">IF(AND(ISNUMBER($AL$765),$B$419=1),$AL$765,HLOOKUP(INDIRECT(ADDRESS(2,COLUMN())),OFFSET($BN$2,0,0,ROW()-1,60),ROW()-1,FALSE))</f>
        <v>0.95802016800000001</v>
      </c>
      <c r="AM323">
        <f ca="1">IF(AND(ISNUMBER($AM$765),$B$419=1),$AM$765,HLOOKUP(INDIRECT(ADDRESS(2,COLUMN())),OFFSET($BN$2,0,0,ROW()-1,60),ROW()-1,FALSE))</f>
        <v>1.067999613</v>
      </c>
      <c r="AN323">
        <f ca="1">IF(AND(ISNUMBER($AN$765),$B$419=1),$AN$765,HLOOKUP(INDIRECT(ADDRESS(2,COLUMN())),OFFSET($BN$2,0,0,ROW()-1,60),ROW()-1,FALSE))</f>
        <v>1.141944303</v>
      </c>
      <c r="AO323">
        <f ca="1">IF(AND(ISNUMBER($AO$765),$B$419=1),$AO$765,HLOOKUP(INDIRECT(ADDRESS(2,COLUMN())),OFFSET($BN$2,0,0,ROW()-1,60),ROW()-1,FALSE))</f>
        <v>1.5322331920000001</v>
      </c>
      <c r="AP323">
        <f ca="1">IF(AND(ISNUMBER($AP$765),$B$419=1),$AP$765,HLOOKUP(INDIRECT(ADDRESS(2,COLUMN())),OFFSET($BN$2,0,0,ROW()-1,60),ROW()-1,FALSE))</f>
        <v>3.821206815</v>
      </c>
      <c r="AQ323">
        <f ca="1">IF(AND(ISNUMBER($AQ$765),$B$419=1),$AQ$765,HLOOKUP(INDIRECT(ADDRESS(2,COLUMN())),OFFSET($BN$2,0,0,ROW()-1,60),ROW()-1,FALSE))</f>
        <v>1.747939278</v>
      </c>
      <c r="AR323">
        <f ca="1">IF(AND(ISNUMBER($AR$765),$B$419=1),$AR$765,HLOOKUP(INDIRECT(ADDRESS(2,COLUMN())),OFFSET($BN$2,0,0,ROW()-1,60),ROW()-1,FALSE))</f>
        <v>1.1077143840000001</v>
      </c>
      <c r="AS323">
        <f ca="1">IF(AND(ISNUMBER($AS$765),$B$419=1),$AS$765,HLOOKUP(INDIRECT(ADDRESS(2,COLUMN())),OFFSET($BN$2,0,0,ROW()-1,60),ROW()-1,FALSE))</f>
        <v>1.252323071</v>
      </c>
      <c r="AT323">
        <f ca="1">IF(AND(ISNUMBER($AT$765),$B$419=1),$AT$765,HLOOKUP(INDIRECT(ADDRESS(2,COLUMN())),OFFSET($BN$2,0,0,ROW()-1,60),ROW()-1,FALSE))</f>
        <v>1.114057689</v>
      </c>
      <c r="AU323">
        <f ca="1">IF(AND(ISNUMBER($AU$765),$B$419=1),$AU$765,HLOOKUP(INDIRECT(ADDRESS(2,COLUMN())),OFFSET($BN$2,0,0,ROW()-1,60),ROW()-1,FALSE))</f>
        <v>1.1831606139999999</v>
      </c>
      <c r="AV323">
        <f ca="1">IF(AND(ISNUMBER($AV$765),$B$419=1),$AV$765,HLOOKUP(INDIRECT(ADDRESS(2,COLUMN())),OFFSET($BN$2,0,0,ROW()-1,60),ROW()-1,FALSE))</f>
        <v>0.85249604499999998</v>
      </c>
      <c r="AW323">
        <f ca="1">IF(AND(ISNUMBER($AW$765),$B$419=1),$AW$765,HLOOKUP(INDIRECT(ADDRESS(2,COLUMN())),OFFSET($BN$2,0,0,ROW()-1,60),ROW()-1,FALSE))</f>
        <v>0.81461347699999997</v>
      </c>
      <c r="AX323">
        <f ca="1">IF(AND(ISNUMBER($AX$765),$B$419=1),$AX$765,HLOOKUP(INDIRECT(ADDRESS(2,COLUMN())),OFFSET($BN$2,0,0,ROW()-1,60),ROW()-1,FALSE))</f>
        <v>0.70330706600000004</v>
      </c>
      <c r="AY323">
        <f ca="1">IF(AND(ISNUMBER($AY$765),$B$419=1),$AY$765,HLOOKUP(INDIRECT(ADDRESS(2,COLUMN())),OFFSET($BN$2,0,0,ROW()-1,60),ROW()-1,FALSE))</f>
        <v>0.74517066399999998</v>
      </c>
      <c r="AZ323">
        <f ca="1">IF(AND(ISNUMBER($AZ$765),$B$419=1),$AZ$765,HLOOKUP(INDIRECT(ADDRESS(2,COLUMN())),OFFSET($BN$2,0,0,ROW()-1,60),ROW()-1,FALSE))</f>
        <v>0.77511853600000002</v>
      </c>
      <c r="BA323">
        <f ca="1">IF(AND(ISNUMBER($BA$765),$B$419=1),$BA$765,HLOOKUP(INDIRECT(ADDRESS(2,COLUMN())),OFFSET($BN$2,0,0,ROW()-1,60),ROW()-1,FALSE))</f>
        <v>0.69181426099999999</v>
      </c>
      <c r="BB323">
        <f ca="1">IF(AND(ISNUMBER($BB$765),$B$419=1),$BB$765,HLOOKUP(INDIRECT(ADDRESS(2,COLUMN())),OFFSET($BN$2,0,0,ROW()-1,60),ROW()-1,FALSE))</f>
        <v>0.64421636699999996</v>
      </c>
      <c r="BC323">
        <f ca="1">IF(AND(ISNUMBER($BC$765),$B$419=1),$BC$765,HLOOKUP(INDIRECT(ADDRESS(2,COLUMN())),OFFSET($BN$2,0,0,ROW()-1,60),ROW()-1,FALSE))</f>
        <v>0.68173102600000002</v>
      </c>
      <c r="BD323">
        <f ca="1">IF(AND(ISNUMBER($BD$765),$B$419=1),$BD$765,HLOOKUP(INDIRECT(ADDRESS(2,COLUMN())),OFFSET($BN$2,0,0,ROW()-1,60),ROW()-1,FALSE))</f>
        <v>0.66523618699999998</v>
      </c>
      <c r="BE323">
        <f ca="1">IF(AND(ISNUMBER($BE$765),$B$419=1),$BE$765,HLOOKUP(INDIRECT(ADDRESS(2,COLUMN())),OFFSET($BN$2,0,0,ROW()-1,60),ROW()-1,FALSE))</f>
        <v>0.63533188399999996</v>
      </c>
      <c r="BF323">
        <f ca="1">IF(AND(ISNUMBER($BF$765),$B$419=1),$BF$765,HLOOKUP(INDIRECT(ADDRESS(2,COLUMN())),OFFSET($BN$2,0,0,ROW()-1,60),ROW()-1,FALSE))</f>
        <v>0.70135167300000001</v>
      </c>
      <c r="BG323">
        <f ca="1">IF(AND(ISNUMBER($BG$765),$B$419=1),$BG$765,HLOOKUP(INDIRECT(ADDRESS(2,COLUMN())),OFFSET($BN$2,0,0,ROW()-1,60),ROW()-1,FALSE))</f>
        <v>0.59053907999999999</v>
      </c>
      <c r="BH323">
        <f ca="1">IF(AND(ISNUMBER($BH$765),$B$419=1),$BH$765,HLOOKUP(INDIRECT(ADDRESS(2,COLUMN())),OFFSET($BN$2,0,0,ROW()-1,60),ROW()-1,FALSE))</f>
        <v>0.70075140499999999</v>
      </c>
      <c r="BI323">
        <f ca="1">IF(AND(ISNUMBER($BI$765),$B$419=1),$BI$765,HLOOKUP(INDIRECT(ADDRESS(2,COLUMN())),OFFSET($BN$2,0,0,ROW()-1,60),ROW()-1,FALSE))</f>
        <v>0.82238446099999996</v>
      </c>
      <c r="BJ323">
        <f ca="1">IF(AND(ISNUMBER($BJ$765),$B$419=1),$BJ$765,HLOOKUP(INDIRECT(ADDRESS(2,COLUMN())),OFFSET($BN$2,0,0,ROW()-1,60),ROW()-1,FALSE))</f>
        <v>0.69450719599999999</v>
      </c>
      <c r="BK323">
        <f ca="1">IF(AND(ISNUMBER($BK$765),$B$419=1),$BK$765,HLOOKUP(INDIRECT(ADDRESS(2,COLUMN())),OFFSET($BN$2,0,0,ROW()-1,60),ROW()-1,FALSE))</f>
        <v>0.79447373300000002</v>
      </c>
      <c r="BL323">
        <f ca="1">IF(AND(ISNUMBER($BL$765),$B$419=1),$BL$765,HLOOKUP(INDIRECT(ADDRESS(2,COLUMN())),OFFSET($BN$2,0,0,ROW()-1,60),ROW()-1,FALSE))</f>
        <v>0.70459334299999998</v>
      </c>
      <c r="BM323">
        <f ca="1">IF(AND(ISNUMBER($BM$765),$B$419=1),$BM$765,HLOOKUP(INDIRECT(ADDRESS(2,COLUMN())),OFFSET($BN$2,0,0,ROW()-1,60),ROW()-1,FALSE))</f>
        <v>0.69140380000000001</v>
      </c>
      <c r="BN323">
        <f>0.581080636</f>
        <v>0.58108063600000004</v>
      </c>
      <c r="BO323">
        <f>0.492994677</f>
        <v>0.49299467699999999</v>
      </c>
      <c r="BP323">
        <f>0.543258834</f>
        <v>0.54325883399999997</v>
      </c>
      <c r="BQ323">
        <f>0.592954884</f>
        <v>0.59295488399999996</v>
      </c>
      <c r="BR323">
        <f>0.54227386</f>
        <v>0.54227386</v>
      </c>
      <c r="BS323">
        <f>0.514137896</f>
        <v>0.51413789600000004</v>
      </c>
      <c r="BT323">
        <f>0.46576175</f>
        <v>0.46576174999999997</v>
      </c>
      <c r="BU323">
        <f>0.40065775</f>
        <v>0.40065774999999998</v>
      </c>
      <c r="BV323">
        <f>0.469870012</f>
        <v>0.469870012</v>
      </c>
      <c r="BW323">
        <f>0.493067567</f>
        <v>0.49306756699999998</v>
      </c>
      <c r="BX323">
        <f>0.515194289</f>
        <v>0.51519428899999997</v>
      </c>
      <c r="BY323">
        <f>0.515487355</f>
        <v>0.51548735499999998</v>
      </c>
      <c r="BZ323">
        <f>0.438553343</f>
        <v>0.43855334299999998</v>
      </c>
      <c r="CA323">
        <f>0.452008903</f>
        <v>0.45200890300000002</v>
      </c>
      <c r="CB323">
        <f>0.521389066</f>
        <v>0.52138906600000001</v>
      </c>
      <c r="CC323">
        <f>0.516831282</f>
        <v>0.51683128199999995</v>
      </c>
      <c r="CD323">
        <f>0.571934433</f>
        <v>0.57193443300000002</v>
      </c>
      <c r="CE323">
        <f>0.687812013</f>
        <v>0.68781201300000006</v>
      </c>
      <c r="CF323">
        <f>0.641424575</f>
        <v>0.64142457500000005</v>
      </c>
      <c r="CG323">
        <f>0.627697916</f>
        <v>0.62769791600000002</v>
      </c>
      <c r="CH323">
        <f>0.605111225</f>
        <v>0.60511122500000003</v>
      </c>
      <c r="CI323">
        <f>0.678446182</f>
        <v>0.67844618199999995</v>
      </c>
      <c r="CJ323">
        <f>0.65347001</f>
        <v>0.65347001000000005</v>
      </c>
      <c r="CK323">
        <f>0.687505244</f>
        <v>0.68750524400000002</v>
      </c>
      <c r="CL323">
        <f>0.781961252</f>
        <v>0.781961252</v>
      </c>
      <c r="CM323">
        <f>0.960221359</f>
        <v>0.96022135900000005</v>
      </c>
      <c r="CN323">
        <f>1.018622785</f>
        <v>1.018622785</v>
      </c>
      <c r="CO323">
        <f>0.861086466</f>
        <v>0.86108646600000005</v>
      </c>
      <c r="CP323">
        <f>0.875914864</f>
        <v>0.87591486399999996</v>
      </c>
      <c r="CQ323">
        <f>0.905059055</f>
        <v>0.90505905499999995</v>
      </c>
      <c r="CR323">
        <f>0.980194875</f>
        <v>0.98019487500000002</v>
      </c>
      <c r="CS323">
        <f>1.111255776</f>
        <v>1.1112557759999999</v>
      </c>
      <c r="CT323">
        <f>0.958020168</f>
        <v>0.95802016800000001</v>
      </c>
      <c r="CU323">
        <f>1.067999613</f>
        <v>1.067999613</v>
      </c>
      <c r="CV323">
        <f>1.141944303</f>
        <v>1.141944303</v>
      </c>
      <c r="CW323">
        <f>1.532233192</f>
        <v>1.5322331920000001</v>
      </c>
      <c r="CX323">
        <f>3.821206815</f>
        <v>3.821206815</v>
      </c>
      <c r="CY323">
        <f>1.747939278</f>
        <v>1.747939278</v>
      </c>
      <c r="CZ323">
        <f>1.107714384</f>
        <v>1.1077143840000001</v>
      </c>
      <c r="DA323">
        <f>1.252323071</f>
        <v>1.252323071</v>
      </c>
      <c r="DB323">
        <f>1.114057689</f>
        <v>1.114057689</v>
      </c>
      <c r="DC323">
        <f>1.183160614</f>
        <v>1.1831606139999999</v>
      </c>
      <c r="DD323">
        <f>0.852496045</f>
        <v>0.85249604499999998</v>
      </c>
      <c r="DE323">
        <f>0.814613477</f>
        <v>0.81461347699999997</v>
      </c>
      <c r="DF323">
        <f>0.703307066</f>
        <v>0.70330706600000004</v>
      </c>
      <c r="DG323">
        <f>0.745170664</f>
        <v>0.74517066399999998</v>
      </c>
      <c r="DH323">
        <f>0.775118536</f>
        <v>0.77511853600000002</v>
      </c>
      <c r="DI323">
        <f>0.691814261</f>
        <v>0.69181426099999999</v>
      </c>
      <c r="DJ323">
        <f>0.644216367</f>
        <v>0.64421636699999996</v>
      </c>
      <c r="DK323">
        <f>0.681731026</f>
        <v>0.68173102600000002</v>
      </c>
      <c r="DL323">
        <f>0.665236187</f>
        <v>0.66523618699999998</v>
      </c>
      <c r="DM323">
        <f>0.635331884</f>
        <v>0.63533188399999996</v>
      </c>
      <c r="DN323">
        <f>0.701351673</f>
        <v>0.70135167300000001</v>
      </c>
      <c r="DO323">
        <f>0.59053908</f>
        <v>0.59053907999999999</v>
      </c>
      <c r="DP323">
        <f>0.700751405</f>
        <v>0.70075140499999999</v>
      </c>
      <c r="DQ323">
        <f>0.822384461</f>
        <v>0.82238446099999996</v>
      </c>
      <c r="DR323">
        <f>0.694507196</f>
        <v>0.69450719599999999</v>
      </c>
      <c r="DS323">
        <f>0.794473733</f>
        <v>0.79447373300000002</v>
      </c>
      <c r="DT323">
        <f>0.704593343</f>
        <v>0.70459334299999998</v>
      </c>
      <c r="DU323">
        <f>0.6914038</f>
        <v>0.69140380000000001</v>
      </c>
    </row>
    <row r="324" spans="1:125">
      <c r="A324" t="str">
        <f>"现金与有价证券"</f>
        <v>现金与有价证券</v>
      </c>
      <c r="B324" t="str">
        <f>""</f>
        <v/>
      </c>
      <c r="E324" t="str">
        <f>"Median"</f>
        <v>Median</v>
      </c>
      <c r="F324" t="str">
        <f ca="1">IF(ISERROR(IF(MEDIAN($F$325:$F$339) = 0, "", MEDIAN($F$325:$F$339))), "", (IF(MEDIAN($F$325:$F$339) = 0, "", MEDIAN($F$325:$F$339))))</f>
        <v/>
      </c>
      <c r="G324">
        <f ca="1">IF(ISERROR(IF(MEDIAN($G$325:$G$339) = 0, "", MEDIAN($G$325:$G$339))), "", (IF(MEDIAN($G$325:$G$339) = 0, "", MEDIAN($G$325:$G$339))))</f>
        <v>32.627000000000002</v>
      </c>
      <c r="H324">
        <f ca="1">IF(ISERROR(IF(MEDIAN($H$325:$H$339) = 0, "", MEDIAN($H$325:$H$339))), "", (IF(MEDIAN($H$325:$H$339) = 0, "", MEDIAN($H$325:$H$339))))</f>
        <v>29.978000000000002</v>
      </c>
      <c r="I324">
        <f ca="1">IF(ISERROR(IF(MEDIAN($I$325:$I$339) = 0, "", MEDIAN($I$325:$I$339))), "", (IF(MEDIAN($I$325:$I$339) = 0, "", MEDIAN($I$325:$I$339))))</f>
        <v>54.478999999999999</v>
      </c>
      <c r="J324">
        <f ca="1">IF(ISERROR(IF(MEDIAN($J$325:$J$339) = 0, "", MEDIAN($J$325:$J$339))), "", (IF(MEDIAN($J$325:$J$339) = 0, "", MEDIAN($J$325:$J$339))))</f>
        <v>34.417999999999999</v>
      </c>
      <c r="K324">
        <f ca="1">IF(ISERROR(IF(MEDIAN($K$325:$K$339) = 0, "", MEDIAN($K$325:$K$339))), "", (IF(MEDIAN($K$325:$K$339) = 0, "", MEDIAN($K$325:$K$339))))</f>
        <v>30.43</v>
      </c>
      <c r="L324">
        <f ca="1">IF(ISERROR(IF(MEDIAN($L$325:$L$339) = 0, "", MEDIAN($L$325:$L$339))), "", (IF(MEDIAN($L$325:$L$339) = 0, "", MEDIAN($L$325:$L$339))))</f>
        <v>31.143000000000001</v>
      </c>
      <c r="M324">
        <f ca="1">IF(ISERROR(IF(MEDIAN($M$325:$M$339) = 0, "", MEDIAN($M$325:$M$339))), "", (IF(MEDIAN($M$325:$M$339) = 0, "", MEDIAN($M$325:$M$339))))</f>
        <v>24.939</v>
      </c>
      <c r="N324">
        <f ca="1">IF(ISERROR(IF(MEDIAN($N$325:$N$339) = 0, "", MEDIAN($N$325:$N$339))), "", (IF(MEDIAN($N$325:$N$339) = 0, "", MEDIAN($N$325:$N$339))))</f>
        <v>27.137</v>
      </c>
      <c r="O324">
        <f ca="1">IF(ISERROR(IF(MEDIAN($O$325:$O$339) = 0, "", MEDIAN($O$325:$O$339))), "", (IF(MEDIAN($O$325:$O$339) = 0, "", MEDIAN($O$325:$O$339))))</f>
        <v>36.892000000000003</v>
      </c>
      <c r="P324">
        <f ca="1">IF(ISERROR(IF(MEDIAN($P$325:$P$339) = 0, "", MEDIAN($P$325:$P$339))), "", (IF(MEDIAN($P$325:$P$339) = 0, "", MEDIAN($P$325:$P$339))))</f>
        <v>23.88</v>
      </c>
      <c r="Q324">
        <f ca="1">IF(ISERROR(IF(MEDIAN($Q$325:$Q$339) = 0, "", MEDIAN($Q$325:$Q$339))), "", (IF(MEDIAN($Q$325:$Q$339) = 0, "", MEDIAN($Q$325:$Q$339))))</f>
        <v>27.114000000000001</v>
      </c>
      <c r="R324">
        <f ca="1">IF(ISERROR(IF(MEDIAN($R$325:$R$339) = 0, "", MEDIAN($R$325:$R$339))), "", (IF(MEDIAN($R$325:$R$339) = 0, "", MEDIAN($R$325:$R$339))))</f>
        <v>55.993000000000002</v>
      </c>
      <c r="S324">
        <f ca="1">IF(ISERROR(IF(MEDIAN($S$325:$S$339) = 0, "", MEDIAN($S$325:$S$339))), "", (IF(MEDIAN($S$325:$S$339) = 0, "", MEDIAN($S$325:$S$339))))</f>
        <v>47.951000000000001</v>
      </c>
      <c r="T324">
        <f ca="1">IF(ISERROR(IF(MEDIAN($T$325:$T$339) = 0, "", MEDIAN($T$325:$T$339))), "", (IF(MEDIAN($T$325:$T$339) = 0, "", MEDIAN($T$325:$T$339))))</f>
        <v>67.83</v>
      </c>
      <c r="U324">
        <f ca="1">IF(ISERROR(IF(MEDIAN($U$325:$U$339) = 0, "", MEDIAN($U$325:$U$339))), "", (IF(MEDIAN($U$325:$U$339) = 0, "", MEDIAN($U$325:$U$339))))</f>
        <v>61.83</v>
      </c>
      <c r="V324">
        <f ca="1">IF(ISERROR(IF(MEDIAN($V$325:$V$339) = 0, "", MEDIAN($V$325:$V$339))), "", (IF(MEDIAN($V$325:$V$339) = 0, "", MEDIAN($V$325:$V$339))))</f>
        <v>55.695999999999998</v>
      </c>
      <c r="W324">
        <f ca="1">IF(ISERROR(IF(MEDIAN($W$325:$W$339) = 0, "", MEDIAN($W$325:$W$339))), "", (IF(MEDIAN($W$325:$W$339) = 0, "", MEDIAN($W$325:$W$339))))</f>
        <v>73.091999999999999</v>
      </c>
      <c r="X324">
        <f ca="1">IF(ISERROR(IF(MEDIAN($X$325:$X$339) = 0, "", MEDIAN($X$325:$X$339))), "", (IF(MEDIAN($X$325:$X$339) = 0, "", MEDIAN($X$325:$X$339))))</f>
        <v>66.511499999999998</v>
      </c>
      <c r="Y324">
        <f ca="1">IF(ISERROR(IF(MEDIAN($Y$325:$Y$339) = 0, "", MEDIAN($Y$325:$Y$339))), "", (IF(MEDIAN($Y$325:$Y$339) = 0, "", MEDIAN($Y$325:$Y$339))))</f>
        <v>61.786500000000004</v>
      </c>
      <c r="Z324">
        <f ca="1">IF(ISERROR(IF(MEDIAN($Z$325:$Z$339) = 0, "", MEDIAN($Z$325:$Z$339))), "", (IF(MEDIAN($Z$325:$Z$339) = 0, "", MEDIAN($Z$325:$Z$339))))</f>
        <v>41.843000000000004</v>
      </c>
      <c r="AA324">
        <f ca="1">IF(ISERROR(IF(MEDIAN($AA$325:$AA$339) = 0, "", MEDIAN($AA$325:$AA$339))), "", (IF(MEDIAN($AA$325:$AA$339) = 0, "", MEDIAN($AA$325:$AA$339))))</f>
        <v>34.081000000000003</v>
      </c>
      <c r="AB324">
        <f ca="1">IF(ISERROR(IF(MEDIAN($AB$325:$AB$339) = 0, "", MEDIAN($AB$325:$AB$339))), "", (IF(MEDIAN($AB$325:$AB$339) = 0, "", MEDIAN($AB$325:$AB$339))))</f>
        <v>23.488823</v>
      </c>
      <c r="AC324">
        <f ca="1">IF(ISERROR(IF(MEDIAN($AC$325:$AC$339) = 0, "", MEDIAN($AC$325:$AC$339))), "", (IF(MEDIAN($AC$325:$AC$339) = 0, "", MEDIAN($AC$325:$AC$339))))</f>
        <v>18.504999999999999</v>
      </c>
      <c r="AD324">
        <f ca="1">IF(ISERROR(IF(MEDIAN($AD$325:$AD$339) = 0, "", MEDIAN($AD$325:$AD$339))), "", (IF(MEDIAN($AD$325:$AD$339) = 0, "", MEDIAN($AD$325:$AD$339))))</f>
        <v>18.024000000000001</v>
      </c>
      <c r="AE324">
        <f ca="1">IF(ISERROR(IF(MEDIAN($AE$325:$AE$339) = 0, "", MEDIAN($AE$325:$AE$339))), "", (IF(MEDIAN($AE$325:$AE$339) = 0, "", MEDIAN($AE$325:$AE$339))))</f>
        <v>34.317588000000001</v>
      </c>
      <c r="AF324">
        <f ca="1">IF(ISERROR(IF(MEDIAN($AF$325:$AF$339) = 0, "", MEDIAN($AF$325:$AF$339))), "", (IF(MEDIAN($AF$325:$AF$339) = 0, "", MEDIAN($AF$325:$AF$339))))</f>
        <v>20.681000000000001</v>
      </c>
      <c r="AG324">
        <f ca="1">IF(ISERROR(IF(MEDIAN($AG$325:$AG$339) = 0, "", MEDIAN($AG$325:$AG$339))), "", (IF(MEDIAN($AG$325:$AG$339) = 0, "", MEDIAN($AG$325:$AG$339))))</f>
        <v>19.847999999999999</v>
      </c>
      <c r="AH324">
        <f ca="1">IF(ISERROR(IF(MEDIAN($AH$325:$AH$339) = 0, "", MEDIAN($AH$325:$AH$339))), "", (IF(MEDIAN($AH$325:$AH$339) = 0, "", MEDIAN($AH$325:$AH$339))))</f>
        <v>28.774000000000001</v>
      </c>
      <c r="AI324">
        <f ca="1">IF(ISERROR(IF(MEDIAN($AI$325:$AI$339) = 0, "", MEDIAN($AI$325:$AI$339))), "", (IF(MEDIAN($AI$325:$AI$339) = 0, "", MEDIAN($AI$325:$AI$339))))</f>
        <v>21.637500000000003</v>
      </c>
      <c r="AJ324">
        <f ca="1">IF(ISERROR(IF(MEDIAN($AJ$325:$AJ$339) = 0, "", MEDIAN($AJ$325:$AJ$339))), "", (IF(MEDIAN($AJ$325:$AJ$339) = 0, "", MEDIAN($AJ$325:$AJ$339))))</f>
        <v>38.838000000000001</v>
      </c>
      <c r="AK324">
        <f ca="1">IF(ISERROR(IF(MEDIAN($AK$325:$AK$339) = 0, "", MEDIAN($AK$325:$AK$339))), "", (IF(MEDIAN($AK$325:$AK$339) = 0, "", MEDIAN($AK$325:$AK$339))))</f>
        <v>60.649000000000001</v>
      </c>
      <c r="AL324">
        <f ca="1">IF(ISERROR(IF(MEDIAN($AL$325:$AL$339) = 0, "", MEDIAN($AL$325:$AL$339))), "", (IF(MEDIAN($AL$325:$AL$339) = 0, "", MEDIAN($AL$325:$AL$339))))</f>
        <v>50.215000000000003</v>
      </c>
      <c r="AM324">
        <f ca="1">IF(ISERROR(IF(MEDIAN($AM$325:$AM$339) = 0, "", MEDIAN($AM$325:$AM$339))), "", (IF(MEDIAN($AM$325:$AM$339) = 0, "", MEDIAN($AM$325:$AM$339))))</f>
        <v>73.769499999999994</v>
      </c>
      <c r="AN324">
        <f ca="1">IF(ISERROR(IF(MEDIAN($AN$325:$AN$339) = 0, "", MEDIAN($AN$325:$AN$339))), "", (IF(MEDIAN($AN$325:$AN$339) = 0, "", MEDIAN($AN$325:$AN$339))))</f>
        <v>84.097999999999999</v>
      </c>
      <c r="AO324">
        <f ca="1">IF(ISERROR(IF(MEDIAN($AO$325:$AO$339) = 0, "", MEDIAN($AO$325:$AO$339))), "", (IF(MEDIAN($AO$325:$AO$339) = 0, "", MEDIAN($AO$325:$AO$339))))</f>
        <v>72.579499999999996</v>
      </c>
      <c r="AP324">
        <f ca="1">IF(ISERROR(IF(MEDIAN($AP$325:$AP$339) = 0, "", MEDIAN($AP$325:$AP$339))), "", (IF(MEDIAN($AP$325:$AP$339) = 0, "", MEDIAN($AP$325:$AP$339))))</f>
        <v>30.496000000000002</v>
      </c>
      <c r="AQ324">
        <f ca="1">IF(ISERROR(IF(MEDIAN($AQ$325:$AQ$339) = 0, "", MEDIAN($AQ$325:$AQ$339))), "", (IF(MEDIAN($AQ$325:$AQ$339) = 0, "", MEDIAN($AQ$325:$AQ$339))))</f>
        <v>38.154499999999999</v>
      </c>
      <c r="AR324">
        <f ca="1">IF(ISERROR(IF(MEDIAN($AR$325:$AR$339) = 0, "", MEDIAN($AR$325:$AR$339))), "", (IF(MEDIAN($AR$325:$AR$339) = 0, "", MEDIAN($AR$325:$AR$339))))</f>
        <v>51.107500000000002</v>
      </c>
      <c r="AS324">
        <f ca="1">IF(ISERROR(IF(MEDIAN($AS$325:$AS$339) = 0, "", MEDIAN($AS$325:$AS$339))), "", (IF(MEDIAN($AS$325:$AS$339) = 0, "", MEDIAN($AS$325:$AS$339))))</f>
        <v>41.015500000000003</v>
      </c>
      <c r="AT324">
        <f ca="1">IF(ISERROR(IF(MEDIAN($AT$325:$AT$339) = 0, "", MEDIAN($AT$325:$AT$339))), "", (IF(MEDIAN($AT$325:$AT$339) = 0, "", MEDIAN($AT$325:$AT$339))))</f>
        <v>45.349999999999994</v>
      </c>
      <c r="AU324">
        <f ca="1">IF(ISERROR(IF(MEDIAN($AU$325:$AU$339) = 0, "", MEDIAN($AU$325:$AU$339))), "", (IF(MEDIAN($AU$325:$AU$339) = 0, "", MEDIAN($AU$325:$AU$339))))</f>
        <v>58.234000000000002</v>
      </c>
      <c r="AV324">
        <f ca="1">IF(ISERROR(IF(MEDIAN($AV$325:$AV$339) = 0, "", MEDIAN($AV$325:$AV$339))), "", (IF(MEDIAN($AV$325:$AV$339) = 0, "", MEDIAN($AV$325:$AV$339))))</f>
        <v>47.159500000000001</v>
      </c>
      <c r="AW324">
        <f ca="1">IF(ISERROR(IF(MEDIAN($AW$325:$AW$339) = 0, "", MEDIAN($AW$325:$AW$339))), "", (IF(MEDIAN($AW$325:$AW$339) = 0, "", MEDIAN($AW$325:$AW$339))))</f>
        <v>46.16</v>
      </c>
      <c r="AX324">
        <f ca="1">IF(ISERROR(IF(MEDIAN($AX$325:$AX$339) = 0, "", MEDIAN($AX$325:$AX$339))), "", (IF(MEDIAN($AX$325:$AX$339) = 0, "", MEDIAN($AX$325:$AX$339))))</f>
        <v>41.158500000000004</v>
      </c>
      <c r="AY324">
        <f ca="1">IF(ISERROR(IF(MEDIAN($AY$325:$AY$339) = 0, "", MEDIAN($AY$325:$AY$339))), "", (IF(MEDIAN($AY$325:$AY$339) = 0, "", MEDIAN($AY$325:$AY$339))))</f>
        <v>28.539000000000001</v>
      </c>
      <c r="AZ324">
        <f ca="1">IF(ISERROR(IF(MEDIAN($AZ$325:$AZ$339) = 0, "", MEDIAN($AZ$325:$AZ$339))), "", (IF(MEDIAN($AZ$325:$AZ$339) = 0, "", MEDIAN($AZ$325:$AZ$339))))</f>
        <v>57.427500000000002</v>
      </c>
      <c r="BA324">
        <f ca="1">IF(ISERROR(IF(MEDIAN($BA$325:$BA$339) = 0, "", MEDIAN($BA$325:$BA$339))), "", (IF(MEDIAN($BA$325:$BA$339) = 0, "", MEDIAN($BA$325:$BA$339))))</f>
        <v>38.331000000000003</v>
      </c>
      <c r="BB324">
        <f ca="1">IF(ISERROR(IF(MEDIAN($BB$325:$BB$339) = 0, "", MEDIAN($BB$325:$BB$339))), "", (IF(MEDIAN($BB$325:$BB$339) = 0, "", MEDIAN($BB$325:$BB$339))))</f>
        <v>38.706499999999998</v>
      </c>
      <c r="BC324">
        <f ca="1">IF(ISERROR(IF(MEDIAN($BC$325:$BC$339) = 0, "", MEDIAN($BC$325:$BC$339))), "", (IF(MEDIAN($BC$325:$BC$339) = 0, "", MEDIAN($BC$325:$BC$339))))</f>
        <v>36.5565</v>
      </c>
      <c r="BD324">
        <f ca="1">IF(ISERROR(IF(MEDIAN($BD$325:$BD$339) = 0, "", MEDIAN($BD$325:$BD$339))), "", (IF(MEDIAN($BD$325:$BD$339) = 0, "", MEDIAN($BD$325:$BD$339))))</f>
        <v>27.596499999999999</v>
      </c>
      <c r="BE324">
        <f ca="1">IF(ISERROR(IF(MEDIAN($BE$325:$BE$339) = 0, "", MEDIAN($BE$325:$BE$339))), "", (IF(MEDIAN($BE$325:$BE$339) = 0, "", MEDIAN($BE$325:$BE$339))))</f>
        <v>31.280999999999999</v>
      </c>
      <c r="BF324">
        <f ca="1">IF(ISERROR(IF(MEDIAN($BF$325:$BF$339) = 0, "", MEDIAN($BF$325:$BF$339))), "", (IF(MEDIAN($BF$325:$BF$339) = 0, "", MEDIAN($BF$325:$BF$339))))</f>
        <v>45.063000000000002</v>
      </c>
      <c r="BG324">
        <f ca="1">IF(ISERROR(IF(MEDIAN($BG$325:$BG$339) = 0, "", MEDIAN($BG$325:$BG$339))), "", (IF(MEDIAN($BG$325:$BG$339) = 0, "", MEDIAN($BG$325:$BG$339))))</f>
        <v>34.347500189999998</v>
      </c>
      <c r="BH324">
        <f ca="1">IF(ISERROR(IF(MEDIAN($BH$325:$BH$339) = 0, "", MEDIAN($BH$325:$BH$339))), "", (IF(MEDIAN($BH$325:$BH$339) = 0, "", MEDIAN($BH$325:$BH$339))))</f>
        <v>27.186500500000001</v>
      </c>
      <c r="BI324">
        <f ca="1">IF(ISERROR(IF(MEDIAN($BI$325:$BI$339) = 0, "", MEDIAN($BI$325:$BI$339))), "", (IF(MEDIAN($BI$325:$BI$339) = 0, "", MEDIAN($BI$325:$BI$339))))</f>
        <v>25.780999999999999</v>
      </c>
      <c r="BJ324">
        <f ca="1">IF(ISERROR(IF(MEDIAN($BJ$325:$BJ$339) = 0, "", MEDIAN($BJ$325:$BJ$339))), "", (IF(MEDIAN($BJ$325:$BJ$339) = 0, "", MEDIAN($BJ$325:$BJ$339))))</f>
        <v>31.197501000000003</v>
      </c>
      <c r="BK324">
        <f ca="1">IF(ISERROR(IF(MEDIAN($BK$325:$BK$339) = 0, "", MEDIAN($BK$325:$BK$339))), "", (IF(MEDIAN($BK$325:$BK$339) = 0, "", MEDIAN($BK$325:$BK$339))))</f>
        <v>20.293500000000002</v>
      </c>
      <c r="BL324">
        <f ca="1">IF(ISERROR(IF(MEDIAN($BL$325:$BL$339) = 0, "", MEDIAN($BL$325:$BL$339))), "", (IF(MEDIAN($BL$325:$BL$339) = 0, "", MEDIAN($BL$325:$BL$339))))</f>
        <v>21.831</v>
      </c>
      <c r="BM324">
        <f ca="1">IF(ISERROR(IF(MEDIAN($BM$325:$BM$339) = 0, "", MEDIAN($BM$325:$BM$339))), "", (IF(MEDIAN($BM$325:$BM$339) = 0, "", MEDIAN($BM$325:$BM$339))))</f>
        <v>22.009</v>
      </c>
      <c r="BN324" t="str">
        <f>""</f>
        <v/>
      </c>
      <c r="BO324">
        <f>32.627</f>
        <v>32.627000000000002</v>
      </c>
      <c r="BP324">
        <f>29.978</f>
        <v>29.978000000000002</v>
      </c>
      <c r="BQ324">
        <f>54.479</f>
        <v>54.478999999999999</v>
      </c>
      <c r="BR324">
        <f>34.418</f>
        <v>34.417999999999999</v>
      </c>
      <c r="BS324">
        <f>30.43</f>
        <v>30.43</v>
      </c>
      <c r="BT324">
        <f>31.143</f>
        <v>31.143000000000001</v>
      </c>
      <c r="BU324">
        <f>24.939</f>
        <v>24.939</v>
      </c>
      <c r="BV324">
        <f>27.137</f>
        <v>27.137</v>
      </c>
      <c r="BW324">
        <f>36.892</f>
        <v>36.892000000000003</v>
      </c>
      <c r="BX324">
        <f>23.88</f>
        <v>23.88</v>
      </c>
      <c r="BY324">
        <f>27.114</f>
        <v>27.114000000000001</v>
      </c>
      <c r="BZ324">
        <f>55.993</f>
        <v>55.993000000000002</v>
      </c>
      <c r="CA324">
        <f>47.951</f>
        <v>47.951000000000001</v>
      </c>
      <c r="CB324">
        <f>67.83</f>
        <v>67.83</v>
      </c>
      <c r="CC324">
        <f>61.83</f>
        <v>61.83</v>
      </c>
      <c r="CD324">
        <f>55.696</f>
        <v>55.695999999999998</v>
      </c>
      <c r="CE324">
        <f>73.092</f>
        <v>73.091999999999999</v>
      </c>
      <c r="CF324">
        <f>66.5115</f>
        <v>66.511499999999998</v>
      </c>
      <c r="CG324">
        <f>61.7865</f>
        <v>61.786499999999997</v>
      </c>
      <c r="CH324">
        <f>41.843</f>
        <v>41.843000000000004</v>
      </c>
      <c r="CI324">
        <f>34.081</f>
        <v>34.081000000000003</v>
      </c>
      <c r="CJ324">
        <f>23.488823</f>
        <v>23.488823</v>
      </c>
      <c r="CK324">
        <f>18.505</f>
        <v>18.504999999999999</v>
      </c>
      <c r="CL324">
        <f>18.024</f>
        <v>18.024000000000001</v>
      </c>
      <c r="CM324">
        <f>34.317588</f>
        <v>34.317588000000001</v>
      </c>
      <c r="CN324">
        <f>20.681</f>
        <v>20.681000000000001</v>
      </c>
      <c r="CO324">
        <f>19.848</f>
        <v>19.847999999999999</v>
      </c>
      <c r="CP324">
        <f>28.774</f>
        <v>28.774000000000001</v>
      </c>
      <c r="CQ324">
        <f>21.6375</f>
        <v>21.637499999999999</v>
      </c>
      <c r="CR324">
        <f>38.838</f>
        <v>38.838000000000001</v>
      </c>
      <c r="CS324">
        <f>60.649</f>
        <v>60.649000000000001</v>
      </c>
      <c r="CT324">
        <f>50.215</f>
        <v>50.215000000000003</v>
      </c>
      <c r="CU324">
        <f>73.7695</f>
        <v>73.769499999999994</v>
      </c>
      <c r="CV324">
        <f>84.098</f>
        <v>84.097999999999999</v>
      </c>
      <c r="CW324">
        <f>72.5795</f>
        <v>72.579499999999996</v>
      </c>
      <c r="CX324">
        <f>30.496</f>
        <v>30.495999999999999</v>
      </c>
      <c r="CY324">
        <f>38.1545</f>
        <v>38.154499999999999</v>
      </c>
      <c r="CZ324">
        <f>51.1075</f>
        <v>51.107500000000002</v>
      </c>
      <c r="DA324">
        <f>41.0155</f>
        <v>41.015500000000003</v>
      </c>
      <c r="DB324">
        <f>45.35</f>
        <v>45.35</v>
      </c>
      <c r="DC324">
        <f>58.234</f>
        <v>58.234000000000002</v>
      </c>
      <c r="DD324">
        <f>47.1595</f>
        <v>47.159500000000001</v>
      </c>
      <c r="DE324">
        <f>46.16</f>
        <v>46.16</v>
      </c>
      <c r="DF324">
        <f>41.1585</f>
        <v>41.158499999999997</v>
      </c>
      <c r="DG324">
        <f>28.539</f>
        <v>28.539000000000001</v>
      </c>
      <c r="DH324">
        <f>57.4275</f>
        <v>57.427500000000002</v>
      </c>
      <c r="DI324">
        <f>38.331</f>
        <v>38.331000000000003</v>
      </c>
      <c r="DJ324">
        <f>38.7065</f>
        <v>38.706499999999998</v>
      </c>
      <c r="DK324">
        <f>36.5565</f>
        <v>36.5565</v>
      </c>
      <c r="DL324">
        <f>27.5965</f>
        <v>27.596499999999999</v>
      </c>
      <c r="DM324">
        <f>31.281</f>
        <v>31.280999999999999</v>
      </c>
      <c r="DN324">
        <f>45.063</f>
        <v>45.063000000000002</v>
      </c>
      <c r="DO324">
        <f>34.34750019</f>
        <v>34.347500189999998</v>
      </c>
      <c r="DP324">
        <f>27.1865005</f>
        <v>27.186500500000001</v>
      </c>
      <c r="DQ324">
        <f>25.781</f>
        <v>25.780999999999999</v>
      </c>
      <c r="DR324">
        <f>31.197501</f>
        <v>31.197500999999999</v>
      </c>
      <c r="DS324">
        <f>20.2935</f>
        <v>20.293500000000002</v>
      </c>
      <c r="DT324">
        <f>21.831</f>
        <v>21.831</v>
      </c>
      <c r="DU324">
        <f>22.009</f>
        <v>22.009</v>
      </c>
    </row>
    <row r="325" spans="1:125">
      <c r="A325" t="str">
        <f>"    Brixmor Property Group Inc"</f>
        <v xml:space="preserve">    Brixmor Property Group Inc</v>
      </c>
      <c r="B325" t="str">
        <f>"BRX US Equity"</f>
        <v>BRX US Equity</v>
      </c>
      <c r="C325" t="str">
        <f t="shared" ref="C325:C339" si="60">"RR253"</f>
        <v>RR253</v>
      </c>
      <c r="D325" t="str">
        <f t="shared" ref="D325:D339" si="61">"CASH_AND_MARKETABLE_SECURITIES"</f>
        <v>CASH_AND_MARKETABLE_SECURITIES</v>
      </c>
      <c r="E325" t="str">
        <f t="shared" ref="E325:E339" si="62">"动态"</f>
        <v>动态</v>
      </c>
      <c r="F325" t="str">
        <f ca="1">IF(AND(ISNUMBER($F$766),$B$419=1),$F$766,HLOOKUP(INDIRECT(ADDRESS(2,COLUMN())),OFFSET($BN$2,0,0,ROW()-1,60),ROW()-1,FALSE))</f>
        <v/>
      </c>
      <c r="G325">
        <f ca="1">IF(AND(ISNUMBER($G$766),$B$419=1),$G$766,HLOOKUP(INDIRECT(ADDRESS(2,COLUMN())),OFFSET($BN$2,0,0,ROW()-1,60),ROW()-1,FALSE))</f>
        <v>56.938000000000002</v>
      </c>
      <c r="H325">
        <f ca="1">IF(AND(ISNUMBER($H$766),$B$419=1),$H$766,HLOOKUP(INDIRECT(ADDRESS(2,COLUMN())),OFFSET($BN$2,0,0,ROW()-1,60),ROW()-1,FALSE))</f>
        <v>29.978000000000002</v>
      </c>
      <c r="I325">
        <f ca="1">IF(AND(ISNUMBER($I$766),$B$419=1),$I$766,HLOOKUP(INDIRECT(ADDRESS(2,COLUMN())),OFFSET($BN$2,0,0,ROW()-1,60),ROW()-1,FALSE))</f>
        <v>54.478999999999999</v>
      </c>
      <c r="J325">
        <f ca="1">IF(AND(ISNUMBER($J$766),$B$419=1),$J$766,HLOOKUP(INDIRECT(ADDRESS(2,COLUMN())),OFFSET($BN$2,0,0,ROW()-1,60),ROW()-1,FALSE))</f>
        <v>59.883000000000003</v>
      </c>
      <c r="K325">
        <f ca="1">IF(AND(ISNUMBER($K$766),$B$419=1),$K$766,HLOOKUP(INDIRECT(ADDRESS(2,COLUMN())),OFFSET($BN$2,0,0,ROW()-1,60),ROW()-1,FALSE))</f>
        <v>51.402000000000001</v>
      </c>
      <c r="L325">
        <f ca="1">IF(AND(ISNUMBER($L$766),$B$419=1),$L$766,HLOOKUP(INDIRECT(ADDRESS(2,COLUMN())),OFFSET($BN$2,0,0,ROW()-1,60),ROW()-1,FALSE))</f>
        <v>31.143000000000001</v>
      </c>
      <c r="M325">
        <f ca="1">IF(AND(ISNUMBER($M$766),$B$419=1),$M$766,HLOOKUP(INDIRECT(ADDRESS(2,COLUMN())),OFFSET($BN$2,0,0,ROW()-1,60),ROW()-1,FALSE))</f>
        <v>114.27200000000001</v>
      </c>
      <c r="N325">
        <f ca="1">IF(AND(ISNUMBER($N$766),$B$419=1),$N$766,HLOOKUP(INDIRECT(ADDRESS(2,COLUMN())),OFFSET($BN$2,0,0,ROW()-1,60),ROW()-1,FALSE))</f>
        <v>105.822</v>
      </c>
      <c r="O325">
        <f ca="1">IF(AND(ISNUMBER($O$766),$B$419=1),$O$766,HLOOKUP(INDIRECT(ADDRESS(2,COLUMN())),OFFSET($BN$2,0,0,ROW()-1,60),ROW()-1,FALSE))</f>
        <v>69.528000000000006</v>
      </c>
      <c r="P325">
        <f ca="1">IF(AND(ISNUMBER($P$766),$B$419=1),$P$766,HLOOKUP(INDIRECT(ADDRESS(2,COLUMN())),OFFSET($BN$2,0,0,ROW()-1,60),ROW()-1,FALSE))</f>
        <v>37.982999999999997</v>
      </c>
      <c r="Q325">
        <f ca="1">IF(AND(ISNUMBER($Q$766),$B$419=1),$Q$766,HLOOKUP(INDIRECT(ADDRESS(2,COLUMN())),OFFSET($BN$2,0,0,ROW()-1,60),ROW()-1,FALSE))</f>
        <v>42.734999999999999</v>
      </c>
      <c r="R325">
        <f ca="1">IF(AND(ISNUMBER($R$766),$B$419=1),$R$766,HLOOKUP(INDIRECT(ADDRESS(2,COLUMN())),OFFSET($BN$2,0,0,ROW()-1,60),ROW()-1,FALSE))</f>
        <v>68.183999999999997</v>
      </c>
      <c r="S325">
        <f ca="1">IF(AND(ISNUMBER($S$766),$B$419=1),$S$766,HLOOKUP(INDIRECT(ADDRESS(2,COLUMN())),OFFSET($BN$2,0,0,ROW()-1,60),ROW()-1,FALSE))</f>
        <v>60.594999999999999</v>
      </c>
      <c r="T325">
        <f ca="1">IF(AND(ISNUMBER($T$766),$B$419=1),$T$766,HLOOKUP(INDIRECT(ADDRESS(2,COLUMN())),OFFSET($BN$2,0,0,ROW()-1,60),ROW()-1,FALSE))</f>
        <v>92.757999999999996</v>
      </c>
      <c r="U325">
        <f ca="1">IF(AND(ISNUMBER($U$766),$B$419=1),$U$766,HLOOKUP(INDIRECT(ADDRESS(2,COLUMN())),OFFSET($BN$2,0,0,ROW()-1,60),ROW()-1,FALSE))</f>
        <v>61.83</v>
      </c>
      <c r="V325">
        <f ca="1">IF(AND(ISNUMBER($V$766),$B$419=1),$V$766,HLOOKUP(INDIRECT(ADDRESS(2,COLUMN())),OFFSET($BN$2,0,0,ROW()-1,60),ROW()-1,FALSE))</f>
        <v>55.695999999999998</v>
      </c>
      <c r="W325">
        <f ca="1">IF(AND(ISNUMBER($W$766),$B$419=1),$W$766,HLOOKUP(INDIRECT(ADDRESS(2,COLUMN())),OFFSET($BN$2,0,0,ROW()-1,60),ROW()-1,FALSE))</f>
        <v>113.91500000000001</v>
      </c>
      <c r="X325">
        <f ca="1">IF(AND(ISNUMBER($X$766),$B$419=1),$X$766,HLOOKUP(INDIRECT(ADDRESS(2,COLUMN())),OFFSET($BN$2,0,0,ROW()-1,60),ROW()-1,FALSE))</f>
        <v>137.376</v>
      </c>
      <c r="Y325">
        <f ca="1">IF(AND(ISNUMBER($Y$766),$B$419=1),$Y$766,HLOOKUP(INDIRECT(ADDRESS(2,COLUMN())),OFFSET($BN$2,0,0,ROW()-1,60),ROW()-1,FALSE))</f>
        <v>142.006</v>
      </c>
      <c r="Z325">
        <f ca="1">IF(AND(ISNUMBER($Z$766),$B$419=1),$Z$766,HLOOKUP(INDIRECT(ADDRESS(2,COLUMN())),OFFSET($BN$2,0,0,ROW()-1,60),ROW()-1,FALSE))</f>
        <v>106.392</v>
      </c>
      <c r="AA325">
        <f ca="1">IF(AND(ISNUMBER($AA$766),$B$419=1),$AA$766,HLOOKUP(INDIRECT(ADDRESS(2,COLUMN())),OFFSET($BN$2,0,0,ROW()-1,60),ROW()-1,FALSE))</f>
        <v>103.098</v>
      </c>
      <c r="AB325" t="str">
        <f ca="1">IF(AND(ISNUMBER($AB$766),$B$419=1),$AB$766,HLOOKUP(INDIRECT(ADDRESS(2,COLUMN())),OFFSET($BN$2,0,0,ROW()-1,60),ROW()-1,FALSE))</f>
        <v/>
      </c>
      <c r="AC325" t="str">
        <f ca="1">IF(AND(ISNUMBER($AC$766),$B$419=1),$AC$766,HLOOKUP(INDIRECT(ADDRESS(2,COLUMN())),OFFSET($BN$2,0,0,ROW()-1,60),ROW()-1,FALSE))</f>
        <v/>
      </c>
      <c r="AD325" t="str">
        <f ca="1">IF(AND(ISNUMBER($AD$766),$B$419=1),$AD$766,HLOOKUP(INDIRECT(ADDRESS(2,COLUMN())),OFFSET($BN$2,0,0,ROW()-1,60),ROW()-1,FALSE))</f>
        <v/>
      </c>
      <c r="AE325" t="str">
        <f ca="1">IF(AND(ISNUMBER($AE$766),$B$419=1),$AE$766,HLOOKUP(INDIRECT(ADDRESS(2,COLUMN())),OFFSET($BN$2,0,0,ROW()-1,60),ROW()-1,FALSE))</f>
        <v/>
      </c>
      <c r="AF325" t="str">
        <f ca="1">IF(AND(ISNUMBER($AF$766),$B$419=1),$AF$766,HLOOKUP(INDIRECT(ADDRESS(2,COLUMN())),OFFSET($BN$2,0,0,ROW()-1,60),ROW()-1,FALSE))</f>
        <v/>
      </c>
      <c r="AG325" t="str">
        <f ca="1">IF(AND(ISNUMBER($AG$766),$B$419=1),$AG$766,HLOOKUP(INDIRECT(ADDRESS(2,COLUMN())),OFFSET($BN$2,0,0,ROW()-1,60),ROW()-1,FALSE))</f>
        <v/>
      </c>
      <c r="AH325" t="str">
        <f ca="1">IF(AND(ISNUMBER($AH$766),$B$419=1),$AH$766,HLOOKUP(INDIRECT(ADDRESS(2,COLUMN())),OFFSET($BN$2,0,0,ROW()-1,60),ROW()-1,FALSE))</f>
        <v/>
      </c>
      <c r="AI325" t="str">
        <f ca="1">IF(AND(ISNUMBER($AI$766),$B$419=1),$AI$766,HLOOKUP(INDIRECT(ADDRESS(2,COLUMN())),OFFSET($BN$2,0,0,ROW()-1,60),ROW()-1,FALSE))</f>
        <v/>
      </c>
      <c r="AJ325" t="str">
        <f ca="1">IF(AND(ISNUMBER($AJ$766),$B$419=1),$AJ$766,HLOOKUP(INDIRECT(ADDRESS(2,COLUMN())),OFFSET($BN$2,0,0,ROW()-1,60),ROW()-1,FALSE))</f>
        <v/>
      </c>
      <c r="AK325" t="str">
        <f ca="1">IF(AND(ISNUMBER($AK$766),$B$419=1),$AK$766,HLOOKUP(INDIRECT(ADDRESS(2,COLUMN())),OFFSET($BN$2,0,0,ROW()-1,60),ROW()-1,FALSE))</f>
        <v/>
      </c>
      <c r="AL325" t="str">
        <f ca="1">IF(AND(ISNUMBER($AL$766),$B$419=1),$AL$766,HLOOKUP(INDIRECT(ADDRESS(2,COLUMN())),OFFSET($BN$2,0,0,ROW()-1,60),ROW()-1,FALSE))</f>
        <v/>
      </c>
      <c r="AM325" t="str">
        <f ca="1">IF(AND(ISNUMBER($AM$766),$B$419=1),$AM$766,HLOOKUP(INDIRECT(ADDRESS(2,COLUMN())),OFFSET($BN$2,0,0,ROW()-1,60),ROW()-1,FALSE))</f>
        <v/>
      </c>
      <c r="AN325" t="str">
        <f ca="1">IF(AND(ISNUMBER($AN$766),$B$419=1),$AN$766,HLOOKUP(INDIRECT(ADDRESS(2,COLUMN())),OFFSET($BN$2,0,0,ROW()-1,60),ROW()-1,FALSE))</f>
        <v/>
      </c>
      <c r="AO325" t="str">
        <f ca="1">IF(AND(ISNUMBER($AO$766),$B$419=1),$AO$766,HLOOKUP(INDIRECT(ADDRESS(2,COLUMN())),OFFSET($BN$2,0,0,ROW()-1,60),ROW()-1,FALSE))</f>
        <v/>
      </c>
      <c r="AP325" t="str">
        <f ca="1">IF(AND(ISNUMBER($AP$766),$B$419=1),$AP$766,HLOOKUP(INDIRECT(ADDRESS(2,COLUMN())),OFFSET($BN$2,0,0,ROW()-1,60),ROW()-1,FALSE))</f>
        <v/>
      </c>
      <c r="AQ325" t="str">
        <f ca="1">IF(AND(ISNUMBER($AQ$766),$B$419=1),$AQ$766,HLOOKUP(INDIRECT(ADDRESS(2,COLUMN())),OFFSET($BN$2,0,0,ROW()-1,60),ROW()-1,FALSE))</f>
        <v/>
      </c>
      <c r="AR325" t="str">
        <f ca="1">IF(AND(ISNUMBER($AR$766),$B$419=1),$AR$766,HLOOKUP(INDIRECT(ADDRESS(2,COLUMN())),OFFSET($BN$2,0,0,ROW()-1,60),ROW()-1,FALSE))</f>
        <v/>
      </c>
      <c r="AS325" t="str">
        <f ca="1">IF(AND(ISNUMBER($AS$766),$B$419=1),$AS$766,HLOOKUP(INDIRECT(ADDRESS(2,COLUMN())),OFFSET($BN$2,0,0,ROW()-1,60),ROW()-1,FALSE))</f>
        <v/>
      </c>
      <c r="AT325" t="str">
        <f ca="1">IF(AND(ISNUMBER($AT$766),$B$419=1),$AT$766,HLOOKUP(INDIRECT(ADDRESS(2,COLUMN())),OFFSET($BN$2,0,0,ROW()-1,60),ROW()-1,FALSE))</f>
        <v/>
      </c>
      <c r="AU325" t="str">
        <f ca="1">IF(AND(ISNUMBER($AU$766),$B$419=1),$AU$766,HLOOKUP(INDIRECT(ADDRESS(2,COLUMN())),OFFSET($BN$2,0,0,ROW()-1,60),ROW()-1,FALSE))</f>
        <v/>
      </c>
      <c r="AV325" t="str">
        <f ca="1">IF(AND(ISNUMBER($AV$766),$B$419=1),$AV$766,HLOOKUP(INDIRECT(ADDRESS(2,COLUMN())),OFFSET($BN$2,0,0,ROW()-1,60),ROW()-1,FALSE))</f>
        <v/>
      </c>
      <c r="AW325" t="str">
        <f ca="1">IF(AND(ISNUMBER($AW$766),$B$419=1),$AW$766,HLOOKUP(INDIRECT(ADDRESS(2,COLUMN())),OFFSET($BN$2,0,0,ROW()-1,60),ROW()-1,FALSE))</f>
        <v/>
      </c>
      <c r="AX325" t="str">
        <f ca="1">IF(AND(ISNUMBER($AX$766),$B$419=1),$AX$766,HLOOKUP(INDIRECT(ADDRESS(2,COLUMN())),OFFSET($BN$2,0,0,ROW()-1,60),ROW()-1,FALSE))</f>
        <v/>
      </c>
      <c r="AY325" t="str">
        <f ca="1">IF(AND(ISNUMBER($AY$766),$B$419=1),$AY$766,HLOOKUP(INDIRECT(ADDRESS(2,COLUMN())),OFFSET($BN$2,0,0,ROW()-1,60),ROW()-1,FALSE))</f>
        <v/>
      </c>
      <c r="AZ325" t="str">
        <f ca="1">IF(AND(ISNUMBER($AZ$766),$B$419=1),$AZ$766,HLOOKUP(INDIRECT(ADDRESS(2,COLUMN())),OFFSET($BN$2,0,0,ROW()-1,60),ROW()-1,FALSE))</f>
        <v/>
      </c>
      <c r="BA325" t="str">
        <f ca="1">IF(AND(ISNUMBER($BA$766),$B$419=1),$BA$766,HLOOKUP(INDIRECT(ADDRESS(2,COLUMN())),OFFSET($BN$2,0,0,ROW()-1,60),ROW()-1,FALSE))</f>
        <v/>
      </c>
      <c r="BB325" t="str">
        <f ca="1">IF(AND(ISNUMBER($BB$766),$B$419=1),$BB$766,HLOOKUP(INDIRECT(ADDRESS(2,COLUMN())),OFFSET($BN$2,0,0,ROW()-1,60),ROW()-1,FALSE))</f>
        <v/>
      </c>
      <c r="BC325" t="str">
        <f ca="1">IF(AND(ISNUMBER($BC$766),$B$419=1),$BC$766,HLOOKUP(INDIRECT(ADDRESS(2,COLUMN())),OFFSET($BN$2,0,0,ROW()-1,60),ROW()-1,FALSE))</f>
        <v/>
      </c>
      <c r="BD325" t="str">
        <f ca="1">IF(AND(ISNUMBER($BD$766),$B$419=1),$BD$766,HLOOKUP(INDIRECT(ADDRESS(2,COLUMN())),OFFSET($BN$2,0,0,ROW()-1,60),ROW()-1,FALSE))</f>
        <v/>
      </c>
      <c r="BE325" t="str">
        <f ca="1">IF(AND(ISNUMBER($BE$766),$B$419=1),$BE$766,HLOOKUP(INDIRECT(ADDRESS(2,COLUMN())),OFFSET($BN$2,0,0,ROW()-1,60),ROW()-1,FALSE))</f>
        <v/>
      </c>
      <c r="BF325" t="str">
        <f ca="1">IF(AND(ISNUMBER($BF$766),$B$419=1),$BF$766,HLOOKUP(INDIRECT(ADDRESS(2,COLUMN())),OFFSET($BN$2,0,0,ROW()-1,60),ROW()-1,FALSE))</f>
        <v/>
      </c>
      <c r="BG325" t="str">
        <f ca="1">IF(AND(ISNUMBER($BG$766),$B$419=1),$BG$766,HLOOKUP(INDIRECT(ADDRESS(2,COLUMN())),OFFSET($BN$2,0,0,ROW()-1,60),ROW()-1,FALSE))</f>
        <v/>
      </c>
      <c r="BH325" t="str">
        <f ca="1">IF(AND(ISNUMBER($BH$766),$B$419=1),$BH$766,HLOOKUP(INDIRECT(ADDRESS(2,COLUMN())),OFFSET($BN$2,0,0,ROW()-1,60),ROW()-1,FALSE))</f>
        <v/>
      </c>
      <c r="BI325" t="str">
        <f ca="1">IF(AND(ISNUMBER($BI$766),$B$419=1),$BI$766,HLOOKUP(INDIRECT(ADDRESS(2,COLUMN())),OFFSET($BN$2,0,0,ROW()-1,60),ROW()-1,FALSE))</f>
        <v/>
      </c>
      <c r="BJ325" t="str">
        <f ca="1">IF(AND(ISNUMBER($BJ$766),$B$419=1),$BJ$766,HLOOKUP(INDIRECT(ADDRESS(2,COLUMN())),OFFSET($BN$2,0,0,ROW()-1,60),ROW()-1,FALSE))</f>
        <v/>
      </c>
      <c r="BK325" t="str">
        <f ca="1">IF(AND(ISNUMBER($BK$766),$B$419=1),$BK$766,HLOOKUP(INDIRECT(ADDRESS(2,COLUMN())),OFFSET($BN$2,0,0,ROW()-1,60),ROW()-1,FALSE))</f>
        <v/>
      </c>
      <c r="BL325" t="str">
        <f ca="1">IF(AND(ISNUMBER($BL$766),$B$419=1),$BL$766,HLOOKUP(INDIRECT(ADDRESS(2,COLUMN())),OFFSET($BN$2,0,0,ROW()-1,60),ROW()-1,FALSE))</f>
        <v/>
      </c>
      <c r="BM325" t="str">
        <f ca="1">IF(AND(ISNUMBER($BM$766),$B$419=1),$BM$766,HLOOKUP(INDIRECT(ADDRESS(2,COLUMN())),OFFSET($BN$2,0,0,ROW()-1,60),ROW()-1,FALSE))</f>
        <v/>
      </c>
      <c r="BN325" t="str">
        <f>""</f>
        <v/>
      </c>
      <c r="BO325">
        <f>56.938</f>
        <v>56.938000000000002</v>
      </c>
      <c r="BP325">
        <f>29.978</f>
        <v>29.978000000000002</v>
      </c>
      <c r="BQ325">
        <f>54.479</f>
        <v>54.478999999999999</v>
      </c>
      <c r="BR325">
        <f>59.883</f>
        <v>59.883000000000003</v>
      </c>
      <c r="BS325">
        <f>51.402</f>
        <v>51.402000000000001</v>
      </c>
      <c r="BT325">
        <f>31.143</f>
        <v>31.143000000000001</v>
      </c>
      <c r="BU325">
        <f>114.272</f>
        <v>114.27200000000001</v>
      </c>
      <c r="BV325">
        <f>105.822</f>
        <v>105.822</v>
      </c>
      <c r="BW325">
        <f>69.528</f>
        <v>69.528000000000006</v>
      </c>
      <c r="BX325">
        <f>37.983</f>
        <v>37.982999999999997</v>
      </c>
      <c r="BY325">
        <f>42.735</f>
        <v>42.734999999999999</v>
      </c>
      <c r="BZ325">
        <f>68.184</f>
        <v>68.183999999999997</v>
      </c>
      <c r="CA325">
        <f>60.595</f>
        <v>60.594999999999999</v>
      </c>
      <c r="CB325">
        <f>92.758</f>
        <v>92.757999999999996</v>
      </c>
      <c r="CC325">
        <f>61.83</f>
        <v>61.83</v>
      </c>
      <c r="CD325">
        <f>55.696</f>
        <v>55.695999999999998</v>
      </c>
      <c r="CE325">
        <f>113.915</f>
        <v>113.91500000000001</v>
      </c>
      <c r="CF325">
        <f>137.376</f>
        <v>137.376</v>
      </c>
      <c r="CG325">
        <f>142.006</f>
        <v>142.006</v>
      </c>
      <c r="CH325">
        <f>106.392</f>
        <v>106.392</v>
      </c>
      <c r="CI325">
        <f>103.098</f>
        <v>103.098</v>
      </c>
      <c r="CJ325" t="str">
        <f>""</f>
        <v/>
      </c>
      <c r="CK325" t="str">
        <f>""</f>
        <v/>
      </c>
      <c r="CL325" t="str">
        <f>""</f>
        <v/>
      </c>
      <c r="CM325" t="str">
        <f>""</f>
        <v/>
      </c>
      <c r="CN325" t="str">
        <f>""</f>
        <v/>
      </c>
      <c r="CO325" t="str">
        <f>""</f>
        <v/>
      </c>
      <c r="CP325" t="str">
        <f>""</f>
        <v/>
      </c>
      <c r="CQ325" t="str">
        <f>""</f>
        <v/>
      </c>
      <c r="CR325" t="str">
        <f>""</f>
        <v/>
      </c>
      <c r="CS325" t="str">
        <f>""</f>
        <v/>
      </c>
      <c r="CT325" t="str">
        <f>""</f>
        <v/>
      </c>
      <c r="CU325" t="str">
        <f>""</f>
        <v/>
      </c>
      <c r="CV325" t="str">
        <f>""</f>
        <v/>
      </c>
      <c r="CW325" t="str">
        <f>""</f>
        <v/>
      </c>
      <c r="CX325" t="str">
        <f>""</f>
        <v/>
      </c>
      <c r="CY325" t="str">
        <f>""</f>
        <v/>
      </c>
      <c r="CZ325" t="str">
        <f>""</f>
        <v/>
      </c>
      <c r="DA325" t="str">
        <f>""</f>
        <v/>
      </c>
      <c r="DB325" t="str">
        <f>""</f>
        <v/>
      </c>
      <c r="DC325" t="str">
        <f>""</f>
        <v/>
      </c>
      <c r="DD325" t="str">
        <f>""</f>
        <v/>
      </c>
      <c r="DE325" t="str">
        <f>""</f>
        <v/>
      </c>
      <c r="DF325" t="str">
        <f>""</f>
        <v/>
      </c>
      <c r="DG325" t="str">
        <f>""</f>
        <v/>
      </c>
      <c r="DH325" t="str">
        <f>""</f>
        <v/>
      </c>
      <c r="DI325" t="str">
        <f>""</f>
        <v/>
      </c>
      <c r="DJ325" t="str">
        <f>""</f>
        <v/>
      </c>
      <c r="DK325" t="str">
        <f>""</f>
        <v/>
      </c>
      <c r="DL325" t="str">
        <f>""</f>
        <v/>
      </c>
      <c r="DM325" t="str">
        <f>""</f>
        <v/>
      </c>
      <c r="DN325" t="str">
        <f>""</f>
        <v/>
      </c>
      <c r="DO325" t="str">
        <f>""</f>
        <v/>
      </c>
      <c r="DP325" t="str">
        <f>""</f>
        <v/>
      </c>
      <c r="DQ325" t="str">
        <f>""</f>
        <v/>
      </c>
      <c r="DR325" t="str">
        <f>""</f>
        <v/>
      </c>
      <c r="DS325" t="str">
        <f>""</f>
        <v/>
      </c>
      <c r="DT325" t="str">
        <f>""</f>
        <v/>
      </c>
      <c r="DU325" t="str">
        <f>""</f>
        <v/>
      </c>
    </row>
    <row r="326" spans="1:125">
      <c r="A326" t="str">
        <f>"    CBL &amp; Associates Properties In"</f>
        <v xml:space="preserve">    CBL &amp; Associates Properties In</v>
      </c>
      <c r="B326" t="str">
        <f>"CBL US Equity"</f>
        <v>CBL US Equity</v>
      </c>
      <c r="C326" t="str">
        <f t="shared" si="60"/>
        <v>RR253</v>
      </c>
      <c r="D326" t="str">
        <f t="shared" si="61"/>
        <v>CASH_AND_MARKETABLE_SECURITIES</v>
      </c>
      <c r="E326" t="str">
        <f t="shared" si="62"/>
        <v>动态</v>
      </c>
      <c r="F326" t="str">
        <f ca="1">IF(AND(ISNUMBER($F$767),$B$419=1),$F$767,HLOOKUP(INDIRECT(ADDRESS(2,COLUMN())),OFFSET($BN$2,0,0,ROW()-1,60),ROW()-1,FALSE))</f>
        <v/>
      </c>
      <c r="G326">
        <f ca="1">IF(AND(ISNUMBER($G$767),$B$419=1),$G$767,HLOOKUP(INDIRECT(ADDRESS(2,COLUMN())),OFFSET($BN$2,0,0,ROW()-1,60),ROW()-1,FALSE))</f>
        <v>32.627000000000002</v>
      </c>
      <c r="H326">
        <f ca="1">IF(AND(ISNUMBER($H$767),$B$419=1),$H$767,HLOOKUP(INDIRECT(ADDRESS(2,COLUMN())),OFFSET($BN$2,0,0,ROW()-1,60),ROW()-1,FALSE))</f>
        <v>31.350999999999999</v>
      </c>
      <c r="I326">
        <f ca="1">IF(AND(ISNUMBER($I$767),$B$419=1),$I$767,HLOOKUP(INDIRECT(ADDRESS(2,COLUMN())),OFFSET($BN$2,0,0,ROW()-1,60),ROW()-1,FALSE))</f>
        <v>29.622</v>
      </c>
      <c r="J326">
        <f ca="1">IF(AND(ISNUMBER($J$767),$B$419=1),$J$767,HLOOKUP(INDIRECT(ADDRESS(2,COLUMN())),OFFSET($BN$2,0,0,ROW()-1,60),ROW()-1,FALSE))</f>
        <v>27.553000000000001</v>
      </c>
      <c r="K326">
        <f ca="1">IF(AND(ISNUMBER($K$767),$B$419=1),$K$767,HLOOKUP(INDIRECT(ADDRESS(2,COLUMN())),OFFSET($BN$2,0,0,ROW()-1,60),ROW()-1,FALSE))</f>
        <v>18.951000000000001</v>
      </c>
      <c r="L326">
        <f ca="1">IF(AND(ISNUMBER($L$767),$B$419=1),$L$767,HLOOKUP(INDIRECT(ADDRESS(2,COLUMN())),OFFSET($BN$2,0,0,ROW()-1,60),ROW()-1,FALSE))</f>
        <v>24.468</v>
      </c>
      <c r="M326">
        <f ca="1">IF(AND(ISNUMBER($M$767),$B$419=1),$M$767,HLOOKUP(INDIRECT(ADDRESS(2,COLUMN())),OFFSET($BN$2,0,0,ROW()-1,60),ROW()-1,FALSE))</f>
        <v>21.138999999999999</v>
      </c>
      <c r="N326">
        <f ca="1">IF(AND(ISNUMBER($N$767),$B$419=1),$N$767,HLOOKUP(INDIRECT(ADDRESS(2,COLUMN())),OFFSET($BN$2,0,0,ROW()-1,60),ROW()-1,FALSE))</f>
        <v>25.030999999999999</v>
      </c>
      <c r="O326">
        <f ca="1">IF(AND(ISNUMBER($O$767),$B$419=1),$O$767,HLOOKUP(INDIRECT(ADDRESS(2,COLUMN())),OFFSET($BN$2,0,0,ROW()-1,60),ROW()-1,FALSE))</f>
        <v>36.892000000000003</v>
      </c>
      <c r="P326">
        <f ca="1">IF(AND(ISNUMBER($P$767),$B$419=1),$P$767,HLOOKUP(INDIRECT(ADDRESS(2,COLUMN())),OFFSET($BN$2,0,0,ROW()-1,60),ROW()-1,FALSE))</f>
        <v>32.436999999999998</v>
      </c>
      <c r="Q326">
        <f ca="1">IF(AND(ISNUMBER($Q$767),$B$419=1),$Q$767,HLOOKUP(INDIRECT(ADDRESS(2,COLUMN())),OFFSET($BN$2,0,0,ROW()-1,60),ROW()-1,FALSE))</f>
        <v>30.600999999999999</v>
      </c>
      <c r="R326">
        <f ca="1">IF(AND(ISNUMBER($R$767),$B$419=1),$R$767,HLOOKUP(INDIRECT(ADDRESS(2,COLUMN())),OFFSET($BN$2,0,0,ROW()-1,60),ROW()-1,FALSE))</f>
        <v>37.978000000000002</v>
      </c>
      <c r="S326">
        <f ca="1">IF(AND(ISNUMBER($S$767),$B$419=1),$S$767,HLOOKUP(INDIRECT(ADDRESS(2,COLUMN())),OFFSET($BN$2,0,0,ROW()-1,60),ROW()-1,FALSE))</f>
        <v>37.938000000000002</v>
      </c>
      <c r="T326">
        <f ca="1">IF(AND(ISNUMBER($T$767),$B$419=1),$T$767,HLOOKUP(INDIRECT(ADDRESS(2,COLUMN())),OFFSET($BN$2,0,0,ROW()-1,60),ROW()-1,FALSE))</f>
        <v>45.070999999999998</v>
      </c>
      <c r="U326">
        <f ca="1">IF(AND(ISNUMBER($U$767),$B$419=1),$U$767,HLOOKUP(INDIRECT(ADDRESS(2,COLUMN())),OFFSET($BN$2,0,0,ROW()-1,60),ROW()-1,FALSE))</f>
        <v>63.481999999999999</v>
      </c>
      <c r="V326">
        <f ca="1">IF(AND(ISNUMBER($V$767),$B$419=1),$V$767,HLOOKUP(INDIRECT(ADDRESS(2,COLUMN())),OFFSET($BN$2,0,0,ROW()-1,60),ROW()-1,FALSE))</f>
        <v>56.19</v>
      </c>
      <c r="W326">
        <f ca="1">IF(AND(ISNUMBER($W$767),$B$419=1),$W$767,HLOOKUP(INDIRECT(ADDRESS(2,COLUMN())),OFFSET($BN$2,0,0,ROW()-1,60),ROW()-1,FALSE))</f>
        <v>65.5</v>
      </c>
      <c r="X326">
        <f ca="1">IF(AND(ISNUMBER($X$767),$B$419=1),$X$767,HLOOKUP(INDIRECT(ADDRESS(2,COLUMN())),OFFSET($BN$2,0,0,ROW()-1,60),ROW()-1,FALSE))</f>
        <v>74.587999999999994</v>
      </c>
      <c r="Y326">
        <f ca="1">IF(AND(ISNUMBER($Y$767),$B$419=1),$Y$767,HLOOKUP(INDIRECT(ADDRESS(2,COLUMN())),OFFSET($BN$2,0,0,ROW()-1,60),ROW()-1,FALSE))</f>
        <v>64.430000000000007</v>
      </c>
      <c r="Z326">
        <f ca="1">IF(AND(ISNUMBER($Z$767),$B$419=1),$Z$767,HLOOKUP(INDIRECT(ADDRESS(2,COLUMN())),OFFSET($BN$2,0,0,ROW()-1,60),ROW()-1,FALSE))</f>
        <v>66.58</v>
      </c>
      <c r="AA326">
        <f ca="1">IF(AND(ISNUMBER($AA$767),$B$419=1),$AA$767,HLOOKUP(INDIRECT(ADDRESS(2,COLUMN())),OFFSET($BN$2,0,0,ROW()-1,60),ROW()-1,FALSE))</f>
        <v>78.248000000000005</v>
      </c>
      <c r="AB326">
        <f ca="1">IF(AND(ISNUMBER($AB$767),$B$419=1),$AB$767,HLOOKUP(INDIRECT(ADDRESS(2,COLUMN())),OFFSET($BN$2,0,0,ROW()-1,60),ROW()-1,FALSE))</f>
        <v>66.349999999999994</v>
      </c>
      <c r="AC326">
        <f ca="1">IF(AND(ISNUMBER($AC$767),$B$419=1),$AC$767,HLOOKUP(INDIRECT(ADDRESS(2,COLUMN())),OFFSET($BN$2,0,0,ROW()-1,60),ROW()-1,FALSE))</f>
        <v>71.537000000000006</v>
      </c>
      <c r="AD326">
        <f ca="1">IF(AND(ISNUMBER($AD$767),$B$419=1),$AD$767,HLOOKUP(INDIRECT(ADDRESS(2,COLUMN())),OFFSET($BN$2,0,0,ROW()-1,60),ROW()-1,FALSE))</f>
        <v>61.668999999999997</v>
      </c>
      <c r="AE326">
        <f ca="1">IF(AND(ISNUMBER($AE$767),$B$419=1),$AE$767,HLOOKUP(INDIRECT(ADDRESS(2,COLUMN())),OFFSET($BN$2,0,0,ROW()-1,60),ROW()-1,FALSE))</f>
        <v>56.091999999999999</v>
      </c>
      <c r="AF326">
        <f ca="1">IF(AND(ISNUMBER($AF$767),$B$419=1),$AF$767,HLOOKUP(INDIRECT(ADDRESS(2,COLUMN())),OFFSET($BN$2,0,0,ROW()-1,60),ROW()-1,FALSE))</f>
        <v>61.911999999999999</v>
      </c>
      <c r="AG326">
        <f ca="1">IF(AND(ISNUMBER($AG$767),$B$419=1),$AG$767,HLOOKUP(INDIRECT(ADDRESS(2,COLUMN())),OFFSET($BN$2,0,0,ROW()-1,60),ROW()-1,FALSE))</f>
        <v>47.890999999999998</v>
      </c>
      <c r="AH326">
        <f ca="1">IF(AND(ISNUMBER($AH$767),$B$419=1),$AH$767,HLOOKUP(INDIRECT(ADDRESS(2,COLUMN())),OFFSET($BN$2,0,0,ROW()-1,60),ROW()-1,FALSE))</f>
        <v>49.34</v>
      </c>
      <c r="AI326">
        <f ca="1">IF(AND(ISNUMBER($AI$767),$B$419=1),$AI$767,HLOOKUP(INDIRECT(ADDRESS(2,COLUMN())),OFFSET($BN$2,0,0,ROW()-1,60),ROW()-1,FALSE))</f>
        <v>50.896000000000001</v>
      </c>
      <c r="AJ326">
        <f ca="1">IF(AND(ISNUMBER($AJ$767),$B$419=1),$AJ$767,HLOOKUP(INDIRECT(ADDRESS(2,COLUMN())),OFFSET($BN$2,0,0,ROW()-1,60),ROW()-1,FALSE))</f>
        <v>56.667999999999999</v>
      </c>
      <c r="AK326">
        <f ca="1">IF(AND(ISNUMBER($AK$767),$B$419=1),$AK$767,HLOOKUP(INDIRECT(ADDRESS(2,COLUMN())),OFFSET($BN$2,0,0,ROW()-1,60),ROW()-1,FALSE))</f>
        <v>60.649000000000001</v>
      </c>
      <c r="AL326">
        <f ca="1">IF(AND(ISNUMBER($AL$767),$B$419=1),$AL$767,HLOOKUP(INDIRECT(ADDRESS(2,COLUMN())),OFFSET($BN$2,0,0,ROW()-1,60),ROW()-1,FALSE))</f>
        <v>50.215000000000003</v>
      </c>
      <c r="AM326">
        <f ca="1">IF(AND(ISNUMBER($AM$767),$B$419=1),$AM$767,HLOOKUP(INDIRECT(ADDRESS(2,COLUMN())),OFFSET($BN$2,0,0,ROW()-1,60),ROW()-1,FALSE))</f>
        <v>48.061999999999998</v>
      </c>
      <c r="AN326">
        <f ca="1">IF(AND(ISNUMBER($AN$767),$B$419=1),$AN$767,HLOOKUP(INDIRECT(ADDRESS(2,COLUMN())),OFFSET($BN$2,0,0,ROW()-1,60),ROW()-1,FALSE))</f>
        <v>63.502000000000002</v>
      </c>
      <c r="AO326">
        <f ca="1">IF(AND(ISNUMBER($AO$767),$B$419=1),$AO$767,HLOOKUP(INDIRECT(ADDRESS(2,COLUMN())),OFFSET($BN$2,0,0,ROW()-1,60),ROW()-1,FALSE))</f>
        <v>50.789000000000001</v>
      </c>
      <c r="AP326">
        <f ca="1">IF(AND(ISNUMBER($AP$767),$B$419=1),$AP$767,HLOOKUP(INDIRECT(ADDRESS(2,COLUMN())),OFFSET($BN$2,0,0,ROW()-1,60),ROW()-1,FALSE))</f>
        <v>44.073</v>
      </c>
      <c r="AQ326">
        <f ca="1">IF(AND(ISNUMBER($AQ$767),$B$419=1),$AQ$767,HLOOKUP(INDIRECT(ADDRESS(2,COLUMN())),OFFSET($BN$2,0,0,ROW()-1,60),ROW()-1,FALSE))</f>
        <v>51.226999999999997</v>
      </c>
      <c r="AR326">
        <f ca="1">IF(AND(ISNUMBER($AR$767),$B$419=1),$AR$767,HLOOKUP(INDIRECT(ADDRESS(2,COLUMN())),OFFSET($BN$2,0,0,ROW()-1,60),ROW()-1,FALSE))</f>
        <v>67.484999999999999</v>
      </c>
      <c r="AS326">
        <f ca="1">IF(AND(ISNUMBER($AS$767),$B$419=1),$AS$767,HLOOKUP(INDIRECT(ADDRESS(2,COLUMN())),OFFSET($BN$2,0,0,ROW()-1,60),ROW()-1,FALSE))</f>
        <v>66.45</v>
      </c>
      <c r="AT326">
        <f ca="1">IF(AND(ISNUMBER($AT$767),$B$419=1),$AT$767,HLOOKUP(INDIRECT(ADDRESS(2,COLUMN())),OFFSET($BN$2,0,0,ROW()-1,60),ROW()-1,FALSE))</f>
        <v>65.742000000000004</v>
      </c>
      <c r="AU326">
        <f ca="1">IF(AND(ISNUMBER($AU$767),$B$419=1),$AU$767,HLOOKUP(INDIRECT(ADDRESS(2,COLUMN())),OFFSET($BN$2,0,0,ROW()-1,60),ROW()-1,FALSE))</f>
        <v>65.825999999999993</v>
      </c>
      <c r="AV326">
        <f ca="1">IF(AND(ISNUMBER($AV$767),$B$419=1),$AV$767,HLOOKUP(INDIRECT(ADDRESS(2,COLUMN())),OFFSET($BN$2,0,0,ROW()-1,60),ROW()-1,FALSE))</f>
        <v>48.88</v>
      </c>
      <c r="AW326">
        <f ca="1">IF(AND(ISNUMBER($AW$767),$B$419=1),$AW$767,HLOOKUP(INDIRECT(ADDRESS(2,COLUMN())),OFFSET($BN$2,0,0,ROW()-1,60),ROW()-1,FALSE))</f>
        <v>58.244999999999997</v>
      </c>
      <c r="AX326">
        <f ca="1">IF(AND(ISNUMBER($AX$767),$B$419=1),$AX$767,HLOOKUP(INDIRECT(ADDRESS(2,COLUMN())),OFFSET($BN$2,0,0,ROW()-1,60),ROW()-1,FALSE))</f>
        <v>46.811</v>
      </c>
      <c r="AY326">
        <f ca="1">IF(AND(ISNUMBER($AY$767),$B$419=1),$AY$767,HLOOKUP(INDIRECT(ADDRESS(2,COLUMN())),OFFSET($BN$2,0,0,ROW()-1,60),ROW()-1,FALSE))</f>
        <v>28.7</v>
      </c>
      <c r="AZ326">
        <f ca="1">IF(AND(ISNUMBER($AZ$767),$B$419=1),$AZ$767,HLOOKUP(INDIRECT(ADDRESS(2,COLUMN())),OFFSET($BN$2,0,0,ROW()-1,60),ROW()-1,FALSE))</f>
        <v>33.56</v>
      </c>
      <c r="BA326">
        <f ca="1">IF(AND(ISNUMBER($BA$767),$B$419=1),$BA$767,HLOOKUP(INDIRECT(ADDRESS(2,COLUMN())),OFFSET($BN$2,0,0,ROW()-1,60),ROW()-1,FALSE))</f>
        <v>40.067999999999998</v>
      </c>
      <c r="BB326">
        <f ca="1">IF(AND(ISNUMBER($BB$767),$B$419=1),$BB$767,HLOOKUP(INDIRECT(ADDRESS(2,COLUMN())),OFFSET($BN$2,0,0,ROW()-1,60),ROW()-1,FALSE))</f>
        <v>41.49</v>
      </c>
      <c r="BC326">
        <f ca="1">IF(AND(ISNUMBER($BC$767),$B$419=1),$BC$767,HLOOKUP(INDIRECT(ADDRESS(2,COLUMN())),OFFSET($BN$2,0,0,ROW()-1,60),ROW()-1,FALSE))</f>
        <v>28.838000000000001</v>
      </c>
      <c r="BD326">
        <f ca="1">IF(AND(ISNUMBER($BD$767),$B$419=1),$BD$767,HLOOKUP(INDIRECT(ADDRESS(2,COLUMN())),OFFSET($BN$2,0,0,ROW()-1,60),ROW()-1,FALSE))</f>
        <v>36.802</v>
      </c>
      <c r="BE326">
        <f ca="1">IF(AND(ISNUMBER($BE$767),$B$419=1),$BE$767,HLOOKUP(INDIRECT(ADDRESS(2,COLUMN())),OFFSET($BN$2,0,0,ROW()-1,60),ROW()-1,FALSE))</f>
        <v>37.887999999999998</v>
      </c>
      <c r="BF326">
        <f ca="1">IF(AND(ISNUMBER($BF$767),$B$419=1),$BF$767,HLOOKUP(INDIRECT(ADDRESS(2,COLUMN())),OFFSET($BN$2,0,0,ROW()-1,60),ROW()-1,FALSE))</f>
        <v>58.935000000000002</v>
      </c>
      <c r="BG326">
        <f ca="1">IF(AND(ISNUMBER($BG$767),$B$419=1),$BG$767,HLOOKUP(INDIRECT(ADDRESS(2,COLUMN())),OFFSET($BN$2,0,0,ROW()-1,60),ROW()-1,FALSE))</f>
        <v>25.765999999999998</v>
      </c>
      <c r="BH326">
        <f ca="1">IF(AND(ISNUMBER($BH$767),$B$419=1),$BH$767,HLOOKUP(INDIRECT(ADDRESS(2,COLUMN())),OFFSET($BN$2,0,0,ROW()-1,60),ROW()-1,FALSE))</f>
        <v>27.238001000000001</v>
      </c>
      <c r="BI326">
        <f ca="1">IF(AND(ISNUMBER($BI$767),$B$419=1),$BI$767,HLOOKUP(INDIRECT(ADDRESS(2,COLUMN())),OFFSET($BN$2,0,0,ROW()-1,60),ROW()-1,FALSE))</f>
        <v>30.042000000000002</v>
      </c>
      <c r="BJ326">
        <f ca="1">IF(AND(ISNUMBER($BJ$767),$B$419=1),$BJ$767,HLOOKUP(INDIRECT(ADDRESS(2,COLUMN())),OFFSET($BN$2,0,0,ROW()-1,60),ROW()-1,FALSE))</f>
        <v>35.789000999999999</v>
      </c>
      <c r="BK326">
        <f ca="1">IF(AND(ISNUMBER($BK$767),$B$419=1),$BK$767,HLOOKUP(INDIRECT(ADDRESS(2,COLUMN())),OFFSET($BN$2,0,0,ROW()-1,60),ROW()-1,FALSE))</f>
        <v>20.332001000000002</v>
      </c>
      <c r="BL326">
        <f ca="1">IF(AND(ISNUMBER($BL$767),$B$419=1),$BL$767,HLOOKUP(INDIRECT(ADDRESS(2,COLUMN())),OFFSET($BN$2,0,0,ROW()-1,60),ROW()-1,FALSE))</f>
        <v>25.187999999999999</v>
      </c>
      <c r="BM326">
        <f ca="1">IF(AND(ISNUMBER($BM$767),$B$419=1),$BM$767,HLOOKUP(INDIRECT(ADDRESS(2,COLUMN())),OFFSET($BN$2,0,0,ROW()-1,60),ROW()-1,FALSE))</f>
        <v>25.75</v>
      </c>
      <c r="BN326" t="str">
        <f>""</f>
        <v/>
      </c>
      <c r="BO326">
        <f>32.627</f>
        <v>32.627000000000002</v>
      </c>
      <c r="BP326">
        <f>31.351</f>
        <v>31.350999999999999</v>
      </c>
      <c r="BQ326">
        <f>29.622</f>
        <v>29.622</v>
      </c>
      <c r="BR326">
        <f>27.553</f>
        <v>27.553000000000001</v>
      </c>
      <c r="BS326">
        <f>18.951</f>
        <v>18.951000000000001</v>
      </c>
      <c r="BT326">
        <f>24.468</f>
        <v>24.468</v>
      </c>
      <c r="BU326">
        <f>21.139</f>
        <v>21.138999999999999</v>
      </c>
      <c r="BV326">
        <f>25.031</f>
        <v>25.030999999999999</v>
      </c>
      <c r="BW326">
        <f>36.892</f>
        <v>36.892000000000003</v>
      </c>
      <c r="BX326">
        <f>32.437</f>
        <v>32.436999999999998</v>
      </c>
      <c r="BY326">
        <f>30.601</f>
        <v>30.600999999999999</v>
      </c>
      <c r="BZ326">
        <f>37.978</f>
        <v>37.978000000000002</v>
      </c>
      <c r="CA326">
        <f>37.938</f>
        <v>37.938000000000002</v>
      </c>
      <c r="CB326">
        <f>45.071</f>
        <v>45.070999999999998</v>
      </c>
      <c r="CC326">
        <f>63.482</f>
        <v>63.481999999999999</v>
      </c>
      <c r="CD326">
        <f>56.19</f>
        <v>56.19</v>
      </c>
      <c r="CE326">
        <f>65.5</f>
        <v>65.5</v>
      </c>
      <c r="CF326">
        <f>74.588</f>
        <v>74.587999999999994</v>
      </c>
      <c r="CG326">
        <f>64.43</f>
        <v>64.430000000000007</v>
      </c>
      <c r="CH326">
        <f>66.58</f>
        <v>66.58</v>
      </c>
      <c r="CI326">
        <f>78.248</f>
        <v>78.248000000000005</v>
      </c>
      <c r="CJ326">
        <f>66.35</f>
        <v>66.349999999999994</v>
      </c>
      <c r="CK326">
        <f>71.537</f>
        <v>71.537000000000006</v>
      </c>
      <c r="CL326">
        <f>61.669</f>
        <v>61.668999999999997</v>
      </c>
      <c r="CM326">
        <f>56.092</f>
        <v>56.091999999999999</v>
      </c>
      <c r="CN326">
        <f>61.912</f>
        <v>61.911999999999999</v>
      </c>
      <c r="CO326">
        <f>47.891</f>
        <v>47.890999999999998</v>
      </c>
      <c r="CP326">
        <f>49.34</f>
        <v>49.34</v>
      </c>
      <c r="CQ326">
        <f>50.896</f>
        <v>50.896000000000001</v>
      </c>
      <c r="CR326">
        <f>56.668</f>
        <v>56.667999999999999</v>
      </c>
      <c r="CS326">
        <f>60.649</f>
        <v>60.649000000000001</v>
      </c>
      <c r="CT326">
        <f>50.215</f>
        <v>50.215000000000003</v>
      </c>
      <c r="CU326">
        <f>48.062</f>
        <v>48.061999999999998</v>
      </c>
      <c r="CV326">
        <f>63.502</f>
        <v>63.502000000000002</v>
      </c>
      <c r="CW326">
        <f>50.789</f>
        <v>50.789000000000001</v>
      </c>
      <c r="CX326">
        <f>44.073</f>
        <v>44.073</v>
      </c>
      <c r="CY326">
        <f>51.227</f>
        <v>51.226999999999997</v>
      </c>
      <c r="CZ326">
        <f>67.485</f>
        <v>67.484999999999999</v>
      </c>
      <c r="DA326">
        <f>66.45</f>
        <v>66.45</v>
      </c>
      <c r="DB326">
        <f>65.742</f>
        <v>65.742000000000004</v>
      </c>
      <c r="DC326">
        <f>65.826</f>
        <v>65.825999999999993</v>
      </c>
      <c r="DD326">
        <f>48.88</f>
        <v>48.88</v>
      </c>
      <c r="DE326">
        <f>58.245</f>
        <v>58.244999999999997</v>
      </c>
      <c r="DF326">
        <f>46.811</f>
        <v>46.811</v>
      </c>
      <c r="DG326">
        <f>28.7</f>
        <v>28.7</v>
      </c>
      <c r="DH326">
        <f>33.56</f>
        <v>33.56</v>
      </c>
      <c r="DI326">
        <f>40.068</f>
        <v>40.067999999999998</v>
      </c>
      <c r="DJ326">
        <f>41.49</f>
        <v>41.49</v>
      </c>
      <c r="DK326">
        <f>28.838</f>
        <v>28.838000000000001</v>
      </c>
      <c r="DL326">
        <f>36.802</f>
        <v>36.802</v>
      </c>
      <c r="DM326">
        <f>37.888</f>
        <v>37.887999999999998</v>
      </c>
      <c r="DN326">
        <f>58.935</f>
        <v>58.935000000000002</v>
      </c>
      <c r="DO326">
        <f>25.766</f>
        <v>25.765999999999998</v>
      </c>
      <c r="DP326">
        <f>27.238001</f>
        <v>27.238001000000001</v>
      </c>
      <c r="DQ326">
        <f>30.042</f>
        <v>30.042000000000002</v>
      </c>
      <c r="DR326">
        <f>35.789001</f>
        <v>35.789000999999999</v>
      </c>
      <c r="DS326">
        <f>20.332001</f>
        <v>20.332001000000002</v>
      </c>
      <c r="DT326">
        <f>25.188</f>
        <v>25.187999999999999</v>
      </c>
      <c r="DU326">
        <f>25.75</f>
        <v>25.75</v>
      </c>
    </row>
    <row r="327" spans="1:125">
      <c r="A327" t="str">
        <f>"    DDR Corp"</f>
        <v xml:space="preserve">    DDR Corp</v>
      </c>
      <c r="B327" t="str">
        <f>"DDR US Equity"</f>
        <v>DDR US Equity</v>
      </c>
      <c r="C327" t="str">
        <f t="shared" si="60"/>
        <v>RR253</v>
      </c>
      <c r="D327" t="str">
        <f t="shared" si="61"/>
        <v>CASH_AND_MARKETABLE_SECURITIES</v>
      </c>
      <c r="E327" t="str">
        <f t="shared" si="62"/>
        <v>动态</v>
      </c>
      <c r="F327" t="str">
        <f ca="1">IF(AND(ISNUMBER($F$768),$B$419=1),$F$768,HLOOKUP(INDIRECT(ADDRESS(2,COLUMN())),OFFSET($BN$2,0,0,ROW()-1,60),ROW()-1,FALSE))</f>
        <v/>
      </c>
      <c r="G327">
        <f ca="1">IF(AND(ISNUMBER($G$768),$B$419=1),$G$768,HLOOKUP(INDIRECT(ADDRESS(2,COLUMN())),OFFSET($BN$2,0,0,ROW()-1,60),ROW()-1,FALSE))</f>
        <v>92.611000000000004</v>
      </c>
      <c r="H327">
        <f ca="1">IF(AND(ISNUMBER($H$768),$B$419=1),$H$768,HLOOKUP(INDIRECT(ADDRESS(2,COLUMN())),OFFSET($BN$2,0,0,ROW()-1,60),ROW()-1,FALSE))</f>
        <v>18.268000000000001</v>
      </c>
      <c r="I327">
        <f ca="1">IF(AND(ISNUMBER($I$768),$B$419=1),$I$768,HLOOKUP(INDIRECT(ADDRESS(2,COLUMN())),OFFSET($BN$2,0,0,ROW()-1,60),ROW()-1,FALSE))</f>
        <v>414.07400000000001</v>
      </c>
      <c r="J327">
        <f ca="1">IF(AND(ISNUMBER($J$768),$B$419=1),$J$768,HLOOKUP(INDIRECT(ADDRESS(2,COLUMN())),OFFSET($BN$2,0,0,ROW()-1,60),ROW()-1,FALSE))</f>
        <v>19.715</v>
      </c>
      <c r="K327">
        <f ca="1">IF(AND(ISNUMBER($K$768),$B$419=1),$K$768,HLOOKUP(INDIRECT(ADDRESS(2,COLUMN())),OFFSET($BN$2,0,0,ROW()-1,60),ROW()-1,FALSE))</f>
        <v>30.43</v>
      </c>
      <c r="L327">
        <f ca="1">IF(AND(ISNUMBER($L$768),$B$419=1),$L$768,HLOOKUP(INDIRECT(ADDRESS(2,COLUMN())),OFFSET($BN$2,0,0,ROW()-1,60),ROW()-1,FALSE))</f>
        <v>20.658000000000001</v>
      </c>
      <c r="M327">
        <f ca="1">IF(AND(ISNUMBER($M$768),$B$419=1),$M$768,HLOOKUP(INDIRECT(ADDRESS(2,COLUMN())),OFFSET($BN$2,0,0,ROW()-1,60),ROW()-1,FALSE))</f>
        <v>17.981000000000002</v>
      </c>
      <c r="N327">
        <f ca="1">IF(AND(ISNUMBER($N$768),$B$419=1),$N$768,HLOOKUP(INDIRECT(ADDRESS(2,COLUMN())),OFFSET($BN$2,0,0,ROW()-1,60),ROW()-1,FALSE))</f>
        <v>23.72</v>
      </c>
      <c r="O327">
        <f ca="1">IF(AND(ISNUMBER($O$768),$B$419=1),$O$768,HLOOKUP(INDIRECT(ADDRESS(2,COLUMN())),OFFSET($BN$2,0,0,ROW()-1,60),ROW()-1,FALSE))</f>
        <v>22.416</v>
      </c>
      <c r="P327">
        <f ca="1">IF(AND(ISNUMBER($P$768),$B$419=1),$P$768,HLOOKUP(INDIRECT(ADDRESS(2,COLUMN())),OFFSET($BN$2,0,0,ROW()-1,60),ROW()-1,FALSE))</f>
        <v>21.04</v>
      </c>
      <c r="Q327">
        <f ca="1">IF(AND(ISNUMBER($Q$768),$B$419=1),$Q$768,HLOOKUP(INDIRECT(ADDRESS(2,COLUMN())),OFFSET($BN$2,0,0,ROW()-1,60),ROW()-1,FALSE))</f>
        <v>25.268000000000001</v>
      </c>
      <c r="R327">
        <f ca="1">IF(AND(ISNUMBER($R$768),$B$419=1),$R$768,HLOOKUP(INDIRECT(ADDRESS(2,COLUMN())),OFFSET($BN$2,0,0,ROW()-1,60),ROW()-1,FALSE))</f>
        <v>55.993000000000002</v>
      </c>
      <c r="S327">
        <f ca="1">IF(AND(ISNUMBER($S$768),$B$419=1),$S$768,HLOOKUP(INDIRECT(ADDRESS(2,COLUMN())),OFFSET($BN$2,0,0,ROW()-1,60),ROW()-1,FALSE))</f>
        <v>20.937000000000001</v>
      </c>
      <c r="T327">
        <f ca="1">IF(AND(ISNUMBER($T$768),$B$419=1),$T$768,HLOOKUP(INDIRECT(ADDRESS(2,COLUMN())),OFFSET($BN$2,0,0,ROW()-1,60),ROW()-1,FALSE))</f>
        <v>134.32</v>
      </c>
      <c r="U327">
        <f ca="1">IF(AND(ISNUMBER($U$768),$B$419=1),$U$768,HLOOKUP(INDIRECT(ADDRESS(2,COLUMN())),OFFSET($BN$2,0,0,ROW()-1,60),ROW()-1,FALSE))</f>
        <v>359.34</v>
      </c>
      <c r="V327">
        <f ca="1">IF(AND(ISNUMBER($V$768),$B$419=1),$V$768,HLOOKUP(INDIRECT(ADDRESS(2,COLUMN())),OFFSET($BN$2,0,0,ROW()-1,60),ROW()-1,FALSE))</f>
        <v>163.83500000000001</v>
      </c>
      <c r="W327">
        <f ca="1">IF(AND(ISNUMBER($W$768),$B$419=1),$W$768,HLOOKUP(INDIRECT(ADDRESS(2,COLUMN())),OFFSET($BN$2,0,0,ROW()-1,60),ROW()-1,FALSE))</f>
        <v>86.664000000000001</v>
      </c>
      <c r="X327">
        <f ca="1">IF(AND(ISNUMBER($X$768),$B$419=1),$X$768,HLOOKUP(INDIRECT(ADDRESS(2,COLUMN())),OFFSET($BN$2,0,0,ROW()-1,60),ROW()-1,FALSE))</f>
        <v>35.350999999999999</v>
      </c>
      <c r="Y327">
        <f ca="1">IF(AND(ISNUMBER($Y$768),$B$419=1),$Y$768,HLOOKUP(INDIRECT(ADDRESS(2,COLUMN())),OFFSET($BN$2,0,0,ROW()-1,60),ROW()-1,FALSE))</f>
        <v>41.718000000000004</v>
      </c>
      <c r="Z327">
        <f ca="1">IF(AND(ISNUMBER($Z$768),$B$419=1),$Z$768,HLOOKUP(INDIRECT(ADDRESS(2,COLUMN())),OFFSET($BN$2,0,0,ROW()-1,60),ROW()-1,FALSE))</f>
        <v>18.872</v>
      </c>
      <c r="AA327">
        <f ca="1">IF(AND(ISNUMBER($AA$768),$B$419=1),$AA$768,HLOOKUP(INDIRECT(ADDRESS(2,COLUMN())),OFFSET($BN$2,0,0,ROW()-1,60),ROW()-1,FALSE))</f>
        <v>31.173999999999999</v>
      </c>
      <c r="AB327">
        <f ca="1">IF(AND(ISNUMBER($AB$768),$B$419=1),$AB$768,HLOOKUP(INDIRECT(ADDRESS(2,COLUMN())),OFFSET($BN$2,0,0,ROW()-1,60),ROW()-1,FALSE))</f>
        <v>20.227</v>
      </c>
      <c r="AC327">
        <f ca="1">IF(AND(ISNUMBER($AC$768),$B$419=1),$AC$768,HLOOKUP(INDIRECT(ADDRESS(2,COLUMN())),OFFSET($BN$2,0,0,ROW()-1,60),ROW()-1,FALSE))</f>
        <v>18.504999999999999</v>
      </c>
      <c r="AD327">
        <f ca="1">IF(AND(ISNUMBER($AD$768),$B$419=1),$AD$768,HLOOKUP(INDIRECT(ADDRESS(2,COLUMN())),OFFSET($BN$2,0,0,ROW()-1,60),ROW()-1,FALSE))</f>
        <v>16.088000000000001</v>
      </c>
      <c r="AE327">
        <f ca="1">IF(AND(ISNUMBER($AE$768),$B$419=1),$AE$768,HLOOKUP(INDIRECT(ADDRESS(2,COLUMN())),OFFSET($BN$2,0,0,ROW()-1,60),ROW()-1,FALSE))</f>
        <v>41.206000000000003</v>
      </c>
      <c r="AF327">
        <f ca="1">IF(AND(ISNUMBER($AF$768),$B$419=1),$AF$768,HLOOKUP(INDIRECT(ADDRESS(2,COLUMN())),OFFSET($BN$2,0,0,ROW()-1,60),ROW()-1,FALSE))</f>
        <v>20.681000000000001</v>
      </c>
      <c r="AG327">
        <f ca="1">IF(AND(ISNUMBER($AG$768),$B$419=1),$AG$768,HLOOKUP(INDIRECT(ADDRESS(2,COLUMN())),OFFSET($BN$2,0,0,ROW()-1,60),ROW()-1,FALSE))</f>
        <v>15.425000000000001</v>
      </c>
      <c r="AH327">
        <f ca="1">IF(AND(ISNUMBER($AH$768),$B$419=1),$AH$768,HLOOKUP(INDIRECT(ADDRESS(2,COLUMN())),OFFSET($BN$2,0,0,ROW()-1,60),ROW()-1,FALSE))</f>
        <v>21.024999999999999</v>
      </c>
      <c r="AI327">
        <f ca="1">IF(AND(ISNUMBER($AI$768),$B$419=1),$AI$768,HLOOKUP(INDIRECT(ADDRESS(2,COLUMN())),OFFSET($BN$2,0,0,ROW()-1,60),ROW()-1,FALSE))</f>
        <v>19.416</v>
      </c>
      <c r="AJ327">
        <f ca="1">IF(AND(ISNUMBER($AJ$768),$B$419=1),$AJ$768,HLOOKUP(INDIRECT(ADDRESS(2,COLUMN())),OFFSET($BN$2,0,0,ROW()-1,60),ROW()-1,FALSE))</f>
        <v>21.335000000000001</v>
      </c>
      <c r="AK327">
        <f ca="1">IF(AND(ISNUMBER($AK$768),$B$419=1),$AK$768,HLOOKUP(INDIRECT(ADDRESS(2,COLUMN())),OFFSET($BN$2,0,0,ROW()-1,60),ROW()-1,FALSE))</f>
        <v>20.92</v>
      </c>
      <c r="AL327">
        <f ca="1">IF(AND(ISNUMBER($AL$768),$B$419=1),$AL$768,HLOOKUP(INDIRECT(ADDRESS(2,COLUMN())),OFFSET($BN$2,0,0,ROW()-1,60),ROW()-1,FALSE))</f>
        <v>25.748000000000001</v>
      </c>
      <c r="AM327">
        <f ca="1">IF(AND(ISNUMBER($AM$768),$B$419=1),$AM$768,HLOOKUP(INDIRECT(ADDRESS(2,COLUMN())),OFFSET($BN$2,0,0,ROW()-1,60),ROW()-1,FALSE))</f>
        <v>26.172000000000001</v>
      </c>
      <c r="AN327">
        <f ca="1">IF(AND(ISNUMBER($AN$768),$B$419=1),$AN$768,HLOOKUP(INDIRECT(ADDRESS(2,COLUMN())),OFFSET($BN$2,0,0,ROW()-1,60),ROW()-1,FALSE))</f>
        <v>26.414999999999999</v>
      </c>
      <c r="AO327">
        <f ca="1">IF(AND(ISNUMBER($AO$768),$B$419=1),$AO$768,HLOOKUP(INDIRECT(ADDRESS(2,COLUMN())),OFFSET($BN$2,0,0,ROW()-1,60),ROW()-1,FALSE))</f>
        <v>28.745000000000001</v>
      </c>
      <c r="AP327">
        <f ca="1">IF(AND(ISNUMBER($AP$768),$B$419=1),$AP$768,HLOOKUP(INDIRECT(ADDRESS(2,COLUMN())),OFFSET($BN$2,0,0,ROW()-1,60),ROW()-1,FALSE))</f>
        <v>36.323</v>
      </c>
      <c r="AQ327">
        <f ca="1">IF(AND(ISNUMBER($AQ$768),$B$419=1),$AQ$768,HLOOKUP(INDIRECT(ADDRESS(2,COLUMN())),OFFSET($BN$2,0,0,ROW()-1,60),ROW()-1,FALSE))</f>
        <v>29.494</v>
      </c>
      <c r="AR327">
        <f ca="1">IF(AND(ISNUMBER($AR$768),$B$419=1),$AR$768,HLOOKUP(INDIRECT(ADDRESS(2,COLUMN())),OFFSET($BN$2,0,0,ROW()-1,60),ROW()-1,FALSE))</f>
        <v>30.170999999999999</v>
      </c>
      <c r="AS327">
        <f ca="1">IF(AND(ISNUMBER($AS$768),$B$419=1),$AS$768,HLOOKUP(INDIRECT(ADDRESS(2,COLUMN())),OFFSET($BN$2,0,0,ROW()-1,60),ROW()-1,FALSE))</f>
        <v>47.847000000000001</v>
      </c>
      <c r="AT327">
        <f ca="1">IF(AND(ISNUMBER($AT$768),$B$419=1),$AT$768,HLOOKUP(INDIRECT(ADDRESS(2,COLUMN())),OFFSET($BN$2,0,0,ROW()-1,60),ROW()-1,FALSE))</f>
        <v>70.963999999999999</v>
      </c>
      <c r="AU327">
        <f ca="1">IF(AND(ISNUMBER($AU$768),$B$419=1),$AU$768,HLOOKUP(INDIRECT(ADDRESS(2,COLUMN())),OFFSET($BN$2,0,0,ROW()-1,60),ROW()-1,FALSE))</f>
        <v>49.546999999999997</v>
      </c>
      <c r="AV327">
        <f ca="1">IF(AND(ISNUMBER($AV$768),$B$419=1),$AV$768,HLOOKUP(INDIRECT(ADDRESS(2,COLUMN())),OFFSET($BN$2,0,0,ROW()-1,60),ROW()-1,FALSE))</f>
        <v>49.7</v>
      </c>
      <c r="AW327">
        <f ca="1">IF(AND(ISNUMBER($AW$768),$B$419=1),$AW$768,HLOOKUP(INDIRECT(ADDRESS(2,COLUMN())),OFFSET($BN$2,0,0,ROW()-1,60),ROW()-1,FALSE))</f>
        <v>46.018999999999998</v>
      </c>
      <c r="AX327">
        <f ca="1">IF(AND(ISNUMBER($AX$768),$B$419=1),$AX$768,HLOOKUP(INDIRECT(ADDRESS(2,COLUMN())),OFFSET($BN$2,0,0,ROW()-1,60),ROW()-1,FALSE))</f>
        <v>79.721000000000004</v>
      </c>
      <c r="AY327">
        <f ca="1">IF(AND(ISNUMBER($AY$768),$B$419=1),$AY$768,HLOOKUP(INDIRECT(ADDRESS(2,COLUMN())),OFFSET($BN$2,0,0,ROW()-1,60),ROW()-1,FALSE))</f>
        <v>28.378</v>
      </c>
      <c r="AZ327">
        <f ca="1">IF(AND(ISNUMBER($AZ$768),$B$419=1),$AZ$768,HLOOKUP(INDIRECT(ADDRESS(2,COLUMN())),OFFSET($BN$2,0,0,ROW()-1,60),ROW()-1,FALSE))</f>
        <v>48.430999999999997</v>
      </c>
      <c r="BA327">
        <f ca="1">IF(AND(ISNUMBER($BA$768),$B$419=1),$BA$768,HLOOKUP(INDIRECT(ADDRESS(2,COLUMN())),OFFSET($BN$2,0,0,ROW()-1,60),ROW()-1,FALSE))</f>
        <v>43.119</v>
      </c>
      <c r="BB327">
        <f ca="1">IF(AND(ISNUMBER($BB$768),$B$419=1),$BB$768,HLOOKUP(INDIRECT(ADDRESS(2,COLUMN())),OFFSET($BN$2,0,0,ROW()-1,60),ROW()-1,FALSE))</f>
        <v>39.966999999999999</v>
      </c>
      <c r="BC327">
        <f ca="1">IF(AND(ISNUMBER($BC$768),$B$419=1),$BC$768,HLOOKUP(INDIRECT(ADDRESS(2,COLUMN())),OFFSET($BN$2,0,0,ROW()-1,60),ROW()-1,FALSE))</f>
        <v>30.655000000000001</v>
      </c>
      <c r="BD327">
        <f ca="1">IF(AND(ISNUMBER($BD$768),$B$419=1),$BD$768,HLOOKUP(INDIRECT(ADDRESS(2,COLUMN())),OFFSET($BN$2,0,0,ROW()-1,60),ROW()-1,FALSE))</f>
        <v>38.880000000000003</v>
      </c>
      <c r="BE327">
        <f ca="1">IF(AND(ISNUMBER($BE$768),$B$419=1),$BE$768,HLOOKUP(INDIRECT(ADDRESS(2,COLUMN())),OFFSET($BN$2,0,0,ROW()-1,60),ROW()-1,FALSE))</f>
        <v>36.31</v>
      </c>
      <c r="BF327">
        <f ca="1">IF(AND(ISNUMBER($BF$768),$B$419=1),$BF$768,HLOOKUP(INDIRECT(ADDRESS(2,COLUMN())),OFFSET($BN$2,0,0,ROW()-1,60),ROW()-1,FALSE))</f>
        <v>51.427999999999997</v>
      </c>
      <c r="BG327">
        <f ca="1">IF(AND(ISNUMBER($BG$768),$B$419=1),$BG$768,HLOOKUP(INDIRECT(ADDRESS(2,COLUMN())),OFFSET($BN$2,0,0,ROW()-1,60),ROW()-1,FALSE))</f>
        <v>49.871000000000002</v>
      </c>
      <c r="BH327">
        <f ca="1">IF(AND(ISNUMBER($BH$768),$B$419=1),$BH$768,HLOOKUP(INDIRECT(ADDRESS(2,COLUMN())),OFFSET($BN$2,0,0,ROW()-1,60),ROW()-1,FALSE))</f>
        <v>23.696999999999999</v>
      </c>
      <c r="BI327">
        <f ca="1">IF(AND(ISNUMBER($BI$768),$B$419=1),$BI$768,HLOOKUP(INDIRECT(ADDRESS(2,COLUMN())),OFFSET($BN$2,0,0,ROW()-1,60),ROW()-1,FALSE))</f>
        <v>21.52</v>
      </c>
      <c r="BJ327">
        <f ca="1">IF(AND(ISNUMBER($BJ$768),$B$419=1),$BJ$768,HLOOKUP(INDIRECT(ADDRESS(2,COLUMN())),OFFSET($BN$2,0,0,ROW()-1,60),ROW()-1,FALSE))</f>
        <v>22.683</v>
      </c>
      <c r="BK327">
        <f ca="1">IF(AND(ISNUMBER($BK$768),$B$419=1),$BK$768,HLOOKUP(INDIRECT(ADDRESS(2,COLUMN())),OFFSET($BN$2,0,0,ROW()-1,60),ROW()-1,FALSE))</f>
        <v>11.692999840000001</v>
      </c>
      <c r="BL327">
        <f ca="1">IF(AND(ISNUMBER($BL$768),$B$419=1),$BL$768,HLOOKUP(INDIRECT(ADDRESS(2,COLUMN())),OFFSET($BN$2,0,0,ROW()-1,60),ROW()-1,FALSE))</f>
        <v>18.474</v>
      </c>
      <c r="BM327">
        <f ca="1">IF(AND(ISNUMBER($BM$768),$B$419=1),$BM$768,HLOOKUP(INDIRECT(ADDRESS(2,COLUMN())),OFFSET($BN$2,0,0,ROW()-1,60),ROW()-1,FALSE))</f>
        <v>22.009</v>
      </c>
      <c r="BN327" t="str">
        <f>""</f>
        <v/>
      </c>
      <c r="BO327">
        <f>92.611</f>
        <v>92.611000000000004</v>
      </c>
      <c r="BP327">
        <f>18.268</f>
        <v>18.268000000000001</v>
      </c>
      <c r="BQ327">
        <f>414.074</f>
        <v>414.07400000000001</v>
      </c>
      <c r="BR327">
        <f>19.715</f>
        <v>19.715</v>
      </c>
      <c r="BS327">
        <f>30.43</f>
        <v>30.43</v>
      </c>
      <c r="BT327">
        <f>20.658</f>
        <v>20.658000000000001</v>
      </c>
      <c r="BU327">
        <f>17.981</f>
        <v>17.981000000000002</v>
      </c>
      <c r="BV327">
        <f>23.72</f>
        <v>23.72</v>
      </c>
      <c r="BW327">
        <f>22.416</f>
        <v>22.416</v>
      </c>
      <c r="BX327">
        <f>21.04</f>
        <v>21.04</v>
      </c>
      <c r="BY327">
        <f>25.268</f>
        <v>25.268000000000001</v>
      </c>
      <c r="BZ327">
        <f>55.993</f>
        <v>55.993000000000002</v>
      </c>
      <c r="CA327">
        <f>20.937</f>
        <v>20.937000000000001</v>
      </c>
      <c r="CB327">
        <f>134.32</f>
        <v>134.32</v>
      </c>
      <c r="CC327">
        <f>359.34</f>
        <v>359.34</v>
      </c>
      <c r="CD327">
        <f>163.835</f>
        <v>163.83500000000001</v>
      </c>
      <c r="CE327">
        <f>86.664</f>
        <v>86.664000000000001</v>
      </c>
      <c r="CF327">
        <f>35.351</f>
        <v>35.350999999999999</v>
      </c>
      <c r="CG327">
        <f>41.718</f>
        <v>41.718000000000004</v>
      </c>
      <c r="CH327">
        <f>18.872</f>
        <v>18.872</v>
      </c>
      <c r="CI327">
        <f>31.174</f>
        <v>31.173999999999999</v>
      </c>
      <c r="CJ327">
        <f>20.227</f>
        <v>20.227</v>
      </c>
      <c r="CK327">
        <f>18.505</f>
        <v>18.504999999999999</v>
      </c>
      <c r="CL327">
        <f>16.088</f>
        <v>16.088000000000001</v>
      </c>
      <c r="CM327">
        <f>41.206</f>
        <v>41.206000000000003</v>
      </c>
      <c r="CN327">
        <f>20.681</f>
        <v>20.681000000000001</v>
      </c>
      <c r="CO327">
        <f>15.425</f>
        <v>15.425000000000001</v>
      </c>
      <c r="CP327">
        <f>21.025</f>
        <v>21.024999999999999</v>
      </c>
      <c r="CQ327">
        <f>19.416</f>
        <v>19.416</v>
      </c>
      <c r="CR327">
        <f>21.335</f>
        <v>21.335000000000001</v>
      </c>
      <c r="CS327">
        <f>20.92</f>
        <v>20.92</v>
      </c>
      <c r="CT327">
        <f>25.748</f>
        <v>25.748000000000001</v>
      </c>
      <c r="CU327">
        <f>26.172</f>
        <v>26.172000000000001</v>
      </c>
      <c r="CV327">
        <f>26.415</f>
        <v>26.414999999999999</v>
      </c>
      <c r="CW327">
        <f>28.745</f>
        <v>28.745000000000001</v>
      </c>
      <c r="CX327">
        <f>36.323</f>
        <v>36.323</v>
      </c>
      <c r="CY327">
        <f>29.494</f>
        <v>29.494</v>
      </c>
      <c r="CZ327">
        <f>30.171</f>
        <v>30.170999999999999</v>
      </c>
      <c r="DA327">
        <f>47.847</f>
        <v>47.847000000000001</v>
      </c>
      <c r="DB327">
        <f>70.964</f>
        <v>70.963999999999999</v>
      </c>
      <c r="DC327">
        <f>49.547</f>
        <v>49.546999999999997</v>
      </c>
      <c r="DD327">
        <f>49.7</f>
        <v>49.7</v>
      </c>
      <c r="DE327">
        <f>46.019</f>
        <v>46.018999999999998</v>
      </c>
      <c r="DF327">
        <f>79.721</f>
        <v>79.721000000000004</v>
      </c>
      <c r="DG327">
        <f>28.378</f>
        <v>28.378</v>
      </c>
      <c r="DH327">
        <f>48.431</f>
        <v>48.430999999999997</v>
      </c>
      <c r="DI327">
        <f>43.119</f>
        <v>43.119</v>
      </c>
      <c r="DJ327">
        <f>39.967</f>
        <v>39.966999999999999</v>
      </c>
      <c r="DK327">
        <f>30.655</f>
        <v>30.655000000000001</v>
      </c>
      <c r="DL327">
        <f>38.88</f>
        <v>38.880000000000003</v>
      </c>
      <c r="DM327">
        <f>36.31</f>
        <v>36.31</v>
      </c>
      <c r="DN327">
        <f>51.428</f>
        <v>51.427999999999997</v>
      </c>
      <c r="DO327">
        <f>49.871</f>
        <v>49.871000000000002</v>
      </c>
      <c r="DP327">
        <f>23.697</f>
        <v>23.696999999999999</v>
      </c>
      <c r="DQ327">
        <f>21.52</f>
        <v>21.52</v>
      </c>
      <c r="DR327">
        <f>22.683</f>
        <v>22.683</v>
      </c>
      <c r="DS327">
        <f>11.69299984</f>
        <v>11.692999840000001</v>
      </c>
      <c r="DT327">
        <f>18.474</f>
        <v>18.474</v>
      </c>
      <c r="DU327">
        <f>22.009</f>
        <v>22.009</v>
      </c>
    </row>
    <row r="328" spans="1:125">
      <c r="A328" t="str">
        <f>"    Federal Realty Investment Trus"</f>
        <v xml:space="preserve">    Federal Realty Investment Trus</v>
      </c>
      <c r="B328" t="str">
        <f>"FRT US Equity"</f>
        <v>FRT US Equity</v>
      </c>
      <c r="C328" t="str">
        <f t="shared" si="60"/>
        <v>RR253</v>
      </c>
      <c r="D328" t="str">
        <f t="shared" si="61"/>
        <v>CASH_AND_MARKETABLE_SECURITIES</v>
      </c>
      <c r="E328" t="str">
        <f t="shared" si="62"/>
        <v>动态</v>
      </c>
      <c r="F328" t="str">
        <f ca="1">IF(AND(ISNUMBER($F$769),$B$419=1),$F$769,HLOOKUP(INDIRECT(ADDRESS(2,COLUMN())),OFFSET($BN$2,0,0,ROW()-1,60),ROW()-1,FALSE))</f>
        <v/>
      </c>
      <c r="G328">
        <f ca="1">IF(AND(ISNUMBER($G$769),$B$419=1),$G$769,HLOOKUP(INDIRECT(ADDRESS(2,COLUMN())),OFFSET($BN$2,0,0,ROW()-1,60),ROW()-1,FALSE))</f>
        <v>15.188000000000001</v>
      </c>
      <c r="H328">
        <f ca="1">IF(AND(ISNUMBER($H$769),$B$419=1),$H$769,HLOOKUP(INDIRECT(ADDRESS(2,COLUMN())),OFFSET($BN$2,0,0,ROW()-1,60),ROW()-1,FALSE))</f>
        <v>22.85</v>
      </c>
      <c r="I328">
        <f ca="1">IF(AND(ISNUMBER($I$769),$B$419=1),$I$769,HLOOKUP(INDIRECT(ADDRESS(2,COLUMN())),OFFSET($BN$2,0,0,ROW()-1,60),ROW()-1,FALSE))</f>
        <v>96.325999999999993</v>
      </c>
      <c r="J328">
        <f ca="1">IF(AND(ISNUMBER($J$769),$B$419=1),$J$769,HLOOKUP(INDIRECT(ADDRESS(2,COLUMN())),OFFSET($BN$2,0,0,ROW()-1,60),ROW()-1,FALSE))</f>
        <v>20.111999999999998</v>
      </c>
      <c r="K328">
        <f ca="1">IF(AND(ISNUMBER($K$769),$B$419=1),$K$769,HLOOKUP(INDIRECT(ADDRESS(2,COLUMN())),OFFSET($BN$2,0,0,ROW()-1,60),ROW()-1,FALSE))</f>
        <v>23.367999999999999</v>
      </c>
      <c r="L328">
        <f ca="1">IF(AND(ISNUMBER($L$769),$B$419=1),$L$769,HLOOKUP(INDIRECT(ADDRESS(2,COLUMN())),OFFSET($BN$2,0,0,ROW()-1,60),ROW()-1,FALSE))</f>
        <v>101.28100000000001</v>
      </c>
      <c r="M328">
        <f ca="1">IF(AND(ISNUMBER($M$769),$B$419=1),$M$769,HLOOKUP(INDIRECT(ADDRESS(2,COLUMN())),OFFSET($BN$2,0,0,ROW()-1,60),ROW()-1,FALSE))</f>
        <v>18.622</v>
      </c>
      <c r="N328">
        <f ca="1">IF(AND(ISNUMBER($N$769),$B$419=1),$N$769,HLOOKUP(INDIRECT(ADDRESS(2,COLUMN())),OFFSET($BN$2,0,0,ROW()-1,60),ROW()-1,FALSE))</f>
        <v>19.716000000000001</v>
      </c>
      <c r="O328">
        <f ca="1">IF(AND(ISNUMBER($O$769),$B$419=1),$O$769,HLOOKUP(INDIRECT(ADDRESS(2,COLUMN())),OFFSET($BN$2,0,0,ROW()-1,60),ROW()-1,FALSE))</f>
        <v>21.045999999999999</v>
      </c>
      <c r="P328">
        <f ca="1">IF(AND(ISNUMBER($P$769),$B$419=1),$P$769,HLOOKUP(INDIRECT(ADDRESS(2,COLUMN())),OFFSET($BN$2,0,0,ROW()-1,60),ROW()-1,FALSE))</f>
        <v>12.864000000000001</v>
      </c>
      <c r="Q328">
        <f ca="1">IF(AND(ISNUMBER($Q$769),$B$419=1),$Q$769,HLOOKUP(INDIRECT(ADDRESS(2,COLUMN())),OFFSET($BN$2,0,0,ROW()-1,60),ROW()-1,FALSE))</f>
        <v>22.175000000000001</v>
      </c>
      <c r="R328">
        <f ca="1">IF(AND(ISNUMBER($R$769),$B$419=1),$R$769,HLOOKUP(INDIRECT(ADDRESS(2,COLUMN())),OFFSET($BN$2,0,0,ROW()-1,60),ROW()-1,FALSE))</f>
        <v>171.43700000000001</v>
      </c>
      <c r="S328">
        <f ca="1">IF(AND(ISNUMBER($S$769),$B$419=1),$S$769,HLOOKUP(INDIRECT(ADDRESS(2,COLUMN())),OFFSET($BN$2,0,0,ROW()-1,60),ROW()-1,FALSE))</f>
        <v>47.951000000000001</v>
      </c>
      <c r="T328">
        <f ca="1">IF(AND(ISNUMBER($T$769),$B$419=1),$T$769,HLOOKUP(INDIRECT(ADDRESS(2,COLUMN())),OFFSET($BN$2,0,0,ROW()-1,60),ROW()-1,FALSE))</f>
        <v>23.917000000000002</v>
      </c>
      <c r="U328">
        <f ca="1">IF(AND(ISNUMBER($U$769),$B$419=1),$U$769,HLOOKUP(INDIRECT(ADDRESS(2,COLUMN())),OFFSET($BN$2,0,0,ROW()-1,60),ROW()-1,FALSE))</f>
        <v>41.311999999999998</v>
      </c>
      <c r="V328">
        <f ca="1">IF(AND(ISNUMBER($V$769),$B$419=1),$V$769,HLOOKUP(INDIRECT(ADDRESS(2,COLUMN())),OFFSET($BN$2,0,0,ROW()-1,60),ROW()-1,FALSE))</f>
        <v>75.698999999999998</v>
      </c>
      <c r="W328">
        <f ca="1">IF(AND(ISNUMBER($W$769),$B$419=1),$W$769,HLOOKUP(INDIRECT(ADDRESS(2,COLUMN())),OFFSET($BN$2,0,0,ROW()-1,60),ROW()-1,FALSE))</f>
        <v>88.927000000000007</v>
      </c>
      <c r="X328">
        <f ca="1">IF(AND(ISNUMBER($X$769),$B$419=1),$X$769,HLOOKUP(INDIRECT(ADDRESS(2,COLUMN())),OFFSET($BN$2,0,0,ROW()-1,60),ROW()-1,FALSE))</f>
        <v>127.831</v>
      </c>
      <c r="Y328">
        <f ca="1">IF(AND(ISNUMBER($Y$769),$B$419=1),$Y$769,HLOOKUP(INDIRECT(ADDRESS(2,COLUMN())),OFFSET($BN$2,0,0,ROW()-1,60),ROW()-1,FALSE))</f>
        <v>108.366</v>
      </c>
      <c r="Z328">
        <f ca="1">IF(AND(ISNUMBER($Z$769),$B$419=1),$Z$769,HLOOKUP(INDIRECT(ADDRESS(2,COLUMN())),OFFSET($BN$2,0,0,ROW()-1,60),ROW()-1,FALSE))</f>
        <v>31.274000000000001</v>
      </c>
      <c r="AA328">
        <f ca="1">IF(AND(ISNUMBER($AA$769),$B$419=1),$AA$769,HLOOKUP(INDIRECT(ADDRESS(2,COLUMN())),OFFSET($BN$2,0,0,ROW()-1,60),ROW()-1,FALSE))</f>
        <v>36.988</v>
      </c>
      <c r="AB328">
        <f ca="1">IF(AND(ISNUMBER($AB$769),$B$419=1),$AB$769,HLOOKUP(INDIRECT(ADDRESS(2,COLUMN())),OFFSET($BN$2,0,0,ROW()-1,60),ROW()-1,FALSE))</f>
        <v>147.68</v>
      </c>
      <c r="AC328">
        <f ca="1">IF(AND(ISNUMBER($AC$769),$B$419=1),$AC$769,HLOOKUP(INDIRECT(ADDRESS(2,COLUMN())),OFFSET($BN$2,0,0,ROW()-1,60),ROW()-1,FALSE))</f>
        <v>82.774000000000001</v>
      </c>
      <c r="AD328">
        <f ca="1">IF(AND(ISNUMBER($AD$769),$B$419=1),$AD$769,HLOOKUP(INDIRECT(ADDRESS(2,COLUMN())),OFFSET($BN$2,0,0,ROW()-1,60),ROW()-1,FALSE))</f>
        <v>69.182000000000002</v>
      </c>
      <c r="AE328">
        <f ca="1">IF(AND(ISNUMBER($AE$769),$B$419=1),$AE$769,HLOOKUP(INDIRECT(ADDRESS(2,COLUMN())),OFFSET($BN$2,0,0,ROW()-1,60),ROW()-1,FALSE))</f>
        <v>67.805999999999997</v>
      </c>
      <c r="AF328">
        <f ca="1">IF(AND(ISNUMBER($AF$769),$B$419=1),$AF$769,HLOOKUP(INDIRECT(ADDRESS(2,COLUMN())),OFFSET($BN$2,0,0,ROW()-1,60),ROW()-1,FALSE))</f>
        <v>22.07</v>
      </c>
      <c r="AG328">
        <f ca="1">IF(AND(ISNUMBER($AG$769),$B$419=1),$AG$769,HLOOKUP(INDIRECT(ADDRESS(2,COLUMN())),OFFSET($BN$2,0,0,ROW()-1,60),ROW()-1,FALSE))</f>
        <v>19.847999999999999</v>
      </c>
      <c r="AH328">
        <f ca="1">IF(AND(ISNUMBER($AH$769),$B$419=1),$AH$769,HLOOKUP(INDIRECT(ADDRESS(2,COLUMN())),OFFSET($BN$2,0,0,ROW()-1,60),ROW()-1,FALSE))</f>
        <v>10.000999999999999</v>
      </c>
      <c r="AI328">
        <f ca="1">IF(AND(ISNUMBER($AI$769),$B$419=1),$AI$769,HLOOKUP(INDIRECT(ADDRESS(2,COLUMN())),OFFSET($BN$2,0,0,ROW()-1,60),ROW()-1,FALSE))</f>
        <v>15.797000000000001</v>
      </c>
      <c r="AJ328">
        <f ca="1">IF(AND(ISNUMBER($AJ$769),$B$419=1),$AJ$769,HLOOKUP(INDIRECT(ADDRESS(2,COLUMN())),OFFSET($BN$2,0,0,ROW()-1,60),ROW()-1,FALSE))</f>
        <v>9.1739999999999995</v>
      </c>
      <c r="AK328">
        <f ca="1">IF(AND(ISNUMBER($AK$769),$B$419=1),$AK$769,HLOOKUP(INDIRECT(ADDRESS(2,COLUMN())),OFFSET($BN$2,0,0,ROW()-1,60),ROW()-1,FALSE))</f>
        <v>23.556999999999999</v>
      </c>
      <c r="AL328">
        <f ca="1">IF(AND(ISNUMBER($AL$769),$B$419=1),$AL$769,HLOOKUP(INDIRECT(ADDRESS(2,COLUMN())),OFFSET($BN$2,0,0,ROW()-1,60),ROW()-1,FALSE))</f>
        <v>22.594000000000001</v>
      </c>
      <c r="AM328">
        <f ca="1">IF(AND(ISNUMBER($AM$769),$B$419=1),$AM$769,HLOOKUP(INDIRECT(ADDRESS(2,COLUMN())),OFFSET($BN$2,0,0,ROW()-1,60),ROW()-1,FALSE))</f>
        <v>135.38900000000001</v>
      </c>
      <c r="AN328">
        <f ca="1">IF(AND(ISNUMBER($AN$769),$B$419=1),$AN$769,HLOOKUP(INDIRECT(ADDRESS(2,COLUMN())),OFFSET($BN$2,0,0,ROW()-1,60),ROW()-1,FALSE))</f>
        <v>408.428</v>
      </c>
      <c r="AO328">
        <f ca="1">IF(AND(ISNUMBER($AO$769),$B$419=1),$AO$769,HLOOKUP(INDIRECT(ADDRESS(2,COLUMN())),OFFSET($BN$2,0,0,ROW()-1,60),ROW()-1,FALSE))</f>
        <v>170.059</v>
      </c>
      <c r="AP328">
        <f ca="1">IF(AND(ISNUMBER($AP$769),$B$419=1),$AP$769,HLOOKUP(INDIRECT(ADDRESS(2,COLUMN())),OFFSET($BN$2,0,0,ROW()-1,60),ROW()-1,FALSE))</f>
        <v>22.46</v>
      </c>
      <c r="AQ328">
        <f ca="1">IF(AND(ISNUMBER($AQ$769),$B$419=1),$AQ$769,HLOOKUP(INDIRECT(ADDRESS(2,COLUMN())),OFFSET($BN$2,0,0,ROW()-1,60),ROW()-1,FALSE))</f>
        <v>15.223000000000001</v>
      </c>
      <c r="AR328">
        <f ca="1">IF(AND(ISNUMBER($AR$769),$B$419=1),$AR$769,HLOOKUP(INDIRECT(ADDRESS(2,COLUMN())),OFFSET($BN$2,0,0,ROW()-1,60),ROW()-1,FALSE))</f>
        <v>48.991</v>
      </c>
      <c r="AS328">
        <f ca="1">IF(AND(ISNUMBER($AS$769),$B$419=1),$AS$769,HLOOKUP(INDIRECT(ADDRESS(2,COLUMN())),OFFSET($BN$2,0,0,ROW()-1,60),ROW()-1,FALSE))</f>
        <v>20.280999999999999</v>
      </c>
      <c r="AT328">
        <f ca="1">IF(AND(ISNUMBER($AT$769),$B$419=1),$AT$769,HLOOKUP(INDIRECT(ADDRESS(2,COLUMN())),OFFSET($BN$2,0,0,ROW()-1,60),ROW()-1,FALSE))</f>
        <v>27.654</v>
      </c>
      <c r="AU328">
        <f ca="1">IF(AND(ISNUMBER($AU$769),$B$419=1),$AU$769,HLOOKUP(INDIRECT(ADDRESS(2,COLUMN())),OFFSET($BN$2,0,0,ROW()-1,60),ROW()-1,FALSE))</f>
        <v>50.691000000000003</v>
      </c>
      <c r="AV328">
        <f ca="1">IF(AND(ISNUMBER($AV$769),$B$419=1),$AV$769,HLOOKUP(INDIRECT(ADDRESS(2,COLUMN())),OFFSET($BN$2,0,0,ROW()-1,60),ROW()-1,FALSE))</f>
        <v>10.281000000000001</v>
      </c>
      <c r="AW328">
        <f ca="1">IF(AND(ISNUMBER($AW$769),$B$419=1),$AW$769,HLOOKUP(INDIRECT(ADDRESS(2,COLUMN())),OFFSET($BN$2,0,0,ROW()-1,60),ROW()-1,FALSE))</f>
        <v>11.718</v>
      </c>
      <c r="AX328">
        <f ca="1">IF(AND(ISNUMBER($AX$769),$B$419=1),$AX$769,HLOOKUP(INDIRECT(ADDRESS(2,COLUMN())),OFFSET($BN$2,0,0,ROW()-1,60),ROW()-1,FALSE))</f>
        <v>15.987</v>
      </c>
      <c r="AY328">
        <f ca="1">IF(AND(ISNUMBER($AY$769),$B$419=1),$AY$769,HLOOKUP(INDIRECT(ADDRESS(2,COLUMN())),OFFSET($BN$2,0,0,ROW()-1,60),ROW()-1,FALSE))</f>
        <v>11.494999999999999</v>
      </c>
      <c r="AZ328">
        <f ca="1">IF(AND(ISNUMBER($AZ$769),$B$419=1),$AZ$769,HLOOKUP(INDIRECT(ADDRESS(2,COLUMN())),OFFSET($BN$2,0,0,ROW()-1,60),ROW()-1,FALSE))</f>
        <v>66.424000000000007</v>
      </c>
      <c r="BA328">
        <f ca="1">IF(AND(ISNUMBER($BA$769),$B$419=1),$BA$769,HLOOKUP(INDIRECT(ADDRESS(2,COLUMN())),OFFSET($BN$2,0,0,ROW()-1,60),ROW()-1,FALSE))</f>
        <v>14.042</v>
      </c>
      <c r="BB328">
        <f ca="1">IF(AND(ISNUMBER($BB$769),$B$419=1),$BB$769,HLOOKUP(INDIRECT(ADDRESS(2,COLUMN())),OFFSET($BN$2,0,0,ROW()-1,60),ROW()-1,FALSE))</f>
        <v>4.7919999999999998</v>
      </c>
      <c r="BC328">
        <f ca="1">IF(AND(ISNUMBER($BC$769),$B$419=1),$BC$769,HLOOKUP(INDIRECT(ADDRESS(2,COLUMN())),OFFSET($BN$2,0,0,ROW()-1,60),ROW()-1,FALSE))</f>
        <v>8.6389999999999993</v>
      </c>
      <c r="BD328">
        <f ca="1">IF(AND(ISNUMBER($BD$769),$B$419=1),$BD$769,HLOOKUP(INDIRECT(ADDRESS(2,COLUMN())),OFFSET($BN$2,0,0,ROW()-1,60),ROW()-1,FALSE))</f>
        <v>16.573</v>
      </c>
      <c r="BE328">
        <f ca="1">IF(AND(ISNUMBER($BE$769),$B$419=1),$BE$769,HLOOKUP(INDIRECT(ADDRESS(2,COLUMN())),OFFSET($BN$2,0,0,ROW()-1,60),ROW()-1,FALSE))</f>
        <v>13.625</v>
      </c>
      <c r="BF328">
        <f ca="1">IF(AND(ISNUMBER($BF$769),$B$419=1),$BF$769,HLOOKUP(INDIRECT(ADDRESS(2,COLUMN())),OFFSET($BN$2,0,0,ROW()-1,60),ROW()-1,FALSE))</f>
        <v>27.645</v>
      </c>
      <c r="BG328">
        <f ca="1">IF(AND(ISNUMBER($BG$769),$B$419=1),$BG$769,HLOOKUP(INDIRECT(ADDRESS(2,COLUMN())),OFFSET($BN$2,0,0,ROW()-1,60),ROW()-1,FALSE))</f>
        <v>30.475000380000001</v>
      </c>
      <c r="BH328">
        <f ca="1">IF(AND(ISNUMBER($BH$769),$B$419=1),$BH$769,HLOOKUP(INDIRECT(ADDRESS(2,COLUMN())),OFFSET($BN$2,0,0,ROW()-1,60),ROW()-1,FALSE))</f>
        <v>23.437000000000001</v>
      </c>
      <c r="BI328">
        <f ca="1">IF(AND(ISNUMBER($BI$769),$B$419=1),$BI$769,HLOOKUP(INDIRECT(ADDRESS(2,COLUMN())),OFFSET($BN$2,0,0,ROW()-1,60),ROW()-1,FALSE))</f>
        <v>45.103000639999998</v>
      </c>
      <c r="BJ328">
        <f ca="1">IF(AND(ISNUMBER($BJ$769),$B$419=1),$BJ$769,HLOOKUP(INDIRECT(ADDRESS(2,COLUMN())),OFFSET($BN$2,0,0,ROW()-1,60),ROW()-1,FALSE))</f>
        <v>27.94</v>
      </c>
      <c r="BK328">
        <f ca="1">IF(AND(ISNUMBER($BK$769),$B$419=1),$BK$769,HLOOKUP(INDIRECT(ADDRESS(2,COLUMN())),OFFSET($BN$2,0,0,ROW()-1,60),ROW()-1,FALSE))</f>
        <v>34.968000000000004</v>
      </c>
      <c r="BL328">
        <f ca="1">IF(AND(ISNUMBER($BL$769),$B$419=1),$BL$769,HLOOKUP(INDIRECT(ADDRESS(2,COLUMN())),OFFSET($BN$2,0,0,ROW()-1,60),ROW()-1,FALSE))</f>
        <v>33.655999999999999</v>
      </c>
      <c r="BM328">
        <f ca="1">IF(AND(ISNUMBER($BM$769),$B$419=1),$BM$769,HLOOKUP(INDIRECT(ADDRESS(2,COLUMN())),OFFSET($BN$2,0,0,ROW()-1,60),ROW()-1,FALSE))</f>
        <v>18.609000000000002</v>
      </c>
      <c r="BN328" t="str">
        <f>""</f>
        <v/>
      </c>
      <c r="BO328">
        <f>15.188</f>
        <v>15.188000000000001</v>
      </c>
      <c r="BP328">
        <f>22.85</f>
        <v>22.85</v>
      </c>
      <c r="BQ328">
        <f>96.326</f>
        <v>96.325999999999993</v>
      </c>
      <c r="BR328">
        <f>20.112</f>
        <v>20.111999999999998</v>
      </c>
      <c r="BS328">
        <f>23.368</f>
        <v>23.367999999999999</v>
      </c>
      <c r="BT328">
        <f>101.281</f>
        <v>101.28100000000001</v>
      </c>
      <c r="BU328">
        <f>18.622</f>
        <v>18.622</v>
      </c>
      <c r="BV328">
        <f>19.716</f>
        <v>19.716000000000001</v>
      </c>
      <c r="BW328">
        <f>21.046</f>
        <v>21.045999999999999</v>
      </c>
      <c r="BX328">
        <f>12.864</f>
        <v>12.864000000000001</v>
      </c>
      <c r="BY328">
        <f>22.175</f>
        <v>22.175000000000001</v>
      </c>
      <c r="BZ328">
        <f>171.437</f>
        <v>171.43700000000001</v>
      </c>
      <c r="CA328">
        <f>47.951</f>
        <v>47.951000000000001</v>
      </c>
      <c r="CB328">
        <f>23.917</f>
        <v>23.917000000000002</v>
      </c>
      <c r="CC328">
        <f>41.312</f>
        <v>41.311999999999998</v>
      </c>
      <c r="CD328">
        <f>75.699</f>
        <v>75.698999999999998</v>
      </c>
      <c r="CE328">
        <f>88.927</f>
        <v>88.927000000000007</v>
      </c>
      <c r="CF328">
        <f>127.831</f>
        <v>127.831</v>
      </c>
      <c r="CG328">
        <f>108.366</f>
        <v>108.366</v>
      </c>
      <c r="CH328">
        <f>31.274</f>
        <v>31.274000000000001</v>
      </c>
      <c r="CI328">
        <f>36.988</f>
        <v>36.988</v>
      </c>
      <c r="CJ328">
        <f>147.68</f>
        <v>147.68</v>
      </c>
      <c r="CK328">
        <f>82.774</f>
        <v>82.774000000000001</v>
      </c>
      <c r="CL328">
        <f>69.182</f>
        <v>69.182000000000002</v>
      </c>
      <c r="CM328">
        <f>67.806</f>
        <v>67.805999999999997</v>
      </c>
      <c r="CN328">
        <f>22.07</f>
        <v>22.07</v>
      </c>
      <c r="CO328">
        <f>19.848</f>
        <v>19.847999999999999</v>
      </c>
      <c r="CP328">
        <f>10.001</f>
        <v>10.000999999999999</v>
      </c>
      <c r="CQ328">
        <f>15.797</f>
        <v>15.797000000000001</v>
      </c>
      <c r="CR328">
        <f>9.174</f>
        <v>9.1739999999999995</v>
      </c>
      <c r="CS328">
        <f>23.557</f>
        <v>23.556999999999999</v>
      </c>
      <c r="CT328">
        <f>22.594</f>
        <v>22.594000000000001</v>
      </c>
      <c r="CU328">
        <f>135.389</f>
        <v>135.38900000000001</v>
      </c>
      <c r="CV328">
        <f>408.428</f>
        <v>408.428</v>
      </c>
      <c r="CW328">
        <f>170.059</f>
        <v>170.059</v>
      </c>
      <c r="CX328">
        <f>22.46</f>
        <v>22.46</v>
      </c>
      <c r="CY328">
        <f>15.223</f>
        <v>15.223000000000001</v>
      </c>
      <c r="CZ328">
        <f>48.991</f>
        <v>48.991</v>
      </c>
      <c r="DA328">
        <f>20.281</f>
        <v>20.280999999999999</v>
      </c>
      <c r="DB328">
        <f>27.654</f>
        <v>27.654</v>
      </c>
      <c r="DC328">
        <f>50.691</f>
        <v>50.691000000000003</v>
      </c>
      <c r="DD328">
        <f>10.281</f>
        <v>10.281000000000001</v>
      </c>
      <c r="DE328">
        <f>11.718</f>
        <v>11.718</v>
      </c>
      <c r="DF328">
        <f>15.987</f>
        <v>15.987</v>
      </c>
      <c r="DG328">
        <f>11.495</f>
        <v>11.494999999999999</v>
      </c>
      <c r="DH328">
        <f>66.424</f>
        <v>66.424000000000007</v>
      </c>
      <c r="DI328">
        <f>14.042</f>
        <v>14.042</v>
      </c>
      <c r="DJ328">
        <f>4.792</f>
        <v>4.7919999999999998</v>
      </c>
      <c r="DK328">
        <f>8.639</f>
        <v>8.6389999999999993</v>
      </c>
      <c r="DL328">
        <f>16.573</f>
        <v>16.573</v>
      </c>
      <c r="DM328">
        <f>13.625</f>
        <v>13.625</v>
      </c>
      <c r="DN328">
        <f>27.645</f>
        <v>27.645</v>
      </c>
      <c r="DO328">
        <f>30.47500038</f>
        <v>30.475000380000001</v>
      </c>
      <c r="DP328">
        <f>23.437</f>
        <v>23.437000000000001</v>
      </c>
      <c r="DQ328">
        <f>45.10300064</f>
        <v>45.103000639999998</v>
      </c>
      <c r="DR328">
        <f>27.94</f>
        <v>27.94</v>
      </c>
      <c r="DS328">
        <f>34.968</f>
        <v>34.968000000000004</v>
      </c>
      <c r="DT328">
        <f>33.656</f>
        <v>33.655999999999999</v>
      </c>
      <c r="DU328">
        <f>18.609</f>
        <v>18.609000000000002</v>
      </c>
    </row>
    <row r="329" spans="1:125">
      <c r="A329" t="str">
        <f>"    Kimco Realty Corp"</f>
        <v xml:space="preserve">    Kimco Realty Corp</v>
      </c>
      <c r="B329" t="str">
        <f>"KIM US Equity"</f>
        <v>KIM US Equity</v>
      </c>
      <c r="C329" t="str">
        <f t="shared" si="60"/>
        <v>RR253</v>
      </c>
      <c r="D329" t="str">
        <f t="shared" si="61"/>
        <v>CASH_AND_MARKETABLE_SECURITIES</v>
      </c>
      <c r="E329" t="str">
        <f t="shared" si="62"/>
        <v>动态</v>
      </c>
      <c r="F329" t="str">
        <f ca="1">IF(AND(ISNUMBER($F$770),$B$419=1),$F$770,HLOOKUP(INDIRECT(ADDRESS(2,COLUMN())),OFFSET($BN$2,0,0,ROW()-1,60),ROW()-1,FALSE))</f>
        <v/>
      </c>
      <c r="G329">
        <f ca="1">IF(AND(ISNUMBER($G$770),$B$419=1),$G$770,HLOOKUP(INDIRECT(ADDRESS(2,COLUMN())),OFFSET($BN$2,0,0,ROW()-1,60),ROW()-1,FALSE))</f>
        <v>238.51300000000001</v>
      </c>
      <c r="H329">
        <f ca="1">IF(AND(ISNUMBER($H$770),$B$419=1),$H$770,HLOOKUP(INDIRECT(ADDRESS(2,COLUMN())),OFFSET($BN$2,0,0,ROW()-1,60),ROW()-1,FALSE))</f>
        <v>156.58799999999999</v>
      </c>
      <c r="I329">
        <f ca="1">IF(AND(ISNUMBER($I$770),$B$419=1),$I$770,HLOOKUP(INDIRECT(ADDRESS(2,COLUMN())),OFFSET($BN$2,0,0,ROW()-1,60),ROW()-1,FALSE))</f>
        <v>143.09899999999999</v>
      </c>
      <c r="J329">
        <f ca="1">IF(AND(ISNUMBER($J$770),$B$419=1),$J$770,HLOOKUP(INDIRECT(ADDRESS(2,COLUMN())),OFFSET($BN$2,0,0,ROW()-1,60),ROW()-1,FALSE))</f>
        <v>167.45400000000001</v>
      </c>
      <c r="K329">
        <f ca="1">IF(AND(ISNUMBER($K$770),$B$419=1),$K$770,HLOOKUP(INDIRECT(ADDRESS(2,COLUMN())),OFFSET($BN$2,0,0,ROW()-1,60),ROW()-1,FALSE))</f>
        <v>142.48599999999999</v>
      </c>
      <c r="L329">
        <f ca="1">IF(AND(ISNUMBER($L$770),$B$419=1),$L$770,HLOOKUP(INDIRECT(ADDRESS(2,COLUMN())),OFFSET($BN$2,0,0,ROW()-1,60),ROW()-1,FALSE))</f>
        <v>170.54499999999999</v>
      </c>
      <c r="M329">
        <f ca="1">IF(AND(ISNUMBER($M$770),$B$419=1),$M$770,HLOOKUP(INDIRECT(ADDRESS(2,COLUMN())),OFFSET($BN$2,0,0,ROW()-1,60),ROW()-1,FALSE))</f>
        <v>337.815</v>
      </c>
      <c r="N329">
        <f ca="1">IF(AND(ISNUMBER($N$770),$B$419=1),$N$770,HLOOKUP(INDIRECT(ADDRESS(2,COLUMN())),OFFSET($BN$2,0,0,ROW()-1,60),ROW()-1,FALSE))</f>
        <v>222</v>
      </c>
      <c r="O329">
        <f ca="1">IF(AND(ISNUMBER($O$770),$B$419=1),$O$770,HLOOKUP(INDIRECT(ADDRESS(2,COLUMN())),OFFSET($BN$2,0,0,ROW()-1,60),ROW()-1,FALSE))</f>
        <v>189.53399999999999</v>
      </c>
      <c r="P329">
        <f ca="1">IF(AND(ISNUMBER($P$770),$B$419=1),$P$770,HLOOKUP(INDIRECT(ADDRESS(2,COLUMN())),OFFSET($BN$2,0,0,ROW()-1,60),ROW()-1,FALSE))</f>
        <v>180.91300000000001</v>
      </c>
      <c r="Q329">
        <f ca="1">IF(AND(ISNUMBER($Q$770),$B$419=1),$Q$770,HLOOKUP(INDIRECT(ADDRESS(2,COLUMN())),OFFSET($BN$2,0,0,ROW()-1,60),ROW()-1,FALSE))</f>
        <v>145.83199999999999</v>
      </c>
      <c r="R329">
        <f ca="1">IF(AND(ISNUMBER($R$770),$B$419=1),$R$770,HLOOKUP(INDIRECT(ADDRESS(2,COLUMN())),OFFSET($BN$2,0,0,ROW()-1,60),ROW()-1,FALSE))</f>
        <v>220.977</v>
      </c>
      <c r="S329">
        <f ca="1">IF(AND(ISNUMBER($S$770),$B$419=1),$S$770,HLOOKUP(INDIRECT(ADDRESS(2,COLUMN())),OFFSET($BN$2,0,0,ROW()-1,60),ROW()-1,FALSE))</f>
        <v>187.322</v>
      </c>
      <c r="T329">
        <f ca="1">IF(AND(ISNUMBER($T$770),$B$419=1),$T$770,HLOOKUP(INDIRECT(ADDRESS(2,COLUMN())),OFFSET($BN$2,0,0,ROW()-1,60),ROW()-1,FALSE))</f>
        <v>154.19</v>
      </c>
      <c r="U329">
        <f ca="1">IF(AND(ISNUMBER($U$770),$B$419=1),$U$770,HLOOKUP(INDIRECT(ADDRESS(2,COLUMN())),OFFSET($BN$2,0,0,ROW()-1,60),ROW()-1,FALSE))</f>
        <v>192.18299999999999</v>
      </c>
      <c r="V329">
        <f ca="1">IF(AND(ISNUMBER($V$770),$B$419=1),$V$770,HLOOKUP(INDIRECT(ADDRESS(2,COLUMN())),OFFSET($BN$2,0,0,ROW()-1,60),ROW()-1,FALSE))</f>
        <v>268.911</v>
      </c>
      <c r="W329">
        <f ca="1">IF(AND(ISNUMBER($W$770),$B$419=1),$W$770,HLOOKUP(INDIRECT(ADDRESS(2,COLUMN())),OFFSET($BN$2,0,0,ROW()-1,60),ROW()-1,FALSE))</f>
        <v>148.768</v>
      </c>
      <c r="X329">
        <f ca="1">IF(AND(ISNUMBER($X$770),$B$419=1),$X$770,HLOOKUP(INDIRECT(ADDRESS(2,COLUMN())),OFFSET($BN$2,0,0,ROW()-1,60),ROW()-1,FALSE))</f>
        <v>401.73</v>
      </c>
      <c r="Y329">
        <f ca="1">IF(AND(ISNUMBER($Y$770),$B$419=1),$Y$770,HLOOKUP(INDIRECT(ADDRESS(2,COLUMN())),OFFSET($BN$2,0,0,ROW()-1,60),ROW()-1,FALSE))</f>
        <v>156.44999999999999</v>
      </c>
      <c r="Z329">
        <f ca="1">IF(AND(ISNUMBER($Z$770),$B$419=1),$Z$770,HLOOKUP(INDIRECT(ADDRESS(2,COLUMN())),OFFSET($BN$2,0,0,ROW()-1,60),ROW()-1,FALSE))</f>
        <v>166.89400000000001</v>
      </c>
      <c r="AA329">
        <f ca="1">IF(AND(ISNUMBER($AA$770),$B$419=1),$AA$770,HLOOKUP(INDIRECT(ADDRESS(2,COLUMN())),OFFSET($BN$2,0,0,ROW()-1,60),ROW()-1,FALSE))</f>
        <v>141.875</v>
      </c>
      <c r="AB329">
        <f ca="1">IF(AND(ISNUMBER($AB$770),$B$419=1),$AB$770,HLOOKUP(INDIRECT(ADDRESS(2,COLUMN())),OFFSET($BN$2,0,0,ROW()-1,60),ROW()-1,FALSE))</f>
        <v>429.529</v>
      </c>
      <c r="AC329">
        <f ca="1">IF(AND(ISNUMBER($AC$770),$B$419=1),$AC$770,HLOOKUP(INDIRECT(ADDRESS(2,COLUMN())),OFFSET($BN$2,0,0,ROW()-1,60),ROW()-1,FALSE))</f>
        <v>383.72899999999998</v>
      </c>
      <c r="AD329">
        <f ca="1">IF(AND(ISNUMBER($AD$770),$B$419=1),$AD$770,HLOOKUP(INDIRECT(ADDRESS(2,COLUMN())),OFFSET($BN$2,0,0,ROW()-1,60),ROW()-1,FALSE))</f>
        <v>242.3</v>
      </c>
      <c r="AE329">
        <f ca="1">IF(AND(ISNUMBER($AE$770),$B$419=1),$AE$770,HLOOKUP(INDIRECT(ADDRESS(2,COLUMN())),OFFSET($BN$2,0,0,ROW()-1,60),ROW()-1,FALSE))</f>
        <v>112.88200000000001</v>
      </c>
      <c r="AF329">
        <f ca="1">IF(AND(ISNUMBER($AF$770),$B$419=1),$AF$770,HLOOKUP(INDIRECT(ADDRESS(2,COLUMN())),OFFSET($BN$2,0,0,ROW()-1,60),ROW()-1,FALSE))</f>
        <v>180.19800000000001</v>
      </c>
      <c r="AG329">
        <f ca="1">IF(AND(ISNUMBER($AG$770),$B$419=1),$AG$770,HLOOKUP(INDIRECT(ADDRESS(2,COLUMN())),OFFSET($BN$2,0,0,ROW()-1,60),ROW()-1,FALSE))</f>
        <v>144.06700000000001</v>
      </c>
      <c r="AH329">
        <f ca="1">IF(AND(ISNUMBER($AH$770),$B$419=1),$AH$770,HLOOKUP(INDIRECT(ADDRESS(2,COLUMN())),OFFSET($BN$2,0,0,ROW()-1,60),ROW()-1,FALSE))</f>
        <v>148.03800000000001</v>
      </c>
      <c r="AI329">
        <f ca="1">IF(AND(ISNUMBER($AI$770),$B$419=1),$AI$770,HLOOKUP(INDIRECT(ADDRESS(2,COLUMN())),OFFSET($BN$2,0,0,ROW()-1,60),ROW()-1,FALSE))</f>
        <v>125.154</v>
      </c>
      <c r="AJ329">
        <f ca="1">IF(AND(ISNUMBER($AJ$770),$B$419=1),$AJ$770,HLOOKUP(INDIRECT(ADDRESS(2,COLUMN())),OFFSET($BN$2,0,0,ROW()-1,60),ROW()-1,FALSE))</f>
        <v>158.11600000000001</v>
      </c>
      <c r="AK329">
        <f ca="1">IF(AND(ISNUMBER($AK$770),$B$419=1),$AK$770,HLOOKUP(INDIRECT(ADDRESS(2,COLUMN())),OFFSET($BN$2,0,0,ROW()-1,60),ROW()-1,FALSE))</f>
        <v>135.28299999999999</v>
      </c>
      <c r="AL329">
        <f ca="1">IF(AND(ISNUMBER($AL$770),$B$419=1),$AL$770,HLOOKUP(INDIRECT(ADDRESS(2,COLUMN())),OFFSET($BN$2,0,0,ROW()-1,60),ROW()-1,FALSE))</f>
        <v>137.43700000000001</v>
      </c>
      <c r="AM329">
        <f ca="1">IF(AND(ISNUMBER($AM$770),$B$419=1),$AM$770,HLOOKUP(INDIRECT(ADDRESS(2,COLUMN())),OFFSET($BN$2,0,0,ROW()-1,60),ROW()-1,FALSE))</f>
        <v>122.05800000000001</v>
      </c>
      <c r="AN329">
        <f ca="1">IF(AND(ISNUMBER($AN$770),$B$419=1),$AN$770,HLOOKUP(INDIRECT(ADDRESS(2,COLUMN())),OFFSET($BN$2,0,0,ROW()-1,60),ROW()-1,FALSE))</f>
        <v>140.75700000000001</v>
      </c>
      <c r="AO329">
        <f ca="1">IF(AND(ISNUMBER($AO$770),$B$419=1),$AO$770,HLOOKUP(INDIRECT(ADDRESS(2,COLUMN())),OFFSET($BN$2,0,0,ROW()-1,60),ROW()-1,FALSE))</f>
        <v>188.92500000000001</v>
      </c>
      <c r="AP329">
        <f ca="1">IF(AND(ISNUMBER($AP$770),$B$419=1),$AP$770,HLOOKUP(INDIRECT(ADDRESS(2,COLUMN())),OFFSET($BN$2,0,0,ROW()-1,60),ROW()-1,FALSE))</f>
        <v>149.982</v>
      </c>
      <c r="AQ329">
        <f ca="1">IF(AND(ISNUMBER($AQ$770),$B$419=1),$AQ$770,HLOOKUP(INDIRECT(ADDRESS(2,COLUMN())),OFFSET($BN$2,0,0,ROW()-1,60),ROW()-1,FALSE))</f>
        <v>136.17699999999999</v>
      </c>
      <c r="AR329">
        <f ca="1">IF(AND(ISNUMBER($AR$770),$B$419=1),$AR$770,HLOOKUP(INDIRECT(ADDRESS(2,COLUMN())),OFFSET($BN$2,0,0,ROW()-1,60),ROW()-1,FALSE))</f>
        <v>124.09099999999999</v>
      </c>
      <c r="AS329">
        <f ca="1">IF(AND(ISNUMBER($AS$770),$B$419=1),$AS$770,HLOOKUP(INDIRECT(ADDRESS(2,COLUMN())),OFFSET($BN$2,0,0,ROW()-1,60),ROW()-1,FALSE))</f>
        <v>123.18300000000001</v>
      </c>
      <c r="AT329">
        <f ca="1">IF(AND(ISNUMBER($AT$770),$B$419=1),$AT$770,HLOOKUP(INDIRECT(ADDRESS(2,COLUMN())),OFFSET($BN$2,0,0,ROW()-1,60),ROW()-1,FALSE))</f>
        <v>150.96100000000001</v>
      </c>
      <c r="AU329">
        <f ca="1">IF(AND(ISNUMBER($AU$770),$B$419=1),$AU$770,HLOOKUP(INDIRECT(ADDRESS(2,COLUMN())),OFFSET($BN$2,0,0,ROW()-1,60),ROW()-1,FALSE))</f>
        <v>87.498999999999995</v>
      </c>
      <c r="AV329">
        <f ca="1">IF(AND(ISNUMBER($AV$770),$B$419=1),$AV$770,HLOOKUP(INDIRECT(ADDRESS(2,COLUMN())),OFFSET($BN$2,0,0,ROW()-1,60),ROW()-1,FALSE))</f>
        <v>45.439</v>
      </c>
      <c r="AW329">
        <f ca="1">IF(AND(ISNUMBER($AW$770),$B$419=1),$AW$770,HLOOKUP(INDIRECT(ADDRESS(2,COLUMN())),OFFSET($BN$2,0,0,ROW()-1,60),ROW()-1,FALSE))</f>
        <v>109.53100000000001</v>
      </c>
      <c r="AX329">
        <f ca="1">IF(AND(ISNUMBER($AX$770),$B$419=1),$AX$770,HLOOKUP(INDIRECT(ADDRESS(2,COLUMN())),OFFSET($BN$2,0,0,ROW()-1,60),ROW()-1,FALSE))</f>
        <v>120.044</v>
      </c>
      <c r="AY329">
        <f ca="1">IF(AND(ISNUMBER($AY$770),$B$419=1),$AY$770,HLOOKUP(INDIRECT(ADDRESS(2,COLUMN())),OFFSET($BN$2,0,0,ROW()-1,60),ROW()-1,FALSE))</f>
        <v>345.065</v>
      </c>
      <c r="AZ329">
        <f ca="1">IF(AND(ISNUMBER($AZ$770),$B$419=1),$AZ$770,HLOOKUP(INDIRECT(ADDRESS(2,COLUMN())),OFFSET($BN$2,0,0,ROW()-1,60),ROW()-1,FALSE))</f>
        <v>102.795</v>
      </c>
      <c r="BA329">
        <f ca="1">IF(AND(ISNUMBER($BA$770),$B$419=1),$BA$770,HLOOKUP(INDIRECT(ADDRESS(2,COLUMN())),OFFSET($BN$2,0,0,ROW()-1,60),ROW()-1,FALSE))</f>
        <v>122.346</v>
      </c>
      <c r="BB329">
        <f ca="1">IF(AND(ISNUMBER($BB$770),$B$419=1),$BB$770,HLOOKUP(INDIRECT(ADDRESS(2,COLUMN())),OFFSET($BN$2,0,0,ROW()-1,60),ROW()-1,FALSE))</f>
        <v>158.87799999999999</v>
      </c>
      <c r="BC329">
        <f ca="1">IF(AND(ISNUMBER($BC$770),$B$419=1),$BC$770,HLOOKUP(INDIRECT(ADDRESS(2,COLUMN())),OFFSET($BN$2,0,0,ROW()-1,60),ROW()-1,FALSE))</f>
        <v>76.272999999999996</v>
      </c>
      <c r="BD329">
        <f ca="1">IF(AND(ISNUMBER($BD$770),$B$419=1),$BD$770,HLOOKUP(INDIRECT(ADDRESS(2,COLUMN())),OFFSET($BN$2,0,0,ROW()-1,60),ROW()-1,FALSE))</f>
        <v>69.94</v>
      </c>
      <c r="BE329">
        <f ca="1">IF(AND(ISNUMBER($BE$770),$B$419=1),$BE$770,HLOOKUP(INDIRECT(ADDRESS(2,COLUMN())),OFFSET($BN$2,0,0,ROW()-1,60),ROW()-1,FALSE))</f>
        <v>47.377000000000002</v>
      </c>
      <c r="BF329">
        <f ca="1">IF(AND(ISNUMBER($BF$770),$B$419=1),$BF$770,HLOOKUP(INDIRECT(ADDRESS(2,COLUMN())),OFFSET($BN$2,0,0,ROW()-1,60),ROW()-1,FALSE))</f>
        <v>96.141000000000005</v>
      </c>
      <c r="BG329">
        <f ca="1">IF(AND(ISNUMBER($BG$770),$B$419=1),$BG$770,HLOOKUP(INDIRECT(ADDRESS(2,COLUMN())),OFFSET($BN$2,0,0,ROW()-1,60),ROW()-1,FALSE))</f>
        <v>38.22</v>
      </c>
      <c r="BH329">
        <f ca="1">IF(AND(ISNUMBER($BH$770),$B$419=1),$BH$770,HLOOKUP(INDIRECT(ADDRESS(2,COLUMN())),OFFSET($BN$2,0,0,ROW()-1,60),ROW()-1,FALSE))</f>
        <v>134.03100000000001</v>
      </c>
      <c r="BI329">
        <f ca="1">IF(AND(ISNUMBER($BI$770),$B$419=1),$BI$770,HLOOKUP(INDIRECT(ADDRESS(2,COLUMN())),OFFSET($BN$2,0,0,ROW()-1,60),ROW()-1,FALSE))</f>
        <v>55.345999999999997</v>
      </c>
      <c r="BJ329">
        <f ca="1">IF(AND(ISNUMBER($BJ$770),$B$419=1),$BJ$770,HLOOKUP(INDIRECT(ADDRESS(2,COLUMN())),OFFSET($BN$2,0,0,ROW()-1,60),ROW()-1,FALSE))</f>
        <v>55.686999999999998</v>
      </c>
      <c r="BK329">
        <f ca="1">IF(AND(ISNUMBER($BK$770),$B$419=1),$BK$770,HLOOKUP(INDIRECT(ADDRESS(2,COLUMN())),OFFSET($BN$2,0,0,ROW()-1,60),ROW()-1,FALSE))</f>
        <v>48.287999999999997</v>
      </c>
      <c r="BL329">
        <f ca="1">IF(AND(ISNUMBER($BL$770),$B$419=1),$BL$770,HLOOKUP(INDIRECT(ADDRESS(2,COLUMN())),OFFSET($BN$2,0,0,ROW()-1,60),ROW()-1,FALSE))</f>
        <v>106.9599991</v>
      </c>
      <c r="BM329">
        <f ca="1">IF(AND(ISNUMBER($BM$770),$B$419=1),$BM$770,HLOOKUP(INDIRECT(ADDRESS(2,COLUMN())),OFFSET($BN$2,0,0,ROW()-1,60),ROW()-1,FALSE))</f>
        <v>57.948999999999998</v>
      </c>
      <c r="BN329" t="str">
        <f>""</f>
        <v/>
      </c>
      <c r="BO329">
        <f>238.513</f>
        <v>238.51300000000001</v>
      </c>
      <c r="BP329">
        <f>156.588</f>
        <v>156.58799999999999</v>
      </c>
      <c r="BQ329">
        <f>143.099</f>
        <v>143.09899999999999</v>
      </c>
      <c r="BR329">
        <f>167.454</f>
        <v>167.45400000000001</v>
      </c>
      <c r="BS329">
        <f>142.486</f>
        <v>142.48599999999999</v>
      </c>
      <c r="BT329">
        <f>170.545</f>
        <v>170.54499999999999</v>
      </c>
      <c r="BU329">
        <f>337.815</f>
        <v>337.815</v>
      </c>
      <c r="BV329">
        <f>222</f>
        <v>222</v>
      </c>
      <c r="BW329">
        <f>189.534</f>
        <v>189.53399999999999</v>
      </c>
      <c r="BX329">
        <f>180.913</f>
        <v>180.91300000000001</v>
      </c>
      <c r="BY329">
        <f>145.832</f>
        <v>145.83199999999999</v>
      </c>
      <c r="BZ329">
        <f>220.977</f>
        <v>220.977</v>
      </c>
      <c r="CA329">
        <f>187.322</f>
        <v>187.322</v>
      </c>
      <c r="CB329">
        <f>154.19</f>
        <v>154.19</v>
      </c>
      <c r="CC329">
        <f>192.183</f>
        <v>192.18299999999999</v>
      </c>
      <c r="CD329">
        <f>268.911</f>
        <v>268.911</v>
      </c>
      <c r="CE329">
        <f>148.768</f>
        <v>148.768</v>
      </c>
      <c r="CF329">
        <f>401.73</f>
        <v>401.73</v>
      </c>
      <c r="CG329">
        <f>156.45</f>
        <v>156.44999999999999</v>
      </c>
      <c r="CH329">
        <f>166.894</f>
        <v>166.89400000000001</v>
      </c>
      <c r="CI329">
        <f>141.875</f>
        <v>141.875</v>
      </c>
      <c r="CJ329">
        <f>429.529</f>
        <v>429.529</v>
      </c>
      <c r="CK329">
        <f>383.729</f>
        <v>383.72899999999998</v>
      </c>
      <c r="CL329">
        <f>242.3</f>
        <v>242.3</v>
      </c>
      <c r="CM329">
        <f>112.882</f>
        <v>112.88200000000001</v>
      </c>
      <c r="CN329">
        <f>180.198</f>
        <v>180.19800000000001</v>
      </c>
      <c r="CO329">
        <f>144.067</f>
        <v>144.06700000000001</v>
      </c>
      <c r="CP329">
        <f>148.038</f>
        <v>148.03800000000001</v>
      </c>
      <c r="CQ329">
        <f>125.154</f>
        <v>125.154</v>
      </c>
      <c r="CR329">
        <f>158.116</f>
        <v>158.11600000000001</v>
      </c>
      <c r="CS329">
        <f>135.283</f>
        <v>135.28299999999999</v>
      </c>
      <c r="CT329">
        <f>137.437</f>
        <v>137.43700000000001</v>
      </c>
      <c r="CU329">
        <f>122.058</f>
        <v>122.05800000000001</v>
      </c>
      <c r="CV329">
        <f>140.757</f>
        <v>140.75700000000001</v>
      </c>
      <c r="CW329">
        <f>188.925</f>
        <v>188.92500000000001</v>
      </c>
      <c r="CX329">
        <f>149.982</f>
        <v>149.982</v>
      </c>
      <c r="CY329">
        <f>136.177</f>
        <v>136.17699999999999</v>
      </c>
      <c r="CZ329">
        <f>124.091</f>
        <v>124.09099999999999</v>
      </c>
      <c r="DA329">
        <f>123.183</f>
        <v>123.18300000000001</v>
      </c>
      <c r="DB329">
        <f>150.961</f>
        <v>150.96100000000001</v>
      </c>
      <c r="DC329">
        <f>87.499</f>
        <v>87.498999999999995</v>
      </c>
      <c r="DD329">
        <f>45.439</f>
        <v>45.439</v>
      </c>
      <c r="DE329">
        <f>109.531</f>
        <v>109.53100000000001</v>
      </c>
      <c r="DF329">
        <f>120.044</f>
        <v>120.044</v>
      </c>
      <c r="DG329">
        <f>345.065</f>
        <v>345.065</v>
      </c>
      <c r="DH329">
        <f>102.795</f>
        <v>102.795</v>
      </c>
      <c r="DI329">
        <f>122.346</f>
        <v>122.346</v>
      </c>
      <c r="DJ329">
        <f>158.878</f>
        <v>158.87799999999999</v>
      </c>
      <c r="DK329">
        <f>76.273</f>
        <v>76.272999999999996</v>
      </c>
      <c r="DL329">
        <f>69.94</f>
        <v>69.94</v>
      </c>
      <c r="DM329">
        <f>47.377</f>
        <v>47.377000000000002</v>
      </c>
      <c r="DN329">
        <f>96.141</f>
        <v>96.141000000000005</v>
      </c>
      <c r="DO329">
        <f>38.22</f>
        <v>38.22</v>
      </c>
      <c r="DP329">
        <f>134.031</f>
        <v>134.03100000000001</v>
      </c>
      <c r="DQ329">
        <f>55.346</f>
        <v>55.345999999999997</v>
      </c>
      <c r="DR329">
        <f>55.687</f>
        <v>55.686999999999998</v>
      </c>
      <c r="DS329">
        <f>48.288</f>
        <v>48.287999999999997</v>
      </c>
      <c r="DT329">
        <f>106.9599991</f>
        <v>106.9599991</v>
      </c>
      <c r="DU329">
        <f>57.949</f>
        <v>57.948999999999998</v>
      </c>
    </row>
    <row r="330" spans="1:125">
      <c r="A330" t="str">
        <f>"    National Retail Properties Inc"</f>
        <v xml:space="preserve">    National Retail Properties Inc</v>
      </c>
      <c r="B330" t="str">
        <f>"NNN US Equity"</f>
        <v>NNN US Equity</v>
      </c>
      <c r="C330" t="str">
        <f t="shared" si="60"/>
        <v>RR253</v>
      </c>
      <c r="D330" t="str">
        <f t="shared" si="61"/>
        <v>CASH_AND_MARKETABLE_SECURITIES</v>
      </c>
      <c r="E330" t="str">
        <f t="shared" si="62"/>
        <v>动态</v>
      </c>
      <c r="F330" t="str">
        <f ca="1">IF(AND(ISNUMBER($F$771),$B$419=1),$F$771,HLOOKUP(INDIRECT(ADDRESS(2,COLUMN())),OFFSET($BN$2,0,0,ROW()-1,60),ROW()-1,FALSE))</f>
        <v/>
      </c>
      <c r="G330">
        <f ca="1">IF(AND(ISNUMBER($G$771),$B$419=1),$G$771,HLOOKUP(INDIRECT(ADDRESS(2,COLUMN())),OFFSET($BN$2,0,0,ROW()-1,60),ROW()-1,FALSE))</f>
        <v>1.3640000000000001</v>
      </c>
      <c r="H330">
        <f ca="1">IF(AND(ISNUMBER($H$771),$B$419=1),$H$771,HLOOKUP(INDIRECT(ADDRESS(2,COLUMN())),OFFSET($BN$2,0,0,ROW()-1,60),ROW()-1,FALSE))</f>
        <v>254.26300000000001</v>
      </c>
      <c r="I330">
        <f ca="1">IF(AND(ISNUMBER($I$771),$B$419=1),$I$771,HLOOKUP(INDIRECT(ADDRESS(2,COLUMN())),OFFSET($BN$2,0,0,ROW()-1,60),ROW()-1,FALSE))</f>
        <v>4.45</v>
      </c>
      <c r="J330">
        <f ca="1">IF(AND(ISNUMBER($J$771),$B$419=1),$J$771,HLOOKUP(INDIRECT(ADDRESS(2,COLUMN())),OFFSET($BN$2,0,0,ROW()-1,60),ROW()-1,FALSE))</f>
        <v>34.417999999999999</v>
      </c>
      <c r="K330">
        <f ca="1">IF(AND(ISNUMBER($K$771),$B$419=1),$K$771,HLOOKUP(INDIRECT(ADDRESS(2,COLUMN())),OFFSET($BN$2,0,0,ROW()-1,60),ROW()-1,FALSE))</f>
        <v>294.54000000000002</v>
      </c>
      <c r="L330">
        <f ca="1">IF(AND(ISNUMBER($L$771),$B$419=1),$L$771,HLOOKUP(INDIRECT(ADDRESS(2,COLUMN())),OFFSET($BN$2,0,0,ROW()-1,60),ROW()-1,FALSE))</f>
        <v>5.9160000000000004</v>
      </c>
      <c r="M330">
        <f ca="1">IF(AND(ISNUMBER($M$771),$B$419=1),$M$771,HLOOKUP(INDIRECT(ADDRESS(2,COLUMN())),OFFSET($BN$2,0,0,ROW()-1,60),ROW()-1,FALSE))</f>
        <v>2.371</v>
      </c>
      <c r="N330">
        <f ca="1">IF(AND(ISNUMBER($N$771),$B$419=1),$N$771,HLOOKUP(INDIRECT(ADDRESS(2,COLUMN())),OFFSET($BN$2,0,0,ROW()-1,60),ROW()-1,FALSE))</f>
        <v>8.2029999999999994</v>
      </c>
      <c r="O330">
        <f ca="1">IF(AND(ISNUMBER($O$771),$B$419=1),$O$771,HLOOKUP(INDIRECT(ADDRESS(2,COLUMN())),OFFSET($BN$2,0,0,ROW()-1,60),ROW()-1,FALSE))</f>
        <v>14.26</v>
      </c>
      <c r="P330">
        <f ca="1">IF(AND(ISNUMBER($P$771),$B$419=1),$P$771,HLOOKUP(INDIRECT(ADDRESS(2,COLUMN())),OFFSET($BN$2,0,0,ROW()-1,60),ROW()-1,FALSE))</f>
        <v>2.6150000000000002</v>
      </c>
      <c r="Q330">
        <f ca="1">IF(AND(ISNUMBER($Q$771),$B$419=1),$Q$771,HLOOKUP(INDIRECT(ADDRESS(2,COLUMN())),OFFSET($BN$2,0,0,ROW()-1,60),ROW()-1,FALSE))</f>
        <v>2.448</v>
      </c>
      <c r="R330">
        <f ca="1">IF(AND(ISNUMBER($R$771),$B$419=1),$R$771,HLOOKUP(INDIRECT(ADDRESS(2,COLUMN())),OFFSET($BN$2,0,0,ROW()-1,60),ROW()-1,FALSE))</f>
        <v>4.4560000000000004</v>
      </c>
      <c r="S330">
        <f ca="1">IF(AND(ISNUMBER($S$771),$B$419=1),$S$771,HLOOKUP(INDIRECT(ADDRESS(2,COLUMN())),OFFSET($BN$2,0,0,ROW()-1,60),ROW()-1,FALSE))</f>
        <v>10.603999999999999</v>
      </c>
      <c r="T330">
        <f ca="1">IF(AND(ISNUMBER($T$771),$B$419=1),$T$771,HLOOKUP(INDIRECT(ADDRESS(2,COLUMN())),OFFSET($BN$2,0,0,ROW()-1,60),ROW()-1,FALSE))</f>
        <v>4.9039999999999999</v>
      </c>
      <c r="U330">
        <f ca="1">IF(AND(ISNUMBER($U$771),$B$419=1),$U$771,HLOOKUP(INDIRECT(ADDRESS(2,COLUMN())),OFFSET($BN$2,0,0,ROW()-1,60),ROW()-1,FALSE))</f>
        <v>85.358000000000004</v>
      </c>
      <c r="V330">
        <f ca="1">IF(AND(ISNUMBER($V$771),$B$419=1),$V$771,HLOOKUP(INDIRECT(ADDRESS(2,COLUMN())),OFFSET($BN$2,0,0,ROW()-1,60),ROW()-1,FALSE))</f>
        <v>5.9260000000000002</v>
      </c>
      <c r="W330">
        <f ca="1">IF(AND(ISNUMBER($W$771),$B$419=1),$W$771,HLOOKUP(INDIRECT(ADDRESS(2,COLUMN())),OFFSET($BN$2,0,0,ROW()-1,60),ROW()-1,FALSE))</f>
        <v>1.4850000000000001</v>
      </c>
      <c r="X330">
        <f ca="1">IF(AND(ISNUMBER($X$771),$B$419=1),$X$771,HLOOKUP(INDIRECT(ADDRESS(2,COLUMN())),OFFSET($BN$2,0,0,ROW()-1,60),ROW()-1,FALSE))</f>
        <v>6.53</v>
      </c>
      <c r="Y330">
        <f ca="1">IF(AND(ISNUMBER($Y$771),$B$419=1),$Y$771,HLOOKUP(INDIRECT(ADDRESS(2,COLUMN())),OFFSET($BN$2,0,0,ROW()-1,60),ROW()-1,FALSE))</f>
        <v>236.916</v>
      </c>
      <c r="Z330">
        <f ca="1">IF(AND(ISNUMBER($Z$771),$B$419=1),$Z$771,HLOOKUP(INDIRECT(ADDRESS(2,COLUMN())),OFFSET($BN$2,0,0,ROW()-1,60),ROW()-1,FALSE))</f>
        <v>3.4420000000000002</v>
      </c>
      <c r="AA330">
        <f ca="1">IF(AND(ISNUMBER($AA$771),$B$419=1),$AA$771,HLOOKUP(INDIRECT(ADDRESS(2,COLUMN())),OFFSET($BN$2,0,0,ROW()-1,60),ROW()-1,FALSE))</f>
        <v>2.0760000000000001</v>
      </c>
      <c r="AB330">
        <f ca="1">IF(AND(ISNUMBER($AB$771),$B$419=1),$AB$771,HLOOKUP(INDIRECT(ADDRESS(2,COLUMN())),OFFSET($BN$2,0,0,ROW()-1,60),ROW()-1,FALSE))</f>
        <v>141.446</v>
      </c>
      <c r="AC330">
        <f ca="1">IF(AND(ISNUMBER($AC$771),$B$419=1),$AC$771,HLOOKUP(INDIRECT(ADDRESS(2,COLUMN())),OFFSET($BN$2,0,0,ROW()-1,60),ROW()-1,FALSE))</f>
        <v>2.907</v>
      </c>
      <c r="AD330">
        <f ca="1">IF(AND(ISNUMBER($AD$771),$B$419=1),$AD$771,HLOOKUP(INDIRECT(ADDRESS(2,COLUMN())),OFFSET($BN$2,0,0,ROW()-1,60),ROW()-1,FALSE))</f>
        <v>3.0329999999999999</v>
      </c>
      <c r="AE330">
        <f ca="1">IF(AND(ISNUMBER($AE$771),$B$419=1),$AE$771,HLOOKUP(INDIRECT(ADDRESS(2,COLUMN())),OFFSET($BN$2,0,0,ROW()-1,60),ROW()-1,FALSE))</f>
        <v>2.0819999999999999</v>
      </c>
      <c r="AF330">
        <f ca="1">IF(AND(ISNUMBER($AF$771),$B$419=1),$AF$771,HLOOKUP(INDIRECT(ADDRESS(2,COLUMN())),OFFSET($BN$2,0,0,ROW()-1,60),ROW()-1,FALSE))</f>
        <v>19.678000000000001</v>
      </c>
      <c r="AG330">
        <f ca="1">IF(AND(ISNUMBER($AG$771),$B$419=1),$AG$771,HLOOKUP(INDIRECT(ADDRESS(2,COLUMN())),OFFSET($BN$2,0,0,ROW()-1,60),ROW()-1,FALSE))</f>
        <v>3.5880000000000001</v>
      </c>
      <c r="AH330">
        <f ca="1">IF(AND(ISNUMBER($AH$771),$B$419=1),$AH$771,HLOOKUP(INDIRECT(ADDRESS(2,COLUMN())),OFFSET($BN$2,0,0,ROW()-1,60),ROW()-1,FALSE))</f>
        <v>2.5569999999999999</v>
      </c>
      <c r="AI330">
        <f ca="1">IF(AND(ISNUMBER($AI$771),$B$419=1),$AI$771,HLOOKUP(INDIRECT(ADDRESS(2,COLUMN())),OFFSET($BN$2,0,0,ROW()-1,60),ROW()-1,FALSE))</f>
        <v>2.048</v>
      </c>
      <c r="AJ330">
        <f ca="1">IF(AND(ISNUMBER($AJ$771),$B$419=1),$AJ$771,HLOOKUP(INDIRECT(ADDRESS(2,COLUMN())),OFFSET($BN$2,0,0,ROW()-1,60),ROW()-1,FALSE))</f>
        <v>4.0090000000000003</v>
      </c>
      <c r="AK330">
        <f ca="1">IF(AND(ISNUMBER($AK$771),$B$419=1),$AK$771,HLOOKUP(INDIRECT(ADDRESS(2,COLUMN())),OFFSET($BN$2,0,0,ROW()-1,60),ROW()-1,FALSE))</f>
        <v>51.832000000000001</v>
      </c>
      <c r="AL330">
        <f ca="1">IF(AND(ISNUMBER($AL$771),$B$419=1),$AL$771,HLOOKUP(INDIRECT(ADDRESS(2,COLUMN())),OFFSET($BN$2,0,0,ROW()-1,60),ROW()-1,FALSE))</f>
        <v>31.242999999999999</v>
      </c>
      <c r="AM330">
        <f ca="1">IF(AND(ISNUMBER($AM$771),$B$419=1),$AM$771,HLOOKUP(INDIRECT(ADDRESS(2,COLUMN())),OFFSET($BN$2,0,0,ROW()-1,60),ROW()-1,FALSE))</f>
        <v>15.225</v>
      </c>
      <c r="AN330">
        <f ca="1">IF(AND(ISNUMBER($AN$771),$B$419=1),$AN$771,HLOOKUP(INDIRECT(ADDRESS(2,COLUMN())),OFFSET($BN$2,0,0,ROW()-1,60),ROW()-1,FALSE))</f>
        <v>23.251000000000001</v>
      </c>
      <c r="AO330">
        <f ca="1">IF(AND(ISNUMBER($AO$771),$B$419=1),$AO$771,HLOOKUP(INDIRECT(ADDRESS(2,COLUMN())),OFFSET($BN$2,0,0,ROW()-1,60),ROW()-1,FALSE))</f>
        <v>1.573</v>
      </c>
      <c r="AP330">
        <f ca="1">IF(AND(ISNUMBER($AP$771),$B$419=1),$AP$771,HLOOKUP(INDIRECT(ADDRESS(2,COLUMN())),OFFSET($BN$2,0,0,ROW()-1,60),ROW()-1,FALSE))</f>
        <v>1.8580000000000001</v>
      </c>
      <c r="AQ330">
        <f ca="1">IF(AND(ISNUMBER($AQ$771),$B$419=1),$AQ$771,HLOOKUP(INDIRECT(ADDRESS(2,COLUMN())),OFFSET($BN$2,0,0,ROW()-1,60),ROW()-1,FALSE))</f>
        <v>2.6259999999999999</v>
      </c>
      <c r="AR330">
        <f ca="1">IF(AND(ISNUMBER($AR$771),$B$419=1),$AR$771,HLOOKUP(INDIRECT(ADDRESS(2,COLUMN())),OFFSET($BN$2,0,0,ROW()-1,60),ROW()-1,FALSE))</f>
        <v>2.5139999999999998</v>
      </c>
      <c r="AS330">
        <f ca="1">IF(AND(ISNUMBER($AS$771),$B$419=1),$AS$771,HLOOKUP(INDIRECT(ADDRESS(2,COLUMN())),OFFSET($BN$2,0,0,ROW()-1,60),ROW()-1,FALSE))</f>
        <v>4.8730000000000002</v>
      </c>
      <c r="AT330">
        <f ca="1">IF(AND(ISNUMBER($AT$771),$B$419=1),$AT$771,HLOOKUP(INDIRECT(ADDRESS(2,COLUMN())),OFFSET($BN$2,0,0,ROW()-1,60),ROW()-1,FALSE))</f>
        <v>11.837999999999999</v>
      </c>
      <c r="AU330">
        <f ca="1">IF(AND(ISNUMBER($AU$771),$B$419=1),$AU$771,HLOOKUP(INDIRECT(ADDRESS(2,COLUMN())),OFFSET($BN$2,0,0,ROW()-1,60),ROW()-1,FALSE))</f>
        <v>27.498999999999999</v>
      </c>
      <c r="AV330">
        <f ca="1">IF(AND(ISNUMBER($AV$771),$B$419=1),$AV$771,HLOOKUP(INDIRECT(ADDRESS(2,COLUMN())),OFFSET($BN$2,0,0,ROW()-1,60),ROW()-1,FALSE))</f>
        <v>26.443000000000001</v>
      </c>
      <c r="AW330">
        <f ca="1">IF(AND(ISNUMBER($AW$771),$B$419=1),$AW$771,HLOOKUP(INDIRECT(ADDRESS(2,COLUMN())),OFFSET($BN$2,0,0,ROW()-1,60),ROW()-1,FALSE))</f>
        <v>2.516000032</v>
      </c>
      <c r="AX330">
        <f ca="1">IF(AND(ISNUMBER($AX$771),$B$419=1),$AX$771,HLOOKUP(INDIRECT(ADDRESS(2,COLUMN())),OFFSET($BN$2,0,0,ROW()-1,60),ROW()-1,FALSE))</f>
        <v>56.561</v>
      </c>
      <c r="AY330">
        <f ca="1">IF(AND(ISNUMBER($AY$771),$B$419=1),$AY$771,HLOOKUP(INDIRECT(ADDRESS(2,COLUMN())),OFFSET($BN$2,0,0,ROW()-1,60),ROW()-1,FALSE))</f>
        <v>1.6749999520000001</v>
      </c>
      <c r="AZ330">
        <f ca="1">IF(AND(ISNUMBER($AZ$771),$B$419=1),$AZ$771,HLOOKUP(INDIRECT(ADDRESS(2,COLUMN())),OFFSET($BN$2,0,0,ROW()-1,60),ROW()-1,FALSE))</f>
        <v>9.2110000000000003</v>
      </c>
      <c r="BA330">
        <f ca="1">IF(AND(ISNUMBER($BA$771),$B$419=1),$BA$771,HLOOKUP(INDIRECT(ADDRESS(2,COLUMN())),OFFSET($BN$2,0,0,ROW()-1,60),ROW()-1,FALSE))</f>
        <v>4.6820001600000003</v>
      </c>
      <c r="BB330">
        <f ca="1">IF(AND(ISNUMBER($BB$771),$B$419=1),$BB$771,HLOOKUP(INDIRECT(ADDRESS(2,COLUMN())),OFFSET($BN$2,0,0,ROW()-1,60),ROW()-1,FALSE))</f>
        <v>20.321999999999999</v>
      </c>
      <c r="BC330">
        <f ca="1">IF(AND(ISNUMBER($BC$771),$B$419=1),$BC$771,HLOOKUP(INDIRECT(ADDRESS(2,COLUMN())),OFFSET($BN$2,0,0,ROW()-1,60),ROW()-1,FALSE))</f>
        <v>8.2340002059999993</v>
      </c>
      <c r="BD330">
        <f ca="1">IF(AND(ISNUMBER($BD$771),$B$419=1),$BD$771,HLOOKUP(INDIRECT(ADDRESS(2,COLUMN())),OFFSET($BN$2,0,0,ROW()-1,60),ROW()-1,FALSE))</f>
        <v>11.855999949999999</v>
      </c>
      <c r="BE330">
        <f ca="1">IF(AND(ISNUMBER($BE$771),$B$419=1),$BE$771,HLOOKUP(INDIRECT(ADDRESS(2,COLUMN())),OFFSET($BN$2,0,0,ROW()-1,60),ROW()-1,FALSE))</f>
        <v>9.3459997179999998</v>
      </c>
      <c r="BF330">
        <f ca="1">IF(AND(ISNUMBER($BF$771),$B$419=1),$BF$771,HLOOKUP(INDIRECT(ADDRESS(2,COLUMN())),OFFSET($BN$2,0,0,ROW()-1,60),ROW()-1,FALSE))</f>
        <v>3.149</v>
      </c>
      <c r="BG330">
        <f ca="1">IF(AND(ISNUMBER($BG$771),$B$419=1),$BG$771,HLOOKUP(INDIRECT(ADDRESS(2,COLUMN())),OFFSET($BN$2,0,0,ROW()-1,60),ROW()-1,FALSE))</f>
        <v>1.9470000000000001</v>
      </c>
      <c r="BH330">
        <f ca="1">IF(AND(ISNUMBER($BH$771),$B$419=1),$BH$771,HLOOKUP(INDIRECT(ADDRESS(2,COLUMN())),OFFSET($BN$2,0,0,ROW()-1,60),ROW()-1,FALSE))</f>
        <v>16.920999999999999</v>
      </c>
      <c r="BI330">
        <f ca="1">IF(AND(ISNUMBER($BI$771),$B$419=1),$BI$771,HLOOKUP(INDIRECT(ADDRESS(2,COLUMN())),OFFSET($BN$2,0,0,ROW()-1,60),ROW()-1,FALSE))</f>
        <v>10.105</v>
      </c>
      <c r="BJ330">
        <f ca="1">IF(AND(ISNUMBER($BJ$771),$B$419=1),$BJ$771,HLOOKUP(INDIRECT(ADDRESS(2,COLUMN())),OFFSET($BN$2,0,0,ROW()-1,60),ROW()-1,FALSE))</f>
        <v>2.613</v>
      </c>
      <c r="BK330">
        <f ca="1">IF(AND(ISNUMBER($BK$771),$B$419=1),$BK$771,HLOOKUP(INDIRECT(ADDRESS(2,COLUMN())),OFFSET($BN$2,0,0,ROW()-1,60),ROW()-1,FALSE))</f>
        <v>4.3639999999999999</v>
      </c>
      <c r="BL330">
        <f ca="1">IF(AND(ISNUMBER($BL$771),$B$419=1),$BL$771,HLOOKUP(INDIRECT(ADDRESS(2,COLUMN())),OFFSET($BN$2,0,0,ROW()-1,60),ROW()-1,FALSE))</f>
        <v>4.1199998860000004</v>
      </c>
      <c r="BM330">
        <f ca="1">IF(AND(ISNUMBER($BM$771),$B$419=1),$BM$771,HLOOKUP(INDIRECT(ADDRESS(2,COLUMN())),OFFSET($BN$2,0,0,ROW()-1,60),ROW()-1,FALSE))</f>
        <v>3.4009999999999998</v>
      </c>
      <c r="BN330" t="str">
        <f>""</f>
        <v/>
      </c>
      <c r="BO330">
        <f>1.364</f>
        <v>1.3640000000000001</v>
      </c>
      <c r="BP330">
        <f>254.263</f>
        <v>254.26300000000001</v>
      </c>
      <c r="BQ330">
        <f>4.45</f>
        <v>4.45</v>
      </c>
      <c r="BR330">
        <f>34.418</f>
        <v>34.417999999999999</v>
      </c>
      <c r="BS330">
        <f>294.54</f>
        <v>294.54000000000002</v>
      </c>
      <c r="BT330">
        <f>5.916</f>
        <v>5.9160000000000004</v>
      </c>
      <c r="BU330">
        <f>2.371</f>
        <v>2.371</v>
      </c>
      <c r="BV330">
        <f>8.203</f>
        <v>8.2029999999999994</v>
      </c>
      <c r="BW330">
        <f>14.26</f>
        <v>14.26</v>
      </c>
      <c r="BX330">
        <f>2.615</f>
        <v>2.6150000000000002</v>
      </c>
      <c r="BY330">
        <f>2.448</f>
        <v>2.448</v>
      </c>
      <c r="BZ330">
        <f>4.456</f>
        <v>4.4560000000000004</v>
      </c>
      <c r="CA330">
        <f>10.604</f>
        <v>10.603999999999999</v>
      </c>
      <c r="CB330">
        <f>4.904</f>
        <v>4.9039999999999999</v>
      </c>
      <c r="CC330">
        <f>85.358</f>
        <v>85.358000000000004</v>
      </c>
      <c r="CD330">
        <f>5.926</f>
        <v>5.9260000000000002</v>
      </c>
      <c r="CE330">
        <f>1.485</f>
        <v>1.4850000000000001</v>
      </c>
      <c r="CF330">
        <f>6.53</f>
        <v>6.53</v>
      </c>
      <c r="CG330">
        <f>236.916</f>
        <v>236.916</v>
      </c>
      <c r="CH330">
        <f>3.442</f>
        <v>3.4420000000000002</v>
      </c>
      <c r="CI330">
        <f>2.076</f>
        <v>2.0760000000000001</v>
      </c>
      <c r="CJ330">
        <f>141.446</f>
        <v>141.446</v>
      </c>
      <c r="CK330">
        <f>2.907</f>
        <v>2.907</v>
      </c>
      <c r="CL330">
        <f>3.033</f>
        <v>3.0329999999999999</v>
      </c>
      <c r="CM330">
        <f>2.082</f>
        <v>2.0819999999999999</v>
      </c>
      <c r="CN330">
        <f>19.678</f>
        <v>19.678000000000001</v>
      </c>
      <c r="CO330">
        <f>3.588</f>
        <v>3.5880000000000001</v>
      </c>
      <c r="CP330">
        <f>2.557</f>
        <v>2.5569999999999999</v>
      </c>
      <c r="CQ330">
        <f>2.048</f>
        <v>2.048</v>
      </c>
      <c r="CR330">
        <f>4.009</f>
        <v>4.0090000000000003</v>
      </c>
      <c r="CS330">
        <f>51.832</f>
        <v>51.832000000000001</v>
      </c>
      <c r="CT330">
        <f>31.243</f>
        <v>31.242999999999999</v>
      </c>
      <c r="CU330">
        <f>15.225</f>
        <v>15.225</v>
      </c>
      <c r="CV330">
        <f>23.251</f>
        <v>23.251000000000001</v>
      </c>
      <c r="CW330">
        <f>1.573</f>
        <v>1.573</v>
      </c>
      <c r="CX330">
        <f>1.858</f>
        <v>1.8580000000000001</v>
      </c>
      <c r="CY330">
        <f>2.626</f>
        <v>2.6259999999999999</v>
      </c>
      <c r="CZ330">
        <f>2.514</f>
        <v>2.5139999999999998</v>
      </c>
      <c r="DA330">
        <f>4.873</f>
        <v>4.8730000000000002</v>
      </c>
      <c r="DB330">
        <f>11.838</f>
        <v>11.837999999999999</v>
      </c>
      <c r="DC330">
        <f>27.499</f>
        <v>27.498999999999999</v>
      </c>
      <c r="DD330">
        <f>26.443</f>
        <v>26.443000000000001</v>
      </c>
      <c r="DE330">
        <f>2.516000032</f>
        <v>2.516000032</v>
      </c>
      <c r="DF330">
        <f>56.561</f>
        <v>56.561</v>
      </c>
      <c r="DG330">
        <f>1.674999952</f>
        <v>1.6749999520000001</v>
      </c>
      <c r="DH330">
        <f>9.211</f>
        <v>9.2110000000000003</v>
      </c>
      <c r="DI330">
        <f>4.68200016</f>
        <v>4.6820001600000003</v>
      </c>
      <c r="DJ330">
        <f>20.322</f>
        <v>20.321999999999999</v>
      </c>
      <c r="DK330">
        <f>8.234000206</f>
        <v>8.2340002059999993</v>
      </c>
      <c r="DL330">
        <f>11.85599995</f>
        <v>11.855999949999999</v>
      </c>
      <c r="DM330">
        <f>9.345999718</f>
        <v>9.3459997179999998</v>
      </c>
      <c r="DN330">
        <f>3.149</f>
        <v>3.149</v>
      </c>
      <c r="DO330">
        <f>1.947</f>
        <v>1.9470000000000001</v>
      </c>
      <c r="DP330">
        <f>16.921</f>
        <v>16.920999999999999</v>
      </c>
      <c r="DQ330">
        <f>10.105</f>
        <v>10.105</v>
      </c>
      <c r="DR330">
        <f>2.613</f>
        <v>2.613</v>
      </c>
      <c r="DS330">
        <f>4.364</f>
        <v>4.3639999999999999</v>
      </c>
      <c r="DT330">
        <f>4.119999886</f>
        <v>4.1199998860000004</v>
      </c>
      <c r="DU330">
        <f>3.401</f>
        <v>3.4009999999999998</v>
      </c>
    </row>
    <row r="331" spans="1:125">
      <c r="A331" t="str">
        <f>"    Realty Income Corp"</f>
        <v xml:space="preserve">    Realty Income Corp</v>
      </c>
      <c r="B331" t="str">
        <f>"O US Equity"</f>
        <v>O US Equity</v>
      </c>
      <c r="C331" t="str">
        <f t="shared" si="60"/>
        <v>RR253</v>
      </c>
      <c r="D331" t="str">
        <f t="shared" si="61"/>
        <v>CASH_AND_MARKETABLE_SECURITIES</v>
      </c>
      <c r="E331" t="str">
        <f t="shared" si="62"/>
        <v>动态</v>
      </c>
      <c r="F331" t="str">
        <f ca="1">IF(AND(ISNUMBER($F$772),$B$419=1),$F$772,HLOOKUP(INDIRECT(ADDRESS(2,COLUMN())),OFFSET($BN$2,0,0,ROW()-1,60),ROW()-1,FALSE))</f>
        <v/>
      </c>
      <c r="G331">
        <f ca="1">IF(AND(ISNUMBER($G$772),$B$419=1),$G$772,HLOOKUP(INDIRECT(ADDRESS(2,COLUMN())),OFFSET($BN$2,0,0,ROW()-1,60),ROW()-1,FALSE))</f>
        <v>6.8979999999999997</v>
      </c>
      <c r="H331">
        <f ca="1">IF(AND(ISNUMBER($H$772),$B$419=1),$H$772,HLOOKUP(INDIRECT(ADDRESS(2,COLUMN())),OFFSET($BN$2,0,0,ROW()-1,60),ROW()-1,FALSE))</f>
        <v>3.1989999999999998</v>
      </c>
      <c r="I331">
        <f ca="1">IF(AND(ISNUMBER($I$772),$B$419=1),$I$772,HLOOKUP(INDIRECT(ADDRESS(2,COLUMN())),OFFSET($BN$2,0,0,ROW()-1,60),ROW()-1,FALSE))</f>
        <v>10.945</v>
      </c>
      <c r="J331">
        <f ca="1">IF(AND(ISNUMBER($J$772),$B$419=1),$J$772,HLOOKUP(INDIRECT(ADDRESS(2,COLUMN())),OFFSET($BN$2,0,0,ROW()-1,60),ROW()-1,FALSE))</f>
        <v>27.597999999999999</v>
      </c>
      <c r="K331">
        <f ca="1">IF(AND(ISNUMBER($K$772),$B$419=1),$K$772,HLOOKUP(INDIRECT(ADDRESS(2,COLUMN())),OFFSET($BN$2,0,0,ROW()-1,60),ROW()-1,FALSE))</f>
        <v>9.42</v>
      </c>
      <c r="L331">
        <f ca="1">IF(AND(ISNUMBER($L$772),$B$419=1),$L$772,HLOOKUP(INDIRECT(ADDRESS(2,COLUMN())),OFFSET($BN$2,0,0,ROW()-1,60),ROW()-1,FALSE))</f>
        <v>29.800999999999998</v>
      </c>
      <c r="M331">
        <f ca="1">IF(AND(ISNUMBER($M$772),$B$419=1),$M$772,HLOOKUP(INDIRECT(ADDRESS(2,COLUMN())),OFFSET($BN$2,0,0,ROW()-1,60),ROW()-1,FALSE))</f>
        <v>20.443000000000001</v>
      </c>
      <c r="N331">
        <f ca="1">IF(AND(ISNUMBER($N$772),$B$419=1),$N$772,HLOOKUP(INDIRECT(ADDRESS(2,COLUMN())),OFFSET($BN$2,0,0,ROW()-1,60),ROW()-1,FALSE))</f>
        <v>8.6950000000000003</v>
      </c>
      <c r="O331">
        <f ca="1">IF(AND(ISNUMBER($O$772),$B$419=1),$O$772,HLOOKUP(INDIRECT(ADDRESS(2,COLUMN())),OFFSET($BN$2,0,0,ROW()-1,60),ROW()-1,FALSE))</f>
        <v>40.293999999999997</v>
      </c>
      <c r="P331">
        <f ca="1">IF(AND(ISNUMBER($P$772),$B$419=1),$P$772,HLOOKUP(INDIRECT(ADDRESS(2,COLUMN())),OFFSET($BN$2,0,0,ROW()-1,60),ROW()-1,FALSE))</f>
        <v>7.0739999999999998</v>
      </c>
      <c r="Q331">
        <f ca="1">IF(AND(ISNUMBER($Q$772),$B$419=1),$Q$772,HLOOKUP(INDIRECT(ADDRESS(2,COLUMN())),OFFSET($BN$2,0,0,ROW()-1,60),ROW()-1,FALSE))</f>
        <v>18.741</v>
      </c>
      <c r="R331">
        <f ca="1">IF(AND(ISNUMBER($R$772),$B$419=1),$R$772,HLOOKUP(INDIRECT(ADDRESS(2,COLUMN())),OFFSET($BN$2,0,0,ROW()-1,60),ROW()-1,FALSE))</f>
        <v>12.19</v>
      </c>
      <c r="S331">
        <f ca="1">IF(AND(ISNUMBER($S$772),$B$419=1),$S$772,HLOOKUP(INDIRECT(ADDRESS(2,COLUMN())),OFFSET($BN$2,0,0,ROW()-1,60),ROW()-1,FALSE))</f>
        <v>3.8519999999999999</v>
      </c>
      <c r="T331">
        <f ca="1">IF(AND(ISNUMBER($T$772),$B$419=1),$T$772,HLOOKUP(INDIRECT(ADDRESS(2,COLUMN())),OFFSET($BN$2,0,0,ROW()-1,60),ROW()-1,FALSE))</f>
        <v>16.936</v>
      </c>
      <c r="U331">
        <f ca="1">IF(AND(ISNUMBER($U$772),$B$419=1),$U$772,HLOOKUP(INDIRECT(ADDRESS(2,COLUMN())),OFFSET($BN$2,0,0,ROW()-1,60),ROW()-1,FALSE))</f>
        <v>8.9079999999999995</v>
      </c>
      <c r="V331">
        <f ca="1">IF(AND(ISNUMBER($V$772),$B$419=1),$V$772,HLOOKUP(INDIRECT(ADDRESS(2,COLUMN())),OFFSET($BN$2,0,0,ROW()-1,60),ROW()-1,FALSE))</f>
        <v>14.141999999999999</v>
      </c>
      <c r="W331">
        <f ca="1">IF(AND(ISNUMBER($W$772),$B$419=1),$W$772,HLOOKUP(INDIRECT(ADDRESS(2,COLUMN())),OFFSET($BN$2,0,0,ROW()-1,60),ROW()-1,FALSE))</f>
        <v>10.257</v>
      </c>
      <c r="X331">
        <f ca="1">IF(AND(ISNUMBER($X$772),$B$419=1),$X$772,HLOOKUP(INDIRECT(ADDRESS(2,COLUMN())),OFFSET($BN$2,0,0,ROW()-1,60),ROW()-1,FALSE))</f>
        <v>9.9600000000000009</v>
      </c>
      <c r="Y331">
        <f ca="1">IF(AND(ISNUMBER($Y$772),$B$419=1),$Y$772,HLOOKUP(INDIRECT(ADDRESS(2,COLUMN())),OFFSET($BN$2,0,0,ROW()-1,60),ROW()-1,FALSE))</f>
        <v>22.574999999999999</v>
      </c>
      <c r="Z331">
        <f ca="1">IF(AND(ISNUMBER($Z$772),$B$419=1),$Z$772,HLOOKUP(INDIRECT(ADDRESS(2,COLUMN())),OFFSET($BN$2,0,0,ROW()-1,60),ROW()-1,FALSE))</f>
        <v>4.1589999999999998</v>
      </c>
      <c r="AA331">
        <f ca="1">IF(AND(ISNUMBER($AA$772),$B$419=1),$AA$772,HLOOKUP(INDIRECT(ADDRESS(2,COLUMN())),OFFSET($BN$2,0,0,ROW()-1,60),ROW()-1,FALSE))</f>
        <v>5.2480000000000002</v>
      </c>
      <c r="AB331">
        <f ca="1">IF(AND(ISNUMBER($AB$772),$B$419=1),$AB$772,HLOOKUP(INDIRECT(ADDRESS(2,COLUMN())),OFFSET($BN$2,0,0,ROW()-1,60),ROW()-1,FALSE))</f>
        <v>2.794</v>
      </c>
      <c r="AC331">
        <f ca="1">IF(AND(ISNUMBER($AC$772),$B$419=1),$AC$772,HLOOKUP(INDIRECT(ADDRESS(2,COLUMN())),OFFSET($BN$2,0,0,ROW()-1,60),ROW()-1,FALSE))</f>
        <v>6.0640000000000001</v>
      </c>
      <c r="AD331">
        <f ca="1">IF(AND(ISNUMBER($AD$772),$B$419=1),$AD$772,HLOOKUP(INDIRECT(ADDRESS(2,COLUMN())),OFFSET($BN$2,0,0,ROW()-1,60),ROW()-1,FALSE))</f>
        <v>5.194</v>
      </c>
      <c r="AE331">
        <f ca="1">IF(AND(ISNUMBER($AE$772),$B$419=1),$AE$772,HLOOKUP(INDIRECT(ADDRESS(2,COLUMN())),OFFSET($BN$2,0,0,ROW()-1,60),ROW()-1,FALSE))</f>
        <v>4.165</v>
      </c>
      <c r="AF331">
        <f ca="1">IF(AND(ISNUMBER($AF$772),$B$419=1),$AF$772,HLOOKUP(INDIRECT(ADDRESS(2,COLUMN())),OFFSET($BN$2,0,0,ROW()-1,60),ROW()-1,FALSE))</f>
        <v>5.5430000000000001</v>
      </c>
      <c r="AG331">
        <f ca="1">IF(AND(ISNUMBER($AG$772),$B$419=1),$AG$772,HLOOKUP(INDIRECT(ADDRESS(2,COLUMN())),OFFSET($BN$2,0,0,ROW()-1,60),ROW()-1,FALSE))</f>
        <v>155.67099999999999</v>
      </c>
      <c r="AH331">
        <f ca="1">IF(AND(ISNUMBER($AH$772),$B$419=1),$AH$772,HLOOKUP(INDIRECT(ADDRESS(2,COLUMN())),OFFSET($BN$2,0,0,ROW()-1,60),ROW()-1,FALSE))</f>
        <v>129.70699999999999</v>
      </c>
      <c r="AI331">
        <f ca="1">IF(AND(ISNUMBER($AI$772),$B$419=1),$AI$772,HLOOKUP(INDIRECT(ADDRESS(2,COLUMN())),OFFSET($BN$2,0,0,ROW()-1,60),ROW()-1,FALSE))</f>
        <v>17.606999999999999</v>
      </c>
      <c r="AJ331">
        <f ca="1">IF(AND(ISNUMBER($AJ$772),$B$419=1),$AJ$772,HLOOKUP(INDIRECT(ADDRESS(2,COLUMN())),OFFSET($BN$2,0,0,ROW()-1,60),ROW()-1,FALSE))</f>
        <v>155.58199999999999</v>
      </c>
      <c r="AK331">
        <f ca="1">IF(AND(ISNUMBER($AK$772),$B$419=1),$AK$772,HLOOKUP(INDIRECT(ADDRESS(2,COLUMN())),OFFSET($BN$2,0,0,ROW()-1,60),ROW()-1,FALSE))</f>
        <v>0.872</v>
      </c>
      <c r="AL331">
        <f ca="1">IF(AND(ISNUMBER($AL$772),$B$419=1),$AL$772,HLOOKUP(INDIRECT(ADDRESS(2,COLUMN())),OFFSET($BN$2,0,0,ROW()-1,60),ROW()-1,FALSE))</f>
        <v>0.84899999999999998</v>
      </c>
      <c r="AM331">
        <f ca="1">IF(AND(ISNUMBER($AM$772),$B$419=1),$AM$772,HLOOKUP(INDIRECT(ADDRESS(2,COLUMN())),OFFSET($BN$2,0,0,ROW()-1,60),ROW()-1,FALSE))</f>
        <v>10.026</v>
      </c>
      <c r="AN331">
        <f ca="1">IF(AND(ISNUMBER($AN$772),$B$419=1),$AN$772,HLOOKUP(INDIRECT(ADDRESS(2,COLUMN())),OFFSET($BN$2,0,0,ROW()-1,60),ROW()-1,FALSE))</f>
        <v>20.042000000000002</v>
      </c>
      <c r="AO331">
        <f ca="1">IF(AND(ISNUMBER($AO$772),$B$419=1),$AO$772,HLOOKUP(INDIRECT(ADDRESS(2,COLUMN())),OFFSET($BN$2,0,0,ROW()-1,60),ROW()-1,FALSE))</f>
        <v>35.823</v>
      </c>
      <c r="AP331">
        <f ca="1">IF(AND(ISNUMBER($AP$772),$B$419=1),$AP$772,HLOOKUP(INDIRECT(ADDRESS(2,COLUMN())),OFFSET($BN$2,0,0,ROW()-1,60),ROW()-1,FALSE))</f>
        <v>10.438000000000001</v>
      </c>
      <c r="AQ331">
        <f ca="1">IF(AND(ISNUMBER($AQ$772),$B$419=1),$AQ$772,HLOOKUP(INDIRECT(ADDRESS(2,COLUMN())),OFFSET($BN$2,0,0,ROW()-1,60),ROW()-1,FALSE))</f>
        <v>46.814999999999998</v>
      </c>
      <c r="AR331">
        <f ca="1">IF(AND(ISNUMBER($AR$772),$B$419=1),$AR$772,HLOOKUP(INDIRECT(ADDRESS(2,COLUMN())),OFFSET($BN$2,0,0,ROW()-1,60),ROW()-1,FALSE))</f>
        <v>112.562</v>
      </c>
      <c r="AS331">
        <f ca="1">IF(AND(ISNUMBER($AS$772),$B$419=1),$AS$772,HLOOKUP(INDIRECT(ADDRESS(2,COLUMN())),OFFSET($BN$2,0,0,ROW()-1,60),ROW()-1,FALSE))</f>
        <v>39.372999999999998</v>
      </c>
      <c r="AT331">
        <f ca="1">IF(AND(ISNUMBER($AT$772),$B$419=1),$AT$772,HLOOKUP(INDIRECT(ADDRESS(2,COLUMN())),OFFSET($BN$2,0,0,ROW()-1,60),ROW()-1,FALSE))</f>
        <v>13.343</v>
      </c>
      <c r="AU331">
        <f ca="1">IF(AND(ISNUMBER($AU$772),$B$419=1),$AU$772,HLOOKUP(INDIRECT(ADDRESS(2,COLUMN())),OFFSET($BN$2,0,0,ROW()-1,60),ROW()-1,FALSE))</f>
        <v>193.101</v>
      </c>
      <c r="AV331">
        <f ca="1">IF(AND(ISNUMBER($AV$772),$B$419=1),$AV$772,HLOOKUP(INDIRECT(ADDRESS(2,COLUMN())),OFFSET($BN$2,0,0,ROW()-1,60),ROW()-1,FALSE))</f>
        <v>266.64401249999997</v>
      </c>
      <c r="AW331">
        <f ca="1">IF(AND(ISNUMBER($AW$772),$B$419=1),$AW$772,HLOOKUP(INDIRECT(ADDRESS(2,COLUMN())),OFFSET($BN$2,0,0,ROW()-1,60),ROW()-1,FALSE))</f>
        <v>8.9139995570000004</v>
      </c>
      <c r="AX331">
        <f ca="1">IF(AND(ISNUMBER($AX$772),$B$419=1),$AX$772,HLOOKUP(INDIRECT(ADDRESS(2,COLUMN())),OFFSET($BN$2,0,0,ROW()-1,60),ROW()-1,FALSE))</f>
        <v>5.399</v>
      </c>
      <c r="AY331">
        <f ca="1">IF(AND(ISNUMBER($AY$772),$B$419=1),$AY$772,HLOOKUP(INDIRECT(ADDRESS(2,COLUMN())),OFFSET($BN$2,0,0,ROW()-1,60),ROW()-1,FALSE))</f>
        <v>10.573</v>
      </c>
      <c r="AZ331">
        <f ca="1">IF(AND(ISNUMBER($AZ$772),$B$419=1),$AZ$772,HLOOKUP(INDIRECT(ADDRESS(2,COLUMN())),OFFSET($BN$2,0,0,ROW()-1,60),ROW()-1,FALSE))</f>
        <v>113.374</v>
      </c>
      <c r="BA331">
        <f ca="1">IF(AND(ISNUMBER($BA$772),$B$419=1),$BA$772,HLOOKUP(INDIRECT(ADDRESS(2,COLUMN())),OFFSET($BN$2,0,0,ROW()-1,60),ROW()-1,FALSE))</f>
        <v>10.74600029</v>
      </c>
      <c r="BB331">
        <f ca="1">IF(AND(ISNUMBER($BB$772),$B$419=1),$BB$772,HLOOKUP(INDIRECT(ADDRESS(2,COLUMN())),OFFSET($BN$2,0,0,ROW()-1,60),ROW()-1,FALSE))</f>
        <v>4.1070000000000002</v>
      </c>
      <c r="BC331">
        <f ca="1">IF(AND(ISNUMBER($BC$772),$B$419=1),$BC$772,HLOOKUP(INDIRECT(ADDRESS(2,COLUMN())),OFFSET($BN$2,0,0,ROW()-1,60),ROW()-1,FALSE))</f>
        <v>65.703999999999994</v>
      </c>
      <c r="BD331">
        <f ca="1">IF(AND(ISNUMBER($BD$772),$B$419=1),$BD$772,HLOOKUP(INDIRECT(ADDRESS(2,COLUMN())),OFFSET($BN$2,0,0,ROW()-1,60),ROW()-1,FALSE))</f>
        <v>2.2439999579999999</v>
      </c>
      <c r="BE331">
        <f ca="1">IF(AND(ISNUMBER($BE$772),$B$419=1),$BE$772,HLOOKUP(INDIRECT(ADDRESS(2,COLUMN())),OFFSET($BN$2,0,0,ROW()-1,60),ROW()-1,FALSE))</f>
        <v>1.9479999539999999</v>
      </c>
      <c r="BF331">
        <f ca="1">IF(AND(ISNUMBER($BF$772),$B$419=1),$BF$772,HLOOKUP(INDIRECT(ADDRESS(2,COLUMN())),OFFSET($BN$2,0,0,ROW()-1,60),ROW()-1,FALSE))</f>
        <v>11.07600021</v>
      </c>
      <c r="BG331">
        <f ca="1">IF(AND(ISNUMBER($BG$772),$B$419=1),$BG$772,HLOOKUP(INDIRECT(ADDRESS(2,COLUMN())),OFFSET($BN$2,0,0,ROW()-1,60),ROW()-1,FALSE))</f>
        <v>2.141</v>
      </c>
      <c r="BH331">
        <f ca="1">IF(AND(ISNUMBER($BH$772),$B$419=1),$BH$772,HLOOKUP(INDIRECT(ADDRESS(2,COLUMN())),OFFSET($BN$2,0,0,ROW()-1,60),ROW()-1,FALSE))</f>
        <v>8.4830000000000005</v>
      </c>
      <c r="BI331">
        <f ca="1">IF(AND(ISNUMBER($BI$772),$B$419=1),$BI$772,HLOOKUP(INDIRECT(ADDRESS(2,COLUMN())),OFFSET($BN$2,0,0,ROW()-1,60),ROW()-1,FALSE))</f>
        <v>15.04</v>
      </c>
      <c r="BJ331">
        <f ca="1">IF(AND(ISNUMBER($BJ$772),$B$419=1),$BJ$772,HLOOKUP(INDIRECT(ADDRESS(2,COLUMN())),OFFSET($BN$2,0,0,ROW()-1,60),ROW()-1,FALSE))</f>
        <v>5.5500001909999996</v>
      </c>
      <c r="BK331">
        <f ca="1">IF(AND(ISNUMBER($BK$772),$B$419=1),$BK$772,HLOOKUP(INDIRECT(ADDRESS(2,COLUMN())),OFFSET($BN$2,0,0,ROW()-1,60),ROW()-1,FALSE))</f>
        <v>4.8369998929999998</v>
      </c>
      <c r="BL331">
        <f ca="1">IF(AND(ISNUMBER($BL$772),$B$419=1),$BL$772,HLOOKUP(INDIRECT(ADDRESS(2,COLUMN())),OFFSET($BN$2,0,0,ROW()-1,60),ROW()-1,FALSE))</f>
        <v>5.7090001109999999</v>
      </c>
      <c r="BM331">
        <f ca="1">IF(AND(ISNUMBER($BM$772),$B$419=1),$BM$772,HLOOKUP(INDIRECT(ADDRESS(2,COLUMN())),OFFSET($BN$2,0,0,ROW()-1,60),ROW()-1,FALSE))</f>
        <v>4.7189998629999996</v>
      </c>
      <c r="BN331" t="str">
        <f>""</f>
        <v/>
      </c>
      <c r="BO331">
        <f>6.898</f>
        <v>6.8979999999999997</v>
      </c>
      <c r="BP331">
        <f>3.199</f>
        <v>3.1989999999999998</v>
      </c>
      <c r="BQ331">
        <f>10.945</f>
        <v>10.945</v>
      </c>
      <c r="BR331">
        <f>27.598</f>
        <v>27.597999999999999</v>
      </c>
      <c r="BS331">
        <f>9.42</f>
        <v>9.42</v>
      </c>
      <c r="BT331">
        <f>29.801</f>
        <v>29.800999999999998</v>
      </c>
      <c r="BU331">
        <f>20.443</f>
        <v>20.443000000000001</v>
      </c>
      <c r="BV331">
        <f>8.695</f>
        <v>8.6950000000000003</v>
      </c>
      <c r="BW331">
        <f>40.294</f>
        <v>40.293999999999997</v>
      </c>
      <c r="BX331">
        <f>7.074</f>
        <v>7.0739999999999998</v>
      </c>
      <c r="BY331">
        <f>18.741</f>
        <v>18.741</v>
      </c>
      <c r="BZ331">
        <f>12.19</f>
        <v>12.19</v>
      </c>
      <c r="CA331">
        <f>3.852</f>
        <v>3.8519999999999999</v>
      </c>
      <c r="CB331">
        <f>16.936</f>
        <v>16.936</v>
      </c>
      <c r="CC331">
        <f>8.908</f>
        <v>8.9079999999999995</v>
      </c>
      <c r="CD331">
        <f>14.142</f>
        <v>14.141999999999999</v>
      </c>
      <c r="CE331">
        <f>10.257</f>
        <v>10.257</v>
      </c>
      <c r="CF331">
        <f>9.96</f>
        <v>9.9600000000000009</v>
      </c>
      <c r="CG331">
        <f>22.575</f>
        <v>22.574999999999999</v>
      </c>
      <c r="CH331">
        <f>4.159</f>
        <v>4.1589999999999998</v>
      </c>
      <c r="CI331">
        <f>5.248</f>
        <v>5.2480000000000002</v>
      </c>
      <c r="CJ331">
        <f>2.794</f>
        <v>2.794</v>
      </c>
      <c r="CK331">
        <f>6.064</f>
        <v>6.0640000000000001</v>
      </c>
      <c r="CL331">
        <f>5.194</f>
        <v>5.194</v>
      </c>
      <c r="CM331">
        <f>4.165</f>
        <v>4.165</v>
      </c>
      <c r="CN331">
        <f>5.543</f>
        <v>5.5430000000000001</v>
      </c>
      <c r="CO331">
        <f>155.671</f>
        <v>155.67099999999999</v>
      </c>
      <c r="CP331">
        <f>129.707</f>
        <v>129.70699999999999</v>
      </c>
      <c r="CQ331">
        <f>17.607</f>
        <v>17.606999999999999</v>
      </c>
      <c r="CR331">
        <f>155.582</f>
        <v>155.58199999999999</v>
      </c>
      <c r="CS331">
        <f>0.872</f>
        <v>0.872</v>
      </c>
      <c r="CT331">
        <f>0.849</f>
        <v>0.84899999999999998</v>
      </c>
      <c r="CU331">
        <f>10.026</f>
        <v>10.026</v>
      </c>
      <c r="CV331">
        <f>20.042</f>
        <v>20.042000000000002</v>
      </c>
      <c r="CW331">
        <f>35.823</f>
        <v>35.823</v>
      </c>
      <c r="CX331">
        <f>10.438</f>
        <v>10.438000000000001</v>
      </c>
      <c r="CY331">
        <f>46.815</f>
        <v>46.814999999999998</v>
      </c>
      <c r="CZ331">
        <f>112.562</f>
        <v>112.562</v>
      </c>
      <c r="DA331">
        <f>39.373</f>
        <v>39.372999999999998</v>
      </c>
      <c r="DB331">
        <f>13.343</f>
        <v>13.343</v>
      </c>
      <c r="DC331">
        <f>193.101</f>
        <v>193.101</v>
      </c>
      <c r="DD331">
        <f>266.6440125</f>
        <v>266.64401249999997</v>
      </c>
      <c r="DE331">
        <f>8.913999557</f>
        <v>8.9139995570000004</v>
      </c>
      <c r="DF331">
        <f>5.399</f>
        <v>5.399</v>
      </c>
      <c r="DG331">
        <f>10.573</f>
        <v>10.573</v>
      </c>
      <c r="DH331">
        <f>113.374</f>
        <v>113.374</v>
      </c>
      <c r="DI331">
        <f>10.74600029</f>
        <v>10.74600029</v>
      </c>
      <c r="DJ331">
        <f>4.107</f>
        <v>4.1070000000000002</v>
      </c>
      <c r="DK331">
        <f>65.704</f>
        <v>65.703999999999994</v>
      </c>
      <c r="DL331">
        <f>2.243999958</f>
        <v>2.2439999579999999</v>
      </c>
      <c r="DM331">
        <f>1.947999954</f>
        <v>1.9479999539999999</v>
      </c>
      <c r="DN331">
        <f>11.07600021</f>
        <v>11.07600021</v>
      </c>
      <c r="DO331">
        <f>2.141</f>
        <v>2.141</v>
      </c>
      <c r="DP331">
        <f>8.483</f>
        <v>8.4830000000000005</v>
      </c>
      <c r="DQ331">
        <f>15.04</f>
        <v>15.04</v>
      </c>
      <c r="DR331">
        <f>5.550000191</f>
        <v>5.5500001909999996</v>
      </c>
      <c r="DS331">
        <f>4.836999893</f>
        <v>4.8369998929999998</v>
      </c>
      <c r="DT331">
        <f>5.709000111</f>
        <v>5.7090001109999999</v>
      </c>
      <c r="DU331">
        <f>4.718999863</f>
        <v>4.7189998629999996</v>
      </c>
    </row>
    <row r="332" spans="1:125">
      <c r="A332" t="str">
        <f>"    Regency Centers Corp"</f>
        <v xml:space="preserve">    Regency Centers Corp</v>
      </c>
      <c r="B332" t="str">
        <f>"REG US Equity"</f>
        <v>REG US Equity</v>
      </c>
      <c r="C332" t="str">
        <f t="shared" si="60"/>
        <v>RR253</v>
      </c>
      <c r="D332" t="str">
        <f t="shared" si="61"/>
        <v>CASH_AND_MARKETABLE_SECURITIES</v>
      </c>
      <c r="E332" t="str">
        <f t="shared" si="62"/>
        <v>动态</v>
      </c>
      <c r="F332" t="str">
        <f ca="1">IF(AND(ISNUMBER($F$773),$B$419=1),$F$773,HLOOKUP(INDIRECT(ADDRESS(2,COLUMN())),OFFSET($BN$2,0,0,ROW()-1,60),ROW()-1,FALSE))</f>
        <v/>
      </c>
      <c r="G332">
        <f ca="1">IF(AND(ISNUMBER($G$773),$B$419=1),$G$773,HLOOKUP(INDIRECT(ADDRESS(2,COLUMN())),OFFSET($BN$2,0,0,ROW()-1,60),ROW()-1,FALSE))</f>
        <v>45.37</v>
      </c>
      <c r="H332">
        <f ca="1">IF(AND(ISNUMBER($H$773),$B$419=1),$H$773,HLOOKUP(INDIRECT(ADDRESS(2,COLUMN())),OFFSET($BN$2,0,0,ROW()-1,60),ROW()-1,FALSE))</f>
        <v>23.542999999999999</v>
      </c>
      <c r="I332">
        <f ca="1">IF(AND(ISNUMBER($I$773),$B$419=1),$I$773,HLOOKUP(INDIRECT(ADDRESS(2,COLUMN())),OFFSET($BN$2,0,0,ROW()-1,60),ROW()-1,FALSE))</f>
        <v>97.266000000000005</v>
      </c>
      <c r="J332">
        <f ca="1">IF(AND(ISNUMBER($J$773),$B$419=1),$J$773,HLOOKUP(INDIRECT(ADDRESS(2,COLUMN())),OFFSET($BN$2,0,0,ROW()-1,60),ROW()-1,FALSE))</f>
        <v>36.854999999999997</v>
      </c>
      <c r="K332">
        <f ca="1">IF(AND(ISNUMBER($K$773),$B$419=1),$K$773,HLOOKUP(INDIRECT(ADDRESS(2,COLUMN())),OFFSET($BN$2,0,0,ROW()-1,60),ROW()-1,FALSE))</f>
        <v>13.256</v>
      </c>
      <c r="L332">
        <f ca="1">IF(AND(ISNUMBER($L$773),$B$419=1),$L$773,HLOOKUP(INDIRECT(ADDRESS(2,COLUMN())),OFFSET($BN$2,0,0,ROW()-1,60),ROW()-1,FALSE))</f>
        <v>40.902000000000001</v>
      </c>
      <c r="M332">
        <f ca="1">IF(AND(ISNUMBER($M$773),$B$419=1),$M$773,HLOOKUP(INDIRECT(ADDRESS(2,COLUMN())),OFFSET($BN$2,0,0,ROW()-1,60),ROW()-1,FALSE))</f>
        <v>24.939</v>
      </c>
      <c r="N332">
        <f ca="1">IF(AND(ISNUMBER($N$773),$B$419=1),$N$773,HLOOKUP(INDIRECT(ADDRESS(2,COLUMN())),OFFSET($BN$2,0,0,ROW()-1,60),ROW()-1,FALSE))</f>
        <v>27.137</v>
      </c>
      <c r="O332">
        <f ca="1">IF(AND(ISNUMBER($O$773),$B$419=1),$O$773,HLOOKUP(INDIRECT(ADDRESS(2,COLUMN())),OFFSET($BN$2,0,0,ROW()-1,60),ROW()-1,FALSE))</f>
        <v>36.856000000000002</v>
      </c>
      <c r="P332">
        <f ca="1">IF(AND(ISNUMBER($P$773),$B$419=1),$P$773,HLOOKUP(INDIRECT(ADDRESS(2,COLUMN())),OFFSET($BN$2,0,0,ROW()-1,60),ROW()-1,FALSE))</f>
        <v>23.88</v>
      </c>
      <c r="Q332">
        <f ca="1">IF(AND(ISNUMBER($Q$773),$B$419=1),$Q$773,HLOOKUP(INDIRECT(ADDRESS(2,COLUMN())),OFFSET($BN$2,0,0,ROW()-1,60),ROW()-1,FALSE))</f>
        <v>27.114000000000001</v>
      </c>
      <c r="R332">
        <f ca="1">IF(AND(ISNUMBER($R$773),$B$419=1),$R$773,HLOOKUP(INDIRECT(ADDRESS(2,COLUMN())),OFFSET($BN$2,0,0,ROW()-1,60),ROW()-1,FALSE))</f>
        <v>36.488999999999997</v>
      </c>
      <c r="S332">
        <f ca="1">IF(AND(ISNUMBER($S$773),$B$419=1),$S$773,HLOOKUP(INDIRECT(ADDRESS(2,COLUMN())),OFFSET($BN$2,0,0,ROW()-1,60),ROW()-1,FALSE))</f>
        <v>113.776</v>
      </c>
      <c r="T332">
        <f ca="1">IF(AND(ISNUMBER($T$773),$B$419=1),$T$773,HLOOKUP(INDIRECT(ADDRESS(2,COLUMN())),OFFSET($BN$2,0,0,ROW()-1,60),ROW()-1,FALSE))</f>
        <v>100.708</v>
      </c>
      <c r="U332">
        <f ca="1">IF(AND(ISNUMBER($U$773),$B$419=1),$U$773,HLOOKUP(INDIRECT(ADDRESS(2,COLUMN())),OFFSET($BN$2,0,0,ROW()-1,60),ROW()-1,FALSE))</f>
        <v>36.735999999999997</v>
      </c>
      <c r="V332">
        <f ca="1">IF(AND(ISNUMBER($V$773),$B$419=1),$V$773,HLOOKUP(INDIRECT(ADDRESS(2,COLUMN())),OFFSET($BN$2,0,0,ROW()-1,60),ROW()-1,FALSE))</f>
        <v>35.158999999999999</v>
      </c>
      <c r="W332">
        <f ca="1">IF(AND(ISNUMBER($W$773),$B$419=1),$W$773,HLOOKUP(INDIRECT(ADDRESS(2,COLUMN())),OFFSET($BN$2,0,0,ROW()-1,60),ROW()-1,FALSE))</f>
        <v>80.683999999999997</v>
      </c>
      <c r="X332">
        <f ca="1">IF(AND(ISNUMBER($X$773),$B$419=1),$X$773,HLOOKUP(INDIRECT(ADDRESS(2,COLUMN())),OFFSET($BN$2,0,0,ROW()-1,60),ROW()-1,FALSE))</f>
        <v>62.701999999999998</v>
      </c>
      <c r="Y332">
        <f ca="1">IF(AND(ISNUMBER($Y$773),$B$419=1),$Y$773,HLOOKUP(INDIRECT(ADDRESS(2,COLUMN())),OFFSET($BN$2,0,0,ROW()-1,60),ROW()-1,FALSE))</f>
        <v>59.143000000000001</v>
      </c>
      <c r="Z332">
        <f ca="1">IF(AND(ISNUMBER($Z$773),$B$419=1),$Z$773,HLOOKUP(INDIRECT(ADDRESS(2,COLUMN())),OFFSET($BN$2,0,0,ROW()-1,60),ROW()-1,FALSE))</f>
        <v>22.402000000000001</v>
      </c>
      <c r="AA332">
        <f ca="1">IF(AND(ISNUMBER($AA$773),$B$419=1),$AA$773,HLOOKUP(INDIRECT(ADDRESS(2,COLUMN())),OFFSET($BN$2,0,0,ROW()-1,60),ROW()-1,FALSE))</f>
        <v>22.349</v>
      </c>
      <c r="AB332">
        <f ca="1">IF(AND(ISNUMBER($AB$773),$B$419=1),$AB$773,HLOOKUP(INDIRECT(ADDRESS(2,COLUMN())),OFFSET($BN$2,0,0,ROW()-1,60),ROW()-1,FALSE))</f>
        <v>21.35</v>
      </c>
      <c r="AC332">
        <f ca="1">IF(AND(ISNUMBER($AC$773),$B$419=1),$AC$773,HLOOKUP(INDIRECT(ADDRESS(2,COLUMN())),OFFSET($BN$2,0,0,ROW()-1,60),ROW()-1,FALSE))</f>
        <v>23.03</v>
      </c>
      <c r="AD332">
        <f ca="1">IF(AND(ISNUMBER($AD$773),$B$419=1),$AD$773,HLOOKUP(INDIRECT(ADDRESS(2,COLUMN())),OFFSET($BN$2,0,0,ROW()-1,60),ROW()-1,FALSE))</f>
        <v>27.114999999999998</v>
      </c>
      <c r="AE332">
        <f ca="1">IF(AND(ISNUMBER($AE$773),$B$419=1),$AE$773,HLOOKUP(INDIRECT(ADDRESS(2,COLUMN())),OFFSET($BN$2,0,0,ROW()-1,60),ROW()-1,FALSE))</f>
        <v>11.401999999999999</v>
      </c>
      <c r="AF332">
        <f ca="1">IF(AND(ISNUMBER($AF$773),$B$419=1),$AF$773,HLOOKUP(INDIRECT(ADDRESS(2,COLUMN())),OFFSET($BN$2,0,0,ROW()-1,60),ROW()-1,FALSE))</f>
        <v>21.195</v>
      </c>
      <c r="AG332">
        <f ca="1">IF(AND(ISNUMBER($AG$773),$B$419=1),$AG$773,HLOOKUP(INDIRECT(ADDRESS(2,COLUMN())),OFFSET($BN$2,0,0,ROW()-1,60),ROW()-1,FALSE))</f>
        <v>18.408000000000001</v>
      </c>
      <c r="AH332">
        <f ca="1">IF(AND(ISNUMBER($AH$773),$B$419=1),$AH$773,HLOOKUP(INDIRECT(ADDRESS(2,COLUMN())),OFFSET($BN$2,0,0,ROW()-1,60),ROW()-1,FALSE))</f>
        <v>65.763999999999996</v>
      </c>
      <c r="AI332">
        <f ca="1">IF(AND(ISNUMBER($AI$773),$B$419=1),$AI$773,HLOOKUP(INDIRECT(ADDRESS(2,COLUMN())),OFFSET($BN$2,0,0,ROW()-1,60),ROW()-1,FALSE))</f>
        <v>17.061</v>
      </c>
      <c r="AJ332">
        <f ca="1">IF(AND(ISNUMBER($AJ$773),$B$419=1),$AJ$773,HLOOKUP(INDIRECT(ADDRESS(2,COLUMN())),OFFSET($BN$2,0,0,ROW()-1,60),ROW()-1,FALSE))</f>
        <v>38.838000000000001</v>
      </c>
      <c r="AK332">
        <f ca="1">IF(AND(ISNUMBER($AK$773),$B$419=1),$AK$773,HLOOKUP(INDIRECT(ADDRESS(2,COLUMN())),OFFSET($BN$2,0,0,ROW()-1,60),ROW()-1,FALSE))</f>
        <v>106.43300000000001</v>
      </c>
      <c r="AL332">
        <f ca="1">IF(AND(ISNUMBER($AL$773),$B$419=1),$AL$773,HLOOKUP(INDIRECT(ADDRESS(2,COLUMN())),OFFSET($BN$2,0,0,ROW()-1,60),ROW()-1,FALSE))</f>
        <v>119.538</v>
      </c>
      <c r="AM332">
        <f ca="1">IF(AND(ISNUMBER($AM$773),$B$419=1),$AM$773,HLOOKUP(INDIRECT(ADDRESS(2,COLUMN())),OFFSET($BN$2,0,0,ROW()-1,60),ROW()-1,FALSE))</f>
        <v>99.477000000000004</v>
      </c>
      <c r="AN332">
        <f ca="1">IF(AND(ISNUMBER($AN$773),$B$419=1),$AN$773,HLOOKUP(INDIRECT(ADDRESS(2,COLUMN())),OFFSET($BN$2,0,0,ROW()-1,60),ROW()-1,FALSE))</f>
        <v>173.798</v>
      </c>
      <c r="AO332">
        <f ca="1">IF(AND(ISNUMBER($AO$773),$B$419=1),$AO$773,HLOOKUP(INDIRECT(ADDRESS(2,COLUMN())),OFFSET($BN$2,0,0,ROW()-1,60),ROW()-1,FALSE))</f>
        <v>126.792</v>
      </c>
      <c r="AP332">
        <f ca="1">IF(AND(ISNUMBER($AP$773),$B$419=1),$AP$773,HLOOKUP(INDIRECT(ADDRESS(2,COLUMN())),OFFSET($BN$2,0,0,ROW()-1,60),ROW()-1,FALSE))</f>
        <v>24.669</v>
      </c>
      <c r="AQ332">
        <f ca="1">IF(AND(ISNUMBER($AQ$773),$B$419=1),$AQ$773,HLOOKUP(INDIRECT(ADDRESS(2,COLUMN())),OFFSET($BN$2,0,0,ROW()-1,60),ROW()-1,FALSE))</f>
        <v>21.533000000000001</v>
      </c>
      <c r="AR332">
        <f ca="1">IF(AND(ISNUMBER($AR$773),$B$419=1),$AR$773,HLOOKUP(INDIRECT(ADDRESS(2,COLUMN())),OFFSET($BN$2,0,0,ROW()-1,60),ROW()-1,FALSE))</f>
        <v>25.777000000000001</v>
      </c>
      <c r="AS332">
        <f ca="1">IF(AND(ISNUMBER($AS$773),$B$419=1),$AS$773,HLOOKUP(INDIRECT(ADDRESS(2,COLUMN())),OFFSET($BN$2,0,0,ROW()-1,60),ROW()-1,FALSE))</f>
        <v>41.603999999999999</v>
      </c>
      <c r="AT332">
        <f ca="1">IF(AND(ISNUMBER($AT$773),$B$419=1),$AT$773,HLOOKUP(INDIRECT(ADDRESS(2,COLUMN())),OFFSET($BN$2,0,0,ROW()-1,60),ROW()-1,FALSE))</f>
        <v>29.212</v>
      </c>
      <c r="AU332">
        <f ca="1">IF(AND(ISNUMBER($AU$773),$B$419=1),$AU$773,HLOOKUP(INDIRECT(ADDRESS(2,COLUMN())),OFFSET($BN$2,0,0,ROW()-1,60),ROW()-1,FALSE))</f>
        <v>18.667999999999999</v>
      </c>
      <c r="AV332">
        <f ca="1">IF(AND(ISNUMBER($AV$773),$B$419=1),$AV$773,HLOOKUP(INDIRECT(ADDRESS(2,COLUMN())),OFFSET($BN$2,0,0,ROW()-1,60),ROW()-1,FALSE))</f>
        <v>33.570999999999998</v>
      </c>
      <c r="AW332">
        <f ca="1">IF(AND(ISNUMBER($AW$773),$B$419=1),$AW$773,HLOOKUP(INDIRECT(ADDRESS(2,COLUMN())),OFFSET($BN$2,0,0,ROW()-1,60),ROW()-1,FALSE))</f>
        <v>55.094999999999999</v>
      </c>
      <c r="AX332">
        <f ca="1">IF(AND(ISNUMBER($AX$773),$B$419=1),$AX$773,HLOOKUP(INDIRECT(ADDRESS(2,COLUMN())),OFFSET($BN$2,0,0,ROW()-1,60),ROW()-1,FALSE))</f>
        <v>29.164000000000001</v>
      </c>
      <c r="AY332">
        <f ca="1">IF(AND(ISNUMBER($AY$773),$B$419=1),$AY$773,HLOOKUP(INDIRECT(ADDRESS(2,COLUMN())),OFFSET($BN$2,0,0,ROW()-1,60),ROW()-1,FALSE))</f>
        <v>34.045999999999999</v>
      </c>
      <c r="AZ332">
        <f ca="1">IF(AND(ISNUMBER($AZ$773),$B$419=1),$AZ$773,HLOOKUP(INDIRECT(ADDRESS(2,COLUMN())),OFFSET($BN$2,0,0,ROW()-1,60),ROW()-1,FALSE))</f>
        <v>38.36</v>
      </c>
      <c r="BA332">
        <f ca="1">IF(AND(ISNUMBER($BA$773),$B$419=1),$BA$773,HLOOKUP(INDIRECT(ADDRESS(2,COLUMN())),OFFSET($BN$2,0,0,ROW()-1,60),ROW()-1,FALSE))</f>
        <v>36.594000000000001</v>
      </c>
      <c r="BB332">
        <f ca="1">IF(AND(ISNUMBER($BB$773),$B$419=1),$BB$773,HLOOKUP(INDIRECT(ADDRESS(2,COLUMN())),OFFSET($BN$2,0,0,ROW()-1,60),ROW()-1,FALSE))</f>
        <v>88.055999999999997</v>
      </c>
      <c r="BC332">
        <f ca="1">IF(AND(ISNUMBER($BC$773),$B$419=1),$BC$773,HLOOKUP(INDIRECT(ADDRESS(2,COLUMN())),OFFSET($BN$2,0,0,ROW()-1,60),ROW()-1,FALSE))</f>
        <v>42.457999999999998</v>
      </c>
      <c r="BD332">
        <f ca="1">IF(AND(ISNUMBER($BD$773),$B$419=1),$BD$773,HLOOKUP(INDIRECT(ADDRESS(2,COLUMN())),OFFSET($BN$2,0,0,ROW()-1,60),ROW()-1,FALSE))</f>
        <v>31.231999999999999</v>
      </c>
      <c r="BE332">
        <f ca="1">IF(AND(ISNUMBER($BE$773),$B$419=1),$BE$773,HLOOKUP(INDIRECT(ADDRESS(2,COLUMN())),OFFSET($BN$2,0,0,ROW()-1,60),ROW()-1,FALSE))</f>
        <v>26.251999999999999</v>
      </c>
      <c r="BF332">
        <f ca="1">IF(AND(ISNUMBER($BF$773),$B$419=1),$BF$773,HLOOKUP(INDIRECT(ADDRESS(2,COLUMN())),OFFSET($BN$2,0,0,ROW()-1,60),ROW()-1,FALSE))</f>
        <v>53.591000000000001</v>
      </c>
      <c r="BG332">
        <f ca="1">IF(AND(ISNUMBER($BG$773),$B$419=1),$BG$773,HLOOKUP(INDIRECT(ADDRESS(2,COLUMN())),OFFSET($BN$2,0,0,ROW()-1,60),ROW()-1,FALSE))</f>
        <v>95.32</v>
      </c>
      <c r="BH332">
        <f ca="1">IF(AND(ISNUMBER($BH$773),$B$419=1),$BH$773,HLOOKUP(INDIRECT(ADDRESS(2,COLUMN())),OFFSET($BN$2,0,0,ROW()-1,60),ROW()-1,FALSE))</f>
        <v>50.180999999999997</v>
      </c>
      <c r="BI332">
        <f ca="1">IF(AND(ISNUMBER($BI$773),$B$419=1),$BI$773,HLOOKUP(INDIRECT(ADDRESS(2,COLUMN())),OFFSET($BN$2,0,0,ROW()-1,60),ROW()-1,FALSE))</f>
        <v>5.38</v>
      </c>
      <c r="BJ332">
        <f ca="1">IF(AND(ISNUMBER($BJ$773),$B$419=1),$BJ$773,HLOOKUP(INDIRECT(ADDRESS(2,COLUMN())),OFFSET($BN$2,0,0,ROW()-1,60),ROW()-1,FALSE))</f>
        <v>43.537998000000002</v>
      </c>
      <c r="BK332">
        <f ca="1">IF(AND(ISNUMBER($BK$773),$B$419=1),$BK$773,HLOOKUP(INDIRECT(ADDRESS(2,COLUMN())),OFFSET($BN$2,0,0,ROW()-1,60),ROW()-1,FALSE))</f>
        <v>29.868999479999999</v>
      </c>
      <c r="BL332">
        <f ca="1">IF(AND(ISNUMBER($BL$773),$B$419=1),$BL$773,HLOOKUP(INDIRECT(ADDRESS(2,COLUMN())),OFFSET($BN$2,0,0,ROW()-1,60),ROW()-1,FALSE))</f>
        <v>45.887999999999998</v>
      </c>
      <c r="BM332" t="str">
        <f ca="1">IF(AND(ISNUMBER($BM$773),$B$419=1),$BM$773,HLOOKUP(INDIRECT(ADDRESS(2,COLUMN())),OFFSET($BN$2,0,0,ROW()-1,60),ROW()-1,FALSE))</f>
        <v/>
      </c>
      <c r="BN332" t="str">
        <f>""</f>
        <v/>
      </c>
      <c r="BO332">
        <f>45.37</f>
        <v>45.37</v>
      </c>
      <c r="BP332">
        <f>23.543</f>
        <v>23.542999999999999</v>
      </c>
      <c r="BQ332">
        <f>97.266</f>
        <v>97.266000000000005</v>
      </c>
      <c r="BR332">
        <f>36.855</f>
        <v>36.854999999999997</v>
      </c>
      <c r="BS332">
        <f>13.256</f>
        <v>13.256</v>
      </c>
      <c r="BT332">
        <f>40.902</f>
        <v>40.902000000000001</v>
      </c>
      <c r="BU332">
        <f>24.939</f>
        <v>24.939</v>
      </c>
      <c r="BV332">
        <f>27.137</f>
        <v>27.137</v>
      </c>
      <c r="BW332">
        <f>36.856</f>
        <v>36.856000000000002</v>
      </c>
      <c r="BX332">
        <f>23.88</f>
        <v>23.88</v>
      </c>
      <c r="BY332">
        <f>27.114</f>
        <v>27.114000000000001</v>
      </c>
      <c r="BZ332">
        <f>36.489</f>
        <v>36.488999999999997</v>
      </c>
      <c r="CA332">
        <f>113.776</f>
        <v>113.776</v>
      </c>
      <c r="CB332">
        <f>100.708</f>
        <v>100.708</v>
      </c>
      <c r="CC332">
        <f>36.736</f>
        <v>36.735999999999997</v>
      </c>
      <c r="CD332">
        <f>35.159</f>
        <v>35.158999999999999</v>
      </c>
      <c r="CE332">
        <f>80.684</f>
        <v>80.683999999999997</v>
      </c>
      <c r="CF332">
        <f>62.702</f>
        <v>62.701999999999998</v>
      </c>
      <c r="CG332">
        <f>59.143</f>
        <v>59.143000000000001</v>
      </c>
      <c r="CH332">
        <f>22.402</f>
        <v>22.402000000000001</v>
      </c>
      <c r="CI332">
        <f>22.349</f>
        <v>22.349</v>
      </c>
      <c r="CJ332">
        <f>21.35</f>
        <v>21.35</v>
      </c>
      <c r="CK332">
        <f>23.03</f>
        <v>23.03</v>
      </c>
      <c r="CL332">
        <f>27.115</f>
        <v>27.114999999999998</v>
      </c>
      <c r="CM332">
        <f>11.402</f>
        <v>11.401999999999999</v>
      </c>
      <c r="CN332">
        <f>21.195</f>
        <v>21.195</v>
      </c>
      <c r="CO332">
        <f>18.408</f>
        <v>18.408000000000001</v>
      </c>
      <c r="CP332">
        <f>65.764</f>
        <v>65.763999999999996</v>
      </c>
      <c r="CQ332">
        <f>17.061</f>
        <v>17.061</v>
      </c>
      <c r="CR332">
        <f>38.838</f>
        <v>38.838000000000001</v>
      </c>
      <c r="CS332">
        <f>106.433</f>
        <v>106.43300000000001</v>
      </c>
      <c r="CT332">
        <f>119.538</f>
        <v>119.538</v>
      </c>
      <c r="CU332">
        <f>99.477</f>
        <v>99.477000000000004</v>
      </c>
      <c r="CV332">
        <f>173.798</f>
        <v>173.798</v>
      </c>
      <c r="CW332">
        <f>126.792</f>
        <v>126.792</v>
      </c>
      <c r="CX332">
        <f>24.669</f>
        <v>24.669</v>
      </c>
      <c r="CY332">
        <f>21.533</f>
        <v>21.533000000000001</v>
      </c>
      <c r="CZ332">
        <f>25.777</f>
        <v>25.777000000000001</v>
      </c>
      <c r="DA332">
        <f>41.604</f>
        <v>41.603999999999999</v>
      </c>
      <c r="DB332">
        <f>29.212</f>
        <v>29.212</v>
      </c>
      <c r="DC332">
        <f>18.668</f>
        <v>18.667999999999999</v>
      </c>
      <c r="DD332">
        <f>33.571</f>
        <v>33.570999999999998</v>
      </c>
      <c r="DE332">
        <f>55.095</f>
        <v>55.094999999999999</v>
      </c>
      <c r="DF332">
        <f>29.164</f>
        <v>29.164000000000001</v>
      </c>
      <c r="DG332">
        <f>34.046</f>
        <v>34.045999999999999</v>
      </c>
      <c r="DH332">
        <f>38.36</f>
        <v>38.36</v>
      </c>
      <c r="DI332">
        <f>36.594</f>
        <v>36.594000000000001</v>
      </c>
      <c r="DJ332">
        <f>88.056</f>
        <v>88.055999999999997</v>
      </c>
      <c r="DK332">
        <f>42.458</f>
        <v>42.457999999999998</v>
      </c>
      <c r="DL332">
        <f>31.232</f>
        <v>31.231999999999999</v>
      </c>
      <c r="DM332">
        <f>26.252</f>
        <v>26.251999999999999</v>
      </c>
      <c r="DN332">
        <f>53.591</f>
        <v>53.591000000000001</v>
      </c>
      <c r="DO332">
        <f>95.32</f>
        <v>95.32</v>
      </c>
      <c r="DP332">
        <f>50.181</f>
        <v>50.180999999999997</v>
      </c>
      <c r="DQ332">
        <f>5.38</f>
        <v>5.38</v>
      </c>
      <c r="DR332">
        <f>43.537998</f>
        <v>43.537998000000002</v>
      </c>
      <c r="DS332">
        <f>29.86899948</f>
        <v>29.868999479999999</v>
      </c>
      <c r="DT332">
        <f>45.888</f>
        <v>45.887999999999998</v>
      </c>
      <c r="DU332" t="str">
        <f>""</f>
        <v/>
      </c>
    </row>
    <row r="333" spans="1:125">
      <c r="A333" t="str">
        <f>"    Retail Opportunity Investments"</f>
        <v xml:space="preserve">    Retail Opportunity Investments</v>
      </c>
      <c r="B333" t="str">
        <f>"ROIC US Equity"</f>
        <v>ROIC US Equity</v>
      </c>
      <c r="C333" t="str">
        <f t="shared" si="60"/>
        <v>RR253</v>
      </c>
      <c r="D333" t="str">
        <f t="shared" si="61"/>
        <v>CASH_AND_MARKETABLE_SECURITIES</v>
      </c>
      <c r="E333" t="str">
        <f t="shared" si="62"/>
        <v>动态</v>
      </c>
      <c r="F333" t="str">
        <f ca="1">IF(AND(ISNUMBER($F$774),$B$419=1),$F$774,HLOOKUP(INDIRECT(ADDRESS(2,COLUMN())),OFFSET($BN$2,0,0,ROW()-1,60),ROW()-1,FALSE))</f>
        <v/>
      </c>
      <c r="G333">
        <f ca="1">IF(AND(ISNUMBER($G$774),$B$419=1),$G$774,HLOOKUP(INDIRECT(ADDRESS(2,COLUMN())),OFFSET($BN$2,0,0,ROW()-1,60),ROW()-1,FALSE))</f>
        <v>11.553000000000001</v>
      </c>
      <c r="H333">
        <f ca="1">IF(AND(ISNUMBER($H$774),$B$419=1),$H$774,HLOOKUP(INDIRECT(ADDRESS(2,COLUMN())),OFFSET($BN$2,0,0,ROW()-1,60),ROW()-1,FALSE))</f>
        <v>10.073</v>
      </c>
      <c r="I333">
        <f ca="1">IF(AND(ISNUMBER($I$774),$B$419=1),$I$774,HLOOKUP(INDIRECT(ADDRESS(2,COLUMN())),OFFSET($BN$2,0,0,ROW()-1,60),ROW()-1,FALSE))</f>
        <v>11.407999999999999</v>
      </c>
      <c r="J333">
        <f ca="1">IF(AND(ISNUMBER($J$774),$B$419=1),$J$774,HLOOKUP(INDIRECT(ADDRESS(2,COLUMN())),OFFSET($BN$2,0,0,ROW()-1,60),ROW()-1,FALSE))</f>
        <v>19.43</v>
      </c>
      <c r="K333">
        <f ca="1">IF(AND(ISNUMBER($K$774),$B$419=1),$K$774,HLOOKUP(INDIRECT(ADDRESS(2,COLUMN())),OFFSET($BN$2,0,0,ROW()-1,60),ROW()-1,FALSE))</f>
        <v>13.125</v>
      </c>
      <c r="L333">
        <f ca="1">IF(AND(ISNUMBER($L$774),$B$419=1),$L$774,HLOOKUP(INDIRECT(ADDRESS(2,COLUMN())),OFFSET($BN$2,0,0,ROW()-1,60),ROW()-1,FALSE))</f>
        <v>10.446999999999999</v>
      </c>
      <c r="M333">
        <f ca="1">IF(AND(ISNUMBER($M$774),$B$419=1),$M$774,HLOOKUP(INDIRECT(ADDRESS(2,COLUMN())),OFFSET($BN$2,0,0,ROW()-1,60),ROW()-1,FALSE))</f>
        <v>17.535</v>
      </c>
      <c r="N333">
        <f ca="1">IF(AND(ISNUMBER($N$774),$B$419=1),$N$774,HLOOKUP(INDIRECT(ADDRESS(2,COLUMN())),OFFSET($BN$2,0,0,ROW()-1,60),ROW()-1,FALSE))</f>
        <v>14.987</v>
      </c>
      <c r="O333">
        <f ca="1">IF(AND(ISNUMBER($O$774),$B$419=1),$O$774,HLOOKUP(INDIRECT(ADDRESS(2,COLUMN())),OFFSET($BN$2,0,0,ROW()-1,60),ROW()-1,FALSE))</f>
        <v>8.8439999999999994</v>
      </c>
      <c r="P333">
        <f ca="1">IF(AND(ISNUMBER($P$774),$B$419=1),$P$774,HLOOKUP(INDIRECT(ADDRESS(2,COLUMN())),OFFSET($BN$2,0,0,ROW()-1,60),ROW()-1,FALSE))</f>
        <v>6.9530000000000003</v>
      </c>
      <c r="Q333">
        <f ca="1">IF(AND(ISNUMBER($Q$774),$B$419=1),$Q$774,HLOOKUP(INDIRECT(ADDRESS(2,COLUMN())),OFFSET($BN$2,0,0,ROW()-1,60),ROW()-1,FALSE))</f>
        <v>7.5410000000000004</v>
      </c>
      <c r="R333">
        <f ca="1">IF(AND(ISNUMBER($R$774),$B$419=1),$R$774,HLOOKUP(INDIRECT(ADDRESS(2,COLUMN())),OFFSET($BN$2,0,0,ROW()-1,60),ROW()-1,FALSE))</f>
        <v>11.683</v>
      </c>
      <c r="S333">
        <f ca="1">IF(AND(ISNUMBER($S$774),$B$419=1),$S$774,HLOOKUP(INDIRECT(ADDRESS(2,COLUMN())),OFFSET($BN$2,0,0,ROW()-1,60),ROW()-1,FALSE))</f>
        <v>10.773406</v>
      </c>
      <c r="T333">
        <f ca="1">IF(AND(ISNUMBER($T$774),$B$419=1),$T$774,HLOOKUP(INDIRECT(ADDRESS(2,COLUMN())),OFFSET($BN$2,0,0,ROW()-1,60),ROW()-1,FALSE))</f>
        <v>10.996029999999999</v>
      </c>
      <c r="U333">
        <f ca="1">IF(AND(ISNUMBER($U$774),$B$419=1),$U$774,HLOOKUP(INDIRECT(ADDRESS(2,COLUMN())),OFFSET($BN$2,0,0,ROW()-1,60),ROW()-1,FALSE))</f>
        <v>9.5379450000000006</v>
      </c>
      <c r="V333">
        <f ca="1">IF(AND(ISNUMBER($V$774),$B$419=1),$V$774,HLOOKUP(INDIRECT(ADDRESS(2,COLUMN())),OFFSET($BN$2,0,0,ROW()-1,60),ROW()-1,FALSE))</f>
        <v>12.764578999999999</v>
      </c>
      <c r="W333">
        <f ca="1">IF(AND(ISNUMBER($W$774),$B$419=1),$W$774,HLOOKUP(INDIRECT(ADDRESS(2,COLUMN())),OFFSET($BN$2,0,0,ROW()-1,60),ROW()-1,FALSE))</f>
        <v>7.9196970000000002</v>
      </c>
      <c r="X333">
        <f ca="1">IF(AND(ISNUMBER($X$774),$B$419=1),$X$774,HLOOKUP(INDIRECT(ADDRESS(2,COLUMN())),OFFSET($BN$2,0,0,ROW()-1,60),ROW()-1,FALSE))</f>
        <v>9.8343360000000004</v>
      </c>
      <c r="Y333">
        <f ca="1">IF(AND(ISNUMBER($Y$774),$B$419=1),$Y$774,HLOOKUP(INDIRECT(ADDRESS(2,COLUMN())),OFFSET($BN$2,0,0,ROW()-1,60),ROW()-1,FALSE))</f>
        <v>6.3938680000000003</v>
      </c>
      <c r="Z333">
        <f ca="1">IF(AND(ISNUMBER($Z$774),$B$419=1),$Z$774,HLOOKUP(INDIRECT(ADDRESS(2,COLUMN())),OFFSET($BN$2,0,0,ROW()-1,60),ROW()-1,FALSE))</f>
        <v>6.8936089999999997</v>
      </c>
      <c r="AA333">
        <f ca="1">IF(AND(ISNUMBER($AA$774),$B$419=1),$AA$774,HLOOKUP(INDIRECT(ADDRESS(2,COLUMN())),OFFSET($BN$2,0,0,ROW()-1,60),ROW()-1,FALSE))</f>
        <v>4.6922300000000003</v>
      </c>
      <c r="AB333">
        <f ca="1">IF(AND(ISNUMBER($AB$774),$B$419=1),$AB$774,HLOOKUP(INDIRECT(ADDRESS(2,COLUMN())),OFFSET($BN$2,0,0,ROW()-1,60),ROW()-1,FALSE))</f>
        <v>23.488823</v>
      </c>
      <c r="AC333">
        <f ca="1">IF(AND(ISNUMBER($AC$774),$B$419=1),$AC$774,HLOOKUP(INDIRECT(ADDRESS(2,COLUMN())),OFFSET($BN$2,0,0,ROW()-1,60),ROW()-1,FALSE))</f>
        <v>10.154</v>
      </c>
      <c r="AD333">
        <f ca="1">IF(AND(ISNUMBER($AD$774),$B$419=1),$AD$774,HLOOKUP(INDIRECT(ADDRESS(2,COLUMN())),OFFSET($BN$2,0,0,ROW()-1,60),ROW()-1,FALSE))</f>
        <v>10.738987</v>
      </c>
      <c r="AE333">
        <f ca="1">IF(AND(ISNUMBER($AE$774),$B$419=1),$AE$774,HLOOKUP(INDIRECT(ADDRESS(2,COLUMN())),OFFSET($BN$2,0,0,ROW()-1,60),ROW()-1,FALSE))</f>
        <v>34.317588000000001</v>
      </c>
      <c r="AF333">
        <f ca="1">IF(AND(ISNUMBER($AF$774),$B$419=1),$AF$774,HLOOKUP(INDIRECT(ADDRESS(2,COLUMN())),OFFSET($BN$2,0,0,ROW()-1,60),ROW()-1,FALSE))</f>
        <v>8.2604340000000001</v>
      </c>
      <c r="AG333">
        <f ca="1">IF(AND(ISNUMBER($AG$774),$B$419=1),$AG$774,HLOOKUP(INDIRECT(ADDRESS(2,COLUMN())),OFFSET($BN$2,0,0,ROW()-1,60),ROW()-1,FALSE))</f>
        <v>15.328507999999999</v>
      </c>
      <c r="AH333">
        <f ca="1">IF(AND(ISNUMBER($AH$774),$B$419=1),$AH$774,HLOOKUP(INDIRECT(ADDRESS(2,COLUMN())),OFFSET($BN$2,0,0,ROW()-1,60),ROW()-1,FALSE))</f>
        <v>11.764093000000001</v>
      </c>
      <c r="AI333">
        <f ca="1">IF(AND(ISNUMBER($AI$774),$B$419=1),$AI$774,HLOOKUP(INDIRECT(ADDRESS(2,COLUMN())),OFFSET($BN$2,0,0,ROW()-1,60),ROW()-1,FALSE))</f>
        <v>84.736410000000006</v>
      </c>
      <c r="AJ333">
        <f ca="1">IF(AND(ISNUMBER($AJ$774),$B$419=1),$AJ$774,HLOOKUP(INDIRECT(ADDRESS(2,COLUMN())),OFFSET($BN$2,0,0,ROW()-1,60),ROW()-1,FALSE))</f>
        <v>180.72337300000001</v>
      </c>
      <c r="AK333">
        <f ca="1">IF(AND(ISNUMBER($AK$774),$B$419=1),$AK$774,HLOOKUP(INDIRECT(ADDRESS(2,COLUMN())),OFFSET($BN$2,0,0,ROW()-1,60),ROW()-1,FALSE))</f>
        <v>272.268822</v>
      </c>
      <c r="AL333">
        <f ca="1">IF(AND(ISNUMBER($AL$774),$B$419=1),$AL$774,HLOOKUP(INDIRECT(ADDRESS(2,COLUMN())),OFFSET($BN$2,0,0,ROW()-1,60),ROW()-1,FALSE))</f>
        <v>330.01723199999998</v>
      </c>
      <c r="AM333" t="str">
        <f ca="1">IF(AND(ISNUMBER($AM$774),$B$419=1),$AM$774,HLOOKUP(INDIRECT(ADDRESS(2,COLUMN())),OFFSET($BN$2,0,0,ROW()-1,60),ROW()-1,FALSE))</f>
        <v/>
      </c>
      <c r="AN333" t="str">
        <f ca="1">IF(AND(ISNUMBER($AN$774),$B$419=1),$AN$774,HLOOKUP(INDIRECT(ADDRESS(2,COLUMN())),OFFSET($BN$2,0,0,ROW()-1,60),ROW()-1,FALSE))</f>
        <v/>
      </c>
      <c r="AO333" t="str">
        <f ca="1">IF(AND(ISNUMBER($AO$774),$B$419=1),$AO$774,HLOOKUP(INDIRECT(ADDRESS(2,COLUMN())),OFFSET($BN$2,0,0,ROW()-1,60),ROW()-1,FALSE))</f>
        <v/>
      </c>
      <c r="AP333" t="str">
        <f ca="1">IF(AND(ISNUMBER($AP$774),$B$419=1),$AP$774,HLOOKUP(INDIRECT(ADDRESS(2,COLUMN())),OFFSET($BN$2,0,0,ROW()-1,60),ROW()-1,FALSE))</f>
        <v/>
      </c>
      <c r="AQ333" t="str">
        <f ca="1">IF(AND(ISNUMBER($AQ$774),$B$419=1),$AQ$774,HLOOKUP(INDIRECT(ADDRESS(2,COLUMN())),OFFSET($BN$2,0,0,ROW()-1,60),ROW()-1,FALSE))</f>
        <v/>
      </c>
      <c r="AR333" t="str">
        <f ca="1">IF(AND(ISNUMBER($AR$774),$B$419=1),$AR$774,HLOOKUP(INDIRECT(ADDRESS(2,COLUMN())),OFFSET($BN$2,0,0,ROW()-1,60),ROW()-1,FALSE))</f>
        <v/>
      </c>
      <c r="AS333" t="str">
        <f ca="1">IF(AND(ISNUMBER($AS$774),$B$419=1),$AS$774,HLOOKUP(INDIRECT(ADDRESS(2,COLUMN())),OFFSET($BN$2,0,0,ROW()-1,60),ROW()-1,FALSE))</f>
        <v/>
      </c>
      <c r="AT333" t="str">
        <f ca="1">IF(AND(ISNUMBER($AT$774),$B$419=1),$AT$774,HLOOKUP(INDIRECT(ADDRESS(2,COLUMN())),OFFSET($BN$2,0,0,ROW()-1,60),ROW()-1,FALSE))</f>
        <v/>
      </c>
      <c r="AU333" t="str">
        <f ca="1">IF(AND(ISNUMBER($AU$774),$B$419=1),$AU$774,HLOOKUP(INDIRECT(ADDRESS(2,COLUMN())),OFFSET($BN$2,0,0,ROW()-1,60),ROW()-1,FALSE))</f>
        <v/>
      </c>
      <c r="AV333" t="str">
        <f ca="1">IF(AND(ISNUMBER($AV$774),$B$419=1),$AV$774,HLOOKUP(INDIRECT(ADDRESS(2,COLUMN())),OFFSET($BN$2,0,0,ROW()-1,60),ROW()-1,FALSE))</f>
        <v/>
      </c>
      <c r="AW333" t="str">
        <f ca="1">IF(AND(ISNUMBER($AW$774),$B$419=1),$AW$774,HLOOKUP(INDIRECT(ADDRESS(2,COLUMN())),OFFSET($BN$2,0,0,ROW()-1,60),ROW()-1,FALSE))</f>
        <v/>
      </c>
      <c r="AX333" t="str">
        <f ca="1">IF(AND(ISNUMBER($AX$774),$B$419=1),$AX$774,HLOOKUP(INDIRECT(ADDRESS(2,COLUMN())),OFFSET($BN$2,0,0,ROW()-1,60),ROW()-1,FALSE))</f>
        <v/>
      </c>
      <c r="AY333" t="str">
        <f ca="1">IF(AND(ISNUMBER($AY$774),$B$419=1),$AY$774,HLOOKUP(INDIRECT(ADDRESS(2,COLUMN())),OFFSET($BN$2,0,0,ROW()-1,60),ROW()-1,FALSE))</f>
        <v/>
      </c>
      <c r="AZ333" t="str">
        <f ca="1">IF(AND(ISNUMBER($AZ$774),$B$419=1),$AZ$774,HLOOKUP(INDIRECT(ADDRESS(2,COLUMN())),OFFSET($BN$2,0,0,ROW()-1,60),ROW()-1,FALSE))</f>
        <v/>
      </c>
      <c r="BA333" t="str">
        <f ca="1">IF(AND(ISNUMBER($BA$774),$B$419=1),$BA$774,HLOOKUP(INDIRECT(ADDRESS(2,COLUMN())),OFFSET($BN$2,0,0,ROW()-1,60),ROW()-1,FALSE))</f>
        <v/>
      </c>
      <c r="BB333" t="str">
        <f ca="1">IF(AND(ISNUMBER($BB$774),$B$419=1),$BB$774,HLOOKUP(INDIRECT(ADDRESS(2,COLUMN())),OFFSET($BN$2,0,0,ROW()-1,60),ROW()-1,FALSE))</f>
        <v/>
      </c>
      <c r="BC333" t="str">
        <f ca="1">IF(AND(ISNUMBER($BC$774),$B$419=1),$BC$774,HLOOKUP(INDIRECT(ADDRESS(2,COLUMN())),OFFSET($BN$2,0,0,ROW()-1,60),ROW()-1,FALSE))</f>
        <v/>
      </c>
      <c r="BD333" t="str">
        <f ca="1">IF(AND(ISNUMBER($BD$774),$B$419=1),$BD$774,HLOOKUP(INDIRECT(ADDRESS(2,COLUMN())),OFFSET($BN$2,0,0,ROW()-1,60),ROW()-1,FALSE))</f>
        <v/>
      </c>
      <c r="BE333" t="str">
        <f ca="1">IF(AND(ISNUMBER($BE$774),$B$419=1),$BE$774,HLOOKUP(INDIRECT(ADDRESS(2,COLUMN())),OFFSET($BN$2,0,0,ROW()-1,60),ROW()-1,FALSE))</f>
        <v/>
      </c>
      <c r="BF333" t="str">
        <f ca="1">IF(AND(ISNUMBER($BF$774),$B$419=1),$BF$774,HLOOKUP(INDIRECT(ADDRESS(2,COLUMN())),OFFSET($BN$2,0,0,ROW()-1,60),ROW()-1,FALSE))</f>
        <v/>
      </c>
      <c r="BG333" t="str">
        <f ca="1">IF(AND(ISNUMBER($BG$774),$B$419=1),$BG$774,HLOOKUP(INDIRECT(ADDRESS(2,COLUMN())),OFFSET($BN$2,0,0,ROW()-1,60),ROW()-1,FALSE))</f>
        <v/>
      </c>
      <c r="BH333" t="str">
        <f ca="1">IF(AND(ISNUMBER($BH$774),$B$419=1),$BH$774,HLOOKUP(INDIRECT(ADDRESS(2,COLUMN())),OFFSET($BN$2,0,0,ROW()-1,60),ROW()-1,FALSE))</f>
        <v/>
      </c>
      <c r="BI333" t="str">
        <f ca="1">IF(AND(ISNUMBER($BI$774),$B$419=1),$BI$774,HLOOKUP(INDIRECT(ADDRESS(2,COLUMN())),OFFSET($BN$2,0,0,ROW()-1,60),ROW()-1,FALSE))</f>
        <v/>
      </c>
      <c r="BJ333" t="str">
        <f ca="1">IF(AND(ISNUMBER($BJ$774),$B$419=1),$BJ$774,HLOOKUP(INDIRECT(ADDRESS(2,COLUMN())),OFFSET($BN$2,0,0,ROW()-1,60),ROW()-1,FALSE))</f>
        <v/>
      </c>
      <c r="BK333" t="str">
        <f ca="1">IF(AND(ISNUMBER($BK$774),$B$419=1),$BK$774,HLOOKUP(INDIRECT(ADDRESS(2,COLUMN())),OFFSET($BN$2,0,0,ROW()-1,60),ROW()-1,FALSE))</f>
        <v/>
      </c>
      <c r="BL333" t="str">
        <f ca="1">IF(AND(ISNUMBER($BL$774),$B$419=1),$BL$774,HLOOKUP(INDIRECT(ADDRESS(2,COLUMN())),OFFSET($BN$2,0,0,ROW()-1,60),ROW()-1,FALSE))</f>
        <v/>
      </c>
      <c r="BM333" t="str">
        <f ca="1">IF(AND(ISNUMBER($BM$774),$B$419=1),$BM$774,HLOOKUP(INDIRECT(ADDRESS(2,COLUMN())),OFFSET($BN$2,0,0,ROW()-1,60),ROW()-1,FALSE))</f>
        <v/>
      </c>
      <c r="BN333" t="str">
        <f>""</f>
        <v/>
      </c>
      <c r="BO333">
        <f>11.553</f>
        <v>11.553000000000001</v>
      </c>
      <c r="BP333">
        <f>10.073</f>
        <v>10.073</v>
      </c>
      <c r="BQ333">
        <f>11.408</f>
        <v>11.407999999999999</v>
      </c>
      <c r="BR333">
        <f>19.43</f>
        <v>19.43</v>
      </c>
      <c r="BS333">
        <f>13.125</f>
        <v>13.125</v>
      </c>
      <c r="BT333">
        <f>10.447</f>
        <v>10.446999999999999</v>
      </c>
      <c r="BU333">
        <f>17.535</f>
        <v>17.535</v>
      </c>
      <c r="BV333">
        <f>14.987</f>
        <v>14.987</v>
      </c>
      <c r="BW333">
        <f>8.844</f>
        <v>8.8439999999999994</v>
      </c>
      <c r="BX333">
        <f>6.953</f>
        <v>6.9530000000000003</v>
      </c>
      <c r="BY333">
        <f>7.541</f>
        <v>7.5410000000000004</v>
      </c>
      <c r="BZ333">
        <f>11.683</f>
        <v>11.683</v>
      </c>
      <c r="CA333">
        <f>10.773406</f>
        <v>10.773406</v>
      </c>
      <c r="CB333">
        <f>10.99603</f>
        <v>10.996029999999999</v>
      </c>
      <c r="CC333">
        <f>9.537945</f>
        <v>9.5379450000000006</v>
      </c>
      <c r="CD333">
        <f>12.764579</f>
        <v>12.764578999999999</v>
      </c>
      <c r="CE333">
        <f>7.919697</f>
        <v>7.9196970000000002</v>
      </c>
      <c r="CF333">
        <f>9.834336</f>
        <v>9.8343360000000004</v>
      </c>
      <c r="CG333">
        <f>6.393868</f>
        <v>6.3938680000000003</v>
      </c>
      <c r="CH333">
        <f>6.893609</f>
        <v>6.8936089999999997</v>
      </c>
      <c r="CI333">
        <f>4.69223</f>
        <v>4.6922300000000003</v>
      </c>
      <c r="CJ333">
        <f>23.488823</f>
        <v>23.488823</v>
      </c>
      <c r="CK333">
        <f>10.154</f>
        <v>10.154</v>
      </c>
      <c r="CL333">
        <f>10.738987</f>
        <v>10.738987</v>
      </c>
      <c r="CM333">
        <f>34.317588</f>
        <v>34.317588000000001</v>
      </c>
      <c r="CN333">
        <f>8.260434</f>
        <v>8.2604340000000001</v>
      </c>
      <c r="CO333">
        <f>15.328508</f>
        <v>15.328507999999999</v>
      </c>
      <c r="CP333">
        <f>11.764093</f>
        <v>11.764093000000001</v>
      </c>
      <c r="CQ333">
        <f>84.73641</f>
        <v>84.736410000000006</v>
      </c>
      <c r="CR333">
        <f>180.723373</f>
        <v>180.72337300000001</v>
      </c>
      <c r="CS333">
        <f>272.268822</f>
        <v>272.268822</v>
      </c>
      <c r="CT333">
        <f>330.017232</f>
        <v>330.01723199999998</v>
      </c>
      <c r="CU333" t="str">
        <f>""</f>
        <v/>
      </c>
      <c r="CV333" t="str">
        <f>""</f>
        <v/>
      </c>
      <c r="CW333" t="str">
        <f>""</f>
        <v/>
      </c>
      <c r="CX333" t="str">
        <f>""</f>
        <v/>
      </c>
      <c r="CY333" t="str">
        <f>""</f>
        <v/>
      </c>
      <c r="CZ333" t="str">
        <f>""</f>
        <v/>
      </c>
      <c r="DA333" t="str">
        <f>""</f>
        <v/>
      </c>
      <c r="DB333" t="str">
        <f>""</f>
        <v/>
      </c>
      <c r="DC333" t="str">
        <f>""</f>
        <v/>
      </c>
      <c r="DD333" t="str">
        <f>""</f>
        <v/>
      </c>
      <c r="DE333" t="str">
        <f>""</f>
        <v/>
      </c>
      <c r="DF333" t="str">
        <f>""</f>
        <v/>
      </c>
      <c r="DG333" t="str">
        <f>""</f>
        <v/>
      </c>
      <c r="DH333" t="str">
        <f>""</f>
        <v/>
      </c>
      <c r="DI333" t="str">
        <f>""</f>
        <v/>
      </c>
      <c r="DJ333" t="str">
        <f>""</f>
        <v/>
      </c>
      <c r="DK333" t="str">
        <f>""</f>
        <v/>
      </c>
      <c r="DL333" t="str">
        <f>""</f>
        <v/>
      </c>
      <c r="DM333" t="str">
        <f>""</f>
        <v/>
      </c>
      <c r="DN333" t="str">
        <f>""</f>
        <v/>
      </c>
      <c r="DO333" t="str">
        <f>""</f>
        <v/>
      </c>
      <c r="DP333" t="str">
        <f>""</f>
        <v/>
      </c>
      <c r="DQ333" t="str">
        <f>""</f>
        <v/>
      </c>
      <c r="DR333" t="str">
        <f>""</f>
        <v/>
      </c>
      <c r="DS333" t="str">
        <f>""</f>
        <v/>
      </c>
      <c r="DT333" t="str">
        <f>""</f>
        <v/>
      </c>
      <c r="DU333" t="str">
        <f>""</f>
        <v/>
      </c>
    </row>
    <row r="334" spans="1:125">
      <c r="A334" t="str">
        <f>"    Retail Properties of America I"</f>
        <v xml:space="preserve">    Retail Properties of America I</v>
      </c>
      <c r="B334" t="str">
        <f>"RPAI US Equity"</f>
        <v>RPAI US Equity</v>
      </c>
      <c r="C334" t="str">
        <f t="shared" si="60"/>
        <v>RR253</v>
      </c>
      <c r="D334" t="str">
        <f t="shared" si="61"/>
        <v>CASH_AND_MARKETABLE_SECURITIES</v>
      </c>
      <c r="E334" t="str">
        <f t="shared" si="62"/>
        <v>动态</v>
      </c>
      <c r="F334" t="str">
        <f ca="1">IF(AND(ISNUMBER($F$775),$B$419=1),$F$775,HLOOKUP(INDIRECT(ADDRESS(2,COLUMN())),OFFSET($BN$2,0,0,ROW()-1,60),ROW()-1,FALSE))</f>
        <v/>
      </c>
      <c r="G334">
        <f ca="1">IF(AND(ISNUMBER($G$775),$B$419=1),$G$775,HLOOKUP(INDIRECT(ADDRESS(2,COLUMN())),OFFSET($BN$2,0,0,ROW()-1,60),ROW()-1,FALSE))</f>
        <v>25.184999999999999</v>
      </c>
      <c r="H334">
        <f ca="1">IF(AND(ISNUMBER($H$775),$B$419=1),$H$775,HLOOKUP(INDIRECT(ADDRESS(2,COLUMN())),OFFSET($BN$2,0,0,ROW()-1,60),ROW()-1,FALSE))</f>
        <v>29.652000000000001</v>
      </c>
      <c r="I334">
        <f ca="1">IF(AND(ISNUMBER($I$775),$B$419=1),$I$775,HLOOKUP(INDIRECT(ADDRESS(2,COLUMN())),OFFSET($BN$2,0,0,ROW()-1,60),ROW()-1,FALSE))</f>
        <v>28.003</v>
      </c>
      <c r="J334">
        <f ca="1">IF(AND(ISNUMBER($J$775),$B$419=1),$J$775,HLOOKUP(INDIRECT(ADDRESS(2,COLUMN())),OFFSET($BN$2,0,0,ROW()-1,60),ROW()-1,FALSE))</f>
        <v>40.274000000000001</v>
      </c>
      <c r="K334">
        <f ca="1">IF(AND(ISNUMBER($K$775),$B$419=1),$K$775,HLOOKUP(INDIRECT(ADDRESS(2,COLUMN())),OFFSET($BN$2,0,0,ROW()-1,60),ROW()-1,FALSE))</f>
        <v>53.119</v>
      </c>
      <c r="L334">
        <f ca="1">IF(AND(ISNUMBER($L$775),$B$419=1),$L$775,HLOOKUP(INDIRECT(ADDRESS(2,COLUMN())),OFFSET($BN$2,0,0,ROW()-1,60),ROW()-1,FALSE))</f>
        <v>69.070999999999998</v>
      </c>
      <c r="M334">
        <f ca="1">IF(AND(ISNUMBER($M$775),$B$419=1),$M$775,HLOOKUP(INDIRECT(ADDRESS(2,COLUMN())),OFFSET($BN$2,0,0,ROW()-1,60),ROW()-1,FALSE))</f>
        <v>29.788</v>
      </c>
      <c r="N334">
        <f ca="1">IF(AND(ISNUMBER($N$775),$B$419=1),$N$775,HLOOKUP(INDIRECT(ADDRESS(2,COLUMN())),OFFSET($BN$2,0,0,ROW()-1,60),ROW()-1,FALSE))</f>
        <v>100.58799999999999</v>
      </c>
      <c r="O334">
        <f ca="1">IF(AND(ISNUMBER($O$775),$B$419=1),$O$775,HLOOKUP(INDIRECT(ADDRESS(2,COLUMN())),OFFSET($BN$2,0,0,ROW()-1,60),ROW()-1,FALSE))</f>
        <v>51.423999999999999</v>
      </c>
      <c r="P334">
        <f ca="1">IF(AND(ISNUMBER($P$775),$B$419=1),$P$775,HLOOKUP(INDIRECT(ADDRESS(2,COLUMN())),OFFSET($BN$2,0,0,ROW()-1,60),ROW()-1,FALSE))</f>
        <v>116.538</v>
      </c>
      <c r="Q334">
        <f ca="1">IF(AND(ISNUMBER($Q$775),$B$419=1),$Q$775,HLOOKUP(INDIRECT(ADDRESS(2,COLUMN())),OFFSET($BN$2,0,0,ROW()-1,60),ROW()-1,FALSE))</f>
        <v>84.700999999999993</v>
      </c>
      <c r="R334">
        <f ca="1">IF(AND(ISNUMBER($R$775),$B$419=1),$R$775,HLOOKUP(INDIRECT(ADDRESS(2,COLUMN())),OFFSET($BN$2,0,0,ROW()-1,60),ROW()-1,FALSE))</f>
        <v>64.894999999999996</v>
      </c>
      <c r="S334">
        <f ca="1">IF(AND(ISNUMBER($S$775),$B$419=1),$S$775,HLOOKUP(INDIRECT(ADDRESS(2,COLUMN())),OFFSET($BN$2,0,0,ROW()-1,60),ROW()-1,FALSE))</f>
        <v>112.292</v>
      </c>
      <c r="T334">
        <f ca="1">IF(AND(ISNUMBER($T$775),$B$419=1),$T$775,HLOOKUP(INDIRECT(ADDRESS(2,COLUMN())),OFFSET($BN$2,0,0,ROW()-1,60),ROW()-1,FALSE))</f>
        <v>67.83</v>
      </c>
      <c r="U334">
        <f ca="1">IF(AND(ISNUMBER($U$775),$B$419=1),$U$775,HLOOKUP(INDIRECT(ADDRESS(2,COLUMN())),OFFSET($BN$2,0,0,ROW()-1,60),ROW()-1,FALSE))</f>
        <v>58.567999999999998</v>
      </c>
      <c r="V334">
        <f ca="1">IF(AND(ISNUMBER($V$775),$B$419=1),$V$775,HLOOKUP(INDIRECT(ADDRESS(2,COLUMN())),OFFSET($BN$2,0,0,ROW()-1,60),ROW()-1,FALSE))</f>
        <v>62.667000000000002</v>
      </c>
      <c r="W334">
        <f ca="1">IF(AND(ISNUMBER($W$775),$B$419=1),$W$775,HLOOKUP(INDIRECT(ADDRESS(2,COLUMN())),OFFSET($BN$2,0,0,ROW()-1,60),ROW()-1,FALSE))</f>
        <v>58.19</v>
      </c>
      <c r="X334">
        <f ca="1">IF(AND(ISNUMBER($X$775),$B$419=1),$X$775,HLOOKUP(INDIRECT(ADDRESS(2,COLUMN())),OFFSET($BN$2,0,0,ROW()-1,60),ROW()-1,FALSE))</f>
        <v>70.320999999999998</v>
      </c>
      <c r="Y334">
        <f ca="1">IF(AND(ISNUMBER($Y$775),$B$419=1),$Y$775,HLOOKUP(INDIRECT(ADDRESS(2,COLUMN())),OFFSET($BN$2,0,0,ROW()-1,60),ROW()-1,FALSE))</f>
        <v>73.575000000000003</v>
      </c>
      <c r="Z334">
        <f ca="1">IF(AND(ISNUMBER($Z$775),$B$419=1),$Z$775,HLOOKUP(INDIRECT(ADDRESS(2,COLUMN())),OFFSET($BN$2,0,0,ROW()-1,60),ROW()-1,FALSE))</f>
        <v>67.445999999999998</v>
      </c>
      <c r="AA334">
        <f ca="1">IF(AND(ISNUMBER($AA$775),$B$419=1),$AA$775,HLOOKUP(INDIRECT(ADDRESS(2,COLUMN())),OFFSET($BN$2,0,0,ROW()-1,60),ROW()-1,FALSE))</f>
        <v>138.06899999999999</v>
      </c>
      <c r="AB334">
        <f ca="1">IF(AND(ISNUMBER($AB$775),$B$419=1),$AB$775,HLOOKUP(INDIRECT(ADDRESS(2,COLUMN())),OFFSET($BN$2,0,0,ROW()-1,60),ROW()-1,FALSE))</f>
        <v>107.423</v>
      </c>
      <c r="AC334">
        <f ca="1">IF(AND(ISNUMBER($AC$775),$B$419=1),$AC$775,HLOOKUP(INDIRECT(ADDRESS(2,COLUMN())),OFFSET($BN$2,0,0,ROW()-1,60),ROW()-1,FALSE))</f>
        <v>102.346</v>
      </c>
      <c r="AD334">
        <f ca="1">IF(AND(ISNUMBER($AD$775),$B$419=1),$AD$775,HLOOKUP(INDIRECT(ADDRESS(2,COLUMN())),OFFSET($BN$2,0,0,ROW()-1,60),ROW()-1,FALSE))</f>
        <v>126.11499999999999</v>
      </c>
      <c r="AE334">
        <f ca="1">IF(AND(ISNUMBER($AE$775),$B$419=1),$AE$775,HLOOKUP(INDIRECT(ADDRESS(2,COLUMN())),OFFSET($BN$2,0,0,ROW()-1,60),ROW()-1,FALSE))</f>
        <v>136.00899999999999</v>
      </c>
      <c r="AF334">
        <f ca="1">IF(AND(ISNUMBER($AF$775),$B$419=1),$AF$775,HLOOKUP(INDIRECT(ADDRESS(2,COLUMN())),OFFSET($BN$2,0,0,ROW()-1,60),ROW()-1,FALSE))</f>
        <v>116.61799999999999</v>
      </c>
      <c r="AG334">
        <f ca="1">IF(AND(ISNUMBER($AG$775),$B$419=1),$AG$775,HLOOKUP(INDIRECT(ADDRESS(2,COLUMN())),OFFSET($BN$2,0,0,ROW()-1,60),ROW()-1,FALSE))</f>
        <v>119.934</v>
      </c>
      <c r="AH334">
        <f ca="1">IF(AND(ISNUMBER($AH$775),$B$419=1),$AH$775,HLOOKUP(INDIRECT(ADDRESS(2,COLUMN())),OFFSET($BN$2,0,0,ROW()-1,60),ROW()-1,FALSE))</f>
        <v>97.024000000000001</v>
      </c>
      <c r="AI334">
        <f ca="1">IF(AND(ISNUMBER($AI$775),$B$419=1),$AI$775,HLOOKUP(INDIRECT(ADDRESS(2,COLUMN())),OFFSET($BN$2,0,0,ROW()-1,60),ROW()-1,FALSE))</f>
        <v>130.21299999999999</v>
      </c>
      <c r="AJ334">
        <f ca="1">IF(AND(ISNUMBER($AJ$775),$B$419=1),$AJ$775,HLOOKUP(INDIRECT(ADDRESS(2,COLUMN())),OFFSET($BN$2,0,0,ROW()-1,60),ROW()-1,FALSE))</f>
        <v>116.01600000000001</v>
      </c>
      <c r="AK334" t="str">
        <f ca="1">IF(AND(ISNUMBER($AK$775),$B$419=1),$AK$775,HLOOKUP(INDIRECT(ADDRESS(2,COLUMN())),OFFSET($BN$2,0,0,ROW()-1,60),ROW()-1,FALSE))</f>
        <v/>
      </c>
      <c r="AL334" t="str">
        <f ca="1">IF(AND(ISNUMBER($AL$775),$B$419=1),$AL$775,HLOOKUP(INDIRECT(ADDRESS(2,COLUMN())),OFFSET($BN$2,0,0,ROW()-1,60),ROW()-1,FALSE))</f>
        <v/>
      </c>
      <c r="AM334" t="str">
        <f ca="1">IF(AND(ISNUMBER($AM$775),$B$419=1),$AM$775,HLOOKUP(INDIRECT(ADDRESS(2,COLUMN())),OFFSET($BN$2,0,0,ROW()-1,60),ROW()-1,FALSE))</f>
        <v/>
      </c>
      <c r="AN334" t="str">
        <f ca="1">IF(AND(ISNUMBER($AN$775),$B$419=1),$AN$775,HLOOKUP(INDIRECT(ADDRESS(2,COLUMN())),OFFSET($BN$2,0,0,ROW()-1,60),ROW()-1,FALSE))</f>
        <v/>
      </c>
      <c r="AO334" t="str">
        <f ca="1">IF(AND(ISNUMBER($AO$775),$B$419=1),$AO$775,HLOOKUP(INDIRECT(ADDRESS(2,COLUMN())),OFFSET($BN$2,0,0,ROW()-1,60),ROW()-1,FALSE))</f>
        <v/>
      </c>
      <c r="AP334" t="str">
        <f ca="1">IF(AND(ISNUMBER($AP$775),$B$419=1),$AP$775,HLOOKUP(INDIRECT(ADDRESS(2,COLUMN())),OFFSET($BN$2,0,0,ROW()-1,60),ROW()-1,FALSE))</f>
        <v/>
      </c>
      <c r="AQ334" t="str">
        <f ca="1">IF(AND(ISNUMBER($AQ$775),$B$419=1),$AQ$775,HLOOKUP(INDIRECT(ADDRESS(2,COLUMN())),OFFSET($BN$2,0,0,ROW()-1,60),ROW()-1,FALSE))</f>
        <v/>
      </c>
      <c r="AR334" t="str">
        <f ca="1">IF(AND(ISNUMBER($AR$775),$B$419=1),$AR$775,HLOOKUP(INDIRECT(ADDRESS(2,COLUMN())),OFFSET($BN$2,0,0,ROW()-1,60),ROW()-1,FALSE))</f>
        <v/>
      </c>
      <c r="AS334" t="str">
        <f ca="1">IF(AND(ISNUMBER($AS$775),$B$419=1),$AS$775,HLOOKUP(INDIRECT(ADDRESS(2,COLUMN())),OFFSET($BN$2,0,0,ROW()-1,60),ROW()-1,FALSE))</f>
        <v/>
      </c>
      <c r="AT334" t="str">
        <f ca="1">IF(AND(ISNUMBER($AT$775),$B$419=1),$AT$775,HLOOKUP(INDIRECT(ADDRESS(2,COLUMN())),OFFSET($BN$2,0,0,ROW()-1,60),ROW()-1,FALSE))</f>
        <v/>
      </c>
      <c r="AU334" t="str">
        <f ca="1">IF(AND(ISNUMBER($AU$775),$B$419=1),$AU$775,HLOOKUP(INDIRECT(ADDRESS(2,COLUMN())),OFFSET($BN$2,0,0,ROW()-1,60),ROW()-1,FALSE))</f>
        <v/>
      </c>
      <c r="AV334" t="str">
        <f ca="1">IF(AND(ISNUMBER($AV$775),$B$419=1),$AV$775,HLOOKUP(INDIRECT(ADDRESS(2,COLUMN())),OFFSET($BN$2,0,0,ROW()-1,60),ROW()-1,FALSE))</f>
        <v/>
      </c>
      <c r="AW334" t="str">
        <f ca="1">IF(AND(ISNUMBER($AW$775),$B$419=1),$AW$775,HLOOKUP(INDIRECT(ADDRESS(2,COLUMN())),OFFSET($BN$2,0,0,ROW()-1,60),ROW()-1,FALSE))</f>
        <v/>
      </c>
      <c r="AX334" t="str">
        <f ca="1">IF(AND(ISNUMBER($AX$775),$B$419=1),$AX$775,HLOOKUP(INDIRECT(ADDRESS(2,COLUMN())),OFFSET($BN$2,0,0,ROW()-1,60),ROW()-1,FALSE))</f>
        <v/>
      </c>
      <c r="AY334" t="str">
        <f ca="1">IF(AND(ISNUMBER($AY$775),$B$419=1),$AY$775,HLOOKUP(INDIRECT(ADDRESS(2,COLUMN())),OFFSET($BN$2,0,0,ROW()-1,60),ROW()-1,FALSE))</f>
        <v/>
      </c>
      <c r="AZ334" t="str">
        <f ca="1">IF(AND(ISNUMBER($AZ$775),$B$419=1),$AZ$775,HLOOKUP(INDIRECT(ADDRESS(2,COLUMN())),OFFSET($BN$2,0,0,ROW()-1,60),ROW()-1,FALSE))</f>
        <v/>
      </c>
      <c r="BA334" t="str">
        <f ca="1">IF(AND(ISNUMBER($BA$775),$B$419=1),$BA$775,HLOOKUP(INDIRECT(ADDRESS(2,COLUMN())),OFFSET($BN$2,0,0,ROW()-1,60),ROW()-1,FALSE))</f>
        <v/>
      </c>
      <c r="BB334" t="str">
        <f ca="1">IF(AND(ISNUMBER($BB$775),$B$419=1),$BB$775,HLOOKUP(INDIRECT(ADDRESS(2,COLUMN())),OFFSET($BN$2,0,0,ROW()-1,60),ROW()-1,FALSE))</f>
        <v/>
      </c>
      <c r="BC334" t="str">
        <f ca="1">IF(AND(ISNUMBER($BC$775),$B$419=1),$BC$775,HLOOKUP(INDIRECT(ADDRESS(2,COLUMN())),OFFSET($BN$2,0,0,ROW()-1,60),ROW()-1,FALSE))</f>
        <v/>
      </c>
      <c r="BD334" t="str">
        <f ca="1">IF(AND(ISNUMBER($BD$775),$B$419=1),$BD$775,HLOOKUP(INDIRECT(ADDRESS(2,COLUMN())),OFFSET($BN$2,0,0,ROW()-1,60),ROW()-1,FALSE))</f>
        <v/>
      </c>
      <c r="BE334" t="str">
        <f ca="1">IF(AND(ISNUMBER($BE$775),$B$419=1),$BE$775,HLOOKUP(INDIRECT(ADDRESS(2,COLUMN())),OFFSET($BN$2,0,0,ROW()-1,60),ROW()-1,FALSE))</f>
        <v/>
      </c>
      <c r="BF334" t="str">
        <f ca="1">IF(AND(ISNUMBER($BF$775),$B$419=1),$BF$775,HLOOKUP(INDIRECT(ADDRESS(2,COLUMN())),OFFSET($BN$2,0,0,ROW()-1,60),ROW()-1,FALSE))</f>
        <v/>
      </c>
      <c r="BG334" t="str">
        <f ca="1">IF(AND(ISNUMBER($BG$775),$B$419=1),$BG$775,HLOOKUP(INDIRECT(ADDRESS(2,COLUMN())),OFFSET($BN$2,0,0,ROW()-1,60),ROW()-1,FALSE))</f>
        <v/>
      </c>
      <c r="BH334" t="str">
        <f ca="1">IF(AND(ISNUMBER($BH$775),$B$419=1),$BH$775,HLOOKUP(INDIRECT(ADDRESS(2,COLUMN())),OFFSET($BN$2,0,0,ROW()-1,60),ROW()-1,FALSE))</f>
        <v/>
      </c>
      <c r="BI334" t="str">
        <f ca="1">IF(AND(ISNUMBER($BI$775),$B$419=1),$BI$775,HLOOKUP(INDIRECT(ADDRESS(2,COLUMN())),OFFSET($BN$2,0,0,ROW()-1,60),ROW()-1,FALSE))</f>
        <v/>
      </c>
      <c r="BJ334" t="str">
        <f ca="1">IF(AND(ISNUMBER($BJ$775),$B$419=1),$BJ$775,HLOOKUP(INDIRECT(ADDRESS(2,COLUMN())),OFFSET($BN$2,0,0,ROW()-1,60),ROW()-1,FALSE))</f>
        <v/>
      </c>
      <c r="BK334" t="str">
        <f ca="1">IF(AND(ISNUMBER($BK$775),$B$419=1),$BK$775,HLOOKUP(INDIRECT(ADDRESS(2,COLUMN())),OFFSET($BN$2,0,0,ROW()-1,60),ROW()-1,FALSE))</f>
        <v/>
      </c>
      <c r="BL334" t="str">
        <f ca="1">IF(AND(ISNUMBER($BL$775),$B$419=1),$BL$775,HLOOKUP(INDIRECT(ADDRESS(2,COLUMN())),OFFSET($BN$2,0,0,ROW()-1,60),ROW()-1,FALSE))</f>
        <v/>
      </c>
      <c r="BM334" t="str">
        <f ca="1">IF(AND(ISNUMBER($BM$775),$B$419=1),$BM$775,HLOOKUP(INDIRECT(ADDRESS(2,COLUMN())),OFFSET($BN$2,0,0,ROW()-1,60),ROW()-1,FALSE))</f>
        <v/>
      </c>
      <c r="BN334" t="str">
        <f>""</f>
        <v/>
      </c>
      <c r="BO334">
        <f>25.185</f>
        <v>25.184999999999999</v>
      </c>
      <c r="BP334">
        <f>29.652</f>
        <v>29.652000000000001</v>
      </c>
      <c r="BQ334">
        <f>28.003</f>
        <v>28.003</v>
      </c>
      <c r="BR334">
        <f>40.274</f>
        <v>40.274000000000001</v>
      </c>
      <c r="BS334">
        <f>53.119</f>
        <v>53.119</v>
      </c>
      <c r="BT334">
        <f>69.071</f>
        <v>69.070999999999998</v>
      </c>
      <c r="BU334">
        <f>29.788</f>
        <v>29.788</v>
      </c>
      <c r="BV334">
        <f>100.588</f>
        <v>100.58799999999999</v>
      </c>
      <c r="BW334">
        <f>51.424</f>
        <v>51.423999999999999</v>
      </c>
      <c r="BX334">
        <f>116.538</f>
        <v>116.538</v>
      </c>
      <c r="BY334">
        <f>84.701</f>
        <v>84.700999999999993</v>
      </c>
      <c r="BZ334">
        <f>64.895</f>
        <v>64.894999999999996</v>
      </c>
      <c r="CA334">
        <f>112.292</f>
        <v>112.292</v>
      </c>
      <c r="CB334">
        <f>67.83</f>
        <v>67.83</v>
      </c>
      <c r="CC334">
        <f>58.568</f>
        <v>58.567999999999998</v>
      </c>
      <c r="CD334">
        <f>62.667</f>
        <v>62.667000000000002</v>
      </c>
      <c r="CE334">
        <f>58.19</f>
        <v>58.19</v>
      </c>
      <c r="CF334">
        <f>70.321</f>
        <v>70.320999999999998</v>
      </c>
      <c r="CG334">
        <f>73.575</f>
        <v>73.575000000000003</v>
      </c>
      <c r="CH334">
        <f>67.446</f>
        <v>67.445999999999998</v>
      </c>
      <c r="CI334">
        <f>138.069</f>
        <v>138.06899999999999</v>
      </c>
      <c r="CJ334">
        <f>107.423</f>
        <v>107.423</v>
      </c>
      <c r="CK334">
        <f>102.346</f>
        <v>102.346</v>
      </c>
      <c r="CL334">
        <f>126.115</f>
        <v>126.11499999999999</v>
      </c>
      <c r="CM334">
        <f>136.009</f>
        <v>136.00899999999999</v>
      </c>
      <c r="CN334">
        <f>116.618</f>
        <v>116.61799999999999</v>
      </c>
      <c r="CO334">
        <f>119.934</f>
        <v>119.934</v>
      </c>
      <c r="CP334">
        <f>97.024</f>
        <v>97.024000000000001</v>
      </c>
      <c r="CQ334">
        <f>130.213</f>
        <v>130.21299999999999</v>
      </c>
      <c r="CR334">
        <f>116.016</f>
        <v>116.01600000000001</v>
      </c>
      <c r="CS334" t="str">
        <f>""</f>
        <v/>
      </c>
      <c r="CT334" t="str">
        <f>""</f>
        <v/>
      </c>
      <c r="CU334" t="str">
        <f>""</f>
        <v/>
      </c>
      <c r="CV334" t="str">
        <f>""</f>
        <v/>
      </c>
      <c r="CW334" t="str">
        <f>""</f>
        <v/>
      </c>
      <c r="CX334" t="str">
        <f>""</f>
        <v/>
      </c>
      <c r="CY334" t="str">
        <f>""</f>
        <v/>
      </c>
      <c r="CZ334" t="str">
        <f>""</f>
        <v/>
      </c>
      <c r="DA334" t="str">
        <f>""</f>
        <v/>
      </c>
      <c r="DB334" t="str">
        <f>""</f>
        <v/>
      </c>
      <c r="DC334" t="str">
        <f>""</f>
        <v/>
      </c>
      <c r="DD334" t="str">
        <f>""</f>
        <v/>
      </c>
      <c r="DE334" t="str">
        <f>""</f>
        <v/>
      </c>
      <c r="DF334" t="str">
        <f>""</f>
        <v/>
      </c>
      <c r="DG334" t="str">
        <f>""</f>
        <v/>
      </c>
      <c r="DH334" t="str">
        <f>""</f>
        <v/>
      </c>
      <c r="DI334" t="str">
        <f>""</f>
        <v/>
      </c>
      <c r="DJ334" t="str">
        <f>""</f>
        <v/>
      </c>
      <c r="DK334" t="str">
        <f>""</f>
        <v/>
      </c>
      <c r="DL334" t="str">
        <f>""</f>
        <v/>
      </c>
      <c r="DM334" t="str">
        <f>""</f>
        <v/>
      </c>
      <c r="DN334" t="str">
        <f>""</f>
        <v/>
      </c>
      <c r="DO334" t="str">
        <f>""</f>
        <v/>
      </c>
      <c r="DP334" t="str">
        <f>""</f>
        <v/>
      </c>
      <c r="DQ334" t="str">
        <f>""</f>
        <v/>
      </c>
      <c r="DR334" t="str">
        <f>""</f>
        <v/>
      </c>
      <c r="DS334" t="str">
        <f>""</f>
        <v/>
      </c>
      <c r="DT334" t="str">
        <f>""</f>
        <v/>
      </c>
      <c r="DU334" t="str">
        <f>""</f>
        <v/>
      </c>
    </row>
    <row r="335" spans="1:125">
      <c r="A335" t="str">
        <f>"    Simon Property Group Inc"</f>
        <v xml:space="preserve">    Simon Property Group Inc</v>
      </c>
      <c r="B335" t="str">
        <f>"SPG US Equity"</f>
        <v>SPG US Equity</v>
      </c>
      <c r="C335" t="str">
        <f t="shared" si="60"/>
        <v>RR253</v>
      </c>
      <c r="D335" t="str">
        <f t="shared" si="61"/>
        <v>CASH_AND_MARKETABLE_SECURITIES</v>
      </c>
      <c r="E335" t="str">
        <f t="shared" si="62"/>
        <v>动态</v>
      </c>
      <c r="F335" t="str">
        <f ca="1">IF(AND(ISNUMBER($F$776),$B$419=1),$F$776,HLOOKUP(INDIRECT(ADDRESS(2,COLUMN())),OFFSET($BN$2,0,0,ROW()-1,60),ROW()-1,FALSE))</f>
        <v/>
      </c>
      <c r="G335">
        <f ca="1">IF(AND(ISNUMBER($G$776),$B$419=1),$G$776,HLOOKUP(INDIRECT(ADDRESS(2,COLUMN())),OFFSET($BN$2,0,0,ROW()-1,60),ROW()-1,FALSE))</f>
        <v>1482.309</v>
      </c>
      <c r="H335">
        <f ca="1">IF(AND(ISNUMBER($H$776),$B$419=1),$H$776,HLOOKUP(INDIRECT(ADDRESS(2,COLUMN())),OFFSET($BN$2,0,0,ROW()-1,60),ROW()-1,FALSE))</f>
        <v>508.40499999999997</v>
      </c>
      <c r="I335">
        <f ca="1">IF(AND(ISNUMBER($I$776),$B$419=1),$I$776,HLOOKUP(INDIRECT(ADDRESS(2,COLUMN())),OFFSET($BN$2,0,0,ROW()-1,60),ROW()-1,FALSE))</f>
        <v>488.61399999999998</v>
      </c>
      <c r="J335">
        <f ca="1">IF(AND(ISNUMBER($J$776),$B$419=1),$J$776,HLOOKUP(INDIRECT(ADDRESS(2,COLUMN())),OFFSET($BN$2,0,0,ROW()-1,60),ROW()-1,FALSE))</f>
        <v>513.4</v>
      </c>
      <c r="K335">
        <f ca="1">IF(AND(ISNUMBER($K$776),$B$419=1),$K$776,HLOOKUP(INDIRECT(ADDRESS(2,COLUMN())),OFFSET($BN$2,0,0,ROW()-1,60),ROW()-1,FALSE))</f>
        <v>560.05899999999997</v>
      </c>
      <c r="L335">
        <f ca="1">IF(AND(ISNUMBER($L$776),$B$419=1),$L$776,HLOOKUP(INDIRECT(ADDRESS(2,COLUMN())),OFFSET($BN$2,0,0,ROW()-1,60),ROW()-1,FALSE))</f>
        <v>814.74699999999996</v>
      </c>
      <c r="M335">
        <f ca="1">IF(AND(ISNUMBER($M$776),$B$419=1),$M$776,HLOOKUP(INDIRECT(ADDRESS(2,COLUMN())),OFFSET($BN$2,0,0,ROW()-1,60),ROW()-1,FALSE))</f>
        <v>884.28099999999995</v>
      </c>
      <c r="N335">
        <f ca="1">IF(AND(ISNUMBER($N$776),$B$419=1),$N$776,HLOOKUP(INDIRECT(ADDRESS(2,COLUMN())),OFFSET($BN$2,0,0,ROW()-1,60),ROW()-1,FALSE))</f>
        <v>805.07600000000002</v>
      </c>
      <c r="O335">
        <f ca="1">IF(AND(ISNUMBER($O$776),$B$419=1),$O$776,HLOOKUP(INDIRECT(ADDRESS(2,COLUMN())),OFFSET($BN$2,0,0,ROW()-1,60),ROW()-1,FALSE))</f>
        <v>701.13400000000001</v>
      </c>
      <c r="P335">
        <f ca="1">IF(AND(ISNUMBER($P$776),$B$419=1),$P$776,HLOOKUP(INDIRECT(ADDRESS(2,COLUMN())),OFFSET($BN$2,0,0,ROW()-1,60),ROW()-1,FALSE))</f>
        <v>856.86099999999999</v>
      </c>
      <c r="Q335">
        <f ca="1">IF(AND(ISNUMBER($Q$776),$B$419=1),$Q$776,HLOOKUP(INDIRECT(ADDRESS(2,COLUMN())),OFFSET($BN$2,0,0,ROW()-1,60),ROW()-1,FALSE))</f>
        <v>565.65700000000004</v>
      </c>
      <c r="R335">
        <f ca="1">IF(AND(ISNUMBER($R$776),$B$419=1),$R$776,HLOOKUP(INDIRECT(ADDRESS(2,COLUMN())),OFFSET($BN$2,0,0,ROW()-1,60),ROW()-1,FALSE))</f>
        <v>833.73199999999997</v>
      </c>
      <c r="S335">
        <f ca="1">IF(AND(ISNUMBER($S$776),$B$419=1),$S$776,HLOOKUP(INDIRECT(ADDRESS(2,COLUMN())),OFFSET($BN$2,0,0,ROW()-1,60),ROW()-1,FALSE))</f>
        <v>612.28200000000004</v>
      </c>
      <c r="T335">
        <f ca="1">IF(AND(ISNUMBER($T$776),$B$419=1),$T$776,HLOOKUP(INDIRECT(ADDRESS(2,COLUMN())),OFFSET($BN$2,0,0,ROW()-1,60),ROW()-1,FALSE))</f>
        <v>817.99800000000005</v>
      </c>
      <c r="U335">
        <f ca="1">IF(AND(ISNUMBER($U$776),$B$419=1),$U$776,HLOOKUP(INDIRECT(ADDRESS(2,COLUMN())),OFFSET($BN$2,0,0,ROW()-1,60),ROW()-1,FALSE))</f>
        <v>1665.817</v>
      </c>
      <c r="V335">
        <f ca="1">IF(AND(ISNUMBER($V$776),$B$419=1),$V$776,HLOOKUP(INDIRECT(ADDRESS(2,COLUMN())),OFFSET($BN$2,0,0,ROW()-1,60),ROW()-1,FALSE))</f>
        <v>1013.3680000000001</v>
      </c>
      <c r="W335">
        <f ca="1">IF(AND(ISNUMBER($W$776),$B$419=1),$W$776,HLOOKUP(INDIRECT(ADDRESS(2,COLUMN())),OFFSET($BN$2,0,0,ROW()-1,60),ROW()-1,FALSE))</f>
        <v>1716.8630000000001</v>
      </c>
      <c r="X335">
        <f ca="1">IF(AND(ISNUMBER($X$776),$B$419=1),$X$776,HLOOKUP(INDIRECT(ADDRESS(2,COLUMN())),OFFSET($BN$2,0,0,ROW()-1,60),ROW()-1,FALSE))</f>
        <v>1099.3209999999999</v>
      </c>
      <c r="Y335">
        <f ca="1">IF(AND(ISNUMBER($Y$776),$B$419=1),$Y$776,HLOOKUP(INDIRECT(ADDRESS(2,COLUMN())),OFFSET($BN$2,0,0,ROW()-1,60),ROW()-1,FALSE))</f>
        <v>1095.829</v>
      </c>
      <c r="Z335">
        <f ca="1">IF(AND(ISNUMBER($Z$776),$B$419=1),$Z$776,HLOOKUP(INDIRECT(ADDRESS(2,COLUMN())),OFFSET($BN$2,0,0,ROW()-1,60),ROW()-1,FALSE))</f>
        <v>829.96600000000001</v>
      </c>
      <c r="AA335">
        <f ca="1">IF(AND(ISNUMBER($AA$776),$B$419=1),$AA$776,HLOOKUP(INDIRECT(ADDRESS(2,COLUMN())),OFFSET($BN$2,0,0,ROW()-1,60),ROW()-1,FALSE))</f>
        <v>1184.518</v>
      </c>
      <c r="AB335">
        <f ca="1">IF(AND(ISNUMBER($AB$776),$B$419=1),$AB$776,HLOOKUP(INDIRECT(ADDRESS(2,COLUMN())),OFFSET($BN$2,0,0,ROW()-1,60),ROW()-1,FALSE))</f>
        <v>452.71199999999999</v>
      </c>
      <c r="AC335">
        <f ca="1">IF(AND(ISNUMBER($AC$776),$B$419=1),$AC$776,HLOOKUP(INDIRECT(ADDRESS(2,COLUMN())),OFFSET($BN$2,0,0,ROW()-1,60),ROW()-1,FALSE))</f>
        <v>638.49900000000002</v>
      </c>
      <c r="AD335">
        <f ca="1">IF(AND(ISNUMBER($AD$776),$B$419=1),$AD$776,HLOOKUP(INDIRECT(ADDRESS(2,COLUMN())),OFFSET($BN$2,0,0,ROW()-1,60),ROW()-1,FALSE))</f>
        <v>880.54899999999998</v>
      </c>
      <c r="AE335">
        <f ca="1">IF(AND(ISNUMBER($AE$776),$B$419=1),$AE$776,HLOOKUP(INDIRECT(ADDRESS(2,COLUMN())),OFFSET($BN$2,0,0,ROW()-1,60),ROW()-1,FALSE))</f>
        <v>798.65</v>
      </c>
      <c r="AF335">
        <f ca="1">IF(AND(ISNUMBER($AF$776),$B$419=1),$AF$776,HLOOKUP(INDIRECT(ADDRESS(2,COLUMN())),OFFSET($BN$2,0,0,ROW()-1,60),ROW()-1,FALSE))</f>
        <v>575.81700000000001</v>
      </c>
      <c r="AG335">
        <f ca="1">IF(AND(ISNUMBER($AG$776),$B$419=1),$AG$776,HLOOKUP(INDIRECT(ADDRESS(2,COLUMN())),OFFSET($BN$2,0,0,ROW()-1,60),ROW()-1,FALSE))</f>
        <v>789.71299999999997</v>
      </c>
      <c r="AH335">
        <f ca="1">IF(AND(ISNUMBER($AH$776),$B$419=1),$AH$776,HLOOKUP(INDIRECT(ADDRESS(2,COLUMN())),OFFSET($BN$2,0,0,ROW()-1,60),ROW()-1,FALSE))</f>
        <v>636.04999999999995</v>
      </c>
      <c r="AI335">
        <f ca="1">IF(AND(ISNUMBER($AI$776),$B$419=1),$AI$776,HLOOKUP(INDIRECT(ADDRESS(2,COLUMN())),OFFSET($BN$2,0,0,ROW()-1,60),ROW()-1,FALSE))</f>
        <v>796.71799999999996</v>
      </c>
      <c r="AJ335">
        <f ca="1">IF(AND(ISNUMBER($AJ$776),$B$419=1),$AJ$776,HLOOKUP(INDIRECT(ADDRESS(2,COLUMN())),OFFSET($BN$2,0,0,ROW()-1,60),ROW()-1,FALSE))</f>
        <v>1011.574</v>
      </c>
      <c r="AK335">
        <f ca="1">IF(AND(ISNUMBER($AK$776),$B$419=1),$AK$776,HLOOKUP(INDIRECT(ADDRESS(2,COLUMN())),OFFSET($BN$2,0,0,ROW()-1,60),ROW()-1,FALSE))</f>
        <v>2293.2420000000002</v>
      </c>
      <c r="AL335">
        <f ca="1">IF(AND(ISNUMBER($AL$776),$B$419=1),$AL$776,HLOOKUP(INDIRECT(ADDRESS(2,COLUMN())),OFFSET($BN$2,0,0,ROW()-1,60),ROW()-1,FALSE))</f>
        <v>3326.6419999999998</v>
      </c>
      <c r="AM335">
        <f ca="1">IF(AND(ISNUMBER($AM$776),$B$419=1),$AM$776,HLOOKUP(INDIRECT(ADDRESS(2,COLUMN())),OFFSET($BN$2,0,0,ROW()-1,60),ROW()-1,FALSE))</f>
        <v>3957.7179999999998</v>
      </c>
      <c r="AN335">
        <f ca="1">IF(AND(ISNUMBER($AN$776),$B$419=1),$AN$776,HLOOKUP(INDIRECT(ADDRESS(2,COLUMN())),OFFSET($BN$2,0,0,ROW()-1,60),ROW()-1,FALSE))</f>
        <v>3745.6930000000002</v>
      </c>
      <c r="AO335">
        <f ca="1">IF(AND(ISNUMBER($AO$776),$B$419=1),$AO$776,HLOOKUP(INDIRECT(ADDRESS(2,COLUMN())),OFFSET($BN$2,0,0,ROW()-1,60),ROW()-1,FALSE))</f>
        <v>2628.431</v>
      </c>
      <c r="AP335">
        <f ca="1">IF(AND(ISNUMBER($AP$776),$B$419=1),$AP$776,HLOOKUP(INDIRECT(ADDRESS(2,COLUMN())),OFFSET($BN$2,0,0,ROW()-1,60),ROW()-1,FALSE))</f>
        <v>898.32799999999997</v>
      </c>
      <c r="AQ335">
        <f ca="1">IF(AND(ISNUMBER($AQ$776),$B$419=1),$AQ$776,HLOOKUP(INDIRECT(ADDRESS(2,COLUMN())),OFFSET($BN$2,0,0,ROW()-1,60),ROW()-1,FALSE))</f>
        <v>773.54399999999998</v>
      </c>
      <c r="AR335">
        <f ca="1">IF(AND(ISNUMBER($AR$776),$B$419=1),$AR$776,HLOOKUP(INDIRECT(ADDRESS(2,COLUMN())),OFFSET($BN$2,0,0,ROW()-1,60),ROW()-1,FALSE))</f>
        <v>646.11599999999999</v>
      </c>
      <c r="AS335">
        <f ca="1">IF(AND(ISNUMBER($AS$776),$B$419=1),$AS$776,HLOOKUP(INDIRECT(ADDRESS(2,COLUMN())),OFFSET($BN$2,0,0,ROW()-1,60),ROW()-1,FALSE))</f>
        <v>503.87900000000002</v>
      </c>
      <c r="AT335">
        <f ca="1">IF(AND(ISNUMBER($AT$776),$B$419=1),$AT$776,HLOOKUP(INDIRECT(ADDRESS(2,COLUMN())),OFFSET($BN$2,0,0,ROW()-1,60),ROW()-1,FALSE))</f>
        <v>428.65899999999999</v>
      </c>
      <c r="AU335">
        <f ca="1">IF(AND(ISNUMBER($AU$776),$B$419=1),$AU$776,HLOOKUP(INDIRECT(ADDRESS(2,COLUMN())),OFFSET($BN$2,0,0,ROW()-1,60),ROW()-1,FALSE))</f>
        <v>501.98200000000003</v>
      </c>
      <c r="AV335">
        <f ca="1">IF(AND(ISNUMBER($AV$776),$B$419=1),$AV$776,HLOOKUP(INDIRECT(ADDRESS(2,COLUMN())),OFFSET($BN$2,0,0,ROW()-1,60),ROW()-1,FALSE))</f>
        <v>389.96800000000002</v>
      </c>
      <c r="AW335">
        <f ca="1">IF(AND(ISNUMBER($AW$776),$B$419=1),$AW$776,HLOOKUP(INDIRECT(ADDRESS(2,COLUMN())),OFFSET($BN$2,0,0,ROW()-1,60),ROW()-1,FALSE))</f>
        <v>381.17500000000001</v>
      </c>
      <c r="AX335">
        <f ca="1">IF(AND(ISNUMBER($AX$776),$B$419=1),$AX$776,HLOOKUP(INDIRECT(ADDRESS(2,COLUMN())),OFFSET($BN$2,0,0,ROW()-1,60),ROW()-1,FALSE))</f>
        <v>339.95299999999997</v>
      </c>
      <c r="AY335">
        <f ca="1">IF(AND(ISNUMBER($AY$776),$B$419=1),$AY$776,HLOOKUP(INDIRECT(ADDRESS(2,COLUMN())),OFFSET($BN$2,0,0,ROW()-1,60),ROW()-1,FALSE))</f>
        <v>929.36</v>
      </c>
      <c r="AZ335">
        <f ca="1">IF(AND(ISNUMBER($AZ$776),$B$419=1),$AZ$776,HLOOKUP(INDIRECT(ADDRESS(2,COLUMN())),OFFSET($BN$2,0,0,ROW()-1,60),ROW()-1,FALSE))</f>
        <v>322.952</v>
      </c>
      <c r="BA335">
        <f ca="1">IF(AND(ISNUMBER($BA$776),$B$419=1),$BA$776,HLOOKUP(INDIRECT(ADDRESS(2,COLUMN())),OFFSET($BN$2,0,0,ROW()-1,60),ROW()-1,FALSE))</f>
        <v>330.28500000000003</v>
      </c>
      <c r="BB335">
        <f ca="1">IF(AND(ISNUMBER($BB$776),$B$419=1),$BB$776,HLOOKUP(INDIRECT(ADDRESS(2,COLUMN())),OFFSET($BN$2,0,0,ROW()-1,60),ROW()-1,FALSE))</f>
        <v>299.03699999999998</v>
      </c>
      <c r="BC335">
        <f ca="1">IF(AND(ISNUMBER($BC$776),$B$419=1),$BC$776,HLOOKUP(INDIRECT(ADDRESS(2,COLUMN())),OFFSET($BN$2,0,0,ROW()-1,60),ROW()-1,FALSE))</f>
        <v>337.048</v>
      </c>
      <c r="BD335">
        <f ca="1">IF(AND(ISNUMBER($BD$776),$B$419=1),$BD$776,HLOOKUP(INDIRECT(ADDRESS(2,COLUMN())),OFFSET($BN$2,0,0,ROW()-1,60),ROW()-1,FALSE))</f>
        <v>422.791</v>
      </c>
      <c r="BE335">
        <f ca="1">IF(AND(ISNUMBER($BE$776),$B$419=1),$BE$776,HLOOKUP(INDIRECT(ADDRESS(2,COLUMN())),OFFSET($BN$2,0,0,ROW()-1,60),ROW()-1,FALSE))</f>
        <v>375.57499999999999</v>
      </c>
      <c r="BF335">
        <f ca="1">IF(AND(ISNUMBER($BF$776),$B$419=1),$BF$776,HLOOKUP(INDIRECT(ADDRESS(2,COLUMN())),OFFSET($BN$2,0,0,ROW()-1,60),ROW()-1,FALSE))</f>
        <v>283.529</v>
      </c>
      <c r="BG335">
        <f ca="1">IF(AND(ISNUMBER($BG$776),$B$419=1),$BG$776,HLOOKUP(INDIRECT(ADDRESS(2,COLUMN())),OFFSET($BN$2,0,0,ROW()-1,60),ROW()-1,FALSE))</f>
        <v>520.08399999999995</v>
      </c>
      <c r="BH335">
        <f ca="1">IF(AND(ISNUMBER($BH$776),$B$419=1),$BH$776,HLOOKUP(INDIRECT(ADDRESS(2,COLUMN())),OFFSET($BN$2,0,0,ROW()-1,60),ROW()-1,FALSE))</f>
        <v>488.97300000000001</v>
      </c>
      <c r="BI335">
        <f ca="1">IF(AND(ISNUMBER($BI$776),$B$419=1),$BI$776,HLOOKUP(INDIRECT(ADDRESS(2,COLUMN())),OFFSET($BN$2,0,0,ROW()-1,60),ROW()-1,FALSE))</f>
        <v>519.07000000000005</v>
      </c>
      <c r="BJ335">
        <f ca="1">IF(AND(ISNUMBER($BJ$776),$B$419=1),$BJ$776,HLOOKUP(INDIRECT(ADDRESS(2,COLUMN())),OFFSET($BN$2,0,0,ROW()-1,60),ROW()-1,FALSE))</f>
        <v>489.75700000000001</v>
      </c>
      <c r="BK335">
        <f ca="1">IF(AND(ISNUMBER($BK$776),$B$419=1),$BK$776,HLOOKUP(INDIRECT(ADDRESS(2,COLUMN())),OFFSET($BN$2,0,0,ROW()-1,60),ROW()-1,FALSE))</f>
        <v>535.62300000000005</v>
      </c>
      <c r="BL335">
        <f ca="1">IF(AND(ISNUMBER($BL$776),$B$419=1),$BL$776,HLOOKUP(INDIRECT(ADDRESS(2,COLUMN())),OFFSET($BN$2,0,0,ROW()-1,60),ROW()-1,FALSE))</f>
        <v>361.06700000000001</v>
      </c>
      <c r="BM335">
        <f ca="1">IF(AND(ISNUMBER($BM$776),$B$419=1),$BM$776,HLOOKUP(INDIRECT(ADDRESS(2,COLUMN())),OFFSET($BN$2,0,0,ROW()-1,60),ROW()-1,FALSE))</f>
        <v>351.40800000000002</v>
      </c>
      <c r="BN335" t="str">
        <f>""</f>
        <v/>
      </c>
      <c r="BO335">
        <f>1482.309</f>
        <v>1482.309</v>
      </c>
      <c r="BP335">
        <f>508.405</f>
        <v>508.40499999999997</v>
      </c>
      <c r="BQ335">
        <f>488.614</f>
        <v>488.61399999999998</v>
      </c>
      <c r="BR335">
        <f>513.4</f>
        <v>513.4</v>
      </c>
      <c r="BS335">
        <f>560.059</f>
        <v>560.05899999999997</v>
      </c>
      <c r="BT335">
        <f>814.747</f>
        <v>814.74699999999996</v>
      </c>
      <c r="BU335">
        <f>884.281</f>
        <v>884.28099999999995</v>
      </c>
      <c r="BV335">
        <f>805.076</f>
        <v>805.07600000000002</v>
      </c>
      <c r="BW335">
        <f>701.134</f>
        <v>701.13400000000001</v>
      </c>
      <c r="BX335">
        <f>856.861</f>
        <v>856.86099999999999</v>
      </c>
      <c r="BY335">
        <f>565.657</f>
        <v>565.65700000000004</v>
      </c>
      <c r="BZ335">
        <f>833.732</f>
        <v>833.73199999999997</v>
      </c>
      <c r="CA335">
        <f>612.282</f>
        <v>612.28200000000004</v>
      </c>
      <c r="CB335">
        <f>817.998</f>
        <v>817.99800000000005</v>
      </c>
      <c r="CC335">
        <f>1665.817</f>
        <v>1665.817</v>
      </c>
      <c r="CD335">
        <f>1013.368</f>
        <v>1013.3680000000001</v>
      </c>
      <c r="CE335">
        <f>1716.863</f>
        <v>1716.8630000000001</v>
      </c>
      <c r="CF335">
        <f>1099.321</f>
        <v>1099.3209999999999</v>
      </c>
      <c r="CG335">
        <f>1095.829</f>
        <v>1095.829</v>
      </c>
      <c r="CH335">
        <f>829.966</f>
        <v>829.96600000000001</v>
      </c>
      <c r="CI335">
        <f>1184.518</f>
        <v>1184.518</v>
      </c>
      <c r="CJ335">
        <f>452.712</f>
        <v>452.71199999999999</v>
      </c>
      <c r="CK335">
        <f>638.499</f>
        <v>638.49900000000002</v>
      </c>
      <c r="CL335">
        <f>880.549</f>
        <v>880.54899999999998</v>
      </c>
      <c r="CM335">
        <f>798.65</f>
        <v>798.65</v>
      </c>
      <c r="CN335">
        <f>575.817</f>
        <v>575.81700000000001</v>
      </c>
      <c r="CO335">
        <f>789.713</f>
        <v>789.71299999999997</v>
      </c>
      <c r="CP335">
        <f>636.05</f>
        <v>636.04999999999995</v>
      </c>
      <c r="CQ335">
        <f>796.718</f>
        <v>796.71799999999996</v>
      </c>
      <c r="CR335">
        <f>1011.574</f>
        <v>1011.574</v>
      </c>
      <c r="CS335">
        <f>2293.242</f>
        <v>2293.2420000000002</v>
      </c>
      <c r="CT335">
        <f>3326.642</f>
        <v>3326.6419999999998</v>
      </c>
      <c r="CU335">
        <f>3957.718</f>
        <v>3957.7179999999998</v>
      </c>
      <c r="CV335">
        <f>3745.693</f>
        <v>3745.6930000000002</v>
      </c>
      <c r="CW335">
        <f>2628.431</f>
        <v>2628.431</v>
      </c>
      <c r="CX335">
        <f>898.328</f>
        <v>898.32799999999997</v>
      </c>
      <c r="CY335">
        <f>773.544</f>
        <v>773.54399999999998</v>
      </c>
      <c r="CZ335">
        <f>646.116</f>
        <v>646.11599999999999</v>
      </c>
      <c r="DA335">
        <f>503.879</f>
        <v>503.87900000000002</v>
      </c>
      <c r="DB335">
        <f>428.659</f>
        <v>428.65899999999999</v>
      </c>
      <c r="DC335">
        <f>501.982</f>
        <v>501.98200000000003</v>
      </c>
      <c r="DD335">
        <f>389.968</f>
        <v>389.96800000000002</v>
      </c>
      <c r="DE335">
        <f>381.175</f>
        <v>381.17500000000001</v>
      </c>
      <c r="DF335">
        <f>339.953</f>
        <v>339.95299999999997</v>
      </c>
      <c r="DG335">
        <f>929.36</f>
        <v>929.36</v>
      </c>
      <c r="DH335">
        <f>322.952</f>
        <v>322.952</v>
      </c>
      <c r="DI335">
        <f>330.285</f>
        <v>330.28500000000003</v>
      </c>
      <c r="DJ335">
        <f>299.037</f>
        <v>299.03699999999998</v>
      </c>
      <c r="DK335">
        <f>337.048</f>
        <v>337.048</v>
      </c>
      <c r="DL335">
        <f>422.791</f>
        <v>422.791</v>
      </c>
      <c r="DM335">
        <f>375.575</f>
        <v>375.57499999999999</v>
      </c>
      <c r="DN335">
        <f>283.529</f>
        <v>283.529</v>
      </c>
      <c r="DO335">
        <f>520.084</f>
        <v>520.08399999999995</v>
      </c>
      <c r="DP335">
        <f>488.973</f>
        <v>488.97300000000001</v>
      </c>
      <c r="DQ335">
        <f>519.07</f>
        <v>519.07000000000005</v>
      </c>
      <c r="DR335">
        <f>489.757</f>
        <v>489.75700000000001</v>
      </c>
      <c r="DS335">
        <f>535.623</f>
        <v>535.62300000000005</v>
      </c>
      <c r="DT335">
        <f>361.067</f>
        <v>361.06700000000001</v>
      </c>
      <c r="DU335">
        <f>351.408</f>
        <v>351.40800000000002</v>
      </c>
    </row>
    <row r="336" spans="1:125">
      <c r="A336" t="str">
        <f>"    Tanger Factory Outlet Centers"</f>
        <v xml:space="preserve">    Tanger Factory Outlet Centers</v>
      </c>
      <c r="B336" t="str">
        <f>"SKT US Equity"</f>
        <v>SKT US Equity</v>
      </c>
      <c r="C336" t="str">
        <f t="shared" si="60"/>
        <v>RR253</v>
      </c>
      <c r="D336" t="str">
        <f t="shared" si="61"/>
        <v>CASH_AND_MARKETABLE_SECURITIES</v>
      </c>
      <c r="E336" t="str">
        <f t="shared" si="62"/>
        <v>动态</v>
      </c>
      <c r="F336" t="str">
        <f ca="1">IF(AND(ISNUMBER($F$777),$B$419=1),$F$777,HLOOKUP(INDIRECT(ADDRESS(2,COLUMN())),OFFSET($BN$2,0,0,ROW()-1,60),ROW()-1,FALSE))</f>
        <v/>
      </c>
      <c r="G336">
        <f ca="1">IF(AND(ISNUMBER($G$777),$B$419=1),$G$777,HLOOKUP(INDIRECT(ADDRESS(2,COLUMN())),OFFSET($BN$2,0,0,ROW()-1,60),ROW()-1,FALSE))</f>
        <v>6.101</v>
      </c>
      <c r="H336">
        <f ca="1">IF(AND(ISNUMBER($H$777),$B$419=1),$H$777,HLOOKUP(INDIRECT(ADDRESS(2,COLUMN())),OFFSET($BN$2,0,0,ROW()-1,60),ROW()-1,FALSE))</f>
        <v>8.7729999999999997</v>
      </c>
      <c r="I336">
        <f ca="1">IF(AND(ISNUMBER($I$777),$B$419=1),$I$777,HLOOKUP(INDIRECT(ADDRESS(2,COLUMN())),OFFSET($BN$2,0,0,ROW()-1,60),ROW()-1,FALSE))</f>
        <v>8.3620000000000001</v>
      </c>
      <c r="J336">
        <f ca="1">IF(AND(ISNUMBER($J$777),$B$419=1),$J$777,HLOOKUP(INDIRECT(ADDRESS(2,COLUMN())),OFFSET($BN$2,0,0,ROW()-1,60),ROW()-1,FALSE))</f>
        <v>7.2249999999999996</v>
      </c>
      <c r="K336">
        <f ca="1">IF(AND(ISNUMBER($K$777),$B$419=1),$K$777,HLOOKUP(INDIRECT(ADDRESS(2,COLUMN())),OFFSET($BN$2,0,0,ROW()-1,60),ROW()-1,FALSE))</f>
        <v>12.222</v>
      </c>
      <c r="L336">
        <f ca="1">IF(AND(ISNUMBER($L$777),$B$419=1),$L$777,HLOOKUP(INDIRECT(ADDRESS(2,COLUMN())),OFFSET($BN$2,0,0,ROW()-1,60),ROW()-1,FALSE))</f>
        <v>25.902000000000001</v>
      </c>
      <c r="M336">
        <f ca="1">IF(AND(ISNUMBER($M$777),$B$419=1),$M$777,HLOOKUP(INDIRECT(ADDRESS(2,COLUMN())),OFFSET($BN$2,0,0,ROW()-1,60),ROW()-1,FALSE))</f>
        <v>27.106999999999999</v>
      </c>
      <c r="N336">
        <f ca="1">IF(AND(ISNUMBER($N$777),$B$419=1),$N$777,HLOOKUP(INDIRECT(ADDRESS(2,COLUMN())),OFFSET($BN$2,0,0,ROW()-1,60),ROW()-1,FALSE))</f>
        <v>18.876999999999999</v>
      </c>
      <c r="O336">
        <f ca="1">IF(AND(ISNUMBER($O$777),$B$419=1),$O$777,HLOOKUP(INDIRECT(ADDRESS(2,COLUMN())),OFFSET($BN$2,0,0,ROW()-1,60),ROW()-1,FALSE))</f>
        <v>21.558</v>
      </c>
      <c r="P336">
        <f ca="1">IF(AND(ISNUMBER($P$777),$B$419=1),$P$777,HLOOKUP(INDIRECT(ADDRESS(2,COLUMN())),OFFSET($BN$2,0,0,ROW()-1,60),ROW()-1,FALSE))</f>
        <v>20.661000000000001</v>
      </c>
      <c r="Q336">
        <f ca="1">IF(AND(ISNUMBER($Q$777),$B$419=1),$Q$777,HLOOKUP(INDIRECT(ADDRESS(2,COLUMN())),OFFSET($BN$2,0,0,ROW()-1,60),ROW()-1,FALSE))</f>
        <v>16.949000000000002</v>
      </c>
      <c r="R336">
        <f ca="1">IF(AND(ISNUMBER($R$777),$B$419=1),$R$777,HLOOKUP(INDIRECT(ADDRESS(2,COLUMN())),OFFSET($BN$2,0,0,ROW()-1,60),ROW()-1,FALSE))</f>
        <v>14.661</v>
      </c>
      <c r="S336">
        <f ca="1">IF(AND(ISNUMBER($S$777),$B$419=1),$S$777,HLOOKUP(INDIRECT(ADDRESS(2,COLUMN())),OFFSET($BN$2,0,0,ROW()-1,60),ROW()-1,FALSE))</f>
        <v>16.875</v>
      </c>
      <c r="T336">
        <f ca="1">IF(AND(ISNUMBER($T$777),$B$419=1),$T$777,HLOOKUP(INDIRECT(ADDRESS(2,COLUMN())),OFFSET($BN$2,0,0,ROW()-1,60),ROW()-1,FALSE))</f>
        <v>10.824</v>
      </c>
      <c r="U336">
        <f ca="1">IF(AND(ISNUMBER($U$777),$B$419=1),$U$777,HLOOKUP(INDIRECT(ADDRESS(2,COLUMN())),OFFSET($BN$2,0,0,ROW()-1,60),ROW()-1,FALSE))</f>
        <v>13.24</v>
      </c>
      <c r="V336">
        <f ca="1">IF(AND(ISNUMBER($V$777),$B$419=1),$V$777,HLOOKUP(INDIRECT(ADDRESS(2,COLUMN())),OFFSET($BN$2,0,0,ROW()-1,60),ROW()-1,FALSE))</f>
        <v>16.905999999999999</v>
      </c>
      <c r="W336">
        <f ca="1">IF(AND(ISNUMBER($W$777),$B$419=1),$W$777,HLOOKUP(INDIRECT(ADDRESS(2,COLUMN())),OFFSET($BN$2,0,0,ROW()-1,60),ROW()-1,FALSE))</f>
        <v>15.241</v>
      </c>
      <c r="X336">
        <f ca="1">IF(AND(ISNUMBER($X$777),$B$419=1),$X$777,HLOOKUP(INDIRECT(ADDRESS(2,COLUMN())),OFFSET($BN$2,0,0,ROW()-1,60),ROW()-1,FALSE))</f>
        <v>10.481999999999999</v>
      </c>
      <c r="Y336">
        <f ca="1">IF(AND(ISNUMBER($Y$777),$B$419=1),$Y$777,HLOOKUP(INDIRECT(ADDRESS(2,COLUMN())),OFFSET($BN$2,0,0,ROW()-1,60),ROW()-1,FALSE))</f>
        <v>5.45</v>
      </c>
      <c r="Z336">
        <f ca="1">IF(AND(ISNUMBER($Z$777),$B$419=1),$Z$777,HLOOKUP(INDIRECT(ADDRESS(2,COLUMN())),OFFSET($BN$2,0,0,ROW()-1,60),ROW()-1,FALSE))</f>
        <v>2.6909999999999998</v>
      </c>
      <c r="AA336">
        <f ca="1">IF(AND(ISNUMBER($AA$777),$B$419=1),$AA$777,HLOOKUP(INDIRECT(ADDRESS(2,COLUMN())),OFFSET($BN$2,0,0,ROW()-1,60),ROW()-1,FALSE))</f>
        <v>10.335000000000001</v>
      </c>
      <c r="AB336">
        <f ca="1">IF(AND(ISNUMBER($AB$777),$B$419=1),$AB$777,HLOOKUP(INDIRECT(ADDRESS(2,COLUMN())),OFFSET($BN$2,0,0,ROW()-1,60),ROW()-1,FALSE))</f>
        <v>9.5109999999999992</v>
      </c>
      <c r="AC336">
        <f ca="1">IF(AND(ISNUMBER($AC$777),$B$419=1),$AC$777,HLOOKUP(INDIRECT(ADDRESS(2,COLUMN())),OFFSET($BN$2,0,0,ROW()-1,60),ROW()-1,FALSE))</f>
        <v>11.855</v>
      </c>
      <c r="AD336">
        <f ca="1">IF(AND(ISNUMBER($AD$777),$B$419=1),$AD$777,HLOOKUP(INDIRECT(ADDRESS(2,COLUMN())),OFFSET($BN$2,0,0,ROW()-1,60),ROW()-1,FALSE))</f>
        <v>10.787000000000001</v>
      </c>
      <c r="AE336">
        <f ca="1">IF(AND(ISNUMBER($AE$777),$B$419=1),$AE$777,HLOOKUP(INDIRECT(ADDRESS(2,COLUMN())),OFFSET($BN$2,0,0,ROW()-1,60),ROW()-1,FALSE))</f>
        <v>7.8940000000000001</v>
      </c>
      <c r="AF336">
        <f ca="1">IF(AND(ISNUMBER($AF$777),$B$419=1),$AF$777,HLOOKUP(INDIRECT(ADDRESS(2,COLUMN())),OFFSET($BN$2,0,0,ROW()-1,60),ROW()-1,FALSE))</f>
        <v>3.694</v>
      </c>
      <c r="AG336">
        <f ca="1">IF(AND(ISNUMBER($AG$777),$B$419=1),$AG$777,HLOOKUP(INDIRECT(ADDRESS(2,COLUMN())),OFFSET($BN$2,0,0,ROW()-1,60),ROW()-1,FALSE))</f>
        <v>18.437999999999999</v>
      </c>
      <c r="AH336">
        <f ca="1">IF(AND(ISNUMBER($AH$777),$B$419=1),$AH$777,HLOOKUP(INDIRECT(ADDRESS(2,COLUMN())),OFFSET($BN$2,0,0,ROW()-1,60),ROW()-1,FALSE))</f>
        <v>0.73099999999999998</v>
      </c>
      <c r="AI336">
        <f ca="1">IF(AND(ISNUMBER($AI$777),$B$419=1),$AI$777,HLOOKUP(INDIRECT(ADDRESS(2,COLUMN())),OFFSET($BN$2,0,0,ROW()-1,60),ROW()-1,FALSE))</f>
        <v>5.758</v>
      </c>
      <c r="AJ336">
        <f ca="1">IF(AND(ISNUMBER($AJ$777),$B$419=1),$AJ$777,HLOOKUP(INDIRECT(ADDRESS(2,COLUMN())),OFFSET($BN$2,0,0,ROW()-1,60),ROW()-1,FALSE))</f>
        <v>2.835</v>
      </c>
      <c r="AK336">
        <f ca="1">IF(AND(ISNUMBER($AK$777),$B$419=1),$AK$777,HLOOKUP(INDIRECT(ADDRESS(2,COLUMN())),OFFSET($BN$2,0,0,ROW()-1,60),ROW()-1,FALSE))</f>
        <v>3.4529999999999998</v>
      </c>
      <c r="AL336">
        <f ca="1">IF(AND(ISNUMBER($AL$777),$B$419=1),$AL$777,HLOOKUP(INDIRECT(ADDRESS(2,COLUMN())),OFFSET($BN$2,0,0,ROW()-1,60),ROW()-1,FALSE))</f>
        <v>3.1970000000000001</v>
      </c>
      <c r="AM336">
        <f ca="1">IF(AND(ISNUMBER($AM$777),$B$419=1),$AM$777,HLOOKUP(INDIRECT(ADDRESS(2,COLUMN())),OFFSET($BN$2,0,0,ROW()-1,60),ROW()-1,FALSE))</f>
        <v>3.2669999999999999</v>
      </c>
      <c r="AN336">
        <f ca="1">IF(AND(ISNUMBER($AN$777),$B$419=1),$AN$777,HLOOKUP(INDIRECT(ADDRESS(2,COLUMN())),OFFSET($BN$2,0,0,ROW()-1,60),ROW()-1,FALSE))</f>
        <v>4.4009999999999998</v>
      </c>
      <c r="AO336">
        <f ca="1">IF(AND(ISNUMBER($AO$777),$B$419=1),$AO$777,HLOOKUP(INDIRECT(ADDRESS(2,COLUMN())),OFFSET($BN$2,0,0,ROW()-1,60),ROW()-1,FALSE))</f>
        <v>5.15</v>
      </c>
      <c r="AP336">
        <f ca="1">IF(AND(ISNUMBER($AP$777),$B$419=1),$AP$777,HLOOKUP(INDIRECT(ADDRESS(2,COLUMN())),OFFSET($BN$2,0,0,ROW()-1,60),ROW()-1,FALSE))</f>
        <v>3.101</v>
      </c>
      <c r="AQ336">
        <f ca="1">IF(AND(ISNUMBER($AQ$777),$B$419=1),$AQ$777,HLOOKUP(INDIRECT(ADDRESS(2,COLUMN())),OFFSET($BN$2,0,0,ROW()-1,60),ROW()-1,FALSE))</f>
        <v>4.9770000000000003</v>
      </c>
      <c r="AR336">
        <f ca="1">IF(AND(ISNUMBER($AR$777),$B$419=1),$AR$777,HLOOKUP(INDIRECT(ADDRESS(2,COLUMN())),OFFSET($BN$2,0,0,ROW()-1,60),ROW()-1,FALSE))</f>
        <v>3.7530000000000001</v>
      </c>
      <c r="AS336">
        <f ca="1">IF(AND(ISNUMBER($AS$777),$B$419=1),$AS$777,HLOOKUP(INDIRECT(ADDRESS(2,COLUMN())),OFFSET($BN$2,0,0,ROW()-1,60),ROW()-1,FALSE))</f>
        <v>1.0880000000000001</v>
      </c>
      <c r="AT336">
        <f ca="1">IF(AND(ISNUMBER($AT$777),$B$419=1),$AT$777,HLOOKUP(INDIRECT(ADDRESS(2,COLUMN())),OFFSET($BN$2,0,0,ROW()-1,60),ROW()-1,FALSE))</f>
        <v>2.302</v>
      </c>
      <c r="AU336">
        <f ca="1">IF(AND(ISNUMBER($AU$777),$B$419=1),$AU$777,HLOOKUP(INDIRECT(ADDRESS(2,COLUMN())),OFFSET($BN$2,0,0,ROW()-1,60),ROW()-1,FALSE))</f>
        <v>2.4119999999999999</v>
      </c>
      <c r="AV336">
        <f ca="1">IF(AND(ISNUMBER($AV$777),$B$419=1),$AV$777,HLOOKUP(INDIRECT(ADDRESS(2,COLUMN())),OFFSET($BN$2,0,0,ROW()-1,60),ROW()-1,FALSE))</f>
        <v>2.4340000000000002</v>
      </c>
      <c r="AW336">
        <f ca="1">IF(AND(ISNUMBER($AW$777),$B$419=1),$AW$777,HLOOKUP(INDIRECT(ADDRESS(2,COLUMN())),OFFSET($BN$2,0,0,ROW()-1,60),ROW()-1,FALSE))</f>
        <v>1.2230000000000001</v>
      </c>
      <c r="AX336">
        <f ca="1">IF(AND(ISNUMBER($AX$777),$B$419=1),$AX$777,HLOOKUP(INDIRECT(ADDRESS(2,COLUMN())),OFFSET($BN$2,0,0,ROW()-1,60),ROW()-1,FALSE))</f>
        <v>3.2730000000000001</v>
      </c>
      <c r="AY336">
        <f ca="1">IF(AND(ISNUMBER($AY$777),$B$419=1),$AY$777,HLOOKUP(INDIRECT(ADDRESS(2,COLUMN())),OFFSET($BN$2,0,0,ROW()-1,60),ROW()-1,FALSE))</f>
        <v>8.4529999999999994</v>
      </c>
      <c r="AZ336">
        <f ca="1">IF(AND(ISNUMBER($AZ$777),$B$419=1),$AZ$777,HLOOKUP(INDIRECT(ADDRESS(2,COLUMN())),OFFSET($BN$2,0,0,ROW()-1,60),ROW()-1,FALSE))</f>
        <v>20.196999999999999</v>
      </c>
      <c r="BA336">
        <f ca="1">IF(AND(ISNUMBER($BA$777),$B$419=1),$BA$777,HLOOKUP(INDIRECT(ADDRESS(2,COLUMN())),OFFSET($BN$2,0,0,ROW()-1,60),ROW()-1,FALSE))</f>
        <v>1.7849999999999999</v>
      </c>
      <c r="BB336">
        <f ca="1">IF(AND(ISNUMBER($BB$777),$B$419=1),$BB$777,HLOOKUP(INDIRECT(ADDRESS(2,COLUMN())),OFFSET($BN$2,0,0,ROW()-1,60),ROW()-1,FALSE))</f>
        <v>2.153</v>
      </c>
      <c r="BC336">
        <f ca="1">IF(AND(ISNUMBER($BC$777),$B$419=1),$BC$777,HLOOKUP(INDIRECT(ADDRESS(2,COLUMN())),OFFSET($BN$2,0,0,ROW()-1,60),ROW()-1,FALSE))</f>
        <v>2.93</v>
      </c>
      <c r="BD336">
        <f ca="1">IF(AND(ISNUMBER($BD$777),$B$419=1),$BD$777,HLOOKUP(INDIRECT(ADDRESS(2,COLUMN())),OFFSET($BN$2,0,0,ROW()-1,60),ROW()-1,FALSE))</f>
        <v>6.2190000000000003</v>
      </c>
      <c r="BE336">
        <f ca="1">IF(AND(ISNUMBER($BE$777),$B$419=1),$BE$777,HLOOKUP(INDIRECT(ADDRESS(2,COLUMN())),OFFSET($BN$2,0,0,ROW()-1,60),ROW()-1,FALSE))</f>
        <v>3.5430000000000001</v>
      </c>
      <c r="BF336">
        <f ca="1">IF(AND(ISNUMBER($BF$777),$B$419=1),$BF$777,HLOOKUP(INDIRECT(ADDRESS(2,COLUMN())),OFFSET($BN$2,0,0,ROW()-1,60),ROW()-1,FALSE))</f>
        <v>6.5309999999999997</v>
      </c>
      <c r="BG336">
        <f ca="1">IF(AND(ISNUMBER($BG$777),$B$419=1),$BG$777,HLOOKUP(INDIRECT(ADDRESS(2,COLUMN())),OFFSET($BN$2,0,0,ROW()-1,60),ROW()-1,FALSE))</f>
        <v>4.1029999999999998</v>
      </c>
      <c r="BH336">
        <f ca="1">IF(AND(ISNUMBER($BH$777),$B$419=1),$BH$777,HLOOKUP(INDIRECT(ADDRESS(2,COLUMN())),OFFSET($BN$2,0,0,ROW()-1,60),ROW()-1,FALSE))</f>
        <v>27.135000000000002</v>
      </c>
      <c r="BI336">
        <f ca="1">IF(AND(ISNUMBER($BI$777),$B$419=1),$BI$777,HLOOKUP(INDIRECT(ADDRESS(2,COLUMN())),OFFSET($BN$2,0,0,ROW()-1,60),ROW()-1,FALSE))</f>
        <v>8.6940000000000008</v>
      </c>
      <c r="BJ336">
        <f ca="1">IF(AND(ISNUMBER($BJ$777),$B$419=1),$BJ$777,HLOOKUP(INDIRECT(ADDRESS(2,COLUMN())),OFFSET($BN$2,0,0,ROW()-1,60),ROW()-1,FALSE))</f>
        <v>10.781000000000001</v>
      </c>
      <c r="BK336">
        <f ca="1">IF(AND(ISNUMBER($BK$777),$B$419=1),$BK$777,HLOOKUP(INDIRECT(ADDRESS(2,COLUMN())),OFFSET($BN$2,0,0,ROW()-1,60),ROW()-1,FALSE))</f>
        <v>9.8360004429999996</v>
      </c>
      <c r="BL336">
        <f ca="1">IF(AND(ISNUMBER($BL$777),$B$419=1),$BL$777,HLOOKUP(INDIRECT(ADDRESS(2,COLUMN())),OFFSET($BN$2,0,0,ROW()-1,60),ROW()-1,FALSE))</f>
        <v>0.20899999999999999</v>
      </c>
      <c r="BM336">
        <f ca="1">IF(AND(ISNUMBER($BM$777),$B$419=1),$BM$777,HLOOKUP(INDIRECT(ADDRESS(2,COLUMN())),OFFSET($BN$2,0,0,ROW()-1,60),ROW()-1,FALSE))</f>
        <v>0.20300000000000001</v>
      </c>
      <c r="BN336" t="str">
        <f>""</f>
        <v/>
      </c>
      <c r="BO336">
        <f>6.101</f>
        <v>6.101</v>
      </c>
      <c r="BP336">
        <f>8.773</f>
        <v>8.7729999999999997</v>
      </c>
      <c r="BQ336">
        <f>8.362</f>
        <v>8.3620000000000001</v>
      </c>
      <c r="BR336">
        <f>7.225</f>
        <v>7.2249999999999996</v>
      </c>
      <c r="BS336">
        <f>12.222</f>
        <v>12.222</v>
      </c>
      <c r="BT336">
        <f>25.902</f>
        <v>25.902000000000001</v>
      </c>
      <c r="BU336">
        <f>27.107</f>
        <v>27.106999999999999</v>
      </c>
      <c r="BV336">
        <f>18.877</f>
        <v>18.876999999999999</v>
      </c>
      <c r="BW336">
        <f>21.558</f>
        <v>21.558</v>
      </c>
      <c r="BX336">
        <f>20.661</f>
        <v>20.661000000000001</v>
      </c>
      <c r="BY336">
        <f>16.949</f>
        <v>16.949000000000002</v>
      </c>
      <c r="BZ336">
        <f>14.661</f>
        <v>14.661</v>
      </c>
      <c r="CA336">
        <f>16.875</f>
        <v>16.875</v>
      </c>
      <c r="CB336">
        <f>10.824</f>
        <v>10.824</v>
      </c>
      <c r="CC336">
        <f>13.24</f>
        <v>13.24</v>
      </c>
      <c r="CD336">
        <f>16.906</f>
        <v>16.905999999999999</v>
      </c>
      <c r="CE336">
        <f>15.241</f>
        <v>15.241</v>
      </c>
      <c r="CF336">
        <f>10.482</f>
        <v>10.481999999999999</v>
      </c>
      <c r="CG336">
        <f>5.45</f>
        <v>5.45</v>
      </c>
      <c r="CH336">
        <f>2.691</f>
        <v>2.6909999999999998</v>
      </c>
      <c r="CI336">
        <f>10.335</f>
        <v>10.335000000000001</v>
      </c>
      <c r="CJ336">
        <f>9.511</f>
        <v>9.5109999999999992</v>
      </c>
      <c r="CK336">
        <f>11.855</f>
        <v>11.855</v>
      </c>
      <c r="CL336">
        <f>10.787</f>
        <v>10.787000000000001</v>
      </c>
      <c r="CM336">
        <f>7.894</f>
        <v>7.8940000000000001</v>
      </c>
      <c r="CN336">
        <f>3.694</f>
        <v>3.694</v>
      </c>
      <c r="CO336">
        <f>18.438</f>
        <v>18.437999999999999</v>
      </c>
      <c r="CP336">
        <f>0.731</f>
        <v>0.73099999999999998</v>
      </c>
      <c r="CQ336">
        <f>5.758</f>
        <v>5.758</v>
      </c>
      <c r="CR336">
        <f>2.835</f>
        <v>2.835</v>
      </c>
      <c r="CS336">
        <f>3.453</f>
        <v>3.4529999999999998</v>
      </c>
      <c r="CT336">
        <f>3.197</f>
        <v>3.1970000000000001</v>
      </c>
      <c r="CU336">
        <f>3.267</f>
        <v>3.2669999999999999</v>
      </c>
      <c r="CV336">
        <f>4.401</f>
        <v>4.4009999999999998</v>
      </c>
      <c r="CW336">
        <f>5.15</f>
        <v>5.15</v>
      </c>
      <c r="CX336">
        <f>3.101</f>
        <v>3.101</v>
      </c>
      <c r="CY336">
        <f>4.977</f>
        <v>4.9770000000000003</v>
      </c>
      <c r="CZ336">
        <f>3.753</f>
        <v>3.7530000000000001</v>
      </c>
      <c r="DA336">
        <f>1.088</f>
        <v>1.0880000000000001</v>
      </c>
      <c r="DB336">
        <f>2.302</f>
        <v>2.302</v>
      </c>
      <c r="DC336">
        <f>2.412</f>
        <v>2.4119999999999999</v>
      </c>
      <c r="DD336">
        <f>2.434</f>
        <v>2.4340000000000002</v>
      </c>
      <c r="DE336">
        <f>1.223</f>
        <v>1.2230000000000001</v>
      </c>
      <c r="DF336">
        <f>3.273</f>
        <v>3.2730000000000001</v>
      </c>
      <c r="DG336">
        <f>8.453</f>
        <v>8.4529999999999994</v>
      </c>
      <c r="DH336">
        <f>20.197</f>
        <v>20.196999999999999</v>
      </c>
      <c r="DI336">
        <f>1.785</f>
        <v>1.7849999999999999</v>
      </c>
      <c r="DJ336">
        <f>2.153</f>
        <v>2.153</v>
      </c>
      <c r="DK336">
        <f>2.93</f>
        <v>2.93</v>
      </c>
      <c r="DL336">
        <f>6.219</f>
        <v>6.2190000000000003</v>
      </c>
      <c r="DM336">
        <f>3.543</f>
        <v>3.5430000000000001</v>
      </c>
      <c r="DN336">
        <f>6.531</f>
        <v>6.5309999999999997</v>
      </c>
      <c r="DO336">
        <f>4.103</f>
        <v>4.1029999999999998</v>
      </c>
      <c r="DP336">
        <f>27.135</f>
        <v>27.135000000000002</v>
      </c>
      <c r="DQ336">
        <f>8.694</f>
        <v>8.6940000000000008</v>
      </c>
      <c r="DR336">
        <f>10.781</f>
        <v>10.781000000000001</v>
      </c>
      <c r="DS336">
        <f>9.836000443</f>
        <v>9.8360004429999996</v>
      </c>
      <c r="DT336">
        <f>0.209</f>
        <v>0.20899999999999999</v>
      </c>
      <c r="DU336">
        <f>0.203</f>
        <v>0.20300000000000001</v>
      </c>
    </row>
    <row r="337" spans="1:125">
      <c r="A337" t="str">
        <f>"    VEREIT Inc"</f>
        <v xml:space="preserve">    VEREIT Inc</v>
      </c>
      <c r="B337" t="str">
        <f>"VER US Equity"</f>
        <v>VER US Equity</v>
      </c>
      <c r="C337" t="str">
        <f t="shared" si="60"/>
        <v>RR253</v>
      </c>
      <c r="D337" t="str">
        <f t="shared" si="61"/>
        <v>CASH_AND_MARKETABLE_SECURITIES</v>
      </c>
      <c r="E337" t="str">
        <f t="shared" si="62"/>
        <v>动态</v>
      </c>
      <c r="F337" t="str">
        <f ca="1">IF(AND(ISNUMBER($F$778),$B$419=1),$F$778,HLOOKUP(INDIRECT(ADDRESS(2,COLUMN())),OFFSET($BN$2,0,0,ROW()-1,60),ROW()-1,FALSE))</f>
        <v/>
      </c>
      <c r="G337">
        <f ca="1">IF(AND(ISNUMBER($G$778),$B$419=1),$G$778,HLOOKUP(INDIRECT(ADDRESS(2,COLUMN())),OFFSET($BN$2,0,0,ROW()-1,60),ROW()-1,FALSE))</f>
        <v>34.176000000000002</v>
      </c>
      <c r="H337">
        <f ca="1">IF(AND(ISNUMBER($H$778),$B$419=1),$H$778,HLOOKUP(INDIRECT(ADDRESS(2,COLUMN())),OFFSET($BN$2,0,0,ROW()-1,60),ROW()-1,FALSE))</f>
        <v>54.363</v>
      </c>
      <c r="I337">
        <f ca="1">IF(AND(ISNUMBER($I$778),$B$419=1),$I$778,HLOOKUP(INDIRECT(ADDRESS(2,COLUMN())),OFFSET($BN$2,0,0,ROW()-1,60),ROW()-1,FALSE))</f>
        <v>292.49799999999999</v>
      </c>
      <c r="J337">
        <f ca="1">IF(AND(ISNUMBER($J$778),$B$419=1),$J$778,HLOOKUP(INDIRECT(ADDRESS(2,COLUMN())),OFFSET($BN$2,0,0,ROW()-1,60),ROW()-1,FALSE))</f>
        <v>285.58600000000001</v>
      </c>
      <c r="K337">
        <f ca="1">IF(AND(ISNUMBER($K$778),$B$419=1),$K$778,HLOOKUP(INDIRECT(ADDRESS(2,COLUMN())),OFFSET($BN$2,0,0,ROW()-1,60),ROW()-1,FALSE))</f>
        <v>256.452</v>
      </c>
      <c r="L337">
        <f ca="1">IF(AND(ISNUMBER($L$778),$B$419=1),$L$778,HLOOKUP(INDIRECT(ADDRESS(2,COLUMN())),OFFSET($BN$2,0,0,ROW()-1,60),ROW()-1,FALSE))</f>
        <v>116.61799999999999</v>
      </c>
      <c r="M337">
        <f ca="1">IF(AND(ISNUMBER($M$778),$B$419=1),$M$778,HLOOKUP(INDIRECT(ADDRESS(2,COLUMN())),OFFSET($BN$2,0,0,ROW()-1,60),ROW()-1,FALSE))</f>
        <v>1029.6199999999999</v>
      </c>
      <c r="N337">
        <f ca="1">IF(AND(ISNUMBER($N$778),$B$419=1),$N$778,HLOOKUP(INDIRECT(ADDRESS(2,COLUMN())),OFFSET($BN$2,0,0,ROW()-1,60),ROW()-1,FALSE))</f>
        <v>104.45</v>
      </c>
      <c r="O337">
        <f ca="1">IF(AND(ISNUMBER($O$778),$B$419=1),$O$778,HLOOKUP(INDIRECT(ADDRESS(2,COLUMN())),OFFSET($BN$2,0,0,ROW()-1,60),ROW()-1,FALSE))</f>
        <v>69.102999999999994</v>
      </c>
      <c r="P337">
        <f ca="1">IF(AND(ISNUMBER($P$778),$B$419=1),$P$778,HLOOKUP(INDIRECT(ADDRESS(2,COLUMN())),OFFSET($BN$2,0,0,ROW()-1,60),ROW()-1,FALSE))</f>
        <v>171.65899999999999</v>
      </c>
      <c r="Q337">
        <f ca="1">IF(AND(ISNUMBER($Q$778),$B$419=1),$Q$778,HLOOKUP(INDIRECT(ADDRESS(2,COLUMN())),OFFSET($BN$2,0,0,ROW()-1,60),ROW()-1,FALSE))</f>
        <v>121.651</v>
      </c>
      <c r="R337">
        <f ca="1">IF(AND(ISNUMBER($R$778),$B$419=1),$R$778,HLOOKUP(INDIRECT(ADDRESS(2,COLUMN())),OFFSET($BN$2,0,0,ROW()-1,60),ROW()-1,FALSE))</f>
        <v>788.73900000000003</v>
      </c>
      <c r="S337">
        <f ca="1">IF(AND(ISNUMBER($S$778),$B$419=1),$S$778,HLOOKUP(INDIRECT(ADDRESS(2,COLUMN())),OFFSET($BN$2,0,0,ROW()-1,60),ROW()-1,FALSE))</f>
        <v>416.71100000000001</v>
      </c>
      <c r="T337">
        <f ca="1">IF(AND(ISNUMBER($T$778),$B$419=1),$T$778,HLOOKUP(INDIRECT(ADDRESS(2,COLUMN())),OFFSET($BN$2,0,0,ROW()-1,60),ROW()-1,FALSE))</f>
        <v>145.31</v>
      </c>
      <c r="U337">
        <f ca="1">IF(AND(ISNUMBER($U$778),$B$419=1),$U$778,HLOOKUP(INDIRECT(ADDRESS(2,COLUMN())),OFFSET($BN$2,0,0,ROW()-1,60),ROW()-1,FALSE))</f>
        <v>193.69</v>
      </c>
      <c r="V337">
        <f ca="1">IF(AND(ISNUMBER($V$778),$B$419=1),$V$778,HLOOKUP(INDIRECT(ADDRESS(2,COLUMN())),OFFSET($BN$2,0,0,ROW()-1,60),ROW()-1,FALSE))</f>
        <v>83.066999999999993</v>
      </c>
      <c r="W337">
        <f ca="1">IF(AND(ISNUMBER($W$778),$B$419=1),$W$778,HLOOKUP(INDIRECT(ADDRESS(2,COLUMN())),OFFSET($BN$2,0,0,ROW()-1,60),ROW()-1,FALSE))</f>
        <v>52.725000000000001</v>
      </c>
      <c r="X337">
        <f ca="1">IF(AND(ISNUMBER($X$778),$B$419=1),$X$778,HLOOKUP(INDIRECT(ADDRESS(2,COLUMN())),OFFSET($BN$2,0,0,ROW()-1,60),ROW()-1,FALSE))</f>
        <v>150.48099999999999</v>
      </c>
      <c r="Y337">
        <f ca="1">IF(AND(ISNUMBER($Y$778),$B$419=1),$Y$778,HLOOKUP(INDIRECT(ADDRESS(2,COLUMN())),OFFSET($BN$2,0,0,ROW()-1,60),ROW()-1,FALSE))</f>
        <v>10.958</v>
      </c>
      <c r="Z337">
        <f ca="1">IF(AND(ISNUMBER($Z$778),$B$419=1),$Z$778,HLOOKUP(INDIRECT(ADDRESS(2,COLUMN())),OFFSET($BN$2,0,0,ROW()-1,60),ROW()-1,FALSE))</f>
        <v>52.411999999999999</v>
      </c>
      <c r="AA337">
        <f ca="1">IF(AND(ISNUMBER($AA$778),$B$419=1),$AA$778,HLOOKUP(INDIRECT(ADDRESS(2,COLUMN())),OFFSET($BN$2,0,0,ROW()-1,60),ROW()-1,FALSE))</f>
        <v>156.87299999999999</v>
      </c>
      <c r="AB337">
        <f ca="1">IF(AND(ISNUMBER($AB$778),$B$419=1),$AB$778,HLOOKUP(INDIRECT(ADDRESS(2,COLUMN())),OFFSET($BN$2,0,0,ROW()-1,60),ROW()-1,FALSE))</f>
        <v>3.7789999999999999</v>
      </c>
      <c r="AC337">
        <f ca="1">IF(AND(ISNUMBER($AC$778),$B$419=1),$AC$778,HLOOKUP(INDIRECT(ADDRESS(2,COLUMN())),OFFSET($BN$2,0,0,ROW()-1,60),ROW()-1,FALSE))</f>
        <v>2.1070000000000002</v>
      </c>
      <c r="AD337">
        <f ca="1">IF(AND(ISNUMBER($AD$778),$B$419=1),$AD$778,HLOOKUP(INDIRECT(ADDRESS(2,COLUMN())),OFFSET($BN$2,0,0,ROW()-1,60),ROW()-1,FALSE))</f>
        <v>0.76800000000000002</v>
      </c>
      <c r="AE337">
        <f ca="1">IF(AND(ISNUMBER($AE$778),$B$419=1),$AE$778,HLOOKUP(INDIRECT(ADDRESS(2,COLUMN())),OFFSET($BN$2,0,0,ROW()-1,60),ROW()-1,FALSE))</f>
        <v>3.1480000000000001</v>
      </c>
      <c r="AF337">
        <f ca="1">IF(AND(ISNUMBER($AF$778),$B$419=1),$AF$778,HLOOKUP(INDIRECT(ADDRESS(2,COLUMN())),OFFSET($BN$2,0,0,ROW()-1,60),ROW()-1,FALSE))</f>
        <v>0.83</v>
      </c>
      <c r="AG337">
        <f ca="1">IF(AND(ISNUMBER($AG$778),$B$419=1),$AG$778,HLOOKUP(INDIRECT(ADDRESS(2,COLUMN())),OFFSET($BN$2,0,0,ROW()-1,60),ROW()-1,FALSE))</f>
        <v>1.0000000000000001E-5</v>
      </c>
      <c r="AH337">
        <f ca="1">IF(AND(ISNUMBER($AH$778),$B$419=1),$AH$778,HLOOKUP(INDIRECT(ADDRESS(2,COLUMN())),OFFSET($BN$2,0,0,ROW()-1,60),ROW()-1,FALSE))</f>
        <v>0.51393999999999995</v>
      </c>
      <c r="AI337" t="str">
        <f ca="1">IF(AND(ISNUMBER($AI$778),$B$419=1),$AI$778,HLOOKUP(INDIRECT(ADDRESS(2,COLUMN())),OFFSET($BN$2,0,0,ROW()-1,60),ROW()-1,FALSE))</f>
        <v/>
      </c>
      <c r="AJ337">
        <f ca="1">IF(AND(ISNUMBER($AJ$778),$B$419=1),$AJ$778,HLOOKUP(INDIRECT(ADDRESS(2,COLUMN())),OFFSET($BN$2,0,0,ROW()-1,60),ROW()-1,FALSE))</f>
        <v>0.51541199999999998</v>
      </c>
      <c r="AK337" t="str">
        <f ca="1">IF(AND(ISNUMBER($AK$778),$B$419=1),$AK$778,HLOOKUP(INDIRECT(ADDRESS(2,COLUMN())),OFFSET($BN$2,0,0,ROW()-1,60),ROW()-1,FALSE))</f>
        <v/>
      </c>
      <c r="AL337" t="str">
        <f ca="1">IF(AND(ISNUMBER($AL$778),$B$419=1),$AL$778,HLOOKUP(INDIRECT(ADDRESS(2,COLUMN())),OFFSET($BN$2,0,0,ROW()-1,60),ROW()-1,FALSE))</f>
        <v/>
      </c>
      <c r="AM337" t="str">
        <f ca="1">IF(AND(ISNUMBER($AM$778),$B$419=1),$AM$778,HLOOKUP(INDIRECT(ADDRESS(2,COLUMN())),OFFSET($BN$2,0,0,ROW()-1,60),ROW()-1,FALSE))</f>
        <v/>
      </c>
      <c r="AN337" t="str">
        <f ca="1">IF(AND(ISNUMBER($AN$778),$B$419=1),$AN$778,HLOOKUP(INDIRECT(ADDRESS(2,COLUMN())),OFFSET($BN$2,0,0,ROW()-1,60),ROW()-1,FALSE))</f>
        <v/>
      </c>
      <c r="AO337" t="str">
        <f ca="1">IF(AND(ISNUMBER($AO$778),$B$419=1),$AO$778,HLOOKUP(INDIRECT(ADDRESS(2,COLUMN())),OFFSET($BN$2,0,0,ROW()-1,60),ROW()-1,FALSE))</f>
        <v/>
      </c>
      <c r="AP337" t="str">
        <f ca="1">IF(AND(ISNUMBER($AP$778),$B$419=1),$AP$778,HLOOKUP(INDIRECT(ADDRESS(2,COLUMN())),OFFSET($BN$2,0,0,ROW()-1,60),ROW()-1,FALSE))</f>
        <v/>
      </c>
      <c r="AQ337" t="str">
        <f ca="1">IF(AND(ISNUMBER($AQ$778),$B$419=1),$AQ$778,HLOOKUP(INDIRECT(ADDRESS(2,COLUMN())),OFFSET($BN$2,0,0,ROW()-1,60),ROW()-1,FALSE))</f>
        <v/>
      </c>
      <c r="AR337" t="str">
        <f ca="1">IF(AND(ISNUMBER($AR$778),$B$419=1),$AR$778,HLOOKUP(INDIRECT(ADDRESS(2,COLUMN())),OFFSET($BN$2,0,0,ROW()-1,60),ROW()-1,FALSE))</f>
        <v/>
      </c>
      <c r="AS337" t="str">
        <f ca="1">IF(AND(ISNUMBER($AS$778),$B$419=1),$AS$778,HLOOKUP(INDIRECT(ADDRESS(2,COLUMN())),OFFSET($BN$2,0,0,ROW()-1,60),ROW()-1,FALSE))</f>
        <v/>
      </c>
      <c r="AT337" t="str">
        <f ca="1">IF(AND(ISNUMBER($AT$778),$B$419=1),$AT$778,HLOOKUP(INDIRECT(ADDRESS(2,COLUMN())),OFFSET($BN$2,0,0,ROW()-1,60),ROW()-1,FALSE))</f>
        <v/>
      </c>
      <c r="AU337" t="str">
        <f ca="1">IF(AND(ISNUMBER($AU$778),$B$419=1),$AU$778,HLOOKUP(INDIRECT(ADDRESS(2,COLUMN())),OFFSET($BN$2,0,0,ROW()-1,60),ROW()-1,FALSE))</f>
        <v/>
      </c>
      <c r="AV337" t="str">
        <f ca="1">IF(AND(ISNUMBER($AV$778),$B$419=1),$AV$778,HLOOKUP(INDIRECT(ADDRESS(2,COLUMN())),OFFSET($BN$2,0,0,ROW()-1,60),ROW()-1,FALSE))</f>
        <v/>
      </c>
      <c r="AW337" t="str">
        <f ca="1">IF(AND(ISNUMBER($AW$778),$B$419=1),$AW$778,HLOOKUP(INDIRECT(ADDRESS(2,COLUMN())),OFFSET($BN$2,0,0,ROW()-1,60),ROW()-1,FALSE))</f>
        <v/>
      </c>
      <c r="AX337" t="str">
        <f ca="1">IF(AND(ISNUMBER($AX$778),$B$419=1),$AX$778,HLOOKUP(INDIRECT(ADDRESS(2,COLUMN())),OFFSET($BN$2,0,0,ROW()-1,60),ROW()-1,FALSE))</f>
        <v/>
      </c>
      <c r="AY337" t="str">
        <f ca="1">IF(AND(ISNUMBER($AY$778),$B$419=1),$AY$778,HLOOKUP(INDIRECT(ADDRESS(2,COLUMN())),OFFSET($BN$2,0,0,ROW()-1,60),ROW()-1,FALSE))</f>
        <v/>
      </c>
      <c r="AZ337" t="str">
        <f ca="1">IF(AND(ISNUMBER($AZ$778),$B$419=1),$AZ$778,HLOOKUP(INDIRECT(ADDRESS(2,COLUMN())),OFFSET($BN$2,0,0,ROW()-1,60),ROW()-1,FALSE))</f>
        <v/>
      </c>
      <c r="BA337" t="str">
        <f ca="1">IF(AND(ISNUMBER($BA$778),$B$419=1),$BA$778,HLOOKUP(INDIRECT(ADDRESS(2,COLUMN())),OFFSET($BN$2,0,0,ROW()-1,60),ROW()-1,FALSE))</f>
        <v/>
      </c>
      <c r="BB337" t="str">
        <f ca="1">IF(AND(ISNUMBER($BB$778),$B$419=1),$BB$778,HLOOKUP(INDIRECT(ADDRESS(2,COLUMN())),OFFSET($BN$2,0,0,ROW()-1,60),ROW()-1,FALSE))</f>
        <v/>
      </c>
      <c r="BC337" t="str">
        <f ca="1">IF(AND(ISNUMBER($BC$778),$B$419=1),$BC$778,HLOOKUP(INDIRECT(ADDRESS(2,COLUMN())),OFFSET($BN$2,0,0,ROW()-1,60),ROW()-1,FALSE))</f>
        <v/>
      </c>
      <c r="BD337" t="str">
        <f ca="1">IF(AND(ISNUMBER($BD$778),$B$419=1),$BD$778,HLOOKUP(INDIRECT(ADDRESS(2,COLUMN())),OFFSET($BN$2,0,0,ROW()-1,60),ROW()-1,FALSE))</f>
        <v/>
      </c>
      <c r="BE337" t="str">
        <f ca="1">IF(AND(ISNUMBER($BE$778),$B$419=1),$BE$778,HLOOKUP(INDIRECT(ADDRESS(2,COLUMN())),OFFSET($BN$2,0,0,ROW()-1,60),ROW()-1,FALSE))</f>
        <v/>
      </c>
      <c r="BF337" t="str">
        <f ca="1">IF(AND(ISNUMBER($BF$778),$B$419=1),$BF$778,HLOOKUP(INDIRECT(ADDRESS(2,COLUMN())),OFFSET($BN$2,0,0,ROW()-1,60),ROW()-1,FALSE))</f>
        <v/>
      </c>
      <c r="BG337" t="str">
        <f ca="1">IF(AND(ISNUMBER($BG$778),$B$419=1),$BG$778,HLOOKUP(INDIRECT(ADDRESS(2,COLUMN())),OFFSET($BN$2,0,0,ROW()-1,60),ROW()-1,FALSE))</f>
        <v/>
      </c>
      <c r="BH337" t="str">
        <f ca="1">IF(AND(ISNUMBER($BH$778),$B$419=1),$BH$778,HLOOKUP(INDIRECT(ADDRESS(2,COLUMN())),OFFSET($BN$2,0,0,ROW()-1,60),ROW()-1,FALSE))</f>
        <v/>
      </c>
      <c r="BI337" t="str">
        <f ca="1">IF(AND(ISNUMBER($BI$778),$B$419=1),$BI$778,HLOOKUP(INDIRECT(ADDRESS(2,COLUMN())),OFFSET($BN$2,0,0,ROW()-1,60),ROW()-1,FALSE))</f>
        <v/>
      </c>
      <c r="BJ337" t="str">
        <f ca="1">IF(AND(ISNUMBER($BJ$778),$B$419=1),$BJ$778,HLOOKUP(INDIRECT(ADDRESS(2,COLUMN())),OFFSET($BN$2,0,0,ROW()-1,60),ROW()-1,FALSE))</f>
        <v/>
      </c>
      <c r="BK337" t="str">
        <f ca="1">IF(AND(ISNUMBER($BK$778),$B$419=1),$BK$778,HLOOKUP(INDIRECT(ADDRESS(2,COLUMN())),OFFSET($BN$2,0,0,ROW()-1,60),ROW()-1,FALSE))</f>
        <v/>
      </c>
      <c r="BL337" t="str">
        <f ca="1">IF(AND(ISNUMBER($BL$778),$B$419=1),$BL$778,HLOOKUP(INDIRECT(ADDRESS(2,COLUMN())),OFFSET($BN$2,0,0,ROW()-1,60),ROW()-1,FALSE))</f>
        <v/>
      </c>
      <c r="BM337" t="str">
        <f ca="1">IF(AND(ISNUMBER($BM$778),$B$419=1),$BM$778,HLOOKUP(INDIRECT(ADDRESS(2,COLUMN())),OFFSET($BN$2,0,0,ROW()-1,60),ROW()-1,FALSE))</f>
        <v/>
      </c>
      <c r="BN337" t="str">
        <f>""</f>
        <v/>
      </c>
      <c r="BO337">
        <f>34.176</f>
        <v>34.176000000000002</v>
      </c>
      <c r="BP337">
        <f>54.363</f>
        <v>54.363</v>
      </c>
      <c r="BQ337">
        <f>292.498</f>
        <v>292.49799999999999</v>
      </c>
      <c r="BR337">
        <f>285.586</f>
        <v>285.58600000000001</v>
      </c>
      <c r="BS337">
        <f>256.452</f>
        <v>256.452</v>
      </c>
      <c r="BT337">
        <f>116.618</f>
        <v>116.61799999999999</v>
      </c>
      <c r="BU337">
        <f>1029.62</f>
        <v>1029.6199999999999</v>
      </c>
      <c r="BV337">
        <f>104.45</f>
        <v>104.45</v>
      </c>
      <c r="BW337">
        <f>69.103</f>
        <v>69.102999999999994</v>
      </c>
      <c r="BX337">
        <f>171.659</f>
        <v>171.65899999999999</v>
      </c>
      <c r="BY337">
        <f>121.651</f>
        <v>121.651</v>
      </c>
      <c r="BZ337">
        <f>788.739</f>
        <v>788.73900000000003</v>
      </c>
      <c r="CA337">
        <f>416.711</f>
        <v>416.71100000000001</v>
      </c>
      <c r="CB337">
        <f>145.31</f>
        <v>145.31</v>
      </c>
      <c r="CC337">
        <f>193.69</f>
        <v>193.69</v>
      </c>
      <c r="CD337">
        <f>83.067</f>
        <v>83.066999999999993</v>
      </c>
      <c r="CE337">
        <f>52.725</f>
        <v>52.725000000000001</v>
      </c>
      <c r="CF337">
        <f>150.481</f>
        <v>150.48099999999999</v>
      </c>
      <c r="CG337">
        <f>10.958</f>
        <v>10.958</v>
      </c>
      <c r="CH337">
        <f>52.412</f>
        <v>52.411999999999999</v>
      </c>
      <c r="CI337">
        <f>156.873</f>
        <v>156.87299999999999</v>
      </c>
      <c r="CJ337">
        <f>3.779</f>
        <v>3.7789999999999999</v>
      </c>
      <c r="CK337">
        <f>2.107</f>
        <v>2.1070000000000002</v>
      </c>
      <c r="CL337">
        <f>0.768</f>
        <v>0.76800000000000002</v>
      </c>
      <c r="CM337">
        <f>3.148</f>
        <v>3.1480000000000001</v>
      </c>
      <c r="CN337">
        <f>0.83</f>
        <v>0.83</v>
      </c>
      <c r="CO337">
        <f>0.00001</f>
        <v>1.0000000000000001E-5</v>
      </c>
      <c r="CP337">
        <f>0.51394</f>
        <v>0.51393999999999995</v>
      </c>
      <c r="CQ337" t="str">
        <f>""</f>
        <v/>
      </c>
      <c r="CR337">
        <f>0.515412</f>
        <v>0.51541199999999998</v>
      </c>
      <c r="CS337" t="str">
        <f>""</f>
        <v/>
      </c>
      <c r="CT337" t="str">
        <f>""</f>
        <v/>
      </c>
      <c r="CU337" t="str">
        <f>""</f>
        <v/>
      </c>
      <c r="CV337" t="str">
        <f>""</f>
        <v/>
      </c>
      <c r="CW337" t="str">
        <f>""</f>
        <v/>
      </c>
      <c r="CX337" t="str">
        <f>""</f>
        <v/>
      </c>
      <c r="CY337" t="str">
        <f>""</f>
        <v/>
      </c>
      <c r="CZ337" t="str">
        <f>""</f>
        <v/>
      </c>
      <c r="DA337" t="str">
        <f>""</f>
        <v/>
      </c>
      <c r="DB337" t="str">
        <f>""</f>
        <v/>
      </c>
      <c r="DC337" t="str">
        <f>""</f>
        <v/>
      </c>
      <c r="DD337" t="str">
        <f>""</f>
        <v/>
      </c>
      <c r="DE337" t="str">
        <f>""</f>
        <v/>
      </c>
      <c r="DF337" t="str">
        <f>""</f>
        <v/>
      </c>
      <c r="DG337" t="str">
        <f>""</f>
        <v/>
      </c>
      <c r="DH337" t="str">
        <f>""</f>
        <v/>
      </c>
      <c r="DI337" t="str">
        <f>""</f>
        <v/>
      </c>
      <c r="DJ337" t="str">
        <f>""</f>
        <v/>
      </c>
      <c r="DK337" t="str">
        <f>""</f>
        <v/>
      </c>
      <c r="DL337" t="str">
        <f>""</f>
        <v/>
      </c>
      <c r="DM337" t="str">
        <f>""</f>
        <v/>
      </c>
      <c r="DN337" t="str">
        <f>""</f>
        <v/>
      </c>
      <c r="DO337" t="str">
        <f>""</f>
        <v/>
      </c>
      <c r="DP337" t="str">
        <f>""</f>
        <v/>
      </c>
      <c r="DQ337" t="str">
        <f>""</f>
        <v/>
      </c>
      <c r="DR337" t="str">
        <f>""</f>
        <v/>
      </c>
      <c r="DS337" t="str">
        <f>""</f>
        <v/>
      </c>
      <c r="DT337" t="str">
        <f>""</f>
        <v/>
      </c>
      <c r="DU337" t="str">
        <f>""</f>
        <v/>
      </c>
    </row>
    <row r="338" spans="1:125">
      <c r="A338" t="str">
        <f>"    Washington Prime Group Inc"</f>
        <v xml:space="preserve">    Washington Prime Group Inc</v>
      </c>
      <c r="B338" t="str">
        <f>"WPG US Equity"</f>
        <v>WPG US Equity</v>
      </c>
      <c r="C338" t="str">
        <f t="shared" si="60"/>
        <v>RR253</v>
      </c>
      <c r="D338" t="str">
        <f t="shared" si="61"/>
        <v>CASH_AND_MARKETABLE_SECURITIES</v>
      </c>
      <c r="E338" t="str">
        <f t="shared" si="62"/>
        <v>动态</v>
      </c>
      <c r="F338" t="str">
        <f ca="1">IF(AND(ISNUMBER($F$779),$B$419=1),$F$779,HLOOKUP(INDIRECT(ADDRESS(2,COLUMN())),OFFSET($BN$2,0,0,ROW()-1,60),ROW()-1,FALSE))</f>
        <v/>
      </c>
      <c r="G338">
        <f ca="1">IF(AND(ISNUMBER($G$779),$B$419=1),$G$779,HLOOKUP(INDIRECT(ADDRESS(2,COLUMN())),OFFSET($BN$2,0,0,ROW()-1,60),ROW()-1,FALSE))</f>
        <v>52.018999999999998</v>
      </c>
      <c r="H338">
        <f ca="1">IF(AND(ISNUMBER($H$779),$B$419=1),$H$779,HLOOKUP(INDIRECT(ADDRESS(2,COLUMN())),OFFSET($BN$2,0,0,ROW()-1,60),ROW()-1,FALSE))</f>
        <v>48.262999999999998</v>
      </c>
      <c r="I338">
        <f ca="1">IF(AND(ISNUMBER($I$779),$B$419=1),$I$779,HLOOKUP(INDIRECT(ADDRESS(2,COLUMN())),OFFSET($BN$2,0,0,ROW()-1,60),ROW()-1,FALSE))</f>
        <v>76.759</v>
      </c>
      <c r="J338">
        <f ca="1">IF(AND(ISNUMBER($J$779),$B$419=1),$J$779,HLOOKUP(INDIRECT(ADDRESS(2,COLUMN())),OFFSET($BN$2,0,0,ROW()-1,60),ROW()-1,FALSE))</f>
        <v>94.531000000000006</v>
      </c>
      <c r="K338">
        <f ca="1">IF(AND(ISNUMBER($K$779),$B$419=1),$K$779,HLOOKUP(INDIRECT(ADDRESS(2,COLUMN())),OFFSET($BN$2,0,0,ROW()-1,60),ROW()-1,FALSE))</f>
        <v>59.353000000000002</v>
      </c>
      <c r="L338">
        <f ca="1">IF(AND(ISNUMBER($L$779),$B$419=1),$L$779,HLOOKUP(INDIRECT(ADDRESS(2,COLUMN())),OFFSET($BN$2,0,0,ROW()-1,60),ROW()-1,FALSE))</f>
        <v>57.790999999999997</v>
      </c>
      <c r="M338">
        <f ca="1">IF(AND(ISNUMBER($M$779),$B$419=1),$M$779,HLOOKUP(INDIRECT(ADDRESS(2,COLUMN())),OFFSET($BN$2,0,0,ROW()-1,60),ROW()-1,FALSE))</f>
        <v>63.445</v>
      </c>
      <c r="N338">
        <f ca="1">IF(AND(ISNUMBER($N$779),$B$419=1),$N$779,HLOOKUP(INDIRECT(ADDRESS(2,COLUMN())),OFFSET($BN$2,0,0,ROW()-1,60),ROW()-1,FALSE))</f>
        <v>91.259</v>
      </c>
      <c r="O338">
        <f ca="1">IF(AND(ISNUMBER($O$779),$B$419=1),$O$779,HLOOKUP(INDIRECT(ADDRESS(2,COLUMN())),OFFSET($BN$2,0,0,ROW()-1,60),ROW()-1,FALSE))</f>
        <v>116.253</v>
      </c>
      <c r="P338">
        <f ca="1">IF(AND(ISNUMBER($P$779),$B$419=1),$P$779,HLOOKUP(INDIRECT(ADDRESS(2,COLUMN())),OFFSET($BN$2,0,0,ROW()-1,60),ROW()-1,FALSE))</f>
        <v>121.327</v>
      </c>
      <c r="Q338">
        <f ca="1">IF(AND(ISNUMBER($Q$779),$B$419=1),$Q$779,HLOOKUP(INDIRECT(ADDRESS(2,COLUMN())),OFFSET($BN$2,0,0,ROW()-1,60),ROW()-1,FALSE))</f>
        <v>120.79</v>
      </c>
      <c r="R338">
        <f ca="1">IF(AND(ISNUMBER($R$779),$B$419=1),$R$779,HLOOKUP(INDIRECT(ADDRESS(2,COLUMN())),OFFSET($BN$2,0,0,ROW()-1,60),ROW()-1,FALSE))</f>
        <v>255.61600000000001</v>
      </c>
      <c r="S338">
        <f ca="1">IF(AND(ISNUMBER($S$779),$B$419=1),$S$779,HLOOKUP(INDIRECT(ADDRESS(2,COLUMN())),OFFSET($BN$2,0,0,ROW()-1,60),ROW()-1,FALSE))</f>
        <v>108.768</v>
      </c>
      <c r="T338">
        <f ca="1">IF(AND(ISNUMBER($T$779),$B$419=1),$T$779,HLOOKUP(INDIRECT(ADDRESS(2,COLUMN())),OFFSET($BN$2,0,0,ROW()-1,60),ROW()-1,FALSE))</f>
        <v>120.80800000000001</v>
      </c>
      <c r="U338">
        <f ca="1">IF(AND(ISNUMBER($U$779),$B$419=1),$U$779,HLOOKUP(INDIRECT(ADDRESS(2,COLUMN())),OFFSET($BN$2,0,0,ROW()-1,60),ROW()-1,FALSE))</f>
        <v>93.646000000000001</v>
      </c>
      <c r="V338">
        <f ca="1">IF(AND(ISNUMBER($V$779),$B$419=1),$V$779,HLOOKUP(INDIRECT(ADDRESS(2,COLUMN())),OFFSET($BN$2,0,0,ROW()-1,60),ROW()-1,FALSE))</f>
        <v>29.3</v>
      </c>
      <c r="W338" t="str">
        <f ca="1">IF(AND(ISNUMBER($W$779),$B$419=1),$W$779,HLOOKUP(INDIRECT(ADDRESS(2,COLUMN())),OFFSET($BN$2,0,0,ROW()-1,60),ROW()-1,FALSE))</f>
        <v/>
      </c>
      <c r="X338" t="str">
        <f ca="1">IF(AND(ISNUMBER($X$779),$B$419=1),$X$779,HLOOKUP(INDIRECT(ADDRESS(2,COLUMN())),OFFSET($BN$2,0,0,ROW()-1,60),ROW()-1,FALSE))</f>
        <v/>
      </c>
      <c r="Y338" t="str">
        <f ca="1">IF(AND(ISNUMBER($Y$779),$B$419=1),$Y$779,HLOOKUP(INDIRECT(ADDRESS(2,COLUMN())),OFFSET($BN$2,0,0,ROW()-1,60),ROW()-1,FALSE))</f>
        <v/>
      </c>
      <c r="Z338" t="str">
        <f ca="1">IF(AND(ISNUMBER($Z$779),$B$419=1),$Z$779,HLOOKUP(INDIRECT(ADDRESS(2,COLUMN())),OFFSET($BN$2,0,0,ROW()-1,60),ROW()-1,FALSE))</f>
        <v/>
      </c>
      <c r="AA338" t="str">
        <f ca="1">IF(AND(ISNUMBER($AA$779),$B$419=1),$AA$779,HLOOKUP(INDIRECT(ADDRESS(2,COLUMN())),OFFSET($BN$2,0,0,ROW()-1,60),ROW()-1,FALSE))</f>
        <v/>
      </c>
      <c r="AB338" t="str">
        <f ca="1">IF(AND(ISNUMBER($AB$779),$B$419=1),$AB$779,HLOOKUP(INDIRECT(ADDRESS(2,COLUMN())),OFFSET($BN$2,0,0,ROW()-1,60),ROW()-1,FALSE))</f>
        <v/>
      </c>
      <c r="AC338" t="str">
        <f ca="1">IF(AND(ISNUMBER($AC$779),$B$419=1),$AC$779,HLOOKUP(INDIRECT(ADDRESS(2,COLUMN())),OFFSET($BN$2,0,0,ROW()-1,60),ROW()-1,FALSE))</f>
        <v/>
      </c>
      <c r="AD338" t="str">
        <f ca="1">IF(AND(ISNUMBER($AD$779),$B$419=1),$AD$779,HLOOKUP(INDIRECT(ADDRESS(2,COLUMN())),OFFSET($BN$2,0,0,ROW()-1,60),ROW()-1,FALSE))</f>
        <v/>
      </c>
      <c r="AE338" t="str">
        <f ca="1">IF(AND(ISNUMBER($AE$779),$B$419=1),$AE$779,HLOOKUP(INDIRECT(ADDRESS(2,COLUMN())),OFFSET($BN$2,0,0,ROW()-1,60),ROW()-1,FALSE))</f>
        <v/>
      </c>
      <c r="AF338" t="str">
        <f ca="1">IF(AND(ISNUMBER($AF$779),$B$419=1),$AF$779,HLOOKUP(INDIRECT(ADDRESS(2,COLUMN())),OFFSET($BN$2,0,0,ROW()-1,60),ROW()-1,FALSE))</f>
        <v/>
      </c>
      <c r="AG338" t="str">
        <f ca="1">IF(AND(ISNUMBER($AG$779),$B$419=1),$AG$779,HLOOKUP(INDIRECT(ADDRESS(2,COLUMN())),OFFSET($BN$2,0,0,ROW()-1,60),ROW()-1,FALSE))</f>
        <v/>
      </c>
      <c r="AH338" t="str">
        <f ca="1">IF(AND(ISNUMBER($AH$779),$B$419=1),$AH$779,HLOOKUP(INDIRECT(ADDRESS(2,COLUMN())),OFFSET($BN$2,0,0,ROW()-1,60),ROW()-1,FALSE))</f>
        <v/>
      </c>
      <c r="AI338" t="str">
        <f ca="1">IF(AND(ISNUMBER($AI$779),$B$419=1),$AI$779,HLOOKUP(INDIRECT(ADDRESS(2,COLUMN())),OFFSET($BN$2,0,0,ROW()-1,60),ROW()-1,FALSE))</f>
        <v/>
      </c>
      <c r="AJ338" t="str">
        <f ca="1">IF(AND(ISNUMBER($AJ$779),$B$419=1),$AJ$779,HLOOKUP(INDIRECT(ADDRESS(2,COLUMN())),OFFSET($BN$2,0,0,ROW()-1,60),ROW()-1,FALSE))</f>
        <v/>
      </c>
      <c r="AK338" t="str">
        <f ca="1">IF(AND(ISNUMBER($AK$779),$B$419=1),$AK$779,HLOOKUP(INDIRECT(ADDRESS(2,COLUMN())),OFFSET($BN$2,0,0,ROW()-1,60),ROW()-1,FALSE))</f>
        <v/>
      </c>
      <c r="AL338" t="str">
        <f ca="1">IF(AND(ISNUMBER($AL$779),$B$419=1),$AL$779,HLOOKUP(INDIRECT(ADDRESS(2,COLUMN())),OFFSET($BN$2,0,0,ROW()-1,60),ROW()-1,FALSE))</f>
        <v/>
      </c>
      <c r="AM338" t="str">
        <f ca="1">IF(AND(ISNUMBER($AM$779),$B$419=1),$AM$779,HLOOKUP(INDIRECT(ADDRESS(2,COLUMN())),OFFSET($BN$2,0,0,ROW()-1,60),ROW()-1,FALSE))</f>
        <v/>
      </c>
      <c r="AN338" t="str">
        <f ca="1">IF(AND(ISNUMBER($AN$779),$B$419=1),$AN$779,HLOOKUP(INDIRECT(ADDRESS(2,COLUMN())),OFFSET($BN$2,0,0,ROW()-1,60),ROW()-1,FALSE))</f>
        <v/>
      </c>
      <c r="AO338" t="str">
        <f ca="1">IF(AND(ISNUMBER($AO$779),$B$419=1),$AO$779,HLOOKUP(INDIRECT(ADDRESS(2,COLUMN())),OFFSET($BN$2,0,0,ROW()-1,60),ROW()-1,FALSE))</f>
        <v/>
      </c>
      <c r="AP338" t="str">
        <f ca="1">IF(AND(ISNUMBER($AP$779),$B$419=1),$AP$779,HLOOKUP(INDIRECT(ADDRESS(2,COLUMN())),OFFSET($BN$2,0,0,ROW()-1,60),ROW()-1,FALSE))</f>
        <v/>
      </c>
      <c r="AQ338" t="str">
        <f ca="1">IF(AND(ISNUMBER($AQ$779),$B$419=1),$AQ$779,HLOOKUP(INDIRECT(ADDRESS(2,COLUMN())),OFFSET($BN$2,0,0,ROW()-1,60),ROW()-1,FALSE))</f>
        <v/>
      </c>
      <c r="AR338" t="str">
        <f ca="1">IF(AND(ISNUMBER($AR$779),$B$419=1),$AR$779,HLOOKUP(INDIRECT(ADDRESS(2,COLUMN())),OFFSET($BN$2,0,0,ROW()-1,60),ROW()-1,FALSE))</f>
        <v/>
      </c>
      <c r="AS338" t="str">
        <f ca="1">IF(AND(ISNUMBER($AS$779),$B$419=1),$AS$779,HLOOKUP(INDIRECT(ADDRESS(2,COLUMN())),OFFSET($BN$2,0,0,ROW()-1,60),ROW()-1,FALSE))</f>
        <v/>
      </c>
      <c r="AT338" t="str">
        <f ca="1">IF(AND(ISNUMBER($AT$779),$B$419=1),$AT$779,HLOOKUP(INDIRECT(ADDRESS(2,COLUMN())),OFFSET($BN$2,0,0,ROW()-1,60),ROW()-1,FALSE))</f>
        <v/>
      </c>
      <c r="AU338" t="str">
        <f ca="1">IF(AND(ISNUMBER($AU$779),$B$419=1),$AU$779,HLOOKUP(INDIRECT(ADDRESS(2,COLUMN())),OFFSET($BN$2,0,0,ROW()-1,60),ROW()-1,FALSE))</f>
        <v/>
      </c>
      <c r="AV338" t="str">
        <f ca="1">IF(AND(ISNUMBER($AV$779),$B$419=1),$AV$779,HLOOKUP(INDIRECT(ADDRESS(2,COLUMN())),OFFSET($BN$2,0,0,ROW()-1,60),ROW()-1,FALSE))</f>
        <v/>
      </c>
      <c r="AW338" t="str">
        <f ca="1">IF(AND(ISNUMBER($AW$779),$B$419=1),$AW$779,HLOOKUP(INDIRECT(ADDRESS(2,COLUMN())),OFFSET($BN$2,0,0,ROW()-1,60),ROW()-1,FALSE))</f>
        <v/>
      </c>
      <c r="AX338" t="str">
        <f ca="1">IF(AND(ISNUMBER($AX$779),$B$419=1),$AX$779,HLOOKUP(INDIRECT(ADDRESS(2,COLUMN())),OFFSET($BN$2,0,0,ROW()-1,60),ROW()-1,FALSE))</f>
        <v/>
      </c>
      <c r="AY338" t="str">
        <f ca="1">IF(AND(ISNUMBER($AY$779),$B$419=1),$AY$779,HLOOKUP(INDIRECT(ADDRESS(2,COLUMN())),OFFSET($BN$2,0,0,ROW()-1,60),ROW()-1,FALSE))</f>
        <v/>
      </c>
      <c r="AZ338" t="str">
        <f ca="1">IF(AND(ISNUMBER($AZ$779),$B$419=1),$AZ$779,HLOOKUP(INDIRECT(ADDRESS(2,COLUMN())),OFFSET($BN$2,0,0,ROW()-1,60),ROW()-1,FALSE))</f>
        <v/>
      </c>
      <c r="BA338" t="str">
        <f ca="1">IF(AND(ISNUMBER($BA$779),$B$419=1),$BA$779,HLOOKUP(INDIRECT(ADDRESS(2,COLUMN())),OFFSET($BN$2,0,0,ROW()-1,60),ROW()-1,FALSE))</f>
        <v/>
      </c>
      <c r="BB338" t="str">
        <f ca="1">IF(AND(ISNUMBER($BB$779),$B$419=1),$BB$779,HLOOKUP(INDIRECT(ADDRESS(2,COLUMN())),OFFSET($BN$2,0,0,ROW()-1,60),ROW()-1,FALSE))</f>
        <v/>
      </c>
      <c r="BC338" t="str">
        <f ca="1">IF(AND(ISNUMBER($BC$779),$B$419=1),$BC$779,HLOOKUP(INDIRECT(ADDRESS(2,COLUMN())),OFFSET($BN$2,0,0,ROW()-1,60),ROW()-1,FALSE))</f>
        <v/>
      </c>
      <c r="BD338" t="str">
        <f ca="1">IF(AND(ISNUMBER($BD$779),$B$419=1),$BD$779,HLOOKUP(INDIRECT(ADDRESS(2,COLUMN())),OFFSET($BN$2,0,0,ROW()-1,60),ROW()-1,FALSE))</f>
        <v/>
      </c>
      <c r="BE338" t="str">
        <f ca="1">IF(AND(ISNUMBER($BE$779),$B$419=1),$BE$779,HLOOKUP(INDIRECT(ADDRESS(2,COLUMN())),OFFSET($BN$2,0,0,ROW()-1,60),ROW()-1,FALSE))</f>
        <v/>
      </c>
      <c r="BF338" t="str">
        <f ca="1">IF(AND(ISNUMBER($BF$779),$B$419=1),$BF$779,HLOOKUP(INDIRECT(ADDRESS(2,COLUMN())),OFFSET($BN$2,0,0,ROW()-1,60),ROW()-1,FALSE))</f>
        <v/>
      </c>
      <c r="BG338" t="str">
        <f ca="1">IF(AND(ISNUMBER($BG$779),$B$419=1),$BG$779,HLOOKUP(INDIRECT(ADDRESS(2,COLUMN())),OFFSET($BN$2,0,0,ROW()-1,60),ROW()-1,FALSE))</f>
        <v/>
      </c>
      <c r="BH338" t="str">
        <f ca="1">IF(AND(ISNUMBER($BH$779),$B$419=1),$BH$779,HLOOKUP(INDIRECT(ADDRESS(2,COLUMN())),OFFSET($BN$2,0,0,ROW()-1,60),ROW()-1,FALSE))</f>
        <v/>
      </c>
      <c r="BI338" t="str">
        <f ca="1">IF(AND(ISNUMBER($BI$779),$B$419=1),$BI$779,HLOOKUP(INDIRECT(ADDRESS(2,COLUMN())),OFFSET($BN$2,0,0,ROW()-1,60),ROW()-1,FALSE))</f>
        <v/>
      </c>
      <c r="BJ338" t="str">
        <f ca="1">IF(AND(ISNUMBER($BJ$779),$B$419=1),$BJ$779,HLOOKUP(INDIRECT(ADDRESS(2,COLUMN())),OFFSET($BN$2,0,0,ROW()-1,60),ROW()-1,FALSE))</f>
        <v/>
      </c>
      <c r="BK338" t="str">
        <f ca="1">IF(AND(ISNUMBER($BK$779),$B$419=1),$BK$779,HLOOKUP(INDIRECT(ADDRESS(2,COLUMN())),OFFSET($BN$2,0,0,ROW()-1,60),ROW()-1,FALSE))</f>
        <v/>
      </c>
      <c r="BL338" t="str">
        <f ca="1">IF(AND(ISNUMBER($BL$779),$B$419=1),$BL$779,HLOOKUP(INDIRECT(ADDRESS(2,COLUMN())),OFFSET($BN$2,0,0,ROW()-1,60),ROW()-1,FALSE))</f>
        <v/>
      </c>
      <c r="BM338" t="str">
        <f ca="1">IF(AND(ISNUMBER($BM$779),$B$419=1),$BM$779,HLOOKUP(INDIRECT(ADDRESS(2,COLUMN())),OFFSET($BN$2,0,0,ROW()-1,60),ROW()-1,FALSE))</f>
        <v/>
      </c>
      <c r="BN338" t="str">
        <f>""</f>
        <v/>
      </c>
      <c r="BO338">
        <f>52.019</f>
        <v>52.018999999999998</v>
      </c>
      <c r="BP338">
        <f>48.263</f>
        <v>48.262999999999998</v>
      </c>
      <c r="BQ338">
        <f>76.759</f>
        <v>76.759</v>
      </c>
      <c r="BR338">
        <f>94.531</f>
        <v>94.531000000000006</v>
      </c>
      <c r="BS338">
        <f>59.353</f>
        <v>59.353000000000002</v>
      </c>
      <c r="BT338">
        <f>57.791</f>
        <v>57.790999999999997</v>
      </c>
      <c r="BU338">
        <f>63.445</f>
        <v>63.445</v>
      </c>
      <c r="BV338">
        <f>91.259</f>
        <v>91.259</v>
      </c>
      <c r="BW338">
        <f>116.253</f>
        <v>116.253</v>
      </c>
      <c r="BX338">
        <f>121.327</f>
        <v>121.327</v>
      </c>
      <c r="BY338">
        <f>120.79</f>
        <v>120.79</v>
      </c>
      <c r="BZ338">
        <f>255.616</f>
        <v>255.61600000000001</v>
      </c>
      <c r="CA338">
        <f>108.768</f>
        <v>108.768</v>
      </c>
      <c r="CB338">
        <f>120.808</f>
        <v>120.80800000000001</v>
      </c>
      <c r="CC338">
        <f>93.646</f>
        <v>93.646000000000001</v>
      </c>
      <c r="CD338">
        <f>29.3</f>
        <v>29.3</v>
      </c>
      <c r="CE338" t="str">
        <f>""</f>
        <v/>
      </c>
      <c r="CF338" t="str">
        <f>""</f>
        <v/>
      </c>
      <c r="CG338" t="str">
        <f>""</f>
        <v/>
      </c>
      <c r="CH338" t="str">
        <f>""</f>
        <v/>
      </c>
      <c r="CI338" t="str">
        <f>""</f>
        <v/>
      </c>
      <c r="CJ338" t="str">
        <f>""</f>
        <v/>
      </c>
      <c r="CK338" t="str">
        <f>""</f>
        <v/>
      </c>
      <c r="CL338" t="str">
        <f>""</f>
        <v/>
      </c>
      <c r="CM338" t="str">
        <f>""</f>
        <v/>
      </c>
      <c r="CN338" t="str">
        <f>""</f>
        <v/>
      </c>
      <c r="CO338" t="str">
        <f>""</f>
        <v/>
      </c>
      <c r="CP338" t="str">
        <f>""</f>
        <v/>
      </c>
      <c r="CQ338" t="str">
        <f>""</f>
        <v/>
      </c>
      <c r="CR338" t="str">
        <f>""</f>
        <v/>
      </c>
      <c r="CS338" t="str">
        <f>""</f>
        <v/>
      </c>
      <c r="CT338" t="str">
        <f>""</f>
        <v/>
      </c>
      <c r="CU338" t="str">
        <f>""</f>
        <v/>
      </c>
      <c r="CV338" t="str">
        <f>""</f>
        <v/>
      </c>
      <c r="CW338" t="str">
        <f>""</f>
        <v/>
      </c>
      <c r="CX338" t="str">
        <f>""</f>
        <v/>
      </c>
      <c r="CY338" t="str">
        <f>""</f>
        <v/>
      </c>
      <c r="CZ338" t="str">
        <f>""</f>
        <v/>
      </c>
      <c r="DA338" t="str">
        <f>""</f>
        <v/>
      </c>
      <c r="DB338" t="str">
        <f>""</f>
        <v/>
      </c>
      <c r="DC338" t="str">
        <f>""</f>
        <v/>
      </c>
      <c r="DD338" t="str">
        <f>""</f>
        <v/>
      </c>
      <c r="DE338" t="str">
        <f>""</f>
        <v/>
      </c>
      <c r="DF338" t="str">
        <f>""</f>
        <v/>
      </c>
      <c r="DG338" t="str">
        <f>""</f>
        <v/>
      </c>
      <c r="DH338" t="str">
        <f>""</f>
        <v/>
      </c>
      <c r="DI338" t="str">
        <f>""</f>
        <v/>
      </c>
      <c r="DJ338" t="str">
        <f>""</f>
        <v/>
      </c>
      <c r="DK338" t="str">
        <f>""</f>
        <v/>
      </c>
      <c r="DL338" t="str">
        <f>""</f>
        <v/>
      </c>
      <c r="DM338" t="str">
        <f>""</f>
        <v/>
      </c>
      <c r="DN338" t="str">
        <f>""</f>
        <v/>
      </c>
      <c r="DO338" t="str">
        <f>""</f>
        <v/>
      </c>
      <c r="DP338" t="str">
        <f>""</f>
        <v/>
      </c>
      <c r="DQ338" t="str">
        <f>""</f>
        <v/>
      </c>
      <c r="DR338" t="str">
        <f>""</f>
        <v/>
      </c>
      <c r="DS338" t="str">
        <f>""</f>
        <v/>
      </c>
      <c r="DT338" t="str">
        <f>""</f>
        <v/>
      </c>
      <c r="DU338" t="str">
        <f>""</f>
        <v/>
      </c>
    </row>
    <row r="339" spans="1:125">
      <c r="A339" t="str">
        <f>"    Weingarten Realty Investors"</f>
        <v xml:space="preserve">    Weingarten Realty Investors</v>
      </c>
      <c r="B339" t="str">
        <f>"WRI US Equity"</f>
        <v>WRI US Equity</v>
      </c>
      <c r="C339" t="str">
        <f t="shared" si="60"/>
        <v>RR253</v>
      </c>
      <c r="D339" t="str">
        <f t="shared" si="61"/>
        <v>CASH_AND_MARKETABLE_SECURITIES</v>
      </c>
      <c r="E339" t="str">
        <f t="shared" si="62"/>
        <v>动态</v>
      </c>
      <c r="F339" t="str">
        <f ca="1">IF(AND(ISNUMBER($F$780),$B$419=1),$F$780,HLOOKUP(INDIRECT(ADDRESS(2,COLUMN())),OFFSET($BN$2,0,0,ROW()-1,60),ROW()-1,FALSE))</f>
        <v/>
      </c>
      <c r="G339">
        <f ca="1">IF(AND(ISNUMBER($G$780),$B$419=1),$G$780,HLOOKUP(INDIRECT(ADDRESS(2,COLUMN())),OFFSET($BN$2,0,0,ROW()-1,60),ROW()-1,FALSE))</f>
        <v>13.218999999999999</v>
      </c>
      <c r="H339">
        <f ca="1">IF(AND(ISNUMBER($H$780),$B$419=1),$H$780,HLOOKUP(INDIRECT(ADDRESS(2,COLUMN())),OFFSET($BN$2,0,0,ROW()-1,60),ROW()-1,FALSE))</f>
        <v>39.246000000000002</v>
      </c>
      <c r="I339">
        <f ca="1">IF(AND(ISNUMBER($I$780),$B$419=1),$I$780,HLOOKUP(INDIRECT(ADDRESS(2,COLUMN())),OFFSET($BN$2,0,0,ROW()-1,60),ROW()-1,FALSE))</f>
        <v>6.657</v>
      </c>
      <c r="J339">
        <f ca="1">IF(AND(ISNUMBER($J$780),$B$419=1),$J$780,HLOOKUP(INDIRECT(ADDRESS(2,COLUMN())),OFFSET($BN$2,0,0,ROW()-1,60),ROW()-1,FALSE))</f>
        <v>3.6150000000000002</v>
      </c>
      <c r="K339">
        <f ca="1">IF(AND(ISNUMBER($K$780),$B$419=1),$K$780,HLOOKUP(INDIRECT(ADDRESS(2,COLUMN())),OFFSET($BN$2,0,0,ROW()-1,60),ROW()-1,FALSE))</f>
        <v>16.257000000000001</v>
      </c>
      <c r="L339">
        <f ca="1">IF(AND(ISNUMBER($L$780),$B$419=1),$L$780,HLOOKUP(INDIRECT(ADDRESS(2,COLUMN())),OFFSET($BN$2,0,0,ROW()-1,60),ROW()-1,FALSE))</f>
        <v>9.766</v>
      </c>
      <c r="M339">
        <f ca="1">IF(AND(ISNUMBER($M$780),$B$419=1),$M$780,HLOOKUP(INDIRECT(ADDRESS(2,COLUMN())),OFFSET($BN$2,0,0,ROW()-1,60),ROW()-1,FALSE))</f>
        <v>14.529</v>
      </c>
      <c r="N339">
        <f ca="1">IF(AND(ISNUMBER($N$780),$B$419=1),$N$780,HLOOKUP(INDIRECT(ADDRESS(2,COLUMN())),OFFSET($BN$2,0,0,ROW()-1,60),ROW()-1,FALSE))</f>
        <v>27.2</v>
      </c>
      <c r="O339">
        <f ca="1">IF(AND(ISNUMBER($O$780),$B$419=1),$O$780,HLOOKUP(INDIRECT(ADDRESS(2,COLUMN())),OFFSET($BN$2,0,0,ROW()-1,60),ROW()-1,FALSE))</f>
        <v>22.167999999999999</v>
      </c>
      <c r="P339">
        <f ca="1">IF(AND(ISNUMBER($P$780),$B$419=1),$P$780,HLOOKUP(INDIRECT(ADDRESS(2,COLUMN())),OFFSET($BN$2,0,0,ROW()-1,60),ROW()-1,FALSE))</f>
        <v>12.266999999999999</v>
      </c>
      <c r="Q339">
        <f ca="1">IF(AND(ISNUMBER($Q$780),$B$419=1),$Q$780,HLOOKUP(INDIRECT(ADDRESS(2,COLUMN())),OFFSET($BN$2,0,0,ROW()-1,60),ROW()-1,FALSE))</f>
        <v>13.298999999999999</v>
      </c>
      <c r="R339">
        <f ca="1">IF(AND(ISNUMBER($R$780),$B$419=1),$R$780,HLOOKUP(INDIRECT(ADDRESS(2,COLUMN())),OFFSET($BN$2,0,0,ROW()-1,60),ROW()-1,FALSE))</f>
        <v>40.167999999999999</v>
      </c>
      <c r="S339">
        <f ca="1">IF(AND(ISNUMBER($S$780),$B$419=1),$S$780,HLOOKUP(INDIRECT(ADDRESS(2,COLUMN())),OFFSET($BN$2,0,0,ROW()-1,60),ROW()-1,FALSE))</f>
        <v>23.189</v>
      </c>
      <c r="T339">
        <f ca="1">IF(AND(ISNUMBER($T$780),$B$419=1),$T$780,HLOOKUP(INDIRECT(ADDRESS(2,COLUMN())),OFFSET($BN$2,0,0,ROW()-1,60),ROW()-1,FALSE))</f>
        <v>12.975</v>
      </c>
      <c r="U339">
        <f ca="1">IF(AND(ISNUMBER($U$780),$B$419=1),$U$780,HLOOKUP(INDIRECT(ADDRESS(2,COLUMN())),OFFSET($BN$2,0,0,ROW()-1,60),ROW()-1,FALSE))</f>
        <v>16.035</v>
      </c>
      <c r="V339">
        <f ca="1">IF(AND(ISNUMBER($V$780),$B$419=1),$V$780,HLOOKUP(INDIRECT(ADDRESS(2,COLUMN())),OFFSET($BN$2,0,0,ROW()-1,60),ROW()-1,FALSE))</f>
        <v>9.1989999999999998</v>
      </c>
      <c r="W339">
        <f ca="1">IF(AND(ISNUMBER($W$780),$B$419=1),$W$780,HLOOKUP(INDIRECT(ADDRESS(2,COLUMN())),OFFSET($BN$2,0,0,ROW()-1,60),ROW()-1,FALSE))</f>
        <v>91.575999999999993</v>
      </c>
      <c r="X339">
        <f ca="1">IF(AND(ISNUMBER($X$780),$B$419=1),$X$780,HLOOKUP(INDIRECT(ADDRESS(2,COLUMN())),OFFSET($BN$2,0,0,ROW()-1,60),ROW()-1,FALSE))</f>
        <v>51.73</v>
      </c>
      <c r="Y339">
        <f ca="1">IF(AND(ISNUMBER($Y$780),$B$419=1),$Y$780,HLOOKUP(INDIRECT(ADDRESS(2,COLUMN())),OFFSET($BN$2,0,0,ROW()-1,60),ROW()-1,FALSE))</f>
        <v>23.373999999999999</v>
      </c>
      <c r="Z339">
        <f ca="1">IF(AND(ISNUMBER($Z$780),$B$419=1),$Z$780,HLOOKUP(INDIRECT(ADDRESS(2,COLUMN())),OFFSET($BN$2,0,0,ROW()-1,60),ROW()-1,FALSE))</f>
        <v>54.8</v>
      </c>
      <c r="AA339">
        <f ca="1">IF(AND(ISNUMBER($AA$780),$B$419=1),$AA$780,HLOOKUP(INDIRECT(ADDRESS(2,COLUMN())),OFFSET($BN$2,0,0,ROW()-1,60),ROW()-1,FALSE))</f>
        <v>19.603999999999999</v>
      </c>
      <c r="AB339">
        <f ca="1">IF(AND(ISNUMBER($AB$780),$B$419=1),$AB$780,HLOOKUP(INDIRECT(ADDRESS(2,COLUMN())),OFFSET($BN$2,0,0,ROW()-1,60),ROW()-1,FALSE))</f>
        <v>19.088999999999999</v>
      </c>
      <c r="AC339">
        <f ca="1">IF(AND(ISNUMBER($AC$780),$B$419=1),$AC$780,HLOOKUP(INDIRECT(ADDRESS(2,COLUMN())),OFFSET($BN$2,0,0,ROW()-1,60),ROW()-1,FALSE))</f>
        <v>15.097</v>
      </c>
      <c r="AD339">
        <f ca="1">IF(AND(ISNUMBER($AD$780),$B$419=1),$AD$780,HLOOKUP(INDIRECT(ADDRESS(2,COLUMN())),OFFSET($BN$2,0,0,ROW()-1,60),ROW()-1,FALSE))</f>
        <v>18.024000000000001</v>
      </c>
      <c r="AE339">
        <f ca="1">IF(AND(ISNUMBER($AE$780),$B$419=1),$AE$780,HLOOKUP(INDIRECT(ADDRESS(2,COLUMN())),OFFSET($BN$2,0,0,ROW()-1,60),ROW()-1,FALSE))</f>
        <v>13.641999999999999</v>
      </c>
      <c r="AF339">
        <f ca="1">IF(AND(ISNUMBER($AF$780),$B$419=1),$AF$780,HLOOKUP(INDIRECT(ADDRESS(2,COLUMN())),OFFSET($BN$2,0,0,ROW()-1,60),ROW()-1,FALSE))</f>
        <v>20.181000000000001</v>
      </c>
      <c r="AG339">
        <f ca="1">IF(AND(ISNUMBER($AG$780),$B$419=1),$AG$780,HLOOKUP(INDIRECT(ADDRESS(2,COLUMN())),OFFSET($BN$2,0,0,ROW()-1,60),ROW()-1,FALSE))</f>
        <v>24.373999999999999</v>
      </c>
      <c r="AH339">
        <f ca="1">IF(AND(ISNUMBER($AH$780),$B$419=1),$AH$780,HLOOKUP(INDIRECT(ADDRESS(2,COLUMN())),OFFSET($BN$2,0,0,ROW()-1,60),ROW()-1,FALSE))</f>
        <v>28.774000000000001</v>
      </c>
      <c r="AI339">
        <f ca="1">IF(AND(ISNUMBER($AI$780),$B$419=1),$AI$780,HLOOKUP(INDIRECT(ADDRESS(2,COLUMN())),OFFSET($BN$2,0,0,ROW()-1,60),ROW()-1,FALSE))</f>
        <v>23.859000000000002</v>
      </c>
      <c r="AJ339">
        <f ca="1">IF(AND(ISNUMBER($AJ$780),$B$419=1),$AJ$780,HLOOKUP(INDIRECT(ADDRESS(2,COLUMN())),OFFSET($BN$2,0,0,ROW()-1,60),ROW()-1,FALSE))</f>
        <v>31.814</v>
      </c>
      <c r="AK339">
        <f ca="1">IF(AND(ISNUMBER($AK$780),$B$419=1),$AK$780,HLOOKUP(INDIRECT(ADDRESS(2,COLUMN())),OFFSET($BN$2,0,0,ROW()-1,60),ROW()-1,FALSE))</f>
        <v>77.977999999999994</v>
      </c>
      <c r="AL339">
        <f ca="1">IF(AND(ISNUMBER($AL$780),$B$419=1),$AL$780,HLOOKUP(INDIRECT(ADDRESS(2,COLUMN())),OFFSET($BN$2,0,0,ROW()-1,60),ROW()-1,FALSE))</f>
        <v>122.91500000000001</v>
      </c>
      <c r="AM339">
        <f ca="1">IF(AND(ISNUMBER($AM$780),$B$419=1),$AM$780,HLOOKUP(INDIRECT(ADDRESS(2,COLUMN())),OFFSET($BN$2,0,0,ROW()-1,60),ROW()-1,FALSE))</f>
        <v>153.584</v>
      </c>
      <c r="AN339">
        <f ca="1">IF(AND(ISNUMBER($AN$780),$B$419=1),$AN$780,HLOOKUP(INDIRECT(ADDRESS(2,COLUMN())),OFFSET($BN$2,0,0,ROW()-1,60),ROW()-1,FALSE))</f>
        <v>104.694</v>
      </c>
      <c r="AO339">
        <f ca="1">IF(AND(ISNUMBER($AO$780),$B$419=1),$AO$780,HLOOKUP(INDIRECT(ADDRESS(2,COLUMN())),OFFSET($BN$2,0,0,ROW()-1,60),ROW()-1,FALSE))</f>
        <v>94.37</v>
      </c>
      <c r="AP339">
        <f ca="1">IF(AND(ISNUMBER($AP$780),$B$419=1),$AP$780,HLOOKUP(INDIRECT(ADDRESS(2,COLUMN())),OFFSET($BN$2,0,0,ROW()-1,60),ROW()-1,FALSE))</f>
        <v>118.26</v>
      </c>
      <c r="AQ339">
        <f ca="1">IF(AND(ISNUMBER($AQ$780),$B$419=1),$AQ$780,HLOOKUP(INDIRECT(ADDRESS(2,COLUMN())),OFFSET($BN$2,0,0,ROW()-1,60),ROW()-1,FALSE))</f>
        <v>58.945999999999998</v>
      </c>
      <c r="AR339">
        <f ca="1">IF(AND(ISNUMBER($AR$780),$B$419=1),$AR$780,HLOOKUP(INDIRECT(ADDRESS(2,COLUMN())),OFFSET($BN$2,0,0,ROW()-1,60),ROW()-1,FALSE))</f>
        <v>53.223999999999997</v>
      </c>
      <c r="AS339">
        <f ca="1">IF(AND(ISNUMBER($AS$780),$B$419=1),$AS$780,HLOOKUP(INDIRECT(ADDRESS(2,COLUMN())),OFFSET($BN$2,0,0,ROW()-1,60),ROW()-1,FALSE))</f>
        <v>40.427</v>
      </c>
      <c r="AT339">
        <f ca="1">IF(AND(ISNUMBER($AT$780),$B$419=1),$AT$780,HLOOKUP(INDIRECT(ADDRESS(2,COLUMN())),OFFSET($BN$2,0,0,ROW()-1,60),ROW()-1,FALSE))</f>
        <v>61.488</v>
      </c>
      <c r="AU339">
        <f ca="1">IF(AND(ISNUMBER($AU$780),$B$419=1),$AU$780,HLOOKUP(INDIRECT(ADDRESS(2,COLUMN())),OFFSET($BN$2,0,0,ROW()-1,60),ROW()-1,FALSE))</f>
        <v>65.777000000000001</v>
      </c>
      <c r="AV339">
        <f ca="1">IF(AND(ISNUMBER($AV$780),$B$419=1),$AV$780,HLOOKUP(INDIRECT(ADDRESS(2,COLUMN())),OFFSET($BN$2,0,0,ROW()-1,60),ROW()-1,FALSE))</f>
        <v>59.814999999999998</v>
      </c>
      <c r="AW339">
        <f ca="1">IF(AND(ISNUMBER($AW$780),$B$419=1),$AW$780,HLOOKUP(INDIRECT(ADDRESS(2,COLUMN())),OFFSET($BN$2,0,0,ROW()-1,60),ROW()-1,FALSE))</f>
        <v>46.301000000000002</v>
      </c>
      <c r="AX339">
        <f ca="1">IF(AND(ISNUMBER($AX$780),$B$419=1),$AX$780,HLOOKUP(INDIRECT(ADDRESS(2,COLUMN())),OFFSET($BN$2,0,0,ROW()-1,60),ROW()-1,FALSE))</f>
        <v>35.506</v>
      </c>
      <c r="AY339">
        <f ca="1">IF(AND(ISNUMBER($AY$780),$B$419=1),$AY$780,HLOOKUP(INDIRECT(ADDRESS(2,COLUMN())),OFFSET($BN$2,0,0,ROW()-1,60),ROW()-1,FALSE))</f>
        <v>71.003</v>
      </c>
      <c r="AZ339">
        <f ca="1">IF(AND(ISNUMBER($AZ$780),$B$419=1),$AZ$780,HLOOKUP(INDIRECT(ADDRESS(2,COLUMN())),OFFSET($BN$2,0,0,ROW()-1,60),ROW()-1,FALSE))</f>
        <v>187.036</v>
      </c>
      <c r="BA339">
        <f ca="1">IF(AND(ISNUMBER($BA$780),$B$419=1),$BA$780,HLOOKUP(INDIRECT(ADDRESS(2,COLUMN())),OFFSET($BN$2,0,0,ROW()-1,60),ROW()-1,FALSE))</f>
        <v>132.858</v>
      </c>
      <c r="BB339">
        <f ca="1">IF(AND(ISNUMBER($BB$780),$B$419=1),$BB$780,HLOOKUP(INDIRECT(ADDRESS(2,COLUMN())),OFFSET($BN$2,0,0,ROW()-1,60),ROW()-1,FALSE))</f>
        <v>37.445999999999998</v>
      </c>
      <c r="BC339">
        <f ca="1">IF(AND(ISNUMBER($BC$780),$B$419=1),$BC$780,HLOOKUP(INDIRECT(ADDRESS(2,COLUMN())),OFFSET($BN$2,0,0,ROW()-1,60),ROW()-1,FALSE))</f>
        <v>42.69</v>
      </c>
      <c r="BD339">
        <f ca="1">IF(AND(ISNUMBER($BD$780),$B$419=1),$BD$780,HLOOKUP(INDIRECT(ADDRESS(2,COLUMN())),OFFSET($BN$2,0,0,ROW()-1,60),ROW()-1,FALSE))</f>
        <v>23.960999999999999</v>
      </c>
      <c r="BE339">
        <f ca="1">IF(AND(ISNUMBER($BE$780),$B$419=1),$BE$780,HLOOKUP(INDIRECT(ADDRESS(2,COLUMN())),OFFSET($BN$2,0,0,ROW()-1,60),ROW()-1,FALSE))</f>
        <v>45.545000000000002</v>
      </c>
      <c r="BF339">
        <f ca="1">IF(AND(ISNUMBER($BF$780),$B$419=1),$BF$780,HLOOKUP(INDIRECT(ADDRESS(2,COLUMN())),OFFSET($BN$2,0,0,ROW()-1,60),ROW()-1,FALSE))</f>
        <v>38.698</v>
      </c>
      <c r="BG339">
        <f ca="1">IF(AND(ISNUMBER($BG$780),$B$419=1),$BG$780,HLOOKUP(INDIRECT(ADDRESS(2,COLUMN())),OFFSET($BN$2,0,0,ROW()-1,60),ROW()-1,FALSE))</f>
        <v>45.414999999999999</v>
      </c>
      <c r="BH339">
        <f ca="1">IF(AND(ISNUMBER($BH$780),$B$419=1),$BH$780,HLOOKUP(INDIRECT(ADDRESS(2,COLUMN())),OFFSET($BN$2,0,0,ROW()-1,60),ROW()-1,FALSE))</f>
        <v>38.235999999999997</v>
      </c>
      <c r="BI339">
        <f ca="1">IF(AND(ISNUMBER($BI$780),$B$419=1),$BI$780,HLOOKUP(INDIRECT(ADDRESS(2,COLUMN())),OFFSET($BN$2,0,0,ROW()-1,60),ROW()-1,FALSE))</f>
        <v>42.700000760000002</v>
      </c>
      <c r="BJ339">
        <f ca="1">IF(AND(ISNUMBER($BJ$780),$B$419=1),$BJ$780,HLOOKUP(INDIRECT(ADDRESS(2,COLUMN())),OFFSET($BN$2,0,0,ROW()-1,60),ROW()-1,FALSE))</f>
        <v>34.455002</v>
      </c>
      <c r="BK339">
        <f ca="1">IF(AND(ISNUMBER($BK$780),$B$419=1),$BK$780,HLOOKUP(INDIRECT(ADDRESS(2,COLUMN())),OFFSET($BN$2,0,0,ROW()-1,60),ROW()-1,FALSE))</f>
        <v>20.254999000000002</v>
      </c>
      <c r="BL339">
        <f ca="1">IF(AND(ISNUMBER($BL$780),$B$419=1),$BL$780,HLOOKUP(INDIRECT(ADDRESS(2,COLUMN())),OFFSET($BN$2,0,0,ROW()-1,60),ROW()-1,FALSE))</f>
        <v>14.741</v>
      </c>
      <c r="BM339">
        <f ca="1">IF(AND(ISNUMBER($BM$780),$B$419=1),$BM$780,HLOOKUP(INDIRECT(ADDRESS(2,COLUMN())),OFFSET($BN$2,0,0,ROW()-1,60),ROW()-1,FALSE))</f>
        <v>24.177</v>
      </c>
      <c r="BN339" t="str">
        <f>""</f>
        <v/>
      </c>
      <c r="BO339">
        <f>13.219</f>
        <v>13.218999999999999</v>
      </c>
      <c r="BP339">
        <f>39.246</f>
        <v>39.246000000000002</v>
      </c>
      <c r="BQ339">
        <f>6.657</f>
        <v>6.657</v>
      </c>
      <c r="BR339">
        <f>3.615</f>
        <v>3.6150000000000002</v>
      </c>
      <c r="BS339">
        <f>16.257</f>
        <v>16.257000000000001</v>
      </c>
      <c r="BT339">
        <f>9.766</f>
        <v>9.766</v>
      </c>
      <c r="BU339">
        <f>14.529</f>
        <v>14.529</v>
      </c>
      <c r="BV339">
        <f>27.2</f>
        <v>27.2</v>
      </c>
      <c r="BW339">
        <f>22.168</f>
        <v>22.167999999999999</v>
      </c>
      <c r="BX339">
        <f>12.267</f>
        <v>12.266999999999999</v>
      </c>
      <c r="BY339">
        <f>13.299</f>
        <v>13.298999999999999</v>
      </c>
      <c r="BZ339">
        <f>40.168</f>
        <v>40.167999999999999</v>
      </c>
      <c r="CA339">
        <f>23.189</f>
        <v>23.189</v>
      </c>
      <c r="CB339">
        <f>12.975</f>
        <v>12.975</v>
      </c>
      <c r="CC339">
        <f>16.035</f>
        <v>16.035</v>
      </c>
      <c r="CD339">
        <f>9.199</f>
        <v>9.1989999999999998</v>
      </c>
      <c r="CE339">
        <f>91.576</f>
        <v>91.575999999999993</v>
      </c>
      <c r="CF339">
        <f>51.73</f>
        <v>51.73</v>
      </c>
      <c r="CG339">
        <f>23.374</f>
        <v>23.373999999999999</v>
      </c>
      <c r="CH339">
        <f>54.8</f>
        <v>54.8</v>
      </c>
      <c r="CI339">
        <f>19.604</f>
        <v>19.603999999999999</v>
      </c>
      <c r="CJ339">
        <f>19.089</f>
        <v>19.088999999999999</v>
      </c>
      <c r="CK339">
        <f>15.097</f>
        <v>15.097</v>
      </c>
      <c r="CL339">
        <f>18.024</f>
        <v>18.024000000000001</v>
      </c>
      <c r="CM339">
        <f>13.642</f>
        <v>13.641999999999999</v>
      </c>
      <c r="CN339">
        <f>20.181</f>
        <v>20.181000000000001</v>
      </c>
      <c r="CO339">
        <f>24.374</f>
        <v>24.373999999999999</v>
      </c>
      <c r="CP339">
        <f>28.774</f>
        <v>28.774000000000001</v>
      </c>
      <c r="CQ339">
        <f>23.859</f>
        <v>23.859000000000002</v>
      </c>
      <c r="CR339">
        <f>31.814</f>
        <v>31.814</v>
      </c>
      <c r="CS339">
        <f>77.978</f>
        <v>77.977999999999994</v>
      </c>
      <c r="CT339">
        <f>122.915</f>
        <v>122.91500000000001</v>
      </c>
      <c r="CU339">
        <f>153.584</f>
        <v>153.584</v>
      </c>
      <c r="CV339">
        <f>104.694</f>
        <v>104.694</v>
      </c>
      <c r="CW339">
        <f>94.37</f>
        <v>94.37</v>
      </c>
      <c r="CX339">
        <f>118.26</f>
        <v>118.26</v>
      </c>
      <c r="CY339">
        <f>58.946</f>
        <v>58.945999999999998</v>
      </c>
      <c r="CZ339">
        <f>53.224</f>
        <v>53.223999999999997</v>
      </c>
      <c r="DA339">
        <f>40.427</f>
        <v>40.427</v>
      </c>
      <c r="DB339">
        <f>61.488</f>
        <v>61.488</v>
      </c>
      <c r="DC339">
        <f>65.777</f>
        <v>65.777000000000001</v>
      </c>
      <c r="DD339">
        <f>59.815</f>
        <v>59.814999999999998</v>
      </c>
      <c r="DE339">
        <f>46.301</f>
        <v>46.301000000000002</v>
      </c>
      <c r="DF339">
        <f>35.506</f>
        <v>35.506</v>
      </c>
      <c r="DG339">
        <f>71.003</f>
        <v>71.003</v>
      </c>
      <c r="DH339">
        <f>187.036</f>
        <v>187.036</v>
      </c>
      <c r="DI339">
        <f>132.858</f>
        <v>132.858</v>
      </c>
      <c r="DJ339">
        <f>37.446</f>
        <v>37.445999999999998</v>
      </c>
      <c r="DK339">
        <f>42.69</f>
        <v>42.69</v>
      </c>
      <c r="DL339">
        <f>23.961</f>
        <v>23.960999999999999</v>
      </c>
      <c r="DM339">
        <f>45.545</f>
        <v>45.545000000000002</v>
      </c>
      <c r="DN339">
        <f>38.698</f>
        <v>38.698</v>
      </c>
      <c r="DO339">
        <f>45.415</f>
        <v>45.414999999999999</v>
      </c>
      <c r="DP339">
        <f>38.236</f>
        <v>38.235999999999997</v>
      </c>
      <c r="DQ339">
        <f>42.70000076</f>
        <v>42.700000760000002</v>
      </c>
      <c r="DR339">
        <f>34.455002</f>
        <v>34.455002</v>
      </c>
      <c r="DS339">
        <f>20.254999</f>
        <v>20.254999000000002</v>
      </c>
      <c r="DT339">
        <f>14.741</f>
        <v>14.741</v>
      </c>
      <c r="DU339">
        <f>24.177</f>
        <v>24.177</v>
      </c>
    </row>
    <row r="340" spans="1:125">
      <c r="A340" t="str">
        <f>"1年内到期债务"</f>
        <v>1年内到期债务</v>
      </c>
      <c r="B340" t="str">
        <f>""</f>
        <v/>
      </c>
      <c r="E340" t="str">
        <f>"Median"</f>
        <v>Median</v>
      </c>
      <c r="F340" t="str">
        <f ca="1">IF(ISERROR(IF(MEDIAN($F$341:$F$355) = 0, "", MEDIAN($F$341:$F$355))), "", (IF(MEDIAN($F$341:$F$355) = 0, "", MEDIAN($F$341:$F$355))))</f>
        <v/>
      </c>
      <c r="G340">
        <f ca="1">IF(ISERROR(IF(MEDIAN($G$341:$G$355) = 0, "", MEDIAN($G$341:$G$355))), "", (IF(MEDIAN($G$341:$G$355) = 0, "", MEDIAN($G$341:$G$355))))</f>
        <v>122.867</v>
      </c>
      <c r="H340">
        <f ca="1">IF(ISERROR(IF(MEDIAN($H$341:$H$355) = 0, "", MEDIAN($H$341:$H$355))), "", (IF(MEDIAN($H$341:$H$355) = 0, "", MEDIAN($H$341:$H$355))))</f>
        <v>13.164999999999999</v>
      </c>
      <c r="I340">
        <f ca="1">IF(ISERROR(IF(MEDIAN($I$341:$I$355) = 0, "", MEDIAN($I$341:$I$355))), "", (IF(MEDIAN($I$341:$I$355) = 0, "", MEDIAN($I$341:$I$355))))</f>
        <v>143.90700000000001</v>
      </c>
      <c r="J340">
        <f ca="1">IF(ISERROR(IF(MEDIAN($J$341:$J$355) = 0, "", MEDIAN($J$341:$J$355))), "", (IF(MEDIAN($J$341:$J$355) = 0, "", MEDIAN($J$341:$J$355))))</f>
        <v>276.10000000000002</v>
      </c>
      <c r="K340">
        <f ca="1">IF(ISERROR(IF(MEDIAN($K$341:$K$355) = 0, "", MEDIAN($K$341:$K$355))), "", (IF(MEDIAN($K$341:$K$355) = 0, "", MEDIAN($K$341:$K$355))))</f>
        <v>278.2</v>
      </c>
      <c r="L340">
        <f ca="1">IF(ISERROR(IF(MEDIAN($L$341:$L$355) = 0, "", MEDIAN($L$341:$L$355))), "", (IF(MEDIAN($L$341:$L$355) = 0, "", MEDIAN($L$341:$L$355))))</f>
        <v>36.299999999999997</v>
      </c>
      <c r="M340">
        <f ca="1">IF(ISERROR(IF(MEDIAN($M$341:$M$355) = 0, "", MEDIAN($M$341:$M$355))), "", (IF(MEDIAN($M$341:$M$355) = 0, "", MEDIAN($M$341:$M$355))))</f>
        <v>121.04600000000001</v>
      </c>
      <c r="N340">
        <f ca="1">IF(ISERROR(IF(MEDIAN($N$341:$N$355) = 0, "", MEDIAN($N$341:$N$355))), "", (IF(MEDIAN($N$341:$N$355) = 0, "", MEDIAN($N$341:$N$355))))</f>
        <v>158.49199999999999</v>
      </c>
      <c r="O340">
        <f ca="1">IF(ISERROR(IF(MEDIAN($O$341:$O$355) = 0, "", MEDIAN($O$341:$O$355))), "", (IF(MEDIAN($O$341:$O$355) = 0, "", MEDIAN($O$341:$O$355))))</f>
        <v>427.64949999999999</v>
      </c>
      <c r="P340">
        <f ca="1">IF(ISERROR(IF(MEDIAN($P$341:$P$355) = 0, "", MEDIAN($P$341:$P$355))), "", (IF(MEDIAN($P$341:$P$355) = 0, "", MEDIAN($P$341:$P$355))))</f>
        <v>58.131999999999998</v>
      </c>
      <c r="Q340">
        <f ca="1">IF(ISERROR(IF(MEDIAN($Q$341:$Q$355) = 0, "", MEDIAN($Q$341:$Q$355))), "", (IF(MEDIAN($Q$341:$Q$355) = 0, "", MEDIAN($Q$341:$Q$355))))</f>
        <v>190.4</v>
      </c>
      <c r="R340">
        <f ca="1">IF(ISERROR(IF(MEDIAN($R$341:$R$355) = 0, "", MEDIAN($R$341:$R$355))), "", (IF(MEDIAN($R$341:$R$355) = 0, "", MEDIAN($R$341:$R$355))))</f>
        <v>352.22399999999999</v>
      </c>
      <c r="S340">
        <f ca="1">IF(ISERROR(IF(MEDIAN($S$341:$S$355) = 0, "", MEDIAN($S$341:$S$355))), "", (IF(MEDIAN($S$341:$S$355) = 0, "", MEDIAN($S$341:$S$355))))</f>
        <v>187.57900000000001</v>
      </c>
      <c r="T340">
        <f ca="1">IF(ISERROR(IF(MEDIAN($T$341:$T$355) = 0, "", MEDIAN($T$341:$T$355))), "", (IF(MEDIAN($T$341:$T$355) = 0, "", MEDIAN($T$341:$T$355))))</f>
        <v>7.9959999999999996</v>
      </c>
      <c r="U340">
        <f ca="1">IF(ISERROR(IF(MEDIAN($U$341:$U$355) = 0, "", MEDIAN($U$341:$U$355))), "", (IF(MEDIAN($U$341:$U$355) = 0, "", MEDIAN($U$341:$U$355))))</f>
        <v>23.634500000000003</v>
      </c>
      <c r="V340">
        <f ca="1">IF(ISERROR(IF(MEDIAN($V$341:$V$355) = 0, "", MEDIAN($V$341:$V$355))), "", (IF(MEDIAN($V$341:$V$355) = 0, "", MEDIAN($V$341:$V$355))))</f>
        <v>81.507999999999996</v>
      </c>
      <c r="W340">
        <f ca="1">IF(ISERROR(IF(MEDIAN($W$341:$W$355) = 0, "", MEDIAN($W$341:$W$355))), "", (IF(MEDIAN($W$341:$W$355) = 0, "", MEDIAN($W$341:$W$355))))</f>
        <v>161.88249999999999</v>
      </c>
      <c r="X340">
        <f ca="1">IF(ISERROR(IF(MEDIAN($X$341:$X$355) = 0, "", MEDIAN($X$341:$X$355))), "", (IF(MEDIAN($X$341:$X$355) = 0, "", MEDIAN($X$341:$X$355))))</f>
        <v>10.7</v>
      </c>
      <c r="Y340">
        <f ca="1">IF(ISERROR(IF(MEDIAN($Y$341:$Y$355) = 0, "", MEDIAN($Y$341:$Y$355))), "", (IF(MEDIAN($Y$341:$Y$355) = 0, "", MEDIAN($Y$341:$Y$355))))</f>
        <v>89.730999999999995</v>
      </c>
      <c r="Z340">
        <f ca="1">IF(ISERROR(IF(MEDIAN($Z$341:$Z$355) = 0, "", MEDIAN($Z$341:$Z$355))), "", (IF(MEDIAN($Z$341:$Z$355) = 0, "", MEDIAN($Z$341:$Z$355))))</f>
        <v>163.54300000000001</v>
      </c>
      <c r="AA340">
        <f ca="1">IF(ISERROR(IF(MEDIAN($AA$341:$AA$355) = 0, "", MEDIAN($AA$341:$AA$355))), "", (IF(MEDIAN($AA$341:$AA$355) = 0, "", MEDIAN($AA$341:$AA$355))))</f>
        <v>236.19399999999999</v>
      </c>
      <c r="AB340">
        <f ca="1">IF(ISERROR(IF(MEDIAN($AB$341:$AB$355) = 0, "", MEDIAN($AB$341:$AB$355))), "", (IF(MEDIAN($AB$341:$AB$355) = 0, "", MEDIAN($AB$341:$AB$355))))</f>
        <v>10.534000000000001</v>
      </c>
      <c r="AC340">
        <f ca="1">IF(ISERROR(IF(MEDIAN($AC$341:$AC$355) = 0, "", MEDIAN($AC$341:$AC$355))), "", (IF(MEDIAN($AC$341:$AC$355) = 0, "", MEDIAN($AC$341:$AC$355))))</f>
        <v>94.880499999999998</v>
      </c>
      <c r="AD340">
        <f ca="1">IF(ISERROR(IF(MEDIAN($AD$341:$AD$355) = 0, "", MEDIAN($AD$341:$AD$355))), "", (IF(MEDIAN($AD$341:$AD$355) = 0, "", MEDIAN($AD$341:$AD$355))))</f>
        <v>134.94200000000001</v>
      </c>
      <c r="AE340">
        <f ca="1">IF(ISERROR(IF(MEDIAN($AE$341:$AE$355) = 0, "", MEDIAN($AE$341:$AE$355))), "", (IF(MEDIAN($AE$341:$AE$355) = 0, "", MEDIAN($AE$341:$AE$355))))</f>
        <v>408.346</v>
      </c>
      <c r="AF340">
        <f ca="1">IF(ISERROR(IF(MEDIAN($AF$341:$AF$355) = 0, "", MEDIAN($AF$341:$AF$355))), "", (IF(MEDIAN($AF$341:$AF$355) = 0, "", MEDIAN($AF$341:$AF$355))))</f>
        <v>17.198</v>
      </c>
      <c r="AG340">
        <f ca="1">IF(ISERROR(IF(MEDIAN($AG$341:$AG$355) = 0, "", MEDIAN($AG$341:$AG$355))), "", (IF(MEDIAN($AG$341:$AG$355) = 0, "", MEDIAN($AG$341:$AG$355))))</f>
        <v>157.03</v>
      </c>
      <c r="AH340">
        <f ca="1">IF(ISERROR(IF(MEDIAN($AH$341:$AH$355) = 0, "", MEDIAN($AH$341:$AH$355))), "", (IF(MEDIAN($AH$341:$AH$355) = 0, "", MEDIAN($AH$341:$AH$355))))</f>
        <v>138.315</v>
      </c>
      <c r="AI340">
        <f ca="1">IF(ISERROR(IF(MEDIAN($AI$341:$AI$355) = 0, "", MEDIAN($AI$341:$AI$355))), "", (IF(MEDIAN($AI$341:$AI$355) = 0, "", MEDIAN($AI$341:$AI$355))))</f>
        <v>147.4</v>
      </c>
      <c r="AJ340">
        <f ca="1">IF(ISERROR(IF(MEDIAN($AJ$341:$AJ$355) = 0, "", MEDIAN($AJ$341:$AJ$355))), "", (IF(MEDIAN($AJ$341:$AJ$355) = 0, "", MEDIAN($AJ$341:$AJ$355))))</f>
        <v>10.581</v>
      </c>
      <c r="AK340">
        <f ca="1">IF(ISERROR(IF(MEDIAN($AK$341:$AK$355) = 0, "", MEDIAN($AK$341:$AK$355))), "", (IF(MEDIAN($AK$341:$AK$355) = 0, "", MEDIAN($AK$341:$AK$355))))</f>
        <v>52.2</v>
      </c>
      <c r="AL340">
        <f ca="1">IF(ISERROR(IF(MEDIAN($AL$341:$AL$355) = 0, "", MEDIAN($AL$341:$AL$355))), "", (IF(MEDIAN($AL$341:$AL$355) = 0, "", MEDIAN($AL$341:$AL$355))))</f>
        <v>186.11099999999999</v>
      </c>
      <c r="AM340">
        <f ca="1">IF(ISERROR(IF(MEDIAN($AM$341:$AM$355) = 0, "", MEDIAN($AM$341:$AM$355))), "", (IF(MEDIAN($AM$341:$AM$355) = 0, "", MEDIAN($AM$341:$AM$355))))</f>
        <v>141.30700000000002</v>
      </c>
      <c r="AN340">
        <f ca="1">IF(ISERROR(IF(MEDIAN($AN$341:$AN$355) = 0, "", MEDIAN($AN$341:$AN$355))), "", (IF(MEDIAN($AN$341:$AN$355) = 0, "", MEDIAN($AN$341:$AN$355))))</f>
        <v>61.911499999999997</v>
      </c>
      <c r="AO340">
        <f ca="1">IF(ISERROR(IF(MEDIAN($AO$341:$AO$355) = 0, "", MEDIAN($AO$341:$AO$355))), "", (IF(MEDIAN($AO$341:$AO$355) = 0, "", MEDIAN($AO$341:$AO$355))))</f>
        <v>152.947</v>
      </c>
      <c r="AP340">
        <f ca="1">IF(ISERROR(IF(MEDIAN($AP$341:$AP$355) = 0, "", MEDIAN($AP$341:$AP$355))), "", (IF(MEDIAN($AP$341:$AP$355) = 0, "", MEDIAN($AP$341:$AP$355))))</f>
        <v>249.69399999999999</v>
      </c>
      <c r="AQ340">
        <f ca="1">IF(ISERROR(IF(MEDIAN($AQ$341:$AQ$355) = 0, "", MEDIAN($AQ$341:$AQ$355))), "", (IF(MEDIAN($AQ$341:$AQ$355) = 0, "", MEDIAN($AQ$341:$AQ$355))))</f>
        <v>387.54199999999997</v>
      </c>
      <c r="AR340">
        <f ca="1">IF(ISERROR(IF(MEDIAN($AR$341:$AR$355) = 0, "", MEDIAN($AR$341:$AR$355))), "", (IF(MEDIAN($AR$341:$AR$355) = 0, "", MEDIAN($AR$341:$AR$355))))</f>
        <v>28.231999999999999</v>
      </c>
      <c r="AS340">
        <f ca="1">IF(ISERROR(IF(MEDIAN($AS$341:$AS$355) = 0, "", MEDIAN($AS$341:$AS$355))), "", (IF(MEDIAN($AS$341:$AS$355) = 0, "", MEDIAN($AS$341:$AS$355))))</f>
        <v>100</v>
      </c>
      <c r="AT340">
        <f ca="1">IF(ISERROR(IF(MEDIAN($AT$341:$AT$355) = 0, "", MEDIAN($AT$341:$AT$355))), "", (IF(MEDIAN($AT$341:$AT$355) = 0, "", MEDIAN($AT$341:$AT$355))))</f>
        <v>255.471</v>
      </c>
      <c r="AU340">
        <f ca="1">IF(ISERROR(IF(MEDIAN($AU$341:$AU$355) = 0, "", MEDIAN($AU$341:$AU$355))), "", (IF(MEDIAN($AU$341:$AU$355) = 0, "", MEDIAN($AU$341:$AU$355))))</f>
        <v>254.50899999999999</v>
      </c>
      <c r="AV340">
        <f ca="1">IF(ISERROR(IF(MEDIAN($AV$341:$AV$355) = 0, "", MEDIAN($AV$341:$AV$355))), "", (IF(MEDIAN($AV$341:$AV$355) = 0, "", MEDIAN($AV$341:$AV$355))))</f>
        <v>94.346000000000004</v>
      </c>
      <c r="AW340">
        <f ca="1">IF(ISERROR(IF(MEDIAN($AW$341:$AW$355) = 0, "", MEDIAN($AW$341:$AW$355))), "", (IF(MEDIAN($AW$341:$AW$355) = 0, "", MEDIAN($AW$341:$AW$355))))</f>
        <v>97.327500000000001</v>
      </c>
      <c r="AX340">
        <f ca="1">IF(ISERROR(IF(MEDIAN($AX$341:$AX$355) = 0, "", MEDIAN($AX$341:$AX$355))), "", (IF(MEDIAN($AX$341:$AX$355) = 0, "", MEDIAN($AX$341:$AX$355))))</f>
        <v>154.53299999999999</v>
      </c>
      <c r="AY340">
        <f ca="1">IF(ISERROR(IF(MEDIAN($AY$341:$AY$355) = 0, "", MEDIAN($AY$341:$AY$355))), "", (IF(MEDIAN($AY$341:$AY$355) = 0, "", MEDIAN($AY$341:$AY$355))))</f>
        <v>153.23150000000001</v>
      </c>
      <c r="AZ340">
        <f ca="1">IF(ISERROR(IF(MEDIAN($AZ$341:$AZ$355) = 0, "", MEDIAN($AZ$341:$AZ$355))), "", (IF(MEDIAN($AZ$341:$AZ$355) = 0, "", MEDIAN($AZ$341:$AZ$355))))</f>
        <v>131.881</v>
      </c>
      <c r="BA340">
        <f ca="1">IF(ISERROR(IF(MEDIAN($BA$341:$BA$355) = 0, "", MEDIAN($BA$341:$BA$355))), "", (IF(MEDIAN($BA$341:$BA$355) = 0, "", MEDIAN($BA$341:$BA$355))))</f>
        <v>248.70350000000002</v>
      </c>
      <c r="BB340">
        <f ca="1">IF(ISERROR(IF(MEDIAN($BB$341:$BB$355) = 0, "", MEDIAN($BB$341:$BB$355))), "", (IF(MEDIAN($BB$341:$BB$355) = 0, "", MEDIAN($BB$341:$BB$355))))</f>
        <v>201.84200000000001</v>
      </c>
      <c r="BC340">
        <f ca="1">IF(ISERROR(IF(MEDIAN($BC$341:$BC$355) = 0, "", MEDIAN($BC$341:$BC$355))), "", (IF(MEDIAN($BC$341:$BC$355) = 0, "", MEDIAN($BC$341:$BC$355))))</f>
        <v>56.878500000000003</v>
      </c>
      <c r="BD340">
        <f ca="1">IF(ISERROR(IF(MEDIAN($BD$341:$BD$355) = 0, "", MEDIAN($BD$341:$BD$355))), "", (IF(MEDIAN($BD$341:$BD$355) = 0, "", MEDIAN($BD$341:$BD$355))))</f>
        <v>21.673500043000001</v>
      </c>
      <c r="BE340">
        <f ca="1">IF(ISERROR(IF(MEDIAN($BE$341:$BE$355) = 0, "", MEDIAN($BE$341:$BE$355))), "", (IF(MEDIAN($BE$341:$BE$355) = 0, "", MEDIAN($BE$341:$BE$355))))</f>
        <v>99.413000000000011</v>
      </c>
      <c r="BF340">
        <f ca="1">IF(ISERROR(IF(MEDIAN($BF$341:$BF$355) = 0, "", MEDIAN($BF$341:$BF$355))), "", (IF(MEDIAN($BF$341:$BF$355) = 0, "", MEDIAN($BF$341:$BF$355))))</f>
        <v>42.38</v>
      </c>
      <c r="BG340">
        <f ca="1">IF(ISERROR(IF(MEDIAN($BG$341:$BG$355) = 0, "", MEDIAN($BG$341:$BG$355))), "", (IF(MEDIAN($BG$341:$BG$355) = 0, "", MEDIAN($BG$341:$BG$355))))</f>
        <v>23.64200035</v>
      </c>
      <c r="BH340">
        <f ca="1">IF(ISERROR(IF(MEDIAN($BH$341:$BH$355) = 0, "", MEDIAN($BH$341:$BH$355))), "", (IF(MEDIAN($BH$341:$BH$355) = 0, "", MEDIAN($BH$341:$BH$355))))</f>
        <v>51.5</v>
      </c>
      <c r="BI340">
        <f ca="1">IF(ISERROR(IF(MEDIAN($BI$341:$BI$355) = 0, "", MEDIAN($BI$341:$BI$355))), "", (IF(MEDIAN($BI$341:$BI$355) = 0, "", MEDIAN($BI$341:$BI$355))))</f>
        <v>16.401499999999999</v>
      </c>
      <c r="BJ340">
        <f ca="1">IF(ISERROR(IF(MEDIAN($BJ$341:$BJ$355) = 0, "", MEDIAN($BJ$341:$BJ$355))), "", (IF(MEDIAN($BJ$341:$BJ$355) = 0, "", MEDIAN($BJ$341:$BJ$355))))</f>
        <v>355.32600000000002</v>
      </c>
      <c r="BK340">
        <f ca="1">IF(ISERROR(IF(MEDIAN($BK$341:$BK$355) = 0, "", MEDIAN($BK$341:$BK$355))), "", (IF(MEDIAN($BK$341:$BK$355) = 0, "", MEDIAN($BK$341:$BK$355))))</f>
        <v>123.158</v>
      </c>
      <c r="BL340">
        <f ca="1">IF(ISERROR(IF(MEDIAN($BL$341:$BL$355) = 0, "", MEDIAN($BL$341:$BL$355))), "", (IF(MEDIAN($BL$341:$BL$355) = 0, "", MEDIAN($BL$341:$BL$355))))</f>
        <v>291.64449999999999</v>
      </c>
      <c r="BM340">
        <f ca="1">IF(ISERROR(IF(MEDIAN($BM$341:$BM$355) = 0, "", MEDIAN($BM$341:$BM$355))), "", (IF(MEDIAN($BM$341:$BM$355) = 0, "", MEDIAN($BM$341:$BM$355))))</f>
        <v>301.2405</v>
      </c>
      <c r="BN340" t="str">
        <f>""</f>
        <v/>
      </c>
      <c r="BO340">
        <f>122.867</f>
        <v>122.867</v>
      </c>
      <c r="BP340">
        <f>13.165</f>
        <v>13.164999999999999</v>
      </c>
      <c r="BQ340">
        <f>143.907</f>
        <v>143.90700000000001</v>
      </c>
      <c r="BR340">
        <f>276.1</f>
        <v>276.10000000000002</v>
      </c>
      <c r="BS340">
        <f>278.2</f>
        <v>278.2</v>
      </c>
      <c r="BT340">
        <f>36.3</f>
        <v>36.299999999999997</v>
      </c>
      <c r="BU340">
        <f>121.046</f>
        <v>121.04600000000001</v>
      </c>
      <c r="BV340">
        <f>158.492</f>
        <v>158.49199999999999</v>
      </c>
      <c r="BW340">
        <f>427.6495</f>
        <v>427.64949999999999</v>
      </c>
      <c r="BX340">
        <f>58.132</f>
        <v>58.131999999999998</v>
      </c>
      <c r="BY340">
        <f>190.4</f>
        <v>190.4</v>
      </c>
      <c r="BZ340">
        <f>352.224</f>
        <v>352.22399999999999</v>
      </c>
      <c r="CA340">
        <f>187.579</f>
        <v>187.57900000000001</v>
      </c>
      <c r="CB340">
        <f>7.996</f>
        <v>7.9960000000000004</v>
      </c>
      <c r="CC340">
        <f>23.6345</f>
        <v>23.634499999999999</v>
      </c>
      <c r="CD340">
        <f>81.508</f>
        <v>81.507999999999996</v>
      </c>
      <c r="CE340">
        <f>161.8825</f>
        <v>161.88249999999999</v>
      </c>
      <c r="CF340">
        <f>10.7</f>
        <v>10.7</v>
      </c>
      <c r="CG340">
        <f>89.731</f>
        <v>89.730999999999995</v>
      </c>
      <c r="CH340">
        <f>163.543</f>
        <v>163.54300000000001</v>
      </c>
      <c r="CI340">
        <f>236.194</f>
        <v>236.19399999999999</v>
      </c>
      <c r="CJ340">
        <f>10.534</f>
        <v>10.534000000000001</v>
      </c>
      <c r="CK340">
        <f>94.8805</f>
        <v>94.880499999999998</v>
      </c>
      <c r="CL340">
        <f>134.942</f>
        <v>134.94200000000001</v>
      </c>
      <c r="CM340">
        <f>408.346</f>
        <v>408.346</v>
      </c>
      <c r="CN340">
        <f>17.198</f>
        <v>17.198</v>
      </c>
      <c r="CO340">
        <f>157.03</f>
        <v>157.03</v>
      </c>
      <c r="CP340">
        <f>138.315</f>
        <v>138.315</v>
      </c>
      <c r="CQ340">
        <f>147.4</f>
        <v>147.4</v>
      </c>
      <c r="CR340">
        <f>10.581</f>
        <v>10.581</v>
      </c>
      <c r="CS340">
        <f>52.2</f>
        <v>52.2</v>
      </c>
      <c r="CT340">
        <f>186.111</f>
        <v>186.11099999999999</v>
      </c>
      <c r="CU340">
        <f>141.307</f>
        <v>141.30699999999999</v>
      </c>
      <c r="CV340">
        <f>61.9115</f>
        <v>61.911499999999997</v>
      </c>
      <c r="CW340">
        <f>152.947</f>
        <v>152.947</v>
      </c>
      <c r="CX340">
        <f>249.694</f>
        <v>249.69399999999999</v>
      </c>
      <c r="CY340">
        <f>387.542</f>
        <v>387.54199999999997</v>
      </c>
      <c r="CZ340">
        <f>28.232</f>
        <v>28.231999999999999</v>
      </c>
      <c r="DA340">
        <f>100</f>
        <v>100</v>
      </c>
      <c r="DB340">
        <f>255.471</f>
        <v>255.471</v>
      </c>
      <c r="DC340">
        <f>254.509</f>
        <v>254.50899999999999</v>
      </c>
      <c r="DD340">
        <f>94.346</f>
        <v>94.346000000000004</v>
      </c>
      <c r="DE340">
        <f>97.3275</f>
        <v>97.327500000000001</v>
      </c>
      <c r="DF340">
        <f>154.533</f>
        <v>154.53299999999999</v>
      </c>
      <c r="DG340">
        <f>153.2315</f>
        <v>153.23150000000001</v>
      </c>
      <c r="DH340">
        <f>131.881</f>
        <v>131.881</v>
      </c>
      <c r="DI340">
        <f>248.7035</f>
        <v>248.70349999999999</v>
      </c>
      <c r="DJ340">
        <f>201.842</f>
        <v>201.84200000000001</v>
      </c>
      <c r="DK340">
        <f>56.8785</f>
        <v>56.878500000000003</v>
      </c>
      <c r="DL340">
        <f>21.67350004</f>
        <v>21.67350004</v>
      </c>
      <c r="DM340">
        <f>99.413</f>
        <v>99.412999999999997</v>
      </c>
      <c r="DN340">
        <f>42.38</f>
        <v>42.38</v>
      </c>
      <c r="DO340">
        <f>23.64200035</f>
        <v>23.64200035</v>
      </c>
      <c r="DP340">
        <f>51.5</f>
        <v>51.5</v>
      </c>
      <c r="DQ340">
        <f>16.4015</f>
        <v>16.401499999999999</v>
      </c>
      <c r="DR340">
        <f>355.326</f>
        <v>355.32600000000002</v>
      </c>
      <c r="DS340">
        <f>123.158</f>
        <v>123.158</v>
      </c>
      <c r="DT340">
        <f>291.6445</f>
        <v>291.64449999999999</v>
      </c>
      <c r="DU340">
        <f>301.2405</f>
        <v>301.2405</v>
      </c>
    </row>
    <row r="341" spans="1:125">
      <c r="A341" t="str">
        <f>"    Brixmor Property Group Inc"</f>
        <v xml:space="preserve">    Brixmor Property Group Inc</v>
      </c>
      <c r="B341" t="str">
        <f>"BRX US Equity"</f>
        <v>BRX US Equity</v>
      </c>
      <c r="C341" t="str">
        <f t="shared" ref="C341:C355" si="63">"BS658"</f>
        <v>BS658</v>
      </c>
      <c r="D341" t="str">
        <f t="shared" ref="D341:D355" si="64">"BS_YEAR_1_PRINCIPAL"</f>
        <v>BS_YEAR_1_PRINCIPAL</v>
      </c>
      <c r="E341" t="str">
        <f t="shared" ref="E341:E355" si="65">"动态"</f>
        <v>动态</v>
      </c>
      <c r="F341" t="str">
        <f ca="1">IF(AND(ISNUMBER($F$781),$B$419=1),$F$781,HLOOKUP(INDIRECT(ADDRESS(2,COLUMN())),OFFSET($BN$2,0,0,ROW()-1,60),ROW()-1,FALSE))</f>
        <v/>
      </c>
      <c r="G341">
        <f ca="1">IF(AND(ISNUMBER($G$781),$B$419=1),$G$781,HLOOKUP(INDIRECT(ADDRESS(2,COLUMN())),OFFSET($BN$2,0,0,ROW()-1,60),ROW()-1,FALSE))</f>
        <v>203.11799999999999</v>
      </c>
      <c r="H341">
        <f ca="1">IF(AND(ISNUMBER($H$781),$B$419=1),$H$781,HLOOKUP(INDIRECT(ADDRESS(2,COLUMN())),OFFSET($BN$2,0,0,ROW()-1,60),ROW()-1,FALSE))</f>
        <v>13.164999999999999</v>
      </c>
      <c r="I341">
        <f ca="1">IF(AND(ISNUMBER($I$781),$B$419=1),$I$781,HLOOKUP(INDIRECT(ADDRESS(2,COLUMN())),OFFSET($BN$2,0,0,ROW()-1,60),ROW()-1,FALSE))</f>
        <v>18.190999999999999</v>
      </c>
      <c r="J341">
        <f ca="1">IF(AND(ISNUMBER($J$781),$B$419=1),$J$781,HLOOKUP(INDIRECT(ADDRESS(2,COLUMN())),OFFSET($BN$2,0,0,ROW()-1,60),ROW()-1,FALSE))</f>
        <v>306.92700000000002</v>
      </c>
      <c r="K341">
        <f ca="1">IF(AND(ISNUMBER($K$781),$B$419=1),$K$781,HLOOKUP(INDIRECT(ADDRESS(2,COLUMN())),OFFSET($BN$2,0,0,ROW()-1,60),ROW()-1,FALSE))</f>
        <v>312.88799999999998</v>
      </c>
      <c r="L341">
        <f ca="1">IF(AND(ISNUMBER($L$781),$B$419=1),$L$781,HLOOKUP(INDIRECT(ADDRESS(2,COLUMN())),OFFSET($BN$2,0,0,ROW()-1,60),ROW()-1,FALSE))</f>
        <v>11.782</v>
      </c>
      <c r="M341">
        <f ca="1">IF(AND(ISNUMBER($M$781),$B$419=1),$M$781,HLOOKUP(INDIRECT(ADDRESS(2,COLUMN())),OFFSET($BN$2,0,0,ROW()-1,60),ROW()-1,FALSE))</f>
        <v>699.15</v>
      </c>
      <c r="N341">
        <f ca="1">IF(AND(ISNUMBER($N$781),$B$419=1),$N$781,HLOOKUP(INDIRECT(ADDRESS(2,COLUMN())),OFFSET($BN$2,0,0,ROW()-1,60),ROW()-1,FALSE))</f>
        <v>872.96</v>
      </c>
      <c r="O341">
        <f ca="1">IF(AND(ISNUMBER($O$781),$B$419=1),$O$781,HLOOKUP(INDIRECT(ADDRESS(2,COLUMN())),OFFSET($BN$2,0,0,ROW()-1,60),ROW()-1,FALSE))</f>
        <v>877.7</v>
      </c>
      <c r="P341">
        <f ca="1">IF(AND(ISNUMBER($P$781),$B$419=1),$P$781,HLOOKUP(INDIRECT(ADDRESS(2,COLUMN())),OFFSET($BN$2,0,0,ROW()-1,60),ROW()-1,FALSE))</f>
        <v>8.1419999999999995</v>
      </c>
      <c r="Q341">
        <f ca="1">IF(AND(ISNUMBER($Q$781),$B$419=1),$Q$781,HLOOKUP(INDIRECT(ADDRESS(2,COLUMN())),OFFSET($BN$2,0,0,ROW()-1,60),ROW()-1,FALSE))</f>
        <v>157.51900000000001</v>
      </c>
      <c r="R341">
        <f ca="1">IF(AND(ISNUMBER($R$781),$B$419=1),$R$781,HLOOKUP(INDIRECT(ADDRESS(2,COLUMN())),OFFSET($BN$2,0,0,ROW()-1,60),ROW()-1,FALSE))</f>
        <v>494.38799999999998</v>
      </c>
      <c r="S341" t="str">
        <f ca="1">IF(AND(ISNUMBER($S$781),$B$419=1),$S$781,HLOOKUP(INDIRECT(ADDRESS(2,COLUMN())),OFFSET($BN$2,0,0,ROW()-1,60),ROW()-1,FALSE))</f>
        <v/>
      </c>
      <c r="T341">
        <f ca="1">IF(AND(ISNUMBER($T$781),$B$419=1),$T$781,HLOOKUP(INDIRECT(ADDRESS(2,COLUMN())),OFFSET($BN$2,0,0,ROW()-1,60),ROW()-1,FALSE))</f>
        <v>8.3919999999999995</v>
      </c>
      <c r="U341">
        <f ca="1">IF(AND(ISNUMBER($U$781),$B$419=1),$U$781,HLOOKUP(INDIRECT(ADDRESS(2,COLUMN())),OFFSET($BN$2,0,0,ROW()-1,60),ROW()-1,FALSE))</f>
        <v>15.971</v>
      </c>
      <c r="V341">
        <f ca="1">IF(AND(ISNUMBER($V$781),$B$419=1),$V$781,HLOOKUP(INDIRECT(ADDRESS(2,COLUMN())),OFFSET($BN$2,0,0,ROW()-1,60),ROW()-1,FALSE))</f>
        <v>72.168999999999997</v>
      </c>
      <c r="W341">
        <f ca="1">IF(AND(ISNUMBER($W$781),$B$419=1),$W$781,HLOOKUP(INDIRECT(ADDRESS(2,COLUMN())),OFFSET($BN$2,0,0,ROW()-1,60),ROW()-1,FALSE))</f>
        <v>327.553</v>
      </c>
      <c r="X341">
        <f ca="1">IF(AND(ISNUMBER($X$781),$B$419=1),$X$781,HLOOKUP(INDIRECT(ADDRESS(2,COLUMN())),OFFSET($BN$2,0,0,ROW()-1,60),ROW()-1,FALSE))</f>
        <v>58.524000000000001</v>
      </c>
      <c r="Y341">
        <f ca="1">IF(AND(ISNUMBER($Y$781),$B$419=1),$Y$781,HLOOKUP(INDIRECT(ADDRESS(2,COLUMN())),OFFSET($BN$2,0,0,ROW()-1,60),ROW()-1,FALSE))</f>
        <v>830.99099999999999</v>
      </c>
      <c r="Z341">
        <f ca="1">IF(AND(ISNUMBER($Z$781),$B$419=1),$Z$781,HLOOKUP(INDIRECT(ADDRESS(2,COLUMN())),OFFSET($BN$2,0,0,ROW()-1,60),ROW()-1,FALSE))</f>
        <v>838.67499999999995</v>
      </c>
      <c r="AA341">
        <f ca="1">IF(AND(ISNUMBER($AA$781),$B$419=1),$AA$781,HLOOKUP(INDIRECT(ADDRESS(2,COLUMN())),OFFSET($BN$2,0,0,ROW()-1,60),ROW()-1,FALSE))</f>
        <v>873.04100000000005</v>
      </c>
      <c r="AB341" t="str">
        <f ca="1">IF(AND(ISNUMBER($AB$781),$B$419=1),$AB$781,HLOOKUP(INDIRECT(ADDRESS(2,COLUMN())),OFFSET($BN$2,0,0,ROW()-1,60),ROW()-1,FALSE))</f>
        <v/>
      </c>
      <c r="AC341" t="str">
        <f ca="1">IF(AND(ISNUMBER($AC$781),$B$419=1),$AC$781,HLOOKUP(INDIRECT(ADDRESS(2,COLUMN())),OFFSET($BN$2,0,0,ROW()-1,60),ROW()-1,FALSE))</f>
        <v/>
      </c>
      <c r="AD341" t="str">
        <f ca="1">IF(AND(ISNUMBER($AD$781),$B$419=1),$AD$781,HLOOKUP(INDIRECT(ADDRESS(2,COLUMN())),OFFSET($BN$2,0,0,ROW()-1,60),ROW()-1,FALSE))</f>
        <v/>
      </c>
      <c r="AE341" t="str">
        <f ca="1">IF(AND(ISNUMBER($AE$781),$B$419=1),$AE$781,HLOOKUP(INDIRECT(ADDRESS(2,COLUMN())),OFFSET($BN$2,0,0,ROW()-1,60),ROW()-1,FALSE))</f>
        <v/>
      </c>
      <c r="AF341" t="str">
        <f ca="1">IF(AND(ISNUMBER($AF$781),$B$419=1),$AF$781,HLOOKUP(INDIRECT(ADDRESS(2,COLUMN())),OFFSET($BN$2,0,0,ROW()-1,60),ROW()-1,FALSE))</f>
        <v/>
      </c>
      <c r="AG341" t="str">
        <f ca="1">IF(AND(ISNUMBER($AG$781),$B$419=1),$AG$781,HLOOKUP(INDIRECT(ADDRESS(2,COLUMN())),OFFSET($BN$2,0,0,ROW()-1,60),ROW()-1,FALSE))</f>
        <v/>
      </c>
      <c r="AH341" t="str">
        <f ca="1">IF(AND(ISNUMBER($AH$781),$B$419=1),$AH$781,HLOOKUP(INDIRECT(ADDRESS(2,COLUMN())),OFFSET($BN$2,0,0,ROW()-1,60),ROW()-1,FALSE))</f>
        <v/>
      </c>
      <c r="AI341" t="str">
        <f ca="1">IF(AND(ISNUMBER($AI$781),$B$419=1),$AI$781,HLOOKUP(INDIRECT(ADDRESS(2,COLUMN())),OFFSET($BN$2,0,0,ROW()-1,60),ROW()-1,FALSE))</f>
        <v/>
      </c>
      <c r="AJ341" t="str">
        <f ca="1">IF(AND(ISNUMBER($AJ$781),$B$419=1),$AJ$781,HLOOKUP(INDIRECT(ADDRESS(2,COLUMN())),OFFSET($BN$2,0,0,ROW()-1,60),ROW()-1,FALSE))</f>
        <v/>
      </c>
      <c r="AK341" t="str">
        <f ca="1">IF(AND(ISNUMBER($AK$781),$B$419=1),$AK$781,HLOOKUP(INDIRECT(ADDRESS(2,COLUMN())),OFFSET($BN$2,0,0,ROW()-1,60),ROW()-1,FALSE))</f>
        <v/>
      </c>
      <c r="AL341" t="str">
        <f ca="1">IF(AND(ISNUMBER($AL$781),$B$419=1),$AL$781,HLOOKUP(INDIRECT(ADDRESS(2,COLUMN())),OFFSET($BN$2,0,0,ROW()-1,60),ROW()-1,FALSE))</f>
        <v/>
      </c>
      <c r="AM341" t="str">
        <f ca="1">IF(AND(ISNUMBER($AM$781),$B$419=1),$AM$781,HLOOKUP(INDIRECT(ADDRESS(2,COLUMN())),OFFSET($BN$2,0,0,ROW()-1,60),ROW()-1,FALSE))</f>
        <v/>
      </c>
      <c r="AN341" t="str">
        <f ca="1">IF(AND(ISNUMBER($AN$781),$B$419=1),$AN$781,HLOOKUP(INDIRECT(ADDRESS(2,COLUMN())),OFFSET($BN$2,0,0,ROW()-1,60),ROW()-1,FALSE))</f>
        <v/>
      </c>
      <c r="AO341" t="str">
        <f ca="1">IF(AND(ISNUMBER($AO$781),$B$419=1),$AO$781,HLOOKUP(INDIRECT(ADDRESS(2,COLUMN())),OFFSET($BN$2,0,0,ROW()-1,60),ROW()-1,FALSE))</f>
        <v/>
      </c>
      <c r="AP341" t="str">
        <f ca="1">IF(AND(ISNUMBER($AP$781),$B$419=1),$AP$781,HLOOKUP(INDIRECT(ADDRESS(2,COLUMN())),OFFSET($BN$2,0,0,ROW()-1,60),ROW()-1,FALSE))</f>
        <v/>
      </c>
      <c r="AQ341" t="str">
        <f ca="1">IF(AND(ISNUMBER($AQ$781),$B$419=1),$AQ$781,HLOOKUP(INDIRECT(ADDRESS(2,COLUMN())),OFFSET($BN$2,0,0,ROW()-1,60),ROW()-1,FALSE))</f>
        <v/>
      </c>
      <c r="AR341" t="str">
        <f ca="1">IF(AND(ISNUMBER($AR$781),$B$419=1),$AR$781,HLOOKUP(INDIRECT(ADDRESS(2,COLUMN())),OFFSET($BN$2,0,0,ROW()-1,60),ROW()-1,FALSE))</f>
        <v/>
      </c>
      <c r="AS341" t="str">
        <f ca="1">IF(AND(ISNUMBER($AS$781),$B$419=1),$AS$781,HLOOKUP(INDIRECT(ADDRESS(2,COLUMN())),OFFSET($BN$2,0,0,ROW()-1,60),ROW()-1,FALSE))</f>
        <v/>
      </c>
      <c r="AT341" t="str">
        <f ca="1">IF(AND(ISNUMBER($AT$781),$B$419=1),$AT$781,HLOOKUP(INDIRECT(ADDRESS(2,COLUMN())),OFFSET($BN$2,0,0,ROW()-1,60),ROW()-1,FALSE))</f>
        <v/>
      </c>
      <c r="AU341" t="str">
        <f ca="1">IF(AND(ISNUMBER($AU$781),$B$419=1),$AU$781,HLOOKUP(INDIRECT(ADDRESS(2,COLUMN())),OFFSET($BN$2,0,0,ROW()-1,60),ROW()-1,FALSE))</f>
        <v/>
      </c>
      <c r="AV341" t="str">
        <f ca="1">IF(AND(ISNUMBER($AV$781),$B$419=1),$AV$781,HLOOKUP(INDIRECT(ADDRESS(2,COLUMN())),OFFSET($BN$2,0,0,ROW()-1,60),ROW()-1,FALSE))</f>
        <v/>
      </c>
      <c r="AW341" t="str">
        <f ca="1">IF(AND(ISNUMBER($AW$781),$B$419=1),$AW$781,HLOOKUP(INDIRECT(ADDRESS(2,COLUMN())),OFFSET($BN$2,0,0,ROW()-1,60),ROW()-1,FALSE))</f>
        <v/>
      </c>
      <c r="AX341" t="str">
        <f ca="1">IF(AND(ISNUMBER($AX$781),$B$419=1),$AX$781,HLOOKUP(INDIRECT(ADDRESS(2,COLUMN())),OFFSET($BN$2,0,0,ROW()-1,60),ROW()-1,FALSE))</f>
        <v/>
      </c>
      <c r="AY341" t="str">
        <f ca="1">IF(AND(ISNUMBER($AY$781),$B$419=1),$AY$781,HLOOKUP(INDIRECT(ADDRESS(2,COLUMN())),OFFSET($BN$2,0,0,ROW()-1,60),ROW()-1,FALSE))</f>
        <v/>
      </c>
      <c r="AZ341" t="str">
        <f ca="1">IF(AND(ISNUMBER($AZ$781),$B$419=1),$AZ$781,HLOOKUP(INDIRECT(ADDRESS(2,COLUMN())),OFFSET($BN$2,0,0,ROW()-1,60),ROW()-1,FALSE))</f>
        <v/>
      </c>
      <c r="BA341" t="str">
        <f ca="1">IF(AND(ISNUMBER($BA$781),$B$419=1),$BA$781,HLOOKUP(INDIRECT(ADDRESS(2,COLUMN())),OFFSET($BN$2,0,0,ROW()-1,60),ROW()-1,FALSE))</f>
        <v/>
      </c>
      <c r="BB341" t="str">
        <f ca="1">IF(AND(ISNUMBER($BB$781),$B$419=1),$BB$781,HLOOKUP(INDIRECT(ADDRESS(2,COLUMN())),OFFSET($BN$2,0,0,ROW()-1,60),ROW()-1,FALSE))</f>
        <v/>
      </c>
      <c r="BC341" t="str">
        <f ca="1">IF(AND(ISNUMBER($BC$781),$B$419=1),$BC$781,HLOOKUP(INDIRECT(ADDRESS(2,COLUMN())),OFFSET($BN$2,0,0,ROW()-1,60),ROW()-1,FALSE))</f>
        <v/>
      </c>
      <c r="BD341" t="str">
        <f ca="1">IF(AND(ISNUMBER($BD$781),$B$419=1),$BD$781,HLOOKUP(INDIRECT(ADDRESS(2,COLUMN())),OFFSET($BN$2,0,0,ROW()-1,60),ROW()-1,FALSE))</f>
        <v/>
      </c>
      <c r="BE341" t="str">
        <f ca="1">IF(AND(ISNUMBER($BE$781),$B$419=1),$BE$781,HLOOKUP(INDIRECT(ADDRESS(2,COLUMN())),OFFSET($BN$2,0,0,ROW()-1,60),ROW()-1,FALSE))</f>
        <v/>
      </c>
      <c r="BF341" t="str">
        <f ca="1">IF(AND(ISNUMBER($BF$781),$B$419=1),$BF$781,HLOOKUP(INDIRECT(ADDRESS(2,COLUMN())),OFFSET($BN$2,0,0,ROW()-1,60),ROW()-1,FALSE))</f>
        <v/>
      </c>
      <c r="BG341" t="str">
        <f ca="1">IF(AND(ISNUMBER($BG$781),$B$419=1),$BG$781,HLOOKUP(INDIRECT(ADDRESS(2,COLUMN())),OFFSET($BN$2,0,0,ROW()-1,60),ROW()-1,FALSE))</f>
        <v/>
      </c>
      <c r="BH341" t="str">
        <f ca="1">IF(AND(ISNUMBER($BH$781),$B$419=1),$BH$781,HLOOKUP(INDIRECT(ADDRESS(2,COLUMN())),OFFSET($BN$2,0,0,ROW()-1,60),ROW()-1,FALSE))</f>
        <v/>
      </c>
      <c r="BI341" t="str">
        <f ca="1">IF(AND(ISNUMBER($BI$781),$B$419=1),$BI$781,HLOOKUP(INDIRECT(ADDRESS(2,COLUMN())),OFFSET($BN$2,0,0,ROW()-1,60),ROW()-1,FALSE))</f>
        <v/>
      </c>
      <c r="BJ341" t="str">
        <f ca="1">IF(AND(ISNUMBER($BJ$781),$B$419=1),$BJ$781,HLOOKUP(INDIRECT(ADDRESS(2,COLUMN())),OFFSET($BN$2,0,0,ROW()-1,60),ROW()-1,FALSE))</f>
        <v/>
      </c>
      <c r="BK341" t="str">
        <f ca="1">IF(AND(ISNUMBER($BK$781),$B$419=1),$BK$781,HLOOKUP(INDIRECT(ADDRESS(2,COLUMN())),OFFSET($BN$2,0,0,ROW()-1,60),ROW()-1,FALSE))</f>
        <v/>
      </c>
      <c r="BL341" t="str">
        <f ca="1">IF(AND(ISNUMBER($BL$781),$B$419=1),$BL$781,HLOOKUP(INDIRECT(ADDRESS(2,COLUMN())),OFFSET($BN$2,0,0,ROW()-1,60),ROW()-1,FALSE))</f>
        <v/>
      </c>
      <c r="BM341" t="str">
        <f ca="1">IF(AND(ISNUMBER($BM$781),$B$419=1),$BM$781,HLOOKUP(INDIRECT(ADDRESS(2,COLUMN())),OFFSET($BN$2,0,0,ROW()-1,60),ROW()-1,FALSE))</f>
        <v/>
      </c>
      <c r="BN341" t="str">
        <f>""</f>
        <v/>
      </c>
      <c r="BO341">
        <f>203.118</f>
        <v>203.11799999999999</v>
      </c>
      <c r="BP341">
        <f>13.165</f>
        <v>13.164999999999999</v>
      </c>
      <c r="BQ341">
        <f>18.191</f>
        <v>18.190999999999999</v>
      </c>
      <c r="BR341">
        <f>306.927</f>
        <v>306.92700000000002</v>
      </c>
      <c r="BS341">
        <f>312.888</f>
        <v>312.88799999999998</v>
      </c>
      <c r="BT341">
        <f>11.782</f>
        <v>11.782</v>
      </c>
      <c r="BU341">
        <f>699.15</f>
        <v>699.15</v>
      </c>
      <c r="BV341">
        <f>872.96</f>
        <v>872.96</v>
      </c>
      <c r="BW341">
        <f>877.7</f>
        <v>877.7</v>
      </c>
      <c r="BX341">
        <f>8.142</f>
        <v>8.1419999999999995</v>
      </c>
      <c r="BY341">
        <f>157.519</f>
        <v>157.51900000000001</v>
      </c>
      <c r="BZ341">
        <f>494.388</f>
        <v>494.38799999999998</v>
      </c>
      <c r="CA341" t="str">
        <f>""</f>
        <v/>
      </c>
      <c r="CB341">
        <f>8.392</f>
        <v>8.3919999999999995</v>
      </c>
      <c r="CC341">
        <f>15.971</f>
        <v>15.971</v>
      </c>
      <c r="CD341">
        <f>72.169</f>
        <v>72.168999999999997</v>
      </c>
      <c r="CE341">
        <f>327.553</f>
        <v>327.553</v>
      </c>
      <c r="CF341">
        <f>58.524</f>
        <v>58.524000000000001</v>
      </c>
      <c r="CG341">
        <f>830.991</f>
        <v>830.99099999999999</v>
      </c>
      <c r="CH341">
        <f>838.675</f>
        <v>838.67499999999995</v>
      </c>
      <c r="CI341">
        <f>873.041</f>
        <v>873.04100000000005</v>
      </c>
      <c r="CJ341" t="str">
        <f>""</f>
        <v/>
      </c>
      <c r="CK341" t="str">
        <f>""</f>
        <v/>
      </c>
      <c r="CL341" t="str">
        <f>""</f>
        <v/>
      </c>
      <c r="CM341" t="str">
        <f>""</f>
        <v/>
      </c>
      <c r="CN341" t="str">
        <f>""</f>
        <v/>
      </c>
      <c r="CO341" t="str">
        <f>""</f>
        <v/>
      </c>
      <c r="CP341" t="str">
        <f>""</f>
        <v/>
      </c>
      <c r="CQ341" t="str">
        <f>""</f>
        <v/>
      </c>
      <c r="CR341" t="str">
        <f>""</f>
        <v/>
      </c>
      <c r="CS341" t="str">
        <f>""</f>
        <v/>
      </c>
      <c r="CT341" t="str">
        <f>""</f>
        <v/>
      </c>
      <c r="CU341" t="str">
        <f>""</f>
        <v/>
      </c>
      <c r="CV341" t="str">
        <f>""</f>
        <v/>
      </c>
      <c r="CW341" t="str">
        <f>""</f>
        <v/>
      </c>
      <c r="CX341" t="str">
        <f>""</f>
        <v/>
      </c>
      <c r="CY341" t="str">
        <f>""</f>
        <v/>
      </c>
      <c r="CZ341" t="str">
        <f>""</f>
        <v/>
      </c>
      <c r="DA341" t="str">
        <f>""</f>
        <v/>
      </c>
      <c r="DB341" t="str">
        <f>""</f>
        <v/>
      </c>
      <c r="DC341" t="str">
        <f>""</f>
        <v/>
      </c>
      <c r="DD341" t="str">
        <f>""</f>
        <v/>
      </c>
      <c r="DE341" t="str">
        <f>""</f>
        <v/>
      </c>
      <c r="DF341" t="str">
        <f>""</f>
        <v/>
      </c>
      <c r="DG341" t="str">
        <f>""</f>
        <v/>
      </c>
      <c r="DH341" t="str">
        <f>""</f>
        <v/>
      </c>
      <c r="DI341" t="str">
        <f>""</f>
        <v/>
      </c>
      <c r="DJ341" t="str">
        <f>""</f>
        <v/>
      </c>
      <c r="DK341" t="str">
        <f>""</f>
        <v/>
      </c>
      <c r="DL341" t="str">
        <f>""</f>
        <v/>
      </c>
      <c r="DM341" t="str">
        <f>""</f>
        <v/>
      </c>
      <c r="DN341" t="str">
        <f>""</f>
        <v/>
      </c>
      <c r="DO341" t="str">
        <f>""</f>
        <v/>
      </c>
      <c r="DP341" t="str">
        <f>""</f>
        <v/>
      </c>
      <c r="DQ341" t="str">
        <f>""</f>
        <v/>
      </c>
      <c r="DR341" t="str">
        <f>""</f>
        <v/>
      </c>
      <c r="DS341" t="str">
        <f>""</f>
        <v/>
      </c>
      <c r="DT341" t="str">
        <f>""</f>
        <v/>
      </c>
      <c r="DU341" t="str">
        <f>""</f>
        <v/>
      </c>
    </row>
    <row r="342" spans="1:125">
      <c r="A342" t="str">
        <f>"    CBL &amp; Associates Properties In"</f>
        <v xml:space="preserve">    CBL &amp; Associates Properties In</v>
      </c>
      <c r="B342" t="str">
        <f>"CBL US Equity"</f>
        <v>CBL US Equity</v>
      </c>
      <c r="C342" t="str">
        <f t="shared" si="63"/>
        <v>BS658</v>
      </c>
      <c r="D342" t="str">
        <f t="shared" si="64"/>
        <v>BS_YEAR_1_PRINCIPAL</v>
      </c>
      <c r="E342" t="str">
        <f t="shared" si="65"/>
        <v>动态</v>
      </c>
      <c r="F342" t="str">
        <f ca="1">IF(AND(ISNUMBER($F$782),$B$419=1),$F$782,HLOOKUP(INDIRECT(ADDRESS(2,COLUMN())),OFFSET($BN$2,0,0,ROW()-1,60),ROW()-1,FALSE))</f>
        <v/>
      </c>
      <c r="G342">
        <f ca="1">IF(AND(ISNUMBER($G$782),$B$419=1),$G$782,HLOOKUP(INDIRECT(ADDRESS(2,COLUMN())),OFFSET($BN$2,0,0,ROW()-1,60),ROW()-1,FALSE))</f>
        <v>667.72</v>
      </c>
      <c r="H342">
        <f ca="1">IF(AND(ISNUMBER($H$782),$B$419=1),$H$782,HLOOKUP(INDIRECT(ADDRESS(2,COLUMN())),OFFSET($BN$2,0,0,ROW()-1,60),ROW()-1,FALSE))</f>
        <v>134.15899999999999</v>
      </c>
      <c r="I342">
        <f ca="1">IF(AND(ISNUMBER($I$782),$B$419=1),$I$782,HLOOKUP(INDIRECT(ADDRESS(2,COLUMN())),OFFSET($BN$2,0,0,ROW()-1,60),ROW()-1,FALSE))</f>
        <v>566.92999999999995</v>
      </c>
      <c r="J342">
        <f ca="1">IF(AND(ISNUMBER($J$782),$B$419=1),$J$782,HLOOKUP(INDIRECT(ADDRESS(2,COLUMN())),OFFSET($BN$2,0,0,ROW()-1,60),ROW()-1,FALSE))</f>
        <v>571.98199999999997</v>
      </c>
      <c r="K342">
        <f ca="1">IF(AND(ISNUMBER($K$782),$B$419=1),$K$782,HLOOKUP(INDIRECT(ADDRESS(2,COLUMN())),OFFSET($BN$2,0,0,ROW()-1,60),ROW()-1,FALSE))</f>
        <v>757.31399999999996</v>
      </c>
      <c r="L342">
        <f ca="1">IF(AND(ISNUMBER($L$782),$B$419=1),$L$782,HLOOKUP(INDIRECT(ADDRESS(2,COLUMN())),OFFSET($BN$2,0,0,ROW()-1,60),ROW()-1,FALSE))</f>
        <v>85.143000000000001</v>
      </c>
      <c r="M342">
        <f ca="1">IF(AND(ISNUMBER($M$782),$B$419=1),$M$782,HLOOKUP(INDIRECT(ADDRESS(2,COLUMN())),OFFSET($BN$2,0,0,ROW()-1,60),ROW()-1,FALSE))</f>
        <v>327.66899999999998</v>
      </c>
      <c r="N342">
        <f ca="1">IF(AND(ISNUMBER($N$782),$B$419=1),$N$782,HLOOKUP(INDIRECT(ADDRESS(2,COLUMN())),OFFSET($BN$2,0,0,ROW()-1,60),ROW()-1,FALSE))</f>
        <v>578.20399999999995</v>
      </c>
      <c r="O342">
        <f ca="1">IF(AND(ISNUMBER($O$782),$B$419=1),$O$782,HLOOKUP(INDIRECT(ADDRESS(2,COLUMN())),OFFSET($BN$2,0,0,ROW()-1,60),ROW()-1,FALSE))</f>
        <v>596.24400000000003</v>
      </c>
      <c r="P342">
        <f ca="1">IF(AND(ISNUMBER($P$782),$B$419=1),$P$782,HLOOKUP(INDIRECT(ADDRESS(2,COLUMN())),OFFSET($BN$2,0,0,ROW()-1,60),ROW()-1,FALSE))</f>
        <v>265.988</v>
      </c>
      <c r="Q342">
        <f ca="1">IF(AND(ISNUMBER($Q$782),$B$419=1),$Q$782,HLOOKUP(INDIRECT(ADDRESS(2,COLUMN())),OFFSET($BN$2,0,0,ROW()-1,60),ROW()-1,FALSE))</f>
        <v>475.959</v>
      </c>
      <c r="R342">
        <f ca="1">IF(AND(ISNUMBER($R$782),$B$419=1),$R$782,HLOOKUP(INDIRECT(ADDRESS(2,COLUMN())),OFFSET($BN$2,0,0,ROW()-1,60),ROW()-1,FALSE))</f>
        <v>554.96400000000006</v>
      </c>
      <c r="S342" t="str">
        <f ca="1">IF(AND(ISNUMBER($S$782),$B$419=1),$S$782,HLOOKUP(INDIRECT(ADDRESS(2,COLUMN())),OFFSET($BN$2,0,0,ROW()-1,60),ROW()-1,FALSE))</f>
        <v/>
      </c>
      <c r="T342">
        <f ca="1">IF(AND(ISNUMBER($T$782),$B$419=1),$T$782,HLOOKUP(INDIRECT(ADDRESS(2,COLUMN())),OFFSET($BN$2,0,0,ROW()-1,60),ROW()-1,FALSE))</f>
        <v>207.268</v>
      </c>
      <c r="U342">
        <f ca="1">IF(AND(ISNUMBER($U$782),$B$419=1),$U$782,HLOOKUP(INDIRECT(ADDRESS(2,COLUMN())),OFFSET($BN$2,0,0,ROW()-1,60),ROW()-1,FALSE))</f>
        <v>226.40700000000001</v>
      </c>
      <c r="V342">
        <f ca="1">IF(AND(ISNUMBER($V$782),$B$419=1),$V$782,HLOOKUP(INDIRECT(ADDRESS(2,COLUMN())),OFFSET($BN$2,0,0,ROW()-1,60),ROW()-1,FALSE))</f>
        <v>194.88499999999999</v>
      </c>
      <c r="W342">
        <f ca="1">IF(AND(ISNUMBER($W$782),$B$419=1),$W$782,HLOOKUP(INDIRECT(ADDRESS(2,COLUMN())),OFFSET($BN$2,0,0,ROW()-1,60),ROW()-1,FALSE))</f>
        <v>209.535</v>
      </c>
      <c r="X342">
        <f ca="1">IF(AND(ISNUMBER($X$782),$B$419=1),$X$782,HLOOKUP(INDIRECT(ADDRESS(2,COLUMN())),OFFSET($BN$2,0,0,ROW()-1,60),ROW()-1,FALSE))</f>
        <v>45.898000000000003</v>
      </c>
      <c r="Y342">
        <f ca="1">IF(AND(ISNUMBER($Y$782),$B$419=1),$Y$782,HLOOKUP(INDIRECT(ADDRESS(2,COLUMN())),OFFSET($BN$2,0,0,ROW()-1,60),ROW()-1,FALSE))</f>
        <v>89.730999999999995</v>
      </c>
      <c r="Z342">
        <f ca="1">IF(AND(ISNUMBER($Z$782),$B$419=1),$Z$782,HLOOKUP(INDIRECT(ADDRESS(2,COLUMN())),OFFSET($BN$2,0,0,ROW()-1,60),ROW()-1,FALSE))</f>
        <v>417.904</v>
      </c>
      <c r="AA342">
        <f ca="1">IF(AND(ISNUMBER($AA$782),$B$419=1),$AA$782,HLOOKUP(INDIRECT(ADDRESS(2,COLUMN())),OFFSET($BN$2,0,0,ROW()-1,60),ROW()-1,FALSE))</f>
        <v>503.17099999999999</v>
      </c>
      <c r="AB342">
        <f ca="1">IF(AND(ISNUMBER($AB$782),$B$419=1),$AB$782,HLOOKUP(INDIRECT(ADDRESS(2,COLUMN())),OFFSET($BN$2,0,0,ROW()-1,60),ROW()-1,FALSE))</f>
        <v>187.072</v>
      </c>
      <c r="AC342">
        <f ca="1">IF(AND(ISNUMBER($AC$782),$B$419=1),$AC$782,HLOOKUP(INDIRECT(ADDRESS(2,COLUMN())),OFFSET($BN$2,0,0,ROW()-1,60),ROW()-1,FALSE))</f>
        <v>330.03699999999998</v>
      </c>
      <c r="AD342">
        <f ca="1">IF(AND(ISNUMBER($AD$782),$B$419=1),$AD$782,HLOOKUP(INDIRECT(ADDRESS(2,COLUMN())),OFFSET($BN$2,0,0,ROW()-1,60),ROW()-1,FALSE))</f>
        <v>601.81899999999996</v>
      </c>
      <c r="AE342">
        <f ca="1">IF(AND(ISNUMBER($AE$782),$B$419=1),$AE$782,HLOOKUP(INDIRECT(ADDRESS(2,COLUMN())),OFFSET($BN$2,0,0,ROW()-1,60),ROW()-1,FALSE))</f>
        <v>1029.059</v>
      </c>
      <c r="AF342">
        <f ca="1">IF(AND(ISNUMBER($AF$782),$B$419=1),$AF$782,HLOOKUP(INDIRECT(ADDRESS(2,COLUMN())),OFFSET($BN$2,0,0,ROW()-1,60),ROW()-1,FALSE))</f>
        <v>364.70800000000003</v>
      </c>
      <c r="AG342">
        <f ca="1">IF(AND(ISNUMBER($AG$782),$B$419=1),$AG$782,HLOOKUP(INDIRECT(ADDRESS(2,COLUMN())),OFFSET($BN$2,0,0,ROW()-1,60),ROW()-1,FALSE))</f>
        <v>705.70100000000002</v>
      </c>
      <c r="AH342">
        <f ca="1">IF(AND(ISNUMBER($AH$782),$B$419=1),$AH$782,HLOOKUP(INDIRECT(ADDRESS(2,COLUMN())),OFFSET($BN$2,0,0,ROW()-1,60),ROW()-1,FALSE))</f>
        <v>827.54200000000003</v>
      </c>
      <c r="AI342">
        <f ca="1">IF(AND(ISNUMBER($AI$782),$B$419=1),$AI$782,HLOOKUP(INDIRECT(ADDRESS(2,COLUMN())),OFFSET($BN$2,0,0,ROW()-1,60),ROW()-1,FALSE))</f>
        <v>1612.6990000000001</v>
      </c>
      <c r="AJ342">
        <f ca="1">IF(AND(ISNUMBER($AJ$782),$B$419=1),$AJ$782,HLOOKUP(INDIRECT(ADDRESS(2,COLUMN())),OFFSET($BN$2,0,0,ROW()-1,60),ROW()-1,FALSE))</f>
        <v>317.45999999999998</v>
      </c>
      <c r="AK342">
        <f ca="1">IF(AND(ISNUMBER($AK$782),$B$419=1),$AK$782,HLOOKUP(INDIRECT(ADDRESS(2,COLUMN())),OFFSET($BN$2,0,0,ROW()-1,60),ROW()-1,FALSE))</f>
        <v>715.79899999999998</v>
      </c>
      <c r="AL342">
        <f ca="1">IF(AND(ISNUMBER($AL$782),$B$419=1),$AL$782,HLOOKUP(INDIRECT(ADDRESS(2,COLUMN())),OFFSET($BN$2,0,0,ROW()-1,60),ROW()-1,FALSE))</f>
        <v>923.04899999999998</v>
      </c>
      <c r="AM342">
        <f ca="1">IF(AND(ISNUMBER($AM$782),$B$419=1),$AM$782,HLOOKUP(INDIRECT(ADDRESS(2,COLUMN())),OFFSET($BN$2,0,0,ROW()-1,60),ROW()-1,FALSE))</f>
        <v>1038.106</v>
      </c>
      <c r="AN342">
        <f ca="1">IF(AND(ISNUMBER($AN$782),$B$419=1),$AN$782,HLOOKUP(INDIRECT(ADDRESS(2,COLUMN())),OFFSET($BN$2,0,0,ROW()-1,60),ROW()-1,FALSE))</f>
        <v>68.105999999999995</v>
      </c>
      <c r="AO342">
        <f ca="1">IF(AND(ISNUMBER($AO$782),$B$419=1),$AO$782,HLOOKUP(INDIRECT(ADDRESS(2,COLUMN())),OFFSET($BN$2,0,0,ROW()-1,60),ROW()-1,FALSE))</f>
        <v>154.39400000000001</v>
      </c>
      <c r="AP342">
        <f ca="1">IF(AND(ISNUMBER($AP$782),$B$419=1),$AP$782,HLOOKUP(INDIRECT(ADDRESS(2,COLUMN())),OFFSET($BN$2,0,0,ROW()-1,60),ROW()-1,FALSE))</f>
        <v>981.35299999999995</v>
      </c>
      <c r="AQ342">
        <f ca="1">IF(AND(ISNUMBER($AQ$782),$B$419=1),$AQ$782,HLOOKUP(INDIRECT(ADDRESS(2,COLUMN())),OFFSET($BN$2,0,0,ROW()-1,60),ROW()-1,FALSE))</f>
        <v>1640.6790000000001</v>
      </c>
      <c r="AR342" t="str">
        <f ca="1">IF(AND(ISNUMBER($AR$782),$B$419=1),$AR$782,HLOOKUP(INDIRECT(ADDRESS(2,COLUMN())),OFFSET($BN$2,0,0,ROW()-1,60),ROW()-1,FALSE))</f>
        <v/>
      </c>
      <c r="AS342" t="str">
        <f ca="1">IF(AND(ISNUMBER($AS$782),$B$419=1),$AS$782,HLOOKUP(INDIRECT(ADDRESS(2,COLUMN())),OFFSET($BN$2,0,0,ROW()-1,60),ROW()-1,FALSE))</f>
        <v/>
      </c>
      <c r="AT342" t="str">
        <f ca="1">IF(AND(ISNUMBER($AT$782),$B$419=1),$AT$782,HLOOKUP(INDIRECT(ADDRESS(2,COLUMN())),OFFSET($BN$2,0,0,ROW()-1,60),ROW()-1,FALSE))</f>
        <v/>
      </c>
      <c r="AU342">
        <f ca="1">IF(AND(ISNUMBER($AU$782),$B$419=1),$AU$782,HLOOKUP(INDIRECT(ADDRESS(2,COLUMN())),OFFSET($BN$2,0,0,ROW()-1,60),ROW()-1,FALSE))</f>
        <v>1113.019</v>
      </c>
      <c r="AV342" t="str">
        <f ca="1">IF(AND(ISNUMBER($AV$782),$B$419=1),$AV$782,HLOOKUP(INDIRECT(ADDRESS(2,COLUMN())),OFFSET($BN$2,0,0,ROW()-1,60),ROW()-1,FALSE))</f>
        <v/>
      </c>
      <c r="AW342" t="str">
        <f ca="1">IF(AND(ISNUMBER($AW$782),$B$419=1),$AW$782,HLOOKUP(INDIRECT(ADDRESS(2,COLUMN())),OFFSET($BN$2,0,0,ROW()-1,60),ROW()-1,FALSE))</f>
        <v/>
      </c>
      <c r="AX342" t="str">
        <f ca="1">IF(AND(ISNUMBER($AX$782),$B$419=1),$AX$782,HLOOKUP(INDIRECT(ADDRESS(2,COLUMN())),OFFSET($BN$2,0,0,ROW()-1,60),ROW()-1,FALSE))</f>
        <v/>
      </c>
      <c r="AY342">
        <f ca="1">IF(AND(ISNUMBER($AY$782),$B$419=1),$AY$782,HLOOKUP(INDIRECT(ADDRESS(2,COLUMN())),OFFSET($BN$2,0,0,ROW()-1,60),ROW()-1,FALSE))</f>
        <v>151.46600000000001</v>
      </c>
      <c r="AZ342" t="str">
        <f ca="1">IF(AND(ISNUMBER($AZ$782),$B$419=1),$AZ$782,HLOOKUP(INDIRECT(ADDRESS(2,COLUMN())),OFFSET($BN$2,0,0,ROW()-1,60),ROW()-1,FALSE))</f>
        <v/>
      </c>
      <c r="BA342" t="str">
        <f ca="1">IF(AND(ISNUMBER($BA$782),$B$419=1),$BA$782,HLOOKUP(INDIRECT(ADDRESS(2,COLUMN())),OFFSET($BN$2,0,0,ROW()-1,60),ROW()-1,FALSE))</f>
        <v/>
      </c>
      <c r="BB342" t="str">
        <f ca="1">IF(AND(ISNUMBER($BB$782),$B$419=1),$BB$782,HLOOKUP(INDIRECT(ADDRESS(2,COLUMN())),OFFSET($BN$2,0,0,ROW()-1,60),ROW()-1,FALSE))</f>
        <v/>
      </c>
      <c r="BC342" t="str">
        <f ca="1">IF(AND(ISNUMBER($BC$782),$B$419=1),$BC$782,HLOOKUP(INDIRECT(ADDRESS(2,COLUMN())),OFFSET($BN$2,0,0,ROW()-1,60),ROW()-1,FALSE))</f>
        <v/>
      </c>
      <c r="BD342" t="str">
        <f ca="1">IF(AND(ISNUMBER($BD$782),$B$419=1),$BD$782,HLOOKUP(INDIRECT(ADDRESS(2,COLUMN())),OFFSET($BN$2,0,0,ROW()-1,60),ROW()-1,FALSE))</f>
        <v/>
      </c>
      <c r="BE342" t="str">
        <f ca="1">IF(AND(ISNUMBER($BE$782),$B$419=1),$BE$782,HLOOKUP(INDIRECT(ADDRESS(2,COLUMN())),OFFSET($BN$2,0,0,ROW()-1,60),ROW()-1,FALSE))</f>
        <v/>
      </c>
      <c r="BF342" t="str">
        <f ca="1">IF(AND(ISNUMBER($BF$782),$B$419=1),$BF$782,HLOOKUP(INDIRECT(ADDRESS(2,COLUMN())),OFFSET($BN$2,0,0,ROW()-1,60),ROW()-1,FALSE))</f>
        <v/>
      </c>
      <c r="BG342" t="str">
        <f ca="1">IF(AND(ISNUMBER($BG$782),$B$419=1),$BG$782,HLOOKUP(INDIRECT(ADDRESS(2,COLUMN())),OFFSET($BN$2,0,0,ROW()-1,60),ROW()-1,FALSE))</f>
        <v/>
      </c>
      <c r="BH342" t="str">
        <f ca="1">IF(AND(ISNUMBER($BH$782),$B$419=1),$BH$782,HLOOKUP(INDIRECT(ADDRESS(2,COLUMN())),OFFSET($BN$2,0,0,ROW()-1,60),ROW()-1,FALSE))</f>
        <v/>
      </c>
      <c r="BI342" t="str">
        <f ca="1">IF(AND(ISNUMBER($BI$782),$B$419=1),$BI$782,HLOOKUP(INDIRECT(ADDRESS(2,COLUMN())),OFFSET($BN$2,0,0,ROW()-1,60),ROW()-1,FALSE))</f>
        <v/>
      </c>
      <c r="BJ342" t="str">
        <f ca="1">IF(AND(ISNUMBER($BJ$782),$B$419=1),$BJ$782,HLOOKUP(INDIRECT(ADDRESS(2,COLUMN())),OFFSET($BN$2,0,0,ROW()-1,60),ROW()-1,FALSE))</f>
        <v/>
      </c>
      <c r="BK342" t="str">
        <f ca="1">IF(AND(ISNUMBER($BK$782),$B$419=1),$BK$782,HLOOKUP(INDIRECT(ADDRESS(2,COLUMN())),OFFSET($BN$2,0,0,ROW()-1,60),ROW()-1,FALSE))</f>
        <v/>
      </c>
      <c r="BL342" t="str">
        <f ca="1">IF(AND(ISNUMBER($BL$782),$B$419=1),$BL$782,HLOOKUP(INDIRECT(ADDRESS(2,COLUMN())),OFFSET($BN$2,0,0,ROW()-1,60),ROW()-1,FALSE))</f>
        <v/>
      </c>
      <c r="BM342" t="str">
        <f ca="1">IF(AND(ISNUMBER($BM$782),$B$419=1),$BM$782,HLOOKUP(INDIRECT(ADDRESS(2,COLUMN())),OFFSET($BN$2,0,0,ROW()-1,60),ROW()-1,FALSE))</f>
        <v/>
      </c>
      <c r="BN342" t="str">
        <f>""</f>
        <v/>
      </c>
      <c r="BO342">
        <f>667.72</f>
        <v>667.72</v>
      </c>
      <c r="BP342">
        <f>134.159</f>
        <v>134.15899999999999</v>
      </c>
      <c r="BQ342">
        <f>566.93</f>
        <v>566.92999999999995</v>
      </c>
      <c r="BR342">
        <f>571.982</f>
        <v>571.98199999999997</v>
      </c>
      <c r="BS342">
        <f>757.314</f>
        <v>757.31399999999996</v>
      </c>
      <c r="BT342">
        <f>85.143</f>
        <v>85.143000000000001</v>
      </c>
      <c r="BU342">
        <f>327.669</f>
        <v>327.66899999999998</v>
      </c>
      <c r="BV342">
        <f>578.204</f>
        <v>578.20399999999995</v>
      </c>
      <c r="BW342">
        <f>596.244</f>
        <v>596.24400000000003</v>
      </c>
      <c r="BX342">
        <f>265.988</f>
        <v>265.988</v>
      </c>
      <c r="BY342">
        <f>475.959</f>
        <v>475.959</v>
      </c>
      <c r="BZ342">
        <f>554.964</f>
        <v>554.96400000000006</v>
      </c>
      <c r="CA342" t="str">
        <f>""</f>
        <v/>
      </c>
      <c r="CB342">
        <f>207.268</f>
        <v>207.268</v>
      </c>
      <c r="CC342">
        <f>226.407</f>
        <v>226.40700000000001</v>
      </c>
      <c r="CD342">
        <f>194.885</f>
        <v>194.88499999999999</v>
      </c>
      <c r="CE342">
        <f>209.535</f>
        <v>209.535</v>
      </c>
      <c r="CF342">
        <f>45.898</f>
        <v>45.898000000000003</v>
      </c>
      <c r="CG342">
        <f>89.731</f>
        <v>89.730999999999995</v>
      </c>
      <c r="CH342">
        <f>417.904</f>
        <v>417.904</v>
      </c>
      <c r="CI342">
        <f>503.171</f>
        <v>503.17099999999999</v>
      </c>
      <c r="CJ342">
        <f>187.072</f>
        <v>187.072</v>
      </c>
      <c r="CK342">
        <f>330.037</f>
        <v>330.03699999999998</v>
      </c>
      <c r="CL342">
        <f>601.819</f>
        <v>601.81899999999996</v>
      </c>
      <c r="CM342">
        <f>1029.059</f>
        <v>1029.059</v>
      </c>
      <c r="CN342">
        <f>364.708</f>
        <v>364.70800000000003</v>
      </c>
      <c r="CO342">
        <f>705.701</f>
        <v>705.70100000000002</v>
      </c>
      <c r="CP342">
        <f>827.542</f>
        <v>827.54200000000003</v>
      </c>
      <c r="CQ342">
        <f>1612.699</f>
        <v>1612.6990000000001</v>
      </c>
      <c r="CR342">
        <f>317.46</f>
        <v>317.45999999999998</v>
      </c>
      <c r="CS342">
        <f>715.799</f>
        <v>715.79899999999998</v>
      </c>
      <c r="CT342">
        <f>923.049</f>
        <v>923.04899999999998</v>
      </c>
      <c r="CU342">
        <f>1038.106</f>
        <v>1038.106</v>
      </c>
      <c r="CV342">
        <f>68.106</f>
        <v>68.105999999999995</v>
      </c>
      <c r="CW342">
        <f>154.394</f>
        <v>154.39400000000001</v>
      </c>
      <c r="CX342">
        <f>981.353</f>
        <v>981.35299999999995</v>
      </c>
      <c r="CY342">
        <f>1640.679</f>
        <v>1640.6790000000001</v>
      </c>
      <c r="CZ342" t="str">
        <f>""</f>
        <v/>
      </c>
      <c r="DA342" t="str">
        <f>""</f>
        <v/>
      </c>
      <c r="DB342" t="str">
        <f>""</f>
        <v/>
      </c>
      <c r="DC342">
        <f>1113.019</f>
        <v>1113.019</v>
      </c>
      <c r="DD342" t="str">
        <f>""</f>
        <v/>
      </c>
      <c r="DE342" t="str">
        <f>""</f>
        <v/>
      </c>
      <c r="DF342" t="str">
        <f>""</f>
        <v/>
      </c>
      <c r="DG342">
        <f>151.466</f>
        <v>151.46600000000001</v>
      </c>
      <c r="DH342" t="str">
        <f>""</f>
        <v/>
      </c>
      <c r="DI342" t="str">
        <f>""</f>
        <v/>
      </c>
      <c r="DJ342" t="str">
        <f>""</f>
        <v/>
      </c>
      <c r="DK342" t="str">
        <f>""</f>
        <v/>
      </c>
      <c r="DL342" t="str">
        <f>""</f>
        <v/>
      </c>
      <c r="DM342" t="str">
        <f>""</f>
        <v/>
      </c>
      <c r="DN342" t="str">
        <f>""</f>
        <v/>
      </c>
      <c r="DO342" t="str">
        <f>""</f>
        <v/>
      </c>
      <c r="DP342" t="str">
        <f>""</f>
        <v/>
      </c>
      <c r="DQ342" t="str">
        <f>""</f>
        <v/>
      </c>
      <c r="DR342" t="str">
        <f>""</f>
        <v/>
      </c>
      <c r="DS342" t="str">
        <f>""</f>
        <v/>
      </c>
      <c r="DT342" t="str">
        <f>""</f>
        <v/>
      </c>
      <c r="DU342" t="str">
        <f>""</f>
        <v/>
      </c>
    </row>
    <row r="343" spans="1:125">
      <c r="A343" t="str">
        <f>"    DDR Corp"</f>
        <v xml:space="preserve">    DDR Corp</v>
      </c>
      <c r="B343" t="str">
        <f>"DDR US Equity"</f>
        <v>DDR US Equity</v>
      </c>
      <c r="C343" t="str">
        <f t="shared" si="63"/>
        <v>BS658</v>
      </c>
      <c r="D343" t="str">
        <f t="shared" si="64"/>
        <v>BS_YEAR_1_PRINCIPAL</v>
      </c>
      <c r="E343" t="str">
        <f t="shared" si="65"/>
        <v>动态</v>
      </c>
      <c r="F343" t="str">
        <f ca="1">IF(AND(ISNUMBER($F$783),$B$419=1),$F$783,HLOOKUP(INDIRECT(ADDRESS(2,COLUMN())),OFFSET($BN$2,0,0,ROW()-1,60),ROW()-1,FALSE))</f>
        <v/>
      </c>
      <c r="G343">
        <f ca="1">IF(AND(ISNUMBER($G$783),$B$419=1),$G$783,HLOOKUP(INDIRECT(ADDRESS(2,COLUMN())),OFFSET($BN$2,0,0,ROW()-1,60),ROW()-1,FALSE))</f>
        <v>298.87700000000001</v>
      </c>
      <c r="H343">
        <f ca="1">IF(AND(ISNUMBER($H$783),$B$419=1),$H$783,HLOOKUP(INDIRECT(ADDRESS(2,COLUMN())),OFFSET($BN$2,0,0,ROW()-1,60),ROW()-1,FALSE))</f>
        <v>5.35</v>
      </c>
      <c r="I343">
        <f ca="1">IF(AND(ISNUMBER($I$783),$B$419=1),$I$783,HLOOKUP(INDIRECT(ADDRESS(2,COLUMN())),OFFSET($BN$2,0,0,ROW()-1,60),ROW()-1,FALSE))</f>
        <v>143.90700000000001</v>
      </c>
      <c r="J343">
        <f ca="1">IF(AND(ISNUMBER($J$783),$B$419=1),$J$783,HLOOKUP(INDIRECT(ADDRESS(2,COLUMN())),OFFSET($BN$2,0,0,ROW()-1,60),ROW()-1,FALSE))</f>
        <v>627.76400000000001</v>
      </c>
      <c r="K343">
        <f ca="1">IF(AND(ISNUMBER($K$783),$B$419=1),$K$783,HLOOKUP(INDIRECT(ADDRESS(2,COLUMN())),OFFSET($BN$2,0,0,ROW()-1,60),ROW()-1,FALSE))</f>
        <v>1124.2919999999999</v>
      </c>
      <c r="L343">
        <f ca="1">IF(AND(ISNUMBER($L$783),$B$419=1),$L$783,HLOOKUP(INDIRECT(ADDRESS(2,COLUMN())),OFFSET($BN$2,0,0,ROW()-1,60),ROW()-1,FALSE))</f>
        <v>119.3</v>
      </c>
      <c r="M343">
        <f ca="1">IF(AND(ISNUMBER($M$783),$B$419=1),$M$783,HLOOKUP(INDIRECT(ADDRESS(2,COLUMN())),OFFSET($BN$2,0,0,ROW()-1,60),ROW()-1,FALSE))</f>
        <v>128.6</v>
      </c>
      <c r="N343">
        <f ca="1">IF(AND(ISNUMBER($N$783),$B$419=1),$N$783,HLOOKUP(INDIRECT(ADDRESS(2,COLUMN())),OFFSET($BN$2,0,0,ROW()-1,60),ROW()-1,FALSE))</f>
        <v>137.4</v>
      </c>
      <c r="O343">
        <f ca="1">IF(AND(ISNUMBER($O$783),$B$419=1),$O$783,HLOOKUP(INDIRECT(ADDRESS(2,COLUMN())),OFFSET($BN$2,0,0,ROW()-1,60),ROW()-1,FALSE))</f>
        <v>410.19900000000001</v>
      </c>
      <c r="P343">
        <f ca="1">IF(AND(ISNUMBER($P$783),$B$419=1),$P$783,HLOOKUP(INDIRECT(ADDRESS(2,COLUMN())),OFFSET($BN$2,0,0,ROW()-1,60),ROW()-1,FALSE))</f>
        <v>358.4</v>
      </c>
      <c r="Q343">
        <f ca="1">IF(AND(ISNUMBER($Q$783),$B$419=1),$Q$783,HLOOKUP(INDIRECT(ADDRESS(2,COLUMN())),OFFSET($BN$2,0,0,ROW()-1,60),ROW()-1,FALSE))</f>
        <v>544.70000000000005</v>
      </c>
      <c r="R343">
        <f ca="1">IF(AND(ISNUMBER($R$783),$B$419=1),$R$783,HLOOKUP(INDIRECT(ADDRESS(2,COLUMN())),OFFSET($BN$2,0,0,ROW()-1,60),ROW()-1,FALSE))</f>
        <v>959.9</v>
      </c>
      <c r="S343">
        <f ca="1">IF(AND(ISNUMBER($S$783),$B$419=1),$S$783,HLOOKUP(INDIRECT(ADDRESS(2,COLUMN())),OFFSET($BN$2,0,0,ROW()-1,60),ROW()-1,FALSE))</f>
        <v>959.01499999999999</v>
      </c>
      <c r="T343" t="str">
        <f ca="1">IF(AND(ISNUMBER($T$783),$B$419=1),$T$783,HLOOKUP(INDIRECT(ADDRESS(2,COLUMN())),OFFSET($BN$2,0,0,ROW()-1,60),ROW()-1,FALSE))</f>
        <v/>
      </c>
      <c r="U343" t="str">
        <f ca="1">IF(AND(ISNUMBER($U$783),$B$419=1),$U$783,HLOOKUP(INDIRECT(ADDRESS(2,COLUMN())),OFFSET($BN$2,0,0,ROW()-1,60),ROW()-1,FALSE))</f>
        <v/>
      </c>
      <c r="V343" t="str">
        <f ca="1">IF(AND(ISNUMBER($V$783),$B$419=1),$V$783,HLOOKUP(INDIRECT(ADDRESS(2,COLUMN())),OFFSET($BN$2,0,0,ROW()-1,60),ROW()-1,FALSE))</f>
        <v/>
      </c>
      <c r="W343">
        <f ca="1">IF(AND(ISNUMBER($W$783),$B$419=1),$W$783,HLOOKUP(INDIRECT(ADDRESS(2,COLUMN())),OFFSET($BN$2,0,0,ROW()-1,60),ROW()-1,FALSE))</f>
        <v>359.52800000000002</v>
      </c>
      <c r="X343" t="str">
        <f ca="1">IF(AND(ISNUMBER($X$783),$B$419=1),$X$783,HLOOKUP(INDIRECT(ADDRESS(2,COLUMN())),OFFSET($BN$2,0,0,ROW()-1,60),ROW()-1,FALSE))</f>
        <v/>
      </c>
      <c r="Y343" t="str">
        <f ca="1">IF(AND(ISNUMBER($Y$783),$B$419=1),$Y$783,HLOOKUP(INDIRECT(ADDRESS(2,COLUMN())),OFFSET($BN$2,0,0,ROW()-1,60),ROW()-1,FALSE))</f>
        <v/>
      </c>
      <c r="Z343" t="str">
        <f ca="1">IF(AND(ISNUMBER($Z$783),$B$419=1),$Z$783,HLOOKUP(INDIRECT(ADDRESS(2,COLUMN())),OFFSET($BN$2,0,0,ROW()-1,60),ROW()-1,FALSE))</f>
        <v/>
      </c>
      <c r="AA343">
        <f ca="1">IF(AND(ISNUMBER($AA$783),$B$419=1),$AA$783,HLOOKUP(INDIRECT(ADDRESS(2,COLUMN())),OFFSET($BN$2,0,0,ROW()-1,60),ROW()-1,FALSE))</f>
        <v>66.64</v>
      </c>
      <c r="AB343" t="str">
        <f ca="1">IF(AND(ISNUMBER($AB$783),$B$419=1),$AB$783,HLOOKUP(INDIRECT(ADDRESS(2,COLUMN())),OFFSET($BN$2,0,0,ROW()-1,60),ROW()-1,FALSE))</f>
        <v/>
      </c>
      <c r="AC343" t="str">
        <f ca="1">IF(AND(ISNUMBER($AC$783),$B$419=1),$AC$783,HLOOKUP(INDIRECT(ADDRESS(2,COLUMN())),OFFSET($BN$2,0,0,ROW()-1,60),ROW()-1,FALSE))</f>
        <v/>
      </c>
      <c r="AD343" t="str">
        <f ca="1">IF(AND(ISNUMBER($AD$783),$B$419=1),$AD$783,HLOOKUP(INDIRECT(ADDRESS(2,COLUMN())),OFFSET($BN$2,0,0,ROW()-1,60),ROW()-1,FALSE))</f>
        <v/>
      </c>
      <c r="AE343">
        <f ca="1">IF(AND(ISNUMBER($AE$783),$B$419=1),$AE$783,HLOOKUP(INDIRECT(ADDRESS(2,COLUMN())),OFFSET($BN$2,0,0,ROW()-1,60),ROW()-1,FALSE))</f>
        <v>545.93799999999999</v>
      </c>
      <c r="AF343" t="str">
        <f ca="1">IF(AND(ISNUMBER($AF$783),$B$419=1),$AF$783,HLOOKUP(INDIRECT(ADDRESS(2,COLUMN())),OFFSET($BN$2,0,0,ROW()-1,60),ROW()-1,FALSE))</f>
        <v/>
      </c>
      <c r="AG343" t="str">
        <f ca="1">IF(AND(ISNUMBER($AG$783),$B$419=1),$AG$783,HLOOKUP(INDIRECT(ADDRESS(2,COLUMN())),OFFSET($BN$2,0,0,ROW()-1,60),ROW()-1,FALSE))</f>
        <v/>
      </c>
      <c r="AH343" t="str">
        <f ca="1">IF(AND(ISNUMBER($AH$783),$B$419=1),$AH$783,HLOOKUP(INDIRECT(ADDRESS(2,COLUMN())),OFFSET($BN$2,0,0,ROW()-1,60),ROW()-1,FALSE))</f>
        <v/>
      </c>
      <c r="AI343">
        <f ca="1">IF(AND(ISNUMBER($AI$783),$B$419=1),$AI$783,HLOOKUP(INDIRECT(ADDRESS(2,COLUMN())),OFFSET($BN$2,0,0,ROW()-1,60),ROW()-1,FALSE))</f>
        <v>993.72699999999998</v>
      </c>
      <c r="AJ343" t="str">
        <f ca="1">IF(AND(ISNUMBER($AJ$783),$B$419=1),$AJ$783,HLOOKUP(INDIRECT(ADDRESS(2,COLUMN())),OFFSET($BN$2,0,0,ROW()-1,60),ROW()-1,FALSE))</f>
        <v/>
      </c>
      <c r="AK343" t="str">
        <f ca="1">IF(AND(ISNUMBER($AK$783),$B$419=1),$AK$783,HLOOKUP(INDIRECT(ADDRESS(2,COLUMN())),OFFSET($BN$2,0,0,ROW()-1,60),ROW()-1,FALSE))</f>
        <v/>
      </c>
      <c r="AL343" t="str">
        <f ca="1">IF(AND(ISNUMBER($AL$783),$B$419=1),$AL$783,HLOOKUP(INDIRECT(ADDRESS(2,COLUMN())),OFFSET($BN$2,0,0,ROW()-1,60),ROW()-1,FALSE))</f>
        <v/>
      </c>
      <c r="AM343">
        <f ca="1">IF(AND(ISNUMBER($AM$783),$B$419=1),$AM$783,HLOOKUP(INDIRECT(ADDRESS(2,COLUMN())),OFFSET($BN$2,0,0,ROW()-1,60),ROW()-1,FALSE))</f>
        <v>1457.396</v>
      </c>
      <c r="AN343" t="str">
        <f ca="1">IF(AND(ISNUMBER($AN$783),$B$419=1),$AN$783,HLOOKUP(INDIRECT(ADDRESS(2,COLUMN())),OFFSET($BN$2,0,0,ROW()-1,60),ROW()-1,FALSE))</f>
        <v/>
      </c>
      <c r="AO343" t="str">
        <f ca="1">IF(AND(ISNUMBER($AO$783),$B$419=1),$AO$783,HLOOKUP(INDIRECT(ADDRESS(2,COLUMN())),OFFSET($BN$2,0,0,ROW()-1,60),ROW()-1,FALSE))</f>
        <v/>
      </c>
      <c r="AP343" t="str">
        <f ca="1">IF(AND(ISNUMBER($AP$783),$B$419=1),$AP$783,HLOOKUP(INDIRECT(ADDRESS(2,COLUMN())),OFFSET($BN$2,0,0,ROW()-1,60),ROW()-1,FALSE))</f>
        <v/>
      </c>
      <c r="AQ343">
        <f ca="1">IF(AND(ISNUMBER($AQ$783),$B$419=1),$AQ$783,HLOOKUP(INDIRECT(ADDRESS(2,COLUMN())),OFFSET($BN$2,0,0,ROW()-1,60),ROW()-1,FALSE))</f>
        <v>399.685</v>
      </c>
      <c r="AR343" t="str">
        <f ca="1">IF(AND(ISNUMBER($AR$783),$B$419=1),$AR$783,HLOOKUP(INDIRECT(ADDRESS(2,COLUMN())),OFFSET($BN$2,0,0,ROW()-1,60),ROW()-1,FALSE))</f>
        <v/>
      </c>
      <c r="AS343" t="str">
        <f ca="1">IF(AND(ISNUMBER($AS$783),$B$419=1),$AS$783,HLOOKUP(INDIRECT(ADDRESS(2,COLUMN())),OFFSET($BN$2,0,0,ROW()-1,60),ROW()-1,FALSE))</f>
        <v/>
      </c>
      <c r="AT343" t="str">
        <f ca="1">IF(AND(ISNUMBER($AT$783),$B$419=1),$AT$783,HLOOKUP(INDIRECT(ADDRESS(2,COLUMN())),OFFSET($BN$2,0,0,ROW()-1,60),ROW()-1,FALSE))</f>
        <v/>
      </c>
      <c r="AU343" t="str">
        <f ca="1">IF(AND(ISNUMBER($AU$783),$B$419=1),$AU$783,HLOOKUP(INDIRECT(ADDRESS(2,COLUMN())),OFFSET($BN$2,0,0,ROW()-1,60),ROW()-1,FALSE))</f>
        <v/>
      </c>
      <c r="AV343" t="str">
        <f ca="1">IF(AND(ISNUMBER($AV$783),$B$419=1),$AV$783,HLOOKUP(INDIRECT(ADDRESS(2,COLUMN())),OFFSET($BN$2,0,0,ROW()-1,60),ROW()-1,FALSE))</f>
        <v/>
      </c>
      <c r="AW343" t="str">
        <f ca="1">IF(AND(ISNUMBER($AW$783),$B$419=1),$AW$783,HLOOKUP(INDIRECT(ADDRESS(2,COLUMN())),OFFSET($BN$2,0,0,ROW()-1,60),ROW()-1,FALSE))</f>
        <v/>
      </c>
      <c r="AX343" t="str">
        <f ca="1">IF(AND(ISNUMBER($AX$783),$B$419=1),$AX$783,HLOOKUP(INDIRECT(ADDRESS(2,COLUMN())),OFFSET($BN$2,0,0,ROW()-1,60),ROW()-1,FALSE))</f>
        <v/>
      </c>
      <c r="AY343" t="str">
        <f ca="1">IF(AND(ISNUMBER($AY$783),$B$419=1),$AY$783,HLOOKUP(INDIRECT(ADDRESS(2,COLUMN())),OFFSET($BN$2,0,0,ROW()-1,60),ROW()-1,FALSE))</f>
        <v/>
      </c>
      <c r="AZ343" t="str">
        <f ca="1">IF(AND(ISNUMBER($AZ$783),$B$419=1),$AZ$783,HLOOKUP(INDIRECT(ADDRESS(2,COLUMN())),OFFSET($BN$2,0,0,ROW()-1,60),ROW()-1,FALSE))</f>
        <v/>
      </c>
      <c r="BA343" t="str">
        <f ca="1">IF(AND(ISNUMBER($BA$783),$B$419=1),$BA$783,HLOOKUP(INDIRECT(ADDRESS(2,COLUMN())),OFFSET($BN$2,0,0,ROW()-1,60),ROW()-1,FALSE))</f>
        <v/>
      </c>
      <c r="BB343" t="str">
        <f ca="1">IF(AND(ISNUMBER($BB$783),$B$419=1),$BB$783,HLOOKUP(INDIRECT(ADDRESS(2,COLUMN())),OFFSET($BN$2,0,0,ROW()-1,60),ROW()-1,FALSE))</f>
        <v/>
      </c>
      <c r="BC343" t="str">
        <f ca="1">IF(AND(ISNUMBER($BC$783),$B$419=1),$BC$783,HLOOKUP(INDIRECT(ADDRESS(2,COLUMN())),OFFSET($BN$2,0,0,ROW()-1,60),ROW()-1,FALSE))</f>
        <v/>
      </c>
      <c r="BD343" t="str">
        <f ca="1">IF(AND(ISNUMBER($BD$783),$B$419=1),$BD$783,HLOOKUP(INDIRECT(ADDRESS(2,COLUMN())),OFFSET($BN$2,0,0,ROW()-1,60),ROW()-1,FALSE))</f>
        <v/>
      </c>
      <c r="BE343" t="str">
        <f ca="1">IF(AND(ISNUMBER($BE$783),$B$419=1),$BE$783,HLOOKUP(INDIRECT(ADDRESS(2,COLUMN())),OFFSET($BN$2,0,0,ROW()-1,60),ROW()-1,FALSE))</f>
        <v/>
      </c>
      <c r="BF343" t="str">
        <f ca="1">IF(AND(ISNUMBER($BF$783),$B$419=1),$BF$783,HLOOKUP(INDIRECT(ADDRESS(2,COLUMN())),OFFSET($BN$2,0,0,ROW()-1,60),ROW()-1,FALSE))</f>
        <v/>
      </c>
      <c r="BG343" t="str">
        <f ca="1">IF(AND(ISNUMBER($BG$783),$B$419=1),$BG$783,HLOOKUP(INDIRECT(ADDRESS(2,COLUMN())),OFFSET($BN$2,0,0,ROW()-1,60),ROW()-1,FALSE))</f>
        <v/>
      </c>
      <c r="BH343" t="str">
        <f ca="1">IF(AND(ISNUMBER($BH$783),$B$419=1),$BH$783,HLOOKUP(INDIRECT(ADDRESS(2,COLUMN())),OFFSET($BN$2,0,0,ROW()-1,60),ROW()-1,FALSE))</f>
        <v/>
      </c>
      <c r="BI343" t="str">
        <f ca="1">IF(AND(ISNUMBER($BI$783),$B$419=1),$BI$783,HLOOKUP(INDIRECT(ADDRESS(2,COLUMN())),OFFSET($BN$2,0,0,ROW()-1,60),ROW()-1,FALSE))</f>
        <v/>
      </c>
      <c r="BJ343" t="str">
        <f ca="1">IF(AND(ISNUMBER($BJ$783),$B$419=1),$BJ$783,HLOOKUP(INDIRECT(ADDRESS(2,COLUMN())),OFFSET($BN$2,0,0,ROW()-1,60),ROW()-1,FALSE))</f>
        <v/>
      </c>
      <c r="BK343" t="str">
        <f ca="1">IF(AND(ISNUMBER($BK$783),$B$419=1),$BK$783,HLOOKUP(INDIRECT(ADDRESS(2,COLUMN())),OFFSET($BN$2,0,0,ROW()-1,60),ROW()-1,FALSE))</f>
        <v/>
      </c>
      <c r="BL343" t="str">
        <f ca="1">IF(AND(ISNUMBER($BL$783),$B$419=1),$BL$783,HLOOKUP(INDIRECT(ADDRESS(2,COLUMN())),OFFSET($BN$2,0,0,ROW()-1,60),ROW()-1,FALSE))</f>
        <v/>
      </c>
      <c r="BM343" t="str">
        <f ca="1">IF(AND(ISNUMBER($BM$783),$B$419=1),$BM$783,HLOOKUP(INDIRECT(ADDRESS(2,COLUMN())),OFFSET($BN$2,0,0,ROW()-1,60),ROW()-1,FALSE))</f>
        <v/>
      </c>
      <c r="BN343" t="str">
        <f>""</f>
        <v/>
      </c>
      <c r="BO343">
        <f>298.877</f>
        <v>298.87700000000001</v>
      </c>
      <c r="BP343">
        <f>5.35</f>
        <v>5.35</v>
      </c>
      <c r="BQ343">
        <f>143.907</f>
        <v>143.90700000000001</v>
      </c>
      <c r="BR343">
        <f>627.764</f>
        <v>627.76400000000001</v>
      </c>
      <c r="BS343">
        <f>1124.292</f>
        <v>1124.2919999999999</v>
      </c>
      <c r="BT343">
        <f>119.3</f>
        <v>119.3</v>
      </c>
      <c r="BU343">
        <f>128.6</f>
        <v>128.6</v>
      </c>
      <c r="BV343">
        <f>137.4</f>
        <v>137.4</v>
      </c>
      <c r="BW343">
        <f>410.199</f>
        <v>410.19900000000001</v>
      </c>
      <c r="BX343">
        <f>358.4</f>
        <v>358.4</v>
      </c>
      <c r="BY343">
        <f>544.7</f>
        <v>544.70000000000005</v>
      </c>
      <c r="BZ343">
        <f>959.9</f>
        <v>959.9</v>
      </c>
      <c r="CA343">
        <f>959.015</f>
        <v>959.01499999999999</v>
      </c>
      <c r="CB343" t="str">
        <f>""</f>
        <v/>
      </c>
      <c r="CC343" t="str">
        <f>""</f>
        <v/>
      </c>
      <c r="CD343" t="str">
        <f>""</f>
        <v/>
      </c>
      <c r="CE343">
        <f>359.528</f>
        <v>359.52800000000002</v>
      </c>
      <c r="CF343" t="str">
        <f>""</f>
        <v/>
      </c>
      <c r="CG343" t="str">
        <f>""</f>
        <v/>
      </c>
      <c r="CH343" t="str">
        <f>""</f>
        <v/>
      </c>
      <c r="CI343">
        <f>66.64</f>
        <v>66.64</v>
      </c>
      <c r="CJ343" t="str">
        <f>""</f>
        <v/>
      </c>
      <c r="CK343" t="str">
        <f>""</f>
        <v/>
      </c>
      <c r="CL343" t="str">
        <f>""</f>
        <v/>
      </c>
      <c r="CM343">
        <f>545.938</f>
        <v>545.93799999999999</v>
      </c>
      <c r="CN343" t="str">
        <f>""</f>
        <v/>
      </c>
      <c r="CO343" t="str">
        <f>""</f>
        <v/>
      </c>
      <c r="CP343" t="str">
        <f>""</f>
        <v/>
      </c>
      <c r="CQ343">
        <f>993.727</f>
        <v>993.72699999999998</v>
      </c>
      <c r="CR343" t="str">
        <f>""</f>
        <v/>
      </c>
      <c r="CS343" t="str">
        <f>""</f>
        <v/>
      </c>
      <c r="CT343" t="str">
        <f>""</f>
        <v/>
      </c>
      <c r="CU343">
        <f>1457.396</f>
        <v>1457.396</v>
      </c>
      <c r="CV343" t="str">
        <f>""</f>
        <v/>
      </c>
      <c r="CW343" t="str">
        <f>""</f>
        <v/>
      </c>
      <c r="CX343" t="str">
        <f>""</f>
        <v/>
      </c>
      <c r="CY343">
        <f>399.685</f>
        <v>399.685</v>
      </c>
      <c r="CZ343" t="str">
        <f>""</f>
        <v/>
      </c>
      <c r="DA343" t="str">
        <f>""</f>
        <v/>
      </c>
      <c r="DB343" t="str">
        <f>""</f>
        <v/>
      </c>
      <c r="DC343" t="str">
        <f>""</f>
        <v/>
      </c>
      <c r="DD343" t="str">
        <f>""</f>
        <v/>
      </c>
      <c r="DE343" t="str">
        <f>""</f>
        <v/>
      </c>
      <c r="DF343" t="str">
        <f>""</f>
        <v/>
      </c>
      <c r="DG343" t="str">
        <f>""</f>
        <v/>
      </c>
      <c r="DH343" t="str">
        <f>""</f>
        <v/>
      </c>
      <c r="DI343" t="str">
        <f>""</f>
        <v/>
      </c>
      <c r="DJ343" t="str">
        <f>""</f>
        <v/>
      </c>
      <c r="DK343" t="str">
        <f>""</f>
        <v/>
      </c>
      <c r="DL343" t="str">
        <f>""</f>
        <v/>
      </c>
      <c r="DM343" t="str">
        <f>""</f>
        <v/>
      </c>
      <c r="DN343" t="str">
        <f>""</f>
        <v/>
      </c>
      <c r="DO343" t="str">
        <f>""</f>
        <v/>
      </c>
      <c r="DP343" t="str">
        <f>""</f>
        <v/>
      </c>
      <c r="DQ343" t="str">
        <f>""</f>
        <v/>
      </c>
      <c r="DR343" t="str">
        <f>""</f>
        <v/>
      </c>
      <c r="DS343" t="str">
        <f>""</f>
        <v/>
      </c>
      <c r="DT343" t="str">
        <f>""</f>
        <v/>
      </c>
      <c r="DU343" t="str">
        <f>""</f>
        <v/>
      </c>
    </row>
    <row r="344" spans="1:125">
      <c r="A344" t="str">
        <f>"    Federal Realty Investment Trus"</f>
        <v xml:space="preserve">    Federal Realty Investment Trus</v>
      </c>
      <c r="B344" t="str">
        <f>"FRT US Equity"</f>
        <v>FRT US Equity</v>
      </c>
      <c r="C344" t="str">
        <f t="shared" si="63"/>
        <v>BS658</v>
      </c>
      <c r="D344" t="str">
        <f t="shared" si="64"/>
        <v>BS_YEAR_1_PRINCIPAL</v>
      </c>
      <c r="E344" t="str">
        <f t="shared" si="65"/>
        <v>动态</v>
      </c>
      <c r="F344" t="str">
        <f ca="1">IF(AND(ISNUMBER($F$784),$B$419=1),$F$784,HLOOKUP(INDIRECT(ADDRESS(2,COLUMN())),OFFSET($BN$2,0,0,ROW()-1,60),ROW()-1,FALSE))</f>
        <v/>
      </c>
      <c r="G344">
        <f ca="1">IF(AND(ISNUMBER($G$784),$B$419=1),$G$784,HLOOKUP(INDIRECT(ADDRESS(2,COLUMN())),OFFSET($BN$2,0,0,ROW()-1,60),ROW()-1,FALSE))</f>
        <v>291.77499999999998</v>
      </c>
      <c r="H344">
        <f ca="1">IF(AND(ISNUMBER($H$784),$B$419=1),$H$784,HLOOKUP(INDIRECT(ADDRESS(2,COLUMN())),OFFSET($BN$2,0,0,ROW()-1,60),ROW()-1,FALSE))</f>
        <v>1.5609999999999999</v>
      </c>
      <c r="I344">
        <f ca="1">IF(AND(ISNUMBER($I$784),$B$419=1),$I$784,HLOOKUP(INDIRECT(ADDRESS(2,COLUMN())),OFFSET($BN$2,0,0,ROW()-1,60),ROW()-1,FALSE))</f>
        <v>44.847000000000001</v>
      </c>
      <c r="J344">
        <f ca="1">IF(AND(ISNUMBER($J$784),$B$419=1),$J$784,HLOOKUP(INDIRECT(ADDRESS(2,COLUMN())),OFFSET($BN$2,0,0,ROW()-1,60),ROW()-1,FALSE))</f>
        <v>221.46899999999999</v>
      </c>
      <c r="K344">
        <f ca="1">IF(AND(ISNUMBER($K$784),$B$419=1),$K$784,HLOOKUP(INDIRECT(ADDRESS(2,COLUMN())),OFFSET($BN$2,0,0,ROW()-1,60),ROW()-1,FALSE))</f>
        <v>222.94499999999999</v>
      </c>
      <c r="L344">
        <f ca="1">IF(AND(ISNUMBER($L$784),$B$419=1),$L$784,HLOOKUP(INDIRECT(ADDRESS(2,COLUMN())),OFFSET($BN$2,0,0,ROW()-1,60),ROW()-1,FALSE))</f>
        <v>10.71</v>
      </c>
      <c r="M344">
        <f ca="1">IF(AND(ISNUMBER($M$784),$B$419=1),$M$784,HLOOKUP(INDIRECT(ADDRESS(2,COLUMN())),OFFSET($BN$2,0,0,ROW()-1,60),ROW()-1,FALSE))</f>
        <v>12.538</v>
      </c>
      <c r="N344">
        <f ca="1">IF(AND(ISNUMBER($N$784),$B$419=1),$N$784,HLOOKUP(INDIRECT(ADDRESS(2,COLUMN())),OFFSET($BN$2,0,0,ROW()-1,60),ROW()-1,FALSE))</f>
        <v>48.509</v>
      </c>
      <c r="O344" t="str">
        <f ca="1">IF(AND(ISNUMBER($O$784),$B$419=1),$O$784,HLOOKUP(INDIRECT(ADDRESS(2,COLUMN())),OFFSET($BN$2,0,0,ROW()-1,60),ROW()-1,FALSE))</f>
        <v/>
      </c>
      <c r="P344">
        <f ca="1">IF(AND(ISNUMBER($P$784),$B$419=1),$P$784,HLOOKUP(INDIRECT(ADDRESS(2,COLUMN())),OFFSET($BN$2,0,0,ROW()-1,60),ROW()-1,FALSE))</f>
        <v>19.11</v>
      </c>
      <c r="Q344">
        <f ca="1">IF(AND(ISNUMBER($Q$784),$B$419=1),$Q$784,HLOOKUP(INDIRECT(ADDRESS(2,COLUMN())),OFFSET($BN$2,0,0,ROW()-1,60),ROW()-1,FALSE))</f>
        <v>149.76900000000001</v>
      </c>
      <c r="R344">
        <f ca="1">IF(AND(ISNUMBER($R$784),$B$419=1),$R$784,HLOOKUP(INDIRECT(ADDRESS(2,COLUMN())),OFFSET($BN$2,0,0,ROW()-1,60),ROW()-1,FALSE))</f>
        <v>352.22399999999999</v>
      </c>
      <c r="S344">
        <f ca="1">IF(AND(ISNUMBER($S$784),$B$419=1),$S$784,HLOOKUP(INDIRECT(ADDRESS(2,COLUMN())),OFFSET($BN$2,0,0,ROW()-1,60),ROW()-1,FALSE))</f>
        <v>153.79499999999999</v>
      </c>
      <c r="T344">
        <f ca="1">IF(AND(ISNUMBER($T$784),$B$419=1),$T$784,HLOOKUP(INDIRECT(ADDRESS(2,COLUMN())),OFFSET($BN$2,0,0,ROW()-1,60),ROW()-1,FALSE))</f>
        <v>2.714</v>
      </c>
      <c r="U344">
        <f ca="1">IF(AND(ISNUMBER($U$784),$B$419=1),$U$784,HLOOKUP(INDIRECT(ADDRESS(2,COLUMN())),OFFSET($BN$2,0,0,ROW()-1,60),ROW()-1,FALSE))</f>
        <v>5.5220000000000002</v>
      </c>
      <c r="V344">
        <f ca="1">IF(AND(ISNUMBER($V$784),$B$419=1),$V$784,HLOOKUP(INDIRECT(ADDRESS(2,COLUMN())),OFFSET($BN$2,0,0,ROW()-1,60),ROW()-1,FALSE))</f>
        <v>50.136000000000003</v>
      </c>
      <c r="W344">
        <f ca="1">IF(AND(ISNUMBER($W$784),$B$419=1),$W$784,HLOOKUP(INDIRECT(ADDRESS(2,COLUMN())),OFFSET($BN$2,0,0,ROW()-1,60),ROW()-1,FALSE))</f>
        <v>40.276000000000003</v>
      </c>
      <c r="X344">
        <f ca="1">IF(AND(ISNUMBER($X$784),$B$419=1),$X$784,HLOOKUP(INDIRECT(ADDRESS(2,COLUMN())),OFFSET($BN$2,0,0,ROW()-1,60),ROW()-1,FALSE))</f>
        <v>3.0230000000000001</v>
      </c>
      <c r="Y344">
        <f ca="1">IF(AND(ISNUMBER($Y$784),$B$419=1),$Y$784,HLOOKUP(INDIRECT(ADDRESS(2,COLUMN())),OFFSET($BN$2,0,0,ROW()-1,60),ROW()-1,FALSE))</f>
        <v>6.202</v>
      </c>
      <c r="Z344">
        <f ca="1">IF(AND(ISNUMBER($Z$784),$B$419=1),$Z$784,HLOOKUP(INDIRECT(ADDRESS(2,COLUMN())),OFFSET($BN$2,0,0,ROW()-1,60),ROW()-1,FALSE))</f>
        <v>163.54300000000001</v>
      </c>
      <c r="AA344">
        <f ca="1">IF(AND(ISNUMBER($AA$784),$B$419=1),$AA$784,HLOOKUP(INDIRECT(ADDRESS(2,COLUMN())),OFFSET($BN$2,0,0,ROW()-1,60),ROW()-1,FALSE))</f>
        <v>175.55199999999999</v>
      </c>
      <c r="AB344">
        <f ca="1">IF(AND(ISNUMBER($AB$784),$B$419=1),$AB$784,HLOOKUP(INDIRECT(ADDRESS(2,COLUMN())),OFFSET($BN$2,0,0,ROW()-1,60),ROW()-1,FALSE))</f>
        <v>23.123999999999999</v>
      </c>
      <c r="AC344">
        <f ca="1">IF(AND(ISNUMBER($AC$784),$B$419=1),$AC$784,HLOOKUP(INDIRECT(ADDRESS(2,COLUMN())),OFFSET($BN$2,0,0,ROW()-1,60),ROW()-1,FALSE))</f>
        <v>190.941</v>
      </c>
      <c r="AD344">
        <f ca="1">IF(AND(ISNUMBER($AD$784),$B$419=1),$AD$784,HLOOKUP(INDIRECT(ADDRESS(2,COLUMN())),OFFSET($BN$2,0,0,ROW()-1,60),ROW()-1,FALSE))</f>
        <v>200.88900000000001</v>
      </c>
      <c r="AE344">
        <f ca="1">IF(AND(ISNUMBER($AE$784),$B$419=1),$AE$784,HLOOKUP(INDIRECT(ADDRESS(2,COLUMN())),OFFSET($BN$2,0,0,ROW()-1,60),ROW()-1,FALSE))</f>
        <v>408.346</v>
      </c>
      <c r="AF344">
        <f ca="1">IF(AND(ISNUMBER($AF$784),$B$419=1),$AF$784,HLOOKUP(INDIRECT(ADDRESS(2,COLUMN())),OFFSET($BN$2,0,0,ROW()-1,60),ROW()-1,FALSE))</f>
        <v>2.4369999999999998</v>
      </c>
      <c r="AG344">
        <f ca="1">IF(AND(ISNUMBER($AG$784),$B$419=1),$AG$784,HLOOKUP(INDIRECT(ADDRESS(2,COLUMN())),OFFSET($BN$2,0,0,ROW()-1,60),ROW()-1,FALSE))</f>
        <v>194.00200000000001</v>
      </c>
      <c r="AH344">
        <f ca="1">IF(AND(ISNUMBER($AH$784),$B$419=1),$AH$784,HLOOKUP(INDIRECT(ADDRESS(2,COLUMN())),OFFSET($BN$2,0,0,ROW()-1,60),ROW()-1,FALSE))</f>
        <v>237.363</v>
      </c>
      <c r="AI344">
        <f ca="1">IF(AND(ISNUMBER($AI$784),$B$419=1),$AI$784,HLOOKUP(INDIRECT(ADDRESS(2,COLUMN())),OFFSET($BN$2,0,0,ROW()-1,60),ROW()-1,FALSE))</f>
        <v>125.07299999999999</v>
      </c>
      <c r="AJ344">
        <f ca="1">IF(AND(ISNUMBER($AJ$784),$B$419=1),$AJ$784,HLOOKUP(INDIRECT(ADDRESS(2,COLUMN())),OFFSET($BN$2,0,0,ROW()-1,60),ROW()-1,FALSE))</f>
        <v>2.4220000000000002</v>
      </c>
      <c r="AK344">
        <f ca="1">IF(AND(ISNUMBER($AK$784),$B$419=1),$AK$784,HLOOKUP(INDIRECT(ADDRESS(2,COLUMN())),OFFSET($BN$2,0,0,ROW()-1,60),ROW()-1,FALSE))</f>
        <v>5.0110000000000001</v>
      </c>
      <c r="AL344">
        <f ca="1">IF(AND(ISNUMBER($AL$784),$B$419=1),$AL$784,HLOOKUP(INDIRECT(ADDRESS(2,COLUMN())),OFFSET($BN$2,0,0,ROW()-1,60),ROW()-1,FALSE))</f>
        <v>8.2040000000000006</v>
      </c>
      <c r="AM344">
        <f ca="1">IF(AND(ISNUMBER($AM$784),$B$419=1),$AM$784,HLOOKUP(INDIRECT(ADDRESS(2,COLUMN())),OFFSET($BN$2,0,0,ROW()-1,60),ROW()-1,FALSE))</f>
        <v>10.728</v>
      </c>
      <c r="AN344">
        <f ca="1">IF(AND(ISNUMBER($AN$784),$B$419=1),$AN$784,HLOOKUP(INDIRECT(ADDRESS(2,COLUMN())),OFFSET($BN$2,0,0,ROW()-1,60),ROW()-1,FALSE))</f>
        <v>251.68199999999999</v>
      </c>
      <c r="AO344">
        <f ca="1">IF(AND(ISNUMBER($AO$784),$B$419=1),$AO$784,HLOOKUP(INDIRECT(ADDRESS(2,COLUMN())),OFFSET($BN$2,0,0,ROW()-1,60),ROW()-1,FALSE))</f>
        <v>256.49200000000002</v>
      </c>
      <c r="AP344">
        <f ca="1">IF(AND(ISNUMBER($AP$784),$B$419=1),$AP$784,HLOOKUP(INDIRECT(ADDRESS(2,COLUMN())),OFFSET($BN$2,0,0,ROW()-1,60),ROW()-1,FALSE))</f>
        <v>750.43600000000004</v>
      </c>
      <c r="AQ344">
        <f ca="1">IF(AND(ISNUMBER($AQ$784),$B$419=1),$AQ$784,HLOOKUP(INDIRECT(ADDRESS(2,COLUMN())),OFFSET($BN$2,0,0,ROW()-1,60),ROW()-1,FALSE))</f>
        <v>387.54199999999997</v>
      </c>
      <c r="AR344">
        <f ca="1">IF(AND(ISNUMBER($AR$784),$B$419=1),$AR$784,HLOOKUP(INDIRECT(ADDRESS(2,COLUMN())),OFFSET($BN$2,0,0,ROW()-1,60),ROW()-1,FALSE))</f>
        <v>5.4080000000000004</v>
      </c>
      <c r="AS344">
        <f ca="1">IF(AND(ISNUMBER($AS$784),$B$419=1),$AS$784,HLOOKUP(INDIRECT(ADDRESS(2,COLUMN())),OFFSET($BN$2,0,0,ROW()-1,60),ROW()-1,FALSE))</f>
        <v>69.323999999999998</v>
      </c>
      <c r="AT344">
        <f ca="1">IF(AND(ISNUMBER($AT$784),$B$419=1),$AT$784,HLOOKUP(INDIRECT(ADDRESS(2,COLUMN())),OFFSET($BN$2,0,0,ROW()-1,60),ROW()-1,FALSE))</f>
        <v>430.76</v>
      </c>
      <c r="AU344">
        <f ca="1">IF(AND(ISNUMBER($AU$784),$B$419=1),$AU$784,HLOOKUP(INDIRECT(ADDRESS(2,COLUMN())),OFFSET($BN$2,0,0,ROW()-1,60),ROW()-1,FALSE))</f>
        <v>217.084</v>
      </c>
      <c r="AV344">
        <f ca="1">IF(AND(ISNUMBER($AV$784),$B$419=1),$AV$784,HLOOKUP(INDIRECT(ADDRESS(2,COLUMN())),OFFSET($BN$2,0,0,ROW()-1,60),ROW()-1,FALSE))</f>
        <v>151.221</v>
      </c>
      <c r="AW344">
        <f ca="1">IF(AND(ISNUMBER($AW$784),$B$419=1),$AW$784,HLOOKUP(INDIRECT(ADDRESS(2,COLUMN())),OFFSET($BN$2,0,0,ROW()-1,60),ROW()-1,FALSE))</f>
        <v>152.869</v>
      </c>
      <c r="AX344">
        <f ca="1">IF(AND(ISNUMBER($AX$784),$B$419=1),$AX$784,HLOOKUP(INDIRECT(ADDRESS(2,COLUMN())),OFFSET($BN$2,0,0,ROW()-1,60),ROW()-1,FALSE))</f>
        <v>154.53299999999999</v>
      </c>
      <c r="AY344">
        <f ca="1">IF(AND(ISNUMBER($AY$784),$B$419=1),$AY$784,HLOOKUP(INDIRECT(ADDRESS(2,COLUMN())),OFFSET($BN$2,0,0,ROW()-1,60),ROW()-1,FALSE))</f>
        <v>154.99700000000001</v>
      </c>
      <c r="AZ344">
        <f ca="1">IF(AND(ISNUMBER($AZ$784),$B$419=1),$AZ$784,HLOOKUP(INDIRECT(ADDRESS(2,COLUMN())),OFFSET($BN$2,0,0,ROW()-1,60),ROW()-1,FALSE))</f>
        <v>0.86099999999999999</v>
      </c>
      <c r="BA344">
        <f ca="1">IF(AND(ISNUMBER($BA$784),$B$419=1),$BA$784,HLOOKUP(INDIRECT(ADDRESS(2,COLUMN())),OFFSET($BN$2,0,0,ROW()-1,60),ROW()-1,FALSE))</f>
        <v>203.82300000000001</v>
      </c>
      <c r="BB344">
        <f ca="1">IF(AND(ISNUMBER($BB$784),$B$419=1),$BB$784,HLOOKUP(INDIRECT(ADDRESS(2,COLUMN())),OFFSET($BN$2,0,0,ROW()-1,60),ROW()-1,FALSE))</f>
        <v>201.84200000000001</v>
      </c>
      <c r="BC344">
        <f ca="1">IF(AND(ISNUMBER($BC$784),$B$419=1),$BC$784,HLOOKUP(INDIRECT(ADDRESS(2,COLUMN())),OFFSET($BN$2,0,0,ROW()-1,60),ROW()-1,FALSE))</f>
        <v>199.834</v>
      </c>
      <c r="BD344">
        <f ca="1">IF(AND(ISNUMBER($BD$784),$B$419=1),$BD$784,HLOOKUP(INDIRECT(ADDRESS(2,COLUMN())),OFFSET($BN$2,0,0,ROW()-1,60),ROW()-1,FALSE))</f>
        <v>40.686999999999998</v>
      </c>
      <c r="BE344">
        <f ca="1">IF(AND(ISNUMBER($BE$784),$B$419=1),$BE$784,HLOOKUP(INDIRECT(ADDRESS(2,COLUMN())),OFFSET($BN$2,0,0,ROW()-1,60),ROW()-1,FALSE))</f>
        <v>41.539000000000001</v>
      </c>
      <c r="BF344">
        <f ca="1">IF(AND(ISNUMBER($BF$784),$B$419=1),$BF$784,HLOOKUP(INDIRECT(ADDRESS(2,COLUMN())),OFFSET($BN$2,0,0,ROW()-1,60),ROW()-1,FALSE))</f>
        <v>42.38</v>
      </c>
      <c r="BG344">
        <f ca="1">IF(AND(ISNUMBER($BG$784),$B$419=1),$BG$784,HLOOKUP(INDIRECT(ADDRESS(2,COLUMN())),OFFSET($BN$2,0,0,ROW()-1,60),ROW()-1,FALSE))</f>
        <v>43.2140007</v>
      </c>
      <c r="BH344" t="str">
        <f ca="1">IF(AND(ISNUMBER($BH$784),$B$419=1),$BH$784,HLOOKUP(INDIRECT(ADDRESS(2,COLUMN())),OFFSET($BN$2,0,0,ROW()-1,60),ROW()-1,FALSE))</f>
        <v/>
      </c>
      <c r="BI344">
        <f ca="1">IF(AND(ISNUMBER($BI$784),$B$419=1),$BI$784,HLOOKUP(INDIRECT(ADDRESS(2,COLUMN())),OFFSET($BN$2,0,0,ROW()-1,60),ROW()-1,FALSE))</f>
        <v>1.4079999919999999</v>
      </c>
      <c r="BJ344">
        <f ca="1">IF(AND(ISNUMBER($BJ$784),$B$419=1),$BJ$784,HLOOKUP(INDIRECT(ADDRESS(2,COLUMN())),OFFSET($BN$2,0,0,ROW()-1,60),ROW()-1,FALSE))</f>
        <v>2.1890000000000001</v>
      </c>
      <c r="BK344">
        <f ca="1">IF(AND(ISNUMBER($BK$784),$B$419=1),$BK$784,HLOOKUP(INDIRECT(ADDRESS(2,COLUMN())),OFFSET($BN$2,0,0,ROW()-1,60),ROW()-1,FALSE))</f>
        <v>42.454999999999998</v>
      </c>
      <c r="BL344">
        <f ca="1">IF(AND(ISNUMBER($BL$784),$B$419=1),$BL$784,HLOOKUP(INDIRECT(ADDRESS(2,COLUMN())),OFFSET($BN$2,0,0,ROW()-1,60),ROW()-1,FALSE))</f>
        <v>323.38900000000001</v>
      </c>
      <c r="BM344">
        <f ca="1">IF(AND(ISNUMBER($BM$784),$B$419=1),$BM$784,HLOOKUP(INDIRECT(ADDRESS(2,COLUMN())),OFFSET($BN$2,0,0,ROW()-1,60),ROW()-1,FALSE))</f>
        <v>332.601</v>
      </c>
      <c r="BN344" t="str">
        <f>""</f>
        <v/>
      </c>
      <c r="BO344">
        <f>291.775</f>
        <v>291.77499999999998</v>
      </c>
      <c r="BP344">
        <f>1.561</f>
        <v>1.5609999999999999</v>
      </c>
      <c r="BQ344">
        <f>44.847</f>
        <v>44.847000000000001</v>
      </c>
      <c r="BR344">
        <f>221.469</f>
        <v>221.46899999999999</v>
      </c>
      <c r="BS344">
        <f>222.945</f>
        <v>222.94499999999999</v>
      </c>
      <c r="BT344">
        <f>10.71</f>
        <v>10.71</v>
      </c>
      <c r="BU344">
        <f>12.538</f>
        <v>12.538</v>
      </c>
      <c r="BV344">
        <f>48.509</f>
        <v>48.509</v>
      </c>
      <c r="BW344" t="str">
        <f>""</f>
        <v/>
      </c>
      <c r="BX344">
        <f>19.11</f>
        <v>19.11</v>
      </c>
      <c r="BY344">
        <f>149.769</f>
        <v>149.76900000000001</v>
      </c>
      <c r="BZ344">
        <f>352.224</f>
        <v>352.22399999999999</v>
      </c>
      <c r="CA344">
        <f>153.795</f>
        <v>153.79499999999999</v>
      </c>
      <c r="CB344">
        <f>2.714</f>
        <v>2.714</v>
      </c>
      <c r="CC344">
        <f>5.522</f>
        <v>5.5220000000000002</v>
      </c>
      <c r="CD344">
        <f>50.136</f>
        <v>50.136000000000003</v>
      </c>
      <c r="CE344">
        <f>40.276</f>
        <v>40.276000000000003</v>
      </c>
      <c r="CF344">
        <f>3.023</f>
        <v>3.0230000000000001</v>
      </c>
      <c r="CG344">
        <f>6.202</f>
        <v>6.202</v>
      </c>
      <c r="CH344">
        <f>163.543</f>
        <v>163.54300000000001</v>
      </c>
      <c r="CI344">
        <f>175.552</f>
        <v>175.55199999999999</v>
      </c>
      <c r="CJ344">
        <f>23.124</f>
        <v>23.123999999999999</v>
      </c>
      <c r="CK344">
        <f>190.941</f>
        <v>190.941</v>
      </c>
      <c r="CL344">
        <f>200.889</f>
        <v>200.88900000000001</v>
      </c>
      <c r="CM344">
        <f>408.346</f>
        <v>408.346</v>
      </c>
      <c r="CN344">
        <f>2.437</f>
        <v>2.4369999999999998</v>
      </c>
      <c r="CO344">
        <f>194.002</f>
        <v>194.00200000000001</v>
      </c>
      <c r="CP344">
        <f>237.363</f>
        <v>237.363</v>
      </c>
      <c r="CQ344">
        <f>125.073</f>
        <v>125.07299999999999</v>
      </c>
      <c r="CR344">
        <f>2.422</f>
        <v>2.4220000000000002</v>
      </c>
      <c r="CS344">
        <f>5.011</f>
        <v>5.0110000000000001</v>
      </c>
      <c r="CT344">
        <f>8.204</f>
        <v>8.2040000000000006</v>
      </c>
      <c r="CU344">
        <f>10.728</f>
        <v>10.728</v>
      </c>
      <c r="CV344">
        <f>251.682</f>
        <v>251.68199999999999</v>
      </c>
      <c r="CW344">
        <f>256.492</f>
        <v>256.49200000000002</v>
      </c>
      <c r="CX344">
        <f>750.436</f>
        <v>750.43600000000004</v>
      </c>
      <c r="CY344">
        <f>387.542</f>
        <v>387.54199999999997</v>
      </c>
      <c r="CZ344">
        <f>5.408</f>
        <v>5.4080000000000004</v>
      </c>
      <c r="DA344">
        <f>69.324</f>
        <v>69.323999999999998</v>
      </c>
      <c r="DB344">
        <f>430.76</f>
        <v>430.76</v>
      </c>
      <c r="DC344">
        <f>217.084</f>
        <v>217.084</v>
      </c>
      <c r="DD344">
        <f>151.221</f>
        <v>151.221</v>
      </c>
      <c r="DE344">
        <f>152.869</f>
        <v>152.869</v>
      </c>
      <c r="DF344">
        <f>154.533</f>
        <v>154.53299999999999</v>
      </c>
      <c r="DG344">
        <f>154.997</f>
        <v>154.99700000000001</v>
      </c>
      <c r="DH344">
        <f>0.861</f>
        <v>0.86099999999999999</v>
      </c>
      <c r="DI344">
        <f>203.823</f>
        <v>203.82300000000001</v>
      </c>
      <c r="DJ344">
        <f>201.842</f>
        <v>201.84200000000001</v>
      </c>
      <c r="DK344">
        <f>199.834</f>
        <v>199.834</v>
      </c>
      <c r="DL344">
        <f>40.687</f>
        <v>40.686999999999998</v>
      </c>
      <c r="DM344">
        <f>41.539</f>
        <v>41.539000000000001</v>
      </c>
      <c r="DN344">
        <f>42.38</f>
        <v>42.38</v>
      </c>
      <c r="DO344">
        <f>43.2140007</f>
        <v>43.2140007</v>
      </c>
      <c r="DP344" t="str">
        <f>""</f>
        <v/>
      </c>
      <c r="DQ344">
        <f>1.407999992</f>
        <v>1.4079999919999999</v>
      </c>
      <c r="DR344">
        <f>2.189</f>
        <v>2.1890000000000001</v>
      </c>
      <c r="DS344">
        <f>42.455</f>
        <v>42.454999999999998</v>
      </c>
      <c r="DT344">
        <f>323.389</f>
        <v>323.38900000000001</v>
      </c>
      <c r="DU344">
        <f>332.601</f>
        <v>332.601</v>
      </c>
    </row>
    <row r="345" spans="1:125">
      <c r="A345" t="str">
        <f>"    Kimco Realty Corp"</f>
        <v xml:space="preserve">    Kimco Realty Corp</v>
      </c>
      <c r="B345" t="str">
        <f>"KIM US Equity"</f>
        <v>KIM US Equity</v>
      </c>
      <c r="C345" t="str">
        <f t="shared" si="63"/>
        <v>BS658</v>
      </c>
      <c r="D345" t="str">
        <f t="shared" si="64"/>
        <v>BS_YEAR_1_PRINCIPAL</v>
      </c>
      <c r="E345" t="str">
        <f t="shared" si="65"/>
        <v>动态</v>
      </c>
      <c r="F345" t="str">
        <f ca="1">IF(AND(ISNUMBER($F$785),$B$419=1),$F$785,HLOOKUP(INDIRECT(ADDRESS(2,COLUMN())),OFFSET($BN$2,0,0,ROW()-1,60),ROW()-1,FALSE))</f>
        <v/>
      </c>
      <c r="G345">
        <f ca="1">IF(AND(ISNUMBER($G$785),$B$419=1),$G$785,HLOOKUP(INDIRECT(ADDRESS(2,COLUMN())),OFFSET($BN$2,0,0,ROW()-1,60),ROW()-1,FALSE))</f>
        <v>85.367000000000004</v>
      </c>
      <c r="H345">
        <f ca="1">IF(AND(ISNUMBER($H$785),$B$419=1),$H$785,HLOOKUP(INDIRECT(ADDRESS(2,COLUMN())),OFFSET($BN$2,0,0,ROW()-1,60),ROW()-1,FALSE))</f>
        <v>12.414999999999999</v>
      </c>
      <c r="I345">
        <f ca="1">IF(AND(ISNUMBER($I$785),$B$419=1),$I$785,HLOOKUP(INDIRECT(ADDRESS(2,COLUMN())),OFFSET($BN$2,0,0,ROW()-1,60),ROW()-1,FALSE))</f>
        <v>230.13200000000001</v>
      </c>
      <c r="J345">
        <f ca="1">IF(AND(ISNUMBER($J$785),$B$419=1),$J$785,HLOOKUP(INDIRECT(ADDRESS(2,COLUMN())),OFFSET($BN$2,0,0,ROW()-1,60),ROW()-1,FALSE))</f>
        <v>407.95499999999998</v>
      </c>
      <c r="K345">
        <f ca="1">IF(AND(ISNUMBER($K$785),$B$419=1),$K$785,HLOOKUP(INDIRECT(ADDRESS(2,COLUMN())),OFFSET($BN$2,0,0,ROW()-1,60),ROW()-1,FALSE))</f>
        <v>451.572</v>
      </c>
      <c r="L345">
        <f ca="1">IF(AND(ISNUMBER($L$785),$B$419=1),$L$785,HLOOKUP(INDIRECT(ADDRESS(2,COLUMN())),OFFSET($BN$2,0,0,ROW()-1,60),ROW()-1,FALSE))</f>
        <v>38.024999999999999</v>
      </c>
      <c r="M345">
        <f ca="1">IF(AND(ISNUMBER($M$785),$B$419=1),$M$785,HLOOKUP(INDIRECT(ADDRESS(2,COLUMN())),OFFSET($BN$2,0,0,ROW()-1,60),ROW()-1,FALSE))</f>
        <v>238.48099999999999</v>
      </c>
      <c r="N345">
        <f ca="1">IF(AND(ISNUMBER($N$785),$B$419=1),$N$785,HLOOKUP(INDIRECT(ADDRESS(2,COLUMN())),OFFSET($BN$2,0,0,ROW()-1,60),ROW()-1,FALSE))</f>
        <v>371.654</v>
      </c>
      <c r="O345">
        <f ca="1">IF(AND(ISNUMBER($O$785),$B$419=1),$O$785,HLOOKUP(INDIRECT(ADDRESS(2,COLUMN())),OFFSET($BN$2,0,0,ROW()-1,60),ROW()-1,FALSE))</f>
        <v>776.48099999999999</v>
      </c>
      <c r="P345">
        <f ca="1">IF(AND(ISNUMBER($P$785),$B$419=1),$P$785,HLOOKUP(INDIRECT(ADDRESS(2,COLUMN())),OFFSET($BN$2,0,0,ROW()-1,60),ROW()-1,FALSE))</f>
        <v>168.82499999999999</v>
      </c>
      <c r="Q345">
        <f ca="1">IF(AND(ISNUMBER($Q$785),$B$419=1),$Q$785,HLOOKUP(INDIRECT(ADDRESS(2,COLUMN())),OFFSET($BN$2,0,0,ROW()-1,60),ROW()-1,FALSE))</f>
        <v>406.60399999999998</v>
      </c>
      <c r="R345">
        <f ca="1">IF(AND(ISNUMBER($R$785),$B$419=1),$R$785,HLOOKUP(INDIRECT(ADDRESS(2,COLUMN())),OFFSET($BN$2,0,0,ROW()-1,60),ROW()-1,FALSE))</f>
        <v>433.654</v>
      </c>
      <c r="S345">
        <f ca="1">IF(AND(ISNUMBER($S$785),$B$419=1),$S$785,HLOOKUP(INDIRECT(ADDRESS(2,COLUMN())),OFFSET($BN$2,0,0,ROW()-1,60),ROW()-1,FALSE))</f>
        <v>689.10500000000002</v>
      </c>
      <c r="T345">
        <f ca="1">IF(AND(ISNUMBER($T$785),$B$419=1),$T$785,HLOOKUP(INDIRECT(ADDRESS(2,COLUMN())),OFFSET($BN$2,0,0,ROW()-1,60),ROW()-1,FALSE))</f>
        <v>6.5</v>
      </c>
      <c r="U345">
        <f ca="1">IF(AND(ISNUMBER($U$785),$B$419=1),$U$785,HLOOKUP(INDIRECT(ADDRESS(2,COLUMN())),OFFSET($BN$2,0,0,ROW()-1,60),ROW()-1,FALSE))</f>
        <v>53.444000000000003</v>
      </c>
      <c r="V345">
        <f ca="1">IF(AND(ISNUMBER($V$785),$B$419=1),$V$785,HLOOKUP(INDIRECT(ADDRESS(2,COLUMN())),OFFSET($BN$2,0,0,ROW()-1,60),ROW()-1,FALSE))</f>
        <v>359.6</v>
      </c>
      <c r="W345">
        <f ca="1">IF(AND(ISNUMBER($W$785),$B$419=1),$W$785,HLOOKUP(INDIRECT(ADDRESS(2,COLUMN())),OFFSET($BN$2,0,0,ROW()-1,60),ROW()-1,FALSE))</f>
        <v>594.99900000000002</v>
      </c>
      <c r="X345">
        <f ca="1">IF(AND(ISNUMBER($X$785),$B$419=1),$X$785,HLOOKUP(INDIRECT(ADDRESS(2,COLUMN())),OFFSET($BN$2,0,0,ROW()-1,60),ROW()-1,FALSE))</f>
        <v>100.1</v>
      </c>
      <c r="Y345">
        <f ca="1">IF(AND(ISNUMBER($Y$785),$B$419=1),$Y$785,HLOOKUP(INDIRECT(ADDRESS(2,COLUMN())),OFFSET($BN$2,0,0,ROW()-1,60),ROW()-1,FALSE))</f>
        <v>359.3</v>
      </c>
      <c r="Z345">
        <f ca="1">IF(AND(ISNUMBER($Z$785),$B$419=1),$Z$785,HLOOKUP(INDIRECT(ADDRESS(2,COLUMN())),OFFSET($BN$2,0,0,ROW()-1,60),ROW()-1,FALSE))</f>
        <v>441.4</v>
      </c>
      <c r="AA345">
        <f ca="1">IF(AND(ISNUMBER($AA$785),$B$419=1),$AA$785,HLOOKUP(INDIRECT(ADDRESS(2,COLUMN())),OFFSET($BN$2,0,0,ROW()-1,60),ROW()-1,FALSE))</f>
        <v>640.5</v>
      </c>
      <c r="AB345">
        <f ca="1">IF(AND(ISNUMBER($AB$785),$B$419=1),$AB$785,HLOOKUP(INDIRECT(ADDRESS(2,COLUMN())),OFFSET($BN$2,0,0,ROW()-1,60),ROW()-1,FALSE))</f>
        <v>227.2</v>
      </c>
      <c r="AC345">
        <f ca="1">IF(AND(ISNUMBER($AC$785),$B$419=1),$AC$785,HLOOKUP(INDIRECT(ADDRESS(2,COLUMN())),OFFSET($BN$2,0,0,ROW()-1,60),ROW()-1,FALSE))</f>
        <v>249</v>
      </c>
      <c r="AD345">
        <f ca="1">IF(AND(ISNUMBER($AD$785),$B$419=1),$AD$785,HLOOKUP(INDIRECT(ADDRESS(2,COLUMN())),OFFSET($BN$2,0,0,ROW()-1,60),ROW()-1,FALSE))</f>
        <v>311.5</v>
      </c>
      <c r="AE345">
        <f ca="1">IF(AND(ISNUMBER($AE$785),$B$419=1),$AE$785,HLOOKUP(INDIRECT(ADDRESS(2,COLUMN())),OFFSET($BN$2,0,0,ROW()-1,60),ROW()-1,FALSE))</f>
        <v>423.6</v>
      </c>
      <c r="AF345">
        <f ca="1">IF(AND(ISNUMBER($AF$785),$B$419=1),$AF$785,HLOOKUP(INDIRECT(ADDRESS(2,COLUMN())),OFFSET($BN$2,0,0,ROW()-1,60),ROW()-1,FALSE))</f>
        <v>4.5999999999999996</v>
      </c>
      <c r="AG345">
        <f ca="1">IF(AND(ISNUMBER($AG$785),$B$419=1),$AG$785,HLOOKUP(INDIRECT(ADDRESS(2,COLUMN())),OFFSET($BN$2,0,0,ROW()-1,60),ROW()-1,FALSE))</f>
        <v>91.8</v>
      </c>
      <c r="AH345">
        <f ca="1">IF(AND(ISNUMBER($AH$785),$B$419=1),$AH$785,HLOOKUP(INDIRECT(ADDRESS(2,COLUMN())),OFFSET($BN$2,0,0,ROW()-1,60),ROW()-1,FALSE))</f>
        <v>112.2</v>
      </c>
      <c r="AI345">
        <f ca="1">IF(AND(ISNUMBER($AI$785),$B$419=1),$AI$785,HLOOKUP(INDIRECT(ADDRESS(2,COLUMN())),OFFSET($BN$2,0,0,ROW()-1,60),ROW()-1,FALSE))</f>
        <v>147.4</v>
      </c>
      <c r="AJ345">
        <f ca="1">IF(AND(ISNUMBER($AJ$785),$B$419=1),$AJ$785,HLOOKUP(INDIRECT(ADDRESS(2,COLUMN())),OFFSET($BN$2,0,0,ROW()-1,60),ROW()-1,FALSE))</f>
        <v>0</v>
      </c>
      <c r="AK345">
        <f ca="1">IF(AND(ISNUMBER($AK$785),$B$419=1),$AK$785,HLOOKUP(INDIRECT(ADDRESS(2,COLUMN())),OFFSET($BN$2,0,0,ROW()-1,60),ROW()-1,FALSE))</f>
        <v>52.2</v>
      </c>
      <c r="AL345">
        <f ca="1">IF(AND(ISNUMBER($AL$785),$B$419=1),$AL$785,HLOOKUP(INDIRECT(ADDRESS(2,COLUMN())),OFFSET($BN$2,0,0,ROW()-1,60),ROW()-1,FALSE))</f>
        <v>199.5</v>
      </c>
      <c r="AM345">
        <f ca="1">IF(AND(ISNUMBER($AM$785),$B$419=1),$AM$785,HLOOKUP(INDIRECT(ADDRESS(2,COLUMN())),OFFSET($BN$2,0,0,ROW()-1,60),ROW()-1,FALSE))</f>
        <v>380</v>
      </c>
      <c r="AN345">
        <f ca="1">IF(AND(ISNUMBER($AN$785),$B$419=1),$AN$785,HLOOKUP(INDIRECT(ADDRESS(2,COLUMN())),OFFSET($BN$2,0,0,ROW()-1,60),ROW()-1,FALSE))</f>
        <v>132.19999999999999</v>
      </c>
      <c r="AO345">
        <f ca="1">IF(AND(ISNUMBER($AO$785),$B$419=1),$AO$785,HLOOKUP(INDIRECT(ADDRESS(2,COLUMN())),OFFSET($BN$2,0,0,ROW()-1,60),ROW()-1,FALSE))</f>
        <v>151.5</v>
      </c>
      <c r="AP345">
        <f ca="1">IF(AND(ISNUMBER($AP$785),$B$419=1),$AP$785,HLOOKUP(INDIRECT(ADDRESS(2,COLUMN())),OFFSET($BN$2,0,0,ROW()-1,60),ROW()-1,FALSE))</f>
        <v>286.89999999999998</v>
      </c>
      <c r="AQ345">
        <f ca="1">IF(AND(ISNUMBER($AQ$785),$B$419=1),$AQ$785,HLOOKUP(INDIRECT(ADDRESS(2,COLUMN())),OFFSET($BN$2,0,0,ROW()-1,60),ROW()-1,FALSE))</f>
        <v>553.70000000000005</v>
      </c>
      <c r="AR345">
        <f ca="1">IF(AND(ISNUMBER($AR$785),$B$419=1),$AR$785,HLOOKUP(INDIRECT(ADDRESS(2,COLUMN())),OFFSET($BN$2,0,0,ROW()-1,60),ROW()-1,FALSE))</f>
        <v>166.37100000000001</v>
      </c>
      <c r="AS345">
        <f ca="1">IF(AND(ISNUMBER($AS$785),$B$419=1),$AS$785,HLOOKUP(INDIRECT(ADDRESS(2,COLUMN())),OFFSET($BN$2,0,0,ROW()-1,60),ROW()-1,FALSE))</f>
        <v>362.11200000000002</v>
      </c>
      <c r="AT345">
        <f ca="1">IF(AND(ISNUMBER($AT$785),$B$419=1),$AT$785,HLOOKUP(INDIRECT(ADDRESS(2,COLUMN())),OFFSET($BN$2,0,0,ROW()-1,60),ROW()-1,FALSE))</f>
        <v>470.30900000000003</v>
      </c>
      <c r="AU345">
        <f ca="1">IF(AND(ISNUMBER($AU$785),$B$419=1),$AU$785,HLOOKUP(INDIRECT(ADDRESS(2,COLUMN())),OFFSET($BN$2,0,0,ROW()-1,60),ROW()-1,FALSE))</f>
        <v>495.9</v>
      </c>
      <c r="AV345">
        <f ca="1">IF(AND(ISNUMBER($AV$785),$B$419=1),$AV$785,HLOOKUP(INDIRECT(ADDRESS(2,COLUMN())),OFFSET($BN$2,0,0,ROW()-1,60),ROW()-1,FALSE))</f>
        <v>371.97500000000002</v>
      </c>
      <c r="AW345">
        <f ca="1">IF(AND(ISNUMBER($AW$785),$B$419=1),$AW$785,HLOOKUP(INDIRECT(ADDRESS(2,COLUMN())),OFFSET($BN$2,0,0,ROW()-1,60),ROW()-1,FALSE))</f>
        <v>240.499</v>
      </c>
      <c r="AX345">
        <f ca="1">IF(AND(ISNUMBER($AX$785),$B$419=1),$AX$785,HLOOKUP(INDIRECT(ADDRESS(2,COLUMN())),OFFSET($BN$2,0,0,ROW()-1,60),ROW()-1,FALSE))</f>
        <v>386.851</v>
      </c>
      <c r="AY345">
        <f ca="1">IF(AND(ISNUMBER($AY$785),$B$419=1),$AY$785,HLOOKUP(INDIRECT(ADDRESS(2,COLUMN())),OFFSET($BN$2,0,0,ROW()-1,60),ROW()-1,FALSE))</f>
        <v>495.9</v>
      </c>
      <c r="AZ345">
        <f ca="1">IF(AND(ISNUMBER($AZ$785),$B$419=1),$AZ$785,HLOOKUP(INDIRECT(ADDRESS(2,COLUMN())),OFFSET($BN$2,0,0,ROW()-1,60),ROW()-1,FALSE))</f>
        <v>131.881</v>
      </c>
      <c r="BA345">
        <f ca="1">IF(AND(ISNUMBER($BA$785),$B$419=1),$BA$785,HLOOKUP(INDIRECT(ADDRESS(2,COLUMN())),OFFSET($BN$2,0,0,ROW()-1,60),ROW()-1,FALSE))</f>
        <v>284.03199999999998</v>
      </c>
      <c r="BB345">
        <f ca="1">IF(AND(ISNUMBER($BB$785),$B$419=1),$BB$785,HLOOKUP(INDIRECT(ADDRESS(2,COLUMN())),OFFSET($BN$2,0,0,ROW()-1,60),ROW()-1,FALSE))</f>
        <v>293.31900000000002</v>
      </c>
      <c r="BC345" t="str">
        <f ca="1">IF(AND(ISNUMBER($BC$785),$B$419=1),$BC$785,HLOOKUP(INDIRECT(ADDRESS(2,COLUMN())),OFFSET($BN$2,0,0,ROW()-1,60),ROW()-1,FALSE))</f>
        <v/>
      </c>
      <c r="BD345" t="str">
        <f ca="1">IF(AND(ISNUMBER($BD$785),$B$419=1),$BD$785,HLOOKUP(INDIRECT(ADDRESS(2,COLUMN())),OFFSET($BN$2,0,0,ROW()-1,60),ROW()-1,FALSE))</f>
        <v/>
      </c>
      <c r="BE345" t="str">
        <f ca="1">IF(AND(ISNUMBER($BE$785),$B$419=1),$BE$785,HLOOKUP(INDIRECT(ADDRESS(2,COLUMN())),OFFSET($BN$2,0,0,ROW()-1,60),ROW()-1,FALSE))</f>
        <v/>
      </c>
      <c r="BF345" t="str">
        <f ca="1">IF(AND(ISNUMBER($BF$785),$B$419=1),$BF$785,HLOOKUP(INDIRECT(ADDRESS(2,COLUMN())),OFFSET($BN$2,0,0,ROW()-1,60),ROW()-1,FALSE))</f>
        <v/>
      </c>
      <c r="BG345" t="str">
        <f ca="1">IF(AND(ISNUMBER($BG$785),$B$419=1),$BG$785,HLOOKUP(INDIRECT(ADDRESS(2,COLUMN())),OFFSET($BN$2,0,0,ROW()-1,60),ROW()-1,FALSE))</f>
        <v/>
      </c>
      <c r="BH345" t="str">
        <f ca="1">IF(AND(ISNUMBER($BH$785),$B$419=1),$BH$785,HLOOKUP(INDIRECT(ADDRESS(2,COLUMN())),OFFSET($BN$2,0,0,ROW()-1,60),ROW()-1,FALSE))</f>
        <v/>
      </c>
      <c r="BI345" t="str">
        <f ca="1">IF(AND(ISNUMBER($BI$785),$B$419=1),$BI$785,HLOOKUP(INDIRECT(ADDRESS(2,COLUMN())),OFFSET($BN$2,0,0,ROW()-1,60),ROW()-1,FALSE))</f>
        <v/>
      </c>
      <c r="BJ345" t="str">
        <f ca="1">IF(AND(ISNUMBER($BJ$785),$B$419=1),$BJ$785,HLOOKUP(INDIRECT(ADDRESS(2,COLUMN())),OFFSET($BN$2,0,0,ROW()-1,60),ROW()-1,FALSE))</f>
        <v/>
      </c>
      <c r="BK345" t="str">
        <f ca="1">IF(AND(ISNUMBER($BK$785),$B$419=1),$BK$785,HLOOKUP(INDIRECT(ADDRESS(2,COLUMN())),OFFSET($BN$2,0,0,ROW()-1,60),ROW()-1,FALSE))</f>
        <v/>
      </c>
      <c r="BL345" t="str">
        <f ca="1">IF(AND(ISNUMBER($BL$785),$B$419=1),$BL$785,HLOOKUP(INDIRECT(ADDRESS(2,COLUMN())),OFFSET($BN$2,0,0,ROW()-1,60),ROW()-1,FALSE))</f>
        <v/>
      </c>
      <c r="BM345" t="str">
        <f ca="1">IF(AND(ISNUMBER($BM$785),$B$419=1),$BM$785,HLOOKUP(INDIRECT(ADDRESS(2,COLUMN())),OFFSET($BN$2,0,0,ROW()-1,60),ROW()-1,FALSE))</f>
        <v/>
      </c>
      <c r="BN345" t="str">
        <f>""</f>
        <v/>
      </c>
      <c r="BO345">
        <f>85.367</f>
        <v>85.367000000000004</v>
      </c>
      <c r="BP345">
        <f>12.415</f>
        <v>12.414999999999999</v>
      </c>
      <c r="BQ345">
        <f>230.132</f>
        <v>230.13200000000001</v>
      </c>
      <c r="BR345">
        <f>407.955</f>
        <v>407.95499999999998</v>
      </c>
      <c r="BS345">
        <f>451.572</f>
        <v>451.572</v>
      </c>
      <c r="BT345">
        <f>38.025</f>
        <v>38.024999999999999</v>
      </c>
      <c r="BU345">
        <f>238.481</f>
        <v>238.48099999999999</v>
      </c>
      <c r="BV345">
        <f>371.654</f>
        <v>371.654</v>
      </c>
      <c r="BW345">
        <f>776.481</f>
        <v>776.48099999999999</v>
      </c>
      <c r="BX345">
        <f>168.825</f>
        <v>168.82499999999999</v>
      </c>
      <c r="BY345">
        <f>406.604</f>
        <v>406.60399999999998</v>
      </c>
      <c r="BZ345">
        <f>433.654</f>
        <v>433.654</v>
      </c>
      <c r="CA345">
        <f>689.105</f>
        <v>689.10500000000002</v>
      </c>
      <c r="CB345">
        <f>6.5</f>
        <v>6.5</v>
      </c>
      <c r="CC345">
        <f>53.444</f>
        <v>53.444000000000003</v>
      </c>
      <c r="CD345">
        <f>359.6</f>
        <v>359.6</v>
      </c>
      <c r="CE345">
        <f>594.999</f>
        <v>594.99900000000002</v>
      </c>
      <c r="CF345">
        <f>100.1</f>
        <v>100.1</v>
      </c>
      <c r="CG345">
        <f>359.3</f>
        <v>359.3</v>
      </c>
      <c r="CH345">
        <f>441.4</f>
        <v>441.4</v>
      </c>
      <c r="CI345">
        <f>640.5</f>
        <v>640.5</v>
      </c>
      <c r="CJ345">
        <f>227.2</f>
        <v>227.2</v>
      </c>
      <c r="CK345">
        <f>249</f>
        <v>249</v>
      </c>
      <c r="CL345">
        <f>311.5</f>
        <v>311.5</v>
      </c>
      <c r="CM345">
        <f>423.6</f>
        <v>423.6</v>
      </c>
      <c r="CN345">
        <f>4.6</f>
        <v>4.5999999999999996</v>
      </c>
      <c r="CO345">
        <f>91.8</f>
        <v>91.8</v>
      </c>
      <c r="CP345">
        <f>112.2</f>
        <v>112.2</v>
      </c>
      <c r="CQ345">
        <f>147.4</f>
        <v>147.4</v>
      </c>
      <c r="CR345">
        <f>0</f>
        <v>0</v>
      </c>
      <c r="CS345">
        <f>52.2</f>
        <v>52.2</v>
      </c>
      <c r="CT345">
        <f>199.5</f>
        <v>199.5</v>
      </c>
      <c r="CU345">
        <f>380</f>
        <v>380</v>
      </c>
      <c r="CV345">
        <f>132.2</f>
        <v>132.19999999999999</v>
      </c>
      <c r="CW345">
        <f>151.5</f>
        <v>151.5</v>
      </c>
      <c r="CX345">
        <f>286.9</f>
        <v>286.89999999999998</v>
      </c>
      <c r="CY345">
        <f>553.7</f>
        <v>553.70000000000005</v>
      </c>
      <c r="CZ345">
        <f>166.371</f>
        <v>166.37100000000001</v>
      </c>
      <c r="DA345">
        <f>362.112</f>
        <v>362.11200000000002</v>
      </c>
      <c r="DB345">
        <f>470.309</f>
        <v>470.30900000000003</v>
      </c>
      <c r="DC345">
        <f>495.9</f>
        <v>495.9</v>
      </c>
      <c r="DD345">
        <f>371.975</f>
        <v>371.97500000000002</v>
      </c>
      <c r="DE345">
        <f>240.499</f>
        <v>240.499</v>
      </c>
      <c r="DF345">
        <f>386.851</f>
        <v>386.851</v>
      </c>
      <c r="DG345">
        <f>495.9</f>
        <v>495.9</v>
      </c>
      <c r="DH345">
        <f>131.881</f>
        <v>131.881</v>
      </c>
      <c r="DI345">
        <f>284.032</f>
        <v>284.03199999999998</v>
      </c>
      <c r="DJ345">
        <f>293.319</f>
        <v>293.31900000000002</v>
      </c>
      <c r="DK345" t="str">
        <f>""</f>
        <v/>
      </c>
      <c r="DL345" t="str">
        <f>""</f>
        <v/>
      </c>
      <c r="DM345" t="str">
        <f>""</f>
        <v/>
      </c>
      <c r="DN345" t="str">
        <f>""</f>
        <v/>
      </c>
      <c r="DO345" t="str">
        <f>""</f>
        <v/>
      </c>
      <c r="DP345" t="str">
        <f>""</f>
        <v/>
      </c>
      <c r="DQ345" t="str">
        <f>""</f>
        <v/>
      </c>
      <c r="DR345" t="str">
        <f>""</f>
        <v/>
      </c>
      <c r="DS345" t="str">
        <f>""</f>
        <v/>
      </c>
      <c r="DT345" t="str">
        <f>""</f>
        <v/>
      </c>
      <c r="DU345" t="str">
        <f>""</f>
        <v/>
      </c>
    </row>
    <row r="346" spans="1:125">
      <c r="A346" t="str">
        <f>"    National Retail Properties Inc"</f>
        <v xml:space="preserve">    National Retail Properties Inc</v>
      </c>
      <c r="B346" t="str">
        <f>"NNN US Equity"</f>
        <v>NNN US Equity</v>
      </c>
      <c r="C346" t="str">
        <f t="shared" si="63"/>
        <v>BS658</v>
      </c>
      <c r="D346" t="str">
        <f t="shared" si="64"/>
        <v>BS_YEAR_1_PRINCIPAL</v>
      </c>
      <c r="E346" t="str">
        <f t="shared" si="65"/>
        <v>动态</v>
      </c>
      <c r="F346" t="str">
        <f ca="1">IF(AND(ISNUMBER($F$786),$B$419=1),$F$786,HLOOKUP(INDIRECT(ADDRESS(2,COLUMN())),OFFSET($BN$2,0,0,ROW()-1,60),ROW()-1,FALSE))</f>
        <v/>
      </c>
      <c r="G346">
        <f ca="1">IF(AND(ISNUMBER($G$786),$B$419=1),$G$786,HLOOKUP(INDIRECT(ADDRESS(2,COLUMN())),OFFSET($BN$2,0,0,ROW()-1,60),ROW()-1,FALSE))</f>
        <v>0.623</v>
      </c>
      <c r="H346">
        <f ca="1">IF(AND(ISNUMBER($H$786),$B$419=1),$H$786,HLOOKUP(INDIRECT(ADDRESS(2,COLUMN())),OFFSET($BN$2,0,0,ROW()-1,60),ROW()-1,FALSE))</f>
        <v>250.14599999999999</v>
      </c>
      <c r="I346">
        <f ca="1">IF(AND(ISNUMBER($I$786),$B$419=1),$I$786,HLOOKUP(INDIRECT(ADDRESS(2,COLUMN())),OFFSET($BN$2,0,0,ROW()-1,60),ROW()-1,FALSE))</f>
        <v>250.26499999999999</v>
      </c>
      <c r="J346">
        <f ca="1">IF(AND(ISNUMBER($J$786),$B$419=1),$J$786,HLOOKUP(INDIRECT(ADDRESS(2,COLUMN())),OFFSET($BN$2,0,0,ROW()-1,60),ROW()-1,FALSE))</f>
        <v>250.38300000000001</v>
      </c>
      <c r="K346">
        <f ca="1">IF(AND(ISNUMBER($K$786),$B$419=1),$K$786,HLOOKUP(INDIRECT(ADDRESS(2,COLUMN())),OFFSET($BN$2,0,0,ROW()-1,60),ROW()-1,FALSE))</f>
        <v>250.50299999999999</v>
      </c>
      <c r="L346">
        <f ca="1">IF(AND(ISNUMBER($L$786),$B$419=1),$L$786,HLOOKUP(INDIRECT(ADDRESS(2,COLUMN())),OFFSET($BN$2,0,0,ROW()-1,60),ROW()-1,FALSE))</f>
        <v>0.16</v>
      </c>
      <c r="M346">
        <f ca="1">IF(AND(ISNUMBER($M$786),$B$419=1),$M$786,HLOOKUP(INDIRECT(ADDRESS(2,COLUMN())),OFFSET($BN$2,0,0,ROW()-1,60),ROW()-1,FALSE))</f>
        <v>0.33200000000000002</v>
      </c>
      <c r="N346">
        <f ca="1">IF(AND(ISNUMBER($N$786),$B$419=1),$N$786,HLOOKUP(INDIRECT(ADDRESS(2,COLUMN())),OFFSET($BN$2,0,0,ROW()-1,60),ROW()-1,FALSE))</f>
        <v>0.502</v>
      </c>
      <c r="O346">
        <f ca="1">IF(AND(ISNUMBER($O$786),$B$419=1),$O$786,HLOOKUP(INDIRECT(ADDRESS(2,COLUMN())),OFFSET($BN$2,0,0,ROW()-1,60),ROW()-1,FALSE))</f>
        <v>7.3440000000000003</v>
      </c>
      <c r="P346">
        <f ca="1">IF(AND(ISNUMBER($P$786),$B$419=1),$P$786,HLOOKUP(INDIRECT(ADDRESS(2,COLUMN())),OFFSET($BN$2,0,0,ROW()-1,60),ROW()-1,FALSE))</f>
        <v>150.41800000000001</v>
      </c>
      <c r="Q346">
        <f ca="1">IF(AND(ISNUMBER($Q$786),$B$419=1),$Q$786,HLOOKUP(INDIRECT(ADDRESS(2,COLUMN())),OFFSET($BN$2,0,0,ROW()-1,60),ROW()-1,FALSE))</f>
        <v>150.88900000000001</v>
      </c>
      <c r="R346">
        <f ca="1">IF(AND(ISNUMBER($R$786),$B$419=1),$R$786,HLOOKUP(INDIRECT(ADDRESS(2,COLUMN())),OFFSET($BN$2,0,0,ROW()-1,60),ROW()-1,FALSE))</f>
        <v>151.25399999999999</v>
      </c>
      <c r="S346">
        <f ca="1">IF(AND(ISNUMBER($S$786),$B$419=1),$S$786,HLOOKUP(INDIRECT(ADDRESS(2,COLUMN())),OFFSET($BN$2,0,0,ROW()-1,60),ROW()-1,FALSE))</f>
        <v>151.822</v>
      </c>
      <c r="T346">
        <f ca="1">IF(AND(ISNUMBER($T$786),$B$419=1),$T$786,HLOOKUP(INDIRECT(ADDRESS(2,COLUMN())),OFFSET($BN$2,0,0,ROW()-1,60),ROW()-1,FALSE))</f>
        <v>0.31900000000000001</v>
      </c>
      <c r="U346">
        <f ca="1">IF(AND(ISNUMBER($U$786),$B$419=1),$U$786,HLOOKUP(INDIRECT(ADDRESS(2,COLUMN())),OFFSET($BN$2,0,0,ROW()-1,60),ROW()-1,FALSE))</f>
        <v>0.57499999999999996</v>
      </c>
      <c r="V346">
        <f ca="1">IF(AND(ISNUMBER($V$786),$B$419=1),$V$786,HLOOKUP(INDIRECT(ADDRESS(2,COLUMN())),OFFSET($BN$2,0,0,ROW()-1,60),ROW()-1,FALSE))</f>
        <v>150.85300000000001</v>
      </c>
      <c r="W346">
        <f ca="1">IF(AND(ISNUMBER($W$786),$B$419=1),$W$786,HLOOKUP(INDIRECT(ADDRESS(2,COLUMN())),OFFSET($BN$2,0,0,ROW()-1,60),ROW()-1,FALSE))</f>
        <v>151.13300000000001</v>
      </c>
      <c r="X346">
        <f ca="1">IF(AND(ISNUMBER($X$786),$B$419=1),$X$786,HLOOKUP(INDIRECT(ADDRESS(2,COLUMN())),OFFSET($BN$2,0,0,ROW()-1,60),ROW()-1,FALSE))</f>
        <v>0.28899999999999998</v>
      </c>
      <c r="Y346">
        <f ca="1">IF(AND(ISNUMBER($Y$786),$B$419=1),$Y$786,HLOOKUP(INDIRECT(ADDRESS(2,COLUMN())),OFFSET($BN$2,0,0,ROW()-1,60),ROW()-1,FALSE))</f>
        <v>223.517</v>
      </c>
      <c r="Z346">
        <f ca="1">IF(AND(ISNUMBER($Z$786),$B$419=1),$Z$786,HLOOKUP(INDIRECT(ADDRESS(2,COLUMN())),OFFSET($BN$2,0,0,ROW()-1,60),ROW()-1,FALSE))</f>
        <v>222.93799999999999</v>
      </c>
      <c r="AA346">
        <f ca="1">IF(AND(ISNUMBER($AA$786),$B$419=1),$AA$786,HLOOKUP(INDIRECT(ADDRESS(2,COLUMN())),OFFSET($BN$2,0,0,ROW()-1,60),ROW()-1,FALSE))</f>
        <v>237.62700000000001</v>
      </c>
      <c r="AB346">
        <f ca="1">IF(AND(ISNUMBER($AB$786),$B$419=1),$AB$786,HLOOKUP(INDIRECT(ADDRESS(2,COLUMN())),OFFSET($BN$2,0,0,ROW()-1,60),ROW()-1,FALSE))</f>
        <v>0.27</v>
      </c>
      <c r="AC346">
        <f ca="1">IF(AND(ISNUMBER($AC$786),$B$419=1),$AC$786,HLOOKUP(INDIRECT(ADDRESS(2,COLUMN())),OFFSET($BN$2,0,0,ROW()-1,60),ROW()-1,FALSE))</f>
        <v>18.739000000000001</v>
      </c>
      <c r="AD346">
        <f ca="1">IF(AND(ISNUMBER($AD$786),$B$419=1),$AD$786,HLOOKUP(INDIRECT(ADDRESS(2,COLUMN())),OFFSET($BN$2,0,0,ROW()-1,60),ROW()-1,FALSE))</f>
        <v>68.995000000000005</v>
      </c>
      <c r="AE346">
        <f ca="1">IF(AND(ISNUMBER($AE$786),$B$419=1),$AE$786,HLOOKUP(INDIRECT(ADDRESS(2,COLUMN())),OFFSET($BN$2,0,0,ROW()-1,60),ROW()-1,FALSE))</f>
        <v>69.272999999999996</v>
      </c>
      <c r="AF346">
        <f ca="1">IF(AND(ISNUMBER($AF$786),$B$419=1),$AF$786,HLOOKUP(INDIRECT(ADDRESS(2,COLUMN())),OFFSET($BN$2,0,0,ROW()-1,60),ROW()-1,FALSE))</f>
        <v>0.28199999999999997</v>
      </c>
      <c r="AG346">
        <f ca="1">IF(AND(ISNUMBER($AG$786),$B$419=1),$AG$786,HLOOKUP(INDIRECT(ADDRESS(2,COLUMN())),OFFSET($BN$2,0,0,ROW()-1,60),ROW()-1,FALSE))</f>
        <v>138.68600000000001</v>
      </c>
      <c r="AH346">
        <f ca="1">IF(AND(ISNUMBER($AH$786),$B$419=1),$AH$786,HLOOKUP(INDIRECT(ADDRESS(2,COLUMN())),OFFSET($BN$2,0,0,ROW()-1,60),ROW()-1,FALSE))</f>
        <v>138.315</v>
      </c>
      <c r="AI346">
        <f ca="1">IF(AND(ISNUMBER($AI$786),$B$419=1),$AI$786,HLOOKUP(INDIRECT(ADDRESS(2,COLUMN())),OFFSET($BN$2,0,0,ROW()-1,60),ROW()-1,FALSE))</f>
        <v>137.95500000000001</v>
      </c>
      <c r="AJ346">
        <f ca="1">IF(AND(ISNUMBER($AJ$786),$B$419=1),$AJ$786,HLOOKUP(INDIRECT(ADDRESS(2,COLUMN())),OFFSET($BN$2,0,0,ROW()-1,60),ROW()-1,FALSE))</f>
        <v>0.26300000000000001</v>
      </c>
      <c r="AK346">
        <f ca="1">IF(AND(ISNUMBER($AK$786),$B$419=1),$AK$786,HLOOKUP(INDIRECT(ADDRESS(2,COLUMN())),OFFSET($BN$2,0,0,ROW()-1,60),ROW()-1,FALSE))</f>
        <v>25.916</v>
      </c>
      <c r="AL346">
        <f ca="1">IF(AND(ISNUMBER($AL$786),$B$419=1),$AL$786,HLOOKUP(INDIRECT(ADDRESS(2,COLUMN())),OFFSET($BN$2,0,0,ROW()-1,60),ROW()-1,FALSE))</f>
        <v>26.192</v>
      </c>
      <c r="AM346">
        <f ca="1">IF(AND(ISNUMBER($AM$786),$B$419=1),$AM$786,HLOOKUP(INDIRECT(ADDRESS(2,COLUMN())),OFFSET($BN$2,0,0,ROW()-1,60),ROW()-1,FALSE))</f>
        <v>21.009</v>
      </c>
      <c r="AN346">
        <f ca="1">IF(AND(ISNUMBER($AN$786),$B$419=1),$AN$786,HLOOKUP(INDIRECT(ADDRESS(2,COLUMN())),OFFSET($BN$2,0,0,ROW()-1,60),ROW()-1,FALSE))</f>
        <v>0.25900000000000001</v>
      </c>
      <c r="AO346">
        <f ca="1">IF(AND(ISNUMBER($AO$786),$B$419=1),$AO$786,HLOOKUP(INDIRECT(ADDRESS(2,COLUMN())),OFFSET($BN$2,0,0,ROW()-1,60),ROW()-1,FALSE))</f>
        <v>0.50800000000000001</v>
      </c>
      <c r="AP346">
        <f ca="1">IF(AND(ISNUMBER($AP$786),$B$419=1),$AP$786,HLOOKUP(INDIRECT(ADDRESS(2,COLUMN())),OFFSET($BN$2,0,0,ROW()-1,60),ROW()-1,FALSE))</f>
        <v>0.753</v>
      </c>
      <c r="AQ346">
        <f ca="1">IF(AND(ISNUMBER($AQ$786),$B$419=1),$AQ$786,HLOOKUP(INDIRECT(ADDRESS(2,COLUMN())),OFFSET($BN$2,0,0,ROW()-1,60),ROW()-1,FALSE))</f>
        <v>1.0009999999999999</v>
      </c>
      <c r="AR346">
        <f ca="1">IF(AND(ISNUMBER($AR$786),$B$419=1),$AR$786,HLOOKUP(INDIRECT(ADDRESS(2,COLUMN())),OFFSET($BN$2,0,0,ROW()-1,60),ROW()-1,FALSE))</f>
        <v>0.308</v>
      </c>
      <c r="AS346">
        <f ca="1">IF(AND(ISNUMBER($AS$786),$B$419=1),$AS$786,HLOOKUP(INDIRECT(ADDRESS(2,COLUMN())),OFFSET($BN$2,0,0,ROW()-1,60),ROW()-1,FALSE))</f>
        <v>0.60699999999999998</v>
      </c>
      <c r="AT346">
        <f ca="1">IF(AND(ISNUMBER($AT$786),$B$419=1),$AT$786,HLOOKUP(INDIRECT(ADDRESS(2,COLUMN())),OFFSET($BN$2,0,0,ROW()-1,60),ROW()-1,FALSE))</f>
        <v>0.89900000000000002</v>
      </c>
      <c r="AU346">
        <f ca="1">IF(AND(ISNUMBER($AU$786),$B$419=1),$AU$786,HLOOKUP(INDIRECT(ADDRESS(2,COLUMN())),OFFSET($BN$2,0,0,ROW()-1,60),ROW()-1,FALSE))</f>
        <v>113.19</v>
      </c>
      <c r="AV346">
        <f ca="1">IF(AND(ISNUMBER($AV$786),$B$419=1),$AV$786,HLOOKUP(INDIRECT(ADDRESS(2,COLUMN())),OFFSET($BN$2,0,0,ROW()-1,60),ROW()-1,FALSE))</f>
        <v>10.786</v>
      </c>
      <c r="AW346">
        <f ca="1">IF(AND(ISNUMBER($AW$786),$B$419=1),$AW$786,HLOOKUP(INDIRECT(ADDRESS(2,COLUMN())),OFFSET($BN$2,0,0,ROW()-1,60),ROW()-1,FALSE))</f>
        <v>18.010999680000001</v>
      </c>
      <c r="AX346">
        <f ca="1">IF(AND(ISNUMBER($AX$786),$B$419=1),$AX$786,HLOOKUP(INDIRECT(ADDRESS(2,COLUMN())),OFFSET($BN$2,0,0,ROW()-1,60),ROW()-1,FALSE))</f>
        <v>18.462</v>
      </c>
      <c r="AY346">
        <f ca="1">IF(AND(ISNUMBER($AY$786),$B$419=1),$AY$786,HLOOKUP(INDIRECT(ADDRESS(2,COLUMN())),OFFSET($BN$2,0,0,ROW()-1,60),ROW()-1,FALSE))</f>
        <v>20.913000109999999</v>
      </c>
      <c r="AZ346">
        <f ca="1">IF(AND(ISNUMBER($AZ$786),$B$419=1),$AZ$786,HLOOKUP(INDIRECT(ADDRESS(2,COLUMN())),OFFSET($BN$2,0,0,ROW()-1,60),ROW()-1,FALSE))</f>
        <v>2.1890000000000001</v>
      </c>
      <c r="BA346">
        <f ca="1">IF(AND(ISNUMBER($BA$786),$B$419=1),$BA$786,HLOOKUP(INDIRECT(ADDRESS(2,COLUMN())),OFFSET($BN$2,0,0,ROW()-1,60),ROW()-1,FALSE))</f>
        <v>2.6150000100000002</v>
      </c>
      <c r="BB346">
        <f ca="1">IF(AND(ISNUMBER($BB$786),$B$419=1),$BB$786,HLOOKUP(INDIRECT(ADDRESS(2,COLUMN())),OFFSET($BN$2,0,0,ROW()-1,60),ROW()-1,FALSE))</f>
        <v>5.0339999999999998</v>
      </c>
      <c r="BC346">
        <f ca="1">IF(AND(ISNUMBER($BC$786),$B$419=1),$BC$786,HLOOKUP(INDIRECT(ADDRESS(2,COLUMN())),OFFSET($BN$2,0,0,ROW()-1,60),ROW()-1,FALSE))</f>
        <v>23.990999219999999</v>
      </c>
      <c r="BD346">
        <f ca="1">IF(AND(ISNUMBER($BD$786),$B$419=1),$BD$786,HLOOKUP(INDIRECT(ADDRESS(2,COLUMN())),OFFSET($BN$2,0,0,ROW()-1,60),ROW()-1,FALSE))</f>
        <v>2.6600000860000002</v>
      </c>
      <c r="BE346">
        <f ca="1">IF(AND(ISNUMBER($BE$786),$B$419=1),$BE$786,HLOOKUP(INDIRECT(ADDRESS(2,COLUMN())),OFFSET($BN$2,0,0,ROW()-1,60),ROW()-1,FALSE))</f>
        <v>3.7300000190000002</v>
      </c>
      <c r="BF346">
        <f ca="1">IF(AND(ISNUMBER($BF$786),$B$419=1),$BF$786,HLOOKUP(INDIRECT(ADDRESS(2,COLUMN())),OFFSET($BN$2,0,0,ROW()-1,60),ROW()-1,FALSE))</f>
        <v>4.07</v>
      </c>
      <c r="BG346">
        <f ca="1">IF(AND(ISNUMBER($BG$786),$B$419=1),$BG$786,HLOOKUP(INDIRECT(ADDRESS(2,COLUMN())),OFFSET($BN$2,0,0,ROW()-1,60),ROW()-1,FALSE))</f>
        <v>4.07</v>
      </c>
      <c r="BH346" t="str">
        <f ca="1">IF(AND(ISNUMBER($BH$786),$B$419=1),$BH$786,HLOOKUP(INDIRECT(ADDRESS(2,COLUMN())),OFFSET($BN$2,0,0,ROW()-1,60),ROW()-1,FALSE))</f>
        <v/>
      </c>
      <c r="BI346">
        <f ca="1">IF(AND(ISNUMBER($BI$786),$B$419=1),$BI$786,HLOOKUP(INDIRECT(ADDRESS(2,COLUMN())),OFFSET($BN$2,0,0,ROW()-1,60),ROW()-1,FALSE))</f>
        <v>22.103000000000002</v>
      </c>
      <c r="BJ346" t="str">
        <f ca="1">IF(AND(ISNUMBER($BJ$786),$B$419=1),$BJ$786,HLOOKUP(INDIRECT(ADDRESS(2,COLUMN())),OFFSET($BN$2,0,0,ROW()-1,60),ROW()-1,FALSE))</f>
        <v/>
      </c>
      <c r="BK346">
        <f ca="1">IF(AND(ISNUMBER($BK$786),$B$419=1),$BK$786,HLOOKUP(INDIRECT(ADDRESS(2,COLUMN())),OFFSET($BN$2,0,0,ROW()-1,60),ROW()-1,FALSE))</f>
        <v>123.158</v>
      </c>
      <c r="BL346" t="str">
        <f ca="1">IF(AND(ISNUMBER($BL$786),$B$419=1),$BL$786,HLOOKUP(INDIRECT(ADDRESS(2,COLUMN())),OFFSET($BN$2,0,0,ROW()-1,60),ROW()-1,FALSE))</f>
        <v/>
      </c>
      <c r="BM346" t="str">
        <f ca="1">IF(AND(ISNUMBER($BM$786),$B$419=1),$BM$786,HLOOKUP(INDIRECT(ADDRESS(2,COLUMN())),OFFSET($BN$2,0,0,ROW()-1,60),ROW()-1,FALSE))</f>
        <v/>
      </c>
      <c r="BN346" t="str">
        <f>""</f>
        <v/>
      </c>
      <c r="BO346">
        <f>0.623</f>
        <v>0.623</v>
      </c>
      <c r="BP346">
        <f>250.146</f>
        <v>250.14599999999999</v>
      </c>
      <c r="BQ346">
        <f>250.265</f>
        <v>250.26499999999999</v>
      </c>
      <c r="BR346">
        <f>250.383</f>
        <v>250.38300000000001</v>
      </c>
      <c r="BS346">
        <f>250.503</f>
        <v>250.50299999999999</v>
      </c>
      <c r="BT346">
        <f>0.16</f>
        <v>0.16</v>
      </c>
      <c r="BU346">
        <f>0.332</f>
        <v>0.33200000000000002</v>
      </c>
      <c r="BV346">
        <f>0.502</f>
        <v>0.502</v>
      </c>
      <c r="BW346">
        <f>7.344</f>
        <v>7.3440000000000003</v>
      </c>
      <c r="BX346">
        <f>150.418</f>
        <v>150.41800000000001</v>
      </c>
      <c r="BY346">
        <f>150.889</f>
        <v>150.88900000000001</v>
      </c>
      <c r="BZ346">
        <f>151.254</f>
        <v>151.25399999999999</v>
      </c>
      <c r="CA346">
        <f>151.822</f>
        <v>151.822</v>
      </c>
      <c r="CB346">
        <f>0.319</f>
        <v>0.31900000000000001</v>
      </c>
      <c r="CC346">
        <f>0.575</f>
        <v>0.57499999999999996</v>
      </c>
      <c r="CD346">
        <f>150.853</f>
        <v>150.85300000000001</v>
      </c>
      <c r="CE346">
        <f>151.133</f>
        <v>151.13300000000001</v>
      </c>
      <c r="CF346">
        <f>0.289</f>
        <v>0.28899999999999998</v>
      </c>
      <c r="CG346">
        <f>223.517</f>
        <v>223.517</v>
      </c>
      <c r="CH346">
        <f>222.938</f>
        <v>222.93799999999999</v>
      </c>
      <c r="CI346">
        <f>237.627</f>
        <v>237.62700000000001</v>
      </c>
      <c r="CJ346">
        <f>0.27</f>
        <v>0.27</v>
      </c>
      <c r="CK346">
        <f>18.739</f>
        <v>18.739000000000001</v>
      </c>
      <c r="CL346">
        <f>68.995</f>
        <v>68.995000000000005</v>
      </c>
      <c r="CM346">
        <f>69.273</f>
        <v>69.272999999999996</v>
      </c>
      <c r="CN346">
        <f>0.282</f>
        <v>0.28199999999999997</v>
      </c>
      <c r="CO346">
        <f>138.686</f>
        <v>138.68600000000001</v>
      </c>
      <c r="CP346">
        <f>138.315</f>
        <v>138.315</v>
      </c>
      <c r="CQ346">
        <f>137.955</f>
        <v>137.95500000000001</v>
      </c>
      <c r="CR346">
        <f>0.263</f>
        <v>0.26300000000000001</v>
      </c>
      <c r="CS346">
        <f>25.916</f>
        <v>25.916</v>
      </c>
      <c r="CT346">
        <f>26.192</f>
        <v>26.192</v>
      </c>
      <c r="CU346">
        <f>21.009</f>
        <v>21.009</v>
      </c>
      <c r="CV346">
        <f>0.259</f>
        <v>0.25900000000000001</v>
      </c>
      <c r="CW346">
        <f>0.508</f>
        <v>0.50800000000000001</v>
      </c>
      <c r="CX346">
        <f>0.753</f>
        <v>0.753</v>
      </c>
      <c r="CY346">
        <f>1.001</f>
        <v>1.0009999999999999</v>
      </c>
      <c r="CZ346">
        <f>0.308</f>
        <v>0.308</v>
      </c>
      <c r="DA346">
        <f>0.607</f>
        <v>0.60699999999999998</v>
      </c>
      <c r="DB346">
        <f>0.899</f>
        <v>0.89900000000000002</v>
      </c>
      <c r="DC346">
        <f>113.19</f>
        <v>113.19</v>
      </c>
      <c r="DD346">
        <f>10.786</f>
        <v>10.786</v>
      </c>
      <c r="DE346">
        <f>18.01099968</f>
        <v>18.010999680000001</v>
      </c>
      <c r="DF346">
        <f>18.462</f>
        <v>18.462</v>
      </c>
      <c r="DG346">
        <f>20.91300011</f>
        <v>20.913000109999999</v>
      </c>
      <c r="DH346">
        <f>2.189</f>
        <v>2.1890000000000001</v>
      </c>
      <c r="DI346">
        <f>2.61500001</f>
        <v>2.6150000100000002</v>
      </c>
      <c r="DJ346">
        <f>5.034</f>
        <v>5.0339999999999998</v>
      </c>
      <c r="DK346">
        <f>23.99099922</f>
        <v>23.990999219999999</v>
      </c>
      <c r="DL346">
        <f>2.660000086</f>
        <v>2.6600000860000002</v>
      </c>
      <c r="DM346">
        <f>3.730000019</f>
        <v>3.7300000190000002</v>
      </c>
      <c r="DN346">
        <f>4.07</f>
        <v>4.07</v>
      </c>
      <c r="DO346">
        <f>4.07</f>
        <v>4.07</v>
      </c>
      <c r="DP346" t="str">
        <f>""</f>
        <v/>
      </c>
      <c r="DQ346">
        <f>22.103</f>
        <v>22.103000000000002</v>
      </c>
      <c r="DR346" t="str">
        <f>""</f>
        <v/>
      </c>
      <c r="DS346">
        <f>123.158</f>
        <v>123.158</v>
      </c>
      <c r="DT346" t="str">
        <f>""</f>
        <v/>
      </c>
      <c r="DU346" t="str">
        <f>""</f>
        <v/>
      </c>
    </row>
    <row r="347" spans="1:125">
      <c r="A347" t="str">
        <f>"    Realty Income Corp"</f>
        <v xml:space="preserve">    Realty Income Corp</v>
      </c>
      <c r="B347" t="str">
        <f>"O US Equity"</f>
        <v>O US Equity</v>
      </c>
      <c r="C347" t="str">
        <f t="shared" si="63"/>
        <v>BS658</v>
      </c>
      <c r="D347" t="str">
        <f t="shared" si="64"/>
        <v>BS_YEAR_1_PRINCIPAL</v>
      </c>
      <c r="E347" t="str">
        <f t="shared" si="65"/>
        <v>动态</v>
      </c>
      <c r="F347" t="str">
        <f ca="1">IF(AND(ISNUMBER($F$787),$B$419=1),$F$787,HLOOKUP(INDIRECT(ADDRESS(2,COLUMN())),OFFSET($BN$2,0,0,ROW()-1,60),ROW()-1,FALSE))</f>
        <v/>
      </c>
      <c r="G347">
        <f ca="1">IF(AND(ISNUMBER($G$787),$B$419=1),$G$787,HLOOKUP(INDIRECT(ADDRESS(2,COLUMN())),OFFSET($BN$2,0,0,ROW()-1,60),ROW()-1,FALSE))</f>
        <v>567.79999999999995</v>
      </c>
      <c r="H347">
        <f ca="1">IF(AND(ISNUMBER($H$787),$B$419=1),$H$787,HLOOKUP(INDIRECT(ADDRESS(2,COLUMN())),OFFSET($BN$2,0,0,ROW()-1,60),ROW()-1,FALSE))</f>
        <v>1.3</v>
      </c>
      <c r="I347">
        <f ca="1">IF(AND(ISNUMBER($I$787),$B$419=1),$I$787,HLOOKUP(INDIRECT(ADDRESS(2,COLUMN())),OFFSET($BN$2,0,0,ROW()-1,60),ROW()-1,FALSE))</f>
        <v>213.3</v>
      </c>
      <c r="J347">
        <f ca="1">IF(AND(ISNUMBER($J$787),$B$419=1),$J$787,HLOOKUP(INDIRECT(ADDRESS(2,COLUMN())),OFFSET($BN$2,0,0,ROW()-1,60),ROW()-1,FALSE))</f>
        <v>276.10000000000002</v>
      </c>
      <c r="K347">
        <f ca="1">IF(AND(ISNUMBER($K$787),$B$419=1),$K$787,HLOOKUP(INDIRECT(ADDRESS(2,COLUMN())),OFFSET($BN$2,0,0,ROW()-1,60),ROW()-1,FALSE))</f>
        <v>278.2</v>
      </c>
      <c r="L347">
        <f ca="1">IF(AND(ISNUMBER($L$787),$B$419=1),$L$787,HLOOKUP(INDIRECT(ADDRESS(2,COLUMN())),OFFSET($BN$2,0,0,ROW()-1,60),ROW()-1,FALSE))</f>
        <v>36.299999999999997</v>
      </c>
      <c r="M347">
        <f ca="1">IF(AND(ISNUMBER($M$787),$B$419=1),$M$787,HLOOKUP(INDIRECT(ADDRESS(2,COLUMN())),OFFSET($BN$2,0,0,ROW()-1,60),ROW()-1,FALSE))</f>
        <v>279.8</v>
      </c>
      <c r="N347">
        <f ca="1">IF(AND(ISNUMBER($N$787),$B$419=1),$N$787,HLOOKUP(INDIRECT(ADDRESS(2,COLUMN())),OFFSET($BN$2,0,0,ROW()-1,60),ROW()-1,FALSE))</f>
        <v>296.7</v>
      </c>
      <c r="O347">
        <f ca="1">IF(AND(ISNUMBER($O$787),$B$419=1),$O$787,HLOOKUP(INDIRECT(ADDRESS(2,COLUMN())),OFFSET($BN$2,0,0,ROW()-1,60),ROW()-1,FALSE))</f>
        <v>445.1</v>
      </c>
      <c r="P347">
        <f ca="1">IF(AND(ISNUMBER($P$787),$B$419=1),$P$787,HLOOKUP(INDIRECT(ADDRESS(2,COLUMN())),OFFSET($BN$2,0,0,ROW()-1,60),ROW()-1,FALSE))</f>
        <v>151.9</v>
      </c>
      <c r="Q347">
        <f ca="1">IF(AND(ISNUMBER($Q$787),$B$419=1),$Q$787,HLOOKUP(INDIRECT(ADDRESS(2,COLUMN())),OFFSET($BN$2,0,0,ROW()-1,60),ROW()-1,FALSE))</f>
        <v>190.4</v>
      </c>
      <c r="R347">
        <f ca="1">IF(AND(ISNUMBER($R$787),$B$419=1),$R$787,HLOOKUP(INDIRECT(ADDRESS(2,COLUMN())),OFFSET($BN$2,0,0,ROW()-1,60),ROW()-1,FALSE))</f>
        <v>218.4</v>
      </c>
      <c r="S347">
        <f ca="1">IF(AND(ISNUMBER($S$787),$B$419=1),$S$787,HLOOKUP(INDIRECT(ADDRESS(2,COLUMN())),OFFSET($BN$2,0,0,ROW()-1,60),ROW()-1,FALSE))</f>
        <v>119.85</v>
      </c>
      <c r="T347">
        <f ca="1">IF(AND(ISNUMBER($T$787),$B$419=1),$T$787,HLOOKUP(INDIRECT(ADDRESS(2,COLUMN())),OFFSET($BN$2,0,0,ROW()-1,60),ROW()-1,FALSE))</f>
        <v>7.6</v>
      </c>
      <c r="U347">
        <f ca="1">IF(AND(ISNUMBER($U$787),$B$419=1),$U$787,HLOOKUP(INDIRECT(ADDRESS(2,COLUMN())),OFFSET($BN$2,0,0,ROW()-1,60),ROW()-1,FALSE))</f>
        <v>57.4</v>
      </c>
      <c r="V347">
        <f ca="1">IF(AND(ISNUMBER($V$787),$B$419=1),$V$787,HLOOKUP(INDIRECT(ADDRESS(2,COLUMN())),OFFSET($BN$2,0,0,ROW()-1,60),ROW()-1,FALSE))</f>
        <v>48.1</v>
      </c>
      <c r="W347">
        <f ca="1">IF(AND(ISNUMBER($W$787),$B$419=1),$W$787,HLOOKUP(INDIRECT(ADDRESS(2,COLUMN())),OFFSET($BN$2,0,0,ROW()-1,60),ROW()-1,FALSE))</f>
        <v>0</v>
      </c>
      <c r="X347">
        <f ca="1">IF(AND(ISNUMBER($X$787),$B$419=1),$X$787,HLOOKUP(INDIRECT(ADDRESS(2,COLUMN())),OFFSET($BN$2,0,0,ROW()-1,60),ROW()-1,FALSE))</f>
        <v>10.7</v>
      </c>
      <c r="Y347">
        <f ca="1">IF(AND(ISNUMBER($Y$787),$B$419=1),$Y$787,HLOOKUP(INDIRECT(ADDRESS(2,COLUMN())),OFFSET($BN$2,0,0,ROW()-1,60),ROW()-1,FALSE))</f>
        <v>0</v>
      </c>
      <c r="Z347">
        <f ca="1">IF(AND(ISNUMBER($Z$787),$B$419=1),$Z$787,HLOOKUP(INDIRECT(ADDRESS(2,COLUMN())),OFFSET($BN$2,0,0,ROW()-1,60),ROW()-1,FALSE))</f>
        <v>24.8</v>
      </c>
      <c r="AA347">
        <f ca="1">IF(AND(ISNUMBER($AA$787),$B$419=1),$AA$787,HLOOKUP(INDIRECT(ADDRESS(2,COLUMN())),OFFSET($BN$2,0,0,ROW()-1,60),ROW()-1,FALSE))</f>
        <v>100</v>
      </c>
      <c r="AB347">
        <f ca="1">IF(AND(ISNUMBER($AB$787),$B$419=1),$AB$787,HLOOKUP(INDIRECT(ADDRESS(2,COLUMN())),OFFSET($BN$2,0,0,ROW()-1,60),ROW()-1,FALSE))</f>
        <v>0.5</v>
      </c>
      <c r="AC347">
        <f ca="1">IF(AND(ISNUMBER($AC$787),$B$419=1),$AC$787,HLOOKUP(INDIRECT(ADDRESS(2,COLUMN())),OFFSET($BN$2,0,0,ROW()-1,60),ROW()-1,FALSE))</f>
        <v>0</v>
      </c>
      <c r="AD347">
        <f ca="1">IF(AND(ISNUMBER($AD$787),$B$419=1),$AD$787,HLOOKUP(INDIRECT(ADDRESS(2,COLUMN())),OFFSET($BN$2,0,0,ROW()-1,60),ROW()-1,FALSE))</f>
        <v>0.4</v>
      </c>
      <c r="AE347">
        <f ca="1">IF(AND(ISNUMBER($AE$787),$B$419=1),$AE$787,HLOOKUP(INDIRECT(ADDRESS(2,COLUMN())),OFFSET($BN$2,0,0,ROW()-1,60),ROW()-1,FALSE))</f>
        <v>11.3</v>
      </c>
      <c r="AF347">
        <f ca="1">IF(AND(ISNUMBER($AF$787),$B$419=1),$AF$787,HLOOKUP(INDIRECT(ADDRESS(2,COLUMN())),OFFSET($BN$2,0,0,ROW()-1,60),ROW()-1,FALSE))</f>
        <v>0.2</v>
      </c>
      <c r="AG347">
        <f ca="1">IF(AND(ISNUMBER($AG$787),$B$419=1),$AG$787,HLOOKUP(INDIRECT(ADDRESS(2,COLUMN())),OFFSET($BN$2,0,0,ROW()-1,60),ROW()-1,FALSE))</f>
        <v>0</v>
      </c>
      <c r="AH347">
        <f ca="1">IF(AND(ISNUMBER($AH$787),$B$419=1),$AH$787,HLOOKUP(INDIRECT(ADDRESS(2,COLUMN())),OFFSET($BN$2,0,0,ROW()-1,60),ROW()-1,FALSE))</f>
        <v>0</v>
      </c>
      <c r="AI347">
        <f ca="1">IF(AND(ISNUMBER($AI$787),$B$419=1),$AI$787,HLOOKUP(INDIRECT(ADDRESS(2,COLUMN())),OFFSET($BN$2,0,0,ROW()-1,60),ROW()-1,FALSE))</f>
        <v>0</v>
      </c>
      <c r="AJ347">
        <f ca="1">IF(AND(ISNUMBER($AJ$787),$B$419=1),$AJ$787,HLOOKUP(INDIRECT(ADDRESS(2,COLUMN())),OFFSET($BN$2,0,0,ROW()-1,60),ROW()-1,FALSE))</f>
        <v>0</v>
      </c>
      <c r="AK347">
        <f ca="1">IF(AND(ISNUMBER($AK$787),$B$419=1),$AK$787,HLOOKUP(INDIRECT(ADDRESS(2,COLUMN())),OFFSET($BN$2,0,0,ROW()-1,60),ROW()-1,FALSE))</f>
        <v>0</v>
      </c>
      <c r="AL347">
        <f ca="1">IF(AND(ISNUMBER($AL$787),$B$419=1),$AL$787,HLOOKUP(INDIRECT(ADDRESS(2,COLUMN())),OFFSET($BN$2,0,0,ROW()-1,60),ROW()-1,FALSE))</f>
        <v>0</v>
      </c>
      <c r="AM347">
        <f ca="1">IF(AND(ISNUMBER($AM$787),$B$419=1),$AM$787,HLOOKUP(INDIRECT(ADDRESS(2,COLUMN())),OFFSET($BN$2,0,0,ROW()-1,60),ROW()-1,FALSE))</f>
        <v>82.4</v>
      </c>
      <c r="AN347">
        <f ca="1">IF(AND(ISNUMBER($AN$787),$B$419=1),$AN$787,HLOOKUP(INDIRECT(ADDRESS(2,COLUMN())),OFFSET($BN$2,0,0,ROW()-1,60),ROW()-1,FALSE))</f>
        <v>0</v>
      </c>
      <c r="AO347">
        <f ca="1">IF(AND(ISNUMBER($AO$787),$B$419=1),$AO$787,HLOOKUP(INDIRECT(ADDRESS(2,COLUMN())),OFFSET($BN$2,0,0,ROW()-1,60),ROW()-1,FALSE))</f>
        <v>0</v>
      </c>
      <c r="AP347">
        <f ca="1">IF(AND(ISNUMBER($AP$787),$B$419=1),$AP$787,HLOOKUP(INDIRECT(ADDRESS(2,COLUMN())),OFFSET($BN$2,0,0,ROW()-1,60),ROW()-1,FALSE))</f>
        <v>0</v>
      </c>
      <c r="AQ347">
        <f ca="1">IF(AND(ISNUMBER($AQ$787),$B$419=1),$AQ$787,HLOOKUP(INDIRECT(ADDRESS(2,COLUMN())),OFFSET($BN$2,0,0,ROW()-1,60),ROW()-1,FALSE))</f>
        <v>20</v>
      </c>
      <c r="AR347">
        <f ca="1">IF(AND(ISNUMBER($AR$787),$B$419=1),$AR$787,HLOOKUP(INDIRECT(ADDRESS(2,COLUMN())),OFFSET($BN$2,0,0,ROW()-1,60),ROW()-1,FALSE))</f>
        <v>100</v>
      </c>
      <c r="AS347">
        <f ca="1">IF(AND(ISNUMBER($AS$787),$B$419=1),$AS$787,HLOOKUP(INDIRECT(ADDRESS(2,COLUMN())),OFFSET($BN$2,0,0,ROW()-1,60),ROW()-1,FALSE))</f>
        <v>100</v>
      </c>
      <c r="AT347">
        <f ca="1">IF(AND(ISNUMBER($AT$787),$B$419=1),$AT$787,HLOOKUP(INDIRECT(ADDRESS(2,COLUMN())),OFFSET($BN$2,0,0,ROW()-1,60),ROW()-1,FALSE))</f>
        <v>100</v>
      </c>
      <c r="AU347">
        <f ca="1">IF(AND(ISNUMBER($AU$787),$B$419=1),$AU$787,HLOOKUP(INDIRECT(ADDRESS(2,COLUMN())),OFFSET($BN$2,0,0,ROW()-1,60),ROW()-1,FALSE))</f>
        <v>100</v>
      </c>
      <c r="AV347" t="str">
        <f ca="1">IF(AND(ISNUMBER($AV$787),$B$419=1),$AV$787,HLOOKUP(INDIRECT(ADDRESS(2,COLUMN())),OFFSET($BN$2,0,0,ROW()-1,60),ROW()-1,FALSE))</f>
        <v/>
      </c>
      <c r="AW347" t="str">
        <f ca="1">IF(AND(ISNUMBER($AW$787),$B$419=1),$AW$787,HLOOKUP(INDIRECT(ADDRESS(2,COLUMN())),OFFSET($BN$2,0,0,ROW()-1,60),ROW()-1,FALSE))</f>
        <v/>
      </c>
      <c r="AX347">
        <f ca="1">IF(AND(ISNUMBER($AX$787),$B$419=1),$AX$787,HLOOKUP(INDIRECT(ADDRESS(2,COLUMN())),OFFSET($BN$2,0,0,ROW()-1,60),ROW()-1,FALSE))</f>
        <v>63.7</v>
      </c>
      <c r="AY347">
        <f ca="1">IF(AND(ISNUMBER($AY$787),$B$419=1),$AY$787,HLOOKUP(INDIRECT(ADDRESS(2,COLUMN())),OFFSET($BN$2,0,0,ROW()-1,60),ROW()-1,FALSE))</f>
        <v>72.3</v>
      </c>
      <c r="AZ347">
        <f ca="1">IF(AND(ISNUMBER($AZ$787),$B$419=1),$AZ$787,HLOOKUP(INDIRECT(ADDRESS(2,COLUMN())),OFFSET($BN$2,0,0,ROW()-1,60),ROW()-1,FALSE))</f>
        <v>40.1</v>
      </c>
      <c r="BA347" t="str">
        <f ca="1">IF(AND(ISNUMBER($BA$787),$B$419=1),$BA$787,HLOOKUP(INDIRECT(ADDRESS(2,COLUMN())),OFFSET($BN$2,0,0,ROW()-1,60),ROW()-1,FALSE))</f>
        <v/>
      </c>
      <c r="BB347">
        <f ca="1">IF(AND(ISNUMBER($BB$787),$B$419=1),$BB$787,HLOOKUP(INDIRECT(ADDRESS(2,COLUMN())),OFFSET($BN$2,0,0,ROW()-1,60),ROW()-1,FALSE))</f>
        <v>72.400000000000006</v>
      </c>
      <c r="BC347">
        <f ca="1">IF(AND(ISNUMBER($BC$787),$B$419=1),$BC$787,HLOOKUP(INDIRECT(ADDRESS(2,COLUMN())),OFFSET($BN$2,0,0,ROW()-1,60),ROW()-1,FALSE))</f>
        <v>72.3</v>
      </c>
      <c r="BD347" t="str">
        <f ca="1">IF(AND(ISNUMBER($BD$787),$B$419=1),$BD$787,HLOOKUP(INDIRECT(ADDRESS(2,COLUMN())),OFFSET($BN$2,0,0,ROW()-1,60),ROW()-1,FALSE))</f>
        <v/>
      </c>
      <c r="BE347" t="str">
        <f ca="1">IF(AND(ISNUMBER($BE$787),$B$419=1),$BE$787,HLOOKUP(INDIRECT(ADDRESS(2,COLUMN())),OFFSET($BN$2,0,0,ROW()-1,60),ROW()-1,FALSE))</f>
        <v/>
      </c>
      <c r="BF347" t="str">
        <f ca="1">IF(AND(ISNUMBER($BF$787),$B$419=1),$BF$787,HLOOKUP(INDIRECT(ADDRESS(2,COLUMN())),OFFSET($BN$2,0,0,ROW()-1,60),ROW()-1,FALSE))</f>
        <v/>
      </c>
      <c r="BG347" t="str">
        <f ca="1">IF(AND(ISNUMBER($BG$787),$B$419=1),$BG$787,HLOOKUP(INDIRECT(ADDRESS(2,COLUMN())),OFFSET($BN$2,0,0,ROW()-1,60),ROW()-1,FALSE))</f>
        <v/>
      </c>
      <c r="BH347">
        <f ca="1">IF(AND(ISNUMBER($BH$787),$B$419=1),$BH$787,HLOOKUP(INDIRECT(ADDRESS(2,COLUMN())),OFFSET($BN$2,0,0,ROW()-1,60),ROW()-1,FALSE))</f>
        <v>51.5</v>
      </c>
      <c r="BI347">
        <f ca="1">IF(AND(ISNUMBER($BI$787),$B$419=1),$BI$787,HLOOKUP(INDIRECT(ADDRESS(2,COLUMN())),OFFSET($BN$2,0,0,ROW()-1,60),ROW()-1,FALSE))</f>
        <v>10.7</v>
      </c>
      <c r="BJ347" t="str">
        <f ca="1">IF(AND(ISNUMBER($BJ$787),$B$419=1),$BJ$787,HLOOKUP(INDIRECT(ADDRESS(2,COLUMN())),OFFSET($BN$2,0,0,ROW()-1,60),ROW()-1,FALSE))</f>
        <v/>
      </c>
      <c r="BK347" t="str">
        <f ca="1">IF(AND(ISNUMBER($BK$787),$B$419=1),$BK$787,HLOOKUP(INDIRECT(ADDRESS(2,COLUMN())),OFFSET($BN$2,0,0,ROW()-1,60),ROW()-1,FALSE))</f>
        <v/>
      </c>
      <c r="BL347" t="str">
        <f ca="1">IF(AND(ISNUMBER($BL$787),$B$419=1),$BL$787,HLOOKUP(INDIRECT(ADDRESS(2,COLUMN())),OFFSET($BN$2,0,0,ROW()-1,60),ROW()-1,FALSE))</f>
        <v/>
      </c>
      <c r="BM347" t="str">
        <f ca="1">IF(AND(ISNUMBER($BM$787),$B$419=1),$BM$787,HLOOKUP(INDIRECT(ADDRESS(2,COLUMN())),OFFSET($BN$2,0,0,ROW()-1,60),ROW()-1,FALSE))</f>
        <v/>
      </c>
      <c r="BN347" t="str">
        <f>""</f>
        <v/>
      </c>
      <c r="BO347">
        <f>567.8</f>
        <v>567.79999999999995</v>
      </c>
      <c r="BP347">
        <f>1.3</f>
        <v>1.3</v>
      </c>
      <c r="BQ347">
        <f>213.3</f>
        <v>213.3</v>
      </c>
      <c r="BR347">
        <f>276.1</f>
        <v>276.10000000000002</v>
      </c>
      <c r="BS347">
        <f>278.2</f>
        <v>278.2</v>
      </c>
      <c r="BT347">
        <f>36.3</f>
        <v>36.299999999999997</v>
      </c>
      <c r="BU347">
        <f>279.8</f>
        <v>279.8</v>
      </c>
      <c r="BV347">
        <f>296.7</f>
        <v>296.7</v>
      </c>
      <c r="BW347">
        <f>445.1</f>
        <v>445.1</v>
      </c>
      <c r="BX347">
        <f>151.9</f>
        <v>151.9</v>
      </c>
      <c r="BY347">
        <f>190.4</f>
        <v>190.4</v>
      </c>
      <c r="BZ347">
        <f>218.4</f>
        <v>218.4</v>
      </c>
      <c r="CA347">
        <f>119.85</f>
        <v>119.85</v>
      </c>
      <c r="CB347">
        <f>7.6</f>
        <v>7.6</v>
      </c>
      <c r="CC347">
        <f>57.4</f>
        <v>57.4</v>
      </c>
      <c r="CD347">
        <f>48.1</f>
        <v>48.1</v>
      </c>
      <c r="CE347">
        <f>0</f>
        <v>0</v>
      </c>
      <c r="CF347">
        <f>10.7</f>
        <v>10.7</v>
      </c>
      <c r="CG347">
        <f>0</f>
        <v>0</v>
      </c>
      <c r="CH347">
        <f>24.8</f>
        <v>24.8</v>
      </c>
      <c r="CI347">
        <f>100</f>
        <v>100</v>
      </c>
      <c r="CJ347">
        <f>0.5</f>
        <v>0.5</v>
      </c>
      <c r="CK347">
        <f>0</f>
        <v>0</v>
      </c>
      <c r="CL347">
        <f>0.4</f>
        <v>0.4</v>
      </c>
      <c r="CM347">
        <f>11.3</f>
        <v>11.3</v>
      </c>
      <c r="CN347">
        <f>0.2</f>
        <v>0.2</v>
      </c>
      <c r="CO347">
        <f>0</f>
        <v>0</v>
      </c>
      <c r="CP347">
        <f>0</f>
        <v>0</v>
      </c>
      <c r="CQ347">
        <f>0</f>
        <v>0</v>
      </c>
      <c r="CR347">
        <f>0</f>
        <v>0</v>
      </c>
      <c r="CS347">
        <f>0</f>
        <v>0</v>
      </c>
      <c r="CT347">
        <f>0</f>
        <v>0</v>
      </c>
      <c r="CU347">
        <f>82.4</f>
        <v>82.4</v>
      </c>
      <c r="CV347">
        <f>0</f>
        <v>0</v>
      </c>
      <c r="CW347">
        <f>0</f>
        <v>0</v>
      </c>
      <c r="CX347">
        <f>0</f>
        <v>0</v>
      </c>
      <c r="CY347">
        <f>20</f>
        <v>20</v>
      </c>
      <c r="CZ347">
        <f>100</f>
        <v>100</v>
      </c>
      <c r="DA347">
        <f>100</f>
        <v>100</v>
      </c>
      <c r="DB347">
        <f>100</f>
        <v>100</v>
      </c>
      <c r="DC347">
        <f>100</f>
        <v>100</v>
      </c>
      <c r="DD347" t="str">
        <f>""</f>
        <v/>
      </c>
      <c r="DE347" t="str">
        <f>""</f>
        <v/>
      </c>
      <c r="DF347">
        <f>63.7</f>
        <v>63.7</v>
      </c>
      <c r="DG347">
        <f>72.3</f>
        <v>72.3</v>
      </c>
      <c r="DH347">
        <f>40.1</f>
        <v>40.1</v>
      </c>
      <c r="DI347" t="str">
        <f>""</f>
        <v/>
      </c>
      <c r="DJ347">
        <f>72.4</f>
        <v>72.400000000000006</v>
      </c>
      <c r="DK347">
        <f>72.3</f>
        <v>72.3</v>
      </c>
      <c r="DL347" t="str">
        <f>""</f>
        <v/>
      </c>
      <c r="DM347" t="str">
        <f>""</f>
        <v/>
      </c>
      <c r="DN347" t="str">
        <f>""</f>
        <v/>
      </c>
      <c r="DO347" t="str">
        <f>""</f>
        <v/>
      </c>
      <c r="DP347">
        <f>51.5</f>
        <v>51.5</v>
      </c>
      <c r="DQ347">
        <f>10.7</f>
        <v>10.7</v>
      </c>
      <c r="DR347" t="str">
        <f>""</f>
        <v/>
      </c>
      <c r="DS347" t="str">
        <f>""</f>
        <v/>
      </c>
      <c r="DT347" t="str">
        <f>""</f>
        <v/>
      </c>
      <c r="DU347" t="str">
        <f>""</f>
        <v/>
      </c>
    </row>
    <row r="348" spans="1:125">
      <c r="A348" t="str">
        <f>"    Regency Centers Corp"</f>
        <v xml:space="preserve">    Regency Centers Corp</v>
      </c>
      <c r="B348" t="str">
        <f>"REG US Equity"</f>
        <v>REG US Equity</v>
      </c>
      <c r="C348" t="str">
        <f t="shared" si="63"/>
        <v>BS658</v>
      </c>
      <c r="D348" t="str">
        <f t="shared" si="64"/>
        <v>BS_YEAR_1_PRINCIPAL</v>
      </c>
      <c r="E348" t="str">
        <f t="shared" si="65"/>
        <v>动态</v>
      </c>
      <c r="F348" t="str">
        <f ca="1">IF(AND(ISNUMBER($F$788),$B$419=1),$F$788,HLOOKUP(INDIRECT(ADDRESS(2,COLUMN())),OFFSET($BN$2,0,0,ROW()-1,60),ROW()-1,FALSE))</f>
        <v/>
      </c>
      <c r="G348">
        <f ca="1">IF(AND(ISNUMBER($G$788),$B$419=1),$G$788,HLOOKUP(INDIRECT(ADDRESS(2,COLUMN())),OFFSET($BN$2,0,0,ROW()-1,60),ROW()-1,FALSE))</f>
        <v>122.867</v>
      </c>
      <c r="H348">
        <f ca="1">IF(AND(ISNUMBER($H$788),$B$419=1),$H$788,HLOOKUP(INDIRECT(ADDRESS(2,COLUMN())),OFFSET($BN$2,0,0,ROW()-1,60),ROW()-1,FALSE))</f>
        <v>2.7080000000000002</v>
      </c>
      <c r="I348">
        <f ca="1">IF(AND(ISNUMBER($I$788),$B$419=1),$I$788,HLOOKUP(INDIRECT(ADDRESS(2,COLUMN())),OFFSET($BN$2,0,0,ROW()-1,60),ROW()-1,FALSE))</f>
        <v>5.3719999999999999</v>
      </c>
      <c r="J348">
        <f ca="1">IF(AND(ISNUMBER($J$788),$B$419=1),$J$788,HLOOKUP(INDIRECT(ADDRESS(2,COLUMN())),OFFSET($BN$2,0,0,ROW()-1,60),ROW()-1,FALSE))</f>
        <v>84.334999999999994</v>
      </c>
      <c r="K348">
        <f ca="1">IF(AND(ISNUMBER($K$788),$B$419=1),$K$788,HLOOKUP(INDIRECT(ADDRESS(2,COLUMN())),OFFSET($BN$2,0,0,ROW()-1,60),ROW()-1,FALSE))</f>
        <v>91.617999999999995</v>
      </c>
      <c r="L348">
        <f ca="1">IF(AND(ISNUMBER($L$788),$B$419=1),$L$788,HLOOKUP(INDIRECT(ADDRESS(2,COLUMN())),OFFSET($BN$2,0,0,ROW()-1,60),ROW()-1,FALSE))</f>
        <v>1.4279999999999999</v>
      </c>
      <c r="M348">
        <f ca="1">IF(AND(ISNUMBER($M$788),$B$419=1),$M$788,HLOOKUP(INDIRECT(ADDRESS(2,COLUMN())),OFFSET($BN$2,0,0,ROW()-1,60),ROW()-1,FALSE))</f>
        <v>2.9630000000000001</v>
      </c>
      <c r="N348">
        <f ca="1">IF(AND(ISNUMBER($N$788),$B$419=1),$N$788,HLOOKUP(INDIRECT(ADDRESS(2,COLUMN())),OFFSET($BN$2,0,0,ROW()-1,60),ROW()-1,FALSE))</f>
        <v>18.756</v>
      </c>
      <c r="O348" t="str">
        <f ca="1">IF(AND(ISNUMBER($O$788),$B$419=1),$O$788,HLOOKUP(INDIRECT(ADDRESS(2,COLUMN())),OFFSET($BN$2,0,0,ROW()-1,60),ROW()-1,FALSE))</f>
        <v/>
      </c>
      <c r="P348">
        <f ca="1">IF(AND(ISNUMBER($P$788),$B$419=1),$P$788,HLOOKUP(INDIRECT(ADDRESS(2,COLUMN())),OFFSET($BN$2,0,0,ROW()-1,60),ROW()-1,FALSE))</f>
        <v>2.1269999999999998</v>
      </c>
      <c r="Q348">
        <f ca="1">IF(AND(ISNUMBER($Q$788),$B$419=1),$Q$788,HLOOKUP(INDIRECT(ADDRESS(2,COLUMN())),OFFSET($BN$2,0,0,ROW()-1,60),ROW()-1,FALSE))</f>
        <v>353.31599999999997</v>
      </c>
      <c r="R348">
        <f ca="1">IF(AND(ISNUMBER($R$788),$B$419=1),$R$788,HLOOKUP(INDIRECT(ADDRESS(2,COLUMN())),OFFSET($BN$2,0,0,ROW()-1,60),ROW()-1,FALSE))</f>
        <v>375.11500000000001</v>
      </c>
      <c r="S348">
        <f ca="1">IF(AND(ISNUMBER($S$788),$B$419=1),$S$788,HLOOKUP(INDIRECT(ADDRESS(2,COLUMN())),OFFSET($BN$2,0,0,ROW()-1,60),ROW()-1,FALSE))</f>
        <v>432.483</v>
      </c>
      <c r="T348">
        <f ca="1">IF(AND(ISNUMBER($T$788),$B$419=1),$T$788,HLOOKUP(INDIRECT(ADDRESS(2,COLUMN())),OFFSET($BN$2,0,0,ROW()-1,60),ROW()-1,FALSE))</f>
        <v>1.97</v>
      </c>
      <c r="U348">
        <f ca="1">IF(AND(ISNUMBER($U$788),$B$419=1),$U$788,HLOOKUP(INDIRECT(ADDRESS(2,COLUMN())),OFFSET($BN$2,0,0,ROW()-1,60),ROW()-1,FALSE))</f>
        <v>12.826000000000001</v>
      </c>
      <c r="V348">
        <f ca="1">IF(AND(ISNUMBER($V$788),$B$419=1),$V$788,HLOOKUP(INDIRECT(ADDRESS(2,COLUMN())),OFFSET($BN$2,0,0,ROW()-1,60),ROW()-1,FALSE))</f>
        <v>171.279</v>
      </c>
      <c r="W348">
        <f ca="1">IF(AND(ISNUMBER($W$788),$B$419=1),$W$788,HLOOKUP(INDIRECT(ADDRESS(2,COLUMN())),OFFSET($BN$2,0,0,ROW()-1,60),ROW()-1,FALSE))</f>
        <v>172.63200000000001</v>
      </c>
      <c r="X348">
        <f ca="1">IF(AND(ISNUMBER($X$788),$B$419=1),$X$788,HLOOKUP(INDIRECT(ADDRESS(2,COLUMN())),OFFSET($BN$2,0,0,ROW()-1,60),ROW()-1,FALSE))</f>
        <v>2.0190000000000001</v>
      </c>
      <c r="Y348">
        <f ca="1">IF(AND(ISNUMBER($Y$788),$B$419=1),$Y$788,HLOOKUP(INDIRECT(ADDRESS(2,COLUMN())),OFFSET($BN$2,0,0,ROW()-1,60),ROW()-1,FALSE))</f>
        <v>3.8769999999999998</v>
      </c>
      <c r="Z348">
        <f ca="1">IF(AND(ISNUMBER($Z$788),$B$419=1),$Z$788,HLOOKUP(INDIRECT(ADDRESS(2,COLUMN())),OFFSET($BN$2,0,0,ROW()-1,60),ROW()-1,FALSE))</f>
        <v>22.108000000000001</v>
      </c>
      <c r="AA348">
        <f ca="1">IF(AND(ISNUMBER($AA$788),$B$419=1),$AA$788,HLOOKUP(INDIRECT(ADDRESS(2,COLUMN())),OFFSET($BN$2,0,0,ROW()-1,60),ROW()-1,FALSE))</f>
        <v>24.190999999999999</v>
      </c>
      <c r="AB348">
        <f ca="1">IF(AND(ISNUMBER($AB$788),$B$419=1),$AB$788,HLOOKUP(INDIRECT(ADDRESS(2,COLUMN())),OFFSET($BN$2,0,0,ROW()-1,60),ROW()-1,FALSE))</f>
        <v>2.0219999999999998</v>
      </c>
      <c r="AC348">
        <f ca="1">IF(AND(ISNUMBER($AC$788),$B$419=1),$AC$788,HLOOKUP(INDIRECT(ADDRESS(2,COLUMN())),OFFSET($BN$2,0,0,ROW()-1,60),ROW()-1,FALSE))</f>
        <v>3.883</v>
      </c>
      <c r="AD348">
        <f ca="1">IF(AND(ISNUMBER($AD$788),$B$419=1),$AD$788,HLOOKUP(INDIRECT(ADDRESS(2,COLUMN())),OFFSET($BN$2,0,0,ROW()-1,60),ROW()-1,FALSE))</f>
        <v>5.306</v>
      </c>
      <c r="AE348">
        <f ca="1">IF(AND(ISNUMBER($AE$788),$B$419=1),$AE$788,HLOOKUP(INDIRECT(ADDRESS(2,COLUMN())),OFFSET($BN$2,0,0,ROW()-1,60),ROW()-1,FALSE))</f>
        <v>199.375</v>
      </c>
      <c r="AF348">
        <f ca="1">IF(AND(ISNUMBER($AF$788),$B$419=1),$AF$788,HLOOKUP(INDIRECT(ADDRESS(2,COLUMN())),OFFSET($BN$2,0,0,ROW()-1,60),ROW()-1,FALSE))</f>
        <v>21.757000000000001</v>
      </c>
      <c r="AG348">
        <f ca="1">IF(AND(ISNUMBER($AG$788),$B$419=1),$AG$788,HLOOKUP(INDIRECT(ADDRESS(2,COLUMN())),OFFSET($BN$2,0,0,ROW()-1,60),ROW()-1,FALSE))</f>
        <v>31.675000000000001</v>
      </c>
      <c r="AH348">
        <f ca="1">IF(AND(ISNUMBER($AH$788),$B$419=1),$AH$788,HLOOKUP(INDIRECT(ADDRESS(2,COLUMN())),OFFSET($BN$2,0,0,ROW()-1,60),ROW()-1,FALSE))</f>
        <v>32.247999999999998</v>
      </c>
      <c r="AI348">
        <f ca="1">IF(AND(ISNUMBER($AI$788),$B$419=1),$AI$788,HLOOKUP(INDIRECT(ADDRESS(2,COLUMN())),OFFSET($BN$2,0,0,ROW()-1,60),ROW()-1,FALSE))</f>
        <v>194.31299999999999</v>
      </c>
      <c r="AJ348">
        <f ca="1">IF(AND(ISNUMBER($AJ$788),$B$419=1),$AJ$788,HLOOKUP(INDIRECT(ADDRESS(2,COLUMN())),OFFSET($BN$2,0,0,ROW()-1,60),ROW()-1,FALSE))</f>
        <v>18.739999999999998</v>
      </c>
      <c r="AK348">
        <f ca="1">IF(AND(ISNUMBER($AK$788),$B$419=1),$AK$788,HLOOKUP(INDIRECT(ADDRESS(2,COLUMN())),OFFSET($BN$2,0,0,ROW()-1,60),ROW()-1,FALSE))</f>
        <v>150.38200000000001</v>
      </c>
      <c r="AL348">
        <f ca="1">IF(AND(ISNUMBER($AL$788),$B$419=1),$AL$788,HLOOKUP(INDIRECT(ADDRESS(2,COLUMN())),OFFSET($BN$2,0,0,ROW()-1,60),ROW()-1,FALSE))</f>
        <v>172.72200000000001</v>
      </c>
      <c r="AM348">
        <f ca="1">IF(AND(ISNUMBER($AM$788),$B$419=1),$AM$788,HLOOKUP(INDIRECT(ADDRESS(2,COLUMN())),OFFSET($BN$2,0,0,ROW()-1,60),ROW()-1,FALSE))</f>
        <v>173.97</v>
      </c>
      <c r="AN348">
        <f ca="1">IF(AND(ISNUMBER($AN$788),$B$419=1),$AN$788,HLOOKUP(INDIRECT(ADDRESS(2,COLUMN())),OFFSET($BN$2,0,0,ROW()-1,60),ROW()-1,FALSE))</f>
        <v>6.399</v>
      </c>
      <c r="AO348">
        <f ca="1">IF(AND(ISNUMBER($AO$788),$B$419=1),$AO$788,HLOOKUP(INDIRECT(ADDRESS(2,COLUMN())),OFFSET($BN$2,0,0,ROW()-1,60),ROW()-1,FALSE))</f>
        <v>7.7089999999999996</v>
      </c>
      <c r="AP348">
        <f ca="1">IF(AND(ISNUMBER($AP$788),$B$419=1),$AP$788,HLOOKUP(INDIRECT(ADDRESS(2,COLUMN())),OFFSET($BN$2,0,0,ROW()-1,60),ROW()-1,FALSE))</f>
        <v>59.000999999999998</v>
      </c>
      <c r="AQ348">
        <f ca="1">IF(AND(ISNUMBER($AQ$788),$B$419=1),$AQ$788,HLOOKUP(INDIRECT(ADDRESS(2,COLUMN())),OFFSET($BN$2,0,0,ROW()-1,60),ROW()-1,FALSE))</f>
        <v>62.908999999999999</v>
      </c>
      <c r="AR348">
        <f ca="1">IF(AND(ISNUMBER($AR$788),$B$419=1),$AR$788,HLOOKUP(INDIRECT(ADDRESS(2,COLUMN())),OFFSET($BN$2,0,0,ROW()-1,60),ROW()-1,FALSE))</f>
        <v>1.242</v>
      </c>
      <c r="AS348">
        <f ca="1">IF(AND(ISNUMBER($AS$788),$B$419=1),$AS$788,HLOOKUP(INDIRECT(ADDRESS(2,COLUMN())),OFFSET($BN$2,0,0,ROW()-1,60),ROW()-1,FALSE))</f>
        <v>21.712</v>
      </c>
      <c r="AT348">
        <f ca="1">IF(AND(ISNUMBER($AT$788),$B$419=1),$AT$788,HLOOKUP(INDIRECT(ADDRESS(2,COLUMN())),OFFSET($BN$2,0,0,ROW()-1,60),ROW()-1,FALSE))</f>
        <v>23.573</v>
      </c>
      <c r="AU348">
        <f ca="1">IF(AND(ISNUMBER($AU$788),$B$419=1),$AU$788,HLOOKUP(INDIRECT(ADDRESS(2,COLUMN())),OFFSET($BN$2,0,0,ROW()-1,60),ROW()-1,FALSE))</f>
        <v>23.672000000000001</v>
      </c>
      <c r="AV348">
        <f ca="1">IF(AND(ISNUMBER($AV$788),$B$419=1),$AV$788,HLOOKUP(INDIRECT(ADDRESS(2,COLUMN())),OFFSET($BN$2,0,0,ROW()-1,60),ROW()-1,FALSE))</f>
        <v>37.470999999999997</v>
      </c>
      <c r="AW348">
        <f ca="1">IF(AND(ISNUMBER($AW$788),$B$419=1),$AW$788,HLOOKUP(INDIRECT(ADDRESS(2,COLUMN())),OFFSET($BN$2,0,0,ROW()-1,60),ROW()-1,FALSE))</f>
        <v>38.298000000000002</v>
      </c>
      <c r="AX348">
        <f ca="1">IF(AND(ISNUMBER($AX$788),$B$419=1),$AX$788,HLOOKUP(INDIRECT(ADDRESS(2,COLUMN())),OFFSET($BN$2,0,0,ROW()-1,60),ROW()-1,FALSE))</f>
        <v>80.289000000000001</v>
      </c>
      <c r="AY348">
        <f ca="1">IF(AND(ISNUMBER($AY$788),$B$419=1),$AY$788,HLOOKUP(INDIRECT(ADDRESS(2,COLUMN())),OFFSET($BN$2,0,0,ROW()-1,60),ROW()-1,FALSE))</f>
        <v>216.63900000000001</v>
      </c>
      <c r="AZ348">
        <f ca="1">IF(AND(ISNUMBER($AZ$788),$B$419=1),$AZ$788,HLOOKUP(INDIRECT(ADDRESS(2,COLUMN())),OFFSET($BN$2,0,0,ROW()-1,60),ROW()-1,FALSE))</f>
        <v>263.58499999999998</v>
      </c>
      <c r="BA348">
        <f ca="1">IF(AND(ISNUMBER($BA$788),$B$419=1),$BA$788,HLOOKUP(INDIRECT(ADDRESS(2,COLUMN())),OFFSET($BN$2,0,0,ROW()-1,60),ROW()-1,FALSE))</f>
        <v>214.143</v>
      </c>
      <c r="BB348">
        <f ca="1">IF(AND(ISNUMBER($BB$788),$B$419=1),$BB$788,HLOOKUP(INDIRECT(ADDRESS(2,COLUMN())),OFFSET($BN$2,0,0,ROW()-1,60),ROW()-1,FALSE))</f>
        <v>225.232</v>
      </c>
      <c r="BC348" t="str">
        <f ca="1">IF(AND(ISNUMBER($BC$788),$B$419=1),$BC$788,HLOOKUP(INDIRECT(ADDRESS(2,COLUMN())),OFFSET($BN$2,0,0,ROW()-1,60),ROW()-1,FALSE))</f>
        <v/>
      </c>
      <c r="BD348">
        <f ca="1">IF(AND(ISNUMBER($BD$788),$B$419=1),$BD$788,HLOOKUP(INDIRECT(ADDRESS(2,COLUMN())),OFFSET($BN$2,0,0,ROW()-1,60),ROW()-1,FALSE))</f>
        <v>2.0059999999999998</v>
      </c>
      <c r="BE348">
        <f ca="1">IF(AND(ISNUMBER($BE$788),$B$419=1),$BE$788,HLOOKUP(INDIRECT(ADDRESS(2,COLUMN())),OFFSET($BN$2,0,0,ROW()-1,60),ROW()-1,FALSE))</f>
        <v>157.28700000000001</v>
      </c>
      <c r="BF348" t="str">
        <f ca="1">IF(AND(ISNUMBER($BF$788),$B$419=1),$BF$788,HLOOKUP(INDIRECT(ADDRESS(2,COLUMN())),OFFSET($BN$2,0,0,ROW()-1,60),ROW()-1,FALSE))</f>
        <v/>
      </c>
      <c r="BG348" t="str">
        <f ca="1">IF(AND(ISNUMBER($BG$788),$B$419=1),$BG$788,HLOOKUP(INDIRECT(ADDRESS(2,COLUMN())),OFFSET($BN$2,0,0,ROW()-1,60),ROW()-1,FALSE))</f>
        <v/>
      </c>
      <c r="BH348" t="str">
        <f ca="1">IF(AND(ISNUMBER($BH$788),$B$419=1),$BH$788,HLOOKUP(INDIRECT(ADDRESS(2,COLUMN())),OFFSET($BN$2,0,0,ROW()-1,60),ROW()-1,FALSE))</f>
        <v/>
      </c>
      <c r="BI348" t="str">
        <f ca="1">IF(AND(ISNUMBER($BI$788),$B$419=1),$BI$788,HLOOKUP(INDIRECT(ADDRESS(2,COLUMN())),OFFSET($BN$2,0,0,ROW()-1,60),ROW()-1,FALSE))</f>
        <v/>
      </c>
      <c r="BJ348" t="str">
        <f ca="1">IF(AND(ISNUMBER($BJ$788),$B$419=1),$BJ$788,HLOOKUP(INDIRECT(ADDRESS(2,COLUMN())),OFFSET($BN$2,0,0,ROW()-1,60),ROW()-1,FALSE))</f>
        <v/>
      </c>
      <c r="BK348" t="str">
        <f ca="1">IF(AND(ISNUMBER($BK$788),$B$419=1),$BK$788,HLOOKUP(INDIRECT(ADDRESS(2,COLUMN())),OFFSET($BN$2,0,0,ROW()-1,60),ROW()-1,FALSE))</f>
        <v/>
      </c>
      <c r="BL348" t="str">
        <f ca="1">IF(AND(ISNUMBER($BL$788),$B$419=1),$BL$788,HLOOKUP(INDIRECT(ADDRESS(2,COLUMN())),OFFSET($BN$2,0,0,ROW()-1,60),ROW()-1,FALSE))</f>
        <v/>
      </c>
      <c r="BM348" t="str">
        <f ca="1">IF(AND(ISNUMBER($BM$788),$B$419=1),$BM$788,HLOOKUP(INDIRECT(ADDRESS(2,COLUMN())),OFFSET($BN$2,0,0,ROW()-1,60),ROW()-1,FALSE))</f>
        <v/>
      </c>
      <c r="BN348" t="str">
        <f>""</f>
        <v/>
      </c>
      <c r="BO348">
        <f>122.867</f>
        <v>122.867</v>
      </c>
      <c r="BP348">
        <f>2.708</f>
        <v>2.7080000000000002</v>
      </c>
      <c r="BQ348">
        <f>5.372</f>
        <v>5.3719999999999999</v>
      </c>
      <c r="BR348">
        <f>84.335</f>
        <v>84.334999999999994</v>
      </c>
      <c r="BS348">
        <f>91.618</f>
        <v>91.617999999999995</v>
      </c>
      <c r="BT348">
        <f>1.428</f>
        <v>1.4279999999999999</v>
      </c>
      <c r="BU348">
        <f>2.963</f>
        <v>2.9630000000000001</v>
      </c>
      <c r="BV348">
        <f>18.756</f>
        <v>18.756</v>
      </c>
      <c r="BW348" t="str">
        <f>""</f>
        <v/>
      </c>
      <c r="BX348">
        <f>2.127</f>
        <v>2.1269999999999998</v>
      </c>
      <c r="BY348">
        <f>353.316</f>
        <v>353.31599999999997</v>
      </c>
      <c r="BZ348">
        <f>375.115</f>
        <v>375.11500000000001</v>
      </c>
      <c r="CA348">
        <f>432.483</f>
        <v>432.483</v>
      </c>
      <c r="CB348">
        <f>1.97</f>
        <v>1.97</v>
      </c>
      <c r="CC348">
        <f>12.826</f>
        <v>12.826000000000001</v>
      </c>
      <c r="CD348">
        <f>171.279</f>
        <v>171.279</v>
      </c>
      <c r="CE348">
        <f>172.632</f>
        <v>172.63200000000001</v>
      </c>
      <c r="CF348">
        <f>2.019</f>
        <v>2.0190000000000001</v>
      </c>
      <c r="CG348">
        <f>3.877</f>
        <v>3.8769999999999998</v>
      </c>
      <c r="CH348">
        <f>22.108</f>
        <v>22.108000000000001</v>
      </c>
      <c r="CI348">
        <f>24.191</f>
        <v>24.190999999999999</v>
      </c>
      <c r="CJ348">
        <f>2.022</f>
        <v>2.0219999999999998</v>
      </c>
      <c r="CK348">
        <f>3.883</f>
        <v>3.883</v>
      </c>
      <c r="CL348">
        <f>5.306</f>
        <v>5.306</v>
      </c>
      <c r="CM348">
        <f>199.375</f>
        <v>199.375</v>
      </c>
      <c r="CN348">
        <f>21.757</f>
        <v>21.757000000000001</v>
      </c>
      <c r="CO348">
        <f>31.675</f>
        <v>31.675000000000001</v>
      </c>
      <c r="CP348">
        <f>32.248</f>
        <v>32.247999999999998</v>
      </c>
      <c r="CQ348">
        <f>194.313</f>
        <v>194.31299999999999</v>
      </c>
      <c r="CR348">
        <f>18.74</f>
        <v>18.739999999999998</v>
      </c>
      <c r="CS348">
        <f>150.382</f>
        <v>150.38200000000001</v>
      </c>
      <c r="CT348">
        <f>172.722</f>
        <v>172.72200000000001</v>
      </c>
      <c r="CU348">
        <f>173.97</f>
        <v>173.97</v>
      </c>
      <c r="CV348">
        <f>6.399</f>
        <v>6.399</v>
      </c>
      <c r="CW348">
        <f>7.709</f>
        <v>7.7089999999999996</v>
      </c>
      <c r="CX348">
        <f>59.001</f>
        <v>59.000999999999998</v>
      </c>
      <c r="CY348">
        <f>62.909</f>
        <v>62.908999999999999</v>
      </c>
      <c r="CZ348">
        <f>1.242</f>
        <v>1.242</v>
      </c>
      <c r="DA348">
        <f>21.712</f>
        <v>21.712</v>
      </c>
      <c r="DB348">
        <f>23.573</f>
        <v>23.573</v>
      </c>
      <c r="DC348">
        <f>23.672</f>
        <v>23.672000000000001</v>
      </c>
      <c r="DD348">
        <f>37.471</f>
        <v>37.470999999999997</v>
      </c>
      <c r="DE348">
        <f>38.298</f>
        <v>38.298000000000002</v>
      </c>
      <c r="DF348">
        <f>80.289</f>
        <v>80.289000000000001</v>
      </c>
      <c r="DG348">
        <f>216.639</f>
        <v>216.63900000000001</v>
      </c>
      <c r="DH348">
        <f>263.585</f>
        <v>263.58499999999998</v>
      </c>
      <c r="DI348">
        <f>214.143</f>
        <v>214.143</v>
      </c>
      <c r="DJ348">
        <f>225.232</f>
        <v>225.232</v>
      </c>
      <c r="DK348" t="str">
        <f>""</f>
        <v/>
      </c>
      <c r="DL348">
        <f>2.006</f>
        <v>2.0059999999999998</v>
      </c>
      <c r="DM348">
        <f>157.287</f>
        <v>157.28700000000001</v>
      </c>
      <c r="DN348" t="str">
        <f>""</f>
        <v/>
      </c>
      <c r="DO348" t="str">
        <f>""</f>
        <v/>
      </c>
      <c r="DP348" t="str">
        <f>""</f>
        <v/>
      </c>
      <c r="DQ348" t="str">
        <f>""</f>
        <v/>
      </c>
      <c r="DR348" t="str">
        <f>""</f>
        <v/>
      </c>
      <c r="DS348" t="str">
        <f>""</f>
        <v/>
      </c>
      <c r="DT348" t="str">
        <f>""</f>
        <v/>
      </c>
      <c r="DU348" t="str">
        <f>""</f>
        <v/>
      </c>
    </row>
    <row r="349" spans="1:125">
      <c r="A349" t="str">
        <f>"    Retail Opportunity Investments"</f>
        <v xml:space="preserve">    Retail Opportunity Investments</v>
      </c>
      <c r="B349" t="str">
        <f>"ROIC US Equity"</f>
        <v>ROIC US Equity</v>
      </c>
      <c r="C349" t="str">
        <f t="shared" si="63"/>
        <v>BS658</v>
      </c>
      <c r="D349" t="str">
        <f t="shared" si="64"/>
        <v>BS_YEAR_1_PRINCIPAL</v>
      </c>
      <c r="E349" t="str">
        <f t="shared" si="65"/>
        <v>动态</v>
      </c>
      <c r="F349" t="str">
        <f ca="1">IF(AND(ISNUMBER($F$789),$B$419=1),$F$789,HLOOKUP(INDIRECT(ADDRESS(2,COLUMN())),OFFSET($BN$2,0,0,ROW()-1,60),ROW()-1,FALSE))</f>
        <v/>
      </c>
      <c r="G349">
        <f ca="1">IF(AND(ISNUMBER($G$789),$B$419=1),$G$789,HLOOKUP(INDIRECT(ADDRESS(2,COLUMN())),OFFSET($BN$2,0,0,ROW()-1,60),ROW()-1,FALSE))</f>
        <v>19.611999999999998</v>
      </c>
      <c r="H349">
        <f ca="1">IF(AND(ISNUMBER($H$789),$B$419=1),$H$789,HLOOKUP(INDIRECT(ADDRESS(2,COLUMN())),OFFSET($BN$2,0,0,ROW()-1,60),ROW()-1,FALSE))</f>
        <v>0.14699999999999999</v>
      </c>
      <c r="I349">
        <f ca="1">IF(AND(ISNUMBER($I$789),$B$419=1),$I$789,HLOOKUP(INDIRECT(ADDRESS(2,COLUMN())),OFFSET($BN$2,0,0,ROW()-1,60),ROW()-1,FALSE))</f>
        <v>0.28999999999999998</v>
      </c>
      <c r="J349">
        <f ca="1">IF(AND(ISNUMBER($J$789),$B$419=1),$J$789,HLOOKUP(INDIRECT(ADDRESS(2,COLUMN())),OFFSET($BN$2,0,0,ROW()-1,60),ROW()-1,FALSE))</f>
        <v>8.5990000000000002</v>
      </c>
      <c r="K349">
        <f ca="1">IF(AND(ISNUMBER($K$789),$B$419=1),$K$789,HLOOKUP(INDIRECT(ADDRESS(2,COLUMN())),OFFSET($BN$2,0,0,ROW()-1,60),ROW()-1,FALSE))</f>
        <v>9.3800000000000008</v>
      </c>
      <c r="L349">
        <f ca="1">IF(AND(ISNUMBER($L$789),$B$419=1),$L$789,HLOOKUP(INDIRECT(ADDRESS(2,COLUMN())),OFFSET($BN$2,0,0,ROW()-1,60),ROW()-1,FALSE))</f>
        <v>0.188</v>
      </c>
      <c r="M349">
        <f ca="1">IF(AND(ISNUMBER($M$789),$B$419=1),$M$789,HLOOKUP(INDIRECT(ADDRESS(2,COLUMN())),OFFSET($BN$2,0,0,ROW()-1,60),ROW()-1,FALSE))</f>
        <v>0.37</v>
      </c>
      <c r="N349">
        <f ca="1">IF(AND(ISNUMBER($N$789),$B$419=1),$N$789,HLOOKUP(INDIRECT(ADDRESS(2,COLUMN())),OFFSET($BN$2,0,0,ROW()-1,60),ROW()-1,FALSE))</f>
        <v>7.6879999999999997</v>
      </c>
      <c r="O349" t="str">
        <f ca="1">IF(AND(ISNUMBER($O$789),$B$419=1),$O$789,HLOOKUP(INDIRECT(ADDRESS(2,COLUMN())),OFFSET($BN$2,0,0,ROW()-1,60),ROW()-1,FALSE))</f>
        <v/>
      </c>
      <c r="P349">
        <f ca="1">IF(AND(ISNUMBER($P$789),$B$419=1),$P$789,HLOOKUP(INDIRECT(ADDRESS(2,COLUMN())),OFFSET($BN$2,0,0,ROW()-1,60),ROW()-1,FALSE))</f>
        <v>0.128</v>
      </c>
      <c r="Q349">
        <f ca="1">IF(AND(ISNUMBER($Q$789),$B$419=1),$Q$789,HLOOKUP(INDIRECT(ADDRESS(2,COLUMN())),OFFSET($BN$2,0,0,ROW()-1,60),ROW()-1,FALSE))</f>
        <v>48.399000000000001</v>
      </c>
      <c r="R349">
        <f ca="1">IF(AND(ISNUMBER($R$789),$B$419=1),$R$789,HLOOKUP(INDIRECT(ADDRESS(2,COLUMN())),OFFSET($BN$2,0,0,ROW()-1,60),ROW()-1,FALSE))</f>
        <v>64.869</v>
      </c>
      <c r="S349">
        <f ca="1">IF(AND(ISNUMBER($S$789),$B$419=1),$S$789,HLOOKUP(INDIRECT(ADDRESS(2,COLUMN())),OFFSET($BN$2,0,0,ROW()-1,60),ROW()-1,FALSE))</f>
        <v>67.080858000000006</v>
      </c>
      <c r="T349">
        <f ca="1">IF(AND(ISNUMBER($T$789),$B$419=1),$T$789,HLOOKUP(INDIRECT(ADDRESS(2,COLUMN())),OFFSET($BN$2,0,0,ROW()-1,60),ROW()-1,FALSE))</f>
        <v>0.47499999999999998</v>
      </c>
      <c r="U349">
        <f ca="1">IF(AND(ISNUMBER($U$789),$B$419=1),$U$789,HLOOKUP(INDIRECT(ADDRESS(2,COLUMN())),OFFSET($BN$2,0,0,ROW()-1,60),ROW()-1,FALSE))</f>
        <v>9.01</v>
      </c>
      <c r="V349">
        <f ca="1">IF(AND(ISNUMBER($V$789),$B$419=1),$V$789,HLOOKUP(INDIRECT(ADDRESS(2,COLUMN())),OFFSET($BN$2,0,0,ROW()-1,60),ROW()-1,FALSE))</f>
        <v>9.5021000000000004</v>
      </c>
      <c r="W349">
        <f ca="1">IF(AND(ISNUMBER($W$789),$B$419=1),$W$789,HLOOKUP(INDIRECT(ADDRESS(2,COLUMN())),OFFSET($BN$2,0,0,ROW()-1,60),ROW()-1,FALSE))</f>
        <v>12.741263</v>
      </c>
      <c r="X349">
        <f ca="1">IF(AND(ISNUMBER($X$789),$B$419=1),$X$789,HLOOKUP(INDIRECT(ADDRESS(2,COLUMN())),OFFSET($BN$2,0,0,ROW()-1,60),ROW()-1,FALSE))</f>
        <v>2.3185739999999999</v>
      </c>
      <c r="Y349">
        <f ca="1">IF(AND(ISNUMBER($Y$789),$B$419=1),$Y$789,HLOOKUP(INDIRECT(ADDRESS(2,COLUMN())),OFFSET($BN$2,0,0,ROW()-1,60),ROW()-1,FALSE))</f>
        <v>0.71948999999999996</v>
      </c>
      <c r="Z349">
        <f ca="1">IF(AND(ISNUMBER($Z$789),$B$419=1),$Z$789,HLOOKUP(INDIRECT(ADDRESS(2,COLUMN())),OFFSET($BN$2,0,0,ROW()-1,60),ROW()-1,FALSE))</f>
        <v>1.066797</v>
      </c>
      <c r="AA349">
        <f ca="1">IF(AND(ISNUMBER($AA$789),$B$419=1),$AA$789,HLOOKUP(INDIRECT(ADDRESS(2,COLUMN())),OFFSET($BN$2,0,0,ROW()-1,60),ROW()-1,FALSE))</f>
        <v>2.2717139999999998</v>
      </c>
      <c r="AB349">
        <f ca="1">IF(AND(ISNUMBER($AB$789),$B$419=1),$AB$789,HLOOKUP(INDIRECT(ADDRESS(2,COLUMN())),OFFSET($BN$2,0,0,ROW()-1,60),ROW()-1,FALSE))</f>
        <v>0.205814</v>
      </c>
      <c r="AC349">
        <f ca="1">IF(AND(ISNUMBER($AC$789),$B$419=1),$AC$789,HLOOKUP(INDIRECT(ADDRESS(2,COLUMN())),OFFSET($BN$2,0,0,ROW()-1,60),ROW()-1,FALSE))</f>
        <v>0</v>
      </c>
      <c r="AD349">
        <f ca="1">IF(AND(ISNUMBER($AD$789),$B$419=1),$AD$789,HLOOKUP(INDIRECT(ADDRESS(2,COLUMN())),OFFSET($BN$2,0,0,ROW()-1,60),ROW()-1,FALSE))</f>
        <v>7.5799110000000001</v>
      </c>
      <c r="AE349">
        <f ca="1">IF(AND(ISNUMBER($AE$789),$B$419=1),$AE$789,HLOOKUP(INDIRECT(ADDRESS(2,COLUMN())),OFFSET($BN$2,0,0,ROW()-1,60),ROW()-1,FALSE))</f>
        <v>7.7125570000000003</v>
      </c>
      <c r="AF349">
        <f ca="1">IF(AND(ISNUMBER($AF$789),$B$419=1),$AF$789,HLOOKUP(INDIRECT(ADDRESS(2,COLUMN())),OFFSET($BN$2,0,0,ROW()-1,60),ROW()-1,FALSE))</f>
        <v>0.277723</v>
      </c>
      <c r="AG349">
        <f ca="1">IF(AND(ISNUMBER($AG$789),$B$419=1),$AG$789,HLOOKUP(INDIRECT(ADDRESS(2,COLUMN())),OFFSET($BN$2,0,0,ROW()-1,60),ROW()-1,FALSE))</f>
        <v>11.746081</v>
      </c>
      <c r="AH349">
        <f ca="1">IF(AND(ISNUMBER($AH$789),$B$419=1),$AH$789,HLOOKUP(INDIRECT(ADDRESS(2,COLUMN())),OFFSET($BN$2,0,0,ROW()-1,60),ROW()-1,FALSE))</f>
        <v>11.926487</v>
      </c>
      <c r="AI349">
        <f ca="1">IF(AND(ISNUMBER($AI$789),$B$419=1),$AI$789,HLOOKUP(INDIRECT(ADDRESS(2,COLUMN())),OFFSET($BN$2,0,0,ROW()-1,60),ROW()-1,FALSE))</f>
        <v>12.102986</v>
      </c>
      <c r="AJ349" t="str">
        <f ca="1">IF(AND(ISNUMBER($AJ$789),$B$419=1),$AJ$789,HLOOKUP(INDIRECT(ADDRESS(2,COLUMN())),OFFSET($BN$2,0,0,ROW()-1,60),ROW()-1,FALSE))</f>
        <v/>
      </c>
      <c r="AK349" t="str">
        <f ca="1">IF(AND(ISNUMBER($AK$789),$B$419=1),$AK$789,HLOOKUP(INDIRECT(ADDRESS(2,COLUMN())),OFFSET($BN$2,0,0,ROW()-1,60),ROW()-1,FALSE))</f>
        <v/>
      </c>
      <c r="AL349" t="str">
        <f ca="1">IF(AND(ISNUMBER($AL$789),$B$419=1),$AL$789,HLOOKUP(INDIRECT(ADDRESS(2,COLUMN())),OFFSET($BN$2,0,0,ROW()-1,60),ROW()-1,FALSE))</f>
        <v/>
      </c>
      <c r="AM349" t="str">
        <f ca="1">IF(AND(ISNUMBER($AM$789),$B$419=1),$AM$789,HLOOKUP(INDIRECT(ADDRESS(2,COLUMN())),OFFSET($BN$2,0,0,ROW()-1,60),ROW()-1,FALSE))</f>
        <v/>
      </c>
      <c r="AN349" t="str">
        <f ca="1">IF(AND(ISNUMBER($AN$789),$B$419=1),$AN$789,HLOOKUP(INDIRECT(ADDRESS(2,COLUMN())),OFFSET($BN$2,0,0,ROW()-1,60),ROW()-1,FALSE))</f>
        <v/>
      </c>
      <c r="AO349" t="str">
        <f ca="1">IF(AND(ISNUMBER($AO$789),$B$419=1),$AO$789,HLOOKUP(INDIRECT(ADDRESS(2,COLUMN())),OFFSET($BN$2,0,0,ROW()-1,60),ROW()-1,FALSE))</f>
        <v/>
      </c>
      <c r="AP349" t="str">
        <f ca="1">IF(AND(ISNUMBER($AP$789),$B$419=1),$AP$789,HLOOKUP(INDIRECT(ADDRESS(2,COLUMN())),OFFSET($BN$2,0,0,ROW()-1,60),ROW()-1,FALSE))</f>
        <v/>
      </c>
      <c r="AQ349" t="str">
        <f ca="1">IF(AND(ISNUMBER($AQ$789),$B$419=1),$AQ$789,HLOOKUP(INDIRECT(ADDRESS(2,COLUMN())),OFFSET($BN$2,0,0,ROW()-1,60),ROW()-1,FALSE))</f>
        <v/>
      </c>
      <c r="AR349" t="str">
        <f ca="1">IF(AND(ISNUMBER($AR$789),$B$419=1),$AR$789,HLOOKUP(INDIRECT(ADDRESS(2,COLUMN())),OFFSET($BN$2,0,0,ROW()-1,60),ROW()-1,FALSE))</f>
        <v/>
      </c>
      <c r="AS349" t="str">
        <f ca="1">IF(AND(ISNUMBER($AS$789),$B$419=1),$AS$789,HLOOKUP(INDIRECT(ADDRESS(2,COLUMN())),OFFSET($BN$2,0,0,ROW()-1,60),ROW()-1,FALSE))</f>
        <v/>
      </c>
      <c r="AT349" t="str">
        <f ca="1">IF(AND(ISNUMBER($AT$789),$B$419=1),$AT$789,HLOOKUP(INDIRECT(ADDRESS(2,COLUMN())),OFFSET($BN$2,0,0,ROW()-1,60),ROW()-1,FALSE))</f>
        <v/>
      </c>
      <c r="AU349" t="str">
        <f ca="1">IF(AND(ISNUMBER($AU$789),$B$419=1),$AU$789,HLOOKUP(INDIRECT(ADDRESS(2,COLUMN())),OFFSET($BN$2,0,0,ROW()-1,60),ROW()-1,FALSE))</f>
        <v/>
      </c>
      <c r="AV349" t="str">
        <f ca="1">IF(AND(ISNUMBER($AV$789),$B$419=1),$AV$789,HLOOKUP(INDIRECT(ADDRESS(2,COLUMN())),OFFSET($BN$2,0,0,ROW()-1,60),ROW()-1,FALSE))</f>
        <v/>
      </c>
      <c r="AW349" t="str">
        <f ca="1">IF(AND(ISNUMBER($AW$789),$B$419=1),$AW$789,HLOOKUP(INDIRECT(ADDRESS(2,COLUMN())),OFFSET($BN$2,0,0,ROW()-1,60),ROW()-1,FALSE))</f>
        <v/>
      </c>
      <c r="AX349" t="str">
        <f ca="1">IF(AND(ISNUMBER($AX$789),$B$419=1),$AX$789,HLOOKUP(INDIRECT(ADDRESS(2,COLUMN())),OFFSET($BN$2,0,0,ROW()-1,60),ROW()-1,FALSE))</f>
        <v/>
      </c>
      <c r="AY349" t="str">
        <f ca="1">IF(AND(ISNUMBER($AY$789),$B$419=1),$AY$789,HLOOKUP(INDIRECT(ADDRESS(2,COLUMN())),OFFSET($BN$2,0,0,ROW()-1,60),ROW()-1,FALSE))</f>
        <v/>
      </c>
      <c r="AZ349" t="str">
        <f ca="1">IF(AND(ISNUMBER($AZ$789),$B$419=1),$AZ$789,HLOOKUP(INDIRECT(ADDRESS(2,COLUMN())),OFFSET($BN$2,0,0,ROW()-1,60),ROW()-1,FALSE))</f>
        <v/>
      </c>
      <c r="BA349" t="str">
        <f ca="1">IF(AND(ISNUMBER($BA$789),$B$419=1),$BA$789,HLOOKUP(INDIRECT(ADDRESS(2,COLUMN())),OFFSET($BN$2,0,0,ROW()-1,60),ROW()-1,FALSE))</f>
        <v/>
      </c>
      <c r="BB349" t="str">
        <f ca="1">IF(AND(ISNUMBER($BB$789),$B$419=1),$BB$789,HLOOKUP(INDIRECT(ADDRESS(2,COLUMN())),OFFSET($BN$2,0,0,ROW()-1,60),ROW()-1,FALSE))</f>
        <v/>
      </c>
      <c r="BC349" t="str">
        <f ca="1">IF(AND(ISNUMBER($BC$789),$B$419=1),$BC$789,HLOOKUP(INDIRECT(ADDRESS(2,COLUMN())),OFFSET($BN$2,0,0,ROW()-1,60),ROW()-1,FALSE))</f>
        <v/>
      </c>
      <c r="BD349" t="str">
        <f ca="1">IF(AND(ISNUMBER($BD$789),$B$419=1),$BD$789,HLOOKUP(INDIRECT(ADDRESS(2,COLUMN())),OFFSET($BN$2,0,0,ROW()-1,60),ROW()-1,FALSE))</f>
        <v/>
      </c>
      <c r="BE349" t="str">
        <f ca="1">IF(AND(ISNUMBER($BE$789),$B$419=1),$BE$789,HLOOKUP(INDIRECT(ADDRESS(2,COLUMN())),OFFSET($BN$2,0,0,ROW()-1,60),ROW()-1,FALSE))</f>
        <v/>
      </c>
      <c r="BF349" t="str">
        <f ca="1">IF(AND(ISNUMBER($BF$789),$B$419=1),$BF$789,HLOOKUP(INDIRECT(ADDRESS(2,COLUMN())),OFFSET($BN$2,0,0,ROW()-1,60),ROW()-1,FALSE))</f>
        <v/>
      </c>
      <c r="BG349" t="str">
        <f ca="1">IF(AND(ISNUMBER($BG$789),$B$419=1),$BG$789,HLOOKUP(INDIRECT(ADDRESS(2,COLUMN())),OFFSET($BN$2,0,0,ROW()-1,60),ROW()-1,FALSE))</f>
        <v/>
      </c>
      <c r="BH349" t="str">
        <f ca="1">IF(AND(ISNUMBER($BH$789),$B$419=1),$BH$789,HLOOKUP(INDIRECT(ADDRESS(2,COLUMN())),OFFSET($BN$2,0,0,ROW()-1,60),ROW()-1,FALSE))</f>
        <v/>
      </c>
      <c r="BI349" t="str">
        <f ca="1">IF(AND(ISNUMBER($BI$789),$B$419=1),$BI$789,HLOOKUP(INDIRECT(ADDRESS(2,COLUMN())),OFFSET($BN$2,0,0,ROW()-1,60),ROW()-1,FALSE))</f>
        <v/>
      </c>
      <c r="BJ349" t="str">
        <f ca="1">IF(AND(ISNUMBER($BJ$789),$B$419=1),$BJ$789,HLOOKUP(INDIRECT(ADDRESS(2,COLUMN())),OFFSET($BN$2,0,0,ROW()-1,60),ROW()-1,FALSE))</f>
        <v/>
      </c>
      <c r="BK349" t="str">
        <f ca="1">IF(AND(ISNUMBER($BK$789),$B$419=1),$BK$789,HLOOKUP(INDIRECT(ADDRESS(2,COLUMN())),OFFSET($BN$2,0,0,ROW()-1,60),ROW()-1,FALSE))</f>
        <v/>
      </c>
      <c r="BL349" t="str">
        <f ca="1">IF(AND(ISNUMBER($BL$789),$B$419=1),$BL$789,HLOOKUP(INDIRECT(ADDRESS(2,COLUMN())),OFFSET($BN$2,0,0,ROW()-1,60),ROW()-1,FALSE))</f>
        <v/>
      </c>
      <c r="BM349" t="str">
        <f ca="1">IF(AND(ISNUMBER($BM$789),$B$419=1),$BM$789,HLOOKUP(INDIRECT(ADDRESS(2,COLUMN())),OFFSET($BN$2,0,0,ROW()-1,60),ROW()-1,FALSE))</f>
        <v/>
      </c>
      <c r="BN349" t="str">
        <f>""</f>
        <v/>
      </c>
      <c r="BO349">
        <f>19.612</f>
        <v>19.611999999999998</v>
      </c>
      <c r="BP349">
        <f>0.147</f>
        <v>0.14699999999999999</v>
      </c>
      <c r="BQ349">
        <f>0.29</f>
        <v>0.28999999999999998</v>
      </c>
      <c r="BR349">
        <f>8.599</f>
        <v>8.5990000000000002</v>
      </c>
      <c r="BS349">
        <f>9.38</f>
        <v>9.3800000000000008</v>
      </c>
      <c r="BT349">
        <f>0.188</f>
        <v>0.188</v>
      </c>
      <c r="BU349">
        <f>0.37</f>
        <v>0.37</v>
      </c>
      <c r="BV349">
        <f>7.688</f>
        <v>7.6879999999999997</v>
      </c>
      <c r="BW349" t="str">
        <f>""</f>
        <v/>
      </c>
      <c r="BX349">
        <f>0.128</f>
        <v>0.128</v>
      </c>
      <c r="BY349">
        <f>48.399</f>
        <v>48.399000000000001</v>
      </c>
      <c r="BZ349">
        <f>64.869</f>
        <v>64.869</v>
      </c>
      <c r="CA349">
        <f>67.080858</f>
        <v>67.080858000000006</v>
      </c>
      <c r="CB349">
        <f>0.475</f>
        <v>0.47499999999999998</v>
      </c>
      <c r="CC349">
        <f>9.01</f>
        <v>9.01</v>
      </c>
      <c r="CD349">
        <f>9.5021</f>
        <v>9.5021000000000004</v>
      </c>
      <c r="CE349">
        <f>12.741263</f>
        <v>12.741263</v>
      </c>
      <c r="CF349">
        <f>2.318574</f>
        <v>2.3185739999999999</v>
      </c>
      <c r="CG349">
        <f>0.71949</f>
        <v>0.71948999999999996</v>
      </c>
      <c r="CH349">
        <f>1.066797</f>
        <v>1.066797</v>
      </c>
      <c r="CI349">
        <f>2.271714</f>
        <v>2.2717139999999998</v>
      </c>
      <c r="CJ349">
        <f>0.205814</f>
        <v>0.205814</v>
      </c>
      <c r="CK349">
        <f>0</f>
        <v>0</v>
      </c>
      <c r="CL349">
        <f>7.579911</f>
        <v>7.5799110000000001</v>
      </c>
      <c r="CM349">
        <f>7.712557</f>
        <v>7.7125570000000003</v>
      </c>
      <c r="CN349">
        <f>0.277723</f>
        <v>0.277723</v>
      </c>
      <c r="CO349">
        <f>11.746081</f>
        <v>11.746081</v>
      </c>
      <c r="CP349">
        <f>11.926487</f>
        <v>11.926487</v>
      </c>
      <c r="CQ349">
        <f>12.102986</f>
        <v>12.102986</v>
      </c>
      <c r="CR349" t="str">
        <f>""</f>
        <v/>
      </c>
      <c r="CS349" t="str">
        <f>""</f>
        <v/>
      </c>
      <c r="CT349" t="str">
        <f>""</f>
        <v/>
      </c>
      <c r="CU349" t="str">
        <f>""</f>
        <v/>
      </c>
      <c r="CV349" t="str">
        <f>""</f>
        <v/>
      </c>
      <c r="CW349" t="str">
        <f>""</f>
        <v/>
      </c>
      <c r="CX349" t="str">
        <f>""</f>
        <v/>
      </c>
      <c r="CY349" t="str">
        <f>""</f>
        <v/>
      </c>
      <c r="CZ349" t="str">
        <f>""</f>
        <v/>
      </c>
      <c r="DA349" t="str">
        <f>""</f>
        <v/>
      </c>
      <c r="DB349" t="str">
        <f>""</f>
        <v/>
      </c>
      <c r="DC349" t="str">
        <f>""</f>
        <v/>
      </c>
      <c r="DD349" t="str">
        <f>""</f>
        <v/>
      </c>
      <c r="DE349" t="str">
        <f>""</f>
        <v/>
      </c>
      <c r="DF349" t="str">
        <f>""</f>
        <v/>
      </c>
      <c r="DG349" t="str">
        <f>""</f>
        <v/>
      </c>
      <c r="DH349" t="str">
        <f>""</f>
        <v/>
      </c>
      <c r="DI349" t="str">
        <f>""</f>
        <v/>
      </c>
      <c r="DJ349" t="str">
        <f>""</f>
        <v/>
      </c>
      <c r="DK349" t="str">
        <f>""</f>
        <v/>
      </c>
      <c r="DL349" t="str">
        <f>""</f>
        <v/>
      </c>
      <c r="DM349" t="str">
        <f>""</f>
        <v/>
      </c>
      <c r="DN349" t="str">
        <f>""</f>
        <v/>
      </c>
      <c r="DO349" t="str">
        <f>""</f>
        <v/>
      </c>
      <c r="DP349" t="str">
        <f>""</f>
        <v/>
      </c>
      <c r="DQ349" t="str">
        <f>""</f>
        <v/>
      </c>
      <c r="DR349" t="str">
        <f>""</f>
        <v/>
      </c>
      <c r="DS349" t="str">
        <f>""</f>
        <v/>
      </c>
      <c r="DT349" t="str">
        <f>""</f>
        <v/>
      </c>
      <c r="DU349" t="str">
        <f>""</f>
        <v/>
      </c>
    </row>
    <row r="350" spans="1:125">
      <c r="A350" t="str">
        <f>"    Retail Properties of America I"</f>
        <v xml:space="preserve">    Retail Properties of America I</v>
      </c>
      <c r="B350" t="str">
        <f>"RPAI US Equity"</f>
        <v>RPAI US Equity</v>
      </c>
      <c r="C350" t="str">
        <f t="shared" si="63"/>
        <v>BS658</v>
      </c>
      <c r="D350" t="str">
        <f t="shared" si="64"/>
        <v>BS_YEAR_1_PRINCIPAL</v>
      </c>
      <c r="E350" t="str">
        <f t="shared" si="65"/>
        <v>动态</v>
      </c>
      <c r="F350" t="str">
        <f ca="1">IF(AND(ISNUMBER($F$790),$B$419=1),$F$790,HLOOKUP(INDIRECT(ADDRESS(2,COLUMN())),OFFSET($BN$2,0,0,ROW()-1,60),ROW()-1,FALSE))</f>
        <v/>
      </c>
      <c r="G350">
        <f ca="1">IF(AND(ISNUMBER($G$790),$B$419=1),$G$790,HLOOKUP(INDIRECT(ADDRESS(2,COLUMN())),OFFSET($BN$2,0,0,ROW()-1,60),ROW()-1,FALSE))</f>
        <v>104.166</v>
      </c>
      <c r="H350">
        <f ca="1">IF(AND(ISNUMBER($H$790),$B$419=1),$H$790,HLOOKUP(INDIRECT(ADDRESS(2,COLUMN())),OFFSET($BN$2,0,0,ROW()-1,60),ROW()-1,FALSE))</f>
        <v>1.0029999999999999</v>
      </c>
      <c r="I350">
        <f ca="1">IF(AND(ISNUMBER($I$790),$B$419=1),$I$790,HLOOKUP(INDIRECT(ADDRESS(2,COLUMN())),OFFSET($BN$2,0,0,ROW()-1,60),ROW()-1,FALSE))</f>
        <v>27.157</v>
      </c>
      <c r="J350">
        <f ca="1">IF(AND(ISNUMBER($J$790),$B$419=1),$J$790,HLOOKUP(INDIRECT(ADDRESS(2,COLUMN())),OFFSET($BN$2,0,0,ROW()-1,60),ROW()-1,FALSE))</f>
        <v>28.324999999999999</v>
      </c>
      <c r="K350">
        <f ca="1">IF(AND(ISNUMBER($K$790),$B$419=1),$K$790,HLOOKUP(INDIRECT(ADDRESS(2,COLUMN())),OFFSET($BN$2,0,0,ROW()-1,60),ROW()-1,FALSE))</f>
        <v>35.023000000000003</v>
      </c>
      <c r="L350">
        <f ca="1">IF(AND(ISNUMBER($L$790),$B$419=1),$L$790,HLOOKUP(INDIRECT(ADDRESS(2,COLUMN())),OFFSET($BN$2,0,0,ROW()-1,60),ROW()-1,FALSE))</f>
        <v>2.8650000000000002</v>
      </c>
      <c r="M350">
        <f ca="1">IF(AND(ISNUMBER($M$790),$B$419=1),$M$790,HLOOKUP(INDIRECT(ADDRESS(2,COLUMN())),OFFSET($BN$2,0,0,ROW()-1,60),ROW()-1,FALSE))</f>
        <v>35.43</v>
      </c>
      <c r="N350">
        <f ca="1">IF(AND(ISNUMBER($N$790),$B$419=1),$N$790,HLOOKUP(INDIRECT(ADDRESS(2,COLUMN())),OFFSET($BN$2,0,0,ROW()-1,60),ROW()-1,FALSE))</f>
        <v>44.683</v>
      </c>
      <c r="O350">
        <f ca="1">IF(AND(ISNUMBER($O$790),$B$419=1),$O$790,HLOOKUP(INDIRECT(ADDRESS(2,COLUMN())),OFFSET($BN$2,0,0,ROW()-1,60),ROW()-1,FALSE))</f>
        <v>48.875999999999998</v>
      </c>
      <c r="P350">
        <f ca="1">IF(AND(ISNUMBER($P$790),$B$419=1),$P$790,HLOOKUP(INDIRECT(ADDRESS(2,COLUMN())),OFFSET($BN$2,0,0,ROW()-1,60),ROW()-1,FALSE))</f>
        <v>77.754000000000005</v>
      </c>
      <c r="Q350">
        <f ca="1">IF(AND(ISNUMBER($Q$790),$B$419=1),$Q$790,HLOOKUP(INDIRECT(ADDRESS(2,COLUMN())),OFFSET($BN$2,0,0,ROW()-1,60),ROW()-1,FALSE))</f>
        <v>245.32400000000001</v>
      </c>
      <c r="R350">
        <f ca="1">IF(AND(ISNUMBER($R$790),$B$419=1),$R$790,HLOOKUP(INDIRECT(ADDRESS(2,COLUMN())),OFFSET($BN$2,0,0,ROW()-1,60),ROW()-1,FALSE))</f>
        <v>320.35700000000003</v>
      </c>
      <c r="S350">
        <f ca="1">IF(AND(ISNUMBER($S$790),$B$419=1),$S$790,HLOOKUP(INDIRECT(ADDRESS(2,COLUMN())),OFFSET($BN$2,0,0,ROW()-1,60),ROW()-1,FALSE))</f>
        <v>391.55900000000003</v>
      </c>
      <c r="T350">
        <f ca="1">IF(AND(ISNUMBER($T$790),$B$419=1),$T$790,HLOOKUP(INDIRECT(ADDRESS(2,COLUMN())),OFFSET($BN$2,0,0,ROW()-1,60),ROW()-1,FALSE))</f>
        <v>19.125</v>
      </c>
      <c r="U350">
        <f ca="1">IF(AND(ISNUMBER($U$790),$B$419=1),$U$790,HLOOKUP(INDIRECT(ADDRESS(2,COLUMN())),OFFSET($BN$2,0,0,ROW()-1,60),ROW()-1,FALSE))</f>
        <v>23.913</v>
      </c>
      <c r="V350">
        <f ca="1">IF(AND(ISNUMBER($V$790),$B$419=1),$V$790,HLOOKUP(INDIRECT(ADDRESS(2,COLUMN())),OFFSET($BN$2,0,0,ROW()-1,60),ROW()-1,FALSE))</f>
        <v>30.49</v>
      </c>
      <c r="W350">
        <f ca="1">IF(AND(ISNUMBER($W$790),$B$419=1),$W$790,HLOOKUP(INDIRECT(ADDRESS(2,COLUMN())),OFFSET($BN$2,0,0,ROW()-1,60),ROW()-1,FALSE))</f>
        <v>49.825000000000003</v>
      </c>
      <c r="X350">
        <f ca="1">IF(AND(ISNUMBER($X$790),$B$419=1),$X$790,HLOOKUP(INDIRECT(ADDRESS(2,COLUMN())),OFFSET($BN$2,0,0,ROW()-1,60),ROW()-1,FALSE))</f>
        <v>65.478999999999999</v>
      </c>
      <c r="Y350">
        <f ca="1">IF(AND(ISNUMBER($Y$790),$B$419=1),$Y$790,HLOOKUP(INDIRECT(ADDRESS(2,COLUMN())),OFFSET($BN$2,0,0,ROW()-1,60),ROW()-1,FALSE))</f>
        <v>96.81</v>
      </c>
      <c r="Z350">
        <f ca="1">IF(AND(ISNUMBER($Z$790),$B$419=1),$Z$790,HLOOKUP(INDIRECT(ADDRESS(2,COLUMN())),OFFSET($BN$2,0,0,ROW()-1,60),ROW()-1,FALSE))</f>
        <v>204.85300000000001</v>
      </c>
      <c r="AA350">
        <f ca="1">IF(AND(ISNUMBER($AA$790),$B$419=1),$AA$790,HLOOKUP(INDIRECT(ADDRESS(2,COLUMN())),OFFSET($BN$2,0,0,ROW()-1,60),ROW()-1,FALSE))</f>
        <v>236.19399999999999</v>
      </c>
      <c r="AB350">
        <f ca="1">IF(AND(ISNUMBER($AB$790),$B$419=1),$AB$790,HLOOKUP(INDIRECT(ADDRESS(2,COLUMN())),OFFSET($BN$2,0,0,ROW()-1,60),ROW()-1,FALSE))</f>
        <v>62.23</v>
      </c>
      <c r="AC350">
        <f ca="1">IF(AND(ISNUMBER($AC$790),$B$419=1),$AC$790,HLOOKUP(INDIRECT(ADDRESS(2,COLUMN())),OFFSET($BN$2,0,0,ROW()-1,60),ROW()-1,FALSE))</f>
        <v>258.27100000000002</v>
      </c>
      <c r="AD350">
        <f ca="1">IF(AND(ISNUMBER($AD$790),$B$419=1),$AD$790,HLOOKUP(INDIRECT(ADDRESS(2,COLUMN())),OFFSET($BN$2,0,0,ROW()-1,60),ROW()-1,FALSE))</f>
        <v>396.19900000000001</v>
      </c>
      <c r="AE350">
        <f ca="1">IF(AND(ISNUMBER($AE$790),$B$419=1),$AE$790,HLOOKUP(INDIRECT(ADDRESS(2,COLUMN())),OFFSET($BN$2,0,0,ROW()-1,60),ROW()-1,FALSE))</f>
        <v>527.37699999999995</v>
      </c>
      <c r="AF350">
        <f ca="1">IF(AND(ISNUMBER($AF$790),$B$419=1),$AF$790,HLOOKUP(INDIRECT(ADDRESS(2,COLUMN())),OFFSET($BN$2,0,0,ROW()-1,60),ROW()-1,FALSE))</f>
        <v>145.31200000000001</v>
      </c>
      <c r="AG350">
        <f ca="1">IF(AND(ISNUMBER($AG$790),$B$419=1),$AG$790,HLOOKUP(INDIRECT(ADDRESS(2,COLUMN())),OFFSET($BN$2,0,0,ROW()-1,60),ROW()-1,FALSE))</f>
        <v>279.12400000000002</v>
      </c>
      <c r="AH350">
        <f ca="1">IF(AND(ISNUMBER($AH$790),$B$419=1),$AH$790,HLOOKUP(INDIRECT(ADDRESS(2,COLUMN())),OFFSET($BN$2,0,0,ROW()-1,60),ROW()-1,FALSE))</f>
        <v>407.86700000000002</v>
      </c>
      <c r="AI350" t="str">
        <f ca="1">IF(AND(ISNUMBER($AI$790),$B$419=1),$AI$790,HLOOKUP(INDIRECT(ADDRESS(2,COLUMN())),OFFSET($BN$2,0,0,ROW()-1,60),ROW()-1,FALSE))</f>
        <v/>
      </c>
      <c r="AJ350">
        <f ca="1">IF(AND(ISNUMBER($AJ$790),$B$419=1),$AJ$790,HLOOKUP(INDIRECT(ADDRESS(2,COLUMN())),OFFSET($BN$2,0,0,ROW()-1,60),ROW()-1,FALSE))</f>
        <v>312.02999999999997</v>
      </c>
      <c r="AK350" t="str">
        <f ca="1">IF(AND(ISNUMBER($AK$790),$B$419=1),$AK$790,HLOOKUP(INDIRECT(ADDRESS(2,COLUMN())),OFFSET($BN$2,0,0,ROW()-1,60),ROW()-1,FALSE))</f>
        <v/>
      </c>
      <c r="AL350" t="str">
        <f ca="1">IF(AND(ISNUMBER($AL$790),$B$419=1),$AL$790,HLOOKUP(INDIRECT(ADDRESS(2,COLUMN())),OFFSET($BN$2,0,0,ROW()-1,60),ROW()-1,FALSE))</f>
        <v/>
      </c>
      <c r="AM350" t="str">
        <f ca="1">IF(AND(ISNUMBER($AM$790),$B$419=1),$AM$790,HLOOKUP(INDIRECT(ADDRESS(2,COLUMN())),OFFSET($BN$2,0,0,ROW()-1,60),ROW()-1,FALSE))</f>
        <v/>
      </c>
      <c r="AN350" t="str">
        <f ca="1">IF(AND(ISNUMBER($AN$790),$B$419=1),$AN$790,HLOOKUP(INDIRECT(ADDRESS(2,COLUMN())),OFFSET($BN$2,0,0,ROW()-1,60),ROW()-1,FALSE))</f>
        <v/>
      </c>
      <c r="AO350" t="str">
        <f ca="1">IF(AND(ISNUMBER($AO$790),$B$419=1),$AO$790,HLOOKUP(INDIRECT(ADDRESS(2,COLUMN())),OFFSET($BN$2,0,0,ROW()-1,60),ROW()-1,FALSE))</f>
        <v/>
      </c>
      <c r="AP350" t="str">
        <f ca="1">IF(AND(ISNUMBER($AP$790),$B$419=1),$AP$790,HLOOKUP(INDIRECT(ADDRESS(2,COLUMN())),OFFSET($BN$2,0,0,ROW()-1,60),ROW()-1,FALSE))</f>
        <v/>
      </c>
      <c r="AQ350" t="str">
        <f ca="1">IF(AND(ISNUMBER($AQ$790),$B$419=1),$AQ$790,HLOOKUP(INDIRECT(ADDRESS(2,COLUMN())),OFFSET($BN$2,0,0,ROW()-1,60),ROW()-1,FALSE))</f>
        <v/>
      </c>
      <c r="AR350" t="str">
        <f ca="1">IF(AND(ISNUMBER($AR$790),$B$419=1),$AR$790,HLOOKUP(INDIRECT(ADDRESS(2,COLUMN())),OFFSET($BN$2,0,0,ROW()-1,60),ROW()-1,FALSE))</f>
        <v/>
      </c>
      <c r="AS350" t="str">
        <f ca="1">IF(AND(ISNUMBER($AS$790),$B$419=1),$AS$790,HLOOKUP(INDIRECT(ADDRESS(2,COLUMN())),OFFSET($BN$2,0,0,ROW()-1,60),ROW()-1,FALSE))</f>
        <v/>
      </c>
      <c r="AT350" t="str">
        <f ca="1">IF(AND(ISNUMBER($AT$790),$B$419=1),$AT$790,HLOOKUP(INDIRECT(ADDRESS(2,COLUMN())),OFFSET($BN$2,0,0,ROW()-1,60),ROW()-1,FALSE))</f>
        <v/>
      </c>
      <c r="AU350" t="str">
        <f ca="1">IF(AND(ISNUMBER($AU$790),$B$419=1),$AU$790,HLOOKUP(INDIRECT(ADDRESS(2,COLUMN())),OFFSET($BN$2,0,0,ROW()-1,60),ROW()-1,FALSE))</f>
        <v/>
      </c>
      <c r="AV350" t="str">
        <f ca="1">IF(AND(ISNUMBER($AV$790),$B$419=1),$AV$790,HLOOKUP(INDIRECT(ADDRESS(2,COLUMN())),OFFSET($BN$2,0,0,ROW()-1,60),ROW()-1,FALSE))</f>
        <v/>
      </c>
      <c r="AW350" t="str">
        <f ca="1">IF(AND(ISNUMBER($AW$790),$B$419=1),$AW$790,HLOOKUP(INDIRECT(ADDRESS(2,COLUMN())),OFFSET($BN$2,0,0,ROW()-1,60),ROW()-1,FALSE))</f>
        <v/>
      </c>
      <c r="AX350" t="str">
        <f ca="1">IF(AND(ISNUMBER($AX$790),$B$419=1),$AX$790,HLOOKUP(INDIRECT(ADDRESS(2,COLUMN())),OFFSET($BN$2,0,0,ROW()-1,60),ROW()-1,FALSE))</f>
        <v/>
      </c>
      <c r="AY350" t="str">
        <f ca="1">IF(AND(ISNUMBER($AY$790),$B$419=1),$AY$790,HLOOKUP(INDIRECT(ADDRESS(2,COLUMN())),OFFSET($BN$2,0,0,ROW()-1,60),ROW()-1,FALSE))</f>
        <v/>
      </c>
      <c r="AZ350" t="str">
        <f ca="1">IF(AND(ISNUMBER($AZ$790),$B$419=1),$AZ$790,HLOOKUP(INDIRECT(ADDRESS(2,COLUMN())),OFFSET($BN$2,0,0,ROW()-1,60),ROW()-1,FALSE))</f>
        <v/>
      </c>
      <c r="BA350" t="str">
        <f ca="1">IF(AND(ISNUMBER($BA$790),$B$419=1),$BA$790,HLOOKUP(INDIRECT(ADDRESS(2,COLUMN())),OFFSET($BN$2,0,0,ROW()-1,60),ROW()-1,FALSE))</f>
        <v/>
      </c>
      <c r="BB350" t="str">
        <f ca="1">IF(AND(ISNUMBER($BB$790),$B$419=1),$BB$790,HLOOKUP(INDIRECT(ADDRESS(2,COLUMN())),OFFSET($BN$2,0,0,ROW()-1,60),ROW()-1,FALSE))</f>
        <v/>
      </c>
      <c r="BC350" t="str">
        <f ca="1">IF(AND(ISNUMBER($BC$790),$B$419=1),$BC$790,HLOOKUP(INDIRECT(ADDRESS(2,COLUMN())),OFFSET($BN$2,0,0,ROW()-1,60),ROW()-1,FALSE))</f>
        <v/>
      </c>
      <c r="BD350" t="str">
        <f ca="1">IF(AND(ISNUMBER($BD$790),$B$419=1),$BD$790,HLOOKUP(INDIRECT(ADDRESS(2,COLUMN())),OFFSET($BN$2,0,0,ROW()-1,60),ROW()-1,FALSE))</f>
        <v/>
      </c>
      <c r="BE350" t="str">
        <f ca="1">IF(AND(ISNUMBER($BE$790),$B$419=1),$BE$790,HLOOKUP(INDIRECT(ADDRESS(2,COLUMN())),OFFSET($BN$2,0,0,ROW()-1,60),ROW()-1,FALSE))</f>
        <v/>
      </c>
      <c r="BF350" t="str">
        <f ca="1">IF(AND(ISNUMBER($BF$790),$B$419=1),$BF$790,HLOOKUP(INDIRECT(ADDRESS(2,COLUMN())),OFFSET($BN$2,0,0,ROW()-1,60),ROW()-1,FALSE))</f>
        <v/>
      </c>
      <c r="BG350" t="str">
        <f ca="1">IF(AND(ISNUMBER($BG$790),$B$419=1),$BG$790,HLOOKUP(INDIRECT(ADDRESS(2,COLUMN())),OFFSET($BN$2,0,0,ROW()-1,60),ROW()-1,FALSE))</f>
        <v/>
      </c>
      <c r="BH350" t="str">
        <f ca="1">IF(AND(ISNUMBER($BH$790),$B$419=1),$BH$790,HLOOKUP(INDIRECT(ADDRESS(2,COLUMN())),OFFSET($BN$2,0,0,ROW()-1,60),ROW()-1,FALSE))</f>
        <v/>
      </c>
      <c r="BI350" t="str">
        <f ca="1">IF(AND(ISNUMBER($BI$790),$B$419=1),$BI$790,HLOOKUP(INDIRECT(ADDRESS(2,COLUMN())),OFFSET($BN$2,0,0,ROW()-1,60),ROW()-1,FALSE))</f>
        <v/>
      </c>
      <c r="BJ350" t="str">
        <f ca="1">IF(AND(ISNUMBER($BJ$790),$B$419=1),$BJ$790,HLOOKUP(INDIRECT(ADDRESS(2,COLUMN())),OFFSET($BN$2,0,0,ROW()-1,60),ROW()-1,FALSE))</f>
        <v/>
      </c>
      <c r="BK350" t="str">
        <f ca="1">IF(AND(ISNUMBER($BK$790),$B$419=1),$BK$790,HLOOKUP(INDIRECT(ADDRESS(2,COLUMN())),OFFSET($BN$2,0,0,ROW()-1,60),ROW()-1,FALSE))</f>
        <v/>
      </c>
      <c r="BL350" t="str">
        <f ca="1">IF(AND(ISNUMBER($BL$790),$B$419=1),$BL$790,HLOOKUP(INDIRECT(ADDRESS(2,COLUMN())),OFFSET($BN$2,0,0,ROW()-1,60),ROW()-1,FALSE))</f>
        <v/>
      </c>
      <c r="BM350" t="str">
        <f ca="1">IF(AND(ISNUMBER($BM$790),$B$419=1),$BM$790,HLOOKUP(INDIRECT(ADDRESS(2,COLUMN())),OFFSET($BN$2,0,0,ROW()-1,60),ROW()-1,FALSE))</f>
        <v/>
      </c>
      <c r="BN350" t="str">
        <f>""</f>
        <v/>
      </c>
      <c r="BO350">
        <f>104.166</f>
        <v>104.166</v>
      </c>
      <c r="BP350">
        <f>1.003</f>
        <v>1.0029999999999999</v>
      </c>
      <c r="BQ350">
        <f>27.157</f>
        <v>27.157</v>
      </c>
      <c r="BR350">
        <f>28.325</f>
        <v>28.324999999999999</v>
      </c>
      <c r="BS350">
        <f>35.023</f>
        <v>35.023000000000003</v>
      </c>
      <c r="BT350">
        <f>2.865</f>
        <v>2.8650000000000002</v>
      </c>
      <c r="BU350">
        <f>35.43</f>
        <v>35.43</v>
      </c>
      <c r="BV350">
        <f>44.683</f>
        <v>44.683</v>
      </c>
      <c r="BW350">
        <f>48.876</f>
        <v>48.875999999999998</v>
      </c>
      <c r="BX350">
        <f>77.754</f>
        <v>77.754000000000005</v>
      </c>
      <c r="BY350">
        <f>245.324</f>
        <v>245.32400000000001</v>
      </c>
      <c r="BZ350">
        <f>320.357</f>
        <v>320.35700000000003</v>
      </c>
      <c r="CA350">
        <f>391.559</f>
        <v>391.55900000000003</v>
      </c>
      <c r="CB350">
        <f>19.125</f>
        <v>19.125</v>
      </c>
      <c r="CC350">
        <f>23.913</f>
        <v>23.913</v>
      </c>
      <c r="CD350">
        <f>30.49</f>
        <v>30.49</v>
      </c>
      <c r="CE350">
        <f>49.825</f>
        <v>49.825000000000003</v>
      </c>
      <c r="CF350">
        <f>65.479</f>
        <v>65.478999999999999</v>
      </c>
      <c r="CG350">
        <f>96.81</f>
        <v>96.81</v>
      </c>
      <c r="CH350">
        <f>204.853</f>
        <v>204.85300000000001</v>
      </c>
      <c r="CI350">
        <f>236.194</f>
        <v>236.19399999999999</v>
      </c>
      <c r="CJ350">
        <f>62.23</f>
        <v>62.23</v>
      </c>
      <c r="CK350">
        <f>258.271</f>
        <v>258.27100000000002</v>
      </c>
      <c r="CL350">
        <f>396.199</f>
        <v>396.19900000000001</v>
      </c>
      <c r="CM350">
        <f>527.377</f>
        <v>527.37699999999995</v>
      </c>
      <c r="CN350">
        <f>145.312</f>
        <v>145.31200000000001</v>
      </c>
      <c r="CO350">
        <f>279.124</f>
        <v>279.12400000000002</v>
      </c>
      <c r="CP350">
        <f>407.867</f>
        <v>407.86700000000002</v>
      </c>
      <c r="CQ350" t="str">
        <f>""</f>
        <v/>
      </c>
      <c r="CR350">
        <f>312.03</f>
        <v>312.02999999999997</v>
      </c>
      <c r="CS350" t="str">
        <f>""</f>
        <v/>
      </c>
      <c r="CT350" t="str">
        <f>""</f>
        <v/>
      </c>
      <c r="CU350" t="str">
        <f>""</f>
        <v/>
      </c>
      <c r="CV350" t="str">
        <f>""</f>
        <v/>
      </c>
      <c r="CW350" t="str">
        <f>""</f>
        <v/>
      </c>
      <c r="CX350" t="str">
        <f>""</f>
        <v/>
      </c>
      <c r="CY350" t="str">
        <f>""</f>
        <v/>
      </c>
      <c r="CZ350" t="str">
        <f>""</f>
        <v/>
      </c>
      <c r="DA350" t="str">
        <f>""</f>
        <v/>
      </c>
      <c r="DB350" t="str">
        <f>""</f>
        <v/>
      </c>
      <c r="DC350" t="str">
        <f>""</f>
        <v/>
      </c>
      <c r="DD350" t="str">
        <f>""</f>
        <v/>
      </c>
      <c r="DE350" t="str">
        <f>""</f>
        <v/>
      </c>
      <c r="DF350" t="str">
        <f>""</f>
        <v/>
      </c>
      <c r="DG350" t="str">
        <f>""</f>
        <v/>
      </c>
      <c r="DH350" t="str">
        <f>""</f>
        <v/>
      </c>
      <c r="DI350" t="str">
        <f>""</f>
        <v/>
      </c>
      <c r="DJ350" t="str">
        <f>""</f>
        <v/>
      </c>
      <c r="DK350" t="str">
        <f>""</f>
        <v/>
      </c>
      <c r="DL350" t="str">
        <f>""</f>
        <v/>
      </c>
      <c r="DM350" t="str">
        <f>""</f>
        <v/>
      </c>
      <c r="DN350" t="str">
        <f>""</f>
        <v/>
      </c>
      <c r="DO350" t="str">
        <f>""</f>
        <v/>
      </c>
      <c r="DP350" t="str">
        <f>""</f>
        <v/>
      </c>
      <c r="DQ350" t="str">
        <f>""</f>
        <v/>
      </c>
      <c r="DR350" t="str">
        <f>""</f>
        <v/>
      </c>
      <c r="DS350" t="str">
        <f>""</f>
        <v/>
      </c>
      <c r="DT350" t="str">
        <f>""</f>
        <v/>
      </c>
      <c r="DU350" t="str">
        <f>""</f>
        <v/>
      </c>
    </row>
    <row r="351" spans="1:125">
      <c r="A351" t="str">
        <f>"    Simon Property Group Inc"</f>
        <v xml:space="preserve">    Simon Property Group Inc</v>
      </c>
      <c r="B351" t="str">
        <f>"SPG US Equity"</f>
        <v>SPG US Equity</v>
      </c>
      <c r="C351" t="str">
        <f t="shared" si="63"/>
        <v>BS658</v>
      </c>
      <c r="D351" t="str">
        <f t="shared" si="64"/>
        <v>BS_YEAR_1_PRINCIPAL</v>
      </c>
      <c r="E351" t="str">
        <f t="shared" si="65"/>
        <v>动态</v>
      </c>
      <c r="F351" t="str">
        <f ca="1">IF(AND(ISNUMBER($F$791),$B$419=1),$F$791,HLOOKUP(INDIRECT(ADDRESS(2,COLUMN())),OFFSET($BN$2,0,0,ROW()-1,60),ROW()-1,FALSE))</f>
        <v/>
      </c>
      <c r="G351">
        <f ca="1">IF(AND(ISNUMBER($G$791),$B$419=1),$G$791,HLOOKUP(INDIRECT(ADDRESS(2,COLUMN())),OFFSET($BN$2,0,0,ROW()-1,60),ROW()-1,FALSE))</f>
        <v>2169.8409999999999</v>
      </c>
      <c r="H351">
        <f ca="1">IF(AND(ISNUMBER($H$791),$B$419=1),$H$791,HLOOKUP(INDIRECT(ADDRESS(2,COLUMN())),OFFSET($BN$2,0,0,ROW()-1,60),ROW()-1,FALSE))</f>
        <v>1309.232</v>
      </c>
      <c r="I351">
        <f ca="1">IF(AND(ISNUMBER($I$791),$B$419=1),$I$791,HLOOKUP(INDIRECT(ADDRESS(2,COLUMN())),OFFSET($BN$2,0,0,ROW()-1,60),ROW()-1,FALSE))</f>
        <v>1633.95</v>
      </c>
      <c r="J351">
        <f ca="1">IF(AND(ISNUMBER($J$791),$B$419=1),$J$791,HLOOKUP(INDIRECT(ADDRESS(2,COLUMN())),OFFSET($BN$2,0,0,ROW()-1,60),ROW()-1,FALSE))</f>
        <v>2432.5210000000002</v>
      </c>
      <c r="K351">
        <f ca="1">IF(AND(ISNUMBER($K$791),$B$419=1),$K$791,HLOOKUP(INDIRECT(ADDRESS(2,COLUMN())),OFFSET($BN$2,0,0,ROW()-1,60),ROW()-1,FALSE))</f>
        <v>2488.663</v>
      </c>
      <c r="L351">
        <f ca="1">IF(AND(ISNUMBER($L$791),$B$419=1),$L$791,HLOOKUP(INDIRECT(ADDRESS(2,COLUMN())),OFFSET($BN$2,0,0,ROW()-1,60),ROW()-1,FALSE))</f>
        <v>1037.9179999999999</v>
      </c>
      <c r="M351">
        <f ca="1">IF(AND(ISNUMBER($M$791),$B$419=1),$M$791,HLOOKUP(INDIRECT(ADDRESS(2,COLUMN())),OFFSET($BN$2,0,0,ROW()-1,60),ROW()-1,FALSE))</f>
        <v>1967.3969999999999</v>
      </c>
      <c r="N351">
        <f ca="1">IF(AND(ISNUMBER($N$791),$B$419=1),$N$791,HLOOKUP(INDIRECT(ADDRESS(2,COLUMN())),OFFSET($BN$2,0,0,ROW()-1,60),ROW()-1,FALSE))</f>
        <v>2191.5279999999998</v>
      </c>
      <c r="O351">
        <f ca="1">IF(AND(ISNUMBER($O$791),$B$419=1),$O$791,HLOOKUP(INDIRECT(ADDRESS(2,COLUMN())),OFFSET($BN$2,0,0,ROW()-1,60),ROW()-1,FALSE))</f>
        <v>3577.527</v>
      </c>
      <c r="P351">
        <f ca="1">IF(AND(ISNUMBER($P$791),$B$419=1),$P$791,HLOOKUP(INDIRECT(ADDRESS(2,COLUMN())),OFFSET($BN$2,0,0,ROW()-1,60),ROW()-1,FALSE))</f>
        <v>824.91899999999998</v>
      </c>
      <c r="Q351">
        <f ca="1">IF(AND(ISNUMBER($Q$791),$B$419=1),$Q$791,HLOOKUP(INDIRECT(ADDRESS(2,COLUMN())),OFFSET($BN$2,0,0,ROW()-1,60),ROW()-1,FALSE))</f>
        <v>1209.192</v>
      </c>
      <c r="R351">
        <f ca="1">IF(AND(ISNUMBER($R$791),$B$419=1),$R$791,HLOOKUP(INDIRECT(ADDRESS(2,COLUMN())),OFFSET($BN$2,0,0,ROW()-1,60),ROW()-1,FALSE))</f>
        <v>1221.08</v>
      </c>
      <c r="S351">
        <f ca="1">IF(AND(ISNUMBER($S$791),$B$419=1),$S$791,HLOOKUP(INDIRECT(ADDRESS(2,COLUMN())),OFFSET($BN$2,0,0,ROW()-1,60),ROW()-1,FALSE))</f>
        <v>1968.779</v>
      </c>
      <c r="T351">
        <f ca="1">IF(AND(ISNUMBER($T$791),$B$419=1),$T$791,HLOOKUP(INDIRECT(ADDRESS(2,COLUMN())),OFFSET($BN$2,0,0,ROW()-1,60),ROW()-1,FALSE))</f>
        <v>37.771000000000001</v>
      </c>
      <c r="U351">
        <f ca="1">IF(AND(ISNUMBER($U$791),$B$419=1),$U$791,HLOOKUP(INDIRECT(ADDRESS(2,COLUMN())),OFFSET($BN$2,0,0,ROW()-1,60),ROW()-1,FALSE))</f>
        <v>276.75700000000001</v>
      </c>
      <c r="V351">
        <f ca="1">IF(AND(ISNUMBER($V$791),$B$419=1),$V$791,HLOOKUP(INDIRECT(ADDRESS(2,COLUMN())),OFFSET($BN$2,0,0,ROW()-1,60),ROW()-1,FALSE))</f>
        <v>384.83699999999999</v>
      </c>
      <c r="W351">
        <f ca="1">IF(AND(ISNUMBER($W$791),$B$419=1),$W$791,HLOOKUP(INDIRECT(ADDRESS(2,COLUMN())),OFFSET($BN$2,0,0,ROW()-1,60),ROW()-1,FALSE))</f>
        <v>2655.415</v>
      </c>
      <c r="X351">
        <f ca="1">IF(AND(ISNUMBER($X$791),$B$419=1),$X$791,HLOOKUP(INDIRECT(ADDRESS(2,COLUMN())),OFFSET($BN$2,0,0,ROW()-1,60),ROW()-1,FALSE))</f>
        <v>18.838000000000001</v>
      </c>
      <c r="Y351">
        <f ca="1">IF(AND(ISNUMBER($Y$791),$B$419=1),$Y$791,HLOOKUP(INDIRECT(ADDRESS(2,COLUMN())),OFFSET($BN$2,0,0,ROW()-1,60),ROW()-1,FALSE))</f>
        <v>114.727</v>
      </c>
      <c r="Z351">
        <f ca="1">IF(AND(ISNUMBER($Z$791),$B$419=1),$Z$791,HLOOKUP(INDIRECT(ADDRESS(2,COLUMN())),OFFSET($BN$2,0,0,ROW()-1,60),ROW()-1,FALSE))</f>
        <v>130.41399999999999</v>
      </c>
      <c r="AA351">
        <f ca="1">IF(AND(ISNUMBER($AA$791),$B$419=1),$AA$791,HLOOKUP(INDIRECT(ADDRESS(2,COLUMN())),OFFSET($BN$2,0,0,ROW()-1,60),ROW()-1,FALSE))</f>
        <v>821.63699999999994</v>
      </c>
      <c r="AB351">
        <f ca="1">IF(AND(ISNUMBER($AB$791),$B$419=1),$AB$791,HLOOKUP(INDIRECT(ADDRESS(2,COLUMN())),OFFSET($BN$2,0,0,ROW()-1,60),ROW()-1,FALSE))</f>
        <v>19.045999999999999</v>
      </c>
      <c r="AC351">
        <f ca="1">IF(AND(ISNUMBER($AC$791),$B$419=1),$AC$791,HLOOKUP(INDIRECT(ADDRESS(2,COLUMN())),OFFSET($BN$2,0,0,ROW()-1,60),ROW()-1,FALSE))</f>
        <v>248.10499999999999</v>
      </c>
      <c r="AD351">
        <f ca="1">IF(AND(ISNUMBER($AD$791),$B$419=1),$AD$791,HLOOKUP(INDIRECT(ADDRESS(2,COLUMN())),OFFSET($BN$2,0,0,ROW()-1,60),ROW()-1,FALSE))</f>
        <v>623.73199999999997</v>
      </c>
      <c r="AE351">
        <f ca="1">IF(AND(ISNUMBER($AE$791),$B$419=1),$AE$791,HLOOKUP(INDIRECT(ADDRESS(2,COLUMN())),OFFSET($BN$2,0,0,ROW()-1,60),ROW()-1,FALSE))</f>
        <v>1564.6610000000001</v>
      </c>
      <c r="AF351">
        <f ca="1">IF(AND(ISNUMBER($AF$791),$B$419=1),$AF$791,HLOOKUP(INDIRECT(ADDRESS(2,COLUMN())),OFFSET($BN$2,0,0,ROW()-1,60),ROW()-1,FALSE))</f>
        <v>17.198</v>
      </c>
      <c r="AG351">
        <f ca="1">IF(AND(ISNUMBER($AG$791),$B$419=1),$AG$791,HLOOKUP(INDIRECT(ADDRESS(2,COLUMN())),OFFSET($BN$2,0,0,ROW()-1,60),ROW()-1,FALSE))</f>
        <v>229.471</v>
      </c>
      <c r="AH351">
        <f ca="1">IF(AND(ISNUMBER($AH$791),$B$419=1),$AH$791,HLOOKUP(INDIRECT(ADDRESS(2,COLUMN())),OFFSET($BN$2,0,0,ROW()-1,60),ROW()-1,FALSE))</f>
        <v>600.62699999999995</v>
      </c>
      <c r="AI351">
        <f ca="1">IF(AND(ISNUMBER($AI$791),$B$419=1),$AI$791,HLOOKUP(INDIRECT(ADDRESS(2,COLUMN())),OFFSET($BN$2,0,0,ROW()-1,60),ROW()-1,FALSE))</f>
        <v>1674.5630000000001</v>
      </c>
      <c r="AJ351">
        <f ca="1">IF(AND(ISNUMBER($AJ$791),$B$419=1),$AJ$791,HLOOKUP(INDIRECT(ADDRESS(2,COLUMN())),OFFSET($BN$2,0,0,ROW()-1,60),ROW()-1,FALSE))</f>
        <v>78.938999999999993</v>
      </c>
      <c r="AK351">
        <f ca="1">IF(AND(ISNUMBER($AK$791),$B$419=1),$AK$791,HLOOKUP(INDIRECT(ADDRESS(2,COLUMN())),OFFSET($BN$2,0,0,ROW()-1,60),ROW()-1,FALSE))</f>
        <v>766.01700000000005</v>
      </c>
      <c r="AL351">
        <f ca="1">IF(AND(ISNUMBER($AL$791),$B$419=1),$AL$791,HLOOKUP(INDIRECT(ADDRESS(2,COLUMN())),OFFSET($BN$2,0,0,ROW()-1,60),ROW()-1,FALSE))</f>
        <v>1715.7860000000001</v>
      </c>
      <c r="AM351">
        <f ca="1">IF(AND(ISNUMBER($AM$791),$B$419=1),$AM$791,HLOOKUP(INDIRECT(ADDRESS(2,COLUMN())),OFFSET($BN$2,0,0,ROW()-1,60),ROW()-1,FALSE))</f>
        <v>2096.8020000000001</v>
      </c>
      <c r="AN351">
        <f ca="1">IF(AND(ISNUMBER($AN$791),$B$419=1),$AN$791,HLOOKUP(INDIRECT(ADDRESS(2,COLUMN())),OFFSET($BN$2,0,0,ROW()-1,60),ROW()-1,FALSE))</f>
        <v>325.476</v>
      </c>
      <c r="AO351">
        <f ca="1">IF(AND(ISNUMBER($AO$791),$B$419=1),$AO$791,HLOOKUP(INDIRECT(ADDRESS(2,COLUMN())),OFFSET($BN$2,0,0,ROW()-1,60),ROW()-1,FALSE))</f>
        <v>374.202</v>
      </c>
      <c r="AP351">
        <f ca="1">IF(AND(ISNUMBER($AP$791),$B$419=1),$AP$791,HLOOKUP(INDIRECT(ADDRESS(2,COLUMN())),OFFSET($BN$2,0,0,ROW()-1,60),ROW()-1,FALSE))</f>
        <v>1259.954</v>
      </c>
      <c r="AQ351">
        <f ca="1">IF(AND(ISNUMBER($AQ$791),$B$419=1),$AQ$791,HLOOKUP(INDIRECT(ADDRESS(2,COLUMN())),OFFSET($BN$2,0,0,ROW()-1,60),ROW()-1,FALSE))</f>
        <v>1475.51</v>
      </c>
      <c r="AR351">
        <f ca="1">IF(AND(ISNUMBER($AR$791),$B$419=1),$AR$791,HLOOKUP(INDIRECT(ADDRESS(2,COLUMN())),OFFSET($BN$2,0,0,ROW()-1,60),ROW()-1,FALSE))</f>
        <v>28.231999999999999</v>
      </c>
      <c r="AS351">
        <f ca="1">IF(AND(ISNUMBER($AS$791),$B$419=1),$AS$791,HLOOKUP(INDIRECT(ADDRESS(2,COLUMN())),OFFSET($BN$2,0,0,ROW()-1,60),ROW()-1,FALSE))</f>
        <v>718.58799999999997</v>
      </c>
      <c r="AT351">
        <f ca="1">IF(AND(ISNUMBER($AT$791),$B$419=1),$AT$791,HLOOKUP(INDIRECT(ADDRESS(2,COLUMN())),OFFSET($BN$2,0,0,ROW()-1,60),ROW()-1,FALSE))</f>
        <v>794.20799999999997</v>
      </c>
      <c r="AU351">
        <f ca="1">IF(AND(ISNUMBER($AU$791),$B$419=1),$AU$791,HLOOKUP(INDIRECT(ADDRESS(2,COLUMN())),OFFSET($BN$2,0,0,ROW()-1,60),ROW()-1,FALSE))</f>
        <v>809.66700000000003</v>
      </c>
      <c r="AV351">
        <f ca="1">IF(AND(ISNUMBER($AV$791),$B$419=1),$AV$791,HLOOKUP(INDIRECT(ADDRESS(2,COLUMN())),OFFSET($BN$2,0,0,ROW()-1,60),ROW()-1,FALSE))</f>
        <v>891.28499999999997</v>
      </c>
      <c r="AW351">
        <f ca="1">IF(AND(ISNUMBER($AW$791),$B$419=1),$AW$791,HLOOKUP(INDIRECT(ADDRESS(2,COLUMN())),OFFSET($BN$2,0,0,ROW()-1,60),ROW()-1,FALSE))</f>
        <v>1368.309</v>
      </c>
      <c r="AX351">
        <f ca="1">IF(AND(ISNUMBER($AX$791),$B$419=1),$AX$791,HLOOKUP(INDIRECT(ADDRESS(2,COLUMN())),OFFSET($BN$2,0,0,ROW()-1,60),ROW()-1,FALSE))</f>
        <v>1695.2850000000001</v>
      </c>
      <c r="AY351">
        <f ca="1">IF(AND(ISNUMBER($AY$791),$B$419=1),$AY$791,HLOOKUP(INDIRECT(ADDRESS(2,COLUMN())),OFFSET($BN$2,0,0,ROW()-1,60),ROW()-1,FALSE))</f>
        <v>1683.9659999999999</v>
      </c>
      <c r="AZ351">
        <f ca="1">IF(AND(ISNUMBER($AZ$791),$B$419=1),$AZ$791,HLOOKUP(INDIRECT(ADDRESS(2,COLUMN())),OFFSET($BN$2,0,0,ROW()-1,60),ROW()-1,FALSE))</f>
        <v>267.399</v>
      </c>
      <c r="BA351">
        <f ca="1">IF(AND(ISNUMBER($BA$791),$B$419=1),$BA$791,HLOOKUP(INDIRECT(ADDRESS(2,COLUMN())),OFFSET($BN$2,0,0,ROW()-1,60),ROW()-1,FALSE))</f>
        <v>283.26400000000001</v>
      </c>
      <c r="BB351">
        <f ca="1">IF(AND(ISNUMBER($BB$791),$B$419=1),$BB$791,HLOOKUP(INDIRECT(ADDRESS(2,COLUMN())),OFFSET($BN$2,0,0,ROW()-1,60),ROW()-1,FALSE))</f>
        <v>357.58100000000002</v>
      </c>
      <c r="BC351" t="str">
        <f ca="1">IF(AND(ISNUMBER($BC$791),$B$419=1),$BC$791,HLOOKUP(INDIRECT(ADDRESS(2,COLUMN())),OFFSET($BN$2,0,0,ROW()-1,60),ROW()-1,FALSE))</f>
        <v/>
      </c>
      <c r="BD351">
        <f ca="1">IF(AND(ISNUMBER($BD$791),$B$419=1),$BD$791,HLOOKUP(INDIRECT(ADDRESS(2,COLUMN())),OFFSET($BN$2,0,0,ROW()-1,60),ROW()-1,FALSE))</f>
        <v>175.28800000000001</v>
      </c>
      <c r="BE351">
        <f ca="1">IF(AND(ISNUMBER($BE$791),$B$419=1),$BE$791,HLOOKUP(INDIRECT(ADDRESS(2,COLUMN())),OFFSET($BN$2,0,0,ROW()-1,60),ROW()-1,FALSE))</f>
        <v>238.78899999999999</v>
      </c>
      <c r="BF351">
        <f ca="1">IF(AND(ISNUMBER($BF$791),$B$419=1),$BF$791,HLOOKUP(INDIRECT(ADDRESS(2,COLUMN())),OFFSET($BN$2,0,0,ROW()-1,60),ROW()-1,FALSE))</f>
        <v>1514.8630000000001</v>
      </c>
      <c r="BG351" t="str">
        <f ca="1">IF(AND(ISNUMBER($BG$791),$B$419=1),$BG$791,HLOOKUP(INDIRECT(ADDRESS(2,COLUMN())),OFFSET($BN$2,0,0,ROW()-1,60),ROW()-1,FALSE))</f>
        <v/>
      </c>
      <c r="BH351" t="str">
        <f ca="1">IF(AND(ISNUMBER($BH$791),$B$419=1),$BH$791,HLOOKUP(INDIRECT(ADDRESS(2,COLUMN())),OFFSET($BN$2,0,0,ROW()-1,60),ROW()-1,FALSE))</f>
        <v/>
      </c>
      <c r="BI351">
        <f ca="1">IF(AND(ISNUMBER($BI$791),$B$419=1),$BI$791,HLOOKUP(INDIRECT(ADDRESS(2,COLUMN())),OFFSET($BN$2,0,0,ROW()-1,60),ROW()-1,FALSE))</f>
        <v>482.815</v>
      </c>
      <c r="BJ351">
        <f ca="1">IF(AND(ISNUMBER($BJ$791),$B$419=1),$BJ$791,HLOOKUP(INDIRECT(ADDRESS(2,COLUMN())),OFFSET($BN$2,0,0,ROW()-1,60),ROW()-1,FALSE))</f>
        <v>708.46299999999997</v>
      </c>
      <c r="BK351">
        <f ca="1">IF(AND(ISNUMBER($BK$791),$B$419=1),$BK$791,HLOOKUP(INDIRECT(ADDRESS(2,COLUMN())),OFFSET($BN$2,0,0,ROW()-1,60),ROW()-1,FALSE))</f>
        <v>1480.85</v>
      </c>
      <c r="BL351">
        <f ca="1">IF(AND(ISNUMBER($BL$791),$B$419=1),$BL$791,HLOOKUP(INDIRECT(ADDRESS(2,COLUMN())),OFFSET($BN$2,0,0,ROW()-1,60),ROW()-1,FALSE))</f>
        <v>259.89999999999998</v>
      </c>
      <c r="BM351">
        <f ca="1">IF(AND(ISNUMBER($BM$791),$B$419=1),$BM$791,HLOOKUP(INDIRECT(ADDRESS(2,COLUMN())),OFFSET($BN$2,0,0,ROW()-1,60),ROW()-1,FALSE))</f>
        <v>269.88</v>
      </c>
      <c r="BN351" t="str">
        <f>""</f>
        <v/>
      </c>
      <c r="BO351">
        <f>2169.841</f>
        <v>2169.8409999999999</v>
      </c>
      <c r="BP351">
        <f>1309.232</f>
        <v>1309.232</v>
      </c>
      <c r="BQ351">
        <f>1633.95</f>
        <v>1633.95</v>
      </c>
      <c r="BR351">
        <f>2432.521</f>
        <v>2432.5210000000002</v>
      </c>
      <c r="BS351">
        <f>2488.663</f>
        <v>2488.663</v>
      </c>
      <c r="BT351">
        <f>1037.918</f>
        <v>1037.9179999999999</v>
      </c>
      <c r="BU351">
        <f>1967.397</f>
        <v>1967.3969999999999</v>
      </c>
      <c r="BV351">
        <f>2191.528</f>
        <v>2191.5279999999998</v>
      </c>
      <c r="BW351">
        <f>3577.527</f>
        <v>3577.527</v>
      </c>
      <c r="BX351">
        <f>824.919</f>
        <v>824.91899999999998</v>
      </c>
      <c r="BY351">
        <f>1209.192</f>
        <v>1209.192</v>
      </c>
      <c r="BZ351">
        <f>1221.08</f>
        <v>1221.08</v>
      </c>
      <c r="CA351">
        <f>1968.779</f>
        <v>1968.779</v>
      </c>
      <c r="CB351">
        <f>37.771</f>
        <v>37.771000000000001</v>
      </c>
      <c r="CC351">
        <f>276.757</f>
        <v>276.75700000000001</v>
      </c>
      <c r="CD351">
        <f>384.837</f>
        <v>384.83699999999999</v>
      </c>
      <c r="CE351">
        <f>2655.415</f>
        <v>2655.415</v>
      </c>
      <c r="CF351">
        <f>18.838</f>
        <v>18.838000000000001</v>
      </c>
      <c r="CG351">
        <f>114.727</f>
        <v>114.727</v>
      </c>
      <c r="CH351">
        <f>130.414</f>
        <v>130.41399999999999</v>
      </c>
      <c r="CI351">
        <f>821.637</f>
        <v>821.63699999999994</v>
      </c>
      <c r="CJ351">
        <f>19.046</f>
        <v>19.045999999999999</v>
      </c>
      <c r="CK351">
        <f>248.105</f>
        <v>248.10499999999999</v>
      </c>
      <c r="CL351">
        <f>623.732</f>
        <v>623.73199999999997</v>
      </c>
      <c r="CM351">
        <f>1564.661</f>
        <v>1564.6610000000001</v>
      </c>
      <c r="CN351">
        <f>17.198</f>
        <v>17.198</v>
      </c>
      <c r="CO351">
        <f>229.471</f>
        <v>229.471</v>
      </c>
      <c r="CP351">
        <f>600.627</f>
        <v>600.62699999999995</v>
      </c>
      <c r="CQ351">
        <f>1674.563</f>
        <v>1674.5630000000001</v>
      </c>
      <c r="CR351">
        <f>78.939</f>
        <v>78.938999999999993</v>
      </c>
      <c r="CS351">
        <f>766.017</f>
        <v>766.01700000000005</v>
      </c>
      <c r="CT351">
        <f>1715.786</f>
        <v>1715.7860000000001</v>
      </c>
      <c r="CU351">
        <f>2096.802</f>
        <v>2096.8020000000001</v>
      </c>
      <c r="CV351">
        <f>325.476</f>
        <v>325.476</v>
      </c>
      <c r="CW351">
        <f>374.202</f>
        <v>374.202</v>
      </c>
      <c r="CX351">
        <f>1259.954</f>
        <v>1259.954</v>
      </c>
      <c r="CY351">
        <f>1475.51</f>
        <v>1475.51</v>
      </c>
      <c r="CZ351">
        <f>28.232</f>
        <v>28.231999999999999</v>
      </c>
      <c r="DA351">
        <f>718.588</f>
        <v>718.58799999999997</v>
      </c>
      <c r="DB351">
        <f>794.208</f>
        <v>794.20799999999997</v>
      </c>
      <c r="DC351">
        <f>809.667</f>
        <v>809.66700000000003</v>
      </c>
      <c r="DD351">
        <f>891.285</f>
        <v>891.28499999999997</v>
      </c>
      <c r="DE351">
        <f>1368.309</f>
        <v>1368.309</v>
      </c>
      <c r="DF351">
        <f>1695.285</f>
        <v>1695.2850000000001</v>
      </c>
      <c r="DG351">
        <f>1683.966</f>
        <v>1683.9659999999999</v>
      </c>
      <c r="DH351">
        <f>267.399</f>
        <v>267.399</v>
      </c>
      <c r="DI351">
        <f>283.264</f>
        <v>283.26400000000001</v>
      </c>
      <c r="DJ351">
        <f>357.581</f>
        <v>357.58100000000002</v>
      </c>
      <c r="DK351" t="str">
        <f>""</f>
        <v/>
      </c>
      <c r="DL351">
        <f>175.288</f>
        <v>175.28800000000001</v>
      </c>
      <c r="DM351">
        <f>238.789</f>
        <v>238.78899999999999</v>
      </c>
      <c r="DN351">
        <f>1514.863</f>
        <v>1514.8630000000001</v>
      </c>
      <c r="DO351" t="str">
        <f>""</f>
        <v/>
      </c>
      <c r="DP351" t="str">
        <f>""</f>
        <v/>
      </c>
      <c r="DQ351">
        <f>482.815</f>
        <v>482.815</v>
      </c>
      <c r="DR351">
        <f>708.463</f>
        <v>708.46299999999997</v>
      </c>
      <c r="DS351">
        <f>1480.85</f>
        <v>1480.85</v>
      </c>
      <c r="DT351">
        <f>259.9</f>
        <v>259.89999999999998</v>
      </c>
      <c r="DU351">
        <f>269.88</f>
        <v>269.88</v>
      </c>
    </row>
    <row r="352" spans="1:125">
      <c r="A352" t="str">
        <f>"    Tanger Factory Outlet Centers"</f>
        <v xml:space="preserve">    Tanger Factory Outlet Centers</v>
      </c>
      <c r="B352" t="str">
        <f>"SKT US Equity"</f>
        <v>SKT US Equity</v>
      </c>
      <c r="C352" t="str">
        <f t="shared" si="63"/>
        <v>BS658</v>
      </c>
      <c r="D352" t="str">
        <f t="shared" si="64"/>
        <v>BS_YEAR_1_PRINCIPAL</v>
      </c>
      <c r="E352" t="str">
        <f t="shared" si="65"/>
        <v>动态</v>
      </c>
      <c r="F352" t="str">
        <f ca="1">IF(AND(ISNUMBER($F$792),$B$419=1),$F$792,HLOOKUP(INDIRECT(ADDRESS(2,COLUMN())),OFFSET($BN$2,0,0,ROW()-1,60),ROW()-1,FALSE))</f>
        <v/>
      </c>
      <c r="G352">
        <f ca="1">IF(AND(ISNUMBER($G$792),$B$419=1),$G$792,HLOOKUP(INDIRECT(ADDRESS(2,COLUMN())),OFFSET($BN$2,0,0,ROW()-1,60),ROW()-1,FALSE))</f>
        <v>63.183999999999997</v>
      </c>
      <c r="H352">
        <f ca="1">IF(AND(ISNUMBER($H$792),$B$419=1),$H$792,HLOOKUP(INDIRECT(ADDRESS(2,COLUMN())),OFFSET($BN$2,0,0,ROW()-1,60),ROW()-1,FALSE))</f>
        <v>71.016999999999996</v>
      </c>
      <c r="I352">
        <f ca="1">IF(AND(ISNUMBER($I$792),$B$419=1),$I$792,HLOOKUP(INDIRECT(ADDRESS(2,COLUMN())),OFFSET($BN$2,0,0,ROW()-1,60),ROW()-1,FALSE))</f>
        <v>71.775000000000006</v>
      </c>
      <c r="J352">
        <f ca="1">IF(AND(ISNUMBER($J$792),$B$419=1),$J$792,HLOOKUP(INDIRECT(ADDRESS(2,COLUMN())),OFFSET($BN$2,0,0,ROW()-1,60),ROW()-1,FALSE))</f>
        <v>72.52</v>
      </c>
      <c r="K352">
        <f ca="1">IF(AND(ISNUMBER($K$792),$B$419=1),$K$792,HLOOKUP(INDIRECT(ADDRESS(2,COLUMN())),OFFSET($BN$2,0,0,ROW()-1,60),ROW()-1,FALSE))</f>
        <v>73.257999999999996</v>
      </c>
      <c r="L352">
        <f ca="1">IF(AND(ISNUMBER($L$792),$B$419=1),$L$792,HLOOKUP(INDIRECT(ADDRESS(2,COLUMN())),OFFSET($BN$2,0,0,ROW()-1,60),ROW()-1,FALSE))</f>
        <v>0.72699999999999998</v>
      </c>
      <c r="M352">
        <f ca="1">IF(AND(ISNUMBER($M$792),$B$419=1),$M$792,HLOOKUP(INDIRECT(ADDRESS(2,COLUMN())),OFFSET($BN$2,0,0,ROW()-1,60),ROW()-1,FALSE))</f>
        <v>1.4419999999999999</v>
      </c>
      <c r="N352">
        <f ca="1">IF(AND(ISNUMBER($N$792),$B$419=1),$N$792,HLOOKUP(INDIRECT(ADDRESS(2,COLUMN())),OFFSET($BN$2,0,0,ROW()-1,60),ROW()-1,FALSE))</f>
        <v>12.148</v>
      </c>
      <c r="O352" t="str">
        <f ca="1">IF(AND(ISNUMBER($O$792),$B$419=1),$O$792,HLOOKUP(INDIRECT(ADDRESS(2,COLUMN())),OFFSET($BN$2,0,0,ROW()-1,60),ROW()-1,FALSE))</f>
        <v/>
      </c>
      <c r="P352">
        <f ca="1">IF(AND(ISNUMBER($P$792),$B$419=1),$P$792,HLOOKUP(INDIRECT(ADDRESS(2,COLUMN())),OFFSET($BN$2,0,0,ROW()-1,60),ROW()-1,FALSE))</f>
        <v>0.68600000000000005</v>
      </c>
      <c r="Q352">
        <f ca="1">IF(AND(ISNUMBER($Q$792),$B$419=1),$Q$792,HLOOKUP(INDIRECT(ADDRESS(2,COLUMN())),OFFSET($BN$2,0,0,ROW()-1,60),ROW()-1,FALSE))</f>
        <v>1.556</v>
      </c>
      <c r="R352">
        <f ca="1">IF(AND(ISNUMBER($R$792),$B$419=1),$R$792,HLOOKUP(INDIRECT(ADDRESS(2,COLUMN())),OFFSET($BN$2,0,0,ROW()-1,60),ROW()-1,FALSE))</f>
        <v>31.402000000000001</v>
      </c>
      <c r="S352">
        <f ca="1">IF(AND(ISNUMBER($S$792),$B$419=1),$S$792,HLOOKUP(INDIRECT(ADDRESS(2,COLUMN())),OFFSET($BN$2,0,0,ROW()-1,60),ROW()-1,FALSE))</f>
        <v>32.343000000000004</v>
      </c>
      <c r="T352">
        <f ca="1">IF(AND(ISNUMBER($T$792),$B$419=1),$T$792,HLOOKUP(INDIRECT(ADDRESS(2,COLUMN())),OFFSET($BN$2,0,0,ROW()-1,60),ROW()-1,FALSE))</f>
        <v>0.92100000000000004</v>
      </c>
      <c r="U352">
        <f ca="1">IF(AND(ISNUMBER($U$792),$B$419=1),$U$792,HLOOKUP(INDIRECT(ADDRESS(2,COLUMN())),OFFSET($BN$2,0,0,ROW()-1,60),ROW()-1,FALSE))</f>
        <v>1.823</v>
      </c>
      <c r="V352">
        <f ca="1">IF(AND(ISNUMBER($V$792),$B$419=1),$V$792,HLOOKUP(INDIRECT(ADDRESS(2,COLUMN())),OFFSET($BN$2,0,0,ROW()-1,60),ROW()-1,FALSE))</f>
        <v>2.7120000000000002</v>
      </c>
      <c r="W352">
        <f ca="1">IF(AND(ISNUMBER($W$792),$B$419=1),$W$792,HLOOKUP(INDIRECT(ADDRESS(2,COLUMN())),OFFSET($BN$2,0,0,ROW()-1,60),ROW()-1,FALSE))</f>
        <v>3.6030000000000002</v>
      </c>
      <c r="X352">
        <f ca="1">IF(AND(ISNUMBER($X$792),$B$419=1),$X$792,HLOOKUP(INDIRECT(ADDRESS(2,COLUMN())),OFFSET($BN$2,0,0,ROW()-1,60),ROW()-1,FALSE))</f>
        <v>0.871</v>
      </c>
      <c r="Y352">
        <f ca="1">IF(AND(ISNUMBER($Y$792),$B$419=1),$Y$792,HLOOKUP(INDIRECT(ADDRESS(2,COLUMN())),OFFSET($BN$2,0,0,ROW()-1,60),ROW()-1,FALSE))</f>
        <v>1.7230000000000001</v>
      </c>
      <c r="Z352">
        <f ca="1">IF(AND(ISNUMBER($Z$792),$B$419=1),$Z$792,HLOOKUP(INDIRECT(ADDRESS(2,COLUMN())),OFFSET($BN$2,0,0,ROW()-1,60),ROW()-1,FALSE))</f>
        <v>2.5640000000000001</v>
      </c>
      <c r="AA352">
        <f ca="1">IF(AND(ISNUMBER($AA$792),$B$419=1),$AA$792,HLOOKUP(INDIRECT(ADDRESS(2,COLUMN())),OFFSET($BN$2,0,0,ROW()-1,60),ROW()-1,FALSE))</f>
        <v>4.633</v>
      </c>
      <c r="AB352">
        <f ca="1">IF(AND(ISNUMBER($AB$792),$B$419=1),$AB$792,HLOOKUP(INDIRECT(ADDRESS(2,COLUMN())),OFFSET($BN$2,0,0,ROW()-1,60),ROW()-1,FALSE))</f>
        <v>0.65700000000000003</v>
      </c>
      <c r="AC352">
        <f ca="1">IF(AND(ISNUMBER($AC$792),$B$419=1),$AC$792,HLOOKUP(INDIRECT(ADDRESS(2,COLUMN())),OFFSET($BN$2,0,0,ROW()-1,60),ROW()-1,FALSE))</f>
        <v>1.298</v>
      </c>
      <c r="AD352">
        <f ca="1">IF(AND(ISNUMBER($AD$792),$B$419=1),$AD$792,HLOOKUP(INDIRECT(ADDRESS(2,COLUMN())),OFFSET($BN$2,0,0,ROW()-1,60),ROW()-1,FALSE))</f>
        <v>1.931</v>
      </c>
      <c r="AE352">
        <f ca="1">IF(AND(ISNUMBER($AE$792),$B$419=1),$AE$792,HLOOKUP(INDIRECT(ADDRESS(2,COLUMN())),OFFSET($BN$2,0,0,ROW()-1,60),ROW()-1,FALSE))</f>
        <v>2.5630000000000002</v>
      </c>
      <c r="AF352">
        <f ca="1">IF(AND(ISNUMBER($AF$792),$B$419=1),$AF$792,HLOOKUP(INDIRECT(ADDRESS(2,COLUMN())),OFFSET($BN$2,0,0,ROW()-1,60),ROW()-1,FALSE))</f>
        <v>150.62299999999999</v>
      </c>
      <c r="AG352">
        <f ca="1">IF(AND(ISNUMBER($AG$792),$B$419=1),$AG$792,HLOOKUP(INDIRECT(ADDRESS(2,COLUMN())),OFFSET($BN$2,0,0,ROW()-1,60),ROW()-1,FALSE))</f>
        <v>157.03</v>
      </c>
      <c r="AH352">
        <f ca="1">IF(AND(ISNUMBER($AH$792),$B$419=1),$AH$792,HLOOKUP(INDIRECT(ADDRESS(2,COLUMN())),OFFSET($BN$2,0,0,ROW()-1,60),ROW()-1,FALSE))</f>
        <v>7.16</v>
      </c>
      <c r="AI352">
        <f ca="1">IF(AND(ISNUMBER($AI$792),$B$419=1),$AI$792,HLOOKUP(INDIRECT(ADDRESS(2,COLUMN())),OFFSET($BN$2,0,0,ROW()-1,60),ROW()-1,FALSE))</f>
        <v>7.21</v>
      </c>
      <c r="AJ352">
        <f ca="1">IF(AND(ISNUMBER($AJ$792),$B$419=1),$AJ$792,HLOOKUP(INDIRECT(ADDRESS(2,COLUMN())),OFFSET($BN$2,0,0,ROW()-1,60),ROW()-1,FALSE))</f>
        <v>0</v>
      </c>
      <c r="AK352">
        <f ca="1">IF(AND(ISNUMBER($AK$792),$B$419=1),$AK$792,HLOOKUP(INDIRECT(ADDRESS(2,COLUMN())),OFFSET($BN$2,0,0,ROW()-1,60),ROW()-1,FALSE))</f>
        <v>0</v>
      </c>
      <c r="AL352" t="str">
        <f ca="1">IF(AND(ISNUMBER($AL$792),$B$419=1),$AL$792,HLOOKUP(INDIRECT(ADDRESS(2,COLUMN())),OFFSET($BN$2,0,0,ROW()-1,60),ROW()-1,FALSE))</f>
        <v/>
      </c>
      <c r="AM352">
        <f ca="1">IF(AND(ISNUMBER($AM$792),$B$419=1),$AM$792,HLOOKUP(INDIRECT(ADDRESS(2,COLUMN())),OFFSET($BN$2,0,0,ROW()-1,60),ROW()-1,FALSE))</f>
        <v>35.799999999999997</v>
      </c>
      <c r="AN352" t="str">
        <f ca="1">IF(AND(ISNUMBER($AN$792),$B$419=1),$AN$792,HLOOKUP(INDIRECT(ADDRESS(2,COLUMN())),OFFSET($BN$2,0,0,ROW()-1,60),ROW()-1,FALSE))</f>
        <v/>
      </c>
      <c r="AO352" t="str">
        <f ca="1">IF(AND(ISNUMBER($AO$792),$B$419=1),$AO$792,HLOOKUP(INDIRECT(ADDRESS(2,COLUMN())),OFFSET($BN$2,0,0,ROW()-1,60),ROW()-1,FALSE))</f>
        <v/>
      </c>
      <c r="AP352" t="str">
        <f ca="1">IF(AND(ISNUMBER($AP$792),$B$419=1),$AP$792,HLOOKUP(INDIRECT(ADDRESS(2,COLUMN())),OFFSET($BN$2,0,0,ROW()-1,60),ROW()-1,FALSE))</f>
        <v/>
      </c>
      <c r="AQ352" t="str">
        <f ca="1">IF(AND(ISNUMBER($AQ$792),$B$419=1),$AQ$792,HLOOKUP(INDIRECT(ADDRESS(2,COLUMN())),OFFSET($BN$2,0,0,ROW()-1,60),ROW()-1,FALSE))</f>
        <v/>
      </c>
      <c r="AR352" t="str">
        <f ca="1">IF(AND(ISNUMBER($AR$792),$B$419=1),$AR$792,HLOOKUP(INDIRECT(ADDRESS(2,COLUMN())),OFFSET($BN$2,0,0,ROW()-1,60),ROW()-1,FALSE))</f>
        <v/>
      </c>
      <c r="AS352" t="str">
        <f ca="1">IF(AND(ISNUMBER($AS$792),$B$419=1),$AS$792,HLOOKUP(INDIRECT(ADDRESS(2,COLUMN())),OFFSET($BN$2,0,0,ROW()-1,60),ROW()-1,FALSE))</f>
        <v/>
      </c>
      <c r="AT352" t="str">
        <f ca="1">IF(AND(ISNUMBER($AT$792),$B$419=1),$AT$792,HLOOKUP(INDIRECT(ADDRESS(2,COLUMN())),OFFSET($BN$2,0,0,ROW()-1,60),ROW()-1,FALSE))</f>
        <v/>
      </c>
      <c r="AU352">
        <f ca="1">IF(AND(ISNUMBER($AU$792),$B$419=1),$AU$792,HLOOKUP(INDIRECT(ADDRESS(2,COLUMN())),OFFSET($BN$2,0,0,ROW()-1,60),ROW()-1,FALSE))</f>
        <v>272.678</v>
      </c>
      <c r="AV352" t="str">
        <f ca="1">IF(AND(ISNUMBER($AV$792),$B$419=1),$AV$792,HLOOKUP(INDIRECT(ADDRESS(2,COLUMN())),OFFSET($BN$2,0,0,ROW()-1,60),ROW()-1,FALSE))</f>
        <v/>
      </c>
      <c r="AW352" t="str">
        <f ca="1">IF(AND(ISNUMBER($AW$792),$B$419=1),$AW$792,HLOOKUP(INDIRECT(ADDRESS(2,COLUMN())),OFFSET($BN$2,0,0,ROW()-1,60),ROW()-1,FALSE))</f>
        <v/>
      </c>
      <c r="AX352" t="str">
        <f ca="1">IF(AND(ISNUMBER($AX$792),$B$419=1),$AX$792,HLOOKUP(INDIRECT(ADDRESS(2,COLUMN())),OFFSET($BN$2,0,0,ROW()-1,60),ROW()-1,FALSE))</f>
        <v/>
      </c>
      <c r="AY352" t="str">
        <f ca="1">IF(AND(ISNUMBER($AY$792),$B$419=1),$AY$792,HLOOKUP(INDIRECT(ADDRESS(2,COLUMN())),OFFSET($BN$2,0,0,ROW()-1,60),ROW()-1,FALSE))</f>
        <v/>
      </c>
      <c r="AZ352" t="str">
        <f ca="1">IF(AND(ISNUMBER($AZ$792),$B$419=1),$AZ$792,HLOOKUP(INDIRECT(ADDRESS(2,COLUMN())),OFFSET($BN$2,0,0,ROW()-1,60),ROW()-1,FALSE))</f>
        <v/>
      </c>
      <c r="BA352" t="str">
        <f ca="1">IF(AND(ISNUMBER($BA$792),$B$419=1),$BA$792,HLOOKUP(INDIRECT(ADDRESS(2,COLUMN())),OFFSET($BN$2,0,0,ROW()-1,60),ROW()-1,FALSE))</f>
        <v/>
      </c>
      <c r="BB352" t="str">
        <f ca="1">IF(AND(ISNUMBER($BB$792),$B$419=1),$BB$792,HLOOKUP(INDIRECT(ADDRESS(2,COLUMN())),OFFSET($BN$2,0,0,ROW()-1,60),ROW()-1,FALSE))</f>
        <v/>
      </c>
      <c r="BC352" t="str">
        <f ca="1">IF(AND(ISNUMBER($BC$792),$B$419=1),$BC$792,HLOOKUP(INDIRECT(ADDRESS(2,COLUMN())),OFFSET($BN$2,0,0,ROW()-1,60),ROW()-1,FALSE))</f>
        <v/>
      </c>
      <c r="BD352" t="str">
        <f ca="1">IF(AND(ISNUMBER($BD$792),$B$419=1),$BD$792,HLOOKUP(INDIRECT(ADDRESS(2,COLUMN())),OFFSET($BN$2,0,0,ROW()-1,60),ROW()-1,FALSE))</f>
        <v/>
      </c>
      <c r="BE352" t="str">
        <f ca="1">IF(AND(ISNUMBER($BE$792),$B$419=1),$BE$792,HLOOKUP(INDIRECT(ADDRESS(2,COLUMN())),OFFSET($BN$2,0,0,ROW()-1,60),ROW()-1,FALSE))</f>
        <v/>
      </c>
      <c r="BF352" t="str">
        <f ca="1">IF(AND(ISNUMBER($BF$792),$B$419=1),$BF$792,HLOOKUP(INDIRECT(ADDRESS(2,COLUMN())),OFFSET($BN$2,0,0,ROW()-1,60),ROW()-1,FALSE))</f>
        <v/>
      </c>
      <c r="BG352" t="str">
        <f ca="1">IF(AND(ISNUMBER($BG$792),$B$419=1),$BG$792,HLOOKUP(INDIRECT(ADDRESS(2,COLUMN())),OFFSET($BN$2,0,0,ROW()-1,60),ROW()-1,FALSE))</f>
        <v/>
      </c>
      <c r="BH352" t="str">
        <f ca="1">IF(AND(ISNUMBER($BH$792),$B$419=1),$BH$792,HLOOKUP(INDIRECT(ADDRESS(2,COLUMN())),OFFSET($BN$2,0,0,ROW()-1,60),ROW()-1,FALSE))</f>
        <v/>
      </c>
      <c r="BI352" t="str">
        <f ca="1">IF(AND(ISNUMBER($BI$792),$B$419=1),$BI$792,HLOOKUP(INDIRECT(ADDRESS(2,COLUMN())),OFFSET($BN$2,0,0,ROW()-1,60),ROW()-1,FALSE))</f>
        <v/>
      </c>
      <c r="BJ352" t="str">
        <f ca="1">IF(AND(ISNUMBER($BJ$792),$B$419=1),$BJ$792,HLOOKUP(INDIRECT(ADDRESS(2,COLUMN())),OFFSET($BN$2,0,0,ROW()-1,60),ROW()-1,FALSE))</f>
        <v/>
      </c>
      <c r="BK352" t="str">
        <f ca="1">IF(AND(ISNUMBER($BK$792),$B$419=1),$BK$792,HLOOKUP(INDIRECT(ADDRESS(2,COLUMN())),OFFSET($BN$2,0,0,ROW()-1,60),ROW()-1,FALSE))</f>
        <v/>
      </c>
      <c r="BL352" t="str">
        <f ca="1">IF(AND(ISNUMBER($BL$792),$B$419=1),$BL$792,HLOOKUP(INDIRECT(ADDRESS(2,COLUMN())),OFFSET($BN$2,0,0,ROW()-1,60),ROW()-1,FALSE))</f>
        <v/>
      </c>
      <c r="BM352" t="str">
        <f ca="1">IF(AND(ISNUMBER($BM$792),$B$419=1),$BM$792,HLOOKUP(INDIRECT(ADDRESS(2,COLUMN())),OFFSET($BN$2,0,0,ROW()-1,60),ROW()-1,FALSE))</f>
        <v/>
      </c>
      <c r="BN352" t="str">
        <f>""</f>
        <v/>
      </c>
      <c r="BO352">
        <f>63.184</f>
        <v>63.183999999999997</v>
      </c>
      <c r="BP352">
        <f>71.017</f>
        <v>71.016999999999996</v>
      </c>
      <c r="BQ352">
        <f>71.775</f>
        <v>71.775000000000006</v>
      </c>
      <c r="BR352">
        <f>72.52</f>
        <v>72.52</v>
      </c>
      <c r="BS352">
        <f>73.258</f>
        <v>73.257999999999996</v>
      </c>
      <c r="BT352">
        <f>0.727</f>
        <v>0.72699999999999998</v>
      </c>
      <c r="BU352">
        <f>1.442</f>
        <v>1.4419999999999999</v>
      </c>
      <c r="BV352">
        <f>12.148</f>
        <v>12.148</v>
      </c>
      <c r="BW352" t="str">
        <f>""</f>
        <v/>
      </c>
      <c r="BX352">
        <f>0.686</f>
        <v>0.68600000000000005</v>
      </c>
      <c r="BY352">
        <f>1.556</f>
        <v>1.556</v>
      </c>
      <c r="BZ352">
        <f>31.402</f>
        <v>31.402000000000001</v>
      </c>
      <c r="CA352">
        <f>32.343</f>
        <v>32.343000000000004</v>
      </c>
      <c r="CB352">
        <f>0.921</f>
        <v>0.92100000000000004</v>
      </c>
      <c r="CC352">
        <f>1.823</f>
        <v>1.823</v>
      </c>
      <c r="CD352">
        <f>2.712</f>
        <v>2.7120000000000002</v>
      </c>
      <c r="CE352">
        <f>3.603</f>
        <v>3.6030000000000002</v>
      </c>
      <c r="CF352">
        <f>0.871</f>
        <v>0.871</v>
      </c>
      <c r="CG352">
        <f>1.723</f>
        <v>1.7230000000000001</v>
      </c>
      <c r="CH352">
        <f>2.564</f>
        <v>2.5640000000000001</v>
      </c>
      <c r="CI352">
        <f>4.633</f>
        <v>4.633</v>
      </c>
      <c r="CJ352">
        <f>0.657</f>
        <v>0.65700000000000003</v>
      </c>
      <c r="CK352">
        <f>1.298</f>
        <v>1.298</v>
      </c>
      <c r="CL352">
        <f>1.931</f>
        <v>1.931</v>
      </c>
      <c r="CM352">
        <f>2.563</f>
        <v>2.5630000000000002</v>
      </c>
      <c r="CN352">
        <f>150.623</f>
        <v>150.62299999999999</v>
      </c>
      <c r="CO352">
        <f>157.03</f>
        <v>157.03</v>
      </c>
      <c r="CP352">
        <f>7.16</f>
        <v>7.16</v>
      </c>
      <c r="CQ352">
        <f>7.21</f>
        <v>7.21</v>
      </c>
      <c r="CR352">
        <f>0</f>
        <v>0</v>
      </c>
      <c r="CS352">
        <f>0</f>
        <v>0</v>
      </c>
      <c r="CT352" t="str">
        <f>""</f>
        <v/>
      </c>
      <c r="CU352">
        <f>35.8</f>
        <v>35.799999999999997</v>
      </c>
      <c r="CV352" t="str">
        <f>""</f>
        <v/>
      </c>
      <c r="CW352" t="str">
        <f>""</f>
        <v/>
      </c>
      <c r="CX352" t="str">
        <f>""</f>
        <v/>
      </c>
      <c r="CY352" t="str">
        <f>""</f>
        <v/>
      </c>
      <c r="CZ352" t="str">
        <f>""</f>
        <v/>
      </c>
      <c r="DA352" t="str">
        <f>""</f>
        <v/>
      </c>
      <c r="DB352" t="str">
        <f>""</f>
        <v/>
      </c>
      <c r="DC352">
        <f>272.678</f>
        <v>272.678</v>
      </c>
      <c r="DD352" t="str">
        <f>""</f>
        <v/>
      </c>
      <c r="DE352" t="str">
        <f>""</f>
        <v/>
      </c>
      <c r="DF352" t="str">
        <f>""</f>
        <v/>
      </c>
      <c r="DG352" t="str">
        <f>""</f>
        <v/>
      </c>
      <c r="DH352" t="str">
        <f>""</f>
        <v/>
      </c>
      <c r="DI352" t="str">
        <f>""</f>
        <v/>
      </c>
      <c r="DJ352" t="str">
        <f>""</f>
        <v/>
      </c>
      <c r="DK352" t="str">
        <f>""</f>
        <v/>
      </c>
      <c r="DL352" t="str">
        <f>""</f>
        <v/>
      </c>
      <c r="DM352" t="str">
        <f>""</f>
        <v/>
      </c>
      <c r="DN352" t="str">
        <f>""</f>
        <v/>
      </c>
      <c r="DO352" t="str">
        <f>""</f>
        <v/>
      </c>
      <c r="DP352" t="str">
        <f>""</f>
        <v/>
      </c>
      <c r="DQ352" t="str">
        <f>""</f>
        <v/>
      </c>
      <c r="DR352" t="str">
        <f>""</f>
        <v/>
      </c>
      <c r="DS352" t="str">
        <f>""</f>
        <v/>
      </c>
      <c r="DT352" t="str">
        <f>""</f>
        <v/>
      </c>
      <c r="DU352" t="str">
        <f>""</f>
        <v/>
      </c>
    </row>
    <row r="353" spans="1:125">
      <c r="A353" t="str">
        <f>"    VEREIT Inc"</f>
        <v xml:space="preserve">    VEREIT Inc</v>
      </c>
      <c r="B353" t="str">
        <f>"VER US Equity"</f>
        <v>VER US Equity</v>
      </c>
      <c r="C353" t="str">
        <f t="shared" si="63"/>
        <v>BS658</v>
      </c>
      <c r="D353" t="str">
        <f t="shared" si="64"/>
        <v>BS_YEAR_1_PRINCIPAL</v>
      </c>
      <c r="E353" t="str">
        <f t="shared" si="65"/>
        <v>动态</v>
      </c>
      <c r="F353" t="str">
        <f ca="1">IF(AND(ISNUMBER($F$793),$B$419=1),$F$793,HLOOKUP(INDIRECT(ADDRESS(2,COLUMN())),OFFSET($BN$2,0,0,ROW()-1,60),ROW()-1,FALSE))</f>
        <v/>
      </c>
      <c r="G353">
        <f ca="1">IF(AND(ISNUMBER($G$793),$B$419=1),$G$793,HLOOKUP(INDIRECT(ADDRESS(2,COLUMN())),OFFSET($BN$2,0,0,ROW()-1,60),ROW()-1,FALSE))</f>
        <v>864.75</v>
      </c>
      <c r="H353">
        <f ca="1">IF(AND(ISNUMBER($H$793),$B$419=1),$H$793,HLOOKUP(INDIRECT(ADDRESS(2,COLUMN())),OFFSET($BN$2,0,0,ROW()-1,60),ROW()-1,FALSE))</f>
        <v>17.780999999999999</v>
      </c>
      <c r="I353">
        <f ca="1">IF(AND(ISNUMBER($I$793),$B$419=1),$I$793,HLOOKUP(INDIRECT(ADDRESS(2,COLUMN())),OFFSET($BN$2,0,0,ROW()-1,60),ROW()-1,FALSE))</f>
        <v>162.483</v>
      </c>
      <c r="J353">
        <f ca="1">IF(AND(ISNUMBER($J$793),$B$419=1),$J$793,HLOOKUP(INDIRECT(ADDRESS(2,COLUMN())),OFFSET($BN$2,0,0,ROW()-1,60),ROW()-1,FALSE))</f>
        <v>301.14600000000002</v>
      </c>
      <c r="K353">
        <f ca="1">IF(AND(ISNUMBER($K$793),$B$419=1),$K$793,HLOOKUP(INDIRECT(ADDRESS(2,COLUMN())),OFFSET($BN$2,0,0,ROW()-1,60),ROW()-1,FALSE))</f>
        <v>287.09399999999999</v>
      </c>
      <c r="L353">
        <f ca="1">IF(AND(ISNUMBER($L$793),$B$419=1),$L$793,HLOOKUP(INDIRECT(ADDRESS(2,COLUMN())),OFFSET($BN$2,0,0,ROW()-1,60),ROW()-1,FALSE))</f>
        <v>51.83</v>
      </c>
      <c r="M353">
        <f ca="1">IF(AND(ISNUMBER($M$793),$B$419=1),$M$793,HLOOKUP(INDIRECT(ADDRESS(2,COLUMN())),OFFSET($BN$2,0,0,ROW()-1,60),ROW()-1,FALSE))</f>
        <v>121.04600000000001</v>
      </c>
      <c r="N353">
        <f ca="1">IF(AND(ISNUMBER($N$793),$B$419=1),$N$793,HLOOKUP(INDIRECT(ADDRESS(2,COLUMN())),OFFSET($BN$2,0,0,ROW()-1,60),ROW()-1,FALSE))</f>
        <v>207.34399999999999</v>
      </c>
      <c r="O353">
        <f ca="1">IF(AND(ISNUMBER($O$793),$B$419=1),$O$793,HLOOKUP(INDIRECT(ADDRESS(2,COLUMN())),OFFSET($BN$2,0,0,ROW()-1,60),ROW()-1,FALSE))</f>
        <v>216.006</v>
      </c>
      <c r="P353">
        <f ca="1">IF(AND(ISNUMBER($P$793),$B$419=1),$P$793,HLOOKUP(INDIRECT(ADDRESS(2,COLUMN())),OFFSET($BN$2,0,0,ROW()-1,60),ROW()-1,FALSE))</f>
        <v>5.4119999999999999</v>
      </c>
      <c r="Q353">
        <f ca="1">IF(AND(ISNUMBER($Q$793),$B$419=1),$Q$793,HLOOKUP(INDIRECT(ADDRESS(2,COLUMN())),OFFSET($BN$2,0,0,ROW()-1,60),ROW()-1,FALSE))</f>
        <v>11.523999999999999</v>
      </c>
      <c r="R353">
        <f ca="1">IF(AND(ISNUMBER($R$793),$B$419=1),$R$793,HLOOKUP(INDIRECT(ADDRESS(2,COLUMN())),OFFSET($BN$2,0,0,ROW()-1,60),ROW()-1,FALSE))</f>
        <v>62.576999999999998</v>
      </c>
      <c r="S353" t="str">
        <f ca="1">IF(AND(ISNUMBER($S$793),$B$419=1),$S$793,HLOOKUP(INDIRECT(ADDRESS(2,COLUMN())),OFFSET($BN$2,0,0,ROW()-1,60),ROW()-1,FALSE))</f>
        <v/>
      </c>
      <c r="T353">
        <f ca="1">IF(AND(ISNUMBER($T$793),$B$419=1),$T$793,HLOOKUP(INDIRECT(ADDRESS(2,COLUMN())),OFFSET($BN$2,0,0,ROW()-1,60),ROW()-1,FALSE))</f>
        <v>103.949</v>
      </c>
      <c r="U353">
        <f ca="1">IF(AND(ISNUMBER($U$793),$B$419=1),$U$793,HLOOKUP(INDIRECT(ADDRESS(2,COLUMN())),OFFSET($BN$2,0,0,ROW()-1,60),ROW()-1,FALSE))</f>
        <v>104.04300000000001</v>
      </c>
      <c r="V353">
        <f ca="1">IF(AND(ISNUMBER($V$793),$B$419=1),$V$793,HLOOKUP(INDIRECT(ADDRESS(2,COLUMN())),OFFSET($BN$2,0,0,ROW()-1,60),ROW()-1,FALSE))</f>
        <v>191.077</v>
      </c>
      <c r="W353">
        <f ca="1">IF(AND(ISNUMBER($W$793),$B$419=1),$W$793,HLOOKUP(INDIRECT(ADDRESS(2,COLUMN())),OFFSET($BN$2,0,0,ROW()-1,60),ROW()-1,FALSE))</f>
        <v>99.784000000000006</v>
      </c>
      <c r="X353">
        <f ca="1">IF(AND(ISNUMBER($X$793),$B$419=1),$X$793,HLOOKUP(INDIRECT(ADDRESS(2,COLUMN())),OFFSET($BN$2,0,0,ROW()-1,60),ROW()-1,FALSE))</f>
        <v>4.7E-2</v>
      </c>
      <c r="Y353">
        <f ca="1">IF(AND(ISNUMBER($Y$793),$B$419=1),$Y$793,HLOOKUP(INDIRECT(ADDRESS(2,COLUMN())),OFFSET($BN$2,0,0,ROW()-1,60),ROW()-1,FALSE))</f>
        <v>7.3999999999999996E-2</v>
      </c>
      <c r="Z353">
        <f ca="1">IF(AND(ISNUMBER($Z$793),$B$419=1),$Z$793,HLOOKUP(INDIRECT(ADDRESS(2,COLUMN())),OFFSET($BN$2,0,0,ROW()-1,60),ROW()-1,FALSE))</f>
        <v>7.3999999999999996E-2</v>
      </c>
      <c r="AA353" t="str">
        <f ca="1">IF(AND(ISNUMBER($AA$793),$B$419=1),$AA$793,HLOOKUP(INDIRECT(ADDRESS(2,COLUMN())),OFFSET($BN$2,0,0,ROW()-1,60),ROW()-1,FALSE))</f>
        <v/>
      </c>
      <c r="AB353">
        <f ca="1">IF(AND(ISNUMBER($AB$793),$B$419=1),$AB$793,HLOOKUP(INDIRECT(ADDRESS(2,COLUMN())),OFFSET($BN$2,0,0,ROW()-1,60),ROW()-1,FALSE))</f>
        <v>0.40300000000000002</v>
      </c>
      <c r="AC353">
        <f ca="1">IF(AND(ISNUMBER($AC$793),$B$419=1),$AC$793,HLOOKUP(INDIRECT(ADDRESS(2,COLUMN())),OFFSET($BN$2,0,0,ROW()-1,60),ROW()-1,FALSE))</f>
        <v>0</v>
      </c>
      <c r="AD353">
        <f ca="1">IF(AND(ISNUMBER($AD$793),$B$419=1),$AD$793,HLOOKUP(INDIRECT(ADDRESS(2,COLUMN())),OFFSET($BN$2,0,0,ROW()-1,60),ROW()-1,FALSE))</f>
        <v>0</v>
      </c>
      <c r="AE353">
        <f ca="1">IF(AND(ISNUMBER($AE$793),$B$419=1),$AE$793,HLOOKUP(INDIRECT(ADDRESS(2,COLUMN())),OFFSET($BN$2,0,0,ROW()-1,60),ROW()-1,FALSE))</f>
        <v>0</v>
      </c>
      <c r="AF353" t="str">
        <f ca="1">IF(AND(ISNUMBER($AF$793),$B$419=1),$AF$793,HLOOKUP(INDIRECT(ADDRESS(2,COLUMN())),OFFSET($BN$2,0,0,ROW()-1,60),ROW()-1,FALSE))</f>
        <v/>
      </c>
      <c r="AG353" t="str">
        <f ca="1">IF(AND(ISNUMBER($AG$793),$B$419=1),$AG$793,HLOOKUP(INDIRECT(ADDRESS(2,COLUMN())),OFFSET($BN$2,0,0,ROW()-1,60),ROW()-1,FALSE))</f>
        <v/>
      </c>
      <c r="AH353" t="str">
        <f ca="1">IF(AND(ISNUMBER($AH$793),$B$419=1),$AH$793,HLOOKUP(INDIRECT(ADDRESS(2,COLUMN())),OFFSET($BN$2,0,0,ROW()-1,60),ROW()-1,FALSE))</f>
        <v/>
      </c>
      <c r="AI353" t="str">
        <f ca="1">IF(AND(ISNUMBER($AI$793),$B$419=1),$AI$793,HLOOKUP(INDIRECT(ADDRESS(2,COLUMN())),OFFSET($BN$2,0,0,ROW()-1,60),ROW()-1,FALSE))</f>
        <v/>
      </c>
      <c r="AJ353" t="str">
        <f ca="1">IF(AND(ISNUMBER($AJ$793),$B$419=1),$AJ$793,HLOOKUP(INDIRECT(ADDRESS(2,COLUMN())),OFFSET($BN$2,0,0,ROW()-1,60),ROW()-1,FALSE))</f>
        <v/>
      </c>
      <c r="AK353" t="str">
        <f ca="1">IF(AND(ISNUMBER($AK$793),$B$419=1),$AK$793,HLOOKUP(INDIRECT(ADDRESS(2,COLUMN())),OFFSET($BN$2,0,0,ROW()-1,60),ROW()-1,FALSE))</f>
        <v/>
      </c>
      <c r="AL353" t="str">
        <f ca="1">IF(AND(ISNUMBER($AL$793),$B$419=1),$AL$793,HLOOKUP(INDIRECT(ADDRESS(2,COLUMN())),OFFSET($BN$2,0,0,ROW()-1,60),ROW()-1,FALSE))</f>
        <v/>
      </c>
      <c r="AM353" t="str">
        <f ca="1">IF(AND(ISNUMBER($AM$793),$B$419=1),$AM$793,HLOOKUP(INDIRECT(ADDRESS(2,COLUMN())),OFFSET($BN$2,0,0,ROW()-1,60),ROW()-1,FALSE))</f>
        <v/>
      </c>
      <c r="AN353" t="str">
        <f ca="1">IF(AND(ISNUMBER($AN$793),$B$419=1),$AN$793,HLOOKUP(INDIRECT(ADDRESS(2,COLUMN())),OFFSET($BN$2,0,0,ROW()-1,60),ROW()-1,FALSE))</f>
        <v/>
      </c>
      <c r="AO353" t="str">
        <f ca="1">IF(AND(ISNUMBER($AO$793),$B$419=1),$AO$793,HLOOKUP(INDIRECT(ADDRESS(2,COLUMN())),OFFSET($BN$2,0,0,ROW()-1,60),ROW()-1,FALSE))</f>
        <v/>
      </c>
      <c r="AP353" t="str">
        <f ca="1">IF(AND(ISNUMBER($AP$793),$B$419=1),$AP$793,HLOOKUP(INDIRECT(ADDRESS(2,COLUMN())),OFFSET($BN$2,0,0,ROW()-1,60),ROW()-1,FALSE))</f>
        <v/>
      </c>
      <c r="AQ353" t="str">
        <f ca="1">IF(AND(ISNUMBER($AQ$793),$B$419=1),$AQ$793,HLOOKUP(INDIRECT(ADDRESS(2,COLUMN())),OFFSET($BN$2,0,0,ROW()-1,60),ROW()-1,FALSE))</f>
        <v/>
      </c>
      <c r="AR353" t="str">
        <f ca="1">IF(AND(ISNUMBER($AR$793),$B$419=1),$AR$793,HLOOKUP(INDIRECT(ADDRESS(2,COLUMN())),OFFSET($BN$2,0,0,ROW()-1,60),ROW()-1,FALSE))</f>
        <v/>
      </c>
      <c r="AS353" t="str">
        <f ca="1">IF(AND(ISNUMBER($AS$793),$B$419=1),$AS$793,HLOOKUP(INDIRECT(ADDRESS(2,COLUMN())),OFFSET($BN$2,0,0,ROW()-1,60),ROW()-1,FALSE))</f>
        <v/>
      </c>
      <c r="AT353" t="str">
        <f ca="1">IF(AND(ISNUMBER($AT$793),$B$419=1),$AT$793,HLOOKUP(INDIRECT(ADDRESS(2,COLUMN())),OFFSET($BN$2,0,0,ROW()-1,60),ROW()-1,FALSE))</f>
        <v/>
      </c>
      <c r="AU353" t="str">
        <f ca="1">IF(AND(ISNUMBER($AU$793),$B$419=1),$AU$793,HLOOKUP(INDIRECT(ADDRESS(2,COLUMN())),OFFSET($BN$2,0,0,ROW()-1,60),ROW()-1,FALSE))</f>
        <v/>
      </c>
      <c r="AV353" t="str">
        <f ca="1">IF(AND(ISNUMBER($AV$793),$B$419=1),$AV$793,HLOOKUP(INDIRECT(ADDRESS(2,COLUMN())),OFFSET($BN$2,0,0,ROW()-1,60),ROW()-1,FALSE))</f>
        <v/>
      </c>
      <c r="AW353" t="str">
        <f ca="1">IF(AND(ISNUMBER($AW$793),$B$419=1),$AW$793,HLOOKUP(INDIRECT(ADDRESS(2,COLUMN())),OFFSET($BN$2,0,0,ROW()-1,60),ROW()-1,FALSE))</f>
        <v/>
      </c>
      <c r="AX353" t="str">
        <f ca="1">IF(AND(ISNUMBER($AX$793),$B$419=1),$AX$793,HLOOKUP(INDIRECT(ADDRESS(2,COLUMN())),OFFSET($BN$2,0,0,ROW()-1,60),ROW()-1,FALSE))</f>
        <v/>
      </c>
      <c r="AY353" t="str">
        <f ca="1">IF(AND(ISNUMBER($AY$793),$B$419=1),$AY$793,HLOOKUP(INDIRECT(ADDRESS(2,COLUMN())),OFFSET($BN$2,0,0,ROW()-1,60),ROW()-1,FALSE))</f>
        <v/>
      </c>
      <c r="AZ353" t="str">
        <f ca="1">IF(AND(ISNUMBER($AZ$793),$B$419=1),$AZ$793,HLOOKUP(INDIRECT(ADDRESS(2,COLUMN())),OFFSET($BN$2,0,0,ROW()-1,60),ROW()-1,FALSE))</f>
        <v/>
      </c>
      <c r="BA353" t="str">
        <f ca="1">IF(AND(ISNUMBER($BA$793),$B$419=1),$BA$793,HLOOKUP(INDIRECT(ADDRESS(2,COLUMN())),OFFSET($BN$2,0,0,ROW()-1,60),ROW()-1,FALSE))</f>
        <v/>
      </c>
      <c r="BB353" t="str">
        <f ca="1">IF(AND(ISNUMBER($BB$793),$B$419=1),$BB$793,HLOOKUP(INDIRECT(ADDRESS(2,COLUMN())),OFFSET($BN$2,0,0,ROW()-1,60),ROW()-1,FALSE))</f>
        <v/>
      </c>
      <c r="BC353" t="str">
        <f ca="1">IF(AND(ISNUMBER($BC$793),$B$419=1),$BC$793,HLOOKUP(INDIRECT(ADDRESS(2,COLUMN())),OFFSET($BN$2,0,0,ROW()-1,60),ROW()-1,FALSE))</f>
        <v/>
      </c>
      <c r="BD353" t="str">
        <f ca="1">IF(AND(ISNUMBER($BD$793),$B$419=1),$BD$793,HLOOKUP(INDIRECT(ADDRESS(2,COLUMN())),OFFSET($BN$2,0,0,ROW()-1,60),ROW()-1,FALSE))</f>
        <v/>
      </c>
      <c r="BE353" t="str">
        <f ca="1">IF(AND(ISNUMBER($BE$793),$B$419=1),$BE$793,HLOOKUP(INDIRECT(ADDRESS(2,COLUMN())),OFFSET($BN$2,0,0,ROW()-1,60),ROW()-1,FALSE))</f>
        <v/>
      </c>
      <c r="BF353" t="str">
        <f ca="1">IF(AND(ISNUMBER($BF$793),$B$419=1),$BF$793,HLOOKUP(INDIRECT(ADDRESS(2,COLUMN())),OFFSET($BN$2,0,0,ROW()-1,60),ROW()-1,FALSE))</f>
        <v/>
      </c>
      <c r="BG353" t="str">
        <f ca="1">IF(AND(ISNUMBER($BG$793),$B$419=1),$BG$793,HLOOKUP(INDIRECT(ADDRESS(2,COLUMN())),OFFSET($BN$2,0,0,ROW()-1,60),ROW()-1,FALSE))</f>
        <v/>
      </c>
      <c r="BH353" t="str">
        <f ca="1">IF(AND(ISNUMBER($BH$793),$B$419=1),$BH$793,HLOOKUP(INDIRECT(ADDRESS(2,COLUMN())),OFFSET($BN$2,0,0,ROW()-1,60),ROW()-1,FALSE))</f>
        <v/>
      </c>
      <c r="BI353" t="str">
        <f ca="1">IF(AND(ISNUMBER($BI$793),$B$419=1),$BI$793,HLOOKUP(INDIRECT(ADDRESS(2,COLUMN())),OFFSET($BN$2,0,0,ROW()-1,60),ROW()-1,FALSE))</f>
        <v/>
      </c>
      <c r="BJ353" t="str">
        <f ca="1">IF(AND(ISNUMBER($BJ$793),$B$419=1),$BJ$793,HLOOKUP(INDIRECT(ADDRESS(2,COLUMN())),OFFSET($BN$2,0,0,ROW()-1,60),ROW()-1,FALSE))</f>
        <v/>
      </c>
      <c r="BK353" t="str">
        <f ca="1">IF(AND(ISNUMBER($BK$793),$B$419=1),$BK$793,HLOOKUP(INDIRECT(ADDRESS(2,COLUMN())),OFFSET($BN$2,0,0,ROW()-1,60),ROW()-1,FALSE))</f>
        <v/>
      </c>
      <c r="BL353" t="str">
        <f ca="1">IF(AND(ISNUMBER($BL$793),$B$419=1),$BL$793,HLOOKUP(INDIRECT(ADDRESS(2,COLUMN())),OFFSET($BN$2,0,0,ROW()-1,60),ROW()-1,FALSE))</f>
        <v/>
      </c>
      <c r="BM353" t="str">
        <f ca="1">IF(AND(ISNUMBER($BM$793),$B$419=1),$BM$793,HLOOKUP(INDIRECT(ADDRESS(2,COLUMN())),OFFSET($BN$2,0,0,ROW()-1,60),ROW()-1,FALSE))</f>
        <v/>
      </c>
      <c r="BN353" t="str">
        <f>""</f>
        <v/>
      </c>
      <c r="BO353">
        <f>864.75</f>
        <v>864.75</v>
      </c>
      <c r="BP353">
        <f>17.781</f>
        <v>17.780999999999999</v>
      </c>
      <c r="BQ353">
        <f>162.483</f>
        <v>162.483</v>
      </c>
      <c r="BR353">
        <f>301.146</f>
        <v>301.14600000000002</v>
      </c>
      <c r="BS353">
        <f>287.094</f>
        <v>287.09399999999999</v>
      </c>
      <c r="BT353">
        <f>51.83</f>
        <v>51.83</v>
      </c>
      <c r="BU353">
        <f>121.046</f>
        <v>121.04600000000001</v>
      </c>
      <c r="BV353">
        <f>207.344</f>
        <v>207.34399999999999</v>
      </c>
      <c r="BW353">
        <f>216.006</f>
        <v>216.006</v>
      </c>
      <c r="BX353">
        <f>5.412</f>
        <v>5.4119999999999999</v>
      </c>
      <c r="BY353">
        <f>11.524</f>
        <v>11.523999999999999</v>
      </c>
      <c r="BZ353">
        <f>62.577</f>
        <v>62.576999999999998</v>
      </c>
      <c r="CA353" t="str">
        <f>""</f>
        <v/>
      </c>
      <c r="CB353">
        <f>103.949</f>
        <v>103.949</v>
      </c>
      <c r="CC353">
        <f>104.043</f>
        <v>104.04300000000001</v>
      </c>
      <c r="CD353">
        <f>191.077</f>
        <v>191.077</v>
      </c>
      <c r="CE353">
        <f>99.784</f>
        <v>99.784000000000006</v>
      </c>
      <c r="CF353">
        <f>0.047</f>
        <v>4.7E-2</v>
      </c>
      <c r="CG353">
        <f>0.074</f>
        <v>7.3999999999999996E-2</v>
      </c>
      <c r="CH353">
        <f>0.074</f>
        <v>7.3999999999999996E-2</v>
      </c>
      <c r="CI353" t="str">
        <f>""</f>
        <v/>
      </c>
      <c r="CJ353">
        <f>0.403</f>
        <v>0.40300000000000002</v>
      </c>
      <c r="CK353">
        <f>0</f>
        <v>0</v>
      </c>
      <c r="CL353">
        <f>0</f>
        <v>0</v>
      </c>
      <c r="CM353">
        <f>0</f>
        <v>0</v>
      </c>
      <c r="CN353" t="str">
        <f>""</f>
        <v/>
      </c>
      <c r="CO353" t="str">
        <f>""</f>
        <v/>
      </c>
      <c r="CP353" t="str">
        <f>""</f>
        <v/>
      </c>
      <c r="CQ353" t="str">
        <f>""</f>
        <v/>
      </c>
      <c r="CR353" t="str">
        <f>""</f>
        <v/>
      </c>
      <c r="CS353" t="str">
        <f>""</f>
        <v/>
      </c>
      <c r="CT353" t="str">
        <f>""</f>
        <v/>
      </c>
      <c r="CU353" t="str">
        <f>""</f>
        <v/>
      </c>
      <c r="CV353" t="str">
        <f>""</f>
        <v/>
      </c>
      <c r="CW353" t="str">
        <f>""</f>
        <v/>
      </c>
      <c r="CX353" t="str">
        <f>""</f>
        <v/>
      </c>
      <c r="CY353" t="str">
        <f>""</f>
        <v/>
      </c>
      <c r="CZ353" t="str">
        <f>""</f>
        <v/>
      </c>
      <c r="DA353" t="str">
        <f>""</f>
        <v/>
      </c>
      <c r="DB353" t="str">
        <f>""</f>
        <v/>
      </c>
      <c r="DC353" t="str">
        <f>""</f>
        <v/>
      </c>
      <c r="DD353" t="str">
        <f>""</f>
        <v/>
      </c>
      <c r="DE353" t="str">
        <f>""</f>
        <v/>
      </c>
      <c r="DF353" t="str">
        <f>""</f>
        <v/>
      </c>
      <c r="DG353" t="str">
        <f>""</f>
        <v/>
      </c>
      <c r="DH353" t="str">
        <f>""</f>
        <v/>
      </c>
      <c r="DI353" t="str">
        <f>""</f>
        <v/>
      </c>
      <c r="DJ353" t="str">
        <f>""</f>
        <v/>
      </c>
      <c r="DK353" t="str">
        <f>""</f>
        <v/>
      </c>
      <c r="DL353" t="str">
        <f>""</f>
        <v/>
      </c>
      <c r="DM353" t="str">
        <f>""</f>
        <v/>
      </c>
      <c r="DN353" t="str">
        <f>""</f>
        <v/>
      </c>
      <c r="DO353" t="str">
        <f>""</f>
        <v/>
      </c>
      <c r="DP353" t="str">
        <f>""</f>
        <v/>
      </c>
      <c r="DQ353" t="str">
        <f>""</f>
        <v/>
      </c>
      <c r="DR353" t="str">
        <f>""</f>
        <v/>
      </c>
      <c r="DS353" t="str">
        <f>""</f>
        <v/>
      </c>
      <c r="DT353" t="str">
        <f>""</f>
        <v/>
      </c>
      <c r="DU353" t="str">
        <f>""</f>
        <v/>
      </c>
    </row>
    <row r="354" spans="1:125">
      <c r="A354" t="str">
        <f>"    Washington Prime Group Inc"</f>
        <v xml:space="preserve">    Washington Prime Group Inc</v>
      </c>
      <c r="B354" t="str">
        <f>"WPG US Equity"</f>
        <v>WPG US Equity</v>
      </c>
      <c r="C354" t="str">
        <f t="shared" si="63"/>
        <v>BS658</v>
      </c>
      <c r="D354" t="str">
        <f t="shared" si="64"/>
        <v>BS_YEAR_1_PRINCIPAL</v>
      </c>
      <c r="E354" t="str">
        <f t="shared" si="65"/>
        <v>动态</v>
      </c>
      <c r="F354" t="str">
        <f ca="1">IF(AND(ISNUMBER($F$794),$B$419=1),$F$794,HLOOKUP(INDIRECT(ADDRESS(2,COLUMN())),OFFSET($BN$2,0,0,ROW()-1,60),ROW()-1,FALSE))</f>
        <v/>
      </c>
      <c r="G354">
        <f ca="1">IF(AND(ISNUMBER($G$794),$B$419=1),$G$794,HLOOKUP(INDIRECT(ADDRESS(2,COLUMN())),OFFSET($BN$2,0,0,ROW()-1,60),ROW()-1,FALSE))</f>
        <v>25.411999999999999</v>
      </c>
      <c r="H354">
        <f ca="1">IF(AND(ISNUMBER($H$794),$B$419=1),$H$794,HLOOKUP(INDIRECT(ADDRESS(2,COLUMN())),OFFSET($BN$2,0,0,ROW()-1,60),ROW()-1,FALSE))</f>
        <v>243.422</v>
      </c>
      <c r="I354">
        <f ca="1">IF(AND(ISNUMBER($I$794),$B$419=1),$I$794,HLOOKUP(INDIRECT(ADDRESS(2,COLUMN())),OFFSET($BN$2,0,0,ROW()-1,60),ROW()-1,FALSE))</f>
        <v>247.38300000000001</v>
      </c>
      <c r="J354">
        <f ca="1">IF(AND(ISNUMBER($J$794),$B$419=1),$J$794,HLOOKUP(INDIRECT(ADDRESS(2,COLUMN())),OFFSET($BN$2,0,0,ROW()-1,60),ROW()-1,FALSE))</f>
        <v>339.625</v>
      </c>
      <c r="K354">
        <f ca="1">IF(AND(ISNUMBER($K$794),$B$419=1),$K$794,HLOOKUP(INDIRECT(ADDRESS(2,COLUMN())),OFFSET($BN$2,0,0,ROW()-1,60),ROW()-1,FALSE))</f>
        <v>346.05</v>
      </c>
      <c r="L354">
        <f ca="1">IF(AND(ISNUMBER($L$794),$B$419=1),$L$794,HLOOKUP(INDIRECT(ADDRESS(2,COLUMN())),OFFSET($BN$2,0,0,ROW()-1,60),ROW()-1,FALSE))</f>
        <v>237.946</v>
      </c>
      <c r="M354">
        <f ca="1">IF(AND(ISNUMBER($M$794),$B$419=1),$M$794,HLOOKUP(INDIRECT(ADDRESS(2,COLUMN())),OFFSET($BN$2,0,0,ROW()-1,60),ROW()-1,FALSE))</f>
        <v>295.947</v>
      </c>
      <c r="N354">
        <f ca="1">IF(AND(ISNUMBER($N$794),$B$419=1),$N$794,HLOOKUP(INDIRECT(ADDRESS(2,COLUMN())),OFFSET($BN$2,0,0,ROW()-1,60),ROW()-1,FALSE))</f>
        <v>422.322</v>
      </c>
      <c r="O354" t="str">
        <f ca="1">IF(AND(ISNUMBER($O$794),$B$419=1),$O$794,HLOOKUP(INDIRECT(ADDRESS(2,COLUMN())),OFFSET($BN$2,0,0,ROW()-1,60),ROW()-1,FALSE))</f>
        <v/>
      </c>
      <c r="P354">
        <f ca="1">IF(AND(ISNUMBER($P$794),$B$419=1),$P$794,HLOOKUP(INDIRECT(ADDRESS(2,COLUMN())),OFFSET($BN$2,0,0,ROW()-1,60),ROW()-1,FALSE))</f>
        <v>58.131999999999998</v>
      </c>
      <c r="Q354">
        <f ca="1">IF(AND(ISNUMBER($Q$794),$B$419=1),$Q$794,HLOOKUP(INDIRECT(ADDRESS(2,COLUMN())),OFFSET($BN$2,0,0,ROW()-1,60),ROW()-1,FALSE))</f>
        <v>301.649</v>
      </c>
      <c r="R354">
        <f ca="1">IF(AND(ISNUMBER($R$794),$B$419=1),$R$794,HLOOKUP(INDIRECT(ADDRESS(2,COLUMN())),OFFSET($BN$2,0,0,ROW()-1,60),ROW()-1,FALSE))</f>
        <v>694.81600000000003</v>
      </c>
      <c r="S354">
        <f ca="1">IF(AND(ISNUMBER($S$794),$B$419=1),$S$794,HLOOKUP(INDIRECT(ADDRESS(2,COLUMN())),OFFSET($BN$2,0,0,ROW()-1,60),ROW()-1,FALSE))</f>
        <v>187.57900000000001</v>
      </c>
      <c r="T354">
        <f ca="1">IF(AND(ISNUMBER($T$794),$B$419=1),$T$794,HLOOKUP(INDIRECT(ADDRESS(2,COLUMN())),OFFSET($BN$2,0,0,ROW()-1,60),ROW()-1,FALSE))</f>
        <v>19.779</v>
      </c>
      <c r="U354">
        <f ca="1">IF(AND(ISNUMBER($U$794),$B$419=1),$U$794,HLOOKUP(INDIRECT(ADDRESS(2,COLUMN())),OFFSET($BN$2,0,0,ROW()-1,60),ROW()-1,FALSE))</f>
        <v>23.356000000000002</v>
      </c>
      <c r="V354">
        <f ca="1">IF(AND(ISNUMBER($V$794),$B$419=1),$V$794,HLOOKUP(INDIRECT(ADDRESS(2,COLUMN())),OFFSET($BN$2,0,0,ROW()-1,60),ROW()-1,FALSE))</f>
        <v>90.846999999999994</v>
      </c>
      <c r="W354" t="str">
        <f ca="1">IF(AND(ISNUMBER($W$794),$B$419=1),$W$794,HLOOKUP(INDIRECT(ADDRESS(2,COLUMN())),OFFSET($BN$2,0,0,ROW()-1,60),ROW()-1,FALSE))</f>
        <v/>
      </c>
      <c r="X354" t="str">
        <f ca="1">IF(AND(ISNUMBER($X$794),$B$419=1),$X$794,HLOOKUP(INDIRECT(ADDRESS(2,COLUMN())),OFFSET($BN$2,0,0,ROW()-1,60),ROW()-1,FALSE))</f>
        <v/>
      </c>
      <c r="Y354" t="str">
        <f ca="1">IF(AND(ISNUMBER($Y$794),$B$419=1),$Y$794,HLOOKUP(INDIRECT(ADDRESS(2,COLUMN())),OFFSET($BN$2,0,0,ROW()-1,60),ROW()-1,FALSE))</f>
        <v/>
      </c>
      <c r="Z354" t="str">
        <f ca="1">IF(AND(ISNUMBER($Z$794),$B$419=1),$Z$794,HLOOKUP(INDIRECT(ADDRESS(2,COLUMN())),OFFSET($BN$2,0,0,ROW()-1,60),ROW()-1,FALSE))</f>
        <v/>
      </c>
      <c r="AA354" t="str">
        <f ca="1">IF(AND(ISNUMBER($AA$794),$B$419=1),$AA$794,HLOOKUP(INDIRECT(ADDRESS(2,COLUMN())),OFFSET($BN$2,0,0,ROW()-1,60),ROW()-1,FALSE))</f>
        <v/>
      </c>
      <c r="AB354" t="str">
        <f ca="1">IF(AND(ISNUMBER($AB$794),$B$419=1),$AB$794,HLOOKUP(INDIRECT(ADDRESS(2,COLUMN())),OFFSET($BN$2,0,0,ROW()-1,60),ROW()-1,FALSE))</f>
        <v/>
      </c>
      <c r="AC354" t="str">
        <f ca="1">IF(AND(ISNUMBER($AC$794),$B$419=1),$AC$794,HLOOKUP(INDIRECT(ADDRESS(2,COLUMN())),OFFSET($BN$2,0,0,ROW()-1,60),ROW()-1,FALSE))</f>
        <v/>
      </c>
      <c r="AD354" t="str">
        <f ca="1">IF(AND(ISNUMBER($AD$794),$B$419=1),$AD$794,HLOOKUP(INDIRECT(ADDRESS(2,COLUMN())),OFFSET($BN$2,0,0,ROW()-1,60),ROW()-1,FALSE))</f>
        <v/>
      </c>
      <c r="AE354" t="str">
        <f ca="1">IF(AND(ISNUMBER($AE$794),$B$419=1),$AE$794,HLOOKUP(INDIRECT(ADDRESS(2,COLUMN())),OFFSET($BN$2,0,0,ROW()-1,60),ROW()-1,FALSE))</f>
        <v/>
      </c>
      <c r="AF354" t="str">
        <f ca="1">IF(AND(ISNUMBER($AF$794),$B$419=1),$AF$794,HLOOKUP(INDIRECT(ADDRESS(2,COLUMN())),OFFSET($BN$2,0,0,ROW()-1,60),ROW()-1,FALSE))</f>
        <v/>
      </c>
      <c r="AG354" t="str">
        <f ca="1">IF(AND(ISNUMBER($AG$794),$B$419=1),$AG$794,HLOOKUP(INDIRECT(ADDRESS(2,COLUMN())),OFFSET($BN$2,0,0,ROW()-1,60),ROW()-1,FALSE))</f>
        <v/>
      </c>
      <c r="AH354" t="str">
        <f ca="1">IF(AND(ISNUMBER($AH$794),$B$419=1),$AH$794,HLOOKUP(INDIRECT(ADDRESS(2,COLUMN())),OFFSET($BN$2,0,0,ROW()-1,60),ROW()-1,FALSE))</f>
        <v/>
      </c>
      <c r="AI354" t="str">
        <f ca="1">IF(AND(ISNUMBER($AI$794),$B$419=1),$AI$794,HLOOKUP(INDIRECT(ADDRESS(2,COLUMN())),OFFSET($BN$2,0,0,ROW()-1,60),ROW()-1,FALSE))</f>
        <v/>
      </c>
      <c r="AJ354" t="str">
        <f ca="1">IF(AND(ISNUMBER($AJ$794),$B$419=1),$AJ$794,HLOOKUP(INDIRECT(ADDRESS(2,COLUMN())),OFFSET($BN$2,0,0,ROW()-1,60),ROW()-1,FALSE))</f>
        <v/>
      </c>
      <c r="AK354" t="str">
        <f ca="1">IF(AND(ISNUMBER($AK$794),$B$419=1),$AK$794,HLOOKUP(INDIRECT(ADDRESS(2,COLUMN())),OFFSET($BN$2,0,0,ROW()-1,60),ROW()-1,FALSE))</f>
        <v/>
      </c>
      <c r="AL354" t="str">
        <f ca="1">IF(AND(ISNUMBER($AL$794),$B$419=1),$AL$794,HLOOKUP(INDIRECT(ADDRESS(2,COLUMN())),OFFSET($BN$2,0,0,ROW()-1,60),ROW()-1,FALSE))</f>
        <v/>
      </c>
      <c r="AM354" t="str">
        <f ca="1">IF(AND(ISNUMBER($AM$794),$B$419=1),$AM$794,HLOOKUP(INDIRECT(ADDRESS(2,COLUMN())),OFFSET($BN$2,0,0,ROW()-1,60),ROW()-1,FALSE))</f>
        <v/>
      </c>
      <c r="AN354" t="str">
        <f ca="1">IF(AND(ISNUMBER($AN$794),$B$419=1),$AN$794,HLOOKUP(INDIRECT(ADDRESS(2,COLUMN())),OFFSET($BN$2,0,0,ROW()-1,60),ROW()-1,FALSE))</f>
        <v/>
      </c>
      <c r="AO354" t="str">
        <f ca="1">IF(AND(ISNUMBER($AO$794),$B$419=1),$AO$794,HLOOKUP(INDIRECT(ADDRESS(2,COLUMN())),OFFSET($BN$2,0,0,ROW()-1,60),ROW()-1,FALSE))</f>
        <v/>
      </c>
      <c r="AP354" t="str">
        <f ca="1">IF(AND(ISNUMBER($AP$794),$B$419=1),$AP$794,HLOOKUP(INDIRECT(ADDRESS(2,COLUMN())),OFFSET($BN$2,0,0,ROW()-1,60),ROW()-1,FALSE))</f>
        <v/>
      </c>
      <c r="AQ354" t="str">
        <f ca="1">IF(AND(ISNUMBER($AQ$794),$B$419=1),$AQ$794,HLOOKUP(INDIRECT(ADDRESS(2,COLUMN())),OFFSET($BN$2,0,0,ROW()-1,60),ROW()-1,FALSE))</f>
        <v/>
      </c>
      <c r="AR354" t="str">
        <f ca="1">IF(AND(ISNUMBER($AR$794),$B$419=1),$AR$794,HLOOKUP(INDIRECT(ADDRESS(2,COLUMN())),OFFSET($BN$2,0,0,ROW()-1,60),ROW()-1,FALSE))</f>
        <v/>
      </c>
      <c r="AS354" t="str">
        <f ca="1">IF(AND(ISNUMBER($AS$794),$B$419=1),$AS$794,HLOOKUP(INDIRECT(ADDRESS(2,COLUMN())),OFFSET($BN$2,0,0,ROW()-1,60),ROW()-1,FALSE))</f>
        <v/>
      </c>
      <c r="AT354" t="str">
        <f ca="1">IF(AND(ISNUMBER($AT$794),$B$419=1),$AT$794,HLOOKUP(INDIRECT(ADDRESS(2,COLUMN())),OFFSET($BN$2,0,0,ROW()-1,60),ROW()-1,FALSE))</f>
        <v/>
      </c>
      <c r="AU354" t="str">
        <f ca="1">IF(AND(ISNUMBER($AU$794),$B$419=1),$AU$794,HLOOKUP(INDIRECT(ADDRESS(2,COLUMN())),OFFSET($BN$2,0,0,ROW()-1,60),ROW()-1,FALSE))</f>
        <v/>
      </c>
      <c r="AV354" t="str">
        <f ca="1">IF(AND(ISNUMBER($AV$794),$B$419=1),$AV$794,HLOOKUP(INDIRECT(ADDRESS(2,COLUMN())),OFFSET($BN$2,0,0,ROW()-1,60),ROW()-1,FALSE))</f>
        <v/>
      </c>
      <c r="AW354" t="str">
        <f ca="1">IF(AND(ISNUMBER($AW$794),$B$419=1),$AW$794,HLOOKUP(INDIRECT(ADDRESS(2,COLUMN())),OFFSET($BN$2,0,0,ROW()-1,60),ROW()-1,FALSE))</f>
        <v/>
      </c>
      <c r="AX354" t="str">
        <f ca="1">IF(AND(ISNUMBER($AX$794),$B$419=1),$AX$794,HLOOKUP(INDIRECT(ADDRESS(2,COLUMN())),OFFSET($BN$2,0,0,ROW()-1,60),ROW()-1,FALSE))</f>
        <v/>
      </c>
      <c r="AY354" t="str">
        <f ca="1">IF(AND(ISNUMBER($AY$794),$B$419=1),$AY$794,HLOOKUP(INDIRECT(ADDRESS(2,COLUMN())),OFFSET($BN$2,0,0,ROW()-1,60),ROW()-1,FALSE))</f>
        <v/>
      </c>
      <c r="AZ354" t="str">
        <f ca="1">IF(AND(ISNUMBER($AZ$794),$B$419=1),$AZ$794,HLOOKUP(INDIRECT(ADDRESS(2,COLUMN())),OFFSET($BN$2,0,0,ROW()-1,60),ROW()-1,FALSE))</f>
        <v/>
      </c>
      <c r="BA354" t="str">
        <f ca="1">IF(AND(ISNUMBER($BA$794),$B$419=1),$BA$794,HLOOKUP(INDIRECT(ADDRESS(2,COLUMN())),OFFSET($BN$2,0,0,ROW()-1,60),ROW()-1,FALSE))</f>
        <v/>
      </c>
      <c r="BB354" t="str">
        <f ca="1">IF(AND(ISNUMBER($BB$794),$B$419=1),$BB$794,HLOOKUP(INDIRECT(ADDRESS(2,COLUMN())),OFFSET($BN$2,0,0,ROW()-1,60),ROW()-1,FALSE))</f>
        <v/>
      </c>
      <c r="BC354" t="str">
        <f ca="1">IF(AND(ISNUMBER($BC$794),$B$419=1),$BC$794,HLOOKUP(INDIRECT(ADDRESS(2,COLUMN())),OFFSET($BN$2,0,0,ROW()-1,60),ROW()-1,FALSE))</f>
        <v/>
      </c>
      <c r="BD354" t="str">
        <f ca="1">IF(AND(ISNUMBER($BD$794),$B$419=1),$BD$794,HLOOKUP(INDIRECT(ADDRESS(2,COLUMN())),OFFSET($BN$2,0,0,ROW()-1,60),ROW()-1,FALSE))</f>
        <v/>
      </c>
      <c r="BE354" t="str">
        <f ca="1">IF(AND(ISNUMBER($BE$794),$B$419=1),$BE$794,HLOOKUP(INDIRECT(ADDRESS(2,COLUMN())),OFFSET($BN$2,0,0,ROW()-1,60),ROW()-1,FALSE))</f>
        <v/>
      </c>
      <c r="BF354" t="str">
        <f ca="1">IF(AND(ISNUMBER($BF$794),$B$419=1),$BF$794,HLOOKUP(INDIRECT(ADDRESS(2,COLUMN())),OFFSET($BN$2,0,0,ROW()-1,60),ROW()-1,FALSE))</f>
        <v/>
      </c>
      <c r="BG354" t="str">
        <f ca="1">IF(AND(ISNUMBER($BG$794),$B$419=1),$BG$794,HLOOKUP(INDIRECT(ADDRESS(2,COLUMN())),OFFSET($BN$2,0,0,ROW()-1,60),ROW()-1,FALSE))</f>
        <v/>
      </c>
      <c r="BH354" t="str">
        <f ca="1">IF(AND(ISNUMBER($BH$794),$B$419=1),$BH$794,HLOOKUP(INDIRECT(ADDRESS(2,COLUMN())),OFFSET($BN$2,0,0,ROW()-1,60),ROW()-1,FALSE))</f>
        <v/>
      </c>
      <c r="BI354" t="str">
        <f ca="1">IF(AND(ISNUMBER($BI$794),$B$419=1),$BI$794,HLOOKUP(INDIRECT(ADDRESS(2,COLUMN())),OFFSET($BN$2,0,0,ROW()-1,60),ROW()-1,FALSE))</f>
        <v/>
      </c>
      <c r="BJ354" t="str">
        <f ca="1">IF(AND(ISNUMBER($BJ$794),$B$419=1),$BJ$794,HLOOKUP(INDIRECT(ADDRESS(2,COLUMN())),OFFSET($BN$2,0,0,ROW()-1,60),ROW()-1,FALSE))</f>
        <v/>
      </c>
      <c r="BK354" t="str">
        <f ca="1">IF(AND(ISNUMBER($BK$794),$B$419=1),$BK$794,HLOOKUP(INDIRECT(ADDRESS(2,COLUMN())),OFFSET($BN$2,0,0,ROW()-1,60),ROW()-1,FALSE))</f>
        <v/>
      </c>
      <c r="BL354" t="str">
        <f ca="1">IF(AND(ISNUMBER($BL$794),$B$419=1),$BL$794,HLOOKUP(INDIRECT(ADDRESS(2,COLUMN())),OFFSET($BN$2,0,0,ROW()-1,60),ROW()-1,FALSE))</f>
        <v/>
      </c>
      <c r="BM354" t="str">
        <f ca="1">IF(AND(ISNUMBER($BM$794),$B$419=1),$BM$794,HLOOKUP(INDIRECT(ADDRESS(2,COLUMN())),OFFSET($BN$2,0,0,ROW()-1,60),ROW()-1,FALSE))</f>
        <v/>
      </c>
      <c r="BN354" t="str">
        <f>""</f>
        <v/>
      </c>
      <c r="BO354">
        <f>25.412</f>
        <v>25.411999999999999</v>
      </c>
      <c r="BP354">
        <f>243.422</f>
        <v>243.422</v>
      </c>
      <c r="BQ354">
        <f>247.383</f>
        <v>247.38300000000001</v>
      </c>
      <c r="BR354">
        <f>339.625</f>
        <v>339.625</v>
      </c>
      <c r="BS354">
        <f>346.05</f>
        <v>346.05</v>
      </c>
      <c r="BT354">
        <f>237.946</f>
        <v>237.946</v>
      </c>
      <c r="BU354">
        <f>295.947</f>
        <v>295.947</v>
      </c>
      <c r="BV354">
        <f>422.322</f>
        <v>422.322</v>
      </c>
      <c r="BW354" t="str">
        <f>""</f>
        <v/>
      </c>
      <c r="BX354">
        <f>58.132</f>
        <v>58.131999999999998</v>
      </c>
      <c r="BY354">
        <f>301.649</f>
        <v>301.649</v>
      </c>
      <c r="BZ354">
        <f>694.816</f>
        <v>694.81600000000003</v>
      </c>
      <c r="CA354">
        <f>187.579</f>
        <v>187.57900000000001</v>
      </c>
      <c r="CB354">
        <f>19.779</f>
        <v>19.779</v>
      </c>
      <c r="CC354">
        <f>23.356</f>
        <v>23.356000000000002</v>
      </c>
      <c r="CD354">
        <f>90.847</f>
        <v>90.846999999999994</v>
      </c>
      <c r="CE354" t="str">
        <f>""</f>
        <v/>
      </c>
      <c r="CF354" t="str">
        <f>""</f>
        <v/>
      </c>
      <c r="CG354" t="str">
        <f>""</f>
        <v/>
      </c>
      <c r="CH354" t="str">
        <f>""</f>
        <v/>
      </c>
      <c r="CI354" t="str">
        <f>""</f>
        <v/>
      </c>
      <c r="CJ354" t="str">
        <f>""</f>
        <v/>
      </c>
      <c r="CK354" t="str">
        <f>""</f>
        <v/>
      </c>
      <c r="CL354" t="str">
        <f>""</f>
        <v/>
      </c>
      <c r="CM354" t="str">
        <f>""</f>
        <v/>
      </c>
      <c r="CN354" t="str">
        <f>""</f>
        <v/>
      </c>
      <c r="CO354" t="str">
        <f>""</f>
        <v/>
      </c>
      <c r="CP354" t="str">
        <f>""</f>
        <v/>
      </c>
      <c r="CQ354" t="str">
        <f>""</f>
        <v/>
      </c>
      <c r="CR354" t="str">
        <f>""</f>
        <v/>
      </c>
      <c r="CS354" t="str">
        <f>""</f>
        <v/>
      </c>
      <c r="CT354" t="str">
        <f>""</f>
        <v/>
      </c>
      <c r="CU354" t="str">
        <f>""</f>
        <v/>
      </c>
      <c r="CV354" t="str">
        <f>""</f>
        <v/>
      </c>
      <c r="CW354" t="str">
        <f>""</f>
        <v/>
      </c>
      <c r="CX354" t="str">
        <f>""</f>
        <v/>
      </c>
      <c r="CY354" t="str">
        <f>""</f>
        <v/>
      </c>
      <c r="CZ354" t="str">
        <f>""</f>
        <v/>
      </c>
      <c r="DA354" t="str">
        <f>""</f>
        <v/>
      </c>
      <c r="DB354" t="str">
        <f>""</f>
        <v/>
      </c>
      <c r="DC354" t="str">
        <f>""</f>
        <v/>
      </c>
      <c r="DD354" t="str">
        <f>""</f>
        <v/>
      </c>
      <c r="DE354" t="str">
        <f>""</f>
        <v/>
      </c>
      <c r="DF354" t="str">
        <f>""</f>
        <v/>
      </c>
      <c r="DG354" t="str">
        <f>""</f>
        <v/>
      </c>
      <c r="DH354" t="str">
        <f>""</f>
        <v/>
      </c>
      <c r="DI354" t="str">
        <f>""</f>
        <v/>
      </c>
      <c r="DJ354" t="str">
        <f>""</f>
        <v/>
      </c>
      <c r="DK354" t="str">
        <f>""</f>
        <v/>
      </c>
      <c r="DL354" t="str">
        <f>""</f>
        <v/>
      </c>
      <c r="DM354" t="str">
        <f>""</f>
        <v/>
      </c>
      <c r="DN354" t="str">
        <f>""</f>
        <v/>
      </c>
      <c r="DO354" t="str">
        <f>""</f>
        <v/>
      </c>
      <c r="DP354" t="str">
        <f>""</f>
        <v/>
      </c>
      <c r="DQ354" t="str">
        <f>""</f>
        <v/>
      </c>
      <c r="DR354" t="str">
        <f>""</f>
        <v/>
      </c>
      <c r="DS354" t="str">
        <f>""</f>
        <v/>
      </c>
      <c r="DT354" t="str">
        <f>""</f>
        <v/>
      </c>
      <c r="DU354" t="str">
        <f>""</f>
        <v/>
      </c>
    </row>
    <row r="355" spans="1:125">
      <c r="A355" t="str">
        <f>"    Weingarten Realty Investors"</f>
        <v xml:space="preserve">    Weingarten Realty Investors</v>
      </c>
      <c r="B355" t="str">
        <f>"WRI US Equity"</f>
        <v>WRI US Equity</v>
      </c>
      <c r="C355" t="str">
        <f t="shared" si="63"/>
        <v>BS658</v>
      </c>
      <c r="D355" t="str">
        <f t="shared" si="64"/>
        <v>BS_YEAR_1_PRINCIPAL</v>
      </c>
      <c r="E355" t="str">
        <f t="shared" si="65"/>
        <v>动态</v>
      </c>
      <c r="F355" t="str">
        <f ca="1">IF(AND(ISNUMBER($F$795),$B$419=1),$F$795,HLOOKUP(INDIRECT(ADDRESS(2,COLUMN())),OFFSET($BN$2,0,0,ROW()-1,60),ROW()-1,FALSE))</f>
        <v/>
      </c>
      <c r="G355">
        <f ca="1">IF(AND(ISNUMBER($G$795),$B$419=1),$G$795,HLOOKUP(INDIRECT(ADDRESS(2,COLUMN())),OFFSET($BN$2,0,0,ROW()-1,60),ROW()-1,FALSE))</f>
        <v>113.42700000000001</v>
      </c>
      <c r="H355">
        <f ca="1">IF(AND(ISNUMBER($H$795),$B$419=1),$H$795,HLOOKUP(INDIRECT(ADDRESS(2,COLUMN())),OFFSET($BN$2,0,0,ROW()-1,60),ROW()-1,FALSE))</f>
        <v>38.506</v>
      </c>
      <c r="I355">
        <f ca="1">IF(AND(ISNUMBER($I$795),$B$419=1),$I$795,HLOOKUP(INDIRECT(ADDRESS(2,COLUMN())),OFFSET($BN$2,0,0,ROW()-1,60),ROW()-1,FALSE))</f>
        <v>40.401000000000003</v>
      </c>
      <c r="J355">
        <f ca="1">IF(AND(ISNUMBER($J$795),$B$419=1),$J$795,HLOOKUP(INDIRECT(ADDRESS(2,COLUMN())),OFFSET($BN$2,0,0,ROW()-1,60),ROW()-1,FALSE))</f>
        <v>67.268000000000001</v>
      </c>
      <c r="K355">
        <f ca="1">IF(AND(ISNUMBER($K$795),$B$419=1),$K$795,HLOOKUP(INDIRECT(ADDRESS(2,COLUMN())),OFFSET($BN$2,0,0,ROW()-1,60),ROW()-1,FALSE))</f>
        <v>86.71</v>
      </c>
      <c r="L355">
        <f ca="1">IF(AND(ISNUMBER($L$795),$B$419=1),$L$795,HLOOKUP(INDIRECT(ADDRESS(2,COLUMN())),OFFSET($BN$2,0,0,ROW()-1,60),ROW()-1,FALSE))</f>
        <v>76.938999999999993</v>
      </c>
      <c r="M355">
        <f ca="1">IF(AND(ISNUMBER($M$795),$B$419=1),$M$795,HLOOKUP(INDIRECT(ADDRESS(2,COLUMN())),OFFSET($BN$2,0,0,ROW()-1,60),ROW()-1,FALSE))</f>
        <v>78.834999999999994</v>
      </c>
      <c r="N355">
        <f ca="1">IF(AND(ISNUMBER($N$795),$B$419=1),$N$795,HLOOKUP(INDIRECT(ADDRESS(2,COLUMN())),OFFSET($BN$2,0,0,ROW()-1,60),ROW()-1,FALSE))</f>
        <v>158.49199999999999</v>
      </c>
      <c r="O355">
        <f ca="1">IF(AND(ISNUMBER($O$795),$B$419=1),$O$795,HLOOKUP(INDIRECT(ADDRESS(2,COLUMN())),OFFSET($BN$2,0,0,ROW()-1,60),ROW()-1,FALSE))</f>
        <v>161.86799999999999</v>
      </c>
      <c r="P355">
        <f ca="1">IF(AND(ISNUMBER($P$795),$B$419=1),$P$795,HLOOKUP(INDIRECT(ADDRESS(2,COLUMN())),OFFSET($BN$2,0,0,ROW()-1,60),ROW()-1,FALSE))</f>
        <v>2.7610000000000001</v>
      </c>
      <c r="Q355">
        <f ca="1">IF(AND(ISNUMBER($Q$795),$B$419=1),$Q$795,HLOOKUP(INDIRECT(ADDRESS(2,COLUMN())),OFFSET($BN$2,0,0,ROW()-1,60),ROW()-1,FALSE))</f>
        <v>24.847000000000001</v>
      </c>
      <c r="R355">
        <f ca="1">IF(AND(ISNUMBER($R$795),$B$419=1),$R$795,HLOOKUP(INDIRECT(ADDRESS(2,COLUMN())),OFFSET($BN$2,0,0,ROW()-1,60),ROW()-1,FALSE))</f>
        <v>114.054</v>
      </c>
      <c r="S355" t="str">
        <f ca="1">IF(AND(ISNUMBER($S$795),$B$419=1),$S$795,HLOOKUP(INDIRECT(ADDRESS(2,COLUMN())),OFFSET($BN$2,0,0,ROW()-1,60),ROW()-1,FALSE))</f>
        <v/>
      </c>
      <c r="T355">
        <f ca="1">IF(AND(ISNUMBER($T$795),$B$419=1),$T$795,HLOOKUP(INDIRECT(ADDRESS(2,COLUMN())),OFFSET($BN$2,0,0,ROW()-1,60),ROW()-1,FALSE))</f>
        <v>134.15899999999999</v>
      </c>
      <c r="U355">
        <f ca="1">IF(AND(ISNUMBER($U$795),$B$419=1),$U$795,HLOOKUP(INDIRECT(ADDRESS(2,COLUMN())),OFFSET($BN$2,0,0,ROW()-1,60),ROW()-1,FALSE))</f>
        <v>374.1</v>
      </c>
      <c r="V355">
        <f ca="1">IF(AND(ISNUMBER($V$795),$B$419=1),$V$795,HLOOKUP(INDIRECT(ADDRESS(2,COLUMN())),OFFSET($BN$2,0,0,ROW()-1,60),ROW()-1,FALSE))</f>
        <v>48.65</v>
      </c>
      <c r="W355">
        <f ca="1">IF(AND(ISNUMBER($W$795),$B$419=1),$W$795,HLOOKUP(INDIRECT(ADDRESS(2,COLUMN())),OFFSET($BN$2,0,0,ROW()-1,60),ROW()-1,FALSE))</f>
        <v>368.858</v>
      </c>
      <c r="X355">
        <f ca="1">IF(AND(ISNUMBER($X$795),$B$419=1),$X$795,HLOOKUP(INDIRECT(ADDRESS(2,COLUMN())),OFFSET($BN$2,0,0,ROW()-1,60),ROW()-1,FALSE))</f>
        <v>65.727000000000004</v>
      </c>
      <c r="Y355">
        <f ca="1">IF(AND(ISNUMBER($Y$795),$B$419=1),$Y$795,HLOOKUP(INDIRECT(ADDRESS(2,COLUMN())),OFFSET($BN$2,0,0,ROW()-1,60),ROW()-1,FALSE))</f>
        <v>623.899</v>
      </c>
      <c r="Z355">
        <f ca="1">IF(AND(ISNUMBER($Z$795),$B$419=1),$Z$795,HLOOKUP(INDIRECT(ADDRESS(2,COLUMN())),OFFSET($BN$2,0,0,ROW()-1,60),ROW()-1,FALSE))</f>
        <v>456.34399999999999</v>
      </c>
      <c r="AA355">
        <f ca="1">IF(AND(ISNUMBER($AA$795),$B$419=1),$AA$795,HLOOKUP(INDIRECT(ADDRESS(2,COLUMN())),OFFSET($BN$2,0,0,ROW()-1,60),ROW()-1,FALSE))</f>
        <v>349.108</v>
      </c>
      <c r="AB355">
        <f ca="1">IF(AND(ISNUMBER($AB$795),$B$419=1),$AB$795,HLOOKUP(INDIRECT(ADDRESS(2,COLUMN())),OFFSET($BN$2,0,0,ROW()-1,60),ROW()-1,FALSE))</f>
        <v>162.02099999999999</v>
      </c>
      <c r="AC355">
        <f ca="1">IF(AND(ISNUMBER($AC$795),$B$419=1),$AC$795,HLOOKUP(INDIRECT(ADDRESS(2,COLUMN())),OFFSET($BN$2,0,0,ROW()-1,60),ROW()-1,FALSE))</f>
        <v>171.02199999999999</v>
      </c>
      <c r="AD355">
        <f ca="1">IF(AND(ISNUMBER($AD$795),$B$419=1),$AD$795,HLOOKUP(INDIRECT(ADDRESS(2,COLUMN())),OFFSET($BN$2,0,0,ROW()-1,60),ROW()-1,FALSE))</f>
        <v>460.65199999999999</v>
      </c>
      <c r="AE355">
        <f ca="1">IF(AND(ISNUMBER($AE$795),$B$419=1),$AE$795,HLOOKUP(INDIRECT(ADDRESS(2,COLUMN())),OFFSET($BN$2,0,0,ROW()-1,60),ROW()-1,FALSE))</f>
        <v>495.226</v>
      </c>
      <c r="AF355">
        <f ca="1">IF(AND(ISNUMBER($AF$795),$B$419=1),$AF$795,HLOOKUP(INDIRECT(ADDRESS(2,COLUMN())),OFFSET($BN$2,0,0,ROW()-1,60),ROW()-1,FALSE))</f>
        <v>40.628999999999998</v>
      </c>
      <c r="AG355">
        <f ca="1">IF(AND(ISNUMBER($AG$795),$B$419=1),$AG$795,HLOOKUP(INDIRECT(ADDRESS(2,COLUMN())),OFFSET($BN$2,0,0,ROW()-1,60),ROW()-1,FALSE))</f>
        <v>320.20400000000001</v>
      </c>
      <c r="AH355">
        <f ca="1">IF(AND(ISNUMBER($AH$795),$B$419=1),$AH$795,HLOOKUP(INDIRECT(ADDRESS(2,COLUMN())),OFFSET($BN$2,0,0,ROW()-1,60),ROW()-1,FALSE))</f>
        <v>197.786</v>
      </c>
      <c r="AI355">
        <f ca="1">IF(AND(ISNUMBER($AI$795),$B$419=1),$AI$795,HLOOKUP(INDIRECT(ADDRESS(2,COLUMN())),OFFSET($BN$2,0,0,ROW()-1,60),ROW()-1,FALSE))</f>
        <v>212.26400000000001</v>
      </c>
      <c r="AJ355">
        <f ca="1">IF(AND(ISNUMBER($AJ$795),$B$419=1),$AJ$795,HLOOKUP(INDIRECT(ADDRESS(2,COLUMN())),OFFSET($BN$2,0,0,ROW()-1,60),ROW()-1,FALSE))</f>
        <v>57.966999999999999</v>
      </c>
      <c r="AK355">
        <f ca="1">IF(AND(ISNUMBER($AK$795),$B$419=1),$AK$795,HLOOKUP(INDIRECT(ADDRESS(2,COLUMN())),OFFSET($BN$2,0,0,ROW()-1,60),ROW()-1,FALSE))</f>
        <v>148.58099999999999</v>
      </c>
      <c r="AL355">
        <f ca="1">IF(AND(ISNUMBER($AL$795),$B$419=1),$AL$795,HLOOKUP(INDIRECT(ADDRESS(2,COLUMN())),OFFSET($BN$2,0,0,ROW()-1,60),ROW()-1,FALSE))</f>
        <v>210.87200000000001</v>
      </c>
      <c r="AM355">
        <f ca="1">IF(AND(ISNUMBER($AM$795),$B$419=1),$AM$795,HLOOKUP(INDIRECT(ADDRESS(2,COLUMN())),OFFSET($BN$2,0,0,ROW()-1,60),ROW()-1,FALSE))</f>
        <v>108.64400000000001</v>
      </c>
      <c r="AN355">
        <f ca="1">IF(AND(ISNUMBER($AN$795),$B$419=1),$AN$795,HLOOKUP(INDIRECT(ADDRESS(2,COLUMN())),OFFSET($BN$2,0,0,ROW()-1,60),ROW()-1,FALSE))</f>
        <v>55.716999999999999</v>
      </c>
      <c r="AO355">
        <f ca="1">IF(AND(ISNUMBER($AO$795),$B$419=1),$AO$795,HLOOKUP(INDIRECT(ADDRESS(2,COLUMN())),OFFSET($BN$2,0,0,ROW()-1,60),ROW()-1,FALSE))</f>
        <v>460.23099999999999</v>
      </c>
      <c r="AP355">
        <f ca="1">IF(AND(ISNUMBER($AP$795),$B$419=1),$AP$795,HLOOKUP(INDIRECT(ADDRESS(2,COLUMN())),OFFSET($BN$2,0,0,ROW()-1,60),ROW()-1,FALSE))</f>
        <v>212.488</v>
      </c>
      <c r="AQ355">
        <f ca="1">IF(AND(ISNUMBER($AQ$795),$B$419=1),$AQ$795,HLOOKUP(INDIRECT(ADDRESS(2,COLUMN())),OFFSET($BN$2,0,0,ROW()-1,60),ROW()-1,FALSE))</f>
        <v>96.986999999999995</v>
      </c>
      <c r="AR355">
        <f ca="1">IF(AND(ISNUMBER($AR$795),$B$419=1),$AR$795,HLOOKUP(INDIRECT(ADDRESS(2,COLUMN())),OFFSET($BN$2,0,0,ROW()-1,60),ROW()-1,FALSE))</f>
        <v>79.384</v>
      </c>
      <c r="AS355">
        <f ca="1">IF(AND(ISNUMBER($AS$795),$B$419=1),$AS$795,HLOOKUP(INDIRECT(ADDRESS(2,COLUMN())),OFFSET($BN$2,0,0,ROW()-1,60),ROW()-1,FALSE))</f>
        <v>184.642</v>
      </c>
      <c r="AT355">
        <f ca="1">IF(AND(ISNUMBER($AT$795),$B$419=1),$AT$795,HLOOKUP(INDIRECT(ADDRESS(2,COLUMN())),OFFSET($BN$2,0,0,ROW()-1,60),ROW()-1,FALSE))</f>
        <v>255.471</v>
      </c>
      <c r="AU355">
        <f ca="1">IF(AND(ISNUMBER($AU$795),$B$419=1),$AU$795,HLOOKUP(INDIRECT(ADDRESS(2,COLUMN())),OFFSET($BN$2,0,0,ROW()-1,60),ROW()-1,FALSE))</f>
        <v>254.50899999999999</v>
      </c>
      <c r="AV355">
        <f ca="1">IF(AND(ISNUMBER($AV$795),$B$419=1),$AV$795,HLOOKUP(INDIRECT(ADDRESS(2,COLUMN())),OFFSET($BN$2,0,0,ROW()-1,60),ROW()-1,FALSE))</f>
        <v>26.853000000000002</v>
      </c>
      <c r="AW355">
        <f ca="1">IF(AND(ISNUMBER($AW$795),$B$419=1),$AW$795,HLOOKUP(INDIRECT(ADDRESS(2,COLUMN())),OFFSET($BN$2,0,0,ROW()-1,60),ROW()-1,FALSE))</f>
        <v>41.786000000000001</v>
      </c>
      <c r="AX355">
        <f ca="1">IF(AND(ISNUMBER($AX$795),$B$419=1),$AX$795,HLOOKUP(INDIRECT(ADDRESS(2,COLUMN())),OFFSET($BN$2,0,0,ROW()-1,60),ROW()-1,FALSE))</f>
        <v>255.023</v>
      </c>
      <c r="AY355">
        <f ca="1">IF(AND(ISNUMBER($AY$795),$B$419=1),$AY$795,HLOOKUP(INDIRECT(ADDRESS(2,COLUMN())),OFFSET($BN$2,0,0,ROW()-1,60),ROW()-1,FALSE))</f>
        <v>114.098</v>
      </c>
      <c r="AZ355">
        <f ca="1">IF(AND(ISNUMBER($AZ$795),$B$419=1),$AZ$795,HLOOKUP(INDIRECT(ADDRESS(2,COLUMN())),OFFSET($BN$2,0,0,ROW()-1,60),ROW()-1,FALSE))</f>
        <v>329.02800000000002</v>
      </c>
      <c r="BA355">
        <f ca="1">IF(AND(ISNUMBER($BA$795),$B$419=1),$BA$795,HLOOKUP(INDIRECT(ADDRESS(2,COLUMN())),OFFSET($BN$2,0,0,ROW()-1,60),ROW()-1,FALSE))</f>
        <v>410.37799999999999</v>
      </c>
      <c r="BB355">
        <f ca="1">IF(AND(ISNUMBER($BB$795),$B$419=1),$BB$795,HLOOKUP(INDIRECT(ADDRESS(2,COLUMN())),OFFSET($BN$2,0,0,ROW()-1,60),ROW()-1,FALSE))</f>
        <v>37.594000000000001</v>
      </c>
      <c r="BC355">
        <f ca="1">IF(AND(ISNUMBER($BC$795),$B$419=1),$BC$795,HLOOKUP(INDIRECT(ADDRESS(2,COLUMN())),OFFSET($BN$2,0,0,ROW()-1,60),ROW()-1,FALSE))</f>
        <v>41.457000000000001</v>
      </c>
      <c r="BD355" t="str">
        <f ca="1">IF(AND(ISNUMBER($BD$795),$B$419=1),$BD$795,HLOOKUP(INDIRECT(ADDRESS(2,COLUMN())),OFFSET($BN$2,0,0,ROW()-1,60),ROW()-1,FALSE))</f>
        <v/>
      </c>
      <c r="BE355" t="str">
        <f ca="1">IF(AND(ISNUMBER($BE$795),$B$419=1),$BE$795,HLOOKUP(INDIRECT(ADDRESS(2,COLUMN())),OFFSET($BN$2,0,0,ROW()-1,60),ROW()-1,FALSE))</f>
        <v/>
      </c>
      <c r="BF355" t="str">
        <f ca="1">IF(AND(ISNUMBER($BF$795),$B$419=1),$BF$795,HLOOKUP(INDIRECT(ADDRESS(2,COLUMN())),OFFSET($BN$2,0,0,ROW()-1,60),ROW()-1,FALSE))</f>
        <v/>
      </c>
      <c r="BG355" t="str">
        <f ca="1">IF(AND(ISNUMBER($BG$795),$B$419=1),$BG$795,HLOOKUP(INDIRECT(ADDRESS(2,COLUMN())),OFFSET($BN$2,0,0,ROW()-1,60),ROW()-1,FALSE))</f>
        <v/>
      </c>
      <c r="BH355" t="str">
        <f ca="1">IF(AND(ISNUMBER($BH$795),$B$419=1),$BH$795,HLOOKUP(INDIRECT(ADDRESS(2,COLUMN())),OFFSET($BN$2,0,0,ROW()-1,60),ROW()-1,FALSE))</f>
        <v/>
      </c>
      <c r="BI355" t="str">
        <f ca="1">IF(AND(ISNUMBER($BI$795),$B$419=1),$BI$795,HLOOKUP(INDIRECT(ADDRESS(2,COLUMN())),OFFSET($BN$2,0,0,ROW()-1,60),ROW()-1,FALSE))</f>
        <v/>
      </c>
      <c r="BJ355" t="str">
        <f ca="1">IF(AND(ISNUMBER($BJ$795),$B$419=1),$BJ$795,HLOOKUP(INDIRECT(ADDRESS(2,COLUMN())),OFFSET($BN$2,0,0,ROW()-1,60),ROW()-1,FALSE))</f>
        <v/>
      </c>
      <c r="BK355" t="str">
        <f ca="1">IF(AND(ISNUMBER($BK$795),$B$419=1),$BK$795,HLOOKUP(INDIRECT(ADDRESS(2,COLUMN())),OFFSET($BN$2,0,0,ROW()-1,60),ROW()-1,FALSE))</f>
        <v/>
      </c>
      <c r="BL355" t="str">
        <f ca="1">IF(AND(ISNUMBER($BL$795),$B$419=1),$BL$795,HLOOKUP(INDIRECT(ADDRESS(2,COLUMN())),OFFSET($BN$2,0,0,ROW()-1,60),ROW()-1,FALSE))</f>
        <v/>
      </c>
      <c r="BM355" t="str">
        <f ca="1">IF(AND(ISNUMBER($BM$795),$B$419=1),$BM$795,HLOOKUP(INDIRECT(ADDRESS(2,COLUMN())),OFFSET($BN$2,0,0,ROW()-1,60),ROW()-1,FALSE))</f>
        <v/>
      </c>
      <c r="BN355" t="str">
        <f>""</f>
        <v/>
      </c>
      <c r="BO355">
        <f>113.427</f>
        <v>113.42700000000001</v>
      </c>
      <c r="BP355">
        <f>38.506</f>
        <v>38.506</v>
      </c>
      <c r="BQ355">
        <f>40.401</f>
        <v>40.401000000000003</v>
      </c>
      <c r="BR355">
        <f>67.268</f>
        <v>67.268000000000001</v>
      </c>
      <c r="BS355">
        <f>86.71</f>
        <v>86.71</v>
      </c>
      <c r="BT355">
        <f>76.939</f>
        <v>76.938999999999993</v>
      </c>
      <c r="BU355">
        <f>78.835</f>
        <v>78.834999999999994</v>
      </c>
      <c r="BV355">
        <f>158.492</f>
        <v>158.49199999999999</v>
      </c>
      <c r="BW355">
        <f>161.868</f>
        <v>161.86799999999999</v>
      </c>
      <c r="BX355">
        <f>2.761</f>
        <v>2.7610000000000001</v>
      </c>
      <c r="BY355">
        <f>24.847</f>
        <v>24.847000000000001</v>
      </c>
      <c r="BZ355">
        <f>114.054</f>
        <v>114.054</v>
      </c>
      <c r="CA355" t="str">
        <f>""</f>
        <v/>
      </c>
      <c r="CB355">
        <f>134.159</f>
        <v>134.15899999999999</v>
      </c>
      <c r="CC355">
        <f>374.1</f>
        <v>374.1</v>
      </c>
      <c r="CD355">
        <f>48.65</f>
        <v>48.65</v>
      </c>
      <c r="CE355">
        <f>368.858</f>
        <v>368.858</v>
      </c>
      <c r="CF355">
        <f>65.727</f>
        <v>65.727000000000004</v>
      </c>
      <c r="CG355">
        <f>623.899</f>
        <v>623.899</v>
      </c>
      <c r="CH355">
        <f>456.344</f>
        <v>456.34399999999999</v>
      </c>
      <c r="CI355">
        <f>349.108</f>
        <v>349.108</v>
      </c>
      <c r="CJ355">
        <f>162.021</f>
        <v>162.02099999999999</v>
      </c>
      <c r="CK355">
        <f>171.022</f>
        <v>171.02199999999999</v>
      </c>
      <c r="CL355">
        <f>460.652</f>
        <v>460.65199999999999</v>
      </c>
      <c r="CM355">
        <f>495.226</f>
        <v>495.226</v>
      </c>
      <c r="CN355">
        <f>40.629</f>
        <v>40.628999999999998</v>
      </c>
      <c r="CO355">
        <f>320.204</f>
        <v>320.20400000000001</v>
      </c>
      <c r="CP355">
        <f>197.786</f>
        <v>197.786</v>
      </c>
      <c r="CQ355">
        <f>212.264</f>
        <v>212.26400000000001</v>
      </c>
      <c r="CR355">
        <f>57.967</f>
        <v>57.966999999999999</v>
      </c>
      <c r="CS355">
        <f>148.581</f>
        <v>148.58099999999999</v>
      </c>
      <c r="CT355">
        <f>210.872</f>
        <v>210.87200000000001</v>
      </c>
      <c r="CU355">
        <f>108.644</f>
        <v>108.64400000000001</v>
      </c>
      <c r="CV355">
        <f>55.717</f>
        <v>55.716999999999999</v>
      </c>
      <c r="CW355">
        <f>460.231</f>
        <v>460.23099999999999</v>
      </c>
      <c r="CX355">
        <f>212.488</f>
        <v>212.488</v>
      </c>
      <c r="CY355">
        <f>96.987</f>
        <v>96.986999999999995</v>
      </c>
      <c r="CZ355">
        <f>79.384</f>
        <v>79.384</v>
      </c>
      <c r="DA355">
        <f>184.642</f>
        <v>184.642</v>
      </c>
      <c r="DB355">
        <f>255.471</f>
        <v>255.471</v>
      </c>
      <c r="DC355">
        <f>254.509</f>
        <v>254.50899999999999</v>
      </c>
      <c r="DD355">
        <f>26.853</f>
        <v>26.853000000000002</v>
      </c>
      <c r="DE355">
        <f>41.786</f>
        <v>41.786000000000001</v>
      </c>
      <c r="DF355">
        <f>255.023</f>
        <v>255.023</v>
      </c>
      <c r="DG355">
        <f>114.098</f>
        <v>114.098</v>
      </c>
      <c r="DH355">
        <f>329.028</f>
        <v>329.02800000000002</v>
      </c>
      <c r="DI355">
        <f>410.378</f>
        <v>410.37799999999999</v>
      </c>
      <c r="DJ355">
        <f>37.594</f>
        <v>37.594000000000001</v>
      </c>
      <c r="DK355">
        <f>41.457</f>
        <v>41.457000000000001</v>
      </c>
      <c r="DL355" t="str">
        <f>""</f>
        <v/>
      </c>
      <c r="DM355" t="str">
        <f>""</f>
        <v/>
      </c>
      <c r="DN355" t="str">
        <f>""</f>
        <v/>
      </c>
      <c r="DO355" t="str">
        <f>""</f>
        <v/>
      </c>
      <c r="DP355" t="str">
        <f>""</f>
        <v/>
      </c>
      <c r="DQ355" t="str">
        <f>""</f>
        <v/>
      </c>
      <c r="DR355" t="str">
        <f>""</f>
        <v/>
      </c>
      <c r="DS355" t="str">
        <f>""</f>
        <v/>
      </c>
      <c r="DT355" t="str">
        <f>""</f>
        <v/>
      </c>
      <c r="DU355" t="str">
        <f>""</f>
        <v/>
      </c>
    </row>
    <row r="356" spans="1:125">
      <c r="A356" t="str">
        <f>"自由现金流减去资本支出"</f>
        <v>自由现金流减去资本支出</v>
      </c>
      <c r="B356" t="str">
        <f>""</f>
        <v/>
      </c>
      <c r="E356" t="str">
        <f>"Median"</f>
        <v>Median</v>
      </c>
      <c r="F356" t="str">
        <f ca="1">IF(ISERROR(IF(MEDIAN($F$357:$F$371) = 0, "", MEDIAN($F$357:$F$371))), "", (IF(MEDIAN($F$357:$F$371) = 0, "", MEDIAN($F$357:$F$371))))</f>
        <v/>
      </c>
      <c r="G356">
        <f ca="1">IF(ISERROR(IF(MEDIAN($G$357:$G$371) = 0, "", MEDIAN($G$357:$G$371))), "", (IF(MEDIAN($G$357:$G$371) = 0, "", MEDIAN($G$357:$G$371))))</f>
        <v>10.33</v>
      </c>
      <c r="H356">
        <f ca="1">IF(ISERROR(IF(MEDIAN($H$357:$H$371) = 0, "", MEDIAN($H$357:$H$371))), "", (IF(MEDIAN($H$357:$H$371) = 0, "", MEDIAN($H$357:$H$371))))</f>
        <v>46.335000000000001</v>
      </c>
      <c r="I356">
        <f ca="1">IF(ISERROR(IF(MEDIAN($I$357:$I$371) = 0, "", MEDIAN($I$357:$I$371))), "", (IF(MEDIAN($I$357:$I$371) = 0, "", MEDIAN($I$357:$I$371))))</f>
        <v>42.398000000000003</v>
      </c>
      <c r="J356">
        <f ca="1">IF(ISERROR(IF(MEDIAN($J$357:$J$371) = 0, "", MEDIAN($J$357:$J$371))), "", (IF(MEDIAN($J$357:$J$371) = 0, "", MEDIAN($J$357:$J$371))))</f>
        <v>14.129</v>
      </c>
      <c r="K356">
        <f ca="1">IF(ISERROR(IF(MEDIAN($K$357:$K$371) = 0, "", MEDIAN($K$357:$K$371))), "", (IF(MEDIAN($K$357:$K$371) = 0, "", MEDIAN($K$357:$K$371))))</f>
        <v>11.182</v>
      </c>
      <c r="L356">
        <f ca="1">IF(ISERROR(IF(MEDIAN($L$357:$L$371) = 0, "", MEDIAN($L$357:$L$371))), "", (IF(MEDIAN($L$357:$L$371) = 0, "", MEDIAN($L$357:$L$371))))</f>
        <v>22.510999999999999</v>
      </c>
      <c r="M356">
        <f ca="1">IF(ISERROR(IF(MEDIAN($M$357:$M$371) = 0, "", MEDIAN($M$357:$M$371))), "", (IF(MEDIAN($M$357:$M$371) = 0, "", MEDIAN($M$357:$M$371))))</f>
        <v>10.646000000000001</v>
      </c>
      <c r="N356">
        <f ca="1">IF(ISERROR(IF(MEDIAN($N$357:$N$371) = 0, "", MEDIAN($N$357:$N$371))), "", (IF(MEDIAN($N$357:$N$371) = 0, "", MEDIAN($N$357:$N$371))))</f>
        <v>29.279</v>
      </c>
      <c r="O356">
        <f ca="1">IF(ISERROR(IF(MEDIAN($O$357:$O$371) = 0, "", MEDIAN($O$357:$O$371))), "", (IF(MEDIAN($O$357:$O$371) = 0, "", MEDIAN($O$357:$O$371))))</f>
        <v>4.085</v>
      </c>
      <c r="P356">
        <f ca="1">IF(ISERROR(IF(MEDIAN($P$357:$P$371) = 0, "", MEDIAN($P$357:$P$371))), "", (IF(MEDIAN($P$357:$P$371) = 0, "", MEDIAN($P$357:$P$371))))</f>
        <v>24.251999999999999</v>
      </c>
      <c r="Q356">
        <f ca="1">IF(ISERROR(IF(MEDIAN($Q$357:$Q$371) = 0, "", MEDIAN($Q$357:$Q$371))), "", (IF(MEDIAN($Q$357:$Q$371) = 0, "", MEDIAN($Q$357:$Q$371))))</f>
        <v>-0.189</v>
      </c>
      <c r="R356">
        <f ca="1">IF(ISERROR(IF(MEDIAN($R$357:$R$371) = 0, "", MEDIAN($R$357:$R$371))), "", (IF(MEDIAN($R$357:$R$371) = 0, "", MEDIAN($R$357:$R$371))))</f>
        <v>-4.5890000000000004</v>
      </c>
      <c r="S356">
        <f ca="1">IF(ISERROR(IF(MEDIAN($S$357:$S$371) = 0, "", MEDIAN($S$357:$S$371))), "", (IF(MEDIAN($S$357:$S$371) = 0, "", MEDIAN($S$357:$S$371))))</f>
        <v>12.359</v>
      </c>
      <c r="T356">
        <f ca="1">IF(ISERROR(IF(MEDIAN($T$357:$T$371) = 0, "", MEDIAN($T$357:$T$371))), "", (IF(MEDIAN($T$357:$T$371) = 0, "", MEDIAN($T$357:$T$371))))</f>
        <v>26.774999999999999</v>
      </c>
      <c r="U356">
        <f ca="1">IF(ISERROR(IF(MEDIAN($U$357:$U$371) = 0, "", MEDIAN($U$357:$U$371))), "", (IF(MEDIAN($U$357:$U$371) = 0, "", MEDIAN($U$357:$U$371))))</f>
        <v>11.074999999999999</v>
      </c>
      <c r="V356">
        <f ca="1">IF(ISERROR(IF(MEDIAN($V$357:$V$371) = 0, "", MEDIAN($V$357:$V$371))), "", (IF(MEDIAN($V$357:$V$371) = 0, "", MEDIAN($V$357:$V$371))))</f>
        <v>26.852</v>
      </c>
      <c r="W356">
        <f ca="1">IF(ISERROR(IF(MEDIAN($W$357:$W$371) = 0, "", MEDIAN($W$357:$W$371))), "", (IF(MEDIAN($W$357:$W$371) = 0, "", MEDIAN($W$357:$W$371))))</f>
        <v>-5.7575000000000003</v>
      </c>
      <c r="X356">
        <f ca="1">IF(ISERROR(IF(MEDIAN($X$357:$X$371) = 0, "", MEDIAN($X$357:$X$371))), "", (IF(MEDIAN($X$357:$X$371) = 0, "", MEDIAN($X$357:$X$371))))</f>
        <v>27.666499999999999</v>
      </c>
      <c r="Y356">
        <f ca="1">IF(ISERROR(IF(MEDIAN($Y$357:$Y$371) = 0, "", MEDIAN($Y$357:$Y$371))), "", (IF(MEDIAN($Y$357:$Y$371) = 0, "", MEDIAN($Y$357:$Y$371))))</f>
        <v>2.2190000000000003</v>
      </c>
      <c r="Z356">
        <f ca="1">IF(ISERROR(IF(MEDIAN($Z$357:$Z$371) = 0, "", MEDIAN($Z$357:$Z$371))), "", (IF(MEDIAN($Z$357:$Z$371) = 0, "", MEDIAN($Z$357:$Z$371))))</f>
        <v>13.163</v>
      </c>
      <c r="AA356">
        <f ca="1">IF(ISERROR(IF(MEDIAN($AA$357:$AA$371) = 0, "", MEDIAN($AA$357:$AA$371))), "", (IF(MEDIAN($AA$357:$AA$371) = 0, "", MEDIAN($AA$357:$AA$371))))</f>
        <v>3.4910470000000005</v>
      </c>
      <c r="AB356">
        <f ca="1">IF(ISERROR(IF(MEDIAN($AB$357:$AB$371) = 0, "", MEDIAN($AB$357:$AB$371))), "", (IF(MEDIAN($AB$357:$AB$371) = 0, "", MEDIAN($AB$357:$AB$371))))</f>
        <v>3.7831590000000004</v>
      </c>
      <c r="AC356">
        <f ca="1">IF(ISERROR(IF(MEDIAN($AC$357:$AC$371) = 0, "", MEDIAN($AC$357:$AC$371))), "", (IF(MEDIAN($AC$357:$AC$371) = 0, "", MEDIAN($AC$357:$AC$371))))</f>
        <v>12.027138000000001</v>
      </c>
      <c r="AD356">
        <f ca="1">IF(ISERROR(IF(MEDIAN($AD$357:$AD$371) = 0, "", MEDIAN($AD$357:$AD$371))), "", (IF(MEDIAN($AD$357:$AD$371) = 0, "", MEDIAN($AD$357:$AD$371))))</f>
        <v>8.5990000000000002</v>
      </c>
      <c r="AE356">
        <f ca="1">IF(ISERROR(IF(MEDIAN($AE$357:$AE$371) = 0, "", MEDIAN($AE$357:$AE$371))), "", (IF(MEDIAN($AE$357:$AE$371) = 0, "", MEDIAN($AE$357:$AE$371))))</f>
        <v>0.67700000000000005</v>
      </c>
      <c r="AF356">
        <f ca="1">IF(ISERROR(IF(MEDIAN($AF$357:$AF$371) = 0, "", MEDIAN($AF$357:$AF$371))), "", (IF(MEDIAN($AF$357:$AF$371) = 0, "", MEDIAN($AF$357:$AF$371))))</f>
        <v>0.97699999999999998</v>
      </c>
      <c r="AG356">
        <f ca="1">IF(ISERROR(IF(MEDIAN($AG$357:$AG$371) = 0, "", MEDIAN($AG$357:$AG$371))), "", (IF(MEDIAN($AG$357:$AG$371) = 0, "", MEDIAN($AG$357:$AG$371))))</f>
        <v>28.669</v>
      </c>
      <c r="AH356">
        <f ca="1">IF(ISERROR(IF(MEDIAN($AH$357:$AH$371) = 0, "", MEDIAN($AH$357:$AH$371))), "", (IF(MEDIAN($AH$357:$AH$371) = 0, "", MEDIAN($AH$357:$AH$371))))</f>
        <v>14.57</v>
      </c>
      <c r="AI356">
        <f ca="1">IF(ISERROR(IF(MEDIAN($AI$357:$AI$371) = 0, "", MEDIAN($AI$357:$AI$371))), "", (IF(MEDIAN($AI$357:$AI$371) = 0, "", MEDIAN($AI$357:$AI$371))))</f>
        <v>3.9750000000000001</v>
      </c>
      <c r="AJ356">
        <f ca="1">IF(ISERROR(IF(MEDIAN($AJ$357:$AJ$371) = 0, "", MEDIAN($AJ$357:$AJ$371))), "", (IF(MEDIAN($AJ$357:$AJ$371) = 0, "", MEDIAN($AJ$357:$AJ$371))))</f>
        <v>17.629000000000001</v>
      </c>
      <c r="AK356">
        <f ca="1">IF(ISERROR(IF(MEDIAN($AK$357:$AK$371) = 0, "", MEDIAN($AK$357:$AK$371))), "", (IF(MEDIAN($AK$357:$AK$371) = 0, "", MEDIAN($AK$357:$AK$371))))</f>
        <v>38.683999999999997</v>
      </c>
      <c r="AL356">
        <f ca="1">IF(ISERROR(IF(MEDIAN($AL$357:$AL$371) = 0, "", MEDIAN($AL$357:$AL$371))), "", (IF(MEDIAN($AL$357:$AL$371) = 0, "", MEDIAN($AL$357:$AL$371))))</f>
        <v>27.554499999999997</v>
      </c>
      <c r="AM356">
        <f ca="1">IF(ISERROR(IF(MEDIAN($AM$357:$AM$371) = 0, "", MEDIAN($AM$357:$AM$371))), "", (IF(MEDIAN($AM$357:$AM$371) = 0, "", MEDIAN($AM$357:$AM$371))))</f>
        <v>14.940999999999999</v>
      </c>
      <c r="AN356">
        <f ca="1">IF(ISERROR(IF(MEDIAN($AN$357:$AN$371) = 0, "", MEDIAN($AN$357:$AN$371))), "", (IF(MEDIAN($AN$357:$AN$371) = 0, "", MEDIAN($AN$357:$AN$371))))</f>
        <v>36.332499999999996</v>
      </c>
      <c r="AO356">
        <f ca="1">IF(ISERROR(IF(MEDIAN($AO$357:$AO$371) = 0, "", MEDIAN($AO$357:$AO$371))), "", (IF(MEDIAN($AO$357:$AO$371) = 0, "", MEDIAN($AO$357:$AO$371))))</f>
        <v>30.673500000000001</v>
      </c>
      <c r="AP356">
        <f ca="1">IF(ISERROR(IF(MEDIAN($AP$357:$AP$371) = 0, "", MEDIAN($AP$357:$AP$371))), "", (IF(MEDIAN($AP$357:$AP$371) = 0, "", MEDIAN($AP$357:$AP$371))))</f>
        <v>31.792999999999999</v>
      </c>
      <c r="AQ356">
        <f ca="1">IF(ISERROR(IF(MEDIAN($AQ$357:$AQ$371) = 0, "", MEDIAN($AQ$357:$AQ$371))), "", (IF(MEDIAN($AQ$357:$AQ$371) = 0, "", MEDIAN($AQ$357:$AQ$371))))</f>
        <v>-2.9794999999999998</v>
      </c>
      <c r="AR356">
        <f ca="1">IF(ISERROR(IF(MEDIAN($AR$357:$AR$371) = 0, "", MEDIAN($AR$357:$AR$371))), "", (IF(MEDIAN($AR$357:$AR$371) = 0, "", MEDIAN($AR$357:$AR$371))))</f>
        <v>14.821</v>
      </c>
      <c r="AS356">
        <f ca="1">IF(ISERROR(IF(MEDIAN($AS$357:$AS$371) = 0, "", MEDIAN($AS$357:$AS$371))), "", (IF(MEDIAN($AS$357:$AS$371) = 0, "", MEDIAN($AS$357:$AS$371))))</f>
        <v>-14.198999999999998</v>
      </c>
      <c r="AT356">
        <f ca="1">IF(ISERROR(IF(MEDIAN($AT$357:$AT$371) = 0, "", MEDIAN($AT$357:$AT$371))), "", (IF(MEDIAN($AT$357:$AT$371) = 0, "", MEDIAN($AT$357:$AT$371))))</f>
        <v>-39.624000000000002</v>
      </c>
      <c r="AU356">
        <f ca="1">IF(ISERROR(IF(MEDIAN($AU$357:$AU$371) = 0, "", MEDIAN($AU$357:$AU$371))), "", (IF(MEDIAN($AU$357:$AU$371) = 0, "", MEDIAN($AU$357:$AU$371))))</f>
        <v>-36.077500000000001</v>
      </c>
      <c r="AV356">
        <f ca="1">IF(ISERROR(IF(MEDIAN($AV$357:$AV$371) = 0, "", MEDIAN($AV$357:$AV$371))), "", (IF(MEDIAN($AV$357:$AV$371) = 0, "", MEDIAN($AV$357:$AV$371))))</f>
        <v>-59.712499999999999</v>
      </c>
      <c r="AW356">
        <f ca="1">IF(ISERROR(IF(MEDIAN($AW$357:$AW$371) = 0, "", MEDIAN($AW$357:$AW$371))), "", (IF(MEDIAN($AW$357:$AW$371) = 0, "", MEDIAN($AW$357:$AW$371))))</f>
        <v>-34.825000000000003</v>
      </c>
      <c r="AX356">
        <f ca="1">IF(ISERROR(IF(MEDIAN($AX$357:$AX$371) = 0, "", MEDIAN($AX$357:$AX$371))), "", (IF(MEDIAN($AX$357:$AX$371) = 0, "", MEDIAN($AX$357:$AX$371))))</f>
        <v>-28.358499999999999</v>
      </c>
      <c r="AY356">
        <f ca="1">IF(ISERROR(IF(MEDIAN($AY$357:$AY$371) = 0, "", MEDIAN($AY$357:$AY$371))), "", (IF(MEDIAN($AY$357:$AY$371) = 0, "", MEDIAN($AY$357:$AY$371))))</f>
        <v>-76.201501014999991</v>
      </c>
      <c r="AZ356">
        <f ca="1">IF(ISERROR(IF(MEDIAN($AZ$357:$AZ$371) = 0, "", MEDIAN($AZ$357:$AZ$371))), "", (IF(MEDIAN($AZ$357:$AZ$371) = 0, "", MEDIAN($AZ$357:$AZ$371))))</f>
        <v>-73.376499999999993</v>
      </c>
      <c r="BA356">
        <f ca="1">IF(ISERROR(IF(MEDIAN($BA$357:$BA$371) = 0, "", MEDIAN($BA$357:$BA$371))), "", (IF(MEDIAN($BA$357:$BA$371) = 0, "", MEDIAN($BA$357:$BA$371))))</f>
        <v>-15.634498765</v>
      </c>
      <c r="BB356">
        <f ca="1">IF(ISERROR(IF(MEDIAN($BB$357:$BB$371) = 0, "", MEDIAN($BB$357:$BB$371))), "", (IF(MEDIAN($BB$357:$BB$371) = 0, "", MEDIAN($BB$357:$BB$371))))</f>
        <v>-16.2395</v>
      </c>
      <c r="BC356">
        <f ca="1">IF(ISERROR(IF(MEDIAN($BC$357:$BC$371) = 0, "", MEDIAN($BC$357:$BC$371))), "", (IF(MEDIAN($BC$357:$BC$371) = 0, "", MEDIAN($BC$357:$BC$371))))</f>
        <v>-103.32899999999999</v>
      </c>
      <c r="BD356">
        <f ca="1">IF(ISERROR(IF(MEDIAN($BD$357:$BD$371) = 0, "", MEDIAN($BD$357:$BD$371))), "", (IF(MEDIAN($BD$357:$BD$371) = 0, "", MEDIAN($BD$357:$BD$371))))</f>
        <v>-18.220998760000001</v>
      </c>
      <c r="BE356">
        <f ca="1">IF(ISERROR(IF(MEDIAN($BE$357:$BE$371) = 0, "", MEDIAN($BE$357:$BE$371))), "", (IF(MEDIAN($BE$357:$BE$371) = 0, "", MEDIAN($BE$357:$BE$371))))</f>
        <v>1.8325</v>
      </c>
      <c r="BF356">
        <f ca="1">IF(ISERROR(IF(MEDIAN($BF$357:$BF$371) = 0, "", MEDIAN($BF$357:$BF$371))), "", (IF(MEDIAN($BF$357:$BF$371) = 0, "", MEDIAN($BF$357:$BF$371))))</f>
        <v>-33.088000000000001</v>
      </c>
      <c r="BG356">
        <f ca="1">IF(ISERROR(IF(MEDIAN($BG$357:$BG$371) = 0, "", MEDIAN($BG$357:$BG$371))), "", (IF(MEDIAN($BG$357:$BG$371) = 0, "", MEDIAN($BG$357:$BG$371))))</f>
        <v>-55.830500000000001</v>
      </c>
      <c r="BH356">
        <f ca="1">IF(ISERROR(IF(MEDIAN($BH$357:$BH$371) = 0, "", MEDIAN($BH$357:$BH$371))), "", (IF(MEDIAN($BH$357:$BH$371) = 0, "", MEDIAN($BH$357:$BH$371))))</f>
        <v>-3.5289999999999999</v>
      </c>
      <c r="BI356">
        <f ca="1">IF(ISERROR(IF(MEDIAN($BI$357:$BI$371) = 0, "", MEDIAN($BI$357:$BI$371))), "", (IF(MEDIAN($BI$357:$BI$371) = 0, "", MEDIAN($BI$357:$BI$371))))</f>
        <v>-32.686500244999998</v>
      </c>
      <c r="BJ356">
        <f ca="1">IF(ISERROR(IF(MEDIAN($BJ$357:$BJ$371) = 0, "", MEDIAN($BJ$357:$BJ$371))), "", (IF(MEDIAN($BJ$357:$BJ$371) = 0, "", MEDIAN($BJ$357:$BJ$371))))</f>
        <v>-42.163000165</v>
      </c>
      <c r="BK356">
        <f ca="1">IF(ISERROR(IF(MEDIAN($BK$357:$BK$371) = 0, "", MEDIAN($BK$357:$BK$371))), "", (IF(MEDIAN($BK$357:$BK$371) = 0, "", MEDIAN($BK$357:$BK$371))))</f>
        <v>-141.32300565</v>
      </c>
      <c r="BL356">
        <f ca="1">IF(ISERROR(IF(MEDIAN($BL$357:$BL$371) = 0, "", MEDIAN($BL$357:$BL$371))), "", (IF(MEDIAN($BL$357:$BL$371) = 0, "", MEDIAN($BL$357:$BL$371))))</f>
        <v>-48.048996500000001</v>
      </c>
      <c r="BM356">
        <f ca="1">IF(ISERROR(IF(MEDIAN($BM$357:$BM$371) = 0, "", MEDIAN($BM$357:$BM$371))), "", (IF(MEDIAN($BM$357:$BM$371) = 0, "", MEDIAN($BM$357:$BM$371))))</f>
        <v>-19.215499999999999</v>
      </c>
      <c r="BN356" t="str">
        <f>""</f>
        <v/>
      </c>
      <c r="BO356">
        <f>10.33</f>
        <v>10.33</v>
      </c>
      <c r="BP356">
        <f>46.335</f>
        <v>46.335000000000001</v>
      </c>
      <c r="BQ356">
        <f>42.398</f>
        <v>42.398000000000003</v>
      </c>
      <c r="BR356">
        <f>14.129</f>
        <v>14.129</v>
      </c>
      <c r="BS356">
        <f>11.182</f>
        <v>11.182</v>
      </c>
      <c r="BT356">
        <f>22.511</f>
        <v>22.510999999999999</v>
      </c>
      <c r="BU356">
        <f>10.646</f>
        <v>10.646000000000001</v>
      </c>
      <c r="BV356">
        <f>29.279</f>
        <v>29.279</v>
      </c>
      <c r="BW356">
        <f>4.085</f>
        <v>4.085</v>
      </c>
      <c r="BX356">
        <f>24.252</f>
        <v>24.251999999999999</v>
      </c>
      <c r="BY356">
        <f>-0.189</f>
        <v>-0.189</v>
      </c>
      <c r="BZ356">
        <f>-4.589</f>
        <v>-4.5890000000000004</v>
      </c>
      <c r="CA356">
        <f>12.359</f>
        <v>12.359</v>
      </c>
      <c r="CB356">
        <f>26.775</f>
        <v>26.774999999999999</v>
      </c>
      <c r="CC356">
        <f>11.075</f>
        <v>11.074999999999999</v>
      </c>
      <c r="CD356">
        <f>26.852</f>
        <v>26.852</v>
      </c>
      <c r="CE356">
        <f>-5.7575</f>
        <v>-5.7575000000000003</v>
      </c>
      <c r="CF356">
        <f>27.6665</f>
        <v>27.666499999999999</v>
      </c>
      <c r="CG356">
        <f>2.219</f>
        <v>2.2189999999999999</v>
      </c>
      <c r="CH356">
        <f>13.163</f>
        <v>13.163</v>
      </c>
      <c r="CI356">
        <f>3.491047</f>
        <v>3.491047</v>
      </c>
      <c r="CJ356">
        <f>3.783159</f>
        <v>3.7831589999999999</v>
      </c>
      <c r="CK356">
        <f>12.027138</f>
        <v>12.027138000000001</v>
      </c>
      <c r="CL356">
        <f>8.599</f>
        <v>8.5990000000000002</v>
      </c>
      <c r="CM356">
        <f>0.677</f>
        <v>0.67700000000000005</v>
      </c>
      <c r="CN356">
        <f>0.977</f>
        <v>0.97699999999999998</v>
      </c>
      <c r="CO356">
        <f>28.669</f>
        <v>28.669</v>
      </c>
      <c r="CP356">
        <f>14.57</f>
        <v>14.57</v>
      </c>
      <c r="CQ356">
        <f>3.975</f>
        <v>3.9750000000000001</v>
      </c>
      <c r="CR356">
        <f>17.629</f>
        <v>17.629000000000001</v>
      </c>
      <c r="CS356">
        <f>38.684</f>
        <v>38.683999999999997</v>
      </c>
      <c r="CT356">
        <f>27.5545</f>
        <v>27.554500000000001</v>
      </c>
      <c r="CU356">
        <f>14.941</f>
        <v>14.941000000000001</v>
      </c>
      <c r="CV356">
        <f>36.3325</f>
        <v>36.332500000000003</v>
      </c>
      <c r="CW356">
        <f>30.6735</f>
        <v>30.673500000000001</v>
      </c>
      <c r="CX356">
        <f>31.793</f>
        <v>31.792999999999999</v>
      </c>
      <c r="CY356">
        <f>-2.9795</f>
        <v>-2.9794999999999998</v>
      </c>
      <c r="CZ356">
        <f>14.821</f>
        <v>14.821</v>
      </c>
      <c r="DA356">
        <f>-14.199</f>
        <v>-14.199</v>
      </c>
      <c r="DB356">
        <f>-39.624</f>
        <v>-39.624000000000002</v>
      </c>
      <c r="DC356">
        <f>-36.0775</f>
        <v>-36.077500000000001</v>
      </c>
      <c r="DD356">
        <f>-59.7125</f>
        <v>-59.712499999999999</v>
      </c>
      <c r="DE356">
        <f>-34.825</f>
        <v>-34.825000000000003</v>
      </c>
      <c r="DF356">
        <f>-28.3585</f>
        <v>-28.358499999999999</v>
      </c>
      <c r="DG356">
        <f>-76.20150102</f>
        <v>-76.201501019999995</v>
      </c>
      <c r="DH356">
        <f>-73.3765</f>
        <v>-73.376499999999993</v>
      </c>
      <c r="DI356">
        <f>-15.63449876</f>
        <v>-15.63449876</v>
      </c>
      <c r="DJ356">
        <f>-16.2395</f>
        <v>-16.2395</v>
      </c>
      <c r="DK356">
        <f>-103.329</f>
        <v>-103.32899999999999</v>
      </c>
      <c r="DL356">
        <f>-18.22099876</f>
        <v>-18.220998760000001</v>
      </c>
      <c r="DM356">
        <f>1.8325</f>
        <v>1.8325</v>
      </c>
      <c r="DN356">
        <f>-33.088</f>
        <v>-33.088000000000001</v>
      </c>
      <c r="DO356">
        <f>-55.8305</f>
        <v>-55.830500000000001</v>
      </c>
      <c r="DP356">
        <f>-3.529</f>
        <v>-3.5289999999999999</v>
      </c>
      <c r="DQ356">
        <f>-32.68650024</f>
        <v>-32.686500240000001</v>
      </c>
      <c r="DR356">
        <f>-42.16300016</f>
        <v>-42.163000160000003</v>
      </c>
      <c r="DS356">
        <f>-141.3230057</f>
        <v>-141.32300570000001</v>
      </c>
      <c r="DT356">
        <f>-48.0489965</f>
        <v>-48.048996500000001</v>
      </c>
      <c r="DU356">
        <f>-19.2155</f>
        <v>-19.215499999999999</v>
      </c>
    </row>
    <row r="357" spans="1:125">
      <c r="A357" t="str">
        <f>"    Brixmor Property Group Inc"</f>
        <v xml:space="preserve">    Brixmor Property Group Inc</v>
      </c>
      <c r="B357" t="str">
        <f>"BRX US Equity"</f>
        <v>BRX US Equity</v>
      </c>
      <c r="C357" t="str">
        <f t="shared" ref="C357:C371" si="66">"RR008"</f>
        <v>RR008</v>
      </c>
      <c r="D357" t="str">
        <f t="shared" ref="D357:D371" si="67">"CF_FREE_CASH_FLOW"</f>
        <v>CF_FREE_CASH_FLOW</v>
      </c>
      <c r="E357" t="str">
        <f t="shared" ref="E357:E371" si="68">"动态"</f>
        <v>动态</v>
      </c>
      <c r="F357" t="str">
        <f ca="1">IF(AND(ISNUMBER($F$796),$B$419=1),$F$796,HLOOKUP(INDIRECT(ADDRESS(2,COLUMN())),OFFSET($BN$2,0,0,ROW()-1,60),ROW()-1,FALSE))</f>
        <v/>
      </c>
      <c r="G357" t="str">
        <f ca="1">IF(AND(ISNUMBER($G$796),$B$419=1),$G$796,HLOOKUP(INDIRECT(ADDRESS(2,COLUMN())),OFFSET($BN$2,0,0,ROW()-1,60),ROW()-1,FALSE))</f>
        <v/>
      </c>
      <c r="H357">
        <f ca="1">IF(AND(ISNUMBER($H$796),$B$419=1),$H$796,HLOOKUP(INDIRECT(ADDRESS(2,COLUMN())),OFFSET($BN$2,0,0,ROW()-1,60),ROW()-1,FALSE))</f>
        <v>73.789000000000001</v>
      </c>
      <c r="I357">
        <f ca="1">IF(AND(ISNUMBER($I$796),$B$419=1),$I$796,HLOOKUP(INDIRECT(ADDRESS(2,COLUMN())),OFFSET($BN$2,0,0,ROW()-1,60),ROW()-1,FALSE))</f>
        <v>138.398</v>
      </c>
      <c r="J357">
        <f ca="1">IF(AND(ISNUMBER($J$796),$B$419=1),$J$796,HLOOKUP(INDIRECT(ADDRESS(2,COLUMN())),OFFSET($BN$2,0,0,ROW()-1,60),ROW()-1,FALSE))</f>
        <v>68.89</v>
      </c>
      <c r="K357">
        <f ca="1">IF(AND(ISNUMBER($K$796),$B$419=1),$K$796,HLOOKUP(INDIRECT(ADDRESS(2,COLUMN())),OFFSET($BN$2,0,0,ROW()-1,60),ROW()-1,FALSE))</f>
        <v>92.367999999999995</v>
      </c>
      <c r="L357">
        <f ca="1">IF(AND(ISNUMBER($L$796),$B$419=1),$L$796,HLOOKUP(INDIRECT(ADDRESS(2,COLUMN())),OFFSET($BN$2,0,0,ROW()-1,60),ROW()-1,FALSE))</f>
        <v>95.850999999999999</v>
      </c>
      <c r="M357">
        <f ca="1">IF(AND(ISNUMBER($M$796),$B$419=1),$M$796,HLOOKUP(INDIRECT(ADDRESS(2,COLUMN())),OFFSET($BN$2,0,0,ROW()-1,60),ROW()-1,FALSE))</f>
        <v>114.88500000000001</v>
      </c>
      <c r="N357">
        <f ca="1">IF(AND(ISNUMBER($N$796),$B$419=1),$N$796,HLOOKUP(INDIRECT(ADDRESS(2,COLUMN())),OFFSET($BN$2,0,0,ROW()-1,60),ROW()-1,FALSE))</f>
        <v>79.775000000000006</v>
      </c>
      <c r="O357">
        <f ca="1">IF(AND(ISNUMBER($O$796),$B$419=1),$O$796,HLOOKUP(INDIRECT(ADDRESS(2,COLUMN())),OFFSET($BN$2,0,0,ROW()-1,60),ROW()-1,FALSE))</f>
        <v>79.56</v>
      </c>
      <c r="P357">
        <f ca="1">IF(AND(ISNUMBER($P$796),$B$419=1),$P$796,HLOOKUP(INDIRECT(ADDRESS(2,COLUMN())),OFFSET($BN$2,0,0,ROW()-1,60),ROW()-1,FALSE))</f>
        <v>91.013000000000005</v>
      </c>
      <c r="Q357">
        <f ca="1">IF(AND(ISNUMBER($Q$796),$B$419=1),$Q$796,HLOOKUP(INDIRECT(ADDRESS(2,COLUMN())),OFFSET($BN$2,0,0,ROW()-1,60),ROW()-1,FALSE))</f>
        <v>100.992</v>
      </c>
      <c r="R357">
        <f ca="1">IF(AND(ISNUMBER($R$796),$B$419=1),$R$796,HLOOKUP(INDIRECT(ADDRESS(2,COLUMN())),OFFSET($BN$2,0,0,ROW()-1,60),ROW()-1,FALSE))</f>
        <v>72.525999999999996</v>
      </c>
      <c r="S357">
        <f ca="1">IF(AND(ISNUMBER($S$796),$B$419=1),$S$796,HLOOKUP(INDIRECT(ADDRESS(2,COLUMN())),OFFSET($BN$2,0,0,ROW()-1,60),ROW()-1,FALSE))</f>
        <v>38.741</v>
      </c>
      <c r="T357">
        <f ca="1">IF(AND(ISNUMBER($T$796),$B$419=1),$T$796,HLOOKUP(INDIRECT(ADDRESS(2,COLUMN())),OFFSET($BN$2,0,0,ROW()-1,60),ROW()-1,FALSE))</f>
        <v>95.944999999999993</v>
      </c>
      <c r="U357">
        <f ca="1">IF(AND(ISNUMBER($U$796),$B$419=1),$U$796,HLOOKUP(INDIRECT(ADDRESS(2,COLUMN())),OFFSET($BN$2,0,0,ROW()-1,60),ROW()-1,FALSE))</f>
        <v>83.745000000000005</v>
      </c>
      <c r="V357">
        <f ca="1">IF(AND(ISNUMBER($V$796),$B$419=1),$V$796,HLOOKUP(INDIRECT(ADDRESS(2,COLUMN())),OFFSET($BN$2,0,0,ROW()-1,60),ROW()-1,FALSE))</f>
        <v>46.100999999999999</v>
      </c>
      <c r="W357">
        <f ca="1">IF(AND(ISNUMBER($W$796),$B$419=1),$W$796,HLOOKUP(INDIRECT(ADDRESS(2,COLUMN())),OFFSET($BN$2,0,0,ROW()-1,60),ROW()-1,FALSE))</f>
        <v>91.043000000000006</v>
      </c>
      <c r="X357">
        <f ca="1">IF(AND(ISNUMBER($X$796),$B$419=1),$X$796,HLOOKUP(INDIRECT(ADDRESS(2,COLUMN())),OFFSET($BN$2,0,0,ROW()-1,60),ROW()-1,FALSE))</f>
        <v>46.826000000000001</v>
      </c>
      <c r="Y357">
        <f ca="1">IF(AND(ISNUMBER($Y$796),$B$419=1),$Y$796,HLOOKUP(INDIRECT(ADDRESS(2,COLUMN())),OFFSET($BN$2,0,0,ROW()-1,60),ROW()-1,FALSE))</f>
        <v>45.31</v>
      </c>
      <c r="Z357">
        <f ca="1">IF(AND(ISNUMBER($Z$796),$B$419=1),$Z$796,HLOOKUP(INDIRECT(ADDRESS(2,COLUMN())),OFFSET($BN$2,0,0,ROW()-1,60),ROW()-1,FALSE))</f>
        <v>-1.651</v>
      </c>
      <c r="AA357">
        <f ca="1">IF(AND(ISNUMBER($AA$796),$B$419=1),$AA$796,HLOOKUP(INDIRECT(ADDRESS(2,COLUMN())),OFFSET($BN$2,0,0,ROW()-1,60),ROW()-1,FALSE))</f>
        <v>31.504999999999999</v>
      </c>
      <c r="AB357">
        <f ca="1">IF(AND(ISNUMBER($AB$796),$B$419=1),$AB$796,HLOOKUP(INDIRECT(ADDRESS(2,COLUMN())),OFFSET($BN$2,0,0,ROW()-1,60),ROW()-1,FALSE))</f>
        <v>26.047000000000001</v>
      </c>
      <c r="AC357">
        <f ca="1">IF(AND(ISNUMBER($AC$796),$B$419=1),$AC$796,HLOOKUP(INDIRECT(ADDRESS(2,COLUMN())),OFFSET($BN$2,0,0,ROW()-1,60),ROW()-1,FALSE))</f>
        <v>27.158999999999999</v>
      </c>
      <c r="AD357">
        <f ca="1">IF(AND(ISNUMBER($AD$796),$B$419=1),$AD$796,HLOOKUP(INDIRECT(ADDRESS(2,COLUMN())),OFFSET($BN$2,0,0,ROW()-1,60),ROW()-1,FALSE))</f>
        <v>1.923</v>
      </c>
      <c r="AE357" t="str">
        <f ca="1">IF(AND(ISNUMBER($AE$796),$B$419=1),$AE$796,HLOOKUP(INDIRECT(ADDRESS(2,COLUMN())),OFFSET($BN$2,0,0,ROW()-1,60),ROW()-1,FALSE))</f>
        <v/>
      </c>
      <c r="AF357" t="str">
        <f ca="1">IF(AND(ISNUMBER($AF$796),$B$419=1),$AF$796,HLOOKUP(INDIRECT(ADDRESS(2,COLUMN())),OFFSET($BN$2,0,0,ROW()-1,60),ROW()-1,FALSE))</f>
        <v/>
      </c>
      <c r="AG357" t="str">
        <f ca="1">IF(AND(ISNUMBER($AG$796),$B$419=1),$AG$796,HLOOKUP(INDIRECT(ADDRESS(2,COLUMN())),OFFSET($BN$2,0,0,ROW()-1,60),ROW()-1,FALSE))</f>
        <v/>
      </c>
      <c r="AH357" t="str">
        <f ca="1">IF(AND(ISNUMBER($AH$796),$B$419=1),$AH$796,HLOOKUP(INDIRECT(ADDRESS(2,COLUMN())),OFFSET($BN$2,0,0,ROW()-1,60),ROW()-1,FALSE))</f>
        <v/>
      </c>
      <c r="AI357" t="str">
        <f ca="1">IF(AND(ISNUMBER($AI$796),$B$419=1),$AI$796,HLOOKUP(INDIRECT(ADDRESS(2,COLUMN())),OFFSET($BN$2,0,0,ROW()-1,60),ROW()-1,FALSE))</f>
        <v/>
      </c>
      <c r="AJ357" t="str">
        <f ca="1">IF(AND(ISNUMBER($AJ$796),$B$419=1),$AJ$796,HLOOKUP(INDIRECT(ADDRESS(2,COLUMN())),OFFSET($BN$2,0,0,ROW()-1,60),ROW()-1,FALSE))</f>
        <v/>
      </c>
      <c r="AK357" t="str">
        <f ca="1">IF(AND(ISNUMBER($AK$796),$B$419=1),$AK$796,HLOOKUP(INDIRECT(ADDRESS(2,COLUMN())),OFFSET($BN$2,0,0,ROW()-1,60),ROW()-1,FALSE))</f>
        <v/>
      </c>
      <c r="AL357" t="str">
        <f ca="1">IF(AND(ISNUMBER($AL$796),$B$419=1),$AL$796,HLOOKUP(INDIRECT(ADDRESS(2,COLUMN())),OFFSET($BN$2,0,0,ROW()-1,60),ROW()-1,FALSE))</f>
        <v/>
      </c>
      <c r="AM357" t="str">
        <f ca="1">IF(AND(ISNUMBER($AM$796),$B$419=1),$AM$796,HLOOKUP(INDIRECT(ADDRESS(2,COLUMN())),OFFSET($BN$2,0,0,ROW()-1,60),ROW()-1,FALSE))</f>
        <v/>
      </c>
      <c r="AN357" t="str">
        <f ca="1">IF(AND(ISNUMBER($AN$796),$B$419=1),$AN$796,HLOOKUP(INDIRECT(ADDRESS(2,COLUMN())),OFFSET($BN$2,0,0,ROW()-1,60),ROW()-1,FALSE))</f>
        <v/>
      </c>
      <c r="AO357" t="str">
        <f ca="1">IF(AND(ISNUMBER($AO$796),$B$419=1),$AO$796,HLOOKUP(INDIRECT(ADDRESS(2,COLUMN())),OFFSET($BN$2,0,0,ROW()-1,60),ROW()-1,FALSE))</f>
        <v/>
      </c>
      <c r="AP357" t="str">
        <f ca="1">IF(AND(ISNUMBER($AP$796),$B$419=1),$AP$796,HLOOKUP(INDIRECT(ADDRESS(2,COLUMN())),OFFSET($BN$2,0,0,ROW()-1,60),ROW()-1,FALSE))</f>
        <v/>
      </c>
      <c r="AQ357" t="str">
        <f ca="1">IF(AND(ISNUMBER($AQ$796),$B$419=1),$AQ$796,HLOOKUP(INDIRECT(ADDRESS(2,COLUMN())),OFFSET($BN$2,0,0,ROW()-1,60),ROW()-1,FALSE))</f>
        <v/>
      </c>
      <c r="AR357" t="str">
        <f ca="1">IF(AND(ISNUMBER($AR$796),$B$419=1),$AR$796,HLOOKUP(INDIRECT(ADDRESS(2,COLUMN())),OFFSET($BN$2,0,0,ROW()-1,60),ROW()-1,FALSE))</f>
        <v/>
      </c>
      <c r="AS357" t="str">
        <f ca="1">IF(AND(ISNUMBER($AS$796),$B$419=1),$AS$796,HLOOKUP(INDIRECT(ADDRESS(2,COLUMN())),OFFSET($BN$2,0,0,ROW()-1,60),ROW()-1,FALSE))</f>
        <v/>
      </c>
      <c r="AT357" t="str">
        <f ca="1">IF(AND(ISNUMBER($AT$796),$B$419=1),$AT$796,HLOOKUP(INDIRECT(ADDRESS(2,COLUMN())),OFFSET($BN$2,0,0,ROW()-1,60),ROW()-1,FALSE))</f>
        <v/>
      </c>
      <c r="AU357" t="str">
        <f ca="1">IF(AND(ISNUMBER($AU$796),$B$419=1),$AU$796,HLOOKUP(INDIRECT(ADDRESS(2,COLUMN())),OFFSET($BN$2,0,0,ROW()-1,60),ROW()-1,FALSE))</f>
        <v/>
      </c>
      <c r="AV357" t="str">
        <f ca="1">IF(AND(ISNUMBER($AV$796),$B$419=1),$AV$796,HLOOKUP(INDIRECT(ADDRESS(2,COLUMN())),OFFSET($BN$2,0,0,ROW()-1,60),ROW()-1,FALSE))</f>
        <v/>
      </c>
      <c r="AW357" t="str">
        <f ca="1">IF(AND(ISNUMBER($AW$796),$B$419=1),$AW$796,HLOOKUP(INDIRECT(ADDRESS(2,COLUMN())),OFFSET($BN$2,0,0,ROW()-1,60),ROW()-1,FALSE))</f>
        <v/>
      </c>
      <c r="AX357" t="str">
        <f ca="1">IF(AND(ISNUMBER($AX$796),$B$419=1),$AX$796,HLOOKUP(INDIRECT(ADDRESS(2,COLUMN())),OFFSET($BN$2,0,0,ROW()-1,60),ROW()-1,FALSE))</f>
        <v/>
      </c>
      <c r="AY357" t="str">
        <f ca="1">IF(AND(ISNUMBER($AY$796),$B$419=1),$AY$796,HLOOKUP(INDIRECT(ADDRESS(2,COLUMN())),OFFSET($BN$2,0,0,ROW()-1,60),ROW()-1,FALSE))</f>
        <v/>
      </c>
      <c r="AZ357" t="str">
        <f ca="1">IF(AND(ISNUMBER($AZ$796),$B$419=1),$AZ$796,HLOOKUP(INDIRECT(ADDRESS(2,COLUMN())),OFFSET($BN$2,0,0,ROW()-1,60),ROW()-1,FALSE))</f>
        <v/>
      </c>
      <c r="BA357" t="str">
        <f ca="1">IF(AND(ISNUMBER($BA$796),$B$419=1),$BA$796,HLOOKUP(INDIRECT(ADDRESS(2,COLUMN())),OFFSET($BN$2,0,0,ROW()-1,60),ROW()-1,FALSE))</f>
        <v/>
      </c>
      <c r="BB357" t="str">
        <f ca="1">IF(AND(ISNUMBER($BB$796),$B$419=1),$BB$796,HLOOKUP(INDIRECT(ADDRESS(2,COLUMN())),OFFSET($BN$2,0,0,ROW()-1,60),ROW()-1,FALSE))</f>
        <v/>
      </c>
      <c r="BC357" t="str">
        <f ca="1">IF(AND(ISNUMBER($BC$796),$B$419=1),$BC$796,HLOOKUP(INDIRECT(ADDRESS(2,COLUMN())),OFFSET($BN$2,0,0,ROW()-1,60),ROW()-1,FALSE))</f>
        <v/>
      </c>
      <c r="BD357" t="str">
        <f ca="1">IF(AND(ISNUMBER($BD$796),$B$419=1),$BD$796,HLOOKUP(INDIRECT(ADDRESS(2,COLUMN())),OFFSET($BN$2,0,0,ROW()-1,60),ROW()-1,FALSE))</f>
        <v/>
      </c>
      <c r="BE357" t="str">
        <f ca="1">IF(AND(ISNUMBER($BE$796),$B$419=1),$BE$796,HLOOKUP(INDIRECT(ADDRESS(2,COLUMN())),OFFSET($BN$2,0,0,ROW()-1,60),ROW()-1,FALSE))</f>
        <v/>
      </c>
      <c r="BF357" t="str">
        <f ca="1">IF(AND(ISNUMBER($BF$796),$B$419=1),$BF$796,HLOOKUP(INDIRECT(ADDRESS(2,COLUMN())),OFFSET($BN$2,0,0,ROW()-1,60),ROW()-1,FALSE))</f>
        <v/>
      </c>
      <c r="BG357" t="str">
        <f ca="1">IF(AND(ISNUMBER($BG$796),$B$419=1),$BG$796,HLOOKUP(INDIRECT(ADDRESS(2,COLUMN())),OFFSET($BN$2,0,0,ROW()-1,60),ROW()-1,FALSE))</f>
        <v/>
      </c>
      <c r="BH357" t="str">
        <f ca="1">IF(AND(ISNUMBER($BH$796),$B$419=1),$BH$796,HLOOKUP(INDIRECT(ADDRESS(2,COLUMN())),OFFSET($BN$2,0,0,ROW()-1,60),ROW()-1,FALSE))</f>
        <v/>
      </c>
      <c r="BI357" t="str">
        <f ca="1">IF(AND(ISNUMBER($BI$796),$B$419=1),$BI$796,HLOOKUP(INDIRECT(ADDRESS(2,COLUMN())),OFFSET($BN$2,0,0,ROW()-1,60),ROW()-1,FALSE))</f>
        <v/>
      </c>
      <c r="BJ357" t="str">
        <f ca="1">IF(AND(ISNUMBER($BJ$796),$B$419=1),$BJ$796,HLOOKUP(INDIRECT(ADDRESS(2,COLUMN())),OFFSET($BN$2,0,0,ROW()-1,60),ROW()-1,FALSE))</f>
        <v/>
      </c>
      <c r="BK357" t="str">
        <f ca="1">IF(AND(ISNUMBER($BK$796),$B$419=1),$BK$796,HLOOKUP(INDIRECT(ADDRESS(2,COLUMN())),OFFSET($BN$2,0,0,ROW()-1,60),ROW()-1,FALSE))</f>
        <v/>
      </c>
      <c r="BL357" t="str">
        <f ca="1">IF(AND(ISNUMBER($BL$796),$B$419=1),$BL$796,HLOOKUP(INDIRECT(ADDRESS(2,COLUMN())),OFFSET($BN$2,0,0,ROW()-1,60),ROW()-1,FALSE))</f>
        <v/>
      </c>
      <c r="BM357" t="str">
        <f ca="1">IF(AND(ISNUMBER($BM$796),$B$419=1),$BM$796,HLOOKUP(INDIRECT(ADDRESS(2,COLUMN())),OFFSET($BN$2,0,0,ROW()-1,60),ROW()-1,FALSE))</f>
        <v/>
      </c>
      <c r="BN357" t="str">
        <f>""</f>
        <v/>
      </c>
      <c r="BO357" t="str">
        <f>""</f>
        <v/>
      </c>
      <c r="BP357">
        <f>73.789</f>
        <v>73.789000000000001</v>
      </c>
      <c r="BQ357">
        <f>138.398</f>
        <v>138.398</v>
      </c>
      <c r="BR357">
        <f>68.89</f>
        <v>68.89</v>
      </c>
      <c r="BS357">
        <f>92.368</f>
        <v>92.367999999999995</v>
      </c>
      <c r="BT357">
        <f>95.851</f>
        <v>95.850999999999999</v>
      </c>
      <c r="BU357">
        <f>114.885</f>
        <v>114.88500000000001</v>
      </c>
      <c r="BV357">
        <f>79.775</f>
        <v>79.775000000000006</v>
      </c>
      <c r="BW357">
        <f>79.56</f>
        <v>79.56</v>
      </c>
      <c r="BX357">
        <f>91.013</f>
        <v>91.013000000000005</v>
      </c>
      <c r="BY357">
        <f>100.992</f>
        <v>100.992</v>
      </c>
      <c r="BZ357">
        <f>72.526</f>
        <v>72.525999999999996</v>
      </c>
      <c r="CA357">
        <f>38.741</f>
        <v>38.741</v>
      </c>
      <c r="CB357">
        <f>95.945</f>
        <v>95.944999999999993</v>
      </c>
      <c r="CC357">
        <f>83.745</f>
        <v>83.745000000000005</v>
      </c>
      <c r="CD357">
        <f>46.101</f>
        <v>46.100999999999999</v>
      </c>
      <c r="CE357">
        <f>91.043</f>
        <v>91.043000000000006</v>
      </c>
      <c r="CF357">
        <f>46.826</f>
        <v>46.826000000000001</v>
      </c>
      <c r="CG357">
        <f>45.31</f>
        <v>45.31</v>
      </c>
      <c r="CH357">
        <f>-1.651</f>
        <v>-1.651</v>
      </c>
      <c r="CI357">
        <f>31.505</f>
        <v>31.504999999999999</v>
      </c>
      <c r="CJ357">
        <f>26.047</f>
        <v>26.047000000000001</v>
      </c>
      <c r="CK357">
        <f>27.159</f>
        <v>27.158999999999999</v>
      </c>
      <c r="CL357">
        <f>1.923</f>
        <v>1.923</v>
      </c>
      <c r="CM357" t="str">
        <f>""</f>
        <v/>
      </c>
      <c r="CN357" t="str">
        <f>""</f>
        <v/>
      </c>
      <c r="CO357" t="str">
        <f>""</f>
        <v/>
      </c>
      <c r="CP357" t="str">
        <f>""</f>
        <v/>
      </c>
      <c r="CQ357" t="str">
        <f>""</f>
        <v/>
      </c>
      <c r="CR357" t="str">
        <f>""</f>
        <v/>
      </c>
      <c r="CS357" t="str">
        <f>""</f>
        <v/>
      </c>
      <c r="CT357" t="str">
        <f>""</f>
        <v/>
      </c>
      <c r="CU357" t="str">
        <f>""</f>
        <v/>
      </c>
      <c r="CV357" t="str">
        <f>""</f>
        <v/>
      </c>
      <c r="CW357" t="str">
        <f>""</f>
        <v/>
      </c>
      <c r="CX357" t="str">
        <f>""</f>
        <v/>
      </c>
      <c r="CY357" t="str">
        <f>""</f>
        <v/>
      </c>
      <c r="CZ357" t="str">
        <f>""</f>
        <v/>
      </c>
      <c r="DA357" t="str">
        <f>""</f>
        <v/>
      </c>
      <c r="DB357" t="str">
        <f>""</f>
        <v/>
      </c>
      <c r="DC357" t="str">
        <f>""</f>
        <v/>
      </c>
      <c r="DD357" t="str">
        <f>""</f>
        <v/>
      </c>
      <c r="DE357" t="str">
        <f>""</f>
        <v/>
      </c>
      <c r="DF357" t="str">
        <f>""</f>
        <v/>
      </c>
      <c r="DG357" t="str">
        <f>""</f>
        <v/>
      </c>
      <c r="DH357" t="str">
        <f>""</f>
        <v/>
      </c>
      <c r="DI357" t="str">
        <f>""</f>
        <v/>
      </c>
      <c r="DJ357" t="str">
        <f>""</f>
        <v/>
      </c>
      <c r="DK357" t="str">
        <f>""</f>
        <v/>
      </c>
      <c r="DL357" t="str">
        <f>""</f>
        <v/>
      </c>
      <c r="DM357" t="str">
        <f>""</f>
        <v/>
      </c>
      <c r="DN357" t="str">
        <f>""</f>
        <v/>
      </c>
      <c r="DO357" t="str">
        <f>""</f>
        <v/>
      </c>
      <c r="DP357" t="str">
        <f>""</f>
        <v/>
      </c>
      <c r="DQ357" t="str">
        <f>""</f>
        <v/>
      </c>
      <c r="DR357" t="str">
        <f>""</f>
        <v/>
      </c>
      <c r="DS357" t="str">
        <f>""</f>
        <v/>
      </c>
      <c r="DT357" t="str">
        <f>""</f>
        <v/>
      </c>
      <c r="DU357" t="str">
        <f>""</f>
        <v/>
      </c>
    </row>
    <row r="358" spans="1:125">
      <c r="A358" t="str">
        <f>"    CBL &amp; Associates Properties In"</f>
        <v xml:space="preserve">    CBL &amp; Associates Properties In</v>
      </c>
      <c r="B358" t="str">
        <f>"CBL US Equity"</f>
        <v>CBL US Equity</v>
      </c>
      <c r="C358" t="str">
        <f t="shared" si="66"/>
        <v>RR008</v>
      </c>
      <c r="D358" t="str">
        <f t="shared" si="67"/>
        <v>CF_FREE_CASH_FLOW</v>
      </c>
      <c r="E358" t="str">
        <f t="shared" si="68"/>
        <v>动态</v>
      </c>
      <c r="F358" t="str">
        <f ca="1">IF(AND(ISNUMBER($F$797),$B$419=1),$F$797,HLOOKUP(INDIRECT(ADDRESS(2,COLUMN())),OFFSET($BN$2,0,0,ROW()-1,60),ROW()-1,FALSE))</f>
        <v/>
      </c>
      <c r="G358">
        <f ca="1">IF(AND(ISNUMBER($G$797),$B$419=1),$G$797,HLOOKUP(INDIRECT(ADDRESS(2,COLUMN())),OFFSET($BN$2,0,0,ROW()-1,60),ROW()-1,FALSE))</f>
        <v>39.622</v>
      </c>
      <c r="H358">
        <f ca="1">IF(AND(ISNUMBER($H$797),$B$419=1),$H$797,HLOOKUP(INDIRECT(ADDRESS(2,COLUMN())),OFFSET($BN$2,0,0,ROW()-1,60),ROW()-1,FALSE))</f>
        <v>75.855999999999995</v>
      </c>
      <c r="I358">
        <f ca="1">IF(AND(ISNUMBER($I$797),$B$419=1),$I$797,HLOOKUP(INDIRECT(ADDRESS(2,COLUMN())),OFFSET($BN$2,0,0,ROW()-1,60),ROW()-1,FALSE))</f>
        <v>58.438000000000002</v>
      </c>
      <c r="J358">
        <f ca="1">IF(AND(ISNUMBER($J$797),$B$419=1),$J$797,HLOOKUP(INDIRECT(ADDRESS(2,COLUMN())),OFFSET($BN$2,0,0,ROW()-1,60),ROW()-1,FALSE))</f>
        <v>-26.445</v>
      </c>
      <c r="K358">
        <f ca="1">IF(AND(ISNUMBER($K$797),$B$419=1),$K$797,HLOOKUP(INDIRECT(ADDRESS(2,COLUMN())),OFFSET($BN$2,0,0,ROW()-1,60),ROW()-1,FALSE))</f>
        <v>46.040999999999997</v>
      </c>
      <c r="L358">
        <f ca="1">IF(AND(ISNUMBER($L$797),$B$419=1),$L$797,HLOOKUP(INDIRECT(ADDRESS(2,COLUMN())),OFFSET($BN$2,0,0,ROW()-1,60),ROW()-1,FALSE))</f>
        <v>63.695</v>
      </c>
      <c r="M358">
        <f ca="1">IF(AND(ISNUMBER($M$797),$B$419=1),$M$797,HLOOKUP(INDIRECT(ADDRESS(2,COLUMN())),OFFSET($BN$2,0,0,ROW()-1,60),ROW()-1,FALSE))</f>
        <v>59.366</v>
      </c>
      <c r="N358">
        <f ca="1">IF(AND(ISNUMBER($N$797),$B$419=1),$N$797,HLOOKUP(INDIRECT(ADDRESS(2,COLUMN())),OFFSET($BN$2,0,0,ROW()-1,60),ROW()-1,FALSE))</f>
        <v>51.472999999999999</v>
      </c>
      <c r="O358">
        <f ca="1">IF(AND(ISNUMBER($O$797),$B$419=1),$O$797,HLOOKUP(INDIRECT(ADDRESS(2,COLUMN())),OFFSET($BN$2,0,0,ROW()-1,60),ROW()-1,FALSE))</f>
        <v>77.001999999999995</v>
      </c>
      <c r="P358">
        <f ca="1">IF(AND(ISNUMBER($P$797),$B$419=1),$P$797,HLOOKUP(INDIRECT(ADDRESS(2,COLUMN())),OFFSET($BN$2,0,0,ROW()-1,60),ROW()-1,FALSE))</f>
        <v>73.959999999999994</v>
      </c>
      <c r="Q358">
        <f ca="1">IF(AND(ISNUMBER($Q$797),$B$419=1),$Q$797,HLOOKUP(INDIRECT(ADDRESS(2,COLUMN())),OFFSET($BN$2,0,0,ROW()-1,60),ROW()-1,FALSE))</f>
        <v>-129.23599999999999</v>
      </c>
      <c r="R358">
        <f ca="1">IF(AND(ISNUMBER($R$797),$B$419=1),$R$797,HLOOKUP(INDIRECT(ADDRESS(2,COLUMN())),OFFSET($BN$2,0,0,ROW()-1,60),ROW()-1,FALSE))</f>
        <v>62.41</v>
      </c>
      <c r="S358">
        <f ca="1">IF(AND(ISNUMBER($S$797),$B$419=1),$S$797,HLOOKUP(INDIRECT(ADDRESS(2,COLUMN())),OFFSET($BN$2,0,0,ROW()-1,60),ROW()-1,FALSE))</f>
        <v>56.521000000000001</v>
      </c>
      <c r="T358">
        <f ca="1">IF(AND(ISNUMBER($T$797),$B$419=1),$T$797,HLOOKUP(INDIRECT(ADDRESS(2,COLUMN())),OFFSET($BN$2,0,0,ROW()-1,60),ROW()-1,FALSE))</f>
        <v>42.31</v>
      </c>
      <c r="U358">
        <f ca="1">IF(AND(ISNUMBER($U$797),$B$419=1),$U$797,HLOOKUP(INDIRECT(ADDRESS(2,COLUMN())),OFFSET($BN$2,0,0,ROW()-1,60),ROW()-1,FALSE))</f>
        <v>57.750999999999998</v>
      </c>
      <c r="V358">
        <f ca="1">IF(AND(ISNUMBER($V$797),$B$419=1),$V$797,HLOOKUP(INDIRECT(ADDRESS(2,COLUMN())),OFFSET($BN$2,0,0,ROW()-1,60),ROW()-1,FALSE))</f>
        <v>33.854999999999997</v>
      </c>
      <c r="W358">
        <f ca="1">IF(AND(ISNUMBER($W$797),$B$419=1),$W$797,HLOOKUP(INDIRECT(ADDRESS(2,COLUMN())),OFFSET($BN$2,0,0,ROW()-1,60),ROW()-1,FALSE))</f>
        <v>32.616999999999997</v>
      </c>
      <c r="X358">
        <f ca="1">IF(AND(ISNUMBER($X$797),$B$419=1),$X$797,HLOOKUP(INDIRECT(ADDRESS(2,COLUMN())),OFFSET($BN$2,0,0,ROW()-1,60),ROW()-1,FALSE))</f>
        <v>60.493000000000002</v>
      </c>
      <c r="Y358">
        <f ca="1">IF(AND(ISNUMBER($Y$797),$B$419=1),$Y$797,HLOOKUP(INDIRECT(ADDRESS(2,COLUMN())),OFFSET($BN$2,0,0,ROW()-1,60),ROW()-1,FALSE))</f>
        <v>-9.0399999999999991</v>
      </c>
      <c r="Z358">
        <f ca="1">IF(AND(ISNUMBER($Z$797),$B$419=1),$Z$797,HLOOKUP(INDIRECT(ADDRESS(2,COLUMN())),OFFSET($BN$2,0,0,ROW()-1,60),ROW()-1,FALSE))</f>
        <v>24.937999999999999</v>
      </c>
      <c r="AA358">
        <f ca="1">IF(AND(ISNUMBER($AA$797),$B$419=1),$AA$797,HLOOKUP(INDIRECT(ADDRESS(2,COLUMN())),OFFSET($BN$2,0,0,ROW()-1,60),ROW()-1,FALSE))</f>
        <v>7.3840000000000003</v>
      </c>
      <c r="AB358">
        <f ca="1">IF(AND(ISNUMBER($AB$797),$B$419=1),$AB$797,HLOOKUP(INDIRECT(ADDRESS(2,COLUMN())),OFFSET($BN$2,0,0,ROW()-1,60),ROW()-1,FALSE))</f>
        <v>29.305</v>
      </c>
      <c r="AC358">
        <f ca="1">IF(AND(ISNUMBER($AC$797),$B$419=1),$AC$797,HLOOKUP(INDIRECT(ADDRESS(2,COLUMN())),OFFSET($BN$2,0,0,ROW()-1,60),ROW()-1,FALSE))</f>
        <v>81.94</v>
      </c>
      <c r="AD358">
        <f ca="1">IF(AND(ISNUMBER($AD$797),$B$419=1),$AD$797,HLOOKUP(INDIRECT(ADDRESS(2,COLUMN())),OFFSET($BN$2,0,0,ROW()-1,60),ROW()-1,FALSE))</f>
        <v>48.96</v>
      </c>
      <c r="AE358">
        <f ca="1">IF(AND(ISNUMBER($AE$797),$B$419=1),$AE$797,HLOOKUP(INDIRECT(ADDRESS(2,COLUMN())),OFFSET($BN$2,0,0,ROW()-1,60),ROW()-1,FALSE))</f>
        <v>56.143000000000001</v>
      </c>
      <c r="AF358">
        <f ca="1">IF(AND(ISNUMBER($AF$797),$B$419=1),$AF$797,HLOOKUP(INDIRECT(ADDRESS(2,COLUMN())),OFFSET($BN$2,0,0,ROW()-1,60),ROW()-1,FALSE))</f>
        <v>50.500999999999998</v>
      </c>
      <c r="AG358">
        <f ca="1">IF(AND(ISNUMBER($AG$797),$B$419=1),$AG$797,HLOOKUP(INDIRECT(ADDRESS(2,COLUMN())),OFFSET($BN$2,0,0,ROW()-1,60),ROW()-1,FALSE))</f>
        <v>70.790999999999997</v>
      </c>
      <c r="AH358">
        <f ca="1">IF(AND(ISNUMBER($AH$797),$B$419=1),$AH$797,HLOOKUP(INDIRECT(ADDRESS(2,COLUMN())),OFFSET($BN$2,0,0,ROW()-1,60),ROW()-1,FALSE))</f>
        <v>47.521999999999998</v>
      </c>
      <c r="AI358">
        <f ca="1">IF(AND(ISNUMBER($AI$797),$B$419=1),$AI$797,HLOOKUP(INDIRECT(ADDRESS(2,COLUMN())),OFFSET($BN$2,0,0,ROW()-1,60),ROW()-1,FALSE))</f>
        <v>77.057000000000002</v>
      </c>
      <c r="AJ358">
        <f ca="1">IF(AND(ISNUMBER($AJ$797),$B$419=1),$AJ$797,HLOOKUP(INDIRECT(ADDRESS(2,COLUMN())),OFFSET($BN$2,0,0,ROW()-1,60),ROW()-1,FALSE))</f>
        <v>72.646000000000001</v>
      </c>
      <c r="AK358">
        <f ca="1">IF(AND(ISNUMBER($AK$797),$B$419=1),$AK$797,HLOOKUP(INDIRECT(ADDRESS(2,COLUMN())),OFFSET($BN$2,0,0,ROW()-1,60),ROW()-1,FALSE))</f>
        <v>76.278999999999996</v>
      </c>
      <c r="AL358">
        <f ca="1">IF(AND(ISNUMBER($AL$797),$B$419=1),$AL$797,HLOOKUP(INDIRECT(ADDRESS(2,COLUMN())),OFFSET($BN$2,0,0,ROW()-1,60),ROW()-1,FALSE))</f>
        <v>60.223999999999997</v>
      </c>
      <c r="AM358">
        <f ca="1">IF(AND(ISNUMBER($AM$797),$B$419=1),$AM$797,HLOOKUP(INDIRECT(ADDRESS(2,COLUMN())),OFFSET($BN$2,0,0,ROW()-1,60),ROW()-1,FALSE))</f>
        <v>78.221999999999994</v>
      </c>
      <c r="AN358">
        <f ca="1">IF(AND(ISNUMBER($AN$797),$B$419=1),$AN$797,HLOOKUP(INDIRECT(ADDRESS(2,COLUMN())),OFFSET($BN$2,0,0,ROW()-1,60),ROW()-1,FALSE))</f>
        <v>40.256999999999998</v>
      </c>
      <c r="AO358">
        <f ca="1">IF(AND(ISNUMBER($AO$797),$B$419=1),$AO$797,HLOOKUP(INDIRECT(ADDRESS(2,COLUMN())),OFFSET($BN$2,0,0,ROW()-1,60),ROW()-1,FALSE))</f>
        <v>53.02</v>
      </c>
      <c r="AP358">
        <f ca="1">IF(AND(ISNUMBER($AP$797),$B$419=1),$AP$797,HLOOKUP(INDIRECT(ADDRESS(2,COLUMN())),OFFSET($BN$2,0,0,ROW()-1,60),ROW()-1,FALSE))</f>
        <v>30.407</v>
      </c>
      <c r="AQ358">
        <f ca="1">IF(AND(ISNUMBER($AQ$797),$B$419=1),$AQ$797,HLOOKUP(INDIRECT(ADDRESS(2,COLUMN())),OFFSET($BN$2,0,0,ROW()-1,60),ROW()-1,FALSE))</f>
        <v>26.4</v>
      </c>
      <c r="AR358">
        <f ca="1">IF(AND(ISNUMBER($AR$797),$B$419=1),$AR$797,HLOOKUP(INDIRECT(ADDRESS(2,COLUMN())),OFFSET($BN$2,0,0,ROW()-1,60),ROW()-1,FALSE))</f>
        <v>17.344000000000001</v>
      </c>
      <c r="AS358">
        <f ca="1">IF(AND(ISNUMBER($AS$797),$B$419=1),$AS$797,HLOOKUP(INDIRECT(ADDRESS(2,COLUMN())),OFFSET($BN$2,0,0,ROW()-1,60),ROW()-1,FALSE))</f>
        <v>-28.370999999999999</v>
      </c>
      <c r="AT358">
        <f ca="1">IF(AND(ISNUMBER($AT$797),$B$419=1),$AT$797,HLOOKUP(INDIRECT(ADDRESS(2,COLUMN())),OFFSET($BN$2,0,0,ROW()-1,60),ROW()-1,FALSE))</f>
        <v>-34.045000000000002</v>
      </c>
      <c r="AU358">
        <f ca="1">IF(AND(ISNUMBER($AU$797),$B$419=1),$AU$797,HLOOKUP(INDIRECT(ADDRESS(2,COLUMN())),OFFSET($BN$2,0,0,ROW()-1,60),ROW()-1,FALSE))</f>
        <v>-354.13600000000002</v>
      </c>
      <c r="AV358">
        <f ca="1">IF(AND(ISNUMBER($AV$797),$B$419=1),$AV$797,HLOOKUP(INDIRECT(ADDRESS(2,COLUMN())),OFFSET($BN$2,0,0,ROW()-1,60),ROW()-1,FALSE))</f>
        <v>-49.944000000000003</v>
      </c>
      <c r="AW358">
        <f ca="1">IF(AND(ISNUMBER($AW$797),$B$419=1),$AW$797,HLOOKUP(INDIRECT(ADDRESS(2,COLUMN())),OFFSET($BN$2,0,0,ROW()-1,60),ROW()-1,FALSE))</f>
        <v>-42.692999999999998</v>
      </c>
      <c r="AX358">
        <f ca="1">IF(AND(ISNUMBER($AX$797),$B$419=1),$AX$797,HLOOKUP(INDIRECT(ADDRESS(2,COLUMN())),OFFSET($BN$2,0,0,ROW()-1,60),ROW()-1,FALSE))</f>
        <v>-25.478000000000002</v>
      </c>
      <c r="AY358">
        <f ca="1">IF(AND(ISNUMBER($AY$797),$B$419=1),$AY$797,HLOOKUP(INDIRECT(ADDRESS(2,COLUMN())),OFFSET($BN$2,0,0,ROW()-1,60),ROW()-1,FALSE))</f>
        <v>-52.834000000000003</v>
      </c>
      <c r="AZ358">
        <f ca="1">IF(AND(ISNUMBER($AZ$797),$B$419=1),$AZ$797,HLOOKUP(INDIRECT(ADDRESS(2,COLUMN())),OFFSET($BN$2,0,0,ROW()-1,60),ROW()-1,FALSE))</f>
        <v>-31.536999999999999</v>
      </c>
      <c r="BA358">
        <f ca="1">IF(AND(ISNUMBER($BA$797),$B$419=1),$BA$797,HLOOKUP(INDIRECT(ADDRESS(2,COLUMN())),OFFSET($BN$2,0,0,ROW()-1,60),ROW()-1,FALSE))</f>
        <v>-6.3209999999999997</v>
      </c>
      <c r="BB358">
        <f ca="1">IF(AND(ISNUMBER($BB$797),$B$419=1),$BB$797,HLOOKUP(INDIRECT(ADDRESS(2,COLUMN())),OFFSET($BN$2,0,0,ROW()-1,60),ROW()-1,FALSE))</f>
        <v>17.937999999999999</v>
      </c>
      <c r="BC358">
        <f ca="1">IF(AND(ISNUMBER($BC$797),$B$419=1),$BC$797,HLOOKUP(INDIRECT(ADDRESS(2,COLUMN())),OFFSET($BN$2,0,0,ROW()-1,60),ROW()-1,FALSE))</f>
        <v>-518.74800000000005</v>
      </c>
      <c r="BD358" t="str">
        <f ca="1">IF(AND(ISNUMBER($BD$797),$B$419=1),$BD$797,HLOOKUP(INDIRECT(ADDRESS(2,COLUMN())),OFFSET($BN$2,0,0,ROW()-1,60),ROW()-1,FALSE))</f>
        <v/>
      </c>
      <c r="BE358">
        <f ca="1">IF(AND(ISNUMBER($BE$797),$B$419=1),$BE$797,HLOOKUP(INDIRECT(ADDRESS(2,COLUMN())),OFFSET($BN$2,0,0,ROW()-1,60),ROW()-1,FALSE))</f>
        <v>-13.451000000000001</v>
      </c>
      <c r="BF358">
        <f ca="1">IF(AND(ISNUMBER($BF$797),$B$419=1),$BF$797,HLOOKUP(INDIRECT(ADDRESS(2,COLUMN())),OFFSET($BN$2,0,0,ROW()-1,60),ROW()-1,FALSE))</f>
        <v>34.280999999999999</v>
      </c>
      <c r="BG358">
        <f ca="1">IF(AND(ISNUMBER($BG$797),$B$419=1),$BG$797,HLOOKUP(INDIRECT(ADDRESS(2,COLUMN())),OFFSET($BN$2,0,0,ROW()-1,60),ROW()-1,FALSE))</f>
        <v>-174.70699999999999</v>
      </c>
      <c r="BH358">
        <f ca="1">IF(AND(ISNUMBER($BH$797),$B$419=1),$BH$797,HLOOKUP(INDIRECT(ADDRESS(2,COLUMN())),OFFSET($BN$2,0,0,ROW()-1,60),ROW()-1,FALSE))</f>
        <v>-33.430000999999997</v>
      </c>
      <c r="BI358">
        <f ca="1">IF(AND(ISNUMBER($BI$797),$B$419=1),$BI$797,HLOOKUP(INDIRECT(ADDRESS(2,COLUMN())),OFFSET($BN$2,0,0,ROW()-1,60),ROW()-1,FALSE))</f>
        <v>-197.49601000000001</v>
      </c>
      <c r="BJ358">
        <f ca="1">IF(AND(ISNUMBER($BJ$797),$B$419=1),$BJ$797,HLOOKUP(INDIRECT(ADDRESS(2,COLUMN())),OFFSET($BN$2,0,0,ROW()-1,60),ROW()-1,FALSE))</f>
        <v>-65.898994999999999</v>
      </c>
      <c r="BK358">
        <f ca="1">IF(AND(ISNUMBER($BK$797),$B$419=1),$BK$797,HLOOKUP(INDIRECT(ADDRESS(2,COLUMN())),OFFSET($BN$2,0,0,ROW()-1,60),ROW()-1,FALSE))</f>
        <v>-165.640007</v>
      </c>
      <c r="BL358">
        <f ca="1">IF(AND(ISNUMBER($BL$797),$B$419=1),$BL$797,HLOOKUP(INDIRECT(ADDRESS(2,COLUMN())),OFFSET($BN$2,0,0,ROW()-1,60),ROW()-1,FALSE))</f>
        <v>-43.912996</v>
      </c>
      <c r="BM358">
        <f ca="1">IF(AND(ISNUMBER($BM$797),$B$419=1),$BM$797,HLOOKUP(INDIRECT(ADDRESS(2,COLUMN())),OFFSET($BN$2,0,0,ROW()-1,60),ROW()-1,FALSE))</f>
        <v>-24.721001000000001</v>
      </c>
      <c r="BN358" t="str">
        <f>""</f>
        <v/>
      </c>
      <c r="BO358">
        <f>39.622</f>
        <v>39.622</v>
      </c>
      <c r="BP358">
        <f>75.856</f>
        <v>75.855999999999995</v>
      </c>
      <c r="BQ358">
        <f>58.438</f>
        <v>58.438000000000002</v>
      </c>
      <c r="BR358">
        <f>-26.445</f>
        <v>-26.445</v>
      </c>
      <c r="BS358">
        <f>46.041</f>
        <v>46.040999999999997</v>
      </c>
      <c r="BT358">
        <f>63.695</f>
        <v>63.695</v>
      </c>
      <c r="BU358">
        <f>59.366</f>
        <v>59.366</v>
      </c>
      <c r="BV358">
        <f>51.473</f>
        <v>51.472999999999999</v>
      </c>
      <c r="BW358">
        <f>77.002</f>
        <v>77.001999999999995</v>
      </c>
      <c r="BX358">
        <f>73.96</f>
        <v>73.959999999999994</v>
      </c>
      <c r="BY358">
        <f>-129.236</f>
        <v>-129.23599999999999</v>
      </c>
      <c r="BZ358">
        <f>62.41</f>
        <v>62.41</v>
      </c>
      <c r="CA358">
        <f>56.521</f>
        <v>56.521000000000001</v>
      </c>
      <c r="CB358">
        <f>42.31</f>
        <v>42.31</v>
      </c>
      <c r="CC358">
        <f>57.751</f>
        <v>57.750999999999998</v>
      </c>
      <c r="CD358">
        <f>33.855</f>
        <v>33.854999999999997</v>
      </c>
      <c r="CE358">
        <f>32.617</f>
        <v>32.616999999999997</v>
      </c>
      <c r="CF358">
        <f>60.493</f>
        <v>60.493000000000002</v>
      </c>
      <c r="CG358">
        <f>-9.04</f>
        <v>-9.0399999999999991</v>
      </c>
      <c r="CH358">
        <f>24.938</f>
        <v>24.937999999999999</v>
      </c>
      <c r="CI358">
        <f>7.384</f>
        <v>7.3840000000000003</v>
      </c>
      <c r="CJ358">
        <f>29.305</f>
        <v>29.305</v>
      </c>
      <c r="CK358">
        <f>81.94</f>
        <v>81.94</v>
      </c>
      <c r="CL358">
        <f>48.96</f>
        <v>48.96</v>
      </c>
      <c r="CM358">
        <f>56.143</f>
        <v>56.143000000000001</v>
      </c>
      <c r="CN358">
        <f>50.501</f>
        <v>50.500999999999998</v>
      </c>
      <c r="CO358">
        <f>70.791</f>
        <v>70.790999999999997</v>
      </c>
      <c r="CP358">
        <f>47.522</f>
        <v>47.521999999999998</v>
      </c>
      <c r="CQ358">
        <f>77.057</f>
        <v>77.057000000000002</v>
      </c>
      <c r="CR358">
        <f>72.646</f>
        <v>72.646000000000001</v>
      </c>
      <c r="CS358">
        <f>76.279</f>
        <v>76.278999999999996</v>
      </c>
      <c r="CT358">
        <f>60.224</f>
        <v>60.223999999999997</v>
      </c>
      <c r="CU358">
        <f>78.222</f>
        <v>78.221999999999994</v>
      </c>
      <c r="CV358">
        <f>40.257</f>
        <v>40.256999999999998</v>
      </c>
      <c r="CW358">
        <f>53.02</f>
        <v>53.02</v>
      </c>
      <c r="CX358">
        <f>30.407</f>
        <v>30.407</v>
      </c>
      <c r="CY358">
        <f>26.4</f>
        <v>26.4</v>
      </c>
      <c r="CZ358">
        <f>17.344</f>
        <v>17.344000000000001</v>
      </c>
      <c r="DA358">
        <f>-28.371</f>
        <v>-28.370999999999999</v>
      </c>
      <c r="DB358">
        <f>-34.045</f>
        <v>-34.045000000000002</v>
      </c>
      <c r="DC358">
        <f>-354.136</f>
        <v>-354.13600000000002</v>
      </c>
      <c r="DD358">
        <f>-49.944</f>
        <v>-49.944000000000003</v>
      </c>
      <c r="DE358">
        <f>-42.693</f>
        <v>-42.692999999999998</v>
      </c>
      <c r="DF358">
        <f>-25.478</f>
        <v>-25.478000000000002</v>
      </c>
      <c r="DG358">
        <f>-52.834</f>
        <v>-52.834000000000003</v>
      </c>
      <c r="DH358">
        <f>-31.537</f>
        <v>-31.536999999999999</v>
      </c>
      <c r="DI358">
        <f>-6.321</f>
        <v>-6.3209999999999997</v>
      </c>
      <c r="DJ358">
        <f>17.938</f>
        <v>17.937999999999999</v>
      </c>
      <c r="DK358">
        <f>-518.748</f>
        <v>-518.74800000000005</v>
      </c>
      <c r="DL358" t="str">
        <f>""</f>
        <v/>
      </c>
      <c r="DM358">
        <f>-13.451</f>
        <v>-13.451000000000001</v>
      </c>
      <c r="DN358">
        <f>34.281</f>
        <v>34.280999999999999</v>
      </c>
      <c r="DO358">
        <f>-174.707</f>
        <v>-174.70699999999999</v>
      </c>
      <c r="DP358">
        <f>-33.430001</f>
        <v>-33.430000999999997</v>
      </c>
      <c r="DQ358">
        <f>-197.49601</f>
        <v>-197.49601000000001</v>
      </c>
      <c r="DR358">
        <f>-65.898995</f>
        <v>-65.898994999999999</v>
      </c>
      <c r="DS358">
        <f>-165.640007</f>
        <v>-165.640007</v>
      </c>
      <c r="DT358">
        <f>-43.912996</f>
        <v>-43.912996</v>
      </c>
      <c r="DU358">
        <f>-24.721001</f>
        <v>-24.721001000000001</v>
      </c>
    </row>
    <row r="359" spans="1:125">
      <c r="A359" t="str">
        <f>"    DDR Corp"</f>
        <v xml:space="preserve">    DDR Corp</v>
      </c>
      <c r="B359" t="str">
        <f>"DDR US Equity"</f>
        <v>DDR US Equity</v>
      </c>
      <c r="C359" t="str">
        <f t="shared" si="66"/>
        <v>RR008</v>
      </c>
      <c r="D359" t="str">
        <f t="shared" si="67"/>
        <v>CF_FREE_CASH_FLOW</v>
      </c>
      <c r="E359" t="str">
        <f t="shared" si="68"/>
        <v>动态</v>
      </c>
      <c r="F359" t="str">
        <f ca="1">IF(AND(ISNUMBER($F$798),$B$419=1),$F$798,HLOOKUP(INDIRECT(ADDRESS(2,COLUMN())),OFFSET($BN$2,0,0,ROW()-1,60),ROW()-1,FALSE))</f>
        <v/>
      </c>
      <c r="G359">
        <f ca="1">IF(AND(ISNUMBER($G$798),$B$419=1),$G$798,HLOOKUP(INDIRECT(ADDRESS(2,COLUMN())),OFFSET($BN$2,0,0,ROW()-1,60),ROW()-1,FALSE))</f>
        <v>82.566000000000003</v>
      </c>
      <c r="H359">
        <f ca="1">IF(AND(ISNUMBER($H$798),$B$419=1),$H$798,HLOOKUP(INDIRECT(ADDRESS(2,COLUMN())),OFFSET($BN$2,0,0,ROW()-1,60),ROW()-1,FALSE))</f>
        <v>59.756</v>
      </c>
      <c r="I359">
        <f ca="1">IF(AND(ISNUMBER($I$798),$B$419=1),$I$798,HLOOKUP(INDIRECT(ADDRESS(2,COLUMN())),OFFSET($BN$2,0,0,ROW()-1,60),ROW()-1,FALSE))</f>
        <v>88.903999999999996</v>
      </c>
      <c r="J359">
        <f ca="1">IF(AND(ISNUMBER($J$798),$B$419=1),$J$798,HLOOKUP(INDIRECT(ADDRESS(2,COLUMN())),OFFSET($BN$2,0,0,ROW()-1,60),ROW()-1,FALSE))</f>
        <v>-22.259</v>
      </c>
      <c r="K359">
        <f ca="1">IF(AND(ISNUMBER($K$798),$B$419=1),$K$798,HLOOKUP(INDIRECT(ADDRESS(2,COLUMN())),OFFSET($BN$2,0,0,ROW()-1,60),ROW()-1,FALSE))</f>
        <v>84.817999999999998</v>
      </c>
      <c r="L359">
        <f ca="1">IF(AND(ISNUMBER($L$798),$B$419=1),$L$798,HLOOKUP(INDIRECT(ADDRESS(2,COLUMN())),OFFSET($BN$2,0,0,ROW()-1,60),ROW()-1,FALSE))</f>
        <v>-12.518000000000001</v>
      </c>
      <c r="M359">
        <f ca="1">IF(AND(ISNUMBER($M$798),$B$419=1),$M$798,HLOOKUP(INDIRECT(ADDRESS(2,COLUMN())),OFFSET($BN$2,0,0,ROW()-1,60),ROW()-1,FALSE))</f>
        <v>104.91200000000001</v>
      </c>
      <c r="N359">
        <f ca="1">IF(AND(ISNUMBER($N$798),$B$419=1),$N$798,HLOOKUP(INDIRECT(ADDRESS(2,COLUMN())),OFFSET($BN$2,0,0,ROW()-1,60),ROW()-1,FALSE))</f>
        <v>-25.033999999999999</v>
      </c>
      <c r="O359">
        <f ca="1">IF(AND(ISNUMBER($O$798),$B$419=1),$O$798,HLOOKUP(INDIRECT(ADDRESS(2,COLUMN())),OFFSET($BN$2,0,0,ROW()-1,60),ROW()-1,FALSE))</f>
        <v>-10.25</v>
      </c>
      <c r="P359">
        <f ca="1">IF(AND(ISNUMBER($P$798),$B$419=1),$P$798,HLOOKUP(INDIRECT(ADDRESS(2,COLUMN())),OFFSET($BN$2,0,0,ROW()-1,60),ROW()-1,FALSE))</f>
        <v>-7.34</v>
      </c>
      <c r="Q359">
        <f ca="1">IF(AND(ISNUMBER($Q$798),$B$419=1),$Q$798,HLOOKUP(INDIRECT(ADDRESS(2,COLUMN())),OFFSET($BN$2,0,0,ROW()-1,60),ROW()-1,FALSE))</f>
        <v>-32.988</v>
      </c>
      <c r="R359">
        <f ca="1">IF(AND(ISNUMBER($R$798),$B$419=1),$R$798,HLOOKUP(INDIRECT(ADDRESS(2,COLUMN())),OFFSET($BN$2,0,0,ROW()-1,60),ROW()-1,FALSE))</f>
        <v>3.42</v>
      </c>
      <c r="S359">
        <f ca="1">IF(AND(ISNUMBER($S$798),$B$419=1),$S$798,HLOOKUP(INDIRECT(ADDRESS(2,COLUMN())),OFFSET($BN$2,0,0,ROW()-1,60),ROW()-1,FALSE))</f>
        <v>12.359</v>
      </c>
      <c r="T359">
        <f ca="1">IF(AND(ISNUMBER($T$798),$B$419=1),$T$798,HLOOKUP(INDIRECT(ADDRESS(2,COLUMN())),OFFSET($BN$2,0,0,ROW()-1,60),ROW()-1,FALSE))</f>
        <v>9.3339999999999996</v>
      </c>
      <c r="U359">
        <f ca="1">IF(AND(ISNUMBER($U$798),$B$419=1),$U$798,HLOOKUP(INDIRECT(ADDRESS(2,COLUMN())),OFFSET($BN$2,0,0,ROW()-1,60),ROW()-1,FALSE))</f>
        <v>-238.08</v>
      </c>
      <c r="V359">
        <f ca="1">IF(AND(ISNUMBER($V$798),$B$419=1),$V$798,HLOOKUP(INDIRECT(ADDRESS(2,COLUMN())),OFFSET($BN$2,0,0,ROW()-1,60),ROW()-1,FALSE))</f>
        <v>44.843000000000004</v>
      </c>
      <c r="W359">
        <f ca="1">IF(AND(ISNUMBER($W$798),$B$419=1),$W$798,HLOOKUP(INDIRECT(ADDRESS(2,COLUMN())),OFFSET($BN$2,0,0,ROW()-1,60),ROW()-1,FALSE))</f>
        <v>-485.63799999999998</v>
      </c>
      <c r="X359">
        <f ca="1">IF(AND(ISNUMBER($X$798),$B$419=1),$X$798,HLOOKUP(INDIRECT(ADDRESS(2,COLUMN())),OFFSET($BN$2,0,0,ROW()-1,60),ROW()-1,FALSE))</f>
        <v>-15.529</v>
      </c>
      <c r="Y359">
        <f ca="1">IF(AND(ISNUMBER($Y$798),$B$419=1),$Y$798,HLOOKUP(INDIRECT(ADDRESS(2,COLUMN())),OFFSET($BN$2,0,0,ROW()-1,60),ROW()-1,FALSE))</f>
        <v>-112.916</v>
      </c>
      <c r="Z359">
        <f ca="1">IF(AND(ISNUMBER($Z$798),$B$419=1),$Z$798,HLOOKUP(INDIRECT(ADDRESS(2,COLUMN())),OFFSET($BN$2,0,0,ROW()-1,60),ROW()-1,FALSE))</f>
        <v>-80.447000000000003</v>
      </c>
      <c r="AA359">
        <f ca="1">IF(AND(ISNUMBER($AA$798),$B$419=1),$AA$798,HLOOKUP(INDIRECT(ADDRESS(2,COLUMN())),OFFSET($BN$2,0,0,ROW()-1,60),ROW()-1,FALSE))</f>
        <v>-104.712</v>
      </c>
      <c r="AB359">
        <f ca="1">IF(AND(ISNUMBER($AB$798),$B$419=1),$AB$798,HLOOKUP(INDIRECT(ADDRESS(2,COLUMN())),OFFSET($BN$2,0,0,ROW()-1,60),ROW()-1,FALSE))</f>
        <v>-114.59399999999999</v>
      </c>
      <c r="AC359">
        <f ca="1">IF(AND(ISNUMBER($AC$798),$B$419=1),$AC$798,HLOOKUP(INDIRECT(ADDRESS(2,COLUMN())),OFFSET($BN$2,0,0,ROW()-1,60),ROW()-1,FALSE))</f>
        <v>-12.97</v>
      </c>
      <c r="AD359">
        <f ca="1">IF(AND(ISNUMBER($AD$798),$B$419=1),$AD$798,HLOOKUP(INDIRECT(ADDRESS(2,COLUMN())),OFFSET($BN$2,0,0,ROW()-1,60),ROW()-1,FALSE))</f>
        <v>-49.939</v>
      </c>
      <c r="AE359">
        <f ca="1">IF(AND(ISNUMBER($AE$798),$B$419=1),$AE$798,HLOOKUP(INDIRECT(ADDRESS(2,COLUMN())),OFFSET($BN$2,0,0,ROW()-1,60),ROW()-1,FALSE))</f>
        <v>-11.33</v>
      </c>
      <c r="AF359">
        <f ca="1">IF(AND(ISNUMBER($AF$798),$B$419=1),$AF$798,HLOOKUP(INDIRECT(ADDRESS(2,COLUMN())),OFFSET($BN$2,0,0,ROW()-1,60),ROW()-1,FALSE))</f>
        <v>0.97699999999999998</v>
      </c>
      <c r="AG359">
        <f ca="1">IF(AND(ISNUMBER($AG$798),$B$419=1),$AG$798,HLOOKUP(INDIRECT(ADDRESS(2,COLUMN())),OFFSET($BN$2,0,0,ROW()-1,60),ROW()-1,FALSE))</f>
        <v>51.116999999999997</v>
      </c>
      <c r="AH359">
        <f ca="1">IF(AND(ISNUMBER($AH$798),$B$419=1),$AH$798,HLOOKUP(INDIRECT(ADDRESS(2,COLUMN())),OFFSET($BN$2,0,0,ROW()-1,60),ROW()-1,FALSE))</f>
        <v>14.57</v>
      </c>
      <c r="AI359">
        <f ca="1">IF(AND(ISNUMBER($AI$798),$B$419=1),$AI$798,HLOOKUP(INDIRECT(ADDRESS(2,COLUMN())),OFFSET($BN$2,0,0,ROW()-1,60),ROW()-1,FALSE))</f>
        <v>26.503</v>
      </c>
      <c r="AJ359">
        <f ca="1">IF(AND(ISNUMBER($AJ$798),$B$419=1),$AJ$798,HLOOKUP(INDIRECT(ADDRESS(2,COLUMN())),OFFSET($BN$2,0,0,ROW()-1,60),ROW()-1,FALSE))</f>
        <v>35.052999999999997</v>
      </c>
      <c r="AK359">
        <f ca="1">IF(AND(ISNUMBER($AK$798),$B$419=1),$AK$798,HLOOKUP(INDIRECT(ADDRESS(2,COLUMN())),OFFSET($BN$2,0,0,ROW()-1,60),ROW()-1,FALSE))</f>
        <v>45.472000000000001</v>
      </c>
      <c r="AL359">
        <f ca="1">IF(AND(ISNUMBER($AL$798),$B$419=1),$AL$798,HLOOKUP(INDIRECT(ADDRESS(2,COLUMN())),OFFSET($BN$2,0,0,ROW()-1,60),ROW()-1,FALSE))</f>
        <v>6.7050000000000001</v>
      </c>
      <c r="AM359">
        <f ca="1">IF(AND(ISNUMBER($AM$798),$B$419=1),$AM$798,HLOOKUP(INDIRECT(ADDRESS(2,COLUMN())),OFFSET($BN$2,0,0,ROW()-1,60),ROW()-1,FALSE))</f>
        <v>-24.991</v>
      </c>
      <c r="AN359">
        <f ca="1">IF(AND(ISNUMBER($AN$798),$B$419=1),$AN$798,HLOOKUP(INDIRECT(ADDRESS(2,COLUMN())),OFFSET($BN$2,0,0,ROW()-1,60),ROW()-1,FALSE))</f>
        <v>21.75</v>
      </c>
      <c r="AO359">
        <f ca="1">IF(AND(ISNUMBER($AO$798),$B$419=1),$AO$798,HLOOKUP(INDIRECT(ADDRESS(2,COLUMN())),OFFSET($BN$2,0,0,ROW()-1,60),ROW()-1,FALSE))</f>
        <v>28.704999999999998</v>
      </c>
      <c r="AP359">
        <f ca="1">IF(AND(ISNUMBER($AP$798),$B$419=1),$AP$798,HLOOKUP(INDIRECT(ADDRESS(2,COLUMN())),OFFSET($BN$2,0,0,ROW()-1,60),ROW()-1,FALSE))</f>
        <v>-2.4729999999999999</v>
      </c>
      <c r="AQ359">
        <f ca="1">IF(AND(ISNUMBER($AQ$798),$B$419=1),$AQ$798,HLOOKUP(INDIRECT(ADDRESS(2,COLUMN())),OFFSET($BN$2,0,0,ROW()-1,60),ROW()-1,FALSE))</f>
        <v>4.9210000000000003</v>
      </c>
      <c r="AR359">
        <f ca="1">IF(AND(ISNUMBER($AR$798),$B$419=1),$AR$798,HLOOKUP(INDIRECT(ADDRESS(2,COLUMN())),OFFSET($BN$2,0,0,ROW()-1,60),ROW()-1,FALSE))</f>
        <v>14.821</v>
      </c>
      <c r="AS359">
        <f ca="1">IF(AND(ISNUMBER($AS$798),$B$419=1),$AS$798,HLOOKUP(INDIRECT(ADDRESS(2,COLUMN())),OFFSET($BN$2,0,0,ROW()-1,60),ROW()-1,FALSE))</f>
        <v>-10.318</v>
      </c>
      <c r="AT359">
        <f ca="1">IF(AND(ISNUMBER($AT$798),$B$419=1),$AT$798,HLOOKUP(INDIRECT(ADDRESS(2,COLUMN())),OFFSET($BN$2,0,0,ROW()-1,60),ROW()-1,FALSE))</f>
        <v>-15.984999999999999</v>
      </c>
      <c r="AU359">
        <f ca="1">IF(AND(ISNUMBER($AU$798),$B$419=1),$AU$798,HLOOKUP(INDIRECT(ADDRESS(2,COLUMN())),OFFSET($BN$2,0,0,ROW()-1,60),ROW()-1,FALSE))</f>
        <v>-1354.9290000000001</v>
      </c>
      <c r="AV359">
        <f ca="1">IF(AND(ISNUMBER($AV$798),$B$419=1),$AV$798,HLOOKUP(INDIRECT(ADDRESS(2,COLUMN())),OFFSET($BN$2,0,0,ROW()-1,60),ROW()-1,FALSE))</f>
        <v>-20.978999999999999</v>
      </c>
      <c r="AW359">
        <f ca="1">IF(AND(ISNUMBER($AW$798),$B$419=1),$AW$798,HLOOKUP(INDIRECT(ADDRESS(2,COLUMN())),OFFSET($BN$2,0,0,ROW()-1,60),ROW()-1,FALSE))</f>
        <v>-147.27099999999999</v>
      </c>
      <c r="AX359">
        <f ca="1">IF(AND(ISNUMBER($AX$798),$B$419=1),$AX$798,HLOOKUP(INDIRECT(ADDRESS(2,COLUMN())),OFFSET($BN$2,0,0,ROW()-1,60),ROW()-1,FALSE))</f>
        <v>-2223.2539999999999</v>
      </c>
      <c r="AY359">
        <f ca="1">IF(AND(ISNUMBER($AY$798),$B$419=1),$AY$798,HLOOKUP(INDIRECT(ADDRESS(2,COLUMN())),OFFSET($BN$2,0,0,ROW()-1,60),ROW()-1,FALSE))</f>
        <v>-266.04500000000002</v>
      </c>
      <c r="AZ359">
        <f ca="1">IF(AND(ISNUMBER($AZ$798),$B$419=1),$AZ$798,HLOOKUP(INDIRECT(ADDRESS(2,COLUMN())),OFFSET($BN$2,0,0,ROW()-1,60),ROW()-1,FALSE))</f>
        <v>-29.337</v>
      </c>
      <c r="BA359">
        <f ca="1">IF(AND(ISNUMBER($BA$798),$B$419=1),$BA$798,HLOOKUP(INDIRECT(ADDRESS(2,COLUMN())),OFFSET($BN$2,0,0,ROW()-1,60),ROW()-1,FALSE))</f>
        <v>-19.327000000000002</v>
      </c>
      <c r="BB359">
        <f ca="1">IF(AND(ISNUMBER($BB$798),$B$419=1),$BB$798,HLOOKUP(INDIRECT(ADDRESS(2,COLUMN())),OFFSET($BN$2,0,0,ROW()-1,60),ROW()-1,FALSE))</f>
        <v>-16.172000000000001</v>
      </c>
      <c r="BC359">
        <f ca="1">IF(AND(ISNUMBER($BC$798),$B$419=1),$BC$798,HLOOKUP(INDIRECT(ADDRESS(2,COLUMN())),OFFSET($BN$2,0,0,ROW()-1,60),ROW()-1,FALSE))</f>
        <v>-309.577</v>
      </c>
      <c r="BD359">
        <f ca="1">IF(AND(ISNUMBER($BD$798),$B$419=1),$BD$798,HLOOKUP(INDIRECT(ADDRESS(2,COLUMN())),OFFSET($BN$2,0,0,ROW()-1,60),ROW()-1,FALSE))</f>
        <v>-110.79300000000001</v>
      </c>
      <c r="BE359">
        <f ca="1">IF(AND(ISNUMBER($BE$798),$B$419=1),$BE$798,HLOOKUP(INDIRECT(ADDRESS(2,COLUMN())),OFFSET($BN$2,0,0,ROW()-1,60),ROW()-1,FALSE))</f>
        <v>5.415</v>
      </c>
      <c r="BF359">
        <f ca="1">IF(AND(ISNUMBER($BF$798),$B$419=1),$BF$798,HLOOKUP(INDIRECT(ADDRESS(2,COLUMN())),OFFSET($BN$2,0,0,ROW()-1,60),ROW()-1,FALSE))</f>
        <v>-419.72699999999998</v>
      </c>
      <c r="BG359">
        <f ca="1">IF(AND(ISNUMBER($BG$798),$B$419=1),$BG$798,HLOOKUP(INDIRECT(ADDRESS(2,COLUMN())),OFFSET($BN$2,0,0,ROW()-1,60),ROW()-1,FALSE))</f>
        <v>-266.65600000000001</v>
      </c>
      <c r="BH359">
        <f ca="1">IF(AND(ISNUMBER($BH$798),$B$419=1),$BH$798,HLOOKUP(INDIRECT(ADDRESS(2,COLUMN())),OFFSET($BN$2,0,0,ROW()-1,60),ROW()-1,FALSE))</f>
        <v>-9.016</v>
      </c>
      <c r="BI359">
        <f ca="1">IF(AND(ISNUMBER($BI$798),$B$419=1),$BI$798,HLOOKUP(INDIRECT(ADDRESS(2,COLUMN())),OFFSET($BN$2,0,0,ROW()-1,60),ROW()-1,FALSE))</f>
        <v>-1595.2360000000001</v>
      </c>
      <c r="BJ359">
        <f ca="1">IF(AND(ISNUMBER($BJ$798),$B$419=1),$BJ$798,HLOOKUP(INDIRECT(ADDRESS(2,COLUMN())),OFFSET($BN$2,0,0,ROW()-1,60),ROW()-1,FALSE))</f>
        <v>5.17</v>
      </c>
      <c r="BK359">
        <f ca="1">IF(AND(ISNUMBER($BK$798),$B$419=1),$BK$798,HLOOKUP(INDIRECT(ADDRESS(2,COLUMN())),OFFSET($BN$2,0,0,ROW()-1,60),ROW()-1,FALSE))</f>
        <v>-230.68498990000001</v>
      </c>
      <c r="BL359">
        <f ca="1">IF(AND(ISNUMBER($BL$798),$B$419=1),$BL$798,HLOOKUP(INDIRECT(ADDRESS(2,COLUMN())),OFFSET($BN$2,0,0,ROW()-1,60),ROW()-1,FALSE))</f>
        <v>47.484999999999999</v>
      </c>
      <c r="BM359">
        <f ca="1">IF(AND(ISNUMBER($BM$798),$B$419=1),$BM$798,HLOOKUP(INDIRECT(ADDRESS(2,COLUMN())),OFFSET($BN$2,0,0,ROW()-1,60),ROW()-1,FALSE))</f>
        <v>-22.183</v>
      </c>
      <c r="BN359" t="str">
        <f>""</f>
        <v/>
      </c>
      <c r="BO359">
        <f>82.566</f>
        <v>82.566000000000003</v>
      </c>
      <c r="BP359">
        <f>59.756</f>
        <v>59.756</v>
      </c>
      <c r="BQ359">
        <f>88.904</f>
        <v>88.903999999999996</v>
      </c>
      <c r="BR359">
        <f>-22.259</f>
        <v>-22.259</v>
      </c>
      <c r="BS359">
        <f>84.818</f>
        <v>84.817999999999998</v>
      </c>
      <c r="BT359">
        <f>-12.518</f>
        <v>-12.518000000000001</v>
      </c>
      <c r="BU359">
        <f>104.912</f>
        <v>104.91200000000001</v>
      </c>
      <c r="BV359">
        <f>-25.034</f>
        <v>-25.033999999999999</v>
      </c>
      <c r="BW359">
        <f>-10.25</f>
        <v>-10.25</v>
      </c>
      <c r="BX359">
        <f>-7.34</f>
        <v>-7.34</v>
      </c>
      <c r="BY359">
        <f>-32.988</f>
        <v>-32.988</v>
      </c>
      <c r="BZ359">
        <f>3.42</f>
        <v>3.42</v>
      </c>
      <c r="CA359">
        <f>12.359</f>
        <v>12.359</v>
      </c>
      <c r="CB359">
        <f>9.334</f>
        <v>9.3339999999999996</v>
      </c>
      <c r="CC359">
        <f>-238.08</f>
        <v>-238.08</v>
      </c>
      <c r="CD359">
        <f>44.843</f>
        <v>44.843000000000004</v>
      </c>
      <c r="CE359">
        <f>-485.638</f>
        <v>-485.63799999999998</v>
      </c>
      <c r="CF359">
        <f>-15.529</f>
        <v>-15.529</v>
      </c>
      <c r="CG359">
        <f>-112.916</f>
        <v>-112.916</v>
      </c>
      <c r="CH359">
        <f>-80.447</f>
        <v>-80.447000000000003</v>
      </c>
      <c r="CI359">
        <f>-104.712</f>
        <v>-104.712</v>
      </c>
      <c r="CJ359">
        <f>-114.594</f>
        <v>-114.59399999999999</v>
      </c>
      <c r="CK359">
        <f>-12.97</f>
        <v>-12.97</v>
      </c>
      <c r="CL359">
        <f>-49.939</f>
        <v>-49.939</v>
      </c>
      <c r="CM359">
        <f>-11.33</f>
        <v>-11.33</v>
      </c>
      <c r="CN359">
        <f>0.977</f>
        <v>0.97699999999999998</v>
      </c>
      <c r="CO359">
        <f>51.117</f>
        <v>51.116999999999997</v>
      </c>
      <c r="CP359">
        <f>14.57</f>
        <v>14.57</v>
      </c>
      <c r="CQ359">
        <f>26.503</f>
        <v>26.503</v>
      </c>
      <c r="CR359">
        <f>35.053</f>
        <v>35.052999999999997</v>
      </c>
      <c r="CS359">
        <f>45.472</f>
        <v>45.472000000000001</v>
      </c>
      <c r="CT359">
        <f>6.705</f>
        <v>6.7050000000000001</v>
      </c>
      <c r="CU359">
        <f>-24.991</f>
        <v>-24.991</v>
      </c>
      <c r="CV359">
        <f>21.75</f>
        <v>21.75</v>
      </c>
      <c r="CW359">
        <f>28.705</f>
        <v>28.704999999999998</v>
      </c>
      <c r="CX359">
        <f>-2.473</f>
        <v>-2.4729999999999999</v>
      </c>
      <c r="CY359">
        <f>4.921</f>
        <v>4.9210000000000003</v>
      </c>
      <c r="CZ359">
        <f>14.821</f>
        <v>14.821</v>
      </c>
      <c r="DA359">
        <f>-10.318</f>
        <v>-10.318</v>
      </c>
      <c r="DB359">
        <f>-15.985</f>
        <v>-15.984999999999999</v>
      </c>
      <c r="DC359">
        <f>-1354.929</f>
        <v>-1354.9290000000001</v>
      </c>
      <c r="DD359">
        <f>-20.979</f>
        <v>-20.978999999999999</v>
      </c>
      <c r="DE359">
        <f>-147.271</f>
        <v>-147.27099999999999</v>
      </c>
      <c r="DF359">
        <f>-2223.254</f>
        <v>-2223.2539999999999</v>
      </c>
      <c r="DG359">
        <f>-266.045</f>
        <v>-266.04500000000002</v>
      </c>
      <c r="DH359">
        <f>-29.337</f>
        <v>-29.337</v>
      </c>
      <c r="DI359">
        <f>-19.327</f>
        <v>-19.327000000000002</v>
      </c>
      <c r="DJ359">
        <f>-16.172</f>
        <v>-16.172000000000001</v>
      </c>
      <c r="DK359">
        <f>-309.577</f>
        <v>-309.577</v>
      </c>
      <c r="DL359">
        <f>-110.793</f>
        <v>-110.79300000000001</v>
      </c>
      <c r="DM359">
        <f>5.415</f>
        <v>5.415</v>
      </c>
      <c r="DN359">
        <f>-419.727</f>
        <v>-419.72699999999998</v>
      </c>
      <c r="DO359">
        <f>-266.656</f>
        <v>-266.65600000000001</v>
      </c>
      <c r="DP359">
        <f>-9.016</f>
        <v>-9.016</v>
      </c>
      <c r="DQ359">
        <f>-1595.236</f>
        <v>-1595.2360000000001</v>
      </c>
      <c r="DR359">
        <f>5.17</f>
        <v>5.17</v>
      </c>
      <c r="DS359">
        <f>-230.6849899</f>
        <v>-230.68498990000001</v>
      </c>
      <c r="DT359">
        <f>47.485</f>
        <v>47.484999999999999</v>
      </c>
      <c r="DU359">
        <f>-22.183</f>
        <v>-22.183</v>
      </c>
    </row>
    <row r="360" spans="1:125">
      <c r="A360" t="str">
        <f>"    Federal Realty Investment Trus"</f>
        <v xml:space="preserve">    Federal Realty Investment Trus</v>
      </c>
      <c r="B360" t="str">
        <f>"FRT US Equity"</f>
        <v>FRT US Equity</v>
      </c>
      <c r="C360" t="str">
        <f t="shared" si="66"/>
        <v>RR008</v>
      </c>
      <c r="D360" t="str">
        <f t="shared" si="67"/>
        <v>CF_FREE_CASH_FLOW</v>
      </c>
      <c r="E360" t="str">
        <f t="shared" si="68"/>
        <v>动态</v>
      </c>
      <c r="F360" t="str">
        <f ca="1">IF(AND(ISNUMBER($F$799),$B$419=1),$F$799,HLOOKUP(INDIRECT(ADDRESS(2,COLUMN())),OFFSET($BN$2,0,0,ROW()-1,60),ROW()-1,FALSE))</f>
        <v/>
      </c>
      <c r="G360">
        <f ca="1">IF(AND(ISNUMBER($G$799),$B$419=1),$G$799,HLOOKUP(INDIRECT(ADDRESS(2,COLUMN())),OFFSET($BN$2,0,0,ROW()-1,60),ROW()-1,FALSE))</f>
        <v>-10.856</v>
      </c>
      <c r="H360">
        <f ca="1">IF(AND(ISNUMBER($H$799),$B$419=1),$H$799,HLOOKUP(INDIRECT(ADDRESS(2,COLUMN())),OFFSET($BN$2,0,0,ROW()-1,60),ROW()-1,FALSE))</f>
        <v>-296.21899999999999</v>
      </c>
      <c r="I360">
        <f ca="1">IF(AND(ISNUMBER($I$799),$B$419=1),$I$799,HLOOKUP(INDIRECT(ADDRESS(2,COLUMN())),OFFSET($BN$2,0,0,ROW()-1,60),ROW()-1,FALSE))</f>
        <v>-34.729999999999997</v>
      </c>
      <c r="J360">
        <f ca="1">IF(AND(ISNUMBER($J$799),$B$419=1),$J$799,HLOOKUP(INDIRECT(ADDRESS(2,COLUMN())),OFFSET($BN$2,0,0,ROW()-1,60),ROW()-1,FALSE))</f>
        <v>-154.60599999999999</v>
      </c>
      <c r="K360">
        <f ca="1">IF(AND(ISNUMBER($K$799),$B$419=1),$K$799,HLOOKUP(INDIRECT(ADDRESS(2,COLUMN())),OFFSET($BN$2,0,0,ROW()-1,60),ROW()-1,FALSE))</f>
        <v>-10.858000000000001</v>
      </c>
      <c r="L360">
        <f ca="1">IF(AND(ISNUMBER($L$799),$B$419=1),$L$799,HLOOKUP(INDIRECT(ADDRESS(2,COLUMN())),OFFSET($BN$2,0,0,ROW()-1,60),ROW()-1,FALSE))</f>
        <v>-53.826999999999998</v>
      </c>
      <c r="M360">
        <f ca="1">IF(AND(ISNUMBER($M$799),$B$419=1),$M$799,HLOOKUP(INDIRECT(ADDRESS(2,COLUMN())),OFFSET($BN$2,0,0,ROW()-1,60),ROW()-1,FALSE))</f>
        <v>0.97399999999999998</v>
      </c>
      <c r="N360">
        <f ca="1">IF(AND(ISNUMBER($N$799),$B$419=1),$N$799,HLOOKUP(INDIRECT(ADDRESS(2,COLUMN())),OFFSET($BN$2,0,0,ROW()-1,60),ROW()-1,FALSE))</f>
        <v>-92.828000000000003</v>
      </c>
      <c r="O360">
        <f ca="1">IF(AND(ISNUMBER($O$799),$B$419=1),$O$799,HLOOKUP(INDIRECT(ADDRESS(2,COLUMN())),OFFSET($BN$2,0,0,ROW()-1,60),ROW()-1,FALSE))</f>
        <v>-12.05</v>
      </c>
      <c r="P360">
        <f ca="1">IF(AND(ISNUMBER($P$799),$B$419=1),$P$799,HLOOKUP(INDIRECT(ADDRESS(2,COLUMN())),OFFSET($BN$2,0,0,ROW()-1,60),ROW()-1,FALSE))</f>
        <v>15.971</v>
      </c>
      <c r="Q360">
        <f ca="1">IF(AND(ISNUMBER($Q$799),$B$419=1),$Q$799,HLOOKUP(INDIRECT(ADDRESS(2,COLUMN())),OFFSET($BN$2,0,0,ROW()-1,60),ROW()-1,FALSE))</f>
        <v>-71.14</v>
      </c>
      <c r="R360">
        <f ca="1">IF(AND(ISNUMBER($R$799),$B$419=1),$R$799,HLOOKUP(INDIRECT(ADDRESS(2,COLUMN())),OFFSET($BN$2,0,0,ROW()-1,60),ROW()-1,FALSE))</f>
        <v>-9.7919999999999998</v>
      </c>
      <c r="S360">
        <f ca="1">IF(AND(ISNUMBER($S$799),$B$419=1),$S$799,HLOOKUP(INDIRECT(ADDRESS(2,COLUMN())),OFFSET($BN$2,0,0,ROW()-1,60),ROW()-1,FALSE))</f>
        <v>8.6850000000000005</v>
      </c>
      <c r="T360">
        <f ca="1">IF(AND(ISNUMBER($T$799),$B$419=1),$T$799,HLOOKUP(INDIRECT(ADDRESS(2,COLUMN())),OFFSET($BN$2,0,0,ROW()-1,60),ROW()-1,FALSE))</f>
        <v>-25.372</v>
      </c>
      <c r="U360">
        <f ca="1">IF(AND(ISNUMBER($U$799),$B$419=1),$U$799,HLOOKUP(INDIRECT(ADDRESS(2,COLUMN())),OFFSET($BN$2,0,0,ROW()-1,60),ROW()-1,FALSE))</f>
        <v>-2.218</v>
      </c>
      <c r="V360">
        <f ca="1">IF(AND(ISNUMBER($V$799),$B$419=1),$V$799,HLOOKUP(INDIRECT(ADDRESS(2,COLUMN())),OFFSET($BN$2,0,0,ROW()-1,60),ROW()-1,FALSE))</f>
        <v>-5.077</v>
      </c>
      <c r="W360">
        <f ca="1">IF(AND(ISNUMBER($W$799),$B$419=1),$W$799,HLOOKUP(INDIRECT(ADDRESS(2,COLUMN())),OFFSET($BN$2,0,0,ROW()-1,60),ROW()-1,FALSE))</f>
        <v>-54.658000000000001</v>
      </c>
      <c r="X360">
        <f ca="1">IF(AND(ISNUMBER($X$799),$B$419=1),$X$799,HLOOKUP(INDIRECT(ADDRESS(2,COLUMN())),OFFSET($BN$2,0,0,ROW()-1,60),ROW()-1,FALSE))</f>
        <v>4.4850000000000003</v>
      </c>
      <c r="Y360">
        <f ca="1">IF(AND(ISNUMBER($Y$799),$B$419=1),$Y$799,HLOOKUP(INDIRECT(ADDRESS(2,COLUMN())),OFFSET($BN$2,0,0,ROW()-1,60),ROW()-1,FALSE))</f>
        <v>-43.067</v>
      </c>
      <c r="Z360">
        <f ca="1">IF(AND(ISNUMBER($Z$799),$B$419=1),$Z$799,HLOOKUP(INDIRECT(ADDRESS(2,COLUMN())),OFFSET($BN$2,0,0,ROW()-1,60),ROW()-1,FALSE))</f>
        <v>24.866</v>
      </c>
      <c r="AA360">
        <f ca="1">IF(AND(ISNUMBER($AA$799),$B$419=1),$AA$799,HLOOKUP(INDIRECT(ADDRESS(2,COLUMN())),OFFSET($BN$2,0,0,ROW()-1,60),ROW()-1,FALSE))</f>
        <v>-41.533999999999999</v>
      </c>
      <c r="AB360">
        <f ca="1">IF(AND(ISNUMBER($AB$799),$B$419=1),$AB$799,HLOOKUP(INDIRECT(ADDRESS(2,COLUMN())),OFFSET($BN$2,0,0,ROW()-1,60),ROW()-1,FALSE))</f>
        <v>-5.1980000000000004</v>
      </c>
      <c r="AC360">
        <f ca="1">IF(AND(ISNUMBER($AC$799),$B$419=1),$AC$799,HLOOKUP(INDIRECT(ADDRESS(2,COLUMN())),OFFSET($BN$2,0,0,ROW()-1,60),ROW()-1,FALSE))</f>
        <v>49.411000000000001</v>
      </c>
      <c r="AD360">
        <f ca="1">IF(AND(ISNUMBER($AD$799),$B$419=1),$AD$799,HLOOKUP(INDIRECT(ADDRESS(2,COLUMN())),OFFSET($BN$2,0,0,ROW()-1,60),ROW()-1,FALSE))</f>
        <v>32.417999999999999</v>
      </c>
      <c r="AE360">
        <f ca="1">IF(AND(ISNUMBER($AE$799),$B$419=1),$AE$799,HLOOKUP(INDIRECT(ADDRESS(2,COLUMN())),OFFSET($BN$2,0,0,ROW()-1,60),ROW()-1,FALSE))</f>
        <v>-64.756</v>
      </c>
      <c r="AF360">
        <f ca="1">IF(AND(ISNUMBER($AF$799),$B$419=1),$AF$799,HLOOKUP(INDIRECT(ADDRESS(2,COLUMN())),OFFSET($BN$2,0,0,ROW()-1,60),ROW()-1,FALSE))</f>
        <v>18.948</v>
      </c>
      <c r="AG360">
        <f ca="1">IF(AND(ISNUMBER($AG$799),$B$419=1),$AG$799,HLOOKUP(INDIRECT(ADDRESS(2,COLUMN())),OFFSET($BN$2,0,0,ROW()-1,60),ROW()-1,FALSE))</f>
        <v>47.872</v>
      </c>
      <c r="AH360">
        <f ca="1">IF(AND(ISNUMBER($AH$799),$B$419=1),$AH$799,HLOOKUP(INDIRECT(ADDRESS(2,COLUMN())),OFFSET($BN$2,0,0,ROW()-1,60),ROW()-1,FALSE))</f>
        <v>-3.3719999999999999</v>
      </c>
      <c r="AI360">
        <f ca="1">IF(AND(ISNUMBER($AI$799),$B$419=1),$AI$799,HLOOKUP(INDIRECT(ADDRESS(2,COLUMN())),OFFSET($BN$2,0,0,ROW()-1,60),ROW()-1,FALSE))</f>
        <v>9.01</v>
      </c>
      <c r="AJ360">
        <f ca="1">IF(AND(ISNUMBER($AJ$799),$B$419=1),$AJ$799,HLOOKUP(INDIRECT(ADDRESS(2,COLUMN())),OFFSET($BN$2,0,0,ROW()-1,60),ROW()-1,FALSE))</f>
        <v>1.0649999999999999</v>
      </c>
      <c r="AK360">
        <f ca="1">IF(AND(ISNUMBER($AK$799),$B$419=1),$AK$799,HLOOKUP(INDIRECT(ADDRESS(2,COLUMN())),OFFSET($BN$2,0,0,ROW()-1,60),ROW()-1,FALSE))</f>
        <v>53.945</v>
      </c>
      <c r="AL360">
        <f ca="1">IF(AND(ISNUMBER($AL$799),$B$419=1),$AL$799,HLOOKUP(INDIRECT(ADDRESS(2,COLUMN())),OFFSET($BN$2,0,0,ROW()-1,60),ROW()-1,FALSE))</f>
        <v>46.487000000000002</v>
      </c>
      <c r="AM360">
        <f ca="1">IF(AND(ISNUMBER($AM$799),$B$419=1),$AM$799,HLOOKUP(INDIRECT(ADDRESS(2,COLUMN())),OFFSET($BN$2,0,0,ROW()-1,60),ROW()-1,FALSE))</f>
        <v>-6.133</v>
      </c>
      <c r="AN360">
        <f ca="1">IF(AND(ISNUMBER($AN$799),$B$419=1),$AN$799,HLOOKUP(INDIRECT(ADDRESS(2,COLUMN())),OFFSET($BN$2,0,0,ROW()-1,60),ROW()-1,FALSE))</f>
        <v>3.24</v>
      </c>
      <c r="AO360">
        <f ca="1">IF(AND(ISNUMBER($AO$799),$B$419=1),$AO$799,HLOOKUP(INDIRECT(ADDRESS(2,COLUMN())),OFFSET($BN$2,0,0,ROW()-1,60),ROW()-1,FALSE))</f>
        <v>32.642000000000003</v>
      </c>
      <c r="AP360">
        <f ca="1">IF(AND(ISNUMBER($AP$799),$B$419=1),$AP$799,HLOOKUP(INDIRECT(ADDRESS(2,COLUMN())),OFFSET($BN$2,0,0,ROW()-1,60),ROW()-1,FALSE))</f>
        <v>42.975000000000001</v>
      </c>
      <c r="AQ360">
        <f ca="1">IF(AND(ISNUMBER($AQ$799),$B$419=1),$AQ$799,HLOOKUP(INDIRECT(ADDRESS(2,COLUMN())),OFFSET($BN$2,0,0,ROW()-1,60),ROW()-1,FALSE))</f>
        <v>13.98</v>
      </c>
      <c r="AR360">
        <f ca="1">IF(AND(ISNUMBER($AR$799),$B$419=1),$AR$799,HLOOKUP(INDIRECT(ADDRESS(2,COLUMN())),OFFSET($BN$2,0,0,ROW()-1,60),ROW()-1,FALSE))</f>
        <v>-42.262</v>
      </c>
      <c r="AS360">
        <f ca="1">IF(AND(ISNUMBER($AS$799),$B$419=1),$AS$799,HLOOKUP(INDIRECT(ADDRESS(2,COLUMN())),OFFSET($BN$2,0,0,ROW()-1,60),ROW()-1,FALSE))</f>
        <v>2.766</v>
      </c>
      <c r="AT360">
        <f ca="1">IF(AND(ISNUMBER($AT$799),$B$419=1),$AT$799,HLOOKUP(INDIRECT(ADDRESS(2,COLUMN())),OFFSET($BN$2,0,0,ROW()-1,60),ROW()-1,FALSE))</f>
        <v>16.190000000000001</v>
      </c>
      <c r="AU360">
        <f ca="1">IF(AND(ISNUMBER($AU$799),$B$419=1),$AU$799,HLOOKUP(INDIRECT(ADDRESS(2,COLUMN())),OFFSET($BN$2,0,0,ROW()-1,60),ROW()-1,FALSE))</f>
        <v>4.1029999999999998</v>
      </c>
      <c r="AV360">
        <f ca="1">IF(AND(ISNUMBER($AV$799),$B$419=1),$AV$799,HLOOKUP(INDIRECT(ADDRESS(2,COLUMN())),OFFSET($BN$2,0,0,ROW()-1,60),ROW()-1,FALSE))</f>
        <v>12.646000000000001</v>
      </c>
      <c r="AW360">
        <f ca="1">IF(AND(ISNUMBER($AW$799),$B$419=1),$AW$799,HLOOKUP(INDIRECT(ADDRESS(2,COLUMN())),OFFSET($BN$2,0,0,ROW()-1,60),ROW()-1,FALSE))</f>
        <v>-9.8879999999999999</v>
      </c>
      <c r="AX360">
        <f ca="1">IF(AND(ISNUMBER($AX$799),$B$419=1),$AX$799,HLOOKUP(INDIRECT(ADDRESS(2,COLUMN())),OFFSET($BN$2,0,0,ROW()-1,60),ROW()-1,FALSE))</f>
        <v>0.50600000000000001</v>
      </c>
      <c r="AY360">
        <f ca="1">IF(AND(ISNUMBER($AY$799),$B$419=1),$AY$799,HLOOKUP(INDIRECT(ADDRESS(2,COLUMN())),OFFSET($BN$2,0,0,ROW()-1,60),ROW()-1,FALSE))</f>
        <v>-52.210999999999999</v>
      </c>
      <c r="AZ360">
        <f ca="1">IF(AND(ISNUMBER($AZ$799),$B$419=1),$AZ$799,HLOOKUP(INDIRECT(ADDRESS(2,COLUMN())),OFFSET($BN$2,0,0,ROW()-1,60),ROW()-1,FALSE))</f>
        <v>-159.50899999999999</v>
      </c>
      <c r="BA360">
        <f ca="1">IF(AND(ISNUMBER($BA$799),$B$419=1),$BA$799,HLOOKUP(INDIRECT(ADDRESS(2,COLUMN())),OFFSET($BN$2,0,0,ROW()-1,60),ROW()-1,FALSE))</f>
        <v>6.0810000000000004</v>
      </c>
      <c r="BB360">
        <f ca="1">IF(AND(ISNUMBER($BB$799),$B$419=1),$BB$799,HLOOKUP(INDIRECT(ADDRESS(2,COLUMN())),OFFSET($BN$2,0,0,ROW()-1,60),ROW()-1,FALSE))</f>
        <v>3.3769999999999998</v>
      </c>
      <c r="BC360">
        <f ca="1">IF(AND(ISNUMBER($BC$799),$B$419=1),$BC$799,HLOOKUP(INDIRECT(ADDRESS(2,COLUMN())),OFFSET($BN$2,0,0,ROW()-1,60),ROW()-1,FALSE))</f>
        <v>-56.01</v>
      </c>
      <c r="BD360">
        <f ca="1">IF(AND(ISNUMBER($BD$799),$B$419=1),$BD$799,HLOOKUP(INDIRECT(ADDRESS(2,COLUMN())),OFFSET($BN$2,0,0,ROW()-1,60),ROW()-1,FALSE))</f>
        <v>4.0229999999999997</v>
      </c>
      <c r="BE360">
        <f ca="1">IF(AND(ISNUMBER($BE$799),$B$419=1),$BE$799,HLOOKUP(INDIRECT(ADDRESS(2,COLUMN())),OFFSET($BN$2,0,0,ROW()-1,60),ROW()-1,FALSE))</f>
        <v>13.58</v>
      </c>
      <c r="BF360">
        <f ca="1">IF(AND(ISNUMBER($BF$799),$B$419=1),$BF$799,HLOOKUP(INDIRECT(ADDRESS(2,COLUMN())),OFFSET($BN$2,0,0,ROW()-1,60),ROW()-1,FALSE))</f>
        <v>-53.228999999999999</v>
      </c>
      <c r="BG360">
        <f ca="1">IF(AND(ISNUMBER($BG$799),$B$419=1),$BG$799,HLOOKUP(INDIRECT(ADDRESS(2,COLUMN())),OFFSET($BN$2,0,0,ROW()-1,60),ROW()-1,FALSE))</f>
        <v>7.9570021630000003</v>
      </c>
      <c r="BH360">
        <f ca="1">IF(AND(ISNUMBER($BH$799),$B$419=1),$BH$799,HLOOKUP(INDIRECT(ADDRESS(2,COLUMN())),OFFSET($BN$2,0,0,ROW()-1,60),ROW()-1,FALSE))</f>
        <v>-26.983000000000001</v>
      </c>
      <c r="BI360">
        <f ca="1">IF(AND(ISNUMBER($BI$799),$B$419=1),$BI$799,HLOOKUP(INDIRECT(ADDRESS(2,COLUMN())),OFFSET($BN$2,0,0,ROW()-1,60),ROW()-1,FALSE))</f>
        <v>11.03800011</v>
      </c>
      <c r="BJ360">
        <f ca="1">IF(AND(ISNUMBER($BJ$799),$B$419=1),$BJ$799,HLOOKUP(INDIRECT(ADDRESS(2,COLUMN())),OFFSET($BN$2,0,0,ROW()-1,60),ROW()-1,FALSE))</f>
        <v>-80.992999999999995</v>
      </c>
      <c r="BK360">
        <f ca="1">IF(AND(ISNUMBER($BK$799),$B$419=1),$BK$799,HLOOKUP(INDIRECT(ADDRESS(2,COLUMN())),OFFSET($BN$2,0,0,ROW()-1,60),ROW()-1,FALSE))</f>
        <v>-34.046999999999997</v>
      </c>
      <c r="BL360">
        <f ca="1">IF(AND(ISNUMBER($BL$799),$B$419=1),$BL$799,HLOOKUP(INDIRECT(ADDRESS(2,COLUMN())),OFFSET($BN$2,0,0,ROW()-1,60),ROW()-1,FALSE))</f>
        <v>-68.715000000000003</v>
      </c>
      <c r="BM360">
        <f ca="1">IF(AND(ISNUMBER($BM$799),$B$419=1),$BM$799,HLOOKUP(INDIRECT(ADDRESS(2,COLUMN())),OFFSET($BN$2,0,0,ROW()-1,60),ROW()-1,FALSE))</f>
        <v>-68.358000000000004</v>
      </c>
      <c r="BN360" t="str">
        <f>""</f>
        <v/>
      </c>
      <c r="BO360">
        <f>-10.856</f>
        <v>-10.856</v>
      </c>
      <c r="BP360">
        <f>-296.219</f>
        <v>-296.21899999999999</v>
      </c>
      <c r="BQ360">
        <f>-34.73</f>
        <v>-34.729999999999997</v>
      </c>
      <c r="BR360">
        <f>-154.606</f>
        <v>-154.60599999999999</v>
      </c>
      <c r="BS360">
        <f>-10.858</f>
        <v>-10.858000000000001</v>
      </c>
      <c r="BT360">
        <f>-53.827</f>
        <v>-53.826999999999998</v>
      </c>
      <c r="BU360">
        <f>0.974</f>
        <v>0.97399999999999998</v>
      </c>
      <c r="BV360">
        <f>-92.828</f>
        <v>-92.828000000000003</v>
      </c>
      <c r="BW360">
        <f>-12.05</f>
        <v>-12.05</v>
      </c>
      <c r="BX360">
        <f>15.971</f>
        <v>15.971</v>
      </c>
      <c r="BY360">
        <f>-71.14</f>
        <v>-71.14</v>
      </c>
      <c r="BZ360">
        <f>-9.792</f>
        <v>-9.7919999999999998</v>
      </c>
      <c r="CA360">
        <f>8.685</f>
        <v>8.6850000000000005</v>
      </c>
      <c r="CB360">
        <f>-25.372</f>
        <v>-25.372</v>
      </c>
      <c r="CC360">
        <f>-2.218</f>
        <v>-2.218</v>
      </c>
      <c r="CD360">
        <f>-5.077</f>
        <v>-5.077</v>
      </c>
      <c r="CE360">
        <f>-54.658</f>
        <v>-54.658000000000001</v>
      </c>
      <c r="CF360">
        <f>4.485</f>
        <v>4.4850000000000003</v>
      </c>
      <c r="CG360">
        <f>-43.067</f>
        <v>-43.067</v>
      </c>
      <c r="CH360">
        <f>24.866</f>
        <v>24.866</v>
      </c>
      <c r="CI360">
        <f>-41.534</f>
        <v>-41.533999999999999</v>
      </c>
      <c r="CJ360">
        <f>-5.198</f>
        <v>-5.1980000000000004</v>
      </c>
      <c r="CK360">
        <f>49.411</f>
        <v>49.411000000000001</v>
      </c>
      <c r="CL360">
        <f>32.418</f>
        <v>32.417999999999999</v>
      </c>
      <c r="CM360">
        <f>-64.756</f>
        <v>-64.756</v>
      </c>
      <c r="CN360">
        <f>18.948</f>
        <v>18.948</v>
      </c>
      <c r="CO360">
        <f>47.872</f>
        <v>47.872</v>
      </c>
      <c r="CP360">
        <f>-3.372</f>
        <v>-3.3719999999999999</v>
      </c>
      <c r="CQ360">
        <f>9.01</f>
        <v>9.01</v>
      </c>
      <c r="CR360">
        <f>1.065</f>
        <v>1.0649999999999999</v>
      </c>
      <c r="CS360">
        <f>53.945</f>
        <v>53.945</v>
      </c>
      <c r="CT360">
        <f>46.487</f>
        <v>46.487000000000002</v>
      </c>
      <c r="CU360">
        <f>-6.133</f>
        <v>-6.133</v>
      </c>
      <c r="CV360">
        <f>3.24</f>
        <v>3.24</v>
      </c>
      <c r="CW360">
        <f>32.642</f>
        <v>32.642000000000003</v>
      </c>
      <c r="CX360">
        <f>42.975</f>
        <v>42.975000000000001</v>
      </c>
      <c r="CY360">
        <f>13.98</f>
        <v>13.98</v>
      </c>
      <c r="CZ360">
        <f>-42.262</f>
        <v>-42.262</v>
      </c>
      <c r="DA360">
        <f>2.766</f>
        <v>2.766</v>
      </c>
      <c r="DB360">
        <f>16.19</f>
        <v>16.190000000000001</v>
      </c>
      <c r="DC360">
        <f>4.103</f>
        <v>4.1029999999999998</v>
      </c>
      <c r="DD360">
        <f>12.646</f>
        <v>12.646000000000001</v>
      </c>
      <c r="DE360">
        <f>-9.888</f>
        <v>-9.8879999999999999</v>
      </c>
      <c r="DF360">
        <f>0.506</f>
        <v>0.50600000000000001</v>
      </c>
      <c r="DG360">
        <f>-52.211</f>
        <v>-52.210999999999999</v>
      </c>
      <c r="DH360">
        <f>-159.509</f>
        <v>-159.50899999999999</v>
      </c>
      <c r="DI360">
        <f>6.081</f>
        <v>6.0810000000000004</v>
      </c>
      <c r="DJ360">
        <f>3.377</f>
        <v>3.3769999999999998</v>
      </c>
      <c r="DK360">
        <f>-56.01</f>
        <v>-56.01</v>
      </c>
      <c r="DL360">
        <f>4.023</f>
        <v>4.0229999999999997</v>
      </c>
      <c r="DM360">
        <f>13.58</f>
        <v>13.58</v>
      </c>
      <c r="DN360">
        <f>-53.229</f>
        <v>-53.228999999999999</v>
      </c>
      <c r="DO360">
        <f>7.957002163</f>
        <v>7.9570021630000003</v>
      </c>
      <c r="DP360">
        <f>-26.983</f>
        <v>-26.983000000000001</v>
      </c>
      <c r="DQ360">
        <f>11.03800011</f>
        <v>11.03800011</v>
      </c>
      <c r="DR360">
        <f>-80.993</f>
        <v>-80.992999999999995</v>
      </c>
      <c r="DS360">
        <f>-34.047</f>
        <v>-34.046999999999997</v>
      </c>
      <c r="DT360">
        <f>-68.715</f>
        <v>-68.715000000000003</v>
      </c>
      <c r="DU360">
        <f>-68.358</f>
        <v>-68.358000000000004</v>
      </c>
    </row>
    <row r="361" spans="1:125">
      <c r="A361" t="str">
        <f>"    Kimco Realty Corp"</f>
        <v xml:space="preserve">    Kimco Realty Corp</v>
      </c>
      <c r="B361" t="str">
        <f>"KIM US Equity"</f>
        <v>KIM US Equity</v>
      </c>
      <c r="C361" t="str">
        <f t="shared" si="66"/>
        <v>RR008</v>
      </c>
      <c r="D361" t="str">
        <f t="shared" si="67"/>
        <v>CF_FREE_CASH_FLOW</v>
      </c>
      <c r="E361" t="str">
        <f t="shared" si="68"/>
        <v>动态</v>
      </c>
      <c r="F361" t="str">
        <f ca="1">IF(AND(ISNUMBER($F$800),$B$419=1),$F$800,HLOOKUP(INDIRECT(ADDRESS(2,COLUMN())),OFFSET($BN$2,0,0,ROW()-1,60),ROW()-1,FALSE))</f>
        <v/>
      </c>
      <c r="G361">
        <f ca="1">IF(AND(ISNUMBER($G$800),$B$419=1),$G$800,HLOOKUP(INDIRECT(ADDRESS(2,COLUMN())),OFFSET($BN$2,0,0,ROW()-1,60),ROW()-1,FALSE))</f>
        <v>-31.446000000000002</v>
      </c>
      <c r="H361">
        <f ca="1">IF(AND(ISNUMBER($H$800),$B$419=1),$H$800,HLOOKUP(INDIRECT(ADDRESS(2,COLUMN())),OFFSET($BN$2,0,0,ROW()-1,60),ROW()-1,FALSE))</f>
        <v>63.64</v>
      </c>
      <c r="I361">
        <f ca="1">IF(AND(ISNUMBER($I$800),$B$419=1),$I$800,HLOOKUP(INDIRECT(ADDRESS(2,COLUMN())),OFFSET($BN$2,0,0,ROW()-1,60),ROW()-1,FALSE))</f>
        <v>26.359000000000002</v>
      </c>
      <c r="J361">
        <f ca="1">IF(AND(ISNUMBER($J$800),$B$419=1),$J$800,HLOOKUP(INDIRECT(ADDRESS(2,COLUMN())),OFFSET($BN$2,0,0,ROW()-1,60),ROW()-1,FALSE))</f>
        <v>34.051000000000002</v>
      </c>
      <c r="K361">
        <f ca="1">IF(AND(ISNUMBER($K$800),$B$419=1),$K$800,HLOOKUP(INDIRECT(ADDRESS(2,COLUMN())),OFFSET($BN$2,0,0,ROW()-1,60),ROW()-1,FALSE))</f>
        <v>53.805999999999997</v>
      </c>
      <c r="L361">
        <f ca="1">IF(AND(ISNUMBER($L$800),$B$419=1),$L$800,HLOOKUP(INDIRECT(ADDRESS(2,COLUMN())),OFFSET($BN$2,0,0,ROW()-1,60),ROW()-1,FALSE))</f>
        <v>138.36500000000001</v>
      </c>
      <c r="M361">
        <f ca="1">IF(AND(ISNUMBER($M$800),$B$419=1),$M$800,HLOOKUP(INDIRECT(ADDRESS(2,COLUMN())),OFFSET($BN$2,0,0,ROW()-1,60),ROW()-1,FALSE))</f>
        <v>-93.981999999999999</v>
      </c>
      <c r="N361">
        <f ca="1">IF(AND(ISNUMBER($N$800),$B$419=1),$N$800,HLOOKUP(INDIRECT(ADDRESS(2,COLUMN())),OFFSET($BN$2,0,0,ROW()-1,60),ROW()-1,FALSE))</f>
        <v>74.236000000000004</v>
      </c>
      <c r="O361">
        <f ca="1">IF(AND(ISNUMBER($O$800),$B$419=1),$O$800,HLOOKUP(INDIRECT(ADDRESS(2,COLUMN())),OFFSET($BN$2,0,0,ROW()-1,60),ROW()-1,FALSE))</f>
        <v>-141.63</v>
      </c>
      <c r="P361">
        <f ca="1">IF(AND(ISNUMBER($P$800),$B$419=1),$P$800,HLOOKUP(INDIRECT(ADDRESS(2,COLUMN())),OFFSET($BN$2,0,0,ROW()-1,60),ROW()-1,FALSE))</f>
        <v>188.88</v>
      </c>
      <c r="Q361">
        <f ca="1">IF(AND(ISNUMBER($Q$800),$B$419=1),$Q$800,HLOOKUP(INDIRECT(ADDRESS(2,COLUMN())),OFFSET($BN$2,0,0,ROW()-1,60),ROW()-1,FALSE))</f>
        <v>28.492999999999999</v>
      </c>
      <c r="R361">
        <f ca="1">IF(AND(ISNUMBER($R$800),$B$419=1),$R$800,HLOOKUP(INDIRECT(ADDRESS(2,COLUMN())),OFFSET($BN$2,0,0,ROW()-1,60),ROW()-1,FALSE))</f>
        <v>-406.28100000000001</v>
      </c>
      <c r="S361">
        <f ca="1">IF(AND(ISNUMBER($S$800),$B$419=1),$S$800,HLOOKUP(INDIRECT(ADDRESS(2,COLUMN())),OFFSET($BN$2,0,0,ROW()-1,60),ROW()-1,FALSE))</f>
        <v>12.101000000000001</v>
      </c>
      <c r="T361">
        <f ca="1">IF(AND(ISNUMBER($T$800),$B$419=1),$T$800,HLOOKUP(INDIRECT(ADDRESS(2,COLUMN())),OFFSET($BN$2,0,0,ROW()-1,60),ROW()-1,FALSE))</f>
        <v>120.556</v>
      </c>
      <c r="U361">
        <f ca="1">IF(AND(ISNUMBER($U$800),$B$419=1),$U$800,HLOOKUP(INDIRECT(ADDRESS(2,COLUMN())),OFFSET($BN$2,0,0,ROW()-1,60),ROW()-1,FALSE))</f>
        <v>-154.239</v>
      </c>
      <c r="V361">
        <f ca="1">IF(AND(ISNUMBER($V$800),$B$419=1),$V$800,HLOOKUP(INDIRECT(ADDRESS(2,COLUMN())),OFFSET($BN$2,0,0,ROW()-1,60),ROW()-1,FALSE))</f>
        <v>63.822000000000003</v>
      </c>
      <c r="W361">
        <f ca="1">IF(AND(ISNUMBER($W$800),$B$419=1),$W$800,HLOOKUP(INDIRECT(ADDRESS(2,COLUMN())),OFFSET($BN$2,0,0,ROW()-1,60),ROW()-1,FALSE))</f>
        <v>-164.58500000000001</v>
      </c>
      <c r="X361">
        <f ca="1">IF(AND(ISNUMBER($X$800),$B$419=1),$X$800,HLOOKUP(INDIRECT(ADDRESS(2,COLUMN())),OFFSET($BN$2,0,0,ROW()-1,60),ROW()-1,FALSE))</f>
        <v>201.72399999999999</v>
      </c>
      <c r="Y361">
        <f ca="1">IF(AND(ISNUMBER($Y$800),$B$419=1),$Y$800,HLOOKUP(INDIRECT(ADDRESS(2,COLUMN())),OFFSET($BN$2,0,0,ROW()-1,60),ROW()-1,FALSE))</f>
        <v>3.4940000000000002</v>
      </c>
      <c r="Z361">
        <f ca="1">IF(AND(ISNUMBER($Z$800),$B$419=1),$Z$800,HLOOKUP(INDIRECT(ADDRESS(2,COLUMN())),OFFSET($BN$2,0,0,ROW()-1,60),ROW()-1,FALSE))</f>
        <v>43.680999999999997</v>
      </c>
      <c r="AA361">
        <f ca="1">IF(AND(ISNUMBER($AA$800),$B$419=1),$AA$800,HLOOKUP(INDIRECT(ADDRESS(2,COLUMN())),OFFSET($BN$2,0,0,ROW()-1,60),ROW()-1,FALSE))</f>
        <v>-60.643000000000001</v>
      </c>
      <c r="AB361">
        <f ca="1">IF(AND(ISNUMBER($AB$800),$B$419=1),$AB$800,HLOOKUP(INDIRECT(ADDRESS(2,COLUMN())),OFFSET($BN$2,0,0,ROW()-1,60),ROW()-1,FALSE))</f>
        <v>38.563000000000002</v>
      </c>
      <c r="AC361">
        <f ca="1">IF(AND(ISNUMBER($AC$800),$B$419=1),$AC$800,HLOOKUP(INDIRECT(ADDRESS(2,COLUMN())),OFFSET($BN$2,0,0,ROW()-1,60),ROW()-1,FALSE))</f>
        <v>-71.546999999999997</v>
      </c>
      <c r="AD361">
        <f ca="1">IF(AND(ISNUMBER($AD$800),$B$419=1),$AD$800,HLOOKUP(INDIRECT(ADDRESS(2,COLUMN())),OFFSET($BN$2,0,0,ROW()-1,60),ROW()-1,FALSE))</f>
        <v>12.087</v>
      </c>
      <c r="AE361">
        <f ca="1">IF(AND(ISNUMBER($AE$800),$B$419=1),$AE$800,HLOOKUP(INDIRECT(ADDRESS(2,COLUMN())),OFFSET($BN$2,0,0,ROW()-1,60),ROW()-1,FALSE))</f>
        <v>-105.941</v>
      </c>
      <c r="AF361">
        <f ca="1">IF(AND(ISNUMBER($AF$800),$B$419=1),$AF$800,HLOOKUP(INDIRECT(ADDRESS(2,COLUMN())),OFFSET($BN$2,0,0,ROW()-1,60),ROW()-1,FALSE))</f>
        <v>50.331000000000003</v>
      </c>
      <c r="AG361">
        <f ca="1">IF(AND(ISNUMBER($AG$800),$B$419=1),$AG$800,HLOOKUP(INDIRECT(ADDRESS(2,COLUMN())),OFFSET($BN$2,0,0,ROW()-1,60),ROW()-1,FALSE))</f>
        <v>47.348999999999997</v>
      </c>
      <c r="AH361">
        <f ca="1">IF(AND(ISNUMBER($AH$800),$B$419=1),$AH$800,HLOOKUP(INDIRECT(ADDRESS(2,COLUMN())),OFFSET($BN$2,0,0,ROW()-1,60),ROW()-1,FALSE))</f>
        <v>68.721000000000004</v>
      </c>
      <c r="AI361">
        <f ca="1">IF(AND(ISNUMBER($AI$800),$B$419=1),$AI$800,HLOOKUP(INDIRECT(ADDRESS(2,COLUMN())),OFFSET($BN$2,0,0,ROW()-1,60),ROW()-1,FALSE))</f>
        <v>31.77</v>
      </c>
      <c r="AJ361">
        <f ca="1">IF(AND(ISNUMBER($AJ$800),$B$419=1),$AJ$800,HLOOKUP(INDIRECT(ADDRESS(2,COLUMN())),OFFSET($BN$2,0,0,ROW()-1,60),ROW()-1,FALSE))</f>
        <v>65.897999999999996</v>
      </c>
      <c r="AK361">
        <f ca="1">IF(AND(ISNUMBER($AK$800),$B$419=1),$AK$800,HLOOKUP(INDIRECT(ADDRESS(2,COLUMN())),OFFSET($BN$2,0,0,ROW()-1,60),ROW()-1,FALSE))</f>
        <v>43.509</v>
      </c>
      <c r="AL361">
        <f ca="1">IF(AND(ISNUMBER($AL$800),$B$419=1),$AL$800,HLOOKUP(INDIRECT(ADDRESS(2,COLUMN())),OFFSET($BN$2,0,0,ROW()-1,60),ROW()-1,FALSE))</f>
        <v>101.773</v>
      </c>
      <c r="AM361">
        <f ca="1">IF(AND(ISNUMBER($AM$800),$B$419=1),$AM$800,HLOOKUP(INDIRECT(ADDRESS(2,COLUMN())),OFFSET($BN$2,0,0,ROW()-1,60),ROW()-1,FALSE))</f>
        <v>-247.11500000000001</v>
      </c>
      <c r="AN361">
        <f ca="1">IF(AND(ISNUMBER($AN$800),$B$419=1),$AN$800,HLOOKUP(INDIRECT(ADDRESS(2,COLUMN())),OFFSET($BN$2,0,0,ROW()-1,60),ROW()-1,FALSE))</f>
        <v>58.13</v>
      </c>
      <c r="AO361">
        <f ca="1">IF(AND(ISNUMBER($AO$800),$B$419=1),$AO$800,HLOOKUP(INDIRECT(ADDRESS(2,COLUMN())),OFFSET($BN$2,0,0,ROW()-1,60),ROW()-1,FALSE))</f>
        <v>19.905000000000001</v>
      </c>
      <c r="AP361">
        <f ca="1">IF(AND(ISNUMBER($AP$800),$B$419=1),$AP$800,HLOOKUP(INDIRECT(ADDRESS(2,COLUMN())),OFFSET($BN$2,0,0,ROW()-1,60),ROW()-1,FALSE))</f>
        <v>42.430999999999997</v>
      </c>
      <c r="AQ361">
        <f ca="1">IF(AND(ISNUMBER($AQ$800),$B$419=1),$AQ$800,HLOOKUP(INDIRECT(ADDRESS(2,COLUMN())),OFFSET($BN$2,0,0,ROW()-1,60),ROW()-1,FALSE))</f>
        <v>-6.149</v>
      </c>
      <c r="AR361">
        <f ca="1">IF(AND(ISNUMBER($AR$800),$B$419=1),$AR$800,HLOOKUP(INDIRECT(ADDRESS(2,COLUMN())),OFFSET($BN$2,0,0,ROW()-1,60),ROW()-1,FALSE))</f>
        <v>35.636000000000003</v>
      </c>
      <c r="AS361">
        <f ca="1">IF(AND(ISNUMBER($AS$800),$B$419=1),$AS$800,HLOOKUP(INDIRECT(ADDRESS(2,COLUMN())),OFFSET($BN$2,0,0,ROW()-1,60),ROW()-1,FALSE))</f>
        <v>-88.441000000000003</v>
      </c>
      <c r="AT361">
        <f ca="1">IF(AND(ISNUMBER($AT$800),$B$419=1),$AT$800,HLOOKUP(INDIRECT(ADDRESS(2,COLUMN())),OFFSET($BN$2,0,0,ROW()-1,60),ROW()-1,FALSE))</f>
        <v>-39.624000000000002</v>
      </c>
      <c r="AU361">
        <f ca="1">IF(AND(ISNUMBER($AU$800),$B$419=1),$AU$800,HLOOKUP(INDIRECT(ADDRESS(2,COLUMN())),OFFSET($BN$2,0,0,ROW()-1,60),ROW()-1,FALSE))</f>
        <v>5.3879999999999999</v>
      </c>
      <c r="AV361">
        <f ca="1">IF(AND(ISNUMBER($AV$800),$B$419=1),$AV$800,HLOOKUP(INDIRECT(ADDRESS(2,COLUMN())),OFFSET($BN$2,0,0,ROW()-1,60),ROW()-1,FALSE))</f>
        <v>-315.83199999999999</v>
      </c>
      <c r="AW361">
        <f ca="1">IF(AND(ISNUMBER($AW$800),$B$419=1),$AW$800,HLOOKUP(INDIRECT(ADDRESS(2,COLUMN())),OFFSET($BN$2,0,0,ROW()-1,60),ROW()-1,FALSE))</f>
        <v>-559.37199999999996</v>
      </c>
      <c r="AX361">
        <f ca="1">IF(AND(ISNUMBER($AX$800),$B$419=1),$AX$800,HLOOKUP(INDIRECT(ADDRESS(2,COLUMN())),OFFSET($BN$2,0,0,ROW()-1,60),ROW()-1,FALSE))</f>
        <v>-182.33099999999999</v>
      </c>
      <c r="AY361">
        <f ca="1">IF(AND(ISNUMBER($AY$800),$B$419=1),$AY$800,HLOOKUP(INDIRECT(ADDRESS(2,COLUMN())),OFFSET($BN$2,0,0,ROW()-1,60),ROW()-1,FALSE))</f>
        <v>5.1379999999999999</v>
      </c>
      <c r="AZ361">
        <f ca="1">IF(AND(ISNUMBER($AZ$800),$B$419=1),$AZ$800,HLOOKUP(INDIRECT(ADDRESS(2,COLUMN())),OFFSET($BN$2,0,0,ROW()-1,60),ROW()-1,FALSE))</f>
        <v>-183.86</v>
      </c>
      <c r="BA361">
        <f ca="1">IF(AND(ISNUMBER($BA$800),$B$419=1),$BA$800,HLOOKUP(INDIRECT(ADDRESS(2,COLUMN())),OFFSET($BN$2,0,0,ROW()-1,60),ROW()-1,FALSE))</f>
        <v>-124.607</v>
      </c>
      <c r="BB361">
        <f ca="1">IF(AND(ISNUMBER($BB$800),$B$419=1),$BB$800,HLOOKUP(INDIRECT(ADDRESS(2,COLUMN())),OFFSET($BN$2,0,0,ROW()-1,60),ROW()-1,FALSE))</f>
        <v>-407.18599999999998</v>
      </c>
      <c r="BC361">
        <f ca="1">IF(AND(ISNUMBER($BC$800),$B$419=1),$BC$800,HLOOKUP(INDIRECT(ADDRESS(2,COLUMN())),OFFSET($BN$2,0,0,ROW()-1,60),ROW()-1,FALSE))</f>
        <v>-150.648</v>
      </c>
      <c r="BD361">
        <f ca="1">IF(AND(ISNUMBER($BD$800),$B$419=1),$BD$800,HLOOKUP(INDIRECT(ADDRESS(2,COLUMN())),OFFSET($BN$2,0,0,ROW()-1,60),ROW()-1,FALSE))</f>
        <v>-164.32599999999999</v>
      </c>
      <c r="BE361">
        <f ca="1">IF(AND(ISNUMBER($BE$800),$B$419=1),$BE$800,HLOOKUP(INDIRECT(ADDRESS(2,COLUMN())),OFFSET($BN$2,0,0,ROW()-1,60),ROW()-1,FALSE))</f>
        <v>-139.399</v>
      </c>
      <c r="BF361">
        <f ca="1">IF(AND(ISNUMBER($BF$800),$B$419=1),$BF$800,HLOOKUP(INDIRECT(ADDRESS(2,COLUMN())),OFFSET($BN$2,0,0,ROW()-1,60),ROW()-1,FALSE))</f>
        <v>-19.065999999999999</v>
      </c>
      <c r="BG361">
        <f ca="1">IF(AND(ISNUMBER($BG$800),$B$419=1),$BG$800,HLOOKUP(INDIRECT(ADDRESS(2,COLUMN())),OFFSET($BN$2,0,0,ROW()-1,60),ROW()-1,FALSE))</f>
        <v>-119.693</v>
      </c>
      <c r="BH361">
        <f ca="1">IF(AND(ISNUMBER($BH$800),$B$419=1),$BH$800,HLOOKUP(INDIRECT(ADDRESS(2,COLUMN())),OFFSET($BN$2,0,0,ROW()-1,60),ROW()-1,FALSE))</f>
        <v>-7.62</v>
      </c>
      <c r="BI361">
        <f ca="1">IF(AND(ISNUMBER($BI$800),$B$419=1),$BI$800,HLOOKUP(INDIRECT(ADDRESS(2,COLUMN())),OFFSET($BN$2,0,0,ROW()-1,60),ROW()-1,FALSE))</f>
        <v>-16.494</v>
      </c>
      <c r="BJ361">
        <f ca="1">IF(AND(ISNUMBER($BJ$800),$B$419=1),$BJ$800,HLOOKUP(INDIRECT(ADDRESS(2,COLUMN())),OFFSET($BN$2,0,0,ROW()-1,60),ROW()-1,FALSE))</f>
        <v>-19.132000000000001</v>
      </c>
      <c r="BK361">
        <f ca="1">IF(AND(ISNUMBER($BK$800),$B$419=1),$BK$800,HLOOKUP(INDIRECT(ADDRESS(2,COLUMN())),OFFSET($BN$2,0,0,ROW()-1,60),ROW()-1,FALSE))</f>
        <v>-596.29499999999996</v>
      </c>
      <c r="BL361">
        <f ca="1">IF(AND(ISNUMBER($BL$800),$B$419=1),$BL$800,HLOOKUP(INDIRECT(ADDRESS(2,COLUMN())),OFFSET($BN$2,0,0,ROW()-1,60),ROW()-1,FALSE))</f>
        <v>-35.869995119999999</v>
      </c>
      <c r="BM361">
        <f ca="1">IF(AND(ISNUMBER($BM$800),$B$419=1),$BM$800,HLOOKUP(INDIRECT(ADDRESS(2,COLUMN())),OFFSET($BN$2,0,0,ROW()-1,60),ROW()-1,FALSE))</f>
        <v>-153.37899999999999</v>
      </c>
      <c r="BN361" t="str">
        <f>""</f>
        <v/>
      </c>
      <c r="BO361">
        <f>-31.446</f>
        <v>-31.446000000000002</v>
      </c>
      <c r="BP361">
        <f>63.64</f>
        <v>63.64</v>
      </c>
      <c r="BQ361">
        <f>26.359</f>
        <v>26.359000000000002</v>
      </c>
      <c r="BR361">
        <f>34.051</f>
        <v>34.051000000000002</v>
      </c>
      <c r="BS361">
        <f>53.806</f>
        <v>53.805999999999997</v>
      </c>
      <c r="BT361">
        <f>138.365</f>
        <v>138.36500000000001</v>
      </c>
      <c r="BU361">
        <f>-93.982</f>
        <v>-93.981999999999999</v>
      </c>
      <c r="BV361">
        <f>74.236</f>
        <v>74.236000000000004</v>
      </c>
      <c r="BW361">
        <f>-141.63</f>
        <v>-141.63</v>
      </c>
      <c r="BX361">
        <f>188.88</f>
        <v>188.88</v>
      </c>
      <c r="BY361">
        <f>28.493</f>
        <v>28.492999999999999</v>
      </c>
      <c r="BZ361">
        <f>-406.281</f>
        <v>-406.28100000000001</v>
      </c>
      <c r="CA361">
        <f>12.101</f>
        <v>12.101000000000001</v>
      </c>
      <c r="CB361">
        <f>120.556</f>
        <v>120.556</v>
      </c>
      <c r="CC361">
        <f>-154.239</f>
        <v>-154.239</v>
      </c>
      <c r="CD361">
        <f>63.822</f>
        <v>63.822000000000003</v>
      </c>
      <c r="CE361">
        <f>-164.585</f>
        <v>-164.58500000000001</v>
      </c>
      <c r="CF361">
        <f>201.724</f>
        <v>201.72399999999999</v>
      </c>
      <c r="CG361">
        <f>3.494</f>
        <v>3.4940000000000002</v>
      </c>
      <c r="CH361">
        <f>43.681</f>
        <v>43.680999999999997</v>
      </c>
      <c r="CI361">
        <f>-60.643</f>
        <v>-60.643000000000001</v>
      </c>
      <c r="CJ361">
        <f>38.563</f>
        <v>38.563000000000002</v>
      </c>
      <c r="CK361">
        <f>-71.547</f>
        <v>-71.546999999999997</v>
      </c>
      <c r="CL361">
        <f>12.087</f>
        <v>12.087</v>
      </c>
      <c r="CM361">
        <f>-105.941</f>
        <v>-105.941</v>
      </c>
      <c r="CN361">
        <f>50.331</f>
        <v>50.331000000000003</v>
      </c>
      <c r="CO361">
        <f>47.349</f>
        <v>47.348999999999997</v>
      </c>
      <c r="CP361">
        <f>68.721</f>
        <v>68.721000000000004</v>
      </c>
      <c r="CQ361">
        <f>31.77</f>
        <v>31.77</v>
      </c>
      <c r="CR361">
        <f>65.898</f>
        <v>65.897999999999996</v>
      </c>
      <c r="CS361">
        <f>43.509</f>
        <v>43.509</v>
      </c>
      <c r="CT361">
        <f>101.773</f>
        <v>101.773</v>
      </c>
      <c r="CU361">
        <f>-247.115</f>
        <v>-247.11500000000001</v>
      </c>
      <c r="CV361">
        <f>58.13</f>
        <v>58.13</v>
      </c>
      <c r="CW361">
        <f>19.905</f>
        <v>19.905000000000001</v>
      </c>
      <c r="CX361">
        <f>42.431</f>
        <v>42.430999999999997</v>
      </c>
      <c r="CY361">
        <f>-6.149</f>
        <v>-6.149</v>
      </c>
      <c r="CZ361">
        <f>35.636</f>
        <v>35.636000000000003</v>
      </c>
      <c r="DA361">
        <f>-88.441</f>
        <v>-88.441000000000003</v>
      </c>
      <c r="DB361">
        <f>-39.624</f>
        <v>-39.624000000000002</v>
      </c>
      <c r="DC361">
        <f>5.388</f>
        <v>5.3879999999999999</v>
      </c>
      <c r="DD361">
        <f>-315.832</f>
        <v>-315.83199999999999</v>
      </c>
      <c r="DE361">
        <f>-559.372</f>
        <v>-559.37199999999996</v>
      </c>
      <c r="DF361">
        <f>-182.331</f>
        <v>-182.33099999999999</v>
      </c>
      <c r="DG361">
        <f>5.138</f>
        <v>5.1379999999999999</v>
      </c>
      <c r="DH361">
        <f>-183.86</f>
        <v>-183.86</v>
      </c>
      <c r="DI361">
        <f>-124.607</f>
        <v>-124.607</v>
      </c>
      <c r="DJ361">
        <f>-407.186</f>
        <v>-407.18599999999998</v>
      </c>
      <c r="DK361">
        <f>-150.648</f>
        <v>-150.648</v>
      </c>
      <c r="DL361">
        <f>-164.326</f>
        <v>-164.32599999999999</v>
      </c>
      <c r="DM361">
        <f>-139.399</f>
        <v>-139.399</v>
      </c>
      <c r="DN361">
        <f>-19.066</f>
        <v>-19.065999999999999</v>
      </c>
      <c r="DO361">
        <f>-119.693</f>
        <v>-119.693</v>
      </c>
      <c r="DP361">
        <f>-7.62</f>
        <v>-7.62</v>
      </c>
      <c r="DQ361">
        <f>-16.494</f>
        <v>-16.494</v>
      </c>
      <c r="DR361">
        <f>-19.132</f>
        <v>-19.132000000000001</v>
      </c>
      <c r="DS361">
        <f>-596.295</f>
        <v>-596.29499999999996</v>
      </c>
      <c r="DT361">
        <f>-35.86999512</f>
        <v>-35.869995119999999</v>
      </c>
      <c r="DU361">
        <f>-153.379</f>
        <v>-153.37899999999999</v>
      </c>
    </row>
    <row r="362" spans="1:125">
      <c r="A362" t="str">
        <f>"    National Retail Properties Inc"</f>
        <v xml:space="preserve">    National Retail Properties Inc</v>
      </c>
      <c r="B362" t="str">
        <f>"NNN US Equity"</f>
        <v>NNN US Equity</v>
      </c>
      <c r="C362" t="str">
        <f t="shared" si="66"/>
        <v>RR008</v>
      </c>
      <c r="D362" t="str">
        <f t="shared" si="67"/>
        <v>CF_FREE_CASH_FLOW</v>
      </c>
      <c r="E362" t="str">
        <f t="shared" si="68"/>
        <v>动态</v>
      </c>
      <c r="F362" t="str">
        <f ca="1">IF(AND(ISNUMBER($F$801),$B$419=1),$F$801,HLOOKUP(INDIRECT(ADDRESS(2,COLUMN())),OFFSET($BN$2,0,0,ROW()-1,60),ROW()-1,FALSE))</f>
        <v/>
      </c>
      <c r="G362">
        <f ca="1">IF(AND(ISNUMBER($G$801),$B$419=1),$G$801,HLOOKUP(INDIRECT(ADDRESS(2,COLUMN())),OFFSET($BN$2,0,0,ROW()-1,60),ROW()-1,FALSE))</f>
        <v>-159.155</v>
      </c>
      <c r="H362">
        <f ca="1">IF(AND(ISNUMBER($H$801),$B$419=1),$H$801,HLOOKUP(INDIRECT(ADDRESS(2,COLUMN())),OFFSET($BN$2,0,0,ROW()-1,60),ROW()-1,FALSE))</f>
        <v>42.710999999999999</v>
      </c>
      <c r="I362">
        <f ca="1">IF(AND(ISNUMBER($I$801),$B$419=1),$I$801,HLOOKUP(INDIRECT(ADDRESS(2,COLUMN())),OFFSET($BN$2,0,0,ROW()-1,60),ROW()-1,FALSE))</f>
        <v>-203.02600000000001</v>
      </c>
      <c r="J362">
        <f ca="1">IF(AND(ISNUMBER($J$801),$B$419=1),$J$801,HLOOKUP(INDIRECT(ADDRESS(2,COLUMN())),OFFSET($BN$2,0,0,ROW()-1,60),ROW()-1,FALSE))</f>
        <v>19.134</v>
      </c>
      <c r="K362">
        <f ca="1">IF(AND(ISNUMBER($K$801),$B$419=1),$K$801,HLOOKUP(INDIRECT(ADDRESS(2,COLUMN())),OFFSET($BN$2,0,0,ROW()-1,60),ROW()-1,FALSE))</f>
        <v>-147.232</v>
      </c>
      <c r="L362">
        <f ca="1">IF(AND(ISNUMBER($L$801),$B$419=1),$L$801,HLOOKUP(INDIRECT(ADDRESS(2,COLUMN())),OFFSET($BN$2,0,0,ROW()-1,60),ROW()-1,FALSE))</f>
        <v>-25.472000000000001</v>
      </c>
      <c r="M362">
        <f ca="1">IF(AND(ISNUMBER($M$801),$B$419=1),$M$801,HLOOKUP(INDIRECT(ADDRESS(2,COLUMN())),OFFSET($BN$2,0,0,ROW()-1,60),ROW()-1,FALSE))</f>
        <v>-273.77100000000002</v>
      </c>
      <c r="N362">
        <f ca="1">IF(AND(ISNUMBER($N$801),$B$419=1),$N$801,HLOOKUP(INDIRECT(ADDRESS(2,COLUMN())),OFFSET($BN$2,0,0,ROW()-1,60),ROW()-1,FALSE))</f>
        <v>-24.154</v>
      </c>
      <c r="O362">
        <f ca="1">IF(AND(ISNUMBER($O$801),$B$419=1),$O$801,HLOOKUP(INDIRECT(ADDRESS(2,COLUMN())),OFFSET($BN$2,0,0,ROW()-1,60),ROW()-1,FALSE))</f>
        <v>-92.311999999999998</v>
      </c>
      <c r="P362">
        <f ca="1">IF(AND(ISNUMBER($P$801),$B$419=1),$P$801,HLOOKUP(INDIRECT(ADDRESS(2,COLUMN())),OFFSET($BN$2,0,0,ROW()-1,60),ROW()-1,FALSE))</f>
        <v>-133.053</v>
      </c>
      <c r="Q362">
        <f ca="1">IF(AND(ISNUMBER($Q$801),$B$419=1),$Q$801,HLOOKUP(INDIRECT(ADDRESS(2,COLUMN())),OFFSET($BN$2,0,0,ROW()-1,60),ROW()-1,FALSE))</f>
        <v>-62.601999999999997</v>
      </c>
      <c r="R362">
        <f ca="1">IF(AND(ISNUMBER($R$801),$B$419=1),$R$801,HLOOKUP(INDIRECT(ADDRESS(2,COLUMN())),OFFSET($BN$2,0,0,ROW()-1,60),ROW()-1,FALSE))</f>
        <v>-54.180999999999997</v>
      </c>
      <c r="S362">
        <f ca="1">IF(AND(ISNUMBER($S$801),$B$419=1),$S$801,HLOOKUP(INDIRECT(ADDRESS(2,COLUMN())),OFFSET($BN$2,0,0,ROW()-1,60),ROW()-1,FALSE))</f>
        <v>-12.429</v>
      </c>
      <c r="T362">
        <f ca="1">IF(AND(ISNUMBER($T$801),$B$419=1),$T$801,HLOOKUP(INDIRECT(ADDRESS(2,COLUMN())),OFFSET($BN$2,0,0,ROW()-1,60),ROW()-1,FALSE))</f>
        <v>-244.24700000000001</v>
      </c>
      <c r="U362">
        <f ca="1">IF(AND(ISNUMBER($U$801),$B$419=1),$U$801,HLOOKUP(INDIRECT(ADDRESS(2,COLUMN())),OFFSET($BN$2,0,0,ROW()-1,60),ROW()-1,FALSE))</f>
        <v>-38.088999999999999</v>
      </c>
      <c r="V362">
        <f ca="1">IF(AND(ISNUMBER($V$801),$B$419=1),$V$801,HLOOKUP(INDIRECT(ADDRESS(2,COLUMN())),OFFSET($BN$2,0,0,ROW()-1,60),ROW()-1,FALSE))</f>
        <v>-10.050000000000001</v>
      </c>
      <c r="W362">
        <f ca="1">IF(AND(ISNUMBER($W$801),$B$419=1),$W$801,HLOOKUP(INDIRECT(ADDRESS(2,COLUMN())),OFFSET($BN$2,0,0,ROW()-1,60),ROW()-1,FALSE))</f>
        <v>-5.306</v>
      </c>
      <c r="X362">
        <f ca="1">IF(AND(ISNUMBER($X$801),$B$419=1),$X$801,HLOOKUP(INDIRECT(ADDRESS(2,COLUMN())),OFFSET($BN$2,0,0,ROW()-1,60),ROW()-1,FALSE))</f>
        <v>6.35</v>
      </c>
      <c r="Y362">
        <f ca="1">IF(AND(ISNUMBER($Y$801),$B$419=1),$Y$801,HLOOKUP(INDIRECT(ADDRESS(2,COLUMN())),OFFSET($BN$2,0,0,ROW()-1,60),ROW()-1,FALSE))</f>
        <v>-381.43200000000002</v>
      </c>
      <c r="Z362">
        <f ca="1">IF(AND(ISNUMBER($Z$801),$B$419=1),$Z$801,HLOOKUP(INDIRECT(ADDRESS(2,COLUMN())),OFFSET($BN$2,0,0,ROW()-1,60),ROW()-1,FALSE))</f>
        <v>17.391999999999999</v>
      </c>
      <c r="AA362">
        <f ca="1">IF(AND(ISNUMBER($AA$801),$B$419=1),$AA$801,HLOOKUP(INDIRECT(ADDRESS(2,COLUMN())),OFFSET($BN$2,0,0,ROW()-1,60),ROW()-1,FALSE))</f>
        <v>-213.24100000000001</v>
      </c>
      <c r="AB362">
        <f ca="1">IF(AND(ISNUMBER($AB$801),$B$419=1),$AB$801,HLOOKUP(INDIRECT(ADDRESS(2,COLUMN())),OFFSET($BN$2,0,0,ROW()-1,60),ROW()-1,FALSE))</f>
        <v>-54.713999999999999</v>
      </c>
      <c r="AC362">
        <f ca="1">IF(AND(ISNUMBER($AC$801),$B$419=1),$AC$801,HLOOKUP(INDIRECT(ADDRESS(2,COLUMN())),OFFSET($BN$2,0,0,ROW()-1,60),ROW()-1,FALSE))</f>
        <v>-47.41</v>
      </c>
      <c r="AD362">
        <f ca="1">IF(AND(ISNUMBER($AD$801),$B$419=1),$AD$801,HLOOKUP(INDIRECT(ADDRESS(2,COLUMN())),OFFSET($BN$2,0,0,ROW()-1,60),ROW()-1,FALSE))</f>
        <v>-141.14500000000001</v>
      </c>
      <c r="AE362">
        <f ca="1">IF(AND(ISNUMBER($AE$801),$B$419=1),$AE$801,HLOOKUP(INDIRECT(ADDRESS(2,COLUMN())),OFFSET($BN$2,0,0,ROW()-1,60),ROW()-1,FALSE))</f>
        <v>-278.3</v>
      </c>
      <c r="AF362">
        <f ca="1">IF(AND(ISNUMBER($AF$801),$B$419=1),$AF$801,HLOOKUP(INDIRECT(ADDRESS(2,COLUMN())),OFFSET($BN$2,0,0,ROW()-1,60),ROW()-1,FALSE))</f>
        <v>-261.57299999999998</v>
      </c>
      <c r="AG362">
        <f ca="1">IF(AND(ISNUMBER($AG$801),$B$419=1),$AG$801,HLOOKUP(INDIRECT(ADDRESS(2,COLUMN())),OFFSET($BN$2,0,0,ROW()-1,60),ROW()-1,FALSE))</f>
        <v>-25.167999999999999</v>
      </c>
      <c r="AH362">
        <f ca="1">IF(AND(ISNUMBER($AH$801),$B$419=1),$AH$801,HLOOKUP(INDIRECT(ADDRESS(2,COLUMN())),OFFSET($BN$2,0,0,ROW()-1,60),ROW()-1,FALSE))</f>
        <v>-10.393000000000001</v>
      </c>
      <c r="AI362">
        <f ca="1">IF(AND(ISNUMBER($AI$801),$B$419=1),$AI$801,HLOOKUP(INDIRECT(ADDRESS(2,COLUMN())),OFFSET($BN$2,0,0,ROW()-1,60),ROW()-1,FALSE))</f>
        <v>-98.38</v>
      </c>
      <c r="AJ362">
        <f ca="1">IF(AND(ISNUMBER($AJ$801),$B$419=1),$AJ$801,HLOOKUP(INDIRECT(ADDRESS(2,COLUMN())),OFFSET($BN$2,0,0,ROW()-1,60),ROW()-1,FALSE))</f>
        <v>10.863</v>
      </c>
      <c r="AK362">
        <f ca="1">IF(AND(ISNUMBER($AK$801),$B$419=1),$AK$801,HLOOKUP(INDIRECT(ADDRESS(2,COLUMN())),OFFSET($BN$2,0,0,ROW()-1,60),ROW()-1,FALSE))</f>
        <v>4.548</v>
      </c>
      <c r="AL362">
        <f ca="1">IF(AND(ISNUMBER($AL$801),$B$419=1),$AL$801,HLOOKUP(INDIRECT(ADDRESS(2,COLUMN())),OFFSET($BN$2,0,0,ROW()-1,60),ROW()-1,FALSE))</f>
        <v>39.954999999999998</v>
      </c>
      <c r="AM362">
        <f ca="1">IF(AND(ISNUMBER($AM$801),$B$419=1),$AM$801,HLOOKUP(INDIRECT(ADDRESS(2,COLUMN())),OFFSET($BN$2,0,0,ROW()-1,60),ROW()-1,FALSE))</f>
        <v>19.631</v>
      </c>
      <c r="AN362">
        <f ca="1">IF(AND(ISNUMBER($AN$801),$B$419=1),$AN$801,HLOOKUP(INDIRECT(ADDRESS(2,COLUMN())),OFFSET($BN$2,0,0,ROW()-1,60),ROW()-1,FALSE))</f>
        <v>44.005000000000003</v>
      </c>
      <c r="AO362">
        <f ca="1">IF(AND(ISNUMBER($AO$801),$B$419=1),$AO$801,HLOOKUP(INDIRECT(ADDRESS(2,COLUMN())),OFFSET($BN$2,0,0,ROW()-1,60),ROW()-1,FALSE))</f>
        <v>12.353</v>
      </c>
      <c r="AP362">
        <f ca="1">IF(AND(ISNUMBER($AP$801),$B$419=1),$AP$801,HLOOKUP(INDIRECT(ADDRESS(2,COLUMN())),OFFSET($BN$2,0,0,ROW()-1,60),ROW()-1,FALSE))</f>
        <v>34.438000000000002</v>
      </c>
      <c r="AQ362">
        <f ca="1">IF(AND(ISNUMBER($AQ$801),$B$419=1),$AQ$801,HLOOKUP(INDIRECT(ADDRESS(2,COLUMN())),OFFSET($BN$2,0,0,ROW()-1,60),ROW()-1,FALSE))</f>
        <v>-7.5369999999999999</v>
      </c>
      <c r="AR362">
        <f ca="1">IF(AND(ISNUMBER($AR$801),$B$419=1),$AR$801,HLOOKUP(INDIRECT(ADDRESS(2,COLUMN())),OFFSET($BN$2,0,0,ROW()-1,60),ROW()-1,FALSE))</f>
        <v>37.252000000000002</v>
      </c>
      <c r="AS362">
        <f ca="1">IF(AND(ISNUMBER($AS$801),$B$419=1),$AS$801,HLOOKUP(INDIRECT(ADDRESS(2,COLUMN())),OFFSET($BN$2,0,0,ROW()-1,60),ROW()-1,FALSE))</f>
        <v>-50.296999999999997</v>
      </c>
      <c r="AT362">
        <f ca="1">IF(AND(ISNUMBER($AT$801),$B$419=1),$AT$801,HLOOKUP(INDIRECT(ADDRESS(2,COLUMN())),OFFSET($BN$2,0,0,ROW()-1,60),ROW()-1,FALSE))</f>
        <v>-94.576999999999998</v>
      </c>
      <c r="AU362">
        <f ca="1">IF(AND(ISNUMBER($AU$801),$B$419=1),$AU$801,HLOOKUP(INDIRECT(ADDRESS(2,COLUMN())),OFFSET($BN$2,0,0,ROW()-1,60),ROW()-1,FALSE))</f>
        <v>-62.771000000000001</v>
      </c>
      <c r="AV362">
        <f ca="1">IF(AND(ISNUMBER($AV$801),$B$419=1),$AV$801,HLOOKUP(INDIRECT(ADDRESS(2,COLUMN())),OFFSET($BN$2,0,0,ROW()-1,60),ROW()-1,FALSE))</f>
        <v>-216.70099999999999</v>
      </c>
      <c r="AW362">
        <f ca="1">IF(AND(ISNUMBER($AW$801),$B$419=1),$AW$801,HLOOKUP(INDIRECT(ADDRESS(2,COLUMN())),OFFSET($BN$2,0,0,ROW()-1,60),ROW()-1,FALSE))</f>
        <v>-274.54200359999999</v>
      </c>
      <c r="AX362">
        <f ca="1">IF(AND(ISNUMBER($AX$801),$B$419=1),$AX$801,HLOOKUP(INDIRECT(ADDRESS(2,COLUMN())),OFFSET($BN$2,0,0,ROW()-1,60),ROW()-1,FALSE))</f>
        <v>6.5469999999999997</v>
      </c>
      <c r="AY362">
        <f ca="1">IF(AND(ISNUMBER($AY$801),$B$419=1),$AY$801,HLOOKUP(INDIRECT(ADDRESS(2,COLUMN())),OFFSET($BN$2,0,0,ROW()-1,60),ROW()-1,FALSE))</f>
        <v>-99.569002029999993</v>
      </c>
      <c r="AZ362">
        <f ca="1">IF(AND(ISNUMBER($AZ$801),$B$419=1),$AZ$801,HLOOKUP(INDIRECT(ADDRESS(2,COLUMN())),OFFSET($BN$2,0,0,ROW()-1,60),ROW()-1,FALSE))</f>
        <v>-106.285</v>
      </c>
      <c r="BA362">
        <f ca="1">IF(AND(ISNUMBER($BA$801),$B$419=1),$BA$801,HLOOKUP(INDIRECT(ADDRESS(2,COLUMN())),OFFSET($BN$2,0,0,ROW()-1,60),ROW()-1,FALSE))</f>
        <v>-128.7119999</v>
      </c>
      <c r="BB362">
        <f ca="1">IF(AND(ISNUMBER($BB$801),$B$419=1),$BB$801,HLOOKUP(INDIRECT(ADDRESS(2,COLUMN())),OFFSET($BN$2,0,0,ROW()-1,60),ROW()-1,FALSE))</f>
        <v>-16.306999999999999</v>
      </c>
      <c r="BC362">
        <f ca="1">IF(AND(ISNUMBER($BC$801),$B$419=1),$BC$801,HLOOKUP(INDIRECT(ADDRESS(2,COLUMN())),OFFSET($BN$2,0,0,ROW()-1,60),ROW()-1,FALSE))</f>
        <v>-187.44000629999999</v>
      </c>
      <c r="BD362">
        <f ca="1">IF(AND(ISNUMBER($BD$801),$B$419=1),$BD$801,HLOOKUP(INDIRECT(ADDRESS(2,COLUMN())),OFFSET($BN$2,0,0,ROW()-1,60),ROW()-1,FALSE))</f>
        <v>-18.220998760000001</v>
      </c>
      <c r="BE362">
        <f ca="1">IF(AND(ISNUMBER($BE$801),$B$419=1),$BE$801,HLOOKUP(INDIRECT(ADDRESS(2,COLUMN())),OFFSET($BN$2,0,0,ROW()-1,60),ROW()-1,FALSE))</f>
        <v>-1.75</v>
      </c>
      <c r="BF362">
        <f ca="1">IF(AND(ISNUMBER($BF$801),$B$419=1),$BF$801,HLOOKUP(INDIRECT(ADDRESS(2,COLUMN())),OFFSET($BN$2,0,0,ROW()-1,60),ROW()-1,FALSE))</f>
        <v>-29.456</v>
      </c>
      <c r="BG362">
        <f ca="1">IF(AND(ISNUMBER($BG$801),$B$419=1),$BG$801,HLOOKUP(INDIRECT(ADDRESS(2,COLUMN())),OFFSET($BN$2,0,0,ROW()-1,60),ROW()-1,FALSE))</f>
        <v>-18.018999999999998</v>
      </c>
      <c r="BH362">
        <f ca="1">IF(AND(ISNUMBER($BH$801),$B$419=1),$BH$801,HLOOKUP(INDIRECT(ADDRESS(2,COLUMN())),OFFSET($BN$2,0,0,ROW()-1,60),ROW()-1,FALSE))</f>
        <v>5.08</v>
      </c>
      <c r="BI362">
        <f ca="1">IF(AND(ISNUMBER($BI$801),$B$419=1),$BI$801,HLOOKUP(INDIRECT(ADDRESS(2,COLUMN())),OFFSET($BN$2,0,0,ROW()-1,60),ROW()-1,FALSE))</f>
        <v>-37.61</v>
      </c>
      <c r="BJ362">
        <f ca="1">IF(AND(ISNUMBER($BJ$801),$B$419=1),$BJ$801,HLOOKUP(INDIRECT(ADDRESS(2,COLUMN())),OFFSET($BN$2,0,0,ROW()-1,60),ROW()-1,FALSE))</f>
        <v>-1.9630000000000001</v>
      </c>
      <c r="BK362">
        <f ca="1">IF(AND(ISNUMBER($BK$801),$B$419=1),$BK$801,HLOOKUP(INDIRECT(ADDRESS(2,COLUMN())),OFFSET($BN$2,0,0,ROW()-1,60),ROW()-1,FALSE))</f>
        <v>-17.312000000000001</v>
      </c>
      <c r="BL362">
        <f ca="1">IF(AND(ISNUMBER($BL$801),$B$419=1),$BL$801,HLOOKUP(INDIRECT(ADDRESS(2,COLUMN())),OFFSET($BN$2,0,0,ROW()-1,60),ROW()-1,FALSE))</f>
        <v>-136.23599909999999</v>
      </c>
      <c r="BM362">
        <f ca="1">IF(AND(ISNUMBER($BM$801),$B$419=1),$BM$801,HLOOKUP(INDIRECT(ADDRESS(2,COLUMN())),OFFSET($BN$2,0,0,ROW()-1,60),ROW()-1,FALSE))</f>
        <v>-16.248000000000001</v>
      </c>
      <c r="BN362" t="str">
        <f>""</f>
        <v/>
      </c>
      <c r="BO362">
        <f>-159.155</f>
        <v>-159.155</v>
      </c>
      <c r="BP362">
        <f>42.711</f>
        <v>42.710999999999999</v>
      </c>
      <c r="BQ362">
        <f>-203.026</f>
        <v>-203.02600000000001</v>
      </c>
      <c r="BR362">
        <f>19.134</f>
        <v>19.134</v>
      </c>
      <c r="BS362">
        <f>-147.232</f>
        <v>-147.232</v>
      </c>
      <c r="BT362">
        <f>-25.472</f>
        <v>-25.472000000000001</v>
      </c>
      <c r="BU362">
        <f>-273.771</f>
        <v>-273.77100000000002</v>
      </c>
      <c r="BV362">
        <f>-24.154</f>
        <v>-24.154</v>
      </c>
      <c r="BW362">
        <f>-92.312</f>
        <v>-92.311999999999998</v>
      </c>
      <c r="BX362">
        <f>-133.053</f>
        <v>-133.053</v>
      </c>
      <c r="BY362">
        <f>-62.602</f>
        <v>-62.601999999999997</v>
      </c>
      <c r="BZ362">
        <f>-54.181</f>
        <v>-54.180999999999997</v>
      </c>
      <c r="CA362">
        <f>-12.429</f>
        <v>-12.429</v>
      </c>
      <c r="CB362">
        <f>-244.247</f>
        <v>-244.24700000000001</v>
      </c>
      <c r="CC362">
        <f>-38.089</f>
        <v>-38.088999999999999</v>
      </c>
      <c r="CD362">
        <f>-10.05</f>
        <v>-10.050000000000001</v>
      </c>
      <c r="CE362">
        <f>-5.306</f>
        <v>-5.306</v>
      </c>
      <c r="CF362">
        <f>6.35</f>
        <v>6.35</v>
      </c>
      <c r="CG362">
        <f>-381.432</f>
        <v>-381.43200000000002</v>
      </c>
      <c r="CH362">
        <f>17.392</f>
        <v>17.391999999999999</v>
      </c>
      <c r="CI362">
        <f>-213.241</f>
        <v>-213.24100000000001</v>
      </c>
      <c r="CJ362">
        <f>-54.714</f>
        <v>-54.713999999999999</v>
      </c>
      <c r="CK362">
        <f>-47.41</f>
        <v>-47.41</v>
      </c>
      <c r="CL362">
        <f>-141.145</f>
        <v>-141.14500000000001</v>
      </c>
      <c r="CM362">
        <f>-278.3</f>
        <v>-278.3</v>
      </c>
      <c r="CN362">
        <f>-261.573</f>
        <v>-261.57299999999998</v>
      </c>
      <c r="CO362">
        <f>-25.168</f>
        <v>-25.167999999999999</v>
      </c>
      <c r="CP362">
        <f>-10.393</f>
        <v>-10.393000000000001</v>
      </c>
      <c r="CQ362">
        <f>-98.38</f>
        <v>-98.38</v>
      </c>
      <c r="CR362">
        <f>10.863</f>
        <v>10.863</v>
      </c>
      <c r="CS362">
        <f>4.548</f>
        <v>4.548</v>
      </c>
      <c r="CT362">
        <f>39.955</f>
        <v>39.954999999999998</v>
      </c>
      <c r="CU362">
        <f>19.631</f>
        <v>19.631</v>
      </c>
      <c r="CV362">
        <f>44.005</f>
        <v>44.005000000000003</v>
      </c>
      <c r="CW362">
        <f>12.353</f>
        <v>12.353</v>
      </c>
      <c r="CX362">
        <f>34.438</f>
        <v>34.438000000000002</v>
      </c>
      <c r="CY362">
        <f>-7.537</f>
        <v>-7.5369999999999999</v>
      </c>
      <c r="CZ362">
        <f>37.252</f>
        <v>37.252000000000002</v>
      </c>
      <c r="DA362">
        <f>-50.297</f>
        <v>-50.296999999999997</v>
      </c>
      <c r="DB362">
        <f>-94.577</f>
        <v>-94.576999999999998</v>
      </c>
      <c r="DC362">
        <f>-62.771</f>
        <v>-62.771000000000001</v>
      </c>
      <c r="DD362">
        <f>-216.701</f>
        <v>-216.70099999999999</v>
      </c>
      <c r="DE362">
        <f>-274.5420036</f>
        <v>-274.54200359999999</v>
      </c>
      <c r="DF362">
        <f>6.547</f>
        <v>6.5469999999999997</v>
      </c>
      <c r="DG362">
        <f>-99.56900203</f>
        <v>-99.569002029999993</v>
      </c>
      <c r="DH362">
        <f>-106.285</f>
        <v>-106.285</v>
      </c>
      <c r="DI362">
        <f>-128.7119999</f>
        <v>-128.7119999</v>
      </c>
      <c r="DJ362">
        <f>-16.307</f>
        <v>-16.306999999999999</v>
      </c>
      <c r="DK362">
        <f>-187.4400063</f>
        <v>-187.44000629999999</v>
      </c>
      <c r="DL362">
        <f>-18.22099876</f>
        <v>-18.220998760000001</v>
      </c>
      <c r="DM362">
        <f>-1.75</f>
        <v>-1.75</v>
      </c>
      <c r="DN362">
        <f>-29.456</f>
        <v>-29.456</v>
      </c>
      <c r="DO362">
        <f>-18.019</f>
        <v>-18.018999999999998</v>
      </c>
      <c r="DP362">
        <f>5.08</f>
        <v>5.08</v>
      </c>
      <c r="DQ362">
        <f>-37.61</f>
        <v>-37.61</v>
      </c>
      <c r="DR362">
        <f>-1.963</f>
        <v>-1.9630000000000001</v>
      </c>
      <c r="DS362">
        <f>-17.312</f>
        <v>-17.312000000000001</v>
      </c>
      <c r="DT362">
        <f>-136.2359991</f>
        <v>-136.23599909999999</v>
      </c>
      <c r="DU362">
        <f>-16.248</f>
        <v>-16.248000000000001</v>
      </c>
    </row>
    <row r="363" spans="1:125">
      <c r="A363" t="str">
        <f>"    Realty Income Corp"</f>
        <v xml:space="preserve">    Realty Income Corp</v>
      </c>
      <c r="B363" t="str">
        <f>"O US Equity"</f>
        <v>O US Equity</v>
      </c>
      <c r="C363" t="str">
        <f t="shared" si="66"/>
        <v>RR008</v>
      </c>
      <c r="D363" t="str">
        <f t="shared" si="67"/>
        <v>CF_FREE_CASH_FLOW</v>
      </c>
      <c r="E363" t="str">
        <f t="shared" si="68"/>
        <v>动态</v>
      </c>
      <c r="F363" t="str">
        <f ca="1">IF(AND(ISNUMBER($F$802),$B$419=1),$F$802,HLOOKUP(INDIRECT(ADDRESS(2,COLUMN())),OFFSET($BN$2,0,0,ROW()-1,60),ROW()-1,FALSE))</f>
        <v/>
      </c>
      <c r="G363">
        <f ca="1">IF(AND(ISNUMBER($G$802),$B$419=1),$G$802,HLOOKUP(INDIRECT(ADDRESS(2,COLUMN())),OFFSET($BN$2,0,0,ROW()-1,60),ROW()-1,FALSE))</f>
        <v>-216.21199999999999</v>
      </c>
      <c r="H363">
        <f ca="1">IF(AND(ISNUMBER($H$802),$B$419=1),$H$802,HLOOKUP(INDIRECT(ADDRESS(2,COLUMN())),OFFSET($BN$2,0,0,ROW()-1,60),ROW()-1,FALSE))</f>
        <v>-91.724000000000004</v>
      </c>
      <c r="I363">
        <f ca="1">IF(AND(ISNUMBER($I$802),$B$419=1),$I$802,HLOOKUP(INDIRECT(ADDRESS(2,COLUMN())),OFFSET($BN$2,0,0,ROW()-1,60),ROW()-1,FALSE))</f>
        <v>-79.540000000000006</v>
      </c>
      <c r="J363">
        <f ca="1">IF(AND(ISNUMBER($J$802),$B$419=1),$J$802,HLOOKUP(INDIRECT(ADDRESS(2,COLUMN())),OFFSET($BN$2,0,0,ROW()-1,60),ROW()-1,FALSE))</f>
        <v>-165.191</v>
      </c>
      <c r="K363">
        <f ca="1">IF(AND(ISNUMBER($K$802),$B$419=1),$K$802,HLOOKUP(INDIRECT(ADDRESS(2,COLUMN())),OFFSET($BN$2,0,0,ROW()-1,60),ROW()-1,FALSE))</f>
        <v>-554.27099999999996</v>
      </c>
      <c r="L363">
        <f ca="1">IF(AND(ISNUMBER($L$802),$B$419=1),$L$802,HLOOKUP(INDIRECT(ADDRESS(2,COLUMN())),OFFSET($BN$2,0,0,ROW()-1,60),ROW()-1,FALSE))</f>
        <v>-194.155</v>
      </c>
      <c r="M363">
        <f ca="1">IF(AND(ISNUMBER($M$802),$B$419=1),$M$802,HLOOKUP(INDIRECT(ADDRESS(2,COLUMN())),OFFSET($BN$2,0,0,ROW()-1,60),ROW()-1,FALSE))</f>
        <v>-82.066000000000003</v>
      </c>
      <c r="N363">
        <f ca="1">IF(AND(ISNUMBER($N$802),$B$419=1),$N$802,HLOOKUP(INDIRECT(ADDRESS(2,COLUMN())),OFFSET($BN$2,0,0,ROW()-1,60),ROW()-1,FALSE))</f>
        <v>-177.78100000000001</v>
      </c>
      <c r="O363">
        <f ca="1">IF(AND(ISNUMBER($O$802),$B$419=1),$O$802,HLOOKUP(INDIRECT(ADDRESS(2,COLUMN())),OFFSET($BN$2,0,0,ROW()-1,60),ROW()-1,FALSE))</f>
        <v>8.6609999999999996</v>
      </c>
      <c r="P363">
        <f ca="1">IF(AND(ISNUMBER($P$802),$B$419=1),$P$802,HLOOKUP(INDIRECT(ADDRESS(2,COLUMN())),OFFSET($BN$2,0,0,ROW()-1,60),ROW()-1,FALSE))</f>
        <v>10.516999999999999</v>
      </c>
      <c r="Q363">
        <f ca="1">IF(AND(ISNUMBER($Q$802),$B$419=1),$Q$802,HLOOKUP(INDIRECT(ADDRESS(2,COLUMN())),OFFSET($BN$2,0,0,ROW()-1,60),ROW()-1,FALSE))</f>
        <v>-519.02700000000004</v>
      </c>
      <c r="R363">
        <f ca="1">IF(AND(ISNUMBER($R$802),$B$419=1),$R$802,HLOOKUP(INDIRECT(ADDRESS(2,COLUMN())),OFFSET($BN$2,0,0,ROW()-1,60),ROW()-1,FALSE))</f>
        <v>-86.274000000000001</v>
      </c>
      <c r="S363">
        <f ca="1">IF(AND(ISNUMBER($S$802),$B$419=1),$S$802,HLOOKUP(INDIRECT(ADDRESS(2,COLUMN())),OFFSET($BN$2,0,0,ROW()-1,60),ROW()-1,FALSE))</f>
        <v>34.265000000000001</v>
      </c>
      <c r="T363">
        <f ca="1">IF(AND(ISNUMBER($T$802),$B$419=1),$T$802,HLOOKUP(INDIRECT(ADDRESS(2,COLUMN())),OFFSET($BN$2,0,0,ROW()-1,60),ROW()-1,FALSE))</f>
        <v>-37.484999999999999</v>
      </c>
      <c r="U363">
        <f ca="1">IF(AND(ISNUMBER($U$802),$B$419=1),$U$802,HLOOKUP(INDIRECT(ADDRESS(2,COLUMN())),OFFSET($BN$2,0,0,ROW()-1,60),ROW()-1,FALSE))</f>
        <v>-112.21</v>
      </c>
      <c r="V363">
        <f ca="1">IF(AND(ISNUMBER($V$802),$B$419=1),$V$802,HLOOKUP(INDIRECT(ADDRESS(2,COLUMN())),OFFSET($BN$2,0,0,ROW()-1,60),ROW()-1,FALSE))</f>
        <v>-491.15300000000002</v>
      </c>
      <c r="W363">
        <f ca="1">IF(AND(ISNUMBER($W$802),$B$419=1),$W$802,HLOOKUP(INDIRECT(ADDRESS(2,COLUMN())),OFFSET($BN$2,0,0,ROW()-1,60),ROW()-1,FALSE))</f>
        <v>27.535</v>
      </c>
      <c r="X363">
        <f ca="1">IF(AND(ISNUMBER($X$802),$B$419=1),$X$802,HLOOKUP(INDIRECT(ADDRESS(2,COLUMN())),OFFSET($BN$2,0,0,ROW()-1,60),ROW()-1,FALSE))</f>
        <v>-416.38400000000001</v>
      </c>
      <c r="Y363">
        <f ca="1">IF(AND(ISNUMBER($Y$802),$B$419=1),$Y$802,HLOOKUP(INDIRECT(ADDRESS(2,COLUMN())),OFFSET($BN$2,0,0,ROW()-1,60),ROW()-1,FALSE))</f>
        <v>-484.78</v>
      </c>
      <c r="Z363">
        <f ca="1">IF(AND(ISNUMBER($Z$802),$B$419=1),$Z$802,HLOOKUP(INDIRECT(ADDRESS(2,COLUMN())),OFFSET($BN$2,0,0,ROW()-1,60),ROW()-1,FALSE))</f>
        <v>-45.454999999999998</v>
      </c>
      <c r="AA363">
        <f ca="1">IF(AND(ISNUMBER($AA$802),$B$419=1),$AA$802,HLOOKUP(INDIRECT(ADDRESS(2,COLUMN())),OFFSET($BN$2,0,0,ROW()-1,60),ROW()-1,FALSE))</f>
        <v>-249.21</v>
      </c>
      <c r="AB363">
        <f ca="1">IF(AND(ISNUMBER($AB$802),$B$419=1),$AB$802,HLOOKUP(INDIRECT(ADDRESS(2,COLUMN())),OFFSET($BN$2,0,0,ROW()-1,60),ROW()-1,FALSE))</f>
        <v>-380.57400000000001</v>
      </c>
      <c r="AC363">
        <f ca="1">IF(AND(ISNUMBER($AC$802),$B$419=1),$AC$802,HLOOKUP(INDIRECT(ADDRESS(2,COLUMN())),OFFSET($BN$2,0,0,ROW()-1,60),ROW()-1,FALSE))</f>
        <v>-107.43899999999999</v>
      </c>
      <c r="AD363">
        <f ca="1">IF(AND(ISNUMBER($AD$802),$B$419=1),$AD$802,HLOOKUP(INDIRECT(ADDRESS(2,COLUMN())),OFFSET($BN$2,0,0,ROW()-1,60),ROW()-1,FALSE))</f>
        <v>41.412999999999997</v>
      </c>
      <c r="AE363">
        <f ca="1">IF(AND(ISNUMBER($AE$802),$B$419=1),$AE$802,HLOOKUP(INDIRECT(ADDRESS(2,COLUMN())),OFFSET($BN$2,0,0,ROW()-1,60),ROW()-1,FALSE))</f>
        <v>-91.494</v>
      </c>
      <c r="AF363">
        <f ca="1">IF(AND(ISNUMBER($AF$802),$B$419=1),$AF$802,HLOOKUP(INDIRECT(ADDRESS(2,COLUMN())),OFFSET($BN$2,0,0,ROW()-1,60),ROW()-1,FALSE))</f>
        <v>-400.10500000000002</v>
      </c>
      <c r="AG363">
        <f ca="1">IF(AND(ISNUMBER($AG$802),$B$419=1),$AG$802,HLOOKUP(INDIRECT(ADDRESS(2,COLUMN())),OFFSET($BN$2,0,0,ROW()-1,60),ROW()-1,FALSE))</f>
        <v>-57.679000000000002</v>
      </c>
      <c r="AH363">
        <f ca="1">IF(AND(ISNUMBER($AH$802),$B$419=1),$AH$802,HLOOKUP(INDIRECT(ADDRESS(2,COLUMN())),OFFSET($BN$2,0,0,ROW()-1,60),ROW()-1,FALSE))</f>
        <v>-109.117</v>
      </c>
      <c r="AI363">
        <f ca="1">IF(AND(ISNUMBER($AI$802),$B$419=1),$AI$802,HLOOKUP(INDIRECT(ADDRESS(2,COLUMN())),OFFSET($BN$2,0,0,ROW()-1,60),ROW()-1,FALSE))</f>
        <v>-325.82499999999999</v>
      </c>
      <c r="AJ363">
        <f ca="1">IF(AND(ISNUMBER($AJ$802),$B$419=1),$AJ$802,HLOOKUP(INDIRECT(ADDRESS(2,COLUMN())),OFFSET($BN$2,0,0,ROW()-1,60),ROW()-1,FALSE))</f>
        <v>32.273000000000003</v>
      </c>
      <c r="AK363">
        <f ca="1">IF(AND(ISNUMBER($AK$802),$B$419=1),$AK$802,HLOOKUP(INDIRECT(ADDRESS(2,COLUMN())),OFFSET($BN$2,0,0,ROW()-1,60),ROW()-1,FALSE))</f>
        <v>-187.941</v>
      </c>
      <c r="AL363">
        <f ca="1">IF(AND(ISNUMBER($AL$802),$B$419=1),$AL$802,HLOOKUP(INDIRECT(ADDRESS(2,COLUMN())),OFFSET($BN$2,0,0,ROW()-1,60),ROW()-1,FALSE))</f>
        <v>7.8140000000000001</v>
      </c>
      <c r="AM363">
        <f ca="1">IF(AND(ISNUMBER($AM$802),$B$419=1),$AM$802,HLOOKUP(INDIRECT(ADDRESS(2,COLUMN())),OFFSET($BN$2,0,0,ROW()-1,60),ROW()-1,FALSE))</f>
        <v>31.068000000000001</v>
      </c>
      <c r="AN363">
        <f ca="1">IF(AND(ISNUMBER($AN$802),$B$419=1),$AN$802,HLOOKUP(INDIRECT(ADDRESS(2,COLUMN())),OFFSET($BN$2,0,0,ROW()-1,60),ROW()-1,FALSE))</f>
        <v>31.402999999999999</v>
      </c>
      <c r="AO363">
        <f ca="1">IF(AND(ISNUMBER($AO$802),$B$419=1),$AO$802,HLOOKUP(INDIRECT(ADDRESS(2,COLUMN())),OFFSET($BN$2,0,0,ROW()-1,60),ROW()-1,FALSE))</f>
        <v>70.597999999999999</v>
      </c>
      <c r="AP363">
        <f ca="1">IF(AND(ISNUMBER($AP$802),$B$419=1),$AP$802,HLOOKUP(INDIRECT(ADDRESS(2,COLUMN())),OFFSET($BN$2,0,0,ROW()-1,60),ROW()-1,FALSE))</f>
        <v>33.179000000000002</v>
      </c>
      <c r="AQ363">
        <f ca="1">IF(AND(ISNUMBER($AQ$802),$B$419=1),$AQ$802,HLOOKUP(INDIRECT(ADDRESS(2,COLUMN())),OFFSET($BN$2,0,0,ROW()-1,60),ROW()-1,FALSE))</f>
        <v>68.876000000000005</v>
      </c>
      <c r="AR363">
        <f ca="1">IF(AND(ISNUMBER($AR$802),$B$419=1),$AR$802,HLOOKUP(INDIRECT(ADDRESS(2,COLUMN())),OFFSET($BN$2,0,0,ROW()-1,60),ROW()-1,FALSE))</f>
        <v>39.29</v>
      </c>
      <c r="AS363">
        <f ca="1">IF(AND(ISNUMBER($AS$802),$B$419=1),$AS$802,HLOOKUP(INDIRECT(ADDRESS(2,COLUMN())),OFFSET($BN$2,0,0,ROW()-1,60),ROW()-1,FALSE))</f>
        <v>76.427000000000007</v>
      </c>
      <c r="AT363">
        <f ca="1">IF(AND(ISNUMBER($AT$802),$B$419=1),$AT$802,HLOOKUP(INDIRECT(ADDRESS(2,COLUMN())),OFFSET($BN$2,0,0,ROW()-1,60),ROW()-1,FALSE))</f>
        <v>-132.54400000000001</v>
      </c>
      <c r="AU363">
        <f ca="1">IF(AND(ISNUMBER($AU$802),$B$419=1),$AU$802,HLOOKUP(INDIRECT(ADDRESS(2,COLUMN())),OFFSET($BN$2,0,0,ROW()-1,60),ROW()-1,FALSE))</f>
        <v>-29.481999999999999</v>
      </c>
      <c r="AV363">
        <f ca="1">IF(AND(ISNUMBER($AV$802),$B$419=1),$AV$802,HLOOKUP(INDIRECT(ADDRESS(2,COLUMN())),OFFSET($BN$2,0,0,ROW()-1,60),ROW()-1,FALSE))</f>
        <v>-233.2939987</v>
      </c>
      <c r="AW363">
        <f ca="1">IF(AND(ISNUMBER($AW$802),$B$419=1),$AW$802,HLOOKUP(INDIRECT(ADDRESS(2,COLUMN())),OFFSET($BN$2,0,0,ROW()-1,60),ROW()-1,FALSE))</f>
        <v>81.098999019999994</v>
      </c>
      <c r="AX363">
        <f ca="1">IF(AND(ISNUMBER($AX$802),$B$419=1),$AX$802,HLOOKUP(INDIRECT(ADDRESS(2,COLUMN())),OFFSET($BN$2,0,0,ROW()-1,60),ROW()-1,FALSE))</f>
        <v>-6.5140000000000002</v>
      </c>
      <c r="AY363">
        <f ca="1">IF(AND(ISNUMBER($AY$802),$B$419=1),$AY$802,HLOOKUP(INDIRECT(ADDRESS(2,COLUMN())),OFFSET($BN$2,0,0,ROW()-1,60),ROW()-1,FALSE))</f>
        <v>-450.46</v>
      </c>
      <c r="AZ363">
        <f ca="1">IF(AND(ISNUMBER($AZ$802),$B$419=1),$AZ$802,HLOOKUP(INDIRECT(ADDRESS(2,COLUMN())),OFFSET($BN$2,0,0,ROW()-1,60),ROW()-1,FALSE))</f>
        <v>-55.11</v>
      </c>
      <c r="BA363">
        <f ca="1">IF(AND(ISNUMBER($BA$802),$B$419=1),$BA$802,HLOOKUP(INDIRECT(ADDRESS(2,COLUMN())),OFFSET($BN$2,0,0,ROW()-1,60),ROW()-1,FALSE))</f>
        <v>-11.94199753</v>
      </c>
      <c r="BB363">
        <f ca="1">IF(AND(ISNUMBER($BB$802),$B$419=1),$BB$802,HLOOKUP(INDIRECT(ADDRESS(2,COLUMN())),OFFSET($BN$2,0,0,ROW()-1,60),ROW()-1,FALSE))</f>
        <v>-49.692</v>
      </c>
      <c r="BC363">
        <f ca="1">IF(AND(ISNUMBER($BC$802),$B$419=1),$BC$802,HLOOKUP(INDIRECT(ADDRESS(2,COLUMN())),OFFSET($BN$2,0,0,ROW()-1,60),ROW()-1,FALSE))</f>
        <v>-30.978000000000002</v>
      </c>
      <c r="BD363">
        <f ca="1">IF(AND(ISNUMBER($BD$802),$B$419=1),$BD$802,HLOOKUP(INDIRECT(ADDRESS(2,COLUMN())),OFFSET($BN$2,0,0,ROW()-1,60),ROW()-1,FALSE))</f>
        <v>-199.17000479999999</v>
      </c>
      <c r="BE363">
        <f ca="1">IF(AND(ISNUMBER($BE$802),$B$419=1),$BE$802,HLOOKUP(INDIRECT(ADDRESS(2,COLUMN())),OFFSET($BN$2,0,0,ROW()-1,60),ROW()-1,FALSE))</f>
        <v>-38.32400131</v>
      </c>
      <c r="BF363">
        <f ca="1">IF(AND(ISNUMBER($BF$802),$B$419=1),$BF$802,HLOOKUP(INDIRECT(ADDRESS(2,COLUMN())),OFFSET($BN$2,0,0,ROW()-1,60),ROW()-1,FALSE))</f>
        <v>-39.318004610000003</v>
      </c>
      <c r="BG363">
        <f ca="1">IF(AND(ISNUMBER($BG$802),$B$419=1),$BG$802,HLOOKUP(INDIRECT(ADDRESS(2,COLUMN())),OFFSET($BN$2,0,0,ROW()-1,60),ROW()-1,FALSE))</f>
        <v>-0.36399999999999999</v>
      </c>
      <c r="BH363">
        <f ca="1">IF(AND(ISNUMBER($BH$802),$B$419=1),$BH$802,HLOOKUP(INDIRECT(ADDRESS(2,COLUMN())),OFFSET($BN$2,0,0,ROW()-1,60),ROW()-1,FALSE))</f>
        <v>2.3889999999999998</v>
      </c>
      <c r="BI363">
        <f ca="1">IF(AND(ISNUMBER($BI$802),$B$419=1),$BI$802,HLOOKUP(INDIRECT(ADDRESS(2,COLUMN())),OFFSET($BN$2,0,0,ROW()-1,60),ROW()-1,FALSE))</f>
        <v>-19.158000000000001</v>
      </c>
      <c r="BJ363">
        <f ca="1">IF(AND(ISNUMBER($BJ$802),$B$419=1),$BJ$802,HLOOKUP(INDIRECT(ADDRESS(2,COLUMN())),OFFSET($BN$2,0,0,ROW()-1,60),ROW()-1,FALSE))</f>
        <v>-54.903999329999998</v>
      </c>
      <c r="BK363">
        <f ca="1">IF(AND(ISNUMBER($BK$802),$B$419=1),$BK$802,HLOOKUP(INDIRECT(ADDRESS(2,COLUMN())),OFFSET($BN$2,0,0,ROW()-1,60),ROW()-1,FALSE))</f>
        <v>-187.16400619999999</v>
      </c>
      <c r="BL363">
        <f ca="1">IF(AND(ISNUMBER($BL$802),$B$419=1),$BL$802,HLOOKUP(INDIRECT(ADDRESS(2,COLUMN())),OFFSET($BN$2,0,0,ROW()-1,60),ROW()-1,FALSE))</f>
        <v>-23.134999749999999</v>
      </c>
      <c r="BM363">
        <f ca="1">IF(AND(ISNUMBER($BM$802),$B$419=1),$BM$802,HLOOKUP(INDIRECT(ADDRESS(2,COLUMN())),OFFSET($BN$2,0,0,ROW()-1,60),ROW()-1,FALSE))</f>
        <v>-8.7109985349999999</v>
      </c>
      <c r="BN363" t="str">
        <f>""</f>
        <v/>
      </c>
      <c r="BO363">
        <f>-216.212</f>
        <v>-216.21199999999999</v>
      </c>
      <c r="BP363">
        <f>-91.724</f>
        <v>-91.724000000000004</v>
      </c>
      <c r="BQ363">
        <f>-79.54</f>
        <v>-79.540000000000006</v>
      </c>
      <c r="BR363">
        <f>-165.191</f>
        <v>-165.191</v>
      </c>
      <c r="BS363">
        <f>-554.271</f>
        <v>-554.27099999999996</v>
      </c>
      <c r="BT363">
        <f>-194.155</f>
        <v>-194.155</v>
      </c>
      <c r="BU363">
        <f>-82.066</f>
        <v>-82.066000000000003</v>
      </c>
      <c r="BV363">
        <f>-177.781</f>
        <v>-177.78100000000001</v>
      </c>
      <c r="BW363">
        <f>8.661</f>
        <v>8.6609999999999996</v>
      </c>
      <c r="BX363">
        <f>10.517</f>
        <v>10.516999999999999</v>
      </c>
      <c r="BY363">
        <f>-519.027</f>
        <v>-519.02700000000004</v>
      </c>
      <c r="BZ363">
        <f>-86.274</f>
        <v>-86.274000000000001</v>
      </c>
      <c r="CA363">
        <f>34.265</f>
        <v>34.265000000000001</v>
      </c>
      <c r="CB363">
        <f>-37.485</f>
        <v>-37.484999999999999</v>
      </c>
      <c r="CC363">
        <f>-112.21</f>
        <v>-112.21</v>
      </c>
      <c r="CD363">
        <f>-491.153</f>
        <v>-491.15300000000002</v>
      </c>
      <c r="CE363">
        <f>27.535</f>
        <v>27.535</v>
      </c>
      <c r="CF363">
        <f>-416.384</f>
        <v>-416.38400000000001</v>
      </c>
      <c r="CG363">
        <f>-484.78</f>
        <v>-484.78</v>
      </c>
      <c r="CH363">
        <f>-45.455</f>
        <v>-45.454999999999998</v>
      </c>
      <c r="CI363">
        <f>-249.21</f>
        <v>-249.21</v>
      </c>
      <c r="CJ363">
        <f>-380.574</f>
        <v>-380.57400000000001</v>
      </c>
      <c r="CK363">
        <f>-107.439</f>
        <v>-107.43899999999999</v>
      </c>
      <c r="CL363">
        <f>41.413</f>
        <v>41.412999999999997</v>
      </c>
      <c r="CM363">
        <f>-91.494</f>
        <v>-91.494</v>
      </c>
      <c r="CN363">
        <f>-400.105</f>
        <v>-400.10500000000002</v>
      </c>
      <c r="CO363">
        <f>-57.679</f>
        <v>-57.679000000000002</v>
      </c>
      <c r="CP363">
        <f>-109.117</f>
        <v>-109.117</v>
      </c>
      <c r="CQ363">
        <f>-325.825</f>
        <v>-325.82499999999999</v>
      </c>
      <c r="CR363">
        <f>32.273</f>
        <v>32.273000000000003</v>
      </c>
      <c r="CS363">
        <f>-187.941</f>
        <v>-187.941</v>
      </c>
      <c r="CT363">
        <f>7.814</f>
        <v>7.8140000000000001</v>
      </c>
      <c r="CU363">
        <f>31.068</f>
        <v>31.068000000000001</v>
      </c>
      <c r="CV363">
        <f>31.403</f>
        <v>31.402999999999999</v>
      </c>
      <c r="CW363">
        <f>70.598</f>
        <v>70.597999999999999</v>
      </c>
      <c r="CX363">
        <f>33.179</f>
        <v>33.179000000000002</v>
      </c>
      <c r="CY363">
        <f>68.876</f>
        <v>68.876000000000005</v>
      </c>
      <c r="CZ363">
        <f>39.29</f>
        <v>39.29</v>
      </c>
      <c r="DA363">
        <f>76.427</f>
        <v>76.427000000000007</v>
      </c>
      <c r="DB363">
        <f>-132.544</f>
        <v>-132.54400000000001</v>
      </c>
      <c r="DC363">
        <f>-29.482</f>
        <v>-29.481999999999999</v>
      </c>
      <c r="DD363">
        <f>-233.2939987</f>
        <v>-233.2939987</v>
      </c>
      <c r="DE363">
        <f>81.09899902</f>
        <v>81.098999019999994</v>
      </c>
      <c r="DF363">
        <f>-6.514</f>
        <v>-6.5140000000000002</v>
      </c>
      <c r="DG363">
        <f>-450.46</f>
        <v>-450.46</v>
      </c>
      <c r="DH363">
        <f>-55.11</f>
        <v>-55.11</v>
      </c>
      <c r="DI363">
        <f>-11.94199753</f>
        <v>-11.94199753</v>
      </c>
      <c r="DJ363">
        <f>-49.692</f>
        <v>-49.692</v>
      </c>
      <c r="DK363">
        <f>-30.978</f>
        <v>-30.978000000000002</v>
      </c>
      <c r="DL363">
        <f>-199.1700048</f>
        <v>-199.17000479999999</v>
      </c>
      <c r="DM363">
        <f>-38.32400131</f>
        <v>-38.32400131</v>
      </c>
      <c r="DN363">
        <f>-39.31800461</f>
        <v>-39.318004610000003</v>
      </c>
      <c r="DO363">
        <f>-0.364</f>
        <v>-0.36399999999999999</v>
      </c>
      <c r="DP363">
        <f>2.389</f>
        <v>2.3889999999999998</v>
      </c>
      <c r="DQ363">
        <f>-19.158</f>
        <v>-19.158000000000001</v>
      </c>
      <c r="DR363">
        <f>-54.90399933</f>
        <v>-54.903999329999998</v>
      </c>
      <c r="DS363">
        <f>-187.1640062</f>
        <v>-187.16400619999999</v>
      </c>
      <c r="DT363">
        <f>-23.13499975</f>
        <v>-23.134999749999999</v>
      </c>
      <c r="DU363">
        <f>-8.710998535</f>
        <v>-8.7109985349999999</v>
      </c>
    </row>
    <row r="364" spans="1:125">
      <c r="A364" t="str">
        <f>"    Regency Centers Corp"</f>
        <v xml:space="preserve">    Regency Centers Corp</v>
      </c>
      <c r="B364" t="str">
        <f>"REG US Equity"</f>
        <v>REG US Equity</v>
      </c>
      <c r="C364" t="str">
        <f t="shared" si="66"/>
        <v>RR008</v>
      </c>
      <c r="D364" t="str">
        <f t="shared" si="67"/>
        <v>CF_FREE_CASH_FLOW</v>
      </c>
      <c r="E364" t="str">
        <f t="shared" si="68"/>
        <v>动态</v>
      </c>
      <c r="F364" t="str">
        <f ca="1">IF(AND(ISNUMBER($F$803),$B$419=1),$F$803,HLOOKUP(INDIRECT(ADDRESS(2,COLUMN())),OFFSET($BN$2,0,0,ROW()-1,60),ROW()-1,FALSE))</f>
        <v/>
      </c>
      <c r="G364">
        <f ca="1">IF(AND(ISNUMBER($G$803),$B$419=1),$G$803,HLOOKUP(INDIRECT(ADDRESS(2,COLUMN())),OFFSET($BN$2,0,0,ROW()-1,60),ROW()-1,FALSE))</f>
        <v>-105.842</v>
      </c>
      <c r="H364">
        <f ca="1">IF(AND(ISNUMBER($H$803),$B$419=1),$H$803,HLOOKUP(INDIRECT(ADDRESS(2,COLUMN())),OFFSET($BN$2,0,0,ROW()-1,60),ROW()-1,FALSE))</f>
        <v>85.741</v>
      </c>
      <c r="I364">
        <f ca="1">IF(AND(ISNUMBER($I$803),$B$419=1),$I$803,HLOOKUP(INDIRECT(ADDRESS(2,COLUMN())),OFFSET($BN$2,0,0,ROW()-1,60),ROW()-1,FALSE))</f>
        <v>47.603999999999999</v>
      </c>
      <c r="J364">
        <f ca="1">IF(AND(ISNUMBER($J$803),$B$419=1),$J$803,HLOOKUP(INDIRECT(ADDRESS(2,COLUMN())),OFFSET($BN$2,0,0,ROW()-1,60),ROW()-1,FALSE))</f>
        <v>-33.780999999999999</v>
      </c>
      <c r="K364">
        <f ca="1">IF(AND(ISNUMBER($K$803),$B$419=1),$K$803,HLOOKUP(INDIRECT(ADDRESS(2,COLUMN())),OFFSET($BN$2,0,0,ROW()-1,60),ROW()-1,FALSE))</f>
        <v>-17.797999999999998</v>
      </c>
      <c r="L364">
        <f ca="1">IF(AND(ISNUMBER($L$803),$B$419=1),$L$803,HLOOKUP(INDIRECT(ADDRESS(2,COLUMN())),OFFSET($BN$2,0,0,ROW()-1,60),ROW()-1,FALSE))</f>
        <v>-30.439</v>
      </c>
      <c r="M364">
        <f ca="1">IF(AND(ISNUMBER($M$803),$B$419=1),$M$803,HLOOKUP(INDIRECT(ADDRESS(2,COLUMN())),OFFSET($BN$2,0,0,ROW()-1,60),ROW()-1,FALSE))</f>
        <v>-261.50099999999998</v>
      </c>
      <c r="N364">
        <f ca="1">IF(AND(ISNUMBER($N$803),$B$419=1),$N$803,HLOOKUP(INDIRECT(ADDRESS(2,COLUMN())),OFFSET($BN$2,0,0,ROW()-1,60),ROW()-1,FALSE))</f>
        <v>38.53</v>
      </c>
      <c r="O364">
        <f ca="1">IF(AND(ISNUMBER($O$803),$B$419=1),$O$803,HLOOKUP(INDIRECT(ADDRESS(2,COLUMN())),OFFSET($BN$2,0,0,ROW()-1,60),ROW()-1,FALSE))</f>
        <v>4.7380000000000004</v>
      </c>
      <c r="P364">
        <f ca="1">IF(AND(ISNUMBER($P$803),$B$419=1),$P$803,HLOOKUP(INDIRECT(ADDRESS(2,COLUMN())),OFFSET($BN$2,0,0,ROW()-1,60),ROW()-1,FALSE))</f>
        <v>6.7679999999999998</v>
      </c>
      <c r="Q364">
        <f ca="1">IF(AND(ISNUMBER($Q$803),$B$419=1),$Q$803,HLOOKUP(INDIRECT(ADDRESS(2,COLUMN())),OFFSET($BN$2,0,0,ROW()-1,60),ROW()-1,FALSE))</f>
        <v>18.384</v>
      </c>
      <c r="R364">
        <f ca="1">IF(AND(ISNUMBER($R$803),$B$419=1),$R$803,HLOOKUP(INDIRECT(ADDRESS(2,COLUMN())),OFFSET($BN$2,0,0,ROW()-1,60),ROW()-1,FALSE))</f>
        <v>-4.5890000000000004</v>
      </c>
      <c r="S364">
        <f ca="1">IF(AND(ISNUMBER($S$803),$B$419=1),$S$803,HLOOKUP(INDIRECT(ADDRESS(2,COLUMN())),OFFSET($BN$2,0,0,ROW()-1,60),ROW()-1,FALSE))</f>
        <v>-31.855</v>
      </c>
      <c r="T364">
        <f ca="1">IF(AND(ISNUMBER($T$803),$B$419=1),$T$803,HLOOKUP(INDIRECT(ADDRESS(2,COLUMN())),OFFSET($BN$2,0,0,ROW()-1,60),ROW()-1,FALSE))</f>
        <v>12.852</v>
      </c>
      <c r="U364">
        <f ca="1">IF(AND(ISNUMBER($U$803),$B$419=1),$U$803,HLOOKUP(INDIRECT(ADDRESS(2,COLUMN())),OFFSET($BN$2,0,0,ROW()-1,60),ROW()-1,FALSE))</f>
        <v>19.715</v>
      </c>
      <c r="V364">
        <f ca="1">IF(AND(ISNUMBER($V$803),$B$419=1),$V$803,HLOOKUP(INDIRECT(ADDRESS(2,COLUMN())),OFFSET($BN$2,0,0,ROW()-1,60),ROW()-1,FALSE))</f>
        <v>-73.326999999999998</v>
      </c>
      <c r="W364">
        <f ca="1">IF(AND(ISNUMBER($W$803),$B$419=1),$W$803,HLOOKUP(INDIRECT(ADDRESS(2,COLUMN())),OFFSET($BN$2,0,0,ROW()-1,60),ROW()-1,FALSE))</f>
        <v>-81.816999999999993</v>
      </c>
      <c r="X364">
        <f ca="1">IF(AND(ISNUMBER($X$803),$B$419=1),$X$803,HLOOKUP(INDIRECT(ADDRESS(2,COLUMN())),OFFSET($BN$2,0,0,ROW()-1,60),ROW()-1,FALSE))</f>
        <v>13.018000000000001</v>
      </c>
      <c r="Y364">
        <f ca="1">IF(AND(ISNUMBER($Y$803),$B$419=1),$Y$803,HLOOKUP(INDIRECT(ADDRESS(2,COLUMN())),OFFSET($BN$2,0,0,ROW()-1,60),ROW()-1,FALSE))</f>
        <v>-10.484999999999999</v>
      </c>
      <c r="Z364">
        <f ca="1">IF(AND(ISNUMBER($Z$803),$B$419=1),$Z$803,HLOOKUP(INDIRECT(ADDRESS(2,COLUMN())),OFFSET($BN$2,0,0,ROW()-1,60),ROW()-1,FALSE))</f>
        <v>8.9339999999999993</v>
      </c>
      <c r="AA364">
        <f ca="1">IF(AND(ISNUMBER($AA$803),$B$419=1),$AA$803,HLOOKUP(INDIRECT(ADDRESS(2,COLUMN())),OFFSET($BN$2,0,0,ROW()-1,60),ROW()-1,FALSE))</f>
        <v>-83.888000000000005</v>
      </c>
      <c r="AB364">
        <f ca="1">IF(AND(ISNUMBER($AB$803),$B$419=1),$AB$803,HLOOKUP(INDIRECT(ADDRESS(2,COLUMN())),OFFSET($BN$2,0,0,ROW()-1,60),ROW()-1,FALSE))</f>
        <v>-10.441000000000001</v>
      </c>
      <c r="AC364">
        <f ca="1">IF(AND(ISNUMBER($AC$803),$B$419=1),$AC$803,HLOOKUP(INDIRECT(ADDRESS(2,COLUMN())),OFFSET($BN$2,0,0,ROW()-1,60),ROW()-1,FALSE))</f>
        <v>20.076000000000001</v>
      </c>
      <c r="AD364">
        <f ca="1">IF(AND(ISNUMBER($AD$803),$B$419=1),$AD$803,HLOOKUP(INDIRECT(ADDRESS(2,COLUMN())),OFFSET($BN$2,0,0,ROW()-1,60),ROW()-1,FALSE))</f>
        <v>10.853999999999999</v>
      </c>
      <c r="AE364">
        <f ca="1">IF(AND(ISNUMBER($AE$803),$B$419=1),$AE$803,HLOOKUP(INDIRECT(ADDRESS(2,COLUMN())),OFFSET($BN$2,0,0,ROW()-1,60),ROW()-1,FALSE))</f>
        <v>9.7840000000000007</v>
      </c>
      <c r="AF364">
        <f ca="1">IF(AND(ISNUMBER($AF$803),$B$419=1),$AF$803,HLOOKUP(INDIRECT(ADDRESS(2,COLUMN())),OFFSET($BN$2,0,0,ROW()-1,60),ROW()-1,FALSE))</f>
        <v>-9.69</v>
      </c>
      <c r="AG364">
        <f ca="1">IF(AND(ISNUMBER($AG$803),$B$419=1),$AG$803,HLOOKUP(INDIRECT(ADDRESS(2,COLUMN())),OFFSET($BN$2,0,0,ROW()-1,60),ROW()-1,FALSE))</f>
        <v>28.669</v>
      </c>
      <c r="AH364">
        <f ca="1">IF(AND(ISNUMBER($AH$803),$B$419=1),$AH$803,HLOOKUP(INDIRECT(ADDRESS(2,COLUMN())),OFFSET($BN$2,0,0,ROW()-1,60),ROW()-1,FALSE))</f>
        <v>36.171999999999997</v>
      </c>
      <c r="AI364">
        <f ca="1">IF(AND(ISNUMBER($AI$803),$B$419=1),$AI$803,HLOOKUP(INDIRECT(ADDRESS(2,COLUMN())),OFFSET($BN$2,0,0,ROW()-1,60),ROW()-1,FALSE))</f>
        <v>-31.51</v>
      </c>
      <c r="AJ364">
        <f ca="1">IF(AND(ISNUMBER($AJ$803),$B$419=1),$AJ$803,HLOOKUP(INDIRECT(ADDRESS(2,COLUMN())),OFFSET($BN$2,0,0,ROW()-1,60),ROW()-1,FALSE))</f>
        <v>17.629000000000001</v>
      </c>
      <c r="AK364">
        <f ca="1">IF(AND(ISNUMBER($AK$803),$B$419=1),$AK$803,HLOOKUP(INDIRECT(ADDRESS(2,COLUMN())),OFFSET($BN$2,0,0,ROW()-1,60),ROW()-1,FALSE))</f>
        <v>25.265999999999998</v>
      </c>
      <c r="AL364">
        <f ca="1">IF(AND(ISNUMBER($AL$803),$B$419=1),$AL$803,HLOOKUP(INDIRECT(ADDRESS(2,COLUMN())),OFFSET($BN$2,0,0,ROW()-1,60),ROW()-1,FALSE))</f>
        <v>36.616</v>
      </c>
      <c r="AM364">
        <f ca="1">IF(AND(ISNUMBER($AM$803),$B$419=1),$AM$803,HLOOKUP(INDIRECT(ADDRESS(2,COLUMN())),OFFSET($BN$2,0,0,ROW()-1,60),ROW()-1,FALSE))</f>
        <v>10.250999999999999</v>
      </c>
      <c r="AN364">
        <f ca="1">IF(AND(ISNUMBER($AN$803),$B$419=1),$AN$803,HLOOKUP(INDIRECT(ADDRESS(2,COLUMN())),OFFSET($BN$2,0,0,ROW()-1,60),ROW()-1,FALSE))</f>
        <v>31.850999999999999</v>
      </c>
      <c r="AO364">
        <f ca="1">IF(AND(ISNUMBER($AO$803),$B$419=1),$AO$803,HLOOKUP(INDIRECT(ADDRESS(2,COLUMN())),OFFSET($BN$2,0,0,ROW()-1,60),ROW()-1,FALSE))</f>
        <v>17.013000000000002</v>
      </c>
      <c r="AP364">
        <f ca="1">IF(AND(ISNUMBER($AP$803),$B$419=1),$AP$803,HLOOKUP(INDIRECT(ADDRESS(2,COLUMN())),OFFSET($BN$2,0,0,ROW()-1,60),ROW()-1,FALSE))</f>
        <v>-6.3</v>
      </c>
      <c r="AQ364">
        <f ca="1">IF(AND(ISNUMBER($AQ$803),$B$419=1),$AQ$803,HLOOKUP(INDIRECT(ADDRESS(2,COLUMN())),OFFSET($BN$2,0,0,ROW()-1,60),ROW()-1,FALSE))</f>
        <v>-9.2859999999999996</v>
      </c>
      <c r="AR364">
        <f ca="1">IF(AND(ISNUMBER($AR$803),$B$419=1),$AR$803,HLOOKUP(INDIRECT(ADDRESS(2,COLUMN())),OFFSET($BN$2,0,0,ROW()-1,60),ROW()-1,FALSE))</f>
        <v>-46.674999999999997</v>
      </c>
      <c r="AS364">
        <f ca="1">IF(AND(ISNUMBER($AS$803),$B$419=1),$AS$803,HLOOKUP(INDIRECT(ADDRESS(2,COLUMN())),OFFSET($BN$2,0,0,ROW()-1,60),ROW()-1,FALSE))</f>
        <v>-46.728999999999999</v>
      </c>
      <c r="AT364">
        <f ca="1">IF(AND(ISNUMBER($AT$803),$B$419=1),$AT$803,HLOOKUP(INDIRECT(ADDRESS(2,COLUMN())),OFFSET($BN$2,0,0,ROW()-1,60),ROW()-1,FALSE))</f>
        <v>-66.924000000000007</v>
      </c>
      <c r="AU364">
        <f ca="1">IF(AND(ISNUMBER($AU$803),$B$419=1),$AU$803,HLOOKUP(INDIRECT(ADDRESS(2,COLUMN())),OFFSET($BN$2,0,0,ROW()-1,60),ROW()-1,FALSE))</f>
        <v>-95.947000000000003</v>
      </c>
      <c r="AV364">
        <f ca="1">IF(AND(ISNUMBER($AV$803),$B$419=1),$AV$803,HLOOKUP(INDIRECT(ADDRESS(2,COLUMN())),OFFSET($BN$2,0,0,ROW()-1,60),ROW()-1,FALSE))</f>
        <v>-69.480999999999995</v>
      </c>
      <c r="AW364">
        <f ca="1">IF(AND(ISNUMBER($AW$803),$B$419=1),$AW$803,HLOOKUP(INDIRECT(ADDRESS(2,COLUMN())),OFFSET($BN$2,0,0,ROW()-1,60),ROW()-1,FALSE))</f>
        <v>-178.208</v>
      </c>
      <c r="AX364">
        <f ca="1">IF(AND(ISNUMBER($AX$803),$B$419=1),$AX$803,HLOOKUP(INDIRECT(ADDRESS(2,COLUMN())),OFFSET($BN$2,0,0,ROW()-1,60),ROW()-1,FALSE))</f>
        <v>-120.596</v>
      </c>
      <c r="AY364">
        <f ca="1">IF(AND(ISNUMBER($AY$803),$B$419=1),$AY$803,HLOOKUP(INDIRECT(ADDRESS(2,COLUMN())),OFFSET($BN$2,0,0,ROW()-1,60),ROW()-1,FALSE))</f>
        <v>-45.773000000000003</v>
      </c>
      <c r="AZ364">
        <f ca="1">IF(AND(ISNUMBER($AZ$803),$B$419=1),$AZ$803,HLOOKUP(INDIRECT(ADDRESS(2,COLUMN())),OFFSET($BN$2,0,0,ROW()-1,60),ROW()-1,FALSE))</f>
        <v>-91.643000000000001</v>
      </c>
      <c r="BA364">
        <f ca="1">IF(AND(ISNUMBER($BA$803),$B$419=1),$BA$803,HLOOKUP(INDIRECT(ADDRESS(2,COLUMN())),OFFSET($BN$2,0,0,ROW()-1,60),ROW()-1,FALSE))</f>
        <v>-22.54</v>
      </c>
      <c r="BB364">
        <f ca="1">IF(AND(ISNUMBER($BB$803),$B$419=1),$BB$803,HLOOKUP(INDIRECT(ADDRESS(2,COLUMN())),OFFSET($BN$2,0,0,ROW()-1,60),ROW()-1,FALSE))</f>
        <v>-47.402000000000001</v>
      </c>
      <c r="BC364">
        <f ca="1">IF(AND(ISNUMBER($BC$803),$B$419=1),$BC$803,HLOOKUP(INDIRECT(ADDRESS(2,COLUMN())),OFFSET($BN$2,0,0,ROW()-1,60),ROW()-1,FALSE))</f>
        <v>-49.203000000000003</v>
      </c>
      <c r="BD364">
        <f ca="1">IF(AND(ISNUMBER($BD$803),$B$419=1),$BD$803,HLOOKUP(INDIRECT(ADDRESS(2,COLUMN())),OFFSET($BN$2,0,0,ROW()-1,60),ROW()-1,FALSE))</f>
        <v>-53.578000000000003</v>
      </c>
      <c r="BE364">
        <f ca="1">IF(AND(ISNUMBER($BE$803),$B$419=1),$BE$803,HLOOKUP(INDIRECT(ADDRESS(2,COLUMN())),OFFSET($BN$2,0,0,ROW()-1,60),ROW()-1,FALSE))</f>
        <v>18.242000000000001</v>
      </c>
      <c r="BF364">
        <f ca="1">IF(AND(ISNUMBER($BF$803),$B$419=1),$BF$803,HLOOKUP(INDIRECT(ADDRESS(2,COLUMN())),OFFSET($BN$2,0,0,ROW()-1,60),ROW()-1,FALSE))</f>
        <v>-36.72</v>
      </c>
      <c r="BG364">
        <f ca="1">IF(AND(ISNUMBER($BG$803),$B$419=1),$BG$803,HLOOKUP(INDIRECT(ADDRESS(2,COLUMN())),OFFSET($BN$2,0,0,ROW()-1,60),ROW()-1,FALSE))</f>
        <v>-93.641999999999996</v>
      </c>
      <c r="BH364">
        <f ca="1">IF(AND(ISNUMBER($BH$803),$B$419=1),$BH$803,HLOOKUP(INDIRECT(ADDRESS(2,COLUMN())),OFFSET($BN$2,0,0,ROW()-1,60),ROW()-1,FALSE))</f>
        <v>-29.36</v>
      </c>
      <c r="BI364">
        <f ca="1">IF(AND(ISNUMBER($BI$803),$B$419=1),$BI$803,HLOOKUP(INDIRECT(ADDRESS(2,COLUMN())),OFFSET($BN$2,0,0,ROW()-1,60),ROW()-1,FALSE))</f>
        <v>-64.249992000000006</v>
      </c>
      <c r="BJ364">
        <f ca="1">IF(AND(ISNUMBER($BJ$803),$B$419=1),$BJ$803,HLOOKUP(INDIRECT(ADDRESS(2,COLUMN())),OFFSET($BN$2,0,0,ROW()-1,60),ROW()-1,FALSE))</f>
        <v>-29.422001000000002</v>
      </c>
      <c r="BK364">
        <f ca="1">IF(AND(ISNUMBER($BK$803),$B$419=1),$BK$803,HLOOKUP(INDIRECT(ADDRESS(2,COLUMN())),OFFSET($BN$2,0,0,ROW()-1,60),ROW()-1,FALSE))</f>
        <v>-117.0060043</v>
      </c>
      <c r="BL364">
        <f ca="1">IF(AND(ISNUMBER($BL$803),$B$419=1),$BL$803,HLOOKUP(INDIRECT(ADDRESS(2,COLUMN())),OFFSET($BN$2,0,0,ROW()-1,60),ROW()-1,FALSE))</f>
        <v>-52.184997000000003</v>
      </c>
      <c r="BM364">
        <f ca="1">IF(AND(ISNUMBER($BM$803),$B$419=1),$BM$803,HLOOKUP(INDIRECT(ADDRESS(2,COLUMN())),OFFSET($BN$2,0,0,ROW()-1,60),ROW()-1,FALSE))</f>
        <v>1.968996</v>
      </c>
      <c r="BN364" t="str">
        <f>""</f>
        <v/>
      </c>
      <c r="BO364">
        <f>-105.842</f>
        <v>-105.842</v>
      </c>
      <c r="BP364">
        <f>85.741</f>
        <v>85.741</v>
      </c>
      <c r="BQ364">
        <f>47.604</f>
        <v>47.603999999999999</v>
      </c>
      <c r="BR364">
        <f>-33.781</f>
        <v>-33.780999999999999</v>
      </c>
      <c r="BS364">
        <f>-17.798</f>
        <v>-17.797999999999998</v>
      </c>
      <c r="BT364">
        <f>-30.439</f>
        <v>-30.439</v>
      </c>
      <c r="BU364">
        <f>-261.501</f>
        <v>-261.50099999999998</v>
      </c>
      <c r="BV364">
        <f>38.53</f>
        <v>38.53</v>
      </c>
      <c r="BW364">
        <f>4.738</f>
        <v>4.7380000000000004</v>
      </c>
      <c r="BX364">
        <f>6.768</f>
        <v>6.7679999999999998</v>
      </c>
      <c r="BY364">
        <f>18.384</f>
        <v>18.384</v>
      </c>
      <c r="BZ364">
        <f>-4.589</f>
        <v>-4.5890000000000004</v>
      </c>
      <c r="CA364">
        <f>-31.855</f>
        <v>-31.855</v>
      </c>
      <c r="CB364">
        <f>12.852</f>
        <v>12.852</v>
      </c>
      <c r="CC364">
        <f>19.715</f>
        <v>19.715</v>
      </c>
      <c r="CD364">
        <f>-73.327</f>
        <v>-73.326999999999998</v>
      </c>
      <c r="CE364">
        <f>-81.817</f>
        <v>-81.816999999999993</v>
      </c>
      <c r="CF364">
        <f>13.018</f>
        <v>13.018000000000001</v>
      </c>
      <c r="CG364">
        <f>-10.485</f>
        <v>-10.484999999999999</v>
      </c>
      <c r="CH364">
        <f>8.934</f>
        <v>8.9339999999999993</v>
      </c>
      <c r="CI364">
        <f>-83.888</f>
        <v>-83.888000000000005</v>
      </c>
      <c r="CJ364">
        <f>-10.441</f>
        <v>-10.441000000000001</v>
      </c>
      <c r="CK364">
        <f>20.076</f>
        <v>20.076000000000001</v>
      </c>
      <c r="CL364">
        <f>10.854</f>
        <v>10.853999999999999</v>
      </c>
      <c r="CM364">
        <f>9.784</f>
        <v>9.7840000000000007</v>
      </c>
      <c r="CN364">
        <f>-9.69</f>
        <v>-9.69</v>
      </c>
      <c r="CO364">
        <f>28.669</f>
        <v>28.669</v>
      </c>
      <c r="CP364">
        <f>36.172</f>
        <v>36.171999999999997</v>
      </c>
      <c r="CQ364">
        <f>-31.51</f>
        <v>-31.51</v>
      </c>
      <c r="CR364">
        <f>17.629</f>
        <v>17.629000000000001</v>
      </c>
      <c r="CS364">
        <f>25.266</f>
        <v>25.265999999999998</v>
      </c>
      <c r="CT364">
        <f>36.616</f>
        <v>36.616</v>
      </c>
      <c r="CU364">
        <f>10.251</f>
        <v>10.250999999999999</v>
      </c>
      <c r="CV364">
        <f>31.851</f>
        <v>31.850999999999999</v>
      </c>
      <c r="CW364">
        <f>17.013</f>
        <v>17.013000000000002</v>
      </c>
      <c r="CX364">
        <f>-6.3</f>
        <v>-6.3</v>
      </c>
      <c r="CY364">
        <f>-9.286</f>
        <v>-9.2859999999999996</v>
      </c>
      <c r="CZ364">
        <f>-46.675</f>
        <v>-46.674999999999997</v>
      </c>
      <c r="DA364">
        <f>-46.729</f>
        <v>-46.728999999999999</v>
      </c>
      <c r="DB364">
        <f>-66.924</f>
        <v>-66.924000000000007</v>
      </c>
      <c r="DC364">
        <f>-95.947</f>
        <v>-95.947000000000003</v>
      </c>
      <c r="DD364">
        <f>-69.481</f>
        <v>-69.480999999999995</v>
      </c>
      <c r="DE364">
        <f>-178.208</f>
        <v>-178.208</v>
      </c>
      <c r="DF364">
        <f>-120.596</f>
        <v>-120.596</v>
      </c>
      <c r="DG364">
        <f>-45.773</f>
        <v>-45.773000000000003</v>
      </c>
      <c r="DH364">
        <f>-91.643</f>
        <v>-91.643000000000001</v>
      </c>
      <c r="DI364">
        <f>-22.54</f>
        <v>-22.54</v>
      </c>
      <c r="DJ364">
        <f>-47.402</f>
        <v>-47.402000000000001</v>
      </c>
      <c r="DK364">
        <f>-49.203</f>
        <v>-49.203000000000003</v>
      </c>
      <c r="DL364">
        <f>-53.578</f>
        <v>-53.578000000000003</v>
      </c>
      <c r="DM364">
        <f>18.242</f>
        <v>18.242000000000001</v>
      </c>
      <c r="DN364">
        <f>-36.72</f>
        <v>-36.72</v>
      </c>
      <c r="DO364">
        <f>-93.642</f>
        <v>-93.641999999999996</v>
      </c>
      <c r="DP364">
        <f>-29.36</f>
        <v>-29.36</v>
      </c>
      <c r="DQ364">
        <f>-64.249992</f>
        <v>-64.249992000000006</v>
      </c>
      <c r="DR364">
        <f>-29.422001</f>
        <v>-29.422001000000002</v>
      </c>
      <c r="DS364">
        <f>-117.0060043</f>
        <v>-117.0060043</v>
      </c>
      <c r="DT364">
        <f>-52.184997</f>
        <v>-52.184997000000003</v>
      </c>
      <c r="DU364">
        <f>1.968996</f>
        <v>1.968996</v>
      </c>
    </row>
    <row r="365" spans="1:125">
      <c r="A365" t="str">
        <f>"    Retail Opportunity Investments"</f>
        <v xml:space="preserve">    Retail Opportunity Investments</v>
      </c>
      <c r="B365" t="str">
        <f>"ROIC US Equity"</f>
        <v>ROIC US Equity</v>
      </c>
      <c r="C365" t="str">
        <f t="shared" si="66"/>
        <v>RR008</v>
      </c>
      <c r="D365" t="str">
        <f t="shared" si="67"/>
        <v>CF_FREE_CASH_FLOW</v>
      </c>
      <c r="E365" t="str">
        <f t="shared" si="68"/>
        <v>动态</v>
      </c>
      <c r="F365" t="str">
        <f ca="1">IF(AND(ISNUMBER($F$804),$B$419=1),$F$804,HLOOKUP(INDIRECT(ADDRESS(2,COLUMN())),OFFSET($BN$2,0,0,ROW()-1,60),ROW()-1,FALSE))</f>
        <v/>
      </c>
      <c r="G365">
        <f ca="1">IF(AND(ISNUMBER($G$804),$B$419=1),$G$804,HLOOKUP(INDIRECT(ADDRESS(2,COLUMN())),OFFSET($BN$2,0,0,ROW()-1,60),ROW()-1,FALSE))</f>
        <v>10.33</v>
      </c>
      <c r="H365">
        <f ca="1">IF(AND(ISNUMBER($H$804),$B$419=1),$H$804,HLOOKUP(INDIRECT(ADDRESS(2,COLUMN())),OFFSET($BN$2,0,0,ROW()-1,60),ROW()-1,FALSE))</f>
        <v>18.82</v>
      </c>
      <c r="I365">
        <f ca="1">IF(AND(ISNUMBER($I$804),$B$419=1),$I$804,HLOOKUP(INDIRECT(ADDRESS(2,COLUMN())),OFFSET($BN$2,0,0,ROW()-1,60),ROW()-1,FALSE))</f>
        <v>12.772</v>
      </c>
      <c r="J365">
        <f ca="1">IF(AND(ISNUMBER($J$804),$B$419=1),$J$804,HLOOKUP(INDIRECT(ADDRESS(2,COLUMN())),OFFSET($BN$2,0,0,ROW()-1,60),ROW()-1,FALSE))</f>
        <v>32.276000000000003</v>
      </c>
      <c r="K365">
        <f ca="1">IF(AND(ISNUMBER($K$804),$B$419=1),$K$804,HLOOKUP(INDIRECT(ADDRESS(2,COLUMN())),OFFSET($BN$2,0,0,ROW()-1,60),ROW()-1,FALSE))</f>
        <v>7.335</v>
      </c>
      <c r="L365">
        <f ca="1">IF(AND(ISNUMBER($L$804),$B$419=1),$L$804,HLOOKUP(INDIRECT(ADDRESS(2,COLUMN())),OFFSET($BN$2,0,0,ROW()-1,60),ROW()-1,FALSE))</f>
        <v>29.285</v>
      </c>
      <c r="M365">
        <f ca="1">IF(AND(ISNUMBER($M$804),$B$419=1),$M$804,HLOOKUP(INDIRECT(ADDRESS(2,COLUMN())),OFFSET($BN$2,0,0,ROW()-1,60),ROW()-1,FALSE))</f>
        <v>10.646000000000001</v>
      </c>
      <c r="N365">
        <f ca="1">IF(AND(ISNUMBER($N$804),$B$419=1),$N$804,HLOOKUP(INDIRECT(ADDRESS(2,COLUMN())),OFFSET($BN$2,0,0,ROW()-1,60),ROW()-1,FALSE))</f>
        <v>26.658000000000001</v>
      </c>
      <c r="O365">
        <f ca="1">IF(AND(ISNUMBER($O$804),$B$419=1),$O$804,HLOOKUP(INDIRECT(ADDRESS(2,COLUMN())),OFFSET($BN$2,0,0,ROW()-1,60),ROW()-1,FALSE))</f>
        <v>4.085</v>
      </c>
      <c r="P365">
        <f ca="1">IF(AND(ISNUMBER($P$804),$B$419=1),$P$804,HLOOKUP(INDIRECT(ADDRESS(2,COLUMN())),OFFSET($BN$2,0,0,ROW()-1,60),ROW()-1,FALSE))</f>
        <v>24.251999999999999</v>
      </c>
      <c r="Q365">
        <f ca="1">IF(AND(ISNUMBER($Q$804),$B$419=1),$Q$804,HLOOKUP(INDIRECT(ADDRESS(2,COLUMN())),OFFSET($BN$2,0,0,ROW()-1,60),ROW()-1,FALSE))</f>
        <v>8.1999999999999993</v>
      </c>
      <c r="R365">
        <f ca="1">IF(AND(ISNUMBER($R$804),$B$419=1),$R$804,HLOOKUP(INDIRECT(ADDRESS(2,COLUMN())),OFFSET($BN$2,0,0,ROW()-1,60),ROW()-1,FALSE))</f>
        <v>22.864999999999998</v>
      </c>
      <c r="S365">
        <f ca="1">IF(AND(ISNUMBER($S$804),$B$419=1),$S$804,HLOOKUP(INDIRECT(ADDRESS(2,COLUMN())),OFFSET($BN$2,0,0,ROW()-1,60),ROW()-1,FALSE))</f>
        <v>2.2878569999999998</v>
      </c>
      <c r="T365">
        <f ca="1">IF(AND(ISNUMBER($T$804),$B$419=1),$T$804,HLOOKUP(INDIRECT(ADDRESS(2,COLUMN())),OFFSET($BN$2,0,0,ROW()-1,60),ROW()-1,FALSE))</f>
        <v>13.771383999999999</v>
      </c>
      <c r="U365">
        <f ca="1">IF(AND(ISNUMBER($U$804),$B$419=1),$U$804,HLOOKUP(INDIRECT(ADDRESS(2,COLUMN())),OFFSET($BN$2,0,0,ROW()-1,60),ROW()-1,FALSE))</f>
        <v>9.6466709999999996</v>
      </c>
      <c r="V365">
        <f ca="1">IF(AND(ISNUMBER($V$804),$B$419=1),$V$804,HLOOKUP(INDIRECT(ADDRESS(2,COLUMN())),OFFSET($BN$2,0,0,ROW()-1,60),ROW()-1,FALSE))</f>
        <v>13.359</v>
      </c>
      <c r="W365">
        <f ca="1">IF(AND(ISNUMBER($W$804),$B$419=1),$W$804,HLOOKUP(INDIRECT(ADDRESS(2,COLUMN())),OFFSET($BN$2,0,0,ROW()-1,60),ROW()-1,FALSE))</f>
        <v>-2.8552999999999999E-2</v>
      </c>
      <c r="X365">
        <f ca="1">IF(AND(ISNUMBER($X$804),$B$419=1),$X$804,HLOOKUP(INDIRECT(ADDRESS(2,COLUMN())),OFFSET($BN$2,0,0,ROW()-1,60),ROW()-1,FALSE))</f>
        <v>-33.907285000000002</v>
      </c>
      <c r="Y365">
        <f ca="1">IF(AND(ISNUMBER($Y$804),$B$419=1),$Y$804,HLOOKUP(INDIRECT(ADDRESS(2,COLUMN())),OFFSET($BN$2,0,0,ROW()-1,60),ROW()-1,FALSE))</f>
        <v>7.9238210000000002</v>
      </c>
      <c r="Z365">
        <f ca="1">IF(AND(ISNUMBER($Z$804),$B$419=1),$Z$804,HLOOKUP(INDIRECT(ADDRESS(2,COLUMN())),OFFSET($BN$2,0,0,ROW()-1,60),ROW()-1,FALSE))</f>
        <v>1.3198510000000001</v>
      </c>
      <c r="AA365">
        <f ca="1">IF(AND(ISNUMBER($AA$804),$B$419=1),$AA$804,HLOOKUP(INDIRECT(ADDRESS(2,COLUMN())),OFFSET($BN$2,0,0,ROW()-1,60),ROW()-1,FALSE))</f>
        <v>-0.40190599999999999</v>
      </c>
      <c r="AB365">
        <f ca="1">IF(AND(ISNUMBER($AB$804),$B$419=1),$AB$804,HLOOKUP(INDIRECT(ADDRESS(2,COLUMN())),OFFSET($BN$2,0,0,ROW()-1,60),ROW()-1,FALSE))</f>
        <v>7.2293180000000001</v>
      </c>
      <c r="AC365">
        <f ca="1">IF(AND(ISNUMBER($AC$804),$B$419=1),$AC$804,HLOOKUP(INDIRECT(ADDRESS(2,COLUMN())),OFFSET($BN$2,0,0,ROW()-1,60),ROW()-1,FALSE))</f>
        <v>3.9782760000000001</v>
      </c>
      <c r="AD365">
        <f ca="1">IF(AND(ISNUMBER($AD$804),$B$419=1),$AD$804,HLOOKUP(INDIRECT(ADDRESS(2,COLUMN())),OFFSET($BN$2,0,0,ROW()-1,60),ROW()-1,FALSE))</f>
        <v>2.51078</v>
      </c>
      <c r="AE365">
        <f ca="1">IF(AND(ISNUMBER($AE$804),$B$419=1),$AE$804,HLOOKUP(INDIRECT(ADDRESS(2,COLUMN())),OFFSET($BN$2,0,0,ROW()-1,60),ROW()-1,FALSE))</f>
        <v>0.40031600000000001</v>
      </c>
      <c r="AF365">
        <f ca="1">IF(AND(ISNUMBER($AF$804),$B$419=1),$AF$804,HLOOKUP(INDIRECT(ADDRESS(2,COLUMN())),OFFSET($BN$2,0,0,ROW()-1,60),ROW()-1,FALSE))</f>
        <v>3.8859460000000001</v>
      </c>
      <c r="AG365">
        <f ca="1">IF(AND(ISNUMBER($AG$804),$B$419=1),$AG$804,HLOOKUP(INDIRECT(ADDRESS(2,COLUMN())),OFFSET($BN$2,0,0,ROW()-1,60),ROW()-1,FALSE))</f>
        <v>1.2144090000000001</v>
      </c>
      <c r="AH365">
        <f ca="1">IF(AND(ISNUMBER($AH$804),$B$419=1),$AH$804,HLOOKUP(INDIRECT(ADDRESS(2,COLUMN())),OFFSET($BN$2,0,0,ROW()-1,60),ROW()-1,FALSE))</f>
        <v>3.845405</v>
      </c>
      <c r="AI365">
        <f ca="1">IF(AND(ISNUMBER($AI$804),$B$419=1),$AI$804,HLOOKUP(INDIRECT(ADDRESS(2,COLUMN())),OFFSET($BN$2,0,0,ROW()-1,60),ROW()-1,FALSE))</f>
        <v>-11.214567000000001</v>
      </c>
      <c r="AJ365">
        <f ca="1">IF(AND(ISNUMBER($AJ$804),$B$419=1),$AJ$804,HLOOKUP(INDIRECT(ADDRESS(2,COLUMN())),OFFSET($BN$2,0,0,ROW()-1,60),ROW()-1,FALSE))</f>
        <v>-0.51895599999999997</v>
      </c>
      <c r="AK365">
        <f ca="1">IF(AND(ISNUMBER($AK$804),$B$419=1),$AK$804,HLOOKUP(INDIRECT(ADDRESS(2,COLUMN())),OFFSET($BN$2,0,0,ROW()-1,60),ROW()-1,FALSE))</f>
        <v>-0.84282500000000005</v>
      </c>
      <c r="AL365">
        <f ca="1">IF(AND(ISNUMBER($AL$804),$B$419=1),$AL$804,HLOOKUP(INDIRECT(ADDRESS(2,COLUMN())),OFFSET($BN$2,0,0,ROW()-1,60),ROW()-1,FALSE))</f>
        <v>-3.3251629999999999</v>
      </c>
      <c r="AM365" t="str">
        <f ca="1">IF(AND(ISNUMBER($AM$804),$B$419=1),$AM$804,HLOOKUP(INDIRECT(ADDRESS(2,COLUMN())),OFFSET($BN$2,0,0,ROW()-1,60),ROW()-1,FALSE))</f>
        <v/>
      </c>
      <c r="AN365" t="str">
        <f ca="1">IF(AND(ISNUMBER($AN$804),$B$419=1),$AN$804,HLOOKUP(INDIRECT(ADDRESS(2,COLUMN())),OFFSET($BN$2,0,0,ROW()-1,60),ROW()-1,FALSE))</f>
        <v/>
      </c>
      <c r="AO365" t="str">
        <f ca="1">IF(AND(ISNUMBER($AO$804),$B$419=1),$AO$804,HLOOKUP(INDIRECT(ADDRESS(2,COLUMN())),OFFSET($BN$2,0,0,ROW()-1,60),ROW()-1,FALSE))</f>
        <v/>
      </c>
      <c r="AP365" t="str">
        <f ca="1">IF(AND(ISNUMBER($AP$804),$B$419=1),$AP$804,HLOOKUP(INDIRECT(ADDRESS(2,COLUMN())),OFFSET($BN$2,0,0,ROW()-1,60),ROW()-1,FALSE))</f>
        <v/>
      </c>
      <c r="AQ365" t="str">
        <f ca="1">IF(AND(ISNUMBER($AQ$804),$B$419=1),$AQ$804,HLOOKUP(INDIRECT(ADDRESS(2,COLUMN())),OFFSET($BN$2,0,0,ROW()-1,60),ROW()-1,FALSE))</f>
        <v/>
      </c>
      <c r="AR365" t="str">
        <f ca="1">IF(AND(ISNUMBER($AR$804),$B$419=1),$AR$804,HLOOKUP(INDIRECT(ADDRESS(2,COLUMN())),OFFSET($BN$2,0,0,ROW()-1,60),ROW()-1,FALSE))</f>
        <v/>
      </c>
      <c r="AS365" t="str">
        <f ca="1">IF(AND(ISNUMBER($AS$804),$B$419=1),$AS$804,HLOOKUP(INDIRECT(ADDRESS(2,COLUMN())),OFFSET($BN$2,0,0,ROW()-1,60),ROW()-1,FALSE))</f>
        <v/>
      </c>
      <c r="AT365" t="str">
        <f ca="1">IF(AND(ISNUMBER($AT$804),$B$419=1),$AT$804,HLOOKUP(INDIRECT(ADDRESS(2,COLUMN())),OFFSET($BN$2,0,0,ROW()-1,60),ROW()-1,FALSE))</f>
        <v/>
      </c>
      <c r="AU365" t="str">
        <f ca="1">IF(AND(ISNUMBER($AU$804),$B$419=1),$AU$804,HLOOKUP(INDIRECT(ADDRESS(2,COLUMN())),OFFSET($BN$2,0,0,ROW()-1,60),ROW()-1,FALSE))</f>
        <v/>
      </c>
      <c r="AV365" t="str">
        <f ca="1">IF(AND(ISNUMBER($AV$804),$B$419=1),$AV$804,HLOOKUP(INDIRECT(ADDRESS(2,COLUMN())),OFFSET($BN$2,0,0,ROW()-1,60),ROW()-1,FALSE))</f>
        <v/>
      </c>
      <c r="AW365" t="str">
        <f ca="1">IF(AND(ISNUMBER($AW$804),$B$419=1),$AW$804,HLOOKUP(INDIRECT(ADDRESS(2,COLUMN())),OFFSET($BN$2,0,0,ROW()-1,60),ROW()-1,FALSE))</f>
        <v/>
      </c>
      <c r="AX365" t="str">
        <f ca="1">IF(AND(ISNUMBER($AX$804),$B$419=1),$AX$804,HLOOKUP(INDIRECT(ADDRESS(2,COLUMN())),OFFSET($BN$2,0,0,ROW()-1,60),ROW()-1,FALSE))</f>
        <v/>
      </c>
      <c r="AY365" t="str">
        <f ca="1">IF(AND(ISNUMBER($AY$804),$B$419=1),$AY$804,HLOOKUP(INDIRECT(ADDRESS(2,COLUMN())),OFFSET($BN$2,0,0,ROW()-1,60),ROW()-1,FALSE))</f>
        <v/>
      </c>
      <c r="AZ365" t="str">
        <f ca="1">IF(AND(ISNUMBER($AZ$804),$B$419=1),$AZ$804,HLOOKUP(INDIRECT(ADDRESS(2,COLUMN())),OFFSET($BN$2,0,0,ROW()-1,60),ROW()-1,FALSE))</f>
        <v/>
      </c>
      <c r="BA365" t="str">
        <f ca="1">IF(AND(ISNUMBER($BA$804),$B$419=1),$BA$804,HLOOKUP(INDIRECT(ADDRESS(2,COLUMN())),OFFSET($BN$2,0,0,ROW()-1,60),ROW()-1,FALSE))</f>
        <v/>
      </c>
      <c r="BB365" t="str">
        <f ca="1">IF(AND(ISNUMBER($BB$804),$B$419=1),$BB$804,HLOOKUP(INDIRECT(ADDRESS(2,COLUMN())),OFFSET($BN$2,0,0,ROW()-1,60),ROW()-1,FALSE))</f>
        <v/>
      </c>
      <c r="BC365" t="str">
        <f ca="1">IF(AND(ISNUMBER($BC$804),$B$419=1),$BC$804,HLOOKUP(INDIRECT(ADDRESS(2,COLUMN())),OFFSET($BN$2,0,0,ROW()-1,60),ROW()-1,FALSE))</f>
        <v/>
      </c>
      <c r="BD365" t="str">
        <f ca="1">IF(AND(ISNUMBER($BD$804),$B$419=1),$BD$804,HLOOKUP(INDIRECT(ADDRESS(2,COLUMN())),OFFSET($BN$2,0,0,ROW()-1,60),ROW()-1,FALSE))</f>
        <v/>
      </c>
      <c r="BE365" t="str">
        <f ca="1">IF(AND(ISNUMBER($BE$804),$B$419=1),$BE$804,HLOOKUP(INDIRECT(ADDRESS(2,COLUMN())),OFFSET($BN$2,0,0,ROW()-1,60),ROW()-1,FALSE))</f>
        <v/>
      </c>
      <c r="BF365" t="str">
        <f ca="1">IF(AND(ISNUMBER($BF$804),$B$419=1),$BF$804,HLOOKUP(INDIRECT(ADDRESS(2,COLUMN())),OFFSET($BN$2,0,0,ROW()-1,60),ROW()-1,FALSE))</f>
        <v/>
      </c>
      <c r="BG365" t="str">
        <f ca="1">IF(AND(ISNUMBER($BG$804),$B$419=1),$BG$804,HLOOKUP(INDIRECT(ADDRESS(2,COLUMN())),OFFSET($BN$2,0,0,ROW()-1,60),ROW()-1,FALSE))</f>
        <v/>
      </c>
      <c r="BH365" t="str">
        <f ca="1">IF(AND(ISNUMBER($BH$804),$B$419=1),$BH$804,HLOOKUP(INDIRECT(ADDRESS(2,COLUMN())),OFFSET($BN$2,0,0,ROW()-1,60),ROW()-1,FALSE))</f>
        <v/>
      </c>
      <c r="BI365" t="str">
        <f ca="1">IF(AND(ISNUMBER($BI$804),$B$419=1),$BI$804,HLOOKUP(INDIRECT(ADDRESS(2,COLUMN())),OFFSET($BN$2,0,0,ROW()-1,60),ROW()-1,FALSE))</f>
        <v/>
      </c>
      <c r="BJ365" t="str">
        <f ca="1">IF(AND(ISNUMBER($BJ$804),$B$419=1),$BJ$804,HLOOKUP(INDIRECT(ADDRESS(2,COLUMN())),OFFSET($BN$2,0,0,ROW()-1,60),ROW()-1,FALSE))</f>
        <v/>
      </c>
      <c r="BK365" t="str">
        <f ca="1">IF(AND(ISNUMBER($BK$804),$B$419=1),$BK$804,HLOOKUP(INDIRECT(ADDRESS(2,COLUMN())),OFFSET($BN$2,0,0,ROW()-1,60),ROW()-1,FALSE))</f>
        <v/>
      </c>
      <c r="BL365" t="str">
        <f ca="1">IF(AND(ISNUMBER($BL$804),$B$419=1),$BL$804,HLOOKUP(INDIRECT(ADDRESS(2,COLUMN())),OFFSET($BN$2,0,0,ROW()-1,60),ROW()-1,FALSE))</f>
        <v/>
      </c>
      <c r="BM365" t="str">
        <f ca="1">IF(AND(ISNUMBER($BM$804),$B$419=1),$BM$804,HLOOKUP(INDIRECT(ADDRESS(2,COLUMN())),OFFSET($BN$2,0,0,ROW()-1,60),ROW()-1,FALSE))</f>
        <v/>
      </c>
      <c r="BN365" t="str">
        <f>""</f>
        <v/>
      </c>
      <c r="BO365">
        <f>10.33</f>
        <v>10.33</v>
      </c>
      <c r="BP365">
        <f>18.82</f>
        <v>18.82</v>
      </c>
      <c r="BQ365">
        <f>12.772</f>
        <v>12.772</v>
      </c>
      <c r="BR365">
        <f>32.276</f>
        <v>32.276000000000003</v>
      </c>
      <c r="BS365">
        <f>7.335</f>
        <v>7.335</v>
      </c>
      <c r="BT365">
        <f>29.285</f>
        <v>29.285</v>
      </c>
      <c r="BU365">
        <f>10.646</f>
        <v>10.646000000000001</v>
      </c>
      <c r="BV365">
        <f>26.658</f>
        <v>26.658000000000001</v>
      </c>
      <c r="BW365">
        <f>4.085</f>
        <v>4.085</v>
      </c>
      <c r="BX365">
        <f>24.252</f>
        <v>24.251999999999999</v>
      </c>
      <c r="BY365">
        <f>8.2</f>
        <v>8.1999999999999993</v>
      </c>
      <c r="BZ365">
        <f>22.865</f>
        <v>22.864999999999998</v>
      </c>
      <c r="CA365">
        <f>2.287857</f>
        <v>2.2878569999999998</v>
      </c>
      <c r="CB365">
        <f>13.771384</f>
        <v>13.771383999999999</v>
      </c>
      <c r="CC365">
        <f>9.646671</f>
        <v>9.6466709999999996</v>
      </c>
      <c r="CD365">
        <f>13.359</f>
        <v>13.359</v>
      </c>
      <c r="CE365">
        <f>-0.028553</f>
        <v>-2.8552999999999999E-2</v>
      </c>
      <c r="CF365">
        <f>-33.907285</f>
        <v>-33.907285000000002</v>
      </c>
      <c r="CG365">
        <f>7.923821</f>
        <v>7.9238210000000002</v>
      </c>
      <c r="CH365">
        <f>1.319851</f>
        <v>1.3198510000000001</v>
      </c>
      <c r="CI365">
        <f>-0.401906</f>
        <v>-0.40190599999999999</v>
      </c>
      <c r="CJ365">
        <f>7.229318</f>
        <v>7.2293180000000001</v>
      </c>
      <c r="CK365">
        <f>3.978276</f>
        <v>3.9782760000000001</v>
      </c>
      <c r="CL365">
        <f>2.51078</f>
        <v>2.51078</v>
      </c>
      <c r="CM365">
        <f>0.400316</f>
        <v>0.40031600000000001</v>
      </c>
      <c r="CN365">
        <f>3.885946</f>
        <v>3.8859460000000001</v>
      </c>
      <c r="CO365">
        <f>1.214409</f>
        <v>1.2144090000000001</v>
      </c>
      <c r="CP365">
        <f>3.845405</f>
        <v>3.845405</v>
      </c>
      <c r="CQ365">
        <f>-11.214567</f>
        <v>-11.214567000000001</v>
      </c>
      <c r="CR365">
        <f>-0.518956</f>
        <v>-0.51895599999999997</v>
      </c>
      <c r="CS365">
        <f>-0.842825</f>
        <v>-0.84282500000000005</v>
      </c>
      <c r="CT365">
        <f>-3.325163</f>
        <v>-3.3251629999999999</v>
      </c>
      <c r="CU365" t="str">
        <f>""</f>
        <v/>
      </c>
      <c r="CV365" t="str">
        <f>""</f>
        <v/>
      </c>
      <c r="CW365" t="str">
        <f>""</f>
        <v/>
      </c>
      <c r="CX365" t="str">
        <f>""</f>
        <v/>
      </c>
      <c r="CY365" t="str">
        <f>""</f>
        <v/>
      </c>
      <c r="CZ365" t="str">
        <f>""</f>
        <v/>
      </c>
      <c r="DA365" t="str">
        <f>""</f>
        <v/>
      </c>
      <c r="DB365" t="str">
        <f>""</f>
        <v/>
      </c>
      <c r="DC365" t="str">
        <f>""</f>
        <v/>
      </c>
      <c r="DD365" t="str">
        <f>""</f>
        <v/>
      </c>
      <c r="DE365" t="str">
        <f>""</f>
        <v/>
      </c>
      <c r="DF365" t="str">
        <f>""</f>
        <v/>
      </c>
      <c r="DG365" t="str">
        <f>""</f>
        <v/>
      </c>
      <c r="DH365" t="str">
        <f>""</f>
        <v/>
      </c>
      <c r="DI365" t="str">
        <f>""</f>
        <v/>
      </c>
      <c r="DJ365" t="str">
        <f>""</f>
        <v/>
      </c>
      <c r="DK365" t="str">
        <f>""</f>
        <v/>
      </c>
      <c r="DL365" t="str">
        <f>""</f>
        <v/>
      </c>
      <c r="DM365" t="str">
        <f>""</f>
        <v/>
      </c>
      <c r="DN365" t="str">
        <f>""</f>
        <v/>
      </c>
      <c r="DO365" t="str">
        <f>""</f>
        <v/>
      </c>
      <c r="DP365" t="str">
        <f>""</f>
        <v/>
      </c>
      <c r="DQ365" t="str">
        <f>""</f>
        <v/>
      </c>
      <c r="DR365" t="str">
        <f>""</f>
        <v/>
      </c>
      <c r="DS365" t="str">
        <f>""</f>
        <v/>
      </c>
      <c r="DT365" t="str">
        <f>""</f>
        <v/>
      </c>
      <c r="DU365" t="str">
        <f>""</f>
        <v/>
      </c>
    </row>
    <row r="366" spans="1:125">
      <c r="A366" t="str">
        <f>"    Retail Properties of America I"</f>
        <v xml:space="preserve">    Retail Properties of America I</v>
      </c>
      <c r="B366" t="str">
        <f>"RPAI US Equity"</f>
        <v>RPAI US Equity</v>
      </c>
      <c r="C366" t="str">
        <f t="shared" si="66"/>
        <v>RR008</v>
      </c>
      <c r="D366" t="str">
        <f t="shared" si="67"/>
        <v>CF_FREE_CASH_FLOW</v>
      </c>
      <c r="E366" t="str">
        <f t="shared" si="68"/>
        <v>动态</v>
      </c>
      <c r="F366" t="str">
        <f ca="1">IF(AND(ISNUMBER($F$805),$B$419=1),$F$805,HLOOKUP(INDIRECT(ADDRESS(2,COLUMN())),OFFSET($BN$2,0,0,ROW()-1,60),ROW()-1,FALSE))</f>
        <v/>
      </c>
      <c r="G366">
        <f ca="1">IF(AND(ISNUMBER($G$805),$B$419=1),$G$805,HLOOKUP(INDIRECT(ADDRESS(2,COLUMN())),OFFSET($BN$2,0,0,ROW()-1,60),ROW()-1,FALSE))</f>
        <v>-9.3919999999999995</v>
      </c>
      <c r="H366">
        <f ca="1">IF(AND(ISNUMBER($H$805),$B$419=1),$H$805,HLOOKUP(INDIRECT(ADDRESS(2,COLUMN())),OFFSET($BN$2,0,0,ROW()-1,60),ROW()-1,FALSE))</f>
        <v>-12.711</v>
      </c>
      <c r="I366">
        <f ca="1">IF(AND(ISNUMBER($I$805),$B$419=1),$I$805,HLOOKUP(INDIRECT(ADDRESS(2,COLUMN())),OFFSET($BN$2,0,0,ROW()-1,60),ROW()-1,FALSE))</f>
        <v>42.398000000000003</v>
      </c>
      <c r="J366">
        <f ca="1">IF(AND(ISNUMBER($J$805),$B$419=1),$J$805,HLOOKUP(INDIRECT(ADDRESS(2,COLUMN())),OFFSET($BN$2,0,0,ROW()-1,60),ROW()-1,FALSE))</f>
        <v>-47.283999999999999</v>
      </c>
      <c r="K366">
        <f ca="1">IF(AND(ISNUMBER($K$805),$B$419=1),$K$805,HLOOKUP(INDIRECT(ADDRESS(2,COLUMN())),OFFSET($BN$2,0,0,ROW()-1,60),ROW()-1,FALSE))</f>
        <v>-64.88</v>
      </c>
      <c r="L366">
        <f ca="1">IF(AND(ISNUMBER($L$805),$B$419=1),$L$805,HLOOKUP(INDIRECT(ADDRESS(2,COLUMN())),OFFSET($BN$2,0,0,ROW()-1,60),ROW()-1,FALSE))</f>
        <v>60.743000000000002</v>
      </c>
      <c r="M366">
        <f ca="1">IF(AND(ISNUMBER($M$805),$B$419=1),$M$805,HLOOKUP(INDIRECT(ADDRESS(2,COLUMN())),OFFSET($BN$2,0,0,ROW()-1,60),ROW()-1,FALSE))</f>
        <v>-72.915000000000006</v>
      </c>
      <c r="N366">
        <f ca="1">IF(AND(ISNUMBER($N$805),$B$419=1),$N$805,HLOOKUP(INDIRECT(ADDRESS(2,COLUMN())),OFFSET($BN$2,0,0,ROW()-1,60),ROW()-1,FALSE))</f>
        <v>-92.403999999999996</v>
      </c>
      <c r="O366">
        <f ca="1">IF(AND(ISNUMBER($O$805),$B$419=1),$O$805,HLOOKUP(INDIRECT(ADDRESS(2,COLUMN())),OFFSET($BN$2,0,0,ROW()-1,60),ROW()-1,FALSE))</f>
        <v>0.42499999999999999</v>
      </c>
      <c r="P366">
        <f ca="1">IF(AND(ISNUMBER($P$805),$B$419=1),$P$805,HLOOKUP(INDIRECT(ADDRESS(2,COLUMN())),OFFSET($BN$2,0,0,ROW()-1,60),ROW()-1,FALSE))</f>
        <v>27.748999999999999</v>
      </c>
      <c r="Q366">
        <f ca="1">IF(AND(ISNUMBER($Q$805),$B$419=1),$Q$805,HLOOKUP(INDIRECT(ADDRESS(2,COLUMN())),OFFSET($BN$2,0,0,ROW()-1,60),ROW()-1,FALSE))</f>
        <v>-6.0759999999999996</v>
      </c>
      <c r="R366">
        <f ca="1">IF(AND(ISNUMBER($R$805),$B$419=1),$R$805,HLOOKUP(INDIRECT(ADDRESS(2,COLUMN())),OFFSET($BN$2,0,0,ROW()-1,60),ROW()-1,FALSE))</f>
        <v>-256.01900000000001</v>
      </c>
      <c r="S366">
        <f ca="1">IF(AND(ISNUMBER($S$805),$B$419=1),$S$805,HLOOKUP(INDIRECT(ADDRESS(2,COLUMN())),OFFSET($BN$2,0,0,ROW()-1,60),ROW()-1,FALSE))</f>
        <v>22.120999999999999</v>
      </c>
      <c r="T366">
        <f ca="1">IF(AND(ISNUMBER($T$805),$B$419=1),$T$805,HLOOKUP(INDIRECT(ADDRESS(2,COLUMN())),OFFSET($BN$2,0,0,ROW()-1,60),ROW()-1,FALSE))</f>
        <v>59.988</v>
      </c>
      <c r="U366">
        <f ca="1">IF(AND(ISNUMBER($U$805),$B$419=1),$U$805,HLOOKUP(INDIRECT(ADDRESS(2,COLUMN())),OFFSET($BN$2,0,0,ROW()-1,60),ROW()-1,FALSE))</f>
        <v>-65.795000000000002</v>
      </c>
      <c r="V366">
        <f ca="1">IF(AND(ISNUMBER($V$805),$B$419=1),$V$805,HLOOKUP(INDIRECT(ADDRESS(2,COLUMN())),OFFSET($BN$2,0,0,ROW()-1,60),ROW()-1,FALSE))</f>
        <v>20.268999999999998</v>
      </c>
      <c r="W366">
        <f ca="1">IF(AND(ISNUMBER($W$805),$B$419=1),$W$805,HLOOKUP(INDIRECT(ADDRESS(2,COLUMN())),OFFSET($BN$2,0,0,ROW()-1,60),ROW()-1,FALSE))</f>
        <v>-195.62</v>
      </c>
      <c r="X366">
        <f ca="1">IF(AND(ISNUMBER($X$805),$B$419=1),$X$805,HLOOKUP(INDIRECT(ADDRESS(2,COLUMN())),OFFSET($BN$2,0,0,ROW()-1,60),ROW()-1,FALSE))</f>
        <v>66.171000000000006</v>
      </c>
      <c r="Y366">
        <f ca="1">IF(AND(ISNUMBER($Y$805),$B$419=1),$Y$805,HLOOKUP(INDIRECT(ADDRESS(2,COLUMN())),OFFSET($BN$2,0,0,ROW()-1,60),ROW()-1,FALSE))</f>
        <v>59.634</v>
      </c>
      <c r="Z366">
        <f ca="1">IF(AND(ISNUMBER($Z$805),$B$419=1),$Z$805,HLOOKUP(INDIRECT(ADDRESS(2,COLUMN())),OFFSET($BN$2,0,0,ROW()-1,60),ROW()-1,FALSE))</f>
        <v>20.706</v>
      </c>
      <c r="AA366">
        <f ca="1">IF(AND(ISNUMBER($AA$805),$B$419=1),$AA$805,HLOOKUP(INDIRECT(ADDRESS(2,COLUMN())),OFFSET($BN$2,0,0,ROW()-1,60),ROW()-1,FALSE))</f>
        <v>18.542000000000002</v>
      </c>
      <c r="AB366">
        <f ca="1">IF(AND(ISNUMBER($AB$805),$B$419=1),$AB$805,HLOOKUP(INDIRECT(ADDRESS(2,COLUMN())),OFFSET($BN$2,0,0,ROW()-1,60),ROW()-1,FALSE))</f>
        <v>24.7</v>
      </c>
      <c r="AC366">
        <f ca="1">IF(AND(ISNUMBER($AC$805),$B$419=1),$AC$805,HLOOKUP(INDIRECT(ADDRESS(2,COLUMN())),OFFSET($BN$2,0,0,ROW()-1,60),ROW()-1,FALSE))</f>
        <v>54.046999999999997</v>
      </c>
      <c r="AD366">
        <f ca="1">IF(AND(ISNUMBER($AD$805),$B$419=1),$AD$805,HLOOKUP(INDIRECT(ADDRESS(2,COLUMN())),OFFSET($BN$2,0,0,ROW()-1,60),ROW()-1,FALSE))</f>
        <v>26.218</v>
      </c>
      <c r="AE366">
        <f ca="1">IF(AND(ISNUMBER($AE$805),$B$419=1),$AE$805,HLOOKUP(INDIRECT(ADDRESS(2,COLUMN())),OFFSET($BN$2,0,0,ROW()-1,60),ROW()-1,FALSE))</f>
        <v>33.915999999999997</v>
      </c>
      <c r="AF366">
        <f ca="1">IF(AND(ISNUMBER($AF$805),$B$419=1),$AF$805,HLOOKUP(INDIRECT(ADDRESS(2,COLUMN())),OFFSET($BN$2,0,0,ROW()-1,60),ROW()-1,FALSE))</f>
        <v>21.215</v>
      </c>
      <c r="AG366">
        <f ca="1">IF(AND(ISNUMBER($AG$805),$B$419=1),$AG$805,HLOOKUP(INDIRECT(ADDRESS(2,COLUMN())),OFFSET($BN$2,0,0,ROW()-1,60),ROW()-1,FALSE))</f>
        <v>44.613</v>
      </c>
      <c r="AH366">
        <f ca="1">IF(AND(ISNUMBER($AH$805),$B$419=1),$AH$805,HLOOKUP(INDIRECT(ADDRESS(2,COLUMN())),OFFSET($BN$2,0,0,ROW()-1,60),ROW()-1,FALSE))</f>
        <v>25.798999999999999</v>
      </c>
      <c r="AI366">
        <f ca="1">IF(AND(ISNUMBER($AI$805),$B$419=1),$AI$805,HLOOKUP(INDIRECT(ADDRESS(2,COLUMN())),OFFSET($BN$2,0,0,ROW()-1,60),ROW()-1,FALSE))</f>
        <v>18.523</v>
      </c>
      <c r="AJ366" t="str">
        <f ca="1">IF(AND(ISNUMBER($AJ$805),$B$419=1),$AJ$805,HLOOKUP(INDIRECT(ADDRESS(2,COLUMN())),OFFSET($BN$2,0,0,ROW()-1,60),ROW()-1,FALSE))</f>
        <v/>
      </c>
      <c r="AK366" t="str">
        <f ca="1">IF(AND(ISNUMBER($AK$805),$B$419=1),$AK$805,HLOOKUP(INDIRECT(ADDRESS(2,COLUMN())),OFFSET($BN$2,0,0,ROW()-1,60),ROW()-1,FALSE))</f>
        <v/>
      </c>
      <c r="AL366" t="str">
        <f ca="1">IF(AND(ISNUMBER($AL$805),$B$419=1),$AL$805,HLOOKUP(INDIRECT(ADDRESS(2,COLUMN())),OFFSET($BN$2,0,0,ROW()-1,60),ROW()-1,FALSE))</f>
        <v/>
      </c>
      <c r="AM366" t="str">
        <f ca="1">IF(AND(ISNUMBER($AM$805),$B$419=1),$AM$805,HLOOKUP(INDIRECT(ADDRESS(2,COLUMN())),OFFSET($BN$2,0,0,ROW()-1,60),ROW()-1,FALSE))</f>
        <v/>
      </c>
      <c r="AN366" t="str">
        <f ca="1">IF(AND(ISNUMBER($AN$805),$B$419=1),$AN$805,HLOOKUP(INDIRECT(ADDRESS(2,COLUMN())),OFFSET($BN$2,0,0,ROW()-1,60),ROW()-1,FALSE))</f>
        <v/>
      </c>
      <c r="AO366" t="str">
        <f ca="1">IF(AND(ISNUMBER($AO$805),$B$419=1),$AO$805,HLOOKUP(INDIRECT(ADDRESS(2,COLUMN())),OFFSET($BN$2,0,0,ROW()-1,60),ROW()-1,FALSE))</f>
        <v/>
      </c>
      <c r="AP366" t="str">
        <f ca="1">IF(AND(ISNUMBER($AP$805),$B$419=1),$AP$805,HLOOKUP(INDIRECT(ADDRESS(2,COLUMN())),OFFSET($BN$2,0,0,ROW()-1,60),ROW()-1,FALSE))</f>
        <v/>
      </c>
      <c r="AQ366" t="str">
        <f ca="1">IF(AND(ISNUMBER($AQ$805),$B$419=1),$AQ$805,HLOOKUP(INDIRECT(ADDRESS(2,COLUMN())),OFFSET($BN$2,0,0,ROW()-1,60),ROW()-1,FALSE))</f>
        <v/>
      </c>
      <c r="AR366" t="str">
        <f ca="1">IF(AND(ISNUMBER($AR$805),$B$419=1),$AR$805,HLOOKUP(INDIRECT(ADDRESS(2,COLUMN())),OFFSET($BN$2,0,0,ROW()-1,60),ROW()-1,FALSE))</f>
        <v/>
      </c>
      <c r="AS366" t="str">
        <f ca="1">IF(AND(ISNUMBER($AS$805),$B$419=1),$AS$805,HLOOKUP(INDIRECT(ADDRESS(2,COLUMN())),OFFSET($BN$2,0,0,ROW()-1,60),ROW()-1,FALSE))</f>
        <v/>
      </c>
      <c r="AT366" t="str">
        <f ca="1">IF(AND(ISNUMBER($AT$805),$B$419=1),$AT$805,HLOOKUP(INDIRECT(ADDRESS(2,COLUMN())),OFFSET($BN$2,0,0,ROW()-1,60),ROW()-1,FALSE))</f>
        <v/>
      </c>
      <c r="AU366" t="str">
        <f ca="1">IF(AND(ISNUMBER($AU$805),$B$419=1),$AU$805,HLOOKUP(INDIRECT(ADDRESS(2,COLUMN())),OFFSET($BN$2,0,0,ROW()-1,60),ROW()-1,FALSE))</f>
        <v/>
      </c>
      <c r="AV366" t="str">
        <f ca="1">IF(AND(ISNUMBER($AV$805),$B$419=1),$AV$805,HLOOKUP(INDIRECT(ADDRESS(2,COLUMN())),OFFSET($BN$2,0,0,ROW()-1,60),ROW()-1,FALSE))</f>
        <v/>
      </c>
      <c r="AW366" t="str">
        <f ca="1">IF(AND(ISNUMBER($AW$805),$B$419=1),$AW$805,HLOOKUP(INDIRECT(ADDRESS(2,COLUMN())),OFFSET($BN$2,0,0,ROW()-1,60),ROW()-1,FALSE))</f>
        <v/>
      </c>
      <c r="AX366" t="str">
        <f ca="1">IF(AND(ISNUMBER($AX$805),$B$419=1),$AX$805,HLOOKUP(INDIRECT(ADDRESS(2,COLUMN())),OFFSET($BN$2,0,0,ROW()-1,60),ROW()-1,FALSE))</f>
        <v/>
      </c>
      <c r="AY366" t="str">
        <f ca="1">IF(AND(ISNUMBER($AY$805),$B$419=1),$AY$805,HLOOKUP(INDIRECT(ADDRESS(2,COLUMN())),OFFSET($BN$2,0,0,ROW()-1,60),ROW()-1,FALSE))</f>
        <v/>
      </c>
      <c r="AZ366" t="str">
        <f ca="1">IF(AND(ISNUMBER($AZ$805),$B$419=1),$AZ$805,HLOOKUP(INDIRECT(ADDRESS(2,COLUMN())),OFFSET($BN$2,0,0,ROW()-1,60),ROW()-1,FALSE))</f>
        <v/>
      </c>
      <c r="BA366" t="str">
        <f ca="1">IF(AND(ISNUMBER($BA$805),$B$419=1),$BA$805,HLOOKUP(INDIRECT(ADDRESS(2,COLUMN())),OFFSET($BN$2,0,0,ROW()-1,60),ROW()-1,FALSE))</f>
        <v/>
      </c>
      <c r="BB366" t="str">
        <f ca="1">IF(AND(ISNUMBER($BB$805),$B$419=1),$BB$805,HLOOKUP(INDIRECT(ADDRESS(2,COLUMN())),OFFSET($BN$2,0,0,ROW()-1,60),ROW()-1,FALSE))</f>
        <v/>
      </c>
      <c r="BC366" t="str">
        <f ca="1">IF(AND(ISNUMBER($BC$805),$B$419=1),$BC$805,HLOOKUP(INDIRECT(ADDRESS(2,COLUMN())),OFFSET($BN$2,0,0,ROW()-1,60),ROW()-1,FALSE))</f>
        <v/>
      </c>
      <c r="BD366" t="str">
        <f ca="1">IF(AND(ISNUMBER($BD$805),$B$419=1),$BD$805,HLOOKUP(INDIRECT(ADDRESS(2,COLUMN())),OFFSET($BN$2,0,0,ROW()-1,60),ROW()-1,FALSE))</f>
        <v/>
      </c>
      <c r="BE366" t="str">
        <f ca="1">IF(AND(ISNUMBER($BE$805),$B$419=1),$BE$805,HLOOKUP(INDIRECT(ADDRESS(2,COLUMN())),OFFSET($BN$2,0,0,ROW()-1,60),ROW()-1,FALSE))</f>
        <v/>
      </c>
      <c r="BF366" t="str">
        <f ca="1">IF(AND(ISNUMBER($BF$805),$B$419=1),$BF$805,HLOOKUP(INDIRECT(ADDRESS(2,COLUMN())),OFFSET($BN$2,0,0,ROW()-1,60),ROW()-1,FALSE))</f>
        <v/>
      </c>
      <c r="BG366" t="str">
        <f ca="1">IF(AND(ISNUMBER($BG$805),$B$419=1),$BG$805,HLOOKUP(INDIRECT(ADDRESS(2,COLUMN())),OFFSET($BN$2,0,0,ROW()-1,60),ROW()-1,FALSE))</f>
        <v/>
      </c>
      <c r="BH366" t="str">
        <f ca="1">IF(AND(ISNUMBER($BH$805),$B$419=1),$BH$805,HLOOKUP(INDIRECT(ADDRESS(2,COLUMN())),OFFSET($BN$2,0,0,ROW()-1,60),ROW()-1,FALSE))</f>
        <v/>
      </c>
      <c r="BI366" t="str">
        <f ca="1">IF(AND(ISNUMBER($BI$805),$B$419=1),$BI$805,HLOOKUP(INDIRECT(ADDRESS(2,COLUMN())),OFFSET($BN$2,0,0,ROW()-1,60),ROW()-1,FALSE))</f>
        <v/>
      </c>
      <c r="BJ366" t="str">
        <f ca="1">IF(AND(ISNUMBER($BJ$805),$B$419=1),$BJ$805,HLOOKUP(INDIRECT(ADDRESS(2,COLUMN())),OFFSET($BN$2,0,0,ROW()-1,60),ROW()-1,FALSE))</f>
        <v/>
      </c>
      <c r="BK366" t="str">
        <f ca="1">IF(AND(ISNUMBER($BK$805),$B$419=1),$BK$805,HLOOKUP(INDIRECT(ADDRESS(2,COLUMN())),OFFSET($BN$2,0,0,ROW()-1,60),ROW()-1,FALSE))</f>
        <v/>
      </c>
      <c r="BL366" t="str">
        <f ca="1">IF(AND(ISNUMBER($BL$805),$B$419=1),$BL$805,HLOOKUP(INDIRECT(ADDRESS(2,COLUMN())),OFFSET($BN$2,0,0,ROW()-1,60),ROW()-1,FALSE))</f>
        <v/>
      </c>
      <c r="BM366" t="str">
        <f ca="1">IF(AND(ISNUMBER($BM$805),$B$419=1),$BM$805,HLOOKUP(INDIRECT(ADDRESS(2,COLUMN())),OFFSET($BN$2,0,0,ROW()-1,60),ROW()-1,FALSE))</f>
        <v/>
      </c>
      <c r="BN366" t="str">
        <f>""</f>
        <v/>
      </c>
      <c r="BO366">
        <f>-9.392</f>
        <v>-9.3919999999999995</v>
      </c>
      <c r="BP366">
        <f>-12.711</f>
        <v>-12.711</v>
      </c>
      <c r="BQ366">
        <f>42.398</f>
        <v>42.398000000000003</v>
      </c>
      <c r="BR366">
        <f>-47.284</f>
        <v>-47.283999999999999</v>
      </c>
      <c r="BS366">
        <f>-64.88</f>
        <v>-64.88</v>
      </c>
      <c r="BT366">
        <f>60.743</f>
        <v>60.743000000000002</v>
      </c>
      <c r="BU366">
        <f>-72.915</f>
        <v>-72.915000000000006</v>
      </c>
      <c r="BV366">
        <f>-92.404</f>
        <v>-92.403999999999996</v>
      </c>
      <c r="BW366">
        <f>0.425</f>
        <v>0.42499999999999999</v>
      </c>
      <c r="BX366">
        <f>27.749</f>
        <v>27.748999999999999</v>
      </c>
      <c r="BY366">
        <f>-6.076</f>
        <v>-6.0759999999999996</v>
      </c>
      <c r="BZ366">
        <f>-256.019</f>
        <v>-256.01900000000001</v>
      </c>
      <c r="CA366">
        <f>22.121</f>
        <v>22.120999999999999</v>
      </c>
      <c r="CB366">
        <f>59.988</f>
        <v>59.988</v>
      </c>
      <c r="CC366">
        <f>-65.795</f>
        <v>-65.795000000000002</v>
      </c>
      <c r="CD366">
        <f>20.269</f>
        <v>20.268999999999998</v>
      </c>
      <c r="CE366">
        <f>-195.62</f>
        <v>-195.62</v>
      </c>
      <c r="CF366">
        <f>66.171</f>
        <v>66.171000000000006</v>
      </c>
      <c r="CG366">
        <f>59.634</f>
        <v>59.634</v>
      </c>
      <c r="CH366">
        <f>20.706</f>
        <v>20.706</v>
      </c>
      <c r="CI366">
        <f>18.542</f>
        <v>18.542000000000002</v>
      </c>
      <c r="CJ366">
        <f>24.7</f>
        <v>24.7</v>
      </c>
      <c r="CK366">
        <f>54.047</f>
        <v>54.046999999999997</v>
      </c>
      <c r="CL366">
        <f>26.218</f>
        <v>26.218</v>
      </c>
      <c r="CM366">
        <f>33.916</f>
        <v>33.915999999999997</v>
      </c>
      <c r="CN366">
        <f>21.215</f>
        <v>21.215</v>
      </c>
      <c r="CO366">
        <f>44.613</f>
        <v>44.613</v>
      </c>
      <c r="CP366">
        <f>25.799</f>
        <v>25.798999999999999</v>
      </c>
      <c r="CQ366">
        <f>18.523</f>
        <v>18.523</v>
      </c>
      <c r="CR366" t="str">
        <f>""</f>
        <v/>
      </c>
      <c r="CS366" t="str">
        <f>""</f>
        <v/>
      </c>
      <c r="CT366" t="str">
        <f>""</f>
        <v/>
      </c>
      <c r="CU366" t="str">
        <f>""</f>
        <v/>
      </c>
      <c r="CV366" t="str">
        <f>""</f>
        <v/>
      </c>
      <c r="CW366" t="str">
        <f>""</f>
        <v/>
      </c>
      <c r="CX366" t="str">
        <f>""</f>
        <v/>
      </c>
      <c r="CY366" t="str">
        <f>""</f>
        <v/>
      </c>
      <c r="CZ366" t="str">
        <f>""</f>
        <v/>
      </c>
      <c r="DA366" t="str">
        <f>""</f>
        <v/>
      </c>
      <c r="DB366" t="str">
        <f>""</f>
        <v/>
      </c>
      <c r="DC366" t="str">
        <f>""</f>
        <v/>
      </c>
      <c r="DD366" t="str">
        <f>""</f>
        <v/>
      </c>
      <c r="DE366" t="str">
        <f>""</f>
        <v/>
      </c>
      <c r="DF366" t="str">
        <f>""</f>
        <v/>
      </c>
      <c r="DG366" t="str">
        <f>""</f>
        <v/>
      </c>
      <c r="DH366" t="str">
        <f>""</f>
        <v/>
      </c>
      <c r="DI366" t="str">
        <f>""</f>
        <v/>
      </c>
      <c r="DJ366" t="str">
        <f>""</f>
        <v/>
      </c>
      <c r="DK366" t="str">
        <f>""</f>
        <v/>
      </c>
      <c r="DL366" t="str">
        <f>""</f>
        <v/>
      </c>
      <c r="DM366" t="str">
        <f>""</f>
        <v/>
      </c>
      <c r="DN366" t="str">
        <f>""</f>
        <v/>
      </c>
      <c r="DO366" t="str">
        <f>""</f>
        <v/>
      </c>
      <c r="DP366" t="str">
        <f>""</f>
        <v/>
      </c>
      <c r="DQ366" t="str">
        <f>""</f>
        <v/>
      </c>
      <c r="DR366" t="str">
        <f>""</f>
        <v/>
      </c>
      <c r="DS366" t="str">
        <f>""</f>
        <v/>
      </c>
      <c r="DT366" t="str">
        <f>""</f>
        <v/>
      </c>
      <c r="DU366" t="str">
        <f>""</f>
        <v/>
      </c>
    </row>
    <row r="367" spans="1:125">
      <c r="A367" t="str">
        <f>"    Simon Property Group Inc"</f>
        <v xml:space="preserve">    Simon Property Group Inc</v>
      </c>
      <c r="B367" t="str">
        <f>"SPG US Equity"</f>
        <v>SPG US Equity</v>
      </c>
      <c r="C367" t="str">
        <f t="shared" si="66"/>
        <v>RR008</v>
      </c>
      <c r="D367" t="str">
        <f t="shared" si="67"/>
        <v>CF_FREE_CASH_FLOW</v>
      </c>
      <c r="E367" t="str">
        <f t="shared" si="68"/>
        <v>动态</v>
      </c>
      <c r="F367" t="str">
        <f ca="1">IF(AND(ISNUMBER($F$806),$B$419=1),$F$806,HLOOKUP(INDIRECT(ADDRESS(2,COLUMN())),OFFSET($BN$2,0,0,ROW()-1,60),ROW()-1,FALSE))</f>
        <v/>
      </c>
      <c r="G367">
        <f ca="1">IF(AND(ISNUMBER($G$806),$B$419=1),$G$806,HLOOKUP(INDIRECT(ADDRESS(2,COLUMN())),OFFSET($BN$2,0,0,ROW()-1,60),ROW()-1,FALSE))</f>
        <v>452.80900000000003</v>
      </c>
      <c r="H367">
        <f ca="1">IF(AND(ISNUMBER($H$806),$B$419=1),$H$806,HLOOKUP(INDIRECT(ADDRESS(2,COLUMN())),OFFSET($BN$2,0,0,ROW()-1,60),ROW()-1,FALSE))</f>
        <v>741.49699999999996</v>
      </c>
      <c r="I367">
        <f ca="1">IF(AND(ISNUMBER($I$806),$B$419=1),$I$806,HLOOKUP(INDIRECT(ADDRESS(2,COLUMN())),OFFSET($BN$2,0,0,ROW()-1,60),ROW()-1,FALSE))</f>
        <v>765.79600000000005</v>
      </c>
      <c r="J367">
        <f ca="1">IF(AND(ISNUMBER($J$806),$B$419=1),$J$806,HLOOKUP(INDIRECT(ADDRESS(2,COLUMN())),OFFSET($BN$2,0,0,ROW()-1,60),ROW()-1,FALSE))</f>
        <v>637.09799999999996</v>
      </c>
      <c r="K367">
        <f ca="1">IF(AND(ISNUMBER($K$806),$B$419=1),$K$806,HLOOKUP(INDIRECT(ADDRESS(2,COLUMN())),OFFSET($BN$2,0,0,ROW()-1,60),ROW()-1,FALSE))</f>
        <v>618.65200000000004</v>
      </c>
      <c r="L367">
        <f ca="1">IF(AND(ISNUMBER($L$806),$B$419=1),$L$806,HLOOKUP(INDIRECT(ADDRESS(2,COLUMN())),OFFSET($BN$2,0,0,ROW()-1,60),ROW()-1,FALSE))</f>
        <v>452.33300000000003</v>
      </c>
      <c r="M367">
        <f ca="1">IF(AND(ISNUMBER($M$806),$B$419=1),$M$806,HLOOKUP(INDIRECT(ADDRESS(2,COLUMN())),OFFSET($BN$2,0,0,ROW()-1,60),ROW()-1,FALSE))</f>
        <v>510.18900000000002</v>
      </c>
      <c r="N367">
        <f ca="1">IF(AND(ISNUMBER($N$806),$B$419=1),$N$806,HLOOKUP(INDIRECT(ADDRESS(2,COLUMN())),OFFSET($BN$2,0,0,ROW()-1,60),ROW()-1,FALSE))</f>
        <v>493.07900000000001</v>
      </c>
      <c r="O367">
        <f ca="1">IF(AND(ISNUMBER($O$806),$B$419=1),$O$806,HLOOKUP(INDIRECT(ADDRESS(2,COLUMN())),OFFSET($BN$2,0,0,ROW()-1,60),ROW()-1,FALSE))</f>
        <v>557.78300000000002</v>
      </c>
      <c r="P367">
        <f ca="1">IF(AND(ISNUMBER($P$806),$B$419=1),$P$806,HLOOKUP(INDIRECT(ADDRESS(2,COLUMN())),OFFSET($BN$2,0,0,ROW()-1,60),ROW()-1,FALSE))</f>
        <v>272.12200000000001</v>
      </c>
      <c r="Q367">
        <f ca="1">IF(AND(ISNUMBER($Q$806),$B$419=1),$Q$806,HLOOKUP(INDIRECT(ADDRESS(2,COLUMN())),OFFSET($BN$2,0,0,ROW()-1,60),ROW()-1,FALSE))</f>
        <v>-0.189</v>
      </c>
      <c r="R367">
        <f ca="1">IF(AND(ISNUMBER($R$806),$B$419=1),$R$806,HLOOKUP(INDIRECT(ADDRESS(2,COLUMN())),OFFSET($BN$2,0,0,ROW()-1,60),ROW()-1,FALSE))</f>
        <v>-236.83600000000001</v>
      </c>
      <c r="S367">
        <f ca="1">IF(AND(ISNUMBER($S$806),$B$419=1),$S$806,HLOOKUP(INDIRECT(ADDRESS(2,COLUMN())),OFFSET($BN$2,0,0,ROW()-1,60),ROW()-1,FALSE))</f>
        <v>468.54599999999999</v>
      </c>
      <c r="T367">
        <f ca="1">IF(AND(ISNUMBER($T$806),$B$419=1),$T$806,HLOOKUP(INDIRECT(ADDRESS(2,COLUMN())),OFFSET($BN$2,0,0,ROW()-1,60),ROW()-1,FALSE))</f>
        <v>560.03499999999997</v>
      </c>
      <c r="U367">
        <f ca="1">IF(AND(ISNUMBER($U$806),$B$419=1),$U$806,HLOOKUP(INDIRECT(ADDRESS(2,COLUMN())),OFFSET($BN$2,0,0,ROW()-1,60),ROW()-1,FALSE))</f>
        <v>451.30700000000002</v>
      </c>
      <c r="V367">
        <f ca="1">IF(AND(ISNUMBER($V$806),$B$419=1),$V$806,HLOOKUP(INDIRECT(ADDRESS(2,COLUMN())),OFFSET($BN$2,0,0,ROW()-1,60),ROW()-1,FALSE))</f>
        <v>368.33699999999999</v>
      </c>
      <c r="W367">
        <f ca="1">IF(AND(ISNUMBER($W$806),$B$419=1),$W$806,HLOOKUP(INDIRECT(ADDRESS(2,COLUMN())),OFFSET($BN$2,0,0,ROW()-1,60),ROW()-1,FALSE))</f>
        <v>1.5649999999999999</v>
      </c>
      <c r="X367">
        <f ca="1">IF(AND(ISNUMBER($X$806),$B$419=1),$X$806,HLOOKUP(INDIRECT(ADDRESS(2,COLUMN())),OFFSET($BN$2,0,0,ROW()-1,60),ROW()-1,FALSE))</f>
        <v>399.596</v>
      </c>
      <c r="Y367">
        <f ca="1">IF(AND(ISNUMBER($Y$806),$B$419=1),$Y$806,HLOOKUP(INDIRECT(ADDRESS(2,COLUMN())),OFFSET($BN$2,0,0,ROW()-1,60),ROW()-1,FALSE))</f>
        <v>293.04199999999997</v>
      </c>
      <c r="Z367">
        <f ca="1">IF(AND(ISNUMBER($Z$806),$B$419=1),$Z$806,HLOOKUP(INDIRECT(ADDRESS(2,COLUMN())),OFFSET($BN$2,0,0,ROW()-1,60),ROW()-1,FALSE))</f>
        <v>299.04300000000001</v>
      </c>
      <c r="AA367">
        <f ca="1">IF(AND(ISNUMBER($AA$806),$B$419=1),$AA$806,HLOOKUP(INDIRECT(ADDRESS(2,COLUMN())),OFFSET($BN$2,0,0,ROW()-1,60),ROW()-1,FALSE))</f>
        <v>428.22899999999998</v>
      </c>
      <c r="AB367">
        <f ca="1">IF(AND(ISNUMBER($AB$806),$B$419=1),$AB$806,HLOOKUP(INDIRECT(ADDRESS(2,COLUMN())),OFFSET($BN$2,0,0,ROW()-1,60),ROW()-1,FALSE))</f>
        <v>382.11399999999998</v>
      </c>
      <c r="AC367">
        <f ca="1">IF(AND(ISNUMBER($AC$806),$B$419=1),$AC$806,HLOOKUP(INDIRECT(ADDRESS(2,COLUMN())),OFFSET($BN$2,0,0,ROW()-1,60),ROW()-1,FALSE))</f>
        <v>334.27499999999998</v>
      </c>
      <c r="AD367">
        <f ca="1">IF(AND(ISNUMBER($AD$806),$B$419=1),$AD$806,HLOOKUP(INDIRECT(ADDRESS(2,COLUMN())),OFFSET($BN$2,0,0,ROW()-1,60),ROW()-1,FALSE))</f>
        <v>-3169.6930000000002</v>
      </c>
      <c r="AE367">
        <f ca="1">IF(AND(ISNUMBER($AE$806),$B$419=1),$AE$806,HLOOKUP(INDIRECT(ADDRESS(2,COLUMN())),OFFSET($BN$2,0,0,ROW()-1,60),ROW()-1,FALSE))</f>
        <v>280.678</v>
      </c>
      <c r="AF367">
        <f ca="1">IF(AND(ISNUMBER($AF$806),$B$419=1),$AF$806,HLOOKUP(INDIRECT(ADDRESS(2,COLUMN())),OFFSET($BN$2,0,0,ROW()-1,60),ROW()-1,FALSE))</f>
        <v>-702.51800000000003</v>
      </c>
      <c r="AG367">
        <f ca="1">IF(AND(ISNUMBER($AG$806),$B$419=1),$AG$806,HLOOKUP(INDIRECT(ADDRESS(2,COLUMN())),OFFSET($BN$2,0,0,ROW()-1,60),ROW()-1,FALSE))</f>
        <v>330.01499999999999</v>
      </c>
      <c r="AH367">
        <f ca="1">IF(AND(ISNUMBER($AH$806),$B$419=1),$AH$806,HLOOKUP(INDIRECT(ADDRESS(2,COLUMN())),OFFSET($BN$2,0,0,ROW()-1,60),ROW()-1,FALSE))</f>
        <v>392.59399999999999</v>
      </c>
      <c r="AI367">
        <f ca="1">IF(AND(ISNUMBER($AI$806),$B$419=1),$AI$806,HLOOKUP(INDIRECT(ADDRESS(2,COLUMN())),OFFSET($BN$2,0,0,ROW()-1,60),ROW()-1,FALSE))</f>
        <v>405.00400000000002</v>
      </c>
      <c r="AJ367">
        <f ca="1">IF(AND(ISNUMBER($AJ$806),$B$419=1),$AJ$806,HLOOKUP(INDIRECT(ADDRESS(2,COLUMN())),OFFSET($BN$2,0,0,ROW()-1,60),ROW()-1,FALSE))</f>
        <v>-476.79700000000003</v>
      </c>
      <c r="AK367">
        <f ca="1">IF(AND(ISNUMBER($AK$806),$B$419=1),$AK$806,HLOOKUP(INDIRECT(ADDRESS(2,COLUMN())),OFFSET($BN$2,0,0,ROW()-1,60),ROW()-1,FALSE))</f>
        <v>206.49100000000001</v>
      </c>
      <c r="AL367">
        <f ca="1">IF(AND(ISNUMBER($AL$806),$B$419=1),$AL$806,HLOOKUP(INDIRECT(ADDRESS(2,COLUMN())),OFFSET($BN$2,0,0,ROW()-1,60),ROW()-1,FALSE))</f>
        <v>385.60899999999998</v>
      </c>
      <c r="AM367">
        <f ca="1">IF(AND(ISNUMBER($AM$806),$B$419=1),$AM$806,HLOOKUP(INDIRECT(ADDRESS(2,COLUMN())),OFFSET($BN$2,0,0,ROW()-1,60),ROW()-1,FALSE))</f>
        <v>316.08499999999998</v>
      </c>
      <c r="AN367">
        <f ca="1">IF(AND(ISNUMBER($AN$806),$B$419=1),$AN$806,HLOOKUP(INDIRECT(ADDRESS(2,COLUMN())),OFFSET($BN$2,0,0,ROW()-1,60),ROW()-1,FALSE))</f>
        <v>380.24400000000003</v>
      </c>
      <c r="AO367">
        <f ca="1">IF(AND(ISNUMBER($AO$806),$B$419=1),$AO$806,HLOOKUP(INDIRECT(ADDRESS(2,COLUMN())),OFFSET($BN$2,0,0,ROW()-1,60),ROW()-1,FALSE))</f>
        <v>350.19200000000001</v>
      </c>
      <c r="AP367">
        <f ca="1">IF(AND(ISNUMBER($AP$806),$B$419=1),$AP$806,HLOOKUP(INDIRECT(ADDRESS(2,COLUMN())),OFFSET($BN$2,0,0,ROW()-1,60),ROW()-1,FALSE))</f>
        <v>297.72399999999999</v>
      </c>
      <c r="AQ367">
        <f ca="1">IF(AND(ISNUMBER($AQ$806),$B$419=1),$AQ$806,HLOOKUP(INDIRECT(ADDRESS(2,COLUMN())),OFFSET($BN$2,0,0,ROW()-1,60),ROW()-1,FALSE))</f>
        <v>-572.88199999999995</v>
      </c>
      <c r="AR367" t="str">
        <f ca="1">IF(AND(ISNUMBER($AR$806),$B$419=1),$AR$806,HLOOKUP(INDIRECT(ADDRESS(2,COLUMN())),OFFSET($BN$2,0,0,ROW()-1,60),ROW()-1,FALSE))</f>
        <v/>
      </c>
      <c r="AS367">
        <f ca="1">IF(AND(ISNUMBER($AS$806),$B$419=1),$AS$806,HLOOKUP(INDIRECT(ADDRESS(2,COLUMN())),OFFSET($BN$2,0,0,ROW()-1,60),ROW()-1,FALSE))</f>
        <v>310.01100000000002</v>
      </c>
      <c r="AT367" t="str">
        <f ca="1">IF(AND(ISNUMBER($AT$806),$B$419=1),$AT$806,HLOOKUP(INDIRECT(ADDRESS(2,COLUMN())),OFFSET($BN$2,0,0,ROW()-1,60),ROW()-1,FALSE))</f>
        <v/>
      </c>
      <c r="AU367">
        <f ca="1">IF(AND(ISNUMBER($AU$806),$B$419=1),$AU$806,HLOOKUP(INDIRECT(ADDRESS(2,COLUMN())),OFFSET($BN$2,0,0,ROW()-1,60),ROW()-1,FALSE))</f>
        <v>145.822</v>
      </c>
      <c r="AV367">
        <f ca="1">IF(AND(ISNUMBER($AV$806),$B$419=1),$AV$806,HLOOKUP(INDIRECT(ADDRESS(2,COLUMN())),OFFSET($BN$2,0,0,ROW()-1,60),ROW()-1,FALSE))</f>
        <v>-42.347000000000001</v>
      </c>
      <c r="AW367">
        <f ca="1">IF(AND(ISNUMBER($AW$806),$B$419=1),$AW$806,HLOOKUP(INDIRECT(ADDRESS(2,COLUMN())),OFFSET($BN$2,0,0,ROW()-1,60),ROW()-1,FALSE))</f>
        <v>87.622</v>
      </c>
      <c r="AX367">
        <f ca="1">IF(AND(ISNUMBER($AX$806),$B$419=1),$AX$806,HLOOKUP(INDIRECT(ADDRESS(2,COLUMN())),OFFSET($BN$2,0,0,ROW()-1,60),ROW()-1,FALSE))</f>
        <v>-31.239000000000001</v>
      </c>
      <c r="AY367">
        <f ca="1">IF(AND(ISNUMBER($AY$806),$B$419=1),$AY$806,HLOOKUP(INDIRECT(ADDRESS(2,COLUMN())),OFFSET($BN$2,0,0,ROW()-1,60),ROW()-1,FALSE))</f>
        <v>-118.298</v>
      </c>
      <c r="AZ367">
        <f ca="1">IF(AND(ISNUMBER($AZ$806),$B$419=1),$AZ$806,HLOOKUP(INDIRECT(ADDRESS(2,COLUMN())),OFFSET($BN$2,0,0,ROW()-1,60),ROW()-1,FALSE))</f>
        <v>54.109000000000002</v>
      </c>
      <c r="BA367">
        <f ca="1">IF(AND(ISNUMBER($BA$806),$B$419=1),$BA$806,HLOOKUP(INDIRECT(ADDRESS(2,COLUMN())),OFFSET($BN$2,0,0,ROW()-1,60),ROW()-1,FALSE))</f>
        <v>190.76900000000001</v>
      </c>
      <c r="BB367">
        <f ca="1">IF(AND(ISNUMBER($BB$806),$B$419=1),$BB$806,HLOOKUP(INDIRECT(ADDRESS(2,COLUMN())),OFFSET($BN$2,0,0,ROW()-1,60),ROW()-1,FALSE))</f>
        <v>117.52500000000001</v>
      </c>
      <c r="BC367">
        <f ca="1">IF(AND(ISNUMBER($BC$806),$B$419=1),$BC$806,HLOOKUP(INDIRECT(ADDRESS(2,COLUMN())),OFFSET($BN$2,0,0,ROW()-1,60),ROW()-1,FALSE))</f>
        <v>-230.47399999999999</v>
      </c>
      <c r="BD367">
        <f ca="1">IF(AND(ISNUMBER($BD$806),$B$419=1),$BD$806,HLOOKUP(INDIRECT(ADDRESS(2,COLUMN())),OFFSET($BN$2,0,0,ROW()-1,60),ROW()-1,FALSE))</f>
        <v>197.74199999999999</v>
      </c>
      <c r="BE367">
        <f ca="1">IF(AND(ISNUMBER($BE$806),$B$419=1),$BE$806,HLOOKUP(INDIRECT(ADDRESS(2,COLUMN())),OFFSET($BN$2,0,0,ROW()-1,60),ROW()-1,FALSE))</f>
        <v>171.78</v>
      </c>
      <c r="BF367">
        <f ca="1">IF(AND(ISNUMBER($BF$806),$B$419=1),$BF$806,HLOOKUP(INDIRECT(ADDRESS(2,COLUMN())),OFFSET($BN$2,0,0,ROW()-1,60),ROW()-1,FALSE))</f>
        <v>-62.755000000000003</v>
      </c>
      <c r="BG367">
        <f ca="1">IF(AND(ISNUMBER($BG$806),$B$419=1),$BG$806,HLOOKUP(INDIRECT(ADDRESS(2,COLUMN())),OFFSET($BN$2,0,0,ROW()-1,60),ROW()-1,FALSE))</f>
        <v>-1601.925</v>
      </c>
      <c r="BH367">
        <f ca="1">IF(AND(ISNUMBER($BH$806),$B$419=1),$BH$806,HLOOKUP(INDIRECT(ADDRESS(2,COLUMN())),OFFSET($BN$2,0,0,ROW()-1,60),ROW()-1,FALSE))</f>
        <v>259.01</v>
      </c>
      <c r="BI367">
        <f ca="1">IF(AND(ISNUMBER($BI$806),$B$419=1),$BI$806,HLOOKUP(INDIRECT(ADDRESS(2,COLUMN())),OFFSET($BN$2,0,0,ROW()-1,60),ROW()-1,FALSE))</f>
        <v>-369.10899999999998</v>
      </c>
      <c r="BJ367">
        <f ca="1">IF(AND(ISNUMBER($BJ$806),$B$419=1),$BJ$806,HLOOKUP(INDIRECT(ADDRESS(2,COLUMN())),OFFSET($BN$2,0,0,ROW()-1,60),ROW()-1,FALSE))</f>
        <v>-113.47799999999999</v>
      </c>
      <c r="BK367">
        <f ca="1">IF(AND(ISNUMBER($BK$806),$B$419=1),$BK$806,HLOOKUP(INDIRECT(ADDRESS(2,COLUMN())),OFFSET($BN$2,0,0,ROW()-1,60),ROW()-1,FALSE))</f>
        <v>-15.785</v>
      </c>
      <c r="BL367">
        <f ca="1">IF(AND(ISNUMBER($BL$806),$B$419=1),$BL$806,HLOOKUP(INDIRECT(ADDRESS(2,COLUMN())),OFFSET($BN$2,0,0,ROW()-1,60),ROW()-1,FALSE))</f>
        <v>-183.762</v>
      </c>
      <c r="BM367">
        <f ca="1">IF(AND(ISNUMBER($BM$806),$B$419=1),$BM$806,HLOOKUP(INDIRECT(ADDRESS(2,COLUMN())),OFFSET($BN$2,0,0,ROW()-1,60),ROW()-1,FALSE))</f>
        <v>159.785</v>
      </c>
      <c r="BN367" t="str">
        <f>""</f>
        <v/>
      </c>
      <c r="BO367">
        <f>452.809</f>
        <v>452.80900000000003</v>
      </c>
      <c r="BP367">
        <f>741.497</f>
        <v>741.49699999999996</v>
      </c>
      <c r="BQ367">
        <f>765.796</f>
        <v>765.79600000000005</v>
      </c>
      <c r="BR367">
        <f>637.098</f>
        <v>637.09799999999996</v>
      </c>
      <c r="BS367">
        <f>618.652</f>
        <v>618.65200000000004</v>
      </c>
      <c r="BT367">
        <f>452.333</f>
        <v>452.33300000000003</v>
      </c>
      <c r="BU367">
        <f>510.189</f>
        <v>510.18900000000002</v>
      </c>
      <c r="BV367">
        <f>493.079</f>
        <v>493.07900000000001</v>
      </c>
      <c r="BW367">
        <f>557.783</f>
        <v>557.78300000000002</v>
      </c>
      <c r="BX367">
        <f>272.122</f>
        <v>272.12200000000001</v>
      </c>
      <c r="BY367">
        <f>-0.189</f>
        <v>-0.189</v>
      </c>
      <c r="BZ367">
        <f>-236.836</f>
        <v>-236.83600000000001</v>
      </c>
      <c r="CA367">
        <f>468.546</f>
        <v>468.54599999999999</v>
      </c>
      <c r="CB367">
        <f>560.035</f>
        <v>560.03499999999997</v>
      </c>
      <c r="CC367">
        <f>451.307</f>
        <v>451.30700000000002</v>
      </c>
      <c r="CD367">
        <f>368.337</f>
        <v>368.33699999999999</v>
      </c>
      <c r="CE367">
        <f>1.565</f>
        <v>1.5649999999999999</v>
      </c>
      <c r="CF367">
        <f>399.596</f>
        <v>399.596</v>
      </c>
      <c r="CG367">
        <f>293.042</f>
        <v>293.04199999999997</v>
      </c>
      <c r="CH367">
        <f>299.043</f>
        <v>299.04300000000001</v>
      </c>
      <c r="CI367">
        <f>428.229</f>
        <v>428.22899999999998</v>
      </c>
      <c r="CJ367">
        <f>382.114</f>
        <v>382.11399999999998</v>
      </c>
      <c r="CK367">
        <f>334.275</f>
        <v>334.27499999999998</v>
      </c>
      <c r="CL367">
        <f>-3169.693</f>
        <v>-3169.6930000000002</v>
      </c>
      <c r="CM367">
        <f>280.678</f>
        <v>280.678</v>
      </c>
      <c r="CN367">
        <f>-702.518</f>
        <v>-702.51800000000003</v>
      </c>
      <c r="CO367">
        <f>330.015</f>
        <v>330.01499999999999</v>
      </c>
      <c r="CP367">
        <f>392.594</f>
        <v>392.59399999999999</v>
      </c>
      <c r="CQ367">
        <f>405.004</f>
        <v>405.00400000000002</v>
      </c>
      <c r="CR367">
        <f>-476.797</f>
        <v>-476.79700000000003</v>
      </c>
      <c r="CS367">
        <f>206.491</f>
        <v>206.49100000000001</v>
      </c>
      <c r="CT367">
        <f>385.609</f>
        <v>385.60899999999998</v>
      </c>
      <c r="CU367">
        <f>316.085</f>
        <v>316.08499999999998</v>
      </c>
      <c r="CV367">
        <f>380.244</f>
        <v>380.24400000000003</v>
      </c>
      <c r="CW367">
        <f>350.192</f>
        <v>350.19200000000001</v>
      </c>
      <c r="CX367">
        <f>297.724</f>
        <v>297.72399999999999</v>
      </c>
      <c r="CY367">
        <f>-572.882</f>
        <v>-572.88199999999995</v>
      </c>
      <c r="CZ367" t="str">
        <f>""</f>
        <v/>
      </c>
      <c r="DA367">
        <f>310.011</f>
        <v>310.01100000000002</v>
      </c>
      <c r="DB367" t="str">
        <f>""</f>
        <v/>
      </c>
      <c r="DC367">
        <f>145.822</f>
        <v>145.822</v>
      </c>
      <c r="DD367">
        <f>-42.347</f>
        <v>-42.347000000000001</v>
      </c>
      <c r="DE367">
        <f>87.622</f>
        <v>87.622</v>
      </c>
      <c r="DF367">
        <f>-31.239</f>
        <v>-31.239000000000001</v>
      </c>
      <c r="DG367">
        <f>-118.298</f>
        <v>-118.298</v>
      </c>
      <c r="DH367">
        <f>54.109</f>
        <v>54.109000000000002</v>
      </c>
      <c r="DI367">
        <f>190.769</f>
        <v>190.76900000000001</v>
      </c>
      <c r="DJ367">
        <f>117.525</f>
        <v>117.52500000000001</v>
      </c>
      <c r="DK367">
        <f>-230.474</f>
        <v>-230.47399999999999</v>
      </c>
      <c r="DL367">
        <f>197.742</f>
        <v>197.74199999999999</v>
      </c>
      <c r="DM367">
        <f>171.78</f>
        <v>171.78</v>
      </c>
      <c r="DN367">
        <f>-62.755</f>
        <v>-62.755000000000003</v>
      </c>
      <c r="DO367">
        <f>-1601.925</f>
        <v>-1601.925</v>
      </c>
      <c r="DP367">
        <f>259.01</f>
        <v>259.01</v>
      </c>
      <c r="DQ367">
        <f>-369.109</f>
        <v>-369.10899999999998</v>
      </c>
      <c r="DR367">
        <f>-113.478</f>
        <v>-113.47799999999999</v>
      </c>
      <c r="DS367">
        <f>-15.785</f>
        <v>-15.785</v>
      </c>
      <c r="DT367">
        <f>-183.762</f>
        <v>-183.762</v>
      </c>
      <c r="DU367">
        <f>159.785</f>
        <v>159.785</v>
      </c>
    </row>
    <row r="368" spans="1:125">
      <c r="A368" t="str">
        <f>"    Tanger Factory Outlet Centers"</f>
        <v xml:space="preserve">    Tanger Factory Outlet Centers</v>
      </c>
      <c r="B368" t="str">
        <f>"SKT US Equity"</f>
        <v>SKT US Equity</v>
      </c>
      <c r="C368" t="str">
        <f t="shared" si="66"/>
        <v>RR008</v>
      </c>
      <c r="D368" t="str">
        <f t="shared" si="67"/>
        <v>CF_FREE_CASH_FLOW</v>
      </c>
      <c r="E368" t="str">
        <f t="shared" si="68"/>
        <v>动态</v>
      </c>
      <c r="F368" t="str">
        <f ca="1">IF(AND(ISNUMBER($F$807),$B$419=1),$F$807,HLOOKUP(INDIRECT(ADDRESS(2,COLUMN())),OFFSET($BN$2,0,0,ROW()-1,60),ROW()-1,FALSE))</f>
        <v/>
      </c>
      <c r="G368">
        <f ca="1">IF(AND(ISNUMBER($G$807),$B$419=1),$G$807,HLOOKUP(INDIRECT(ADDRESS(2,COLUMN())),OFFSET($BN$2,0,0,ROW()-1,60),ROW()-1,FALSE))</f>
        <v>37.404000000000003</v>
      </c>
      <c r="H368">
        <f ca="1">IF(AND(ISNUMBER($H$807),$B$419=1),$H$807,HLOOKUP(INDIRECT(ADDRESS(2,COLUMN())),OFFSET($BN$2,0,0,ROW()-1,60),ROW()-1,FALSE))</f>
        <v>26.581</v>
      </c>
      <c r="I368">
        <f ca="1">IF(AND(ISNUMBER($I$807),$B$419=1),$I$807,HLOOKUP(INDIRECT(ADDRESS(2,COLUMN())),OFFSET($BN$2,0,0,ROW()-1,60),ROW()-1,FALSE))</f>
        <v>-9.5000000000000001E-2</v>
      </c>
      <c r="J368">
        <f ca="1">IF(AND(ISNUMBER($J$807),$B$419=1),$J$807,HLOOKUP(INDIRECT(ADDRESS(2,COLUMN())),OFFSET($BN$2,0,0,ROW()-1,60),ROW()-1,FALSE))</f>
        <v>14.129</v>
      </c>
      <c r="K368">
        <f ca="1">IF(AND(ISNUMBER($K$807),$B$419=1),$K$807,HLOOKUP(INDIRECT(ADDRESS(2,COLUMN())),OFFSET($BN$2,0,0,ROW()-1,60),ROW()-1,FALSE))</f>
        <v>11.182</v>
      </c>
      <c r="L368">
        <f ca="1">IF(AND(ISNUMBER($L$807),$B$419=1),$L$807,HLOOKUP(INDIRECT(ADDRESS(2,COLUMN())),OFFSET($BN$2,0,0,ROW()-1,60),ROW()-1,FALSE))</f>
        <v>22.510999999999999</v>
      </c>
      <c r="M368">
        <f ca="1">IF(AND(ISNUMBER($M$807),$B$419=1),$M$807,HLOOKUP(INDIRECT(ADDRESS(2,COLUMN())),OFFSET($BN$2,0,0,ROW()-1,60),ROW()-1,FALSE))</f>
        <v>17.068999999999999</v>
      </c>
      <c r="N368">
        <f ca="1">IF(AND(ISNUMBER($N$807),$B$419=1),$N$807,HLOOKUP(INDIRECT(ADDRESS(2,COLUMN())),OFFSET($BN$2,0,0,ROW()-1,60),ROW()-1,FALSE))</f>
        <v>16.991</v>
      </c>
      <c r="O368">
        <f ca="1">IF(AND(ISNUMBER($O$807),$B$419=1),$O$807,HLOOKUP(INDIRECT(ADDRESS(2,COLUMN())),OFFSET($BN$2,0,0,ROW()-1,60),ROW()-1,FALSE))</f>
        <v>-11.997999999999999</v>
      </c>
      <c r="P368">
        <f ca="1">IF(AND(ISNUMBER($P$807),$B$419=1),$P$807,HLOOKUP(INDIRECT(ADDRESS(2,COLUMN())),OFFSET($BN$2,0,0,ROW()-1,60),ROW()-1,FALSE))</f>
        <v>4.1980000000000004</v>
      </c>
      <c r="Q368">
        <f ca="1">IF(AND(ISNUMBER($Q$807),$B$419=1),$Q$807,HLOOKUP(INDIRECT(ADDRESS(2,COLUMN())),OFFSET($BN$2,0,0,ROW()-1,60),ROW()-1,FALSE))</f>
        <v>-14.125</v>
      </c>
      <c r="R368">
        <f ca="1">IF(AND(ISNUMBER($R$807),$B$419=1),$R$807,HLOOKUP(INDIRECT(ADDRESS(2,COLUMN())),OFFSET($BN$2,0,0,ROW()-1,60),ROW()-1,FALSE))</f>
        <v>3.137</v>
      </c>
      <c r="S368">
        <f ca="1">IF(AND(ISNUMBER($S$807),$B$419=1),$S$807,HLOOKUP(INDIRECT(ADDRESS(2,COLUMN())),OFFSET($BN$2,0,0,ROW()-1,60),ROW()-1,FALSE))</f>
        <v>-15.497</v>
      </c>
      <c r="T368">
        <f ca="1">IF(AND(ISNUMBER($T$807),$B$419=1),$T$807,HLOOKUP(INDIRECT(ADDRESS(2,COLUMN())),OFFSET($BN$2,0,0,ROW()-1,60),ROW()-1,FALSE))</f>
        <v>17.716000000000001</v>
      </c>
      <c r="U368">
        <f ca="1">IF(AND(ISNUMBER($U$807),$B$419=1),$U$807,HLOOKUP(INDIRECT(ADDRESS(2,COLUMN())),OFFSET($BN$2,0,0,ROW()-1,60),ROW()-1,FALSE))</f>
        <v>11.074999999999999</v>
      </c>
      <c r="V368">
        <f ca="1">IF(AND(ISNUMBER($V$807),$B$419=1),$V$807,HLOOKUP(INDIRECT(ADDRESS(2,COLUMN())),OFFSET($BN$2,0,0,ROW()-1,60),ROW()-1,FALSE))</f>
        <v>28.527999999999999</v>
      </c>
      <c r="W368">
        <f ca="1">IF(AND(ISNUMBER($W$807),$B$419=1),$W$807,HLOOKUP(INDIRECT(ADDRESS(2,COLUMN())),OFFSET($BN$2,0,0,ROW()-1,60),ROW()-1,FALSE))</f>
        <v>43.649000000000001</v>
      </c>
      <c r="X368">
        <f ca="1">IF(AND(ISNUMBER($X$807),$B$419=1),$X$807,HLOOKUP(INDIRECT(ADDRESS(2,COLUMN())),OFFSET($BN$2,0,0,ROW()-1,60),ROW()-1,FALSE))</f>
        <v>45.960999999999999</v>
      </c>
      <c r="Y368">
        <f ca="1">IF(AND(ISNUMBER($Y$807),$B$419=1),$Y$807,HLOOKUP(INDIRECT(ADDRESS(2,COLUMN())),OFFSET($BN$2,0,0,ROW()-1,60),ROW()-1,FALSE))</f>
        <v>15.852</v>
      </c>
      <c r="Z368">
        <f ca="1">IF(AND(ISNUMBER($Z$807),$B$419=1),$Z$807,HLOOKUP(INDIRECT(ADDRESS(2,COLUMN())),OFFSET($BN$2,0,0,ROW()-1,60),ROW()-1,FALSE))</f>
        <v>26.82</v>
      </c>
      <c r="AA368">
        <f ca="1">IF(AND(ISNUMBER($AA$807),$B$419=1),$AA$807,HLOOKUP(INDIRECT(ADDRESS(2,COLUMN())),OFFSET($BN$2,0,0,ROW()-1,60),ROW()-1,FALSE))</f>
        <v>26.460999999999999</v>
      </c>
      <c r="AB368">
        <f ca="1">IF(AND(ISNUMBER($AB$807),$B$419=1),$AB$807,HLOOKUP(INDIRECT(ADDRESS(2,COLUMN())),OFFSET($BN$2,0,0,ROW()-1,60),ROW()-1,FALSE))</f>
        <v>35.142000000000003</v>
      </c>
      <c r="AC368">
        <f ca="1">IF(AND(ISNUMBER($AC$807),$B$419=1),$AC$807,HLOOKUP(INDIRECT(ADDRESS(2,COLUMN())),OFFSET($BN$2,0,0,ROW()-1,60),ROW()-1,FALSE))</f>
        <v>28.602</v>
      </c>
      <c r="AD368">
        <f ca="1">IF(AND(ISNUMBER($AD$807),$B$419=1),$AD$807,HLOOKUP(INDIRECT(ADDRESS(2,COLUMN())),OFFSET($BN$2,0,0,ROW()-1,60),ROW()-1,FALSE))</f>
        <v>34.262</v>
      </c>
      <c r="AE368">
        <f ca="1">IF(AND(ISNUMBER($AE$807),$B$419=1),$AE$807,HLOOKUP(INDIRECT(ADDRESS(2,COLUMN())),OFFSET($BN$2,0,0,ROW()-1,60),ROW()-1,FALSE))</f>
        <v>12.058</v>
      </c>
      <c r="AF368">
        <f ca="1">IF(AND(ISNUMBER($AF$807),$B$419=1),$AF$807,HLOOKUP(INDIRECT(ADDRESS(2,COLUMN())),OFFSET($BN$2,0,0,ROW()-1,60),ROW()-1,FALSE))</f>
        <v>-98.427999999999997</v>
      </c>
      <c r="AG368">
        <f ca="1">IF(AND(ISNUMBER($AG$807),$B$419=1),$AG$807,HLOOKUP(INDIRECT(ADDRESS(2,COLUMN())),OFFSET($BN$2,0,0,ROW()-1,60),ROW()-1,FALSE))</f>
        <v>-119.95</v>
      </c>
      <c r="AH368">
        <f ca="1">IF(AND(ISNUMBER($AH$807),$B$419=1),$AH$807,HLOOKUP(INDIRECT(ADDRESS(2,COLUMN())),OFFSET($BN$2,0,0,ROW()-1,60),ROW()-1,FALSE))</f>
        <v>15.788</v>
      </c>
      <c r="AI368">
        <f ca="1">IF(AND(ISNUMBER($AI$807),$B$419=1),$AI$807,HLOOKUP(INDIRECT(ADDRESS(2,COLUMN())),OFFSET($BN$2,0,0,ROW()-1,60),ROW()-1,FALSE))</f>
        <v>-6.7389999999999999</v>
      </c>
      <c r="AJ368">
        <f ca="1">IF(AND(ISNUMBER($AJ$807),$B$419=1),$AJ$807,HLOOKUP(INDIRECT(ADDRESS(2,COLUMN())),OFFSET($BN$2,0,0,ROW()-1,60),ROW()-1,FALSE))</f>
        <v>4.1120000000000001</v>
      </c>
      <c r="AK368">
        <f ca="1">IF(AND(ISNUMBER($AK$807),$B$419=1),$AK$807,HLOOKUP(INDIRECT(ADDRESS(2,COLUMN())),OFFSET($BN$2,0,0,ROW()-1,60),ROW()-1,FALSE))</f>
        <v>8.8559999999999999</v>
      </c>
      <c r="AL368">
        <f ca="1">IF(AND(ISNUMBER($AL$807),$B$419=1),$AL$807,HLOOKUP(INDIRECT(ADDRESS(2,COLUMN())),OFFSET($BN$2,0,0,ROW()-1,60),ROW()-1,FALSE))</f>
        <v>18.492999999999999</v>
      </c>
      <c r="AM368">
        <f ca="1">IF(AND(ISNUMBER($AM$807),$B$419=1),$AM$807,HLOOKUP(INDIRECT(ADDRESS(2,COLUMN())),OFFSET($BN$2,0,0,ROW()-1,60),ROW()-1,FALSE))</f>
        <v>-65.816999999999993</v>
      </c>
      <c r="AN368">
        <f ca="1">IF(AND(ISNUMBER($AN$807),$B$419=1),$AN$807,HLOOKUP(INDIRECT(ADDRESS(2,COLUMN())),OFFSET($BN$2,0,0,ROW()-1,60),ROW()-1,FALSE))</f>
        <v>104.463855</v>
      </c>
      <c r="AO368">
        <f ca="1">IF(AND(ISNUMBER($AO$807),$B$419=1),$AO$807,HLOOKUP(INDIRECT(ADDRESS(2,COLUMN())),OFFSET($BN$2,0,0,ROW()-1,60),ROW()-1,FALSE))</f>
        <v>17.581144999999999</v>
      </c>
      <c r="AP368">
        <f ca="1">IF(AND(ISNUMBER($AP$807),$B$419=1),$AP$807,HLOOKUP(INDIRECT(ADDRESS(2,COLUMN())),OFFSET($BN$2,0,0,ROW()-1,60),ROW()-1,FALSE))</f>
        <v>19.224</v>
      </c>
      <c r="AQ368">
        <f ca="1">IF(AND(ISNUMBER($AQ$807),$B$419=1),$AQ$807,HLOOKUP(INDIRECT(ADDRESS(2,COLUMN())),OFFSET($BN$2,0,0,ROW()-1,60),ROW()-1,FALSE))</f>
        <v>0.19</v>
      </c>
      <c r="AR368">
        <f ca="1">IF(AND(ISNUMBER($AR$807),$B$419=1),$AR$807,HLOOKUP(INDIRECT(ADDRESS(2,COLUMN())),OFFSET($BN$2,0,0,ROW()-1,60),ROW()-1,FALSE))</f>
        <v>-5.1790000000000003</v>
      </c>
      <c r="AS368">
        <f ca="1">IF(AND(ISNUMBER($AS$807),$B$419=1),$AS$807,HLOOKUP(INDIRECT(ADDRESS(2,COLUMN())),OFFSET($BN$2,0,0,ROW()-1,60),ROW()-1,FALSE))</f>
        <v>-18.079999999999998</v>
      </c>
      <c r="AT368">
        <f ca="1">IF(AND(ISNUMBER($AT$807),$B$419=1),$AT$807,HLOOKUP(INDIRECT(ADDRESS(2,COLUMN())),OFFSET($BN$2,0,0,ROW()-1,60),ROW()-1,FALSE))</f>
        <v>-7.2590000000000003</v>
      </c>
      <c r="AU368">
        <f ca="1">IF(AND(ISNUMBER($AU$807),$B$419=1),$AU$807,HLOOKUP(INDIRECT(ADDRESS(2,COLUMN())),OFFSET($BN$2,0,0,ROW()-1,60),ROW()-1,FALSE))</f>
        <v>3.0459999999999998</v>
      </c>
      <c r="AV368">
        <f ca="1">IF(AND(ISNUMBER($AV$807),$B$419=1),$AV$807,HLOOKUP(INDIRECT(ADDRESS(2,COLUMN())),OFFSET($BN$2,0,0,ROW()-1,60),ROW()-1,FALSE))</f>
        <v>-3.0329999999999999</v>
      </c>
      <c r="AW368">
        <f ca="1">IF(AND(ISNUMBER($AW$807),$B$419=1),$AW$807,HLOOKUP(INDIRECT(ADDRESS(2,COLUMN())),OFFSET($BN$2,0,0,ROW()-1,60),ROW()-1,FALSE))</f>
        <v>5.73</v>
      </c>
      <c r="AX368">
        <f ca="1">IF(AND(ISNUMBER($AX$807),$B$419=1),$AX$807,HLOOKUP(INDIRECT(ADDRESS(2,COLUMN())),OFFSET($BN$2,0,0,ROW()-1,60),ROW()-1,FALSE))</f>
        <v>7.8150000000000004</v>
      </c>
      <c r="AY368">
        <f ca="1">IF(AND(ISNUMBER($AY$807),$B$419=1),$AY$807,HLOOKUP(INDIRECT(ADDRESS(2,COLUMN())),OFFSET($BN$2,0,0,ROW()-1,60),ROW()-1,FALSE))</f>
        <v>3.1</v>
      </c>
      <c r="AZ368">
        <f ca="1">IF(AND(ISNUMBER($AZ$807),$B$419=1),$AZ$807,HLOOKUP(INDIRECT(ADDRESS(2,COLUMN())),OFFSET($BN$2,0,0,ROW()-1,60),ROW()-1,FALSE))</f>
        <v>6.5629999999999997</v>
      </c>
      <c r="BA368">
        <f ca="1">IF(AND(ISNUMBER($BA$807),$B$419=1),$BA$807,HLOOKUP(INDIRECT(ADDRESS(2,COLUMN())),OFFSET($BN$2,0,0,ROW()-1,60),ROW()-1,FALSE))</f>
        <v>0.17899999999999999</v>
      </c>
      <c r="BB368">
        <f ca="1">IF(AND(ISNUMBER($BB$807),$B$419=1),$BB$807,HLOOKUP(INDIRECT(ADDRESS(2,COLUMN())),OFFSET($BN$2,0,0,ROW()-1,60),ROW()-1,FALSE))</f>
        <v>41.692</v>
      </c>
      <c r="BC368">
        <f ca="1">IF(AND(ISNUMBER($BC$807),$B$419=1),$BC$807,HLOOKUP(INDIRECT(ADDRESS(2,COLUMN())),OFFSET($BN$2,0,0,ROW()-1,60),ROW()-1,FALSE))</f>
        <v>0.30599999999999999</v>
      </c>
      <c r="BD368">
        <f ca="1">IF(AND(ISNUMBER($BD$807),$B$419=1),$BD$807,HLOOKUP(INDIRECT(ADDRESS(2,COLUMN())),OFFSET($BN$2,0,0,ROW()-1,60),ROW()-1,FALSE))</f>
        <v>11.617000000000001</v>
      </c>
      <c r="BE368">
        <f ca="1">IF(AND(ISNUMBER($BE$807),$B$419=1),$BE$807,HLOOKUP(INDIRECT(ADDRESS(2,COLUMN())),OFFSET($BN$2,0,0,ROW()-1,60),ROW()-1,FALSE))</f>
        <v>16.433</v>
      </c>
      <c r="BF368">
        <f ca="1">IF(AND(ISNUMBER($BF$807),$B$419=1),$BF$807,HLOOKUP(INDIRECT(ADDRESS(2,COLUMN())),OFFSET($BN$2,0,0,ROW()-1,60),ROW()-1,FALSE))</f>
        <v>11.454000000000001</v>
      </c>
      <c r="BG368">
        <f ca="1">IF(AND(ISNUMBER($BG$807),$B$419=1),$BG$807,HLOOKUP(INDIRECT(ADDRESS(2,COLUMN())),OFFSET($BN$2,0,0,ROW()-1,60),ROW()-1,FALSE))</f>
        <v>17.751999999999999</v>
      </c>
      <c r="BH368">
        <f ca="1">IF(AND(ISNUMBER($BH$807),$B$419=1),$BH$807,HLOOKUP(INDIRECT(ADDRESS(2,COLUMN())),OFFSET($BN$2,0,0,ROW()-1,60),ROW()-1,FALSE))</f>
        <v>17.741</v>
      </c>
      <c r="BI368">
        <f ca="1">IF(AND(ISNUMBER($BI$807),$B$419=1),$BI$807,HLOOKUP(INDIRECT(ADDRESS(2,COLUMN())),OFFSET($BN$2,0,0,ROW()-1,60),ROW()-1,FALSE))</f>
        <v>15.907</v>
      </c>
      <c r="BJ368">
        <f ca="1">IF(AND(ISNUMBER($BJ$807),$B$419=1),$BJ$807,HLOOKUP(INDIRECT(ADDRESS(2,COLUMN())),OFFSET($BN$2,0,0,ROW()-1,60),ROW()-1,FALSE))</f>
        <v>17.579999999999998</v>
      </c>
      <c r="BK368">
        <f ca="1">IF(AND(ISNUMBER($BK$807),$B$419=1),$BK$807,HLOOKUP(INDIRECT(ADDRESS(2,COLUMN())),OFFSET($BN$2,0,0,ROW()-1,60),ROW()-1,FALSE))</f>
        <v>-309.15500350000002</v>
      </c>
      <c r="BL368">
        <f ca="1">IF(AND(ISNUMBER($BL$807),$B$419=1),$BL$807,HLOOKUP(INDIRECT(ADDRESS(2,COLUMN())),OFFSET($BN$2,0,0,ROW()-1,60),ROW()-1,FALSE))</f>
        <v>8.3089999999999993</v>
      </c>
      <c r="BM368">
        <f ca="1">IF(AND(ISNUMBER($BM$807),$B$419=1),$BM$807,HLOOKUP(INDIRECT(ADDRESS(2,COLUMN())),OFFSET($BN$2,0,0,ROW()-1,60),ROW()-1,FALSE))</f>
        <v>9.1809999999999992</v>
      </c>
      <c r="BN368" t="str">
        <f>""</f>
        <v/>
      </c>
      <c r="BO368">
        <f>37.404</f>
        <v>37.404000000000003</v>
      </c>
      <c r="BP368">
        <f>26.581</f>
        <v>26.581</v>
      </c>
      <c r="BQ368">
        <f>-0.095</f>
        <v>-9.5000000000000001E-2</v>
      </c>
      <c r="BR368">
        <f>14.129</f>
        <v>14.129</v>
      </c>
      <c r="BS368">
        <f>11.182</f>
        <v>11.182</v>
      </c>
      <c r="BT368">
        <f>22.511</f>
        <v>22.510999999999999</v>
      </c>
      <c r="BU368">
        <f>17.069</f>
        <v>17.068999999999999</v>
      </c>
      <c r="BV368">
        <f>16.991</f>
        <v>16.991</v>
      </c>
      <c r="BW368">
        <f>-11.998</f>
        <v>-11.997999999999999</v>
      </c>
      <c r="BX368">
        <f>4.198</f>
        <v>4.1980000000000004</v>
      </c>
      <c r="BY368">
        <f>-14.125</f>
        <v>-14.125</v>
      </c>
      <c r="BZ368">
        <f>3.137</f>
        <v>3.137</v>
      </c>
      <c r="CA368">
        <f>-15.497</f>
        <v>-15.497</v>
      </c>
      <c r="CB368">
        <f>17.716</f>
        <v>17.716000000000001</v>
      </c>
      <c r="CC368">
        <f>11.075</f>
        <v>11.074999999999999</v>
      </c>
      <c r="CD368">
        <f>28.528</f>
        <v>28.527999999999999</v>
      </c>
      <c r="CE368">
        <f>43.649</f>
        <v>43.649000000000001</v>
      </c>
      <c r="CF368">
        <f>45.961</f>
        <v>45.960999999999999</v>
      </c>
      <c r="CG368">
        <f>15.852</f>
        <v>15.852</v>
      </c>
      <c r="CH368">
        <f>26.82</f>
        <v>26.82</v>
      </c>
      <c r="CI368">
        <f>26.461</f>
        <v>26.460999999999999</v>
      </c>
      <c r="CJ368">
        <f>35.142</f>
        <v>35.142000000000003</v>
      </c>
      <c r="CK368">
        <f>28.602</f>
        <v>28.602</v>
      </c>
      <c r="CL368">
        <f>34.262</f>
        <v>34.262</v>
      </c>
      <c r="CM368">
        <f>12.058</f>
        <v>12.058</v>
      </c>
      <c r="CN368">
        <f>-98.428</f>
        <v>-98.427999999999997</v>
      </c>
      <c r="CO368">
        <f>-119.95</f>
        <v>-119.95</v>
      </c>
      <c r="CP368">
        <f>15.788</f>
        <v>15.788</v>
      </c>
      <c r="CQ368">
        <f>-6.739</f>
        <v>-6.7389999999999999</v>
      </c>
      <c r="CR368">
        <f>4.112</f>
        <v>4.1120000000000001</v>
      </c>
      <c r="CS368">
        <f>8.856</f>
        <v>8.8559999999999999</v>
      </c>
      <c r="CT368">
        <f>18.493</f>
        <v>18.492999999999999</v>
      </c>
      <c r="CU368">
        <f>-65.817</f>
        <v>-65.816999999999993</v>
      </c>
      <c r="CV368">
        <f>104.463855</f>
        <v>104.463855</v>
      </c>
      <c r="CW368">
        <f>17.581145</f>
        <v>17.581144999999999</v>
      </c>
      <c r="CX368">
        <f>19.224</f>
        <v>19.224</v>
      </c>
      <c r="CY368">
        <f>0.19</f>
        <v>0.19</v>
      </c>
      <c r="CZ368">
        <f>-5.179</f>
        <v>-5.1790000000000003</v>
      </c>
      <c r="DA368">
        <f>-18.08</f>
        <v>-18.079999999999998</v>
      </c>
      <c r="DB368">
        <f>-7.259</f>
        <v>-7.2590000000000003</v>
      </c>
      <c r="DC368">
        <f>3.046</f>
        <v>3.0459999999999998</v>
      </c>
      <c r="DD368">
        <f>-3.033</f>
        <v>-3.0329999999999999</v>
      </c>
      <c r="DE368">
        <f>5.73</f>
        <v>5.73</v>
      </c>
      <c r="DF368">
        <f>7.815</f>
        <v>7.8150000000000004</v>
      </c>
      <c r="DG368">
        <f>3.1</f>
        <v>3.1</v>
      </c>
      <c r="DH368">
        <f>6.563</f>
        <v>6.5629999999999997</v>
      </c>
      <c r="DI368">
        <f>0.179</f>
        <v>0.17899999999999999</v>
      </c>
      <c r="DJ368">
        <f>41.692</f>
        <v>41.692</v>
      </c>
      <c r="DK368">
        <f>0.306</f>
        <v>0.30599999999999999</v>
      </c>
      <c r="DL368">
        <f>11.617</f>
        <v>11.617000000000001</v>
      </c>
      <c r="DM368">
        <f>16.433</f>
        <v>16.433</v>
      </c>
      <c r="DN368">
        <f>11.454</f>
        <v>11.454000000000001</v>
      </c>
      <c r="DO368">
        <f>17.752</f>
        <v>17.751999999999999</v>
      </c>
      <c r="DP368">
        <f>17.741</f>
        <v>17.741</v>
      </c>
      <c r="DQ368">
        <f>15.907</f>
        <v>15.907</v>
      </c>
      <c r="DR368">
        <f>17.58</f>
        <v>17.579999999999998</v>
      </c>
      <c r="DS368">
        <f>-309.1550035</f>
        <v>-309.15500350000002</v>
      </c>
      <c r="DT368">
        <f>8.309</f>
        <v>8.3089999999999993</v>
      </c>
      <c r="DU368">
        <f>9.181</f>
        <v>9.1809999999999992</v>
      </c>
    </row>
    <row r="369" spans="1:125">
      <c r="A369" t="str">
        <f>"    VEREIT Inc"</f>
        <v xml:space="preserve">    VEREIT Inc</v>
      </c>
      <c r="B369" t="str">
        <f>"VER US Equity"</f>
        <v>VER US Equity</v>
      </c>
      <c r="C369" t="str">
        <f t="shared" si="66"/>
        <v>RR008</v>
      </c>
      <c r="D369" t="str">
        <f t="shared" si="67"/>
        <v>CF_FREE_CASH_FLOW</v>
      </c>
      <c r="E369" t="str">
        <f t="shared" si="68"/>
        <v>动态</v>
      </c>
      <c r="F369" t="str">
        <f ca="1">IF(AND(ISNUMBER($F$808),$B$419=1),$F$808,HLOOKUP(INDIRECT(ADDRESS(2,COLUMN())),OFFSET($BN$2,0,0,ROW()-1,60),ROW()-1,FALSE))</f>
        <v/>
      </c>
      <c r="G369" t="str">
        <f ca="1">IF(AND(ISNUMBER($G$808),$B$419=1),$G$808,HLOOKUP(INDIRECT(ADDRESS(2,COLUMN())),OFFSET($BN$2,0,0,ROW()-1,60),ROW()-1,FALSE))</f>
        <v/>
      </c>
      <c r="H369" t="str">
        <f ca="1">IF(AND(ISNUMBER($H$808),$B$419=1),$H$808,HLOOKUP(INDIRECT(ADDRESS(2,COLUMN())),OFFSET($BN$2,0,0,ROW()-1,60),ROW()-1,FALSE))</f>
        <v/>
      </c>
      <c r="I369">
        <f ca="1">IF(AND(ISNUMBER($I$808),$B$419=1),$I$808,HLOOKUP(INDIRECT(ADDRESS(2,COLUMN())),OFFSET($BN$2,0,0,ROW()-1,60),ROW()-1,FALSE))</f>
        <v>197.67699999999999</v>
      </c>
      <c r="J369">
        <f ca="1">IF(AND(ISNUMBER($J$808),$B$419=1),$J$808,HLOOKUP(INDIRECT(ADDRESS(2,COLUMN())),OFFSET($BN$2,0,0,ROW()-1,60),ROW()-1,FALSE))</f>
        <v>171.661</v>
      </c>
      <c r="K369">
        <f ca="1">IF(AND(ISNUMBER($K$808),$B$419=1),$K$808,HLOOKUP(INDIRECT(ADDRESS(2,COLUMN())),OFFSET($BN$2,0,0,ROW()-1,60),ROW()-1,FALSE))</f>
        <v>182.542</v>
      </c>
      <c r="L369">
        <f ca="1">IF(AND(ISNUMBER($L$808),$B$419=1),$L$808,HLOOKUP(INDIRECT(ADDRESS(2,COLUMN())),OFFSET($BN$2,0,0,ROW()-1,60),ROW()-1,FALSE))</f>
        <v>183.65199999999999</v>
      </c>
      <c r="M369">
        <f ca="1">IF(AND(ISNUMBER($M$808),$B$419=1),$M$808,HLOOKUP(INDIRECT(ADDRESS(2,COLUMN())),OFFSET($BN$2,0,0,ROW()-1,60),ROW()-1,FALSE))</f>
        <v>226</v>
      </c>
      <c r="N369">
        <f ca="1">IF(AND(ISNUMBER($N$808),$B$419=1),$N$808,HLOOKUP(INDIRECT(ADDRESS(2,COLUMN())),OFFSET($BN$2,0,0,ROW()-1,60),ROW()-1,FALSE))</f>
        <v>172.096</v>
      </c>
      <c r="O369">
        <f ca="1">IF(AND(ISNUMBER($O$808),$B$419=1),$O$808,HLOOKUP(INDIRECT(ADDRESS(2,COLUMN())),OFFSET($BN$2,0,0,ROW()-1,60),ROW()-1,FALSE))</f>
        <v>223.46600000000001</v>
      </c>
      <c r="P369">
        <f ca="1">IF(AND(ISNUMBER($P$808),$B$419=1),$P$808,HLOOKUP(INDIRECT(ADDRESS(2,COLUMN())),OFFSET($BN$2,0,0,ROW()-1,60),ROW()-1,FALSE))</f>
        <v>156.77099999999999</v>
      </c>
      <c r="Q369">
        <f ca="1">IF(AND(ISNUMBER($Q$808),$B$419=1),$Q$808,HLOOKUP(INDIRECT(ADDRESS(2,COLUMN())),OFFSET($BN$2,0,0,ROW()-1,60),ROW()-1,FALSE))</f>
        <v>198.12899999999999</v>
      </c>
      <c r="R369">
        <f ca="1">IF(AND(ISNUMBER($R$808),$B$419=1),$R$808,HLOOKUP(INDIRECT(ADDRESS(2,COLUMN())),OFFSET($BN$2,0,0,ROW()-1,60),ROW()-1,FALSE))</f>
        <v>210.48500000000001</v>
      </c>
      <c r="S369">
        <f ca="1">IF(AND(ISNUMBER($S$808),$B$419=1),$S$808,HLOOKUP(INDIRECT(ADDRESS(2,COLUMN())),OFFSET($BN$2,0,0,ROW()-1,60),ROW()-1,FALSE))</f>
        <v>196.71299999999999</v>
      </c>
      <c r="T369">
        <f ca="1">IF(AND(ISNUMBER($T$808),$B$419=1),$T$808,HLOOKUP(INDIRECT(ADDRESS(2,COLUMN())),OFFSET($BN$2,0,0,ROW()-1,60),ROW()-1,FALSE))</f>
        <v>171.33699999999999</v>
      </c>
      <c r="U369">
        <f ca="1">IF(AND(ISNUMBER($U$808),$B$419=1),$U$808,HLOOKUP(INDIRECT(ADDRESS(2,COLUMN())),OFFSET($BN$2,0,0,ROW()-1,60),ROW()-1,FALSE))</f>
        <v>126.667</v>
      </c>
      <c r="V369">
        <f ca="1">IF(AND(ISNUMBER($V$808),$B$419=1),$V$808,HLOOKUP(INDIRECT(ADDRESS(2,COLUMN())),OFFSET($BN$2,0,0,ROW()-1,60),ROW()-1,FALSE))</f>
        <v>-138.98400000000001</v>
      </c>
      <c r="W369">
        <f ca="1">IF(AND(ISNUMBER($W$808),$B$419=1),$W$808,HLOOKUP(INDIRECT(ADDRESS(2,COLUMN())),OFFSET($BN$2,0,0,ROW()-1,60),ROW()-1,FALSE))</f>
        <v>-6.2089999999999996</v>
      </c>
      <c r="X369">
        <f ca="1">IF(AND(ISNUMBER($X$808),$B$419=1),$X$808,HLOOKUP(INDIRECT(ADDRESS(2,COLUMN())),OFFSET($BN$2,0,0,ROW()-1,60),ROW()-1,FALSE))</f>
        <v>15.036</v>
      </c>
      <c r="Y369">
        <f ca="1">IF(AND(ISNUMBER($Y$808),$B$419=1),$Y$808,HLOOKUP(INDIRECT(ADDRESS(2,COLUMN())),OFFSET($BN$2,0,0,ROW()-1,60),ROW()-1,FALSE))</f>
        <v>0.94399999999999995</v>
      </c>
      <c r="Z369">
        <f ca="1">IF(AND(ISNUMBER($Z$808),$B$419=1),$Z$808,HLOOKUP(INDIRECT(ADDRESS(2,COLUMN())),OFFSET($BN$2,0,0,ROW()-1,60),ROW()-1,FALSE))</f>
        <v>-8.1509999999999998</v>
      </c>
      <c r="AA369">
        <f ca="1">IF(AND(ISNUMBER($AA$808),$B$419=1),$AA$808,HLOOKUP(INDIRECT(ADDRESS(2,COLUMN())),OFFSET($BN$2,0,0,ROW()-1,60),ROW()-1,FALSE))</f>
        <v>10.065</v>
      </c>
      <c r="AB369">
        <f ca="1">IF(AND(ISNUMBER($AB$808),$B$419=1),$AB$808,HLOOKUP(INDIRECT(ADDRESS(2,COLUMN())),OFFSET($BN$2,0,0,ROW()-1,60),ROW()-1,FALSE))</f>
        <v>0.33700000000000002</v>
      </c>
      <c r="AC369">
        <f ca="1">IF(AND(ISNUMBER($AC$808),$B$419=1),$AC$808,HLOOKUP(INDIRECT(ADDRESS(2,COLUMN())),OFFSET($BN$2,0,0,ROW()-1,60),ROW()-1,FALSE))</f>
        <v>3.7629999999999999</v>
      </c>
      <c r="AD369">
        <f ca="1">IF(AND(ISNUMBER($AD$808),$B$419=1),$AD$808,HLOOKUP(INDIRECT(ADDRESS(2,COLUMN())),OFFSET($BN$2,0,0,ROW()-1,60),ROW()-1,FALSE))</f>
        <v>-2.609</v>
      </c>
      <c r="AE369">
        <f ca="1">IF(AND(ISNUMBER($AE$808),$B$419=1),$AE$808,HLOOKUP(INDIRECT(ADDRESS(2,COLUMN())),OFFSET($BN$2,0,0,ROW()-1,60),ROW()-1,FALSE))</f>
        <v>0.67700000000000005</v>
      </c>
      <c r="AF369">
        <f ca="1">IF(AND(ISNUMBER($AF$808),$B$419=1),$AF$808,HLOOKUP(INDIRECT(ADDRESS(2,COLUMN())),OFFSET($BN$2,0,0,ROW()-1,60),ROW()-1,FALSE))</f>
        <v>0.68306299999999998</v>
      </c>
      <c r="AG369">
        <f ca="1">IF(AND(ISNUMBER($AG$808),$B$419=1),$AG$808,HLOOKUP(INDIRECT(ADDRESS(2,COLUMN())),OFFSET($BN$2,0,0,ROW()-1,60),ROW()-1,FALSE))</f>
        <v>0</v>
      </c>
      <c r="AH369">
        <f ca="1">IF(AND(ISNUMBER($AH$808),$B$419=1),$AH$808,HLOOKUP(INDIRECT(ADDRESS(2,COLUMN())),OFFSET($BN$2,0,0,ROW()-1,60),ROW()-1,FALSE))</f>
        <v>-0.44006299999999998</v>
      </c>
      <c r="AI369" t="str">
        <f ca="1">IF(AND(ISNUMBER($AI$808),$B$419=1),$AI$808,HLOOKUP(INDIRECT(ADDRESS(2,COLUMN())),OFFSET($BN$2,0,0,ROW()-1,60),ROW()-1,FALSE))</f>
        <v/>
      </c>
      <c r="AJ369" t="str">
        <f ca="1">IF(AND(ISNUMBER($AJ$808),$B$419=1),$AJ$808,HLOOKUP(INDIRECT(ADDRESS(2,COLUMN())),OFFSET($BN$2,0,0,ROW()-1,60),ROW()-1,FALSE))</f>
        <v/>
      </c>
      <c r="AK369" t="str">
        <f ca="1">IF(AND(ISNUMBER($AK$808),$B$419=1),$AK$808,HLOOKUP(INDIRECT(ADDRESS(2,COLUMN())),OFFSET($BN$2,0,0,ROW()-1,60),ROW()-1,FALSE))</f>
        <v/>
      </c>
      <c r="AL369">
        <f ca="1">IF(AND(ISNUMBER($AL$808),$B$419=1),$AL$808,HLOOKUP(INDIRECT(ADDRESS(2,COLUMN())),OFFSET($BN$2,0,0,ROW()-1,60),ROW()-1,FALSE))</f>
        <v>-0.31517600000000001</v>
      </c>
      <c r="AM369" t="str">
        <f ca="1">IF(AND(ISNUMBER($AM$808),$B$419=1),$AM$808,HLOOKUP(INDIRECT(ADDRESS(2,COLUMN())),OFFSET($BN$2,0,0,ROW()-1,60),ROW()-1,FALSE))</f>
        <v/>
      </c>
      <c r="AN369" t="str">
        <f ca="1">IF(AND(ISNUMBER($AN$808),$B$419=1),$AN$808,HLOOKUP(INDIRECT(ADDRESS(2,COLUMN())),OFFSET($BN$2,0,0,ROW()-1,60),ROW()-1,FALSE))</f>
        <v/>
      </c>
      <c r="AO369" t="str">
        <f ca="1">IF(AND(ISNUMBER($AO$808),$B$419=1),$AO$808,HLOOKUP(INDIRECT(ADDRESS(2,COLUMN())),OFFSET($BN$2,0,0,ROW()-1,60),ROW()-1,FALSE))</f>
        <v/>
      </c>
      <c r="AP369" t="str">
        <f ca="1">IF(AND(ISNUMBER($AP$808),$B$419=1),$AP$808,HLOOKUP(INDIRECT(ADDRESS(2,COLUMN())),OFFSET($BN$2,0,0,ROW()-1,60),ROW()-1,FALSE))</f>
        <v/>
      </c>
      <c r="AQ369" t="str">
        <f ca="1">IF(AND(ISNUMBER($AQ$808),$B$419=1),$AQ$808,HLOOKUP(INDIRECT(ADDRESS(2,COLUMN())),OFFSET($BN$2,0,0,ROW()-1,60),ROW()-1,FALSE))</f>
        <v/>
      </c>
      <c r="AR369" t="str">
        <f ca="1">IF(AND(ISNUMBER($AR$808),$B$419=1),$AR$808,HLOOKUP(INDIRECT(ADDRESS(2,COLUMN())),OFFSET($BN$2,0,0,ROW()-1,60),ROW()-1,FALSE))</f>
        <v/>
      </c>
      <c r="AS369" t="str">
        <f ca="1">IF(AND(ISNUMBER($AS$808),$B$419=1),$AS$808,HLOOKUP(INDIRECT(ADDRESS(2,COLUMN())),OFFSET($BN$2,0,0,ROW()-1,60),ROW()-1,FALSE))</f>
        <v/>
      </c>
      <c r="AT369" t="str">
        <f ca="1">IF(AND(ISNUMBER($AT$808),$B$419=1),$AT$808,HLOOKUP(INDIRECT(ADDRESS(2,COLUMN())),OFFSET($BN$2,0,0,ROW()-1,60),ROW()-1,FALSE))</f>
        <v/>
      </c>
      <c r="AU369" t="str">
        <f ca="1">IF(AND(ISNUMBER($AU$808),$B$419=1),$AU$808,HLOOKUP(INDIRECT(ADDRESS(2,COLUMN())),OFFSET($BN$2,0,0,ROW()-1,60),ROW()-1,FALSE))</f>
        <v/>
      </c>
      <c r="AV369" t="str">
        <f ca="1">IF(AND(ISNUMBER($AV$808),$B$419=1),$AV$808,HLOOKUP(INDIRECT(ADDRESS(2,COLUMN())),OFFSET($BN$2,0,0,ROW()-1,60),ROW()-1,FALSE))</f>
        <v/>
      </c>
      <c r="AW369" t="str">
        <f ca="1">IF(AND(ISNUMBER($AW$808),$B$419=1),$AW$808,HLOOKUP(INDIRECT(ADDRESS(2,COLUMN())),OFFSET($BN$2,0,0,ROW()-1,60),ROW()-1,FALSE))</f>
        <v/>
      </c>
      <c r="AX369" t="str">
        <f ca="1">IF(AND(ISNUMBER($AX$808),$B$419=1),$AX$808,HLOOKUP(INDIRECT(ADDRESS(2,COLUMN())),OFFSET($BN$2,0,0,ROW()-1,60),ROW()-1,FALSE))</f>
        <v/>
      </c>
      <c r="AY369" t="str">
        <f ca="1">IF(AND(ISNUMBER($AY$808),$B$419=1),$AY$808,HLOOKUP(INDIRECT(ADDRESS(2,COLUMN())),OFFSET($BN$2,0,0,ROW()-1,60),ROW()-1,FALSE))</f>
        <v/>
      </c>
      <c r="AZ369" t="str">
        <f ca="1">IF(AND(ISNUMBER($AZ$808),$B$419=1),$AZ$808,HLOOKUP(INDIRECT(ADDRESS(2,COLUMN())),OFFSET($BN$2,0,0,ROW()-1,60),ROW()-1,FALSE))</f>
        <v/>
      </c>
      <c r="BA369" t="str">
        <f ca="1">IF(AND(ISNUMBER($BA$808),$B$419=1),$BA$808,HLOOKUP(INDIRECT(ADDRESS(2,COLUMN())),OFFSET($BN$2,0,0,ROW()-1,60),ROW()-1,FALSE))</f>
        <v/>
      </c>
      <c r="BB369" t="str">
        <f ca="1">IF(AND(ISNUMBER($BB$808),$B$419=1),$BB$808,HLOOKUP(INDIRECT(ADDRESS(2,COLUMN())),OFFSET($BN$2,0,0,ROW()-1,60),ROW()-1,FALSE))</f>
        <v/>
      </c>
      <c r="BC369" t="str">
        <f ca="1">IF(AND(ISNUMBER($BC$808),$B$419=1),$BC$808,HLOOKUP(INDIRECT(ADDRESS(2,COLUMN())),OFFSET($BN$2,0,0,ROW()-1,60),ROW()-1,FALSE))</f>
        <v/>
      </c>
      <c r="BD369" t="str">
        <f ca="1">IF(AND(ISNUMBER($BD$808),$B$419=1),$BD$808,HLOOKUP(INDIRECT(ADDRESS(2,COLUMN())),OFFSET($BN$2,0,0,ROW()-1,60),ROW()-1,FALSE))</f>
        <v/>
      </c>
      <c r="BE369" t="str">
        <f ca="1">IF(AND(ISNUMBER($BE$808),$B$419=1),$BE$808,HLOOKUP(INDIRECT(ADDRESS(2,COLUMN())),OFFSET($BN$2,0,0,ROW()-1,60),ROW()-1,FALSE))</f>
        <v/>
      </c>
      <c r="BF369" t="str">
        <f ca="1">IF(AND(ISNUMBER($BF$808),$B$419=1),$BF$808,HLOOKUP(INDIRECT(ADDRESS(2,COLUMN())),OFFSET($BN$2,0,0,ROW()-1,60),ROW()-1,FALSE))</f>
        <v/>
      </c>
      <c r="BG369" t="str">
        <f ca="1">IF(AND(ISNUMBER($BG$808),$B$419=1),$BG$808,HLOOKUP(INDIRECT(ADDRESS(2,COLUMN())),OFFSET($BN$2,0,0,ROW()-1,60),ROW()-1,FALSE))</f>
        <v/>
      </c>
      <c r="BH369" t="str">
        <f ca="1">IF(AND(ISNUMBER($BH$808),$B$419=1),$BH$808,HLOOKUP(INDIRECT(ADDRESS(2,COLUMN())),OFFSET($BN$2,0,0,ROW()-1,60),ROW()-1,FALSE))</f>
        <v/>
      </c>
      <c r="BI369" t="str">
        <f ca="1">IF(AND(ISNUMBER($BI$808),$B$419=1),$BI$808,HLOOKUP(INDIRECT(ADDRESS(2,COLUMN())),OFFSET($BN$2,0,0,ROW()-1,60),ROW()-1,FALSE))</f>
        <v/>
      </c>
      <c r="BJ369" t="str">
        <f ca="1">IF(AND(ISNUMBER($BJ$808),$B$419=1),$BJ$808,HLOOKUP(INDIRECT(ADDRESS(2,COLUMN())),OFFSET($BN$2,0,0,ROW()-1,60),ROW()-1,FALSE))</f>
        <v/>
      </c>
      <c r="BK369" t="str">
        <f ca="1">IF(AND(ISNUMBER($BK$808),$B$419=1),$BK$808,HLOOKUP(INDIRECT(ADDRESS(2,COLUMN())),OFFSET($BN$2,0,0,ROW()-1,60),ROW()-1,FALSE))</f>
        <v/>
      </c>
      <c r="BL369" t="str">
        <f ca="1">IF(AND(ISNUMBER($BL$808),$B$419=1),$BL$808,HLOOKUP(INDIRECT(ADDRESS(2,COLUMN())),OFFSET($BN$2,0,0,ROW()-1,60),ROW()-1,FALSE))</f>
        <v/>
      </c>
      <c r="BM369" t="str">
        <f ca="1">IF(AND(ISNUMBER($BM$808),$B$419=1),$BM$808,HLOOKUP(INDIRECT(ADDRESS(2,COLUMN())),OFFSET($BN$2,0,0,ROW()-1,60),ROW()-1,FALSE))</f>
        <v/>
      </c>
      <c r="BN369" t="str">
        <f>""</f>
        <v/>
      </c>
      <c r="BO369" t="str">
        <f>""</f>
        <v/>
      </c>
      <c r="BP369" t="str">
        <f>""</f>
        <v/>
      </c>
      <c r="BQ369">
        <f>197.677</f>
        <v>197.67699999999999</v>
      </c>
      <c r="BR369">
        <f>171.661</f>
        <v>171.661</v>
      </c>
      <c r="BS369">
        <f>182.542</f>
        <v>182.542</v>
      </c>
      <c r="BT369">
        <f>183.652</f>
        <v>183.65199999999999</v>
      </c>
      <c r="BU369">
        <f>226</f>
        <v>226</v>
      </c>
      <c r="BV369">
        <f>172.096</f>
        <v>172.096</v>
      </c>
      <c r="BW369">
        <f>223.466</f>
        <v>223.46600000000001</v>
      </c>
      <c r="BX369">
        <f>156.771</f>
        <v>156.77099999999999</v>
      </c>
      <c r="BY369">
        <f>198.129</f>
        <v>198.12899999999999</v>
      </c>
      <c r="BZ369">
        <f>210.485</f>
        <v>210.48500000000001</v>
      </c>
      <c r="CA369">
        <f>196.713</f>
        <v>196.71299999999999</v>
      </c>
      <c r="CB369">
        <f>171.337</f>
        <v>171.33699999999999</v>
      </c>
      <c r="CC369">
        <f>126.667</f>
        <v>126.667</v>
      </c>
      <c r="CD369">
        <f>-138.984</f>
        <v>-138.98400000000001</v>
      </c>
      <c r="CE369">
        <f>-6.209</f>
        <v>-6.2089999999999996</v>
      </c>
      <c r="CF369">
        <f>15.036</f>
        <v>15.036</v>
      </c>
      <c r="CG369">
        <f>0.944</f>
        <v>0.94399999999999995</v>
      </c>
      <c r="CH369">
        <f>-8.151</f>
        <v>-8.1509999999999998</v>
      </c>
      <c r="CI369">
        <f>10.065</f>
        <v>10.065</v>
      </c>
      <c r="CJ369">
        <f>0.337</f>
        <v>0.33700000000000002</v>
      </c>
      <c r="CK369">
        <f>3.763</f>
        <v>3.7629999999999999</v>
      </c>
      <c r="CL369">
        <f>-2.609</f>
        <v>-2.609</v>
      </c>
      <c r="CM369">
        <f>0.677</f>
        <v>0.67700000000000005</v>
      </c>
      <c r="CN369">
        <f>0.683063</f>
        <v>0.68306299999999998</v>
      </c>
      <c r="CO369">
        <f>0</f>
        <v>0</v>
      </c>
      <c r="CP369">
        <f>-0.440063</f>
        <v>-0.44006299999999998</v>
      </c>
      <c r="CQ369" t="str">
        <f>""</f>
        <v/>
      </c>
      <c r="CR369" t="str">
        <f>""</f>
        <v/>
      </c>
      <c r="CS369" t="str">
        <f>""</f>
        <v/>
      </c>
      <c r="CT369">
        <f>-0.315176</f>
        <v>-0.31517600000000001</v>
      </c>
      <c r="CU369" t="str">
        <f>""</f>
        <v/>
      </c>
      <c r="CV369" t="str">
        <f>""</f>
        <v/>
      </c>
      <c r="CW369" t="str">
        <f>""</f>
        <v/>
      </c>
      <c r="CX369" t="str">
        <f>""</f>
        <v/>
      </c>
      <c r="CY369" t="str">
        <f>""</f>
        <v/>
      </c>
      <c r="CZ369" t="str">
        <f>""</f>
        <v/>
      </c>
      <c r="DA369" t="str">
        <f>""</f>
        <v/>
      </c>
      <c r="DB369" t="str">
        <f>""</f>
        <v/>
      </c>
      <c r="DC369" t="str">
        <f>""</f>
        <v/>
      </c>
      <c r="DD369" t="str">
        <f>""</f>
        <v/>
      </c>
      <c r="DE369" t="str">
        <f>""</f>
        <v/>
      </c>
      <c r="DF369" t="str">
        <f>""</f>
        <v/>
      </c>
      <c r="DG369" t="str">
        <f>""</f>
        <v/>
      </c>
      <c r="DH369" t="str">
        <f>""</f>
        <v/>
      </c>
      <c r="DI369" t="str">
        <f>""</f>
        <v/>
      </c>
      <c r="DJ369" t="str">
        <f>""</f>
        <v/>
      </c>
      <c r="DK369" t="str">
        <f>""</f>
        <v/>
      </c>
      <c r="DL369" t="str">
        <f>""</f>
        <v/>
      </c>
      <c r="DM369" t="str">
        <f>""</f>
        <v/>
      </c>
      <c r="DN369" t="str">
        <f>""</f>
        <v/>
      </c>
      <c r="DO369" t="str">
        <f>""</f>
        <v/>
      </c>
      <c r="DP369" t="str">
        <f>""</f>
        <v/>
      </c>
      <c r="DQ369" t="str">
        <f>""</f>
        <v/>
      </c>
      <c r="DR369" t="str">
        <f>""</f>
        <v/>
      </c>
      <c r="DS369" t="str">
        <f>""</f>
        <v/>
      </c>
      <c r="DT369" t="str">
        <f>""</f>
        <v/>
      </c>
      <c r="DU369" t="str">
        <f>""</f>
        <v/>
      </c>
    </row>
    <row r="370" spans="1:125">
      <c r="A370" t="str">
        <f>"    Washington Prime Group Inc"</f>
        <v xml:space="preserve">    Washington Prime Group Inc</v>
      </c>
      <c r="B370" t="str">
        <f>"WPG US Equity"</f>
        <v>WPG US Equity</v>
      </c>
      <c r="C370" t="str">
        <f t="shared" si="66"/>
        <v>RR008</v>
      </c>
      <c r="D370" t="str">
        <f t="shared" si="67"/>
        <v>CF_FREE_CASH_FLOW</v>
      </c>
      <c r="E370" t="str">
        <f t="shared" si="68"/>
        <v>动态</v>
      </c>
      <c r="F370" t="str">
        <f ca="1">IF(AND(ISNUMBER($F$809),$B$419=1),$F$809,HLOOKUP(INDIRECT(ADDRESS(2,COLUMN())),OFFSET($BN$2,0,0,ROW()-1,60),ROW()-1,FALSE))</f>
        <v/>
      </c>
      <c r="G370">
        <f ca="1">IF(AND(ISNUMBER($G$809),$B$419=1),$G$809,HLOOKUP(INDIRECT(ADDRESS(2,COLUMN())),OFFSET($BN$2,0,0,ROW()-1,60),ROW()-1,FALSE))</f>
        <v>54.131999999999998</v>
      </c>
      <c r="H370">
        <f ca="1">IF(AND(ISNUMBER($H$809),$B$419=1),$H$809,HLOOKUP(INDIRECT(ADDRESS(2,COLUMN())),OFFSET($BN$2,0,0,ROW()-1,60),ROW()-1,FALSE))</f>
        <v>45.225999999999999</v>
      </c>
      <c r="I370">
        <f ca="1">IF(AND(ISNUMBER($I$809),$B$419=1),$I$809,HLOOKUP(INDIRECT(ADDRESS(2,COLUMN())),OFFSET($BN$2,0,0,ROW()-1,60),ROW()-1,FALSE))</f>
        <v>35.86</v>
      </c>
      <c r="J370">
        <f ca="1">IF(AND(ISNUMBER($J$809),$B$419=1),$J$809,HLOOKUP(INDIRECT(ADDRESS(2,COLUMN())),OFFSET($BN$2,0,0,ROW()-1,60),ROW()-1,FALSE))</f>
        <v>45.850999999999999</v>
      </c>
      <c r="K370">
        <f ca="1">IF(AND(ISNUMBER($K$809),$B$419=1),$K$809,HLOOKUP(INDIRECT(ADDRESS(2,COLUMN())),OFFSET($BN$2,0,0,ROW()-1,60),ROW()-1,FALSE))</f>
        <v>45.866</v>
      </c>
      <c r="L370">
        <f ca="1">IF(AND(ISNUMBER($L$809),$B$419=1),$L$809,HLOOKUP(INDIRECT(ADDRESS(2,COLUMN())),OFFSET($BN$2,0,0,ROW()-1,60),ROW()-1,FALSE))</f>
        <v>9.2720000000000002</v>
      </c>
      <c r="M370">
        <f ca="1">IF(AND(ISNUMBER($M$809),$B$419=1),$M$809,HLOOKUP(INDIRECT(ADDRESS(2,COLUMN())),OFFSET($BN$2,0,0,ROW()-1,60),ROW()-1,FALSE))</f>
        <v>29.003</v>
      </c>
      <c r="N370">
        <f ca="1">IF(AND(ISNUMBER($N$809),$B$419=1),$N$809,HLOOKUP(INDIRECT(ADDRESS(2,COLUMN())),OFFSET($BN$2,0,0,ROW()-1,60),ROW()-1,FALSE))</f>
        <v>30.074999999999999</v>
      </c>
      <c r="O370">
        <f ca="1">IF(AND(ISNUMBER($O$809),$B$419=1),$O$809,HLOOKUP(INDIRECT(ADDRESS(2,COLUMN())),OFFSET($BN$2,0,0,ROW()-1,60),ROW()-1,FALSE))</f>
        <v>30.029</v>
      </c>
      <c r="P370">
        <f ca="1">IF(AND(ISNUMBER($P$809),$B$419=1),$P$809,HLOOKUP(INDIRECT(ADDRESS(2,COLUMN())),OFFSET($BN$2,0,0,ROW()-1,60),ROW()-1,FALSE))</f>
        <v>59.683999999999997</v>
      </c>
      <c r="Q370">
        <f ca="1">IF(AND(ISNUMBER($Q$809),$B$419=1),$Q$809,HLOOKUP(INDIRECT(ADDRESS(2,COLUMN())),OFFSET($BN$2,0,0,ROW()-1,60),ROW()-1,FALSE))</f>
        <v>40.801000000000002</v>
      </c>
      <c r="R370">
        <f ca="1">IF(AND(ISNUMBER($R$809),$B$419=1),$R$809,HLOOKUP(INDIRECT(ADDRESS(2,COLUMN())),OFFSET($BN$2,0,0,ROW()-1,60),ROW()-1,FALSE))</f>
        <v>16.891999999999999</v>
      </c>
      <c r="S370">
        <f ca="1">IF(AND(ISNUMBER($S$809),$B$419=1),$S$809,HLOOKUP(INDIRECT(ADDRESS(2,COLUMN())),OFFSET($BN$2,0,0,ROW()-1,60),ROW()-1,FALSE))</f>
        <v>62.271000000000001</v>
      </c>
      <c r="T370">
        <f ca="1">IF(AND(ISNUMBER($T$809),$B$419=1),$T$809,HLOOKUP(INDIRECT(ADDRESS(2,COLUMN())),OFFSET($BN$2,0,0,ROW()-1,60),ROW()-1,FALSE))</f>
        <v>62.308999999999997</v>
      </c>
      <c r="U370">
        <f ca="1">IF(AND(ISNUMBER($U$809),$B$419=1),$U$809,HLOOKUP(INDIRECT(ADDRESS(2,COLUMN())),OFFSET($BN$2,0,0,ROW()-1,60),ROW()-1,FALSE))</f>
        <v>30.198</v>
      </c>
      <c r="V370">
        <f ca="1">IF(AND(ISNUMBER($V$809),$B$419=1),$V$809,HLOOKUP(INDIRECT(ADDRESS(2,COLUMN())),OFFSET($BN$2,0,0,ROW()-1,60),ROW()-1,FALSE))</f>
        <v>42.57</v>
      </c>
      <c r="W370" t="str">
        <f ca="1">IF(AND(ISNUMBER($W$809),$B$419=1),$W$809,HLOOKUP(INDIRECT(ADDRESS(2,COLUMN())),OFFSET($BN$2,0,0,ROW()-1,60),ROW()-1,FALSE))</f>
        <v/>
      </c>
      <c r="X370" t="str">
        <f ca="1">IF(AND(ISNUMBER($X$809),$B$419=1),$X$809,HLOOKUP(INDIRECT(ADDRESS(2,COLUMN())),OFFSET($BN$2,0,0,ROW()-1,60),ROW()-1,FALSE))</f>
        <v/>
      </c>
      <c r="Y370" t="str">
        <f ca="1">IF(AND(ISNUMBER($Y$809),$B$419=1),$Y$809,HLOOKUP(INDIRECT(ADDRESS(2,COLUMN())),OFFSET($BN$2,0,0,ROW()-1,60),ROW()-1,FALSE))</f>
        <v/>
      </c>
      <c r="Z370" t="str">
        <f ca="1">IF(AND(ISNUMBER($Z$809),$B$419=1),$Z$809,HLOOKUP(INDIRECT(ADDRESS(2,COLUMN())),OFFSET($BN$2,0,0,ROW()-1,60),ROW()-1,FALSE))</f>
        <v/>
      </c>
      <c r="AA370" t="str">
        <f ca="1">IF(AND(ISNUMBER($AA$809),$B$419=1),$AA$809,HLOOKUP(INDIRECT(ADDRESS(2,COLUMN())),OFFSET($BN$2,0,0,ROW()-1,60),ROW()-1,FALSE))</f>
        <v/>
      </c>
      <c r="AB370" t="str">
        <f ca="1">IF(AND(ISNUMBER($AB$809),$B$419=1),$AB$809,HLOOKUP(INDIRECT(ADDRESS(2,COLUMN())),OFFSET($BN$2,0,0,ROW()-1,60),ROW()-1,FALSE))</f>
        <v/>
      </c>
      <c r="AC370" t="str">
        <f ca="1">IF(AND(ISNUMBER($AC$809),$B$419=1),$AC$809,HLOOKUP(INDIRECT(ADDRESS(2,COLUMN())),OFFSET($BN$2,0,0,ROW()-1,60),ROW()-1,FALSE))</f>
        <v/>
      </c>
      <c r="AD370" t="str">
        <f ca="1">IF(AND(ISNUMBER($AD$809),$B$419=1),$AD$809,HLOOKUP(INDIRECT(ADDRESS(2,COLUMN())),OFFSET($BN$2,0,0,ROW()-1,60),ROW()-1,FALSE))</f>
        <v/>
      </c>
      <c r="AE370" t="str">
        <f ca="1">IF(AND(ISNUMBER($AE$809),$B$419=1),$AE$809,HLOOKUP(INDIRECT(ADDRESS(2,COLUMN())),OFFSET($BN$2,0,0,ROW()-1,60),ROW()-1,FALSE))</f>
        <v/>
      </c>
      <c r="AF370" t="str">
        <f ca="1">IF(AND(ISNUMBER($AF$809),$B$419=1),$AF$809,HLOOKUP(INDIRECT(ADDRESS(2,COLUMN())),OFFSET($BN$2,0,0,ROW()-1,60),ROW()-1,FALSE))</f>
        <v/>
      </c>
      <c r="AG370" t="str">
        <f ca="1">IF(AND(ISNUMBER($AG$809),$B$419=1),$AG$809,HLOOKUP(INDIRECT(ADDRESS(2,COLUMN())),OFFSET($BN$2,0,0,ROW()-1,60),ROW()-1,FALSE))</f>
        <v/>
      </c>
      <c r="AH370" t="str">
        <f ca="1">IF(AND(ISNUMBER($AH$809),$B$419=1),$AH$809,HLOOKUP(INDIRECT(ADDRESS(2,COLUMN())),OFFSET($BN$2,0,0,ROW()-1,60),ROW()-1,FALSE))</f>
        <v/>
      </c>
      <c r="AI370" t="str">
        <f ca="1">IF(AND(ISNUMBER($AI$809),$B$419=1),$AI$809,HLOOKUP(INDIRECT(ADDRESS(2,COLUMN())),OFFSET($BN$2,0,0,ROW()-1,60),ROW()-1,FALSE))</f>
        <v/>
      </c>
      <c r="AJ370" t="str">
        <f ca="1">IF(AND(ISNUMBER($AJ$809),$B$419=1),$AJ$809,HLOOKUP(INDIRECT(ADDRESS(2,COLUMN())),OFFSET($BN$2,0,0,ROW()-1,60),ROW()-1,FALSE))</f>
        <v/>
      </c>
      <c r="AK370" t="str">
        <f ca="1">IF(AND(ISNUMBER($AK$809),$B$419=1),$AK$809,HLOOKUP(INDIRECT(ADDRESS(2,COLUMN())),OFFSET($BN$2,0,0,ROW()-1,60),ROW()-1,FALSE))</f>
        <v/>
      </c>
      <c r="AL370" t="str">
        <f ca="1">IF(AND(ISNUMBER($AL$809),$B$419=1),$AL$809,HLOOKUP(INDIRECT(ADDRESS(2,COLUMN())),OFFSET($BN$2,0,0,ROW()-1,60),ROW()-1,FALSE))</f>
        <v/>
      </c>
      <c r="AM370" t="str">
        <f ca="1">IF(AND(ISNUMBER($AM$809),$B$419=1),$AM$809,HLOOKUP(INDIRECT(ADDRESS(2,COLUMN())),OFFSET($BN$2,0,0,ROW()-1,60),ROW()-1,FALSE))</f>
        <v/>
      </c>
      <c r="AN370" t="str">
        <f ca="1">IF(AND(ISNUMBER($AN$809),$B$419=1),$AN$809,HLOOKUP(INDIRECT(ADDRESS(2,COLUMN())),OFFSET($BN$2,0,0,ROW()-1,60),ROW()-1,FALSE))</f>
        <v/>
      </c>
      <c r="AO370" t="str">
        <f ca="1">IF(AND(ISNUMBER($AO$809),$B$419=1),$AO$809,HLOOKUP(INDIRECT(ADDRESS(2,COLUMN())),OFFSET($BN$2,0,0,ROW()-1,60),ROW()-1,FALSE))</f>
        <v/>
      </c>
      <c r="AP370" t="str">
        <f ca="1">IF(AND(ISNUMBER($AP$809),$B$419=1),$AP$809,HLOOKUP(INDIRECT(ADDRESS(2,COLUMN())),OFFSET($BN$2,0,0,ROW()-1,60),ROW()-1,FALSE))</f>
        <v/>
      </c>
      <c r="AQ370" t="str">
        <f ca="1">IF(AND(ISNUMBER($AQ$809),$B$419=1),$AQ$809,HLOOKUP(INDIRECT(ADDRESS(2,COLUMN())),OFFSET($BN$2,0,0,ROW()-1,60),ROW()-1,FALSE))</f>
        <v/>
      </c>
      <c r="AR370" t="str">
        <f ca="1">IF(AND(ISNUMBER($AR$809),$B$419=1),$AR$809,HLOOKUP(INDIRECT(ADDRESS(2,COLUMN())),OFFSET($BN$2,0,0,ROW()-1,60),ROW()-1,FALSE))</f>
        <v/>
      </c>
      <c r="AS370" t="str">
        <f ca="1">IF(AND(ISNUMBER($AS$809),$B$419=1),$AS$809,HLOOKUP(INDIRECT(ADDRESS(2,COLUMN())),OFFSET($BN$2,0,0,ROW()-1,60),ROW()-1,FALSE))</f>
        <v/>
      </c>
      <c r="AT370" t="str">
        <f ca="1">IF(AND(ISNUMBER($AT$809),$B$419=1),$AT$809,HLOOKUP(INDIRECT(ADDRESS(2,COLUMN())),OFFSET($BN$2,0,0,ROW()-1,60),ROW()-1,FALSE))</f>
        <v/>
      </c>
      <c r="AU370" t="str">
        <f ca="1">IF(AND(ISNUMBER($AU$809),$B$419=1),$AU$809,HLOOKUP(INDIRECT(ADDRESS(2,COLUMN())),OFFSET($BN$2,0,0,ROW()-1,60),ROW()-1,FALSE))</f>
        <v/>
      </c>
      <c r="AV370" t="str">
        <f ca="1">IF(AND(ISNUMBER($AV$809),$B$419=1),$AV$809,HLOOKUP(INDIRECT(ADDRESS(2,COLUMN())),OFFSET($BN$2,0,0,ROW()-1,60),ROW()-1,FALSE))</f>
        <v/>
      </c>
      <c r="AW370" t="str">
        <f ca="1">IF(AND(ISNUMBER($AW$809),$B$419=1),$AW$809,HLOOKUP(INDIRECT(ADDRESS(2,COLUMN())),OFFSET($BN$2,0,0,ROW()-1,60),ROW()-1,FALSE))</f>
        <v/>
      </c>
      <c r="AX370" t="str">
        <f ca="1">IF(AND(ISNUMBER($AX$809),$B$419=1),$AX$809,HLOOKUP(INDIRECT(ADDRESS(2,COLUMN())),OFFSET($BN$2,0,0,ROW()-1,60),ROW()-1,FALSE))</f>
        <v/>
      </c>
      <c r="AY370" t="str">
        <f ca="1">IF(AND(ISNUMBER($AY$809),$B$419=1),$AY$809,HLOOKUP(INDIRECT(ADDRESS(2,COLUMN())),OFFSET($BN$2,0,0,ROW()-1,60),ROW()-1,FALSE))</f>
        <v/>
      </c>
      <c r="AZ370" t="str">
        <f ca="1">IF(AND(ISNUMBER($AZ$809),$B$419=1),$AZ$809,HLOOKUP(INDIRECT(ADDRESS(2,COLUMN())),OFFSET($BN$2,0,0,ROW()-1,60),ROW()-1,FALSE))</f>
        <v/>
      </c>
      <c r="BA370" t="str">
        <f ca="1">IF(AND(ISNUMBER($BA$809),$B$419=1),$BA$809,HLOOKUP(INDIRECT(ADDRESS(2,COLUMN())),OFFSET($BN$2,0,0,ROW()-1,60),ROW()-1,FALSE))</f>
        <v/>
      </c>
      <c r="BB370" t="str">
        <f ca="1">IF(AND(ISNUMBER($BB$809),$B$419=1),$BB$809,HLOOKUP(INDIRECT(ADDRESS(2,COLUMN())),OFFSET($BN$2,0,0,ROW()-1,60),ROW()-1,FALSE))</f>
        <v/>
      </c>
      <c r="BC370" t="str">
        <f ca="1">IF(AND(ISNUMBER($BC$809),$B$419=1),$BC$809,HLOOKUP(INDIRECT(ADDRESS(2,COLUMN())),OFFSET($BN$2,0,0,ROW()-1,60),ROW()-1,FALSE))</f>
        <v/>
      </c>
      <c r="BD370" t="str">
        <f ca="1">IF(AND(ISNUMBER($BD$809),$B$419=1),$BD$809,HLOOKUP(INDIRECT(ADDRESS(2,COLUMN())),OFFSET($BN$2,0,0,ROW()-1,60),ROW()-1,FALSE))</f>
        <v/>
      </c>
      <c r="BE370" t="str">
        <f ca="1">IF(AND(ISNUMBER($BE$809),$B$419=1),$BE$809,HLOOKUP(INDIRECT(ADDRESS(2,COLUMN())),OFFSET($BN$2,0,0,ROW()-1,60),ROW()-1,FALSE))</f>
        <v/>
      </c>
      <c r="BF370" t="str">
        <f ca="1">IF(AND(ISNUMBER($BF$809),$B$419=1),$BF$809,HLOOKUP(INDIRECT(ADDRESS(2,COLUMN())),OFFSET($BN$2,0,0,ROW()-1,60),ROW()-1,FALSE))</f>
        <v/>
      </c>
      <c r="BG370" t="str">
        <f ca="1">IF(AND(ISNUMBER($BG$809),$B$419=1),$BG$809,HLOOKUP(INDIRECT(ADDRESS(2,COLUMN())),OFFSET($BN$2,0,0,ROW()-1,60),ROW()-1,FALSE))</f>
        <v/>
      </c>
      <c r="BH370" t="str">
        <f ca="1">IF(AND(ISNUMBER($BH$809),$B$419=1),$BH$809,HLOOKUP(INDIRECT(ADDRESS(2,COLUMN())),OFFSET($BN$2,0,0,ROW()-1,60),ROW()-1,FALSE))</f>
        <v/>
      </c>
      <c r="BI370" t="str">
        <f ca="1">IF(AND(ISNUMBER($BI$809),$B$419=1),$BI$809,HLOOKUP(INDIRECT(ADDRESS(2,COLUMN())),OFFSET($BN$2,0,0,ROW()-1,60),ROW()-1,FALSE))</f>
        <v/>
      </c>
      <c r="BJ370" t="str">
        <f ca="1">IF(AND(ISNUMBER($BJ$809),$B$419=1),$BJ$809,HLOOKUP(INDIRECT(ADDRESS(2,COLUMN())),OFFSET($BN$2,0,0,ROW()-1,60),ROW()-1,FALSE))</f>
        <v/>
      </c>
      <c r="BK370" t="str">
        <f ca="1">IF(AND(ISNUMBER($BK$809),$B$419=1),$BK$809,HLOOKUP(INDIRECT(ADDRESS(2,COLUMN())),OFFSET($BN$2,0,0,ROW()-1,60),ROW()-1,FALSE))</f>
        <v/>
      </c>
      <c r="BL370" t="str">
        <f ca="1">IF(AND(ISNUMBER($BL$809),$B$419=1),$BL$809,HLOOKUP(INDIRECT(ADDRESS(2,COLUMN())),OFFSET($BN$2,0,0,ROW()-1,60),ROW()-1,FALSE))</f>
        <v/>
      </c>
      <c r="BM370" t="str">
        <f ca="1">IF(AND(ISNUMBER($BM$809),$B$419=1),$BM$809,HLOOKUP(INDIRECT(ADDRESS(2,COLUMN())),OFFSET($BN$2,0,0,ROW()-1,60),ROW()-1,FALSE))</f>
        <v/>
      </c>
      <c r="BN370" t="str">
        <f>""</f>
        <v/>
      </c>
      <c r="BO370">
        <f>54.132</f>
        <v>54.131999999999998</v>
      </c>
      <c r="BP370">
        <f>45.226</f>
        <v>45.225999999999999</v>
      </c>
      <c r="BQ370">
        <f>35.86</f>
        <v>35.86</v>
      </c>
      <c r="BR370">
        <f>45.851</f>
        <v>45.850999999999999</v>
      </c>
      <c r="BS370">
        <f>45.866</f>
        <v>45.866</v>
      </c>
      <c r="BT370">
        <f>9.272</f>
        <v>9.2720000000000002</v>
      </c>
      <c r="BU370">
        <f>29.003</f>
        <v>29.003</v>
      </c>
      <c r="BV370">
        <f>30.075</f>
        <v>30.074999999999999</v>
      </c>
      <c r="BW370">
        <f>30.029</f>
        <v>30.029</v>
      </c>
      <c r="BX370">
        <f>59.684</f>
        <v>59.683999999999997</v>
      </c>
      <c r="BY370">
        <f>40.801</f>
        <v>40.801000000000002</v>
      </c>
      <c r="BZ370">
        <f>16.892</f>
        <v>16.891999999999999</v>
      </c>
      <c r="CA370">
        <f>62.271</f>
        <v>62.271000000000001</v>
      </c>
      <c r="CB370">
        <f>62.309</f>
        <v>62.308999999999997</v>
      </c>
      <c r="CC370">
        <f>30.198</f>
        <v>30.198</v>
      </c>
      <c r="CD370">
        <f>42.57</f>
        <v>42.57</v>
      </c>
      <c r="CE370" t="str">
        <f>""</f>
        <v/>
      </c>
      <c r="CF370" t="str">
        <f>""</f>
        <v/>
      </c>
      <c r="CG370" t="str">
        <f>""</f>
        <v/>
      </c>
      <c r="CH370" t="str">
        <f>""</f>
        <v/>
      </c>
      <c r="CI370" t="str">
        <f>""</f>
        <v/>
      </c>
      <c r="CJ370" t="str">
        <f>""</f>
        <v/>
      </c>
      <c r="CK370" t="str">
        <f>""</f>
        <v/>
      </c>
      <c r="CL370" t="str">
        <f>""</f>
        <v/>
      </c>
      <c r="CM370" t="str">
        <f>""</f>
        <v/>
      </c>
      <c r="CN370" t="str">
        <f>""</f>
        <v/>
      </c>
      <c r="CO370" t="str">
        <f>""</f>
        <v/>
      </c>
      <c r="CP370" t="str">
        <f>""</f>
        <v/>
      </c>
      <c r="CQ370" t="str">
        <f>""</f>
        <v/>
      </c>
      <c r="CR370" t="str">
        <f>""</f>
        <v/>
      </c>
      <c r="CS370" t="str">
        <f>""</f>
        <v/>
      </c>
      <c r="CT370" t="str">
        <f>""</f>
        <v/>
      </c>
      <c r="CU370" t="str">
        <f>""</f>
        <v/>
      </c>
      <c r="CV370" t="str">
        <f>""</f>
        <v/>
      </c>
      <c r="CW370" t="str">
        <f>""</f>
        <v/>
      </c>
      <c r="CX370" t="str">
        <f>""</f>
        <v/>
      </c>
      <c r="CY370" t="str">
        <f>""</f>
        <v/>
      </c>
      <c r="CZ370" t="str">
        <f>""</f>
        <v/>
      </c>
      <c r="DA370" t="str">
        <f>""</f>
        <v/>
      </c>
      <c r="DB370" t="str">
        <f>""</f>
        <v/>
      </c>
      <c r="DC370" t="str">
        <f>""</f>
        <v/>
      </c>
      <c r="DD370" t="str">
        <f>""</f>
        <v/>
      </c>
      <c r="DE370" t="str">
        <f>""</f>
        <v/>
      </c>
      <c r="DF370" t="str">
        <f>""</f>
        <v/>
      </c>
      <c r="DG370" t="str">
        <f>""</f>
        <v/>
      </c>
      <c r="DH370" t="str">
        <f>""</f>
        <v/>
      </c>
      <c r="DI370" t="str">
        <f>""</f>
        <v/>
      </c>
      <c r="DJ370" t="str">
        <f>""</f>
        <v/>
      </c>
      <c r="DK370" t="str">
        <f>""</f>
        <v/>
      </c>
      <c r="DL370" t="str">
        <f>""</f>
        <v/>
      </c>
      <c r="DM370" t="str">
        <f>""</f>
        <v/>
      </c>
      <c r="DN370" t="str">
        <f>""</f>
        <v/>
      </c>
      <c r="DO370" t="str">
        <f>""</f>
        <v/>
      </c>
      <c r="DP370" t="str">
        <f>""</f>
        <v/>
      </c>
      <c r="DQ370" t="str">
        <f>""</f>
        <v/>
      </c>
      <c r="DR370" t="str">
        <f>""</f>
        <v/>
      </c>
      <c r="DS370" t="str">
        <f>""</f>
        <v/>
      </c>
      <c r="DT370" t="str">
        <f>""</f>
        <v/>
      </c>
      <c r="DU370" t="str">
        <f>""</f>
        <v/>
      </c>
    </row>
    <row r="371" spans="1:125">
      <c r="A371" t="str">
        <f>"    Weingarten Realty Investors"</f>
        <v xml:space="preserve">    Weingarten Realty Investors</v>
      </c>
      <c r="B371" t="str">
        <f>"WRI US Equity"</f>
        <v>WRI US Equity</v>
      </c>
      <c r="C371" t="str">
        <f t="shared" si="66"/>
        <v>RR008</v>
      </c>
      <c r="D371" t="str">
        <f t="shared" si="67"/>
        <v>CF_FREE_CASH_FLOW</v>
      </c>
      <c r="E371" t="str">
        <f t="shared" si="68"/>
        <v>动态</v>
      </c>
      <c r="F371" t="str">
        <f ca="1">IF(AND(ISNUMBER($F$810),$B$419=1),$F$810,HLOOKUP(INDIRECT(ADDRESS(2,COLUMN())),OFFSET($BN$2,0,0,ROW()-1,60),ROW()-1,FALSE))</f>
        <v/>
      </c>
      <c r="G371">
        <f ca="1">IF(AND(ISNUMBER($G$810),$B$419=1),$G$810,HLOOKUP(INDIRECT(ADDRESS(2,COLUMN())),OFFSET($BN$2,0,0,ROW()-1,60),ROW()-1,FALSE))</f>
        <v>27.616</v>
      </c>
      <c r="H371">
        <f ca="1">IF(AND(ISNUMBER($H$810),$B$419=1),$H$810,HLOOKUP(INDIRECT(ADDRESS(2,COLUMN())),OFFSET($BN$2,0,0,ROW()-1,60),ROW()-1,FALSE))</f>
        <v>47.444000000000003</v>
      </c>
      <c r="I371">
        <f ca="1">IF(AND(ISNUMBER($I$810),$B$419=1),$I$810,HLOOKUP(INDIRECT(ADDRESS(2,COLUMN())),OFFSET($BN$2,0,0,ROW()-1,60),ROW()-1,FALSE))</f>
        <v>60.569000000000003</v>
      </c>
      <c r="J371">
        <f ca="1">IF(AND(ISNUMBER($J$810),$B$419=1),$J$810,HLOOKUP(INDIRECT(ADDRESS(2,COLUMN())),OFFSET($BN$2,0,0,ROW()-1,60),ROW()-1,FALSE))</f>
        <v>-1.109</v>
      </c>
      <c r="K371">
        <f ca="1">IF(AND(ISNUMBER($K$810),$B$419=1),$K$810,HLOOKUP(INDIRECT(ADDRESS(2,COLUMN())),OFFSET($BN$2,0,0,ROW()-1,60),ROW()-1,FALSE))</f>
        <v>-31.870999999999999</v>
      </c>
      <c r="L371">
        <f ca="1">IF(AND(ISNUMBER($L$810),$B$419=1),$L$810,HLOOKUP(INDIRECT(ADDRESS(2,COLUMN())),OFFSET($BN$2,0,0,ROW()-1,60),ROW()-1,FALSE))</f>
        <v>-295.20299999999997</v>
      </c>
      <c r="M371">
        <f ca="1">IF(AND(ISNUMBER($M$810),$B$419=1),$M$810,HLOOKUP(INDIRECT(ADDRESS(2,COLUMN())),OFFSET($BN$2,0,0,ROW()-1,60),ROW()-1,FALSE))</f>
        <v>-51.064999999999998</v>
      </c>
      <c r="N371">
        <f ca="1">IF(AND(ISNUMBER($N$810),$B$419=1),$N$810,HLOOKUP(INDIRECT(ADDRESS(2,COLUMN())),OFFSET($BN$2,0,0,ROW()-1,60),ROW()-1,FALSE))</f>
        <v>29.279</v>
      </c>
      <c r="O371">
        <f ca="1">IF(AND(ISNUMBER($O$810),$B$419=1),$O$810,HLOOKUP(INDIRECT(ADDRESS(2,COLUMN())),OFFSET($BN$2,0,0,ROW()-1,60),ROW()-1,FALSE))</f>
        <v>6.2E-2</v>
      </c>
      <c r="P371">
        <f ca="1">IF(AND(ISNUMBER($P$810),$B$419=1),$P$810,HLOOKUP(INDIRECT(ADDRESS(2,COLUMN())),OFFSET($BN$2,0,0,ROW()-1,60),ROW()-1,FALSE))</f>
        <v>-17.451000000000001</v>
      </c>
      <c r="Q371">
        <f ca="1">IF(AND(ISNUMBER($Q$810),$B$419=1),$Q$810,HLOOKUP(INDIRECT(ADDRESS(2,COLUMN())),OFFSET($BN$2,0,0,ROW()-1,60),ROW()-1,FALSE))</f>
        <v>7.7720000000000002</v>
      </c>
      <c r="R371">
        <f ca="1">IF(AND(ISNUMBER($R$810),$B$419=1),$R$810,HLOOKUP(INDIRECT(ADDRESS(2,COLUMN())),OFFSET($BN$2,0,0,ROW()-1,60),ROW()-1,FALSE))</f>
        <v>-51.448</v>
      </c>
      <c r="S371">
        <f ca="1">IF(AND(ISNUMBER($S$810),$B$419=1),$S$810,HLOOKUP(INDIRECT(ADDRESS(2,COLUMN())),OFFSET($BN$2,0,0,ROW()-1,60),ROW()-1,FALSE))</f>
        <v>-4.734</v>
      </c>
      <c r="T371">
        <f ca="1">IF(AND(ISNUMBER($T$810),$B$419=1),$T$810,HLOOKUP(INDIRECT(ADDRESS(2,COLUMN())),OFFSET($BN$2,0,0,ROW()-1,60),ROW()-1,FALSE))</f>
        <v>26.774999999999999</v>
      </c>
      <c r="U371">
        <f ca="1">IF(AND(ISNUMBER($U$810),$B$419=1),$U$810,HLOOKUP(INDIRECT(ADDRESS(2,COLUMN())),OFFSET($BN$2,0,0,ROW()-1,60),ROW()-1,FALSE))</f>
        <v>47.363</v>
      </c>
      <c r="V371">
        <f ca="1">IF(AND(ISNUMBER($V$810),$B$419=1),$V$810,HLOOKUP(INDIRECT(ADDRESS(2,COLUMN())),OFFSET($BN$2,0,0,ROW()-1,60),ROW()-1,FALSE))</f>
        <v>26.852</v>
      </c>
      <c r="W371">
        <f ca="1">IF(AND(ISNUMBER($W$810),$B$419=1),$W$810,HLOOKUP(INDIRECT(ADDRESS(2,COLUMN())),OFFSET($BN$2,0,0,ROW()-1,60),ROW()-1,FALSE))</f>
        <v>-11.523999999999999</v>
      </c>
      <c r="X371">
        <f ca="1">IF(AND(ISNUMBER($X$810),$B$419=1),$X$810,HLOOKUP(INDIRECT(ADDRESS(2,COLUMN())),OFFSET($BN$2,0,0,ROW()-1,60),ROW()-1,FALSE))</f>
        <v>40.296999999999997</v>
      </c>
      <c r="Y371">
        <f ca="1">IF(AND(ISNUMBER($Y$810),$B$419=1),$Y$810,HLOOKUP(INDIRECT(ADDRESS(2,COLUMN())),OFFSET($BN$2,0,0,ROW()-1,60),ROW()-1,FALSE))</f>
        <v>17.802</v>
      </c>
      <c r="Z371">
        <f ca="1">IF(AND(ISNUMBER($Z$810),$B$419=1),$Z$810,HLOOKUP(INDIRECT(ADDRESS(2,COLUMN())),OFFSET($BN$2,0,0,ROW()-1,60),ROW()-1,FALSE))</f>
        <v>4.66</v>
      </c>
      <c r="AA371">
        <f ca="1">IF(AND(ISNUMBER($AA$810),$B$419=1),$AA$810,HLOOKUP(INDIRECT(ADDRESS(2,COLUMN())),OFFSET($BN$2,0,0,ROW()-1,60),ROW()-1,FALSE))</f>
        <v>36.353000000000002</v>
      </c>
      <c r="AB371">
        <f ca="1">IF(AND(ISNUMBER($AB$810),$B$419=1),$AB$810,HLOOKUP(INDIRECT(ADDRESS(2,COLUMN())),OFFSET($BN$2,0,0,ROW()-1,60),ROW()-1,FALSE))</f>
        <v>-49.837000000000003</v>
      </c>
      <c r="AC371">
        <f ca="1">IF(AND(ISNUMBER($AC$810),$B$419=1),$AC$810,HLOOKUP(INDIRECT(ADDRESS(2,COLUMN())),OFFSET($BN$2,0,0,ROW()-1,60),ROW()-1,FALSE))</f>
        <v>-59.444000000000003</v>
      </c>
      <c r="AD371">
        <f ca="1">IF(AND(ISNUMBER($AD$810),$B$419=1),$AD$810,HLOOKUP(INDIRECT(ADDRESS(2,COLUMN())),OFFSET($BN$2,0,0,ROW()-1,60),ROW()-1,FALSE))</f>
        <v>6.3440000000000003</v>
      </c>
      <c r="AE371">
        <f ca="1">IF(AND(ISNUMBER($AE$810),$B$419=1),$AE$810,HLOOKUP(INDIRECT(ADDRESS(2,COLUMN())),OFFSET($BN$2,0,0,ROW()-1,60),ROW()-1,FALSE))</f>
        <v>31.562000000000001</v>
      </c>
      <c r="AF371">
        <f ca="1">IF(AND(ISNUMBER($AF$810),$B$419=1),$AF$810,HLOOKUP(INDIRECT(ADDRESS(2,COLUMN())),OFFSET($BN$2,0,0,ROW()-1,60),ROW()-1,FALSE))</f>
        <v>15.673999999999999</v>
      </c>
      <c r="AG371">
        <f ca="1">IF(AND(ISNUMBER($AG$810),$B$419=1),$AG$810,HLOOKUP(INDIRECT(ADDRESS(2,COLUMN())),OFFSET($BN$2,0,0,ROW()-1,60),ROW()-1,FALSE))</f>
        <v>28.628</v>
      </c>
      <c r="AH371">
        <f ca="1">IF(AND(ISNUMBER($AH$810),$B$419=1),$AH$810,HLOOKUP(INDIRECT(ADDRESS(2,COLUMN())),OFFSET($BN$2,0,0,ROW()-1,60),ROW()-1,FALSE))</f>
        <v>-6.2389999999999999</v>
      </c>
      <c r="AI371">
        <f ca="1">IF(AND(ISNUMBER($AI$810),$B$419=1),$AI$810,HLOOKUP(INDIRECT(ADDRESS(2,COLUMN())),OFFSET($BN$2,0,0,ROW()-1,60),ROW()-1,FALSE))</f>
        <v>-1.06</v>
      </c>
      <c r="AJ371">
        <f ca="1">IF(AND(ISNUMBER($AJ$810),$B$419=1),$AJ$810,HLOOKUP(INDIRECT(ADDRESS(2,COLUMN())),OFFSET($BN$2,0,0,ROW()-1,60),ROW()-1,FALSE))</f>
        <v>19.585999999999999</v>
      </c>
      <c r="AK371">
        <f ca="1">IF(AND(ISNUMBER($AK$810),$B$419=1),$AK$810,HLOOKUP(INDIRECT(ADDRESS(2,COLUMN())),OFFSET($BN$2,0,0,ROW()-1,60),ROW()-1,FALSE))</f>
        <v>38.683999999999997</v>
      </c>
      <c r="AL371">
        <f ca="1">IF(AND(ISNUMBER($AL$810),$B$419=1),$AL$810,HLOOKUP(INDIRECT(ADDRESS(2,COLUMN())),OFFSET($BN$2,0,0,ROW()-1,60),ROW()-1,FALSE))</f>
        <v>14.443</v>
      </c>
      <c r="AM371">
        <f ca="1">IF(AND(ISNUMBER($AM$810),$B$419=1),$AM$810,HLOOKUP(INDIRECT(ADDRESS(2,COLUMN())),OFFSET($BN$2,0,0,ROW()-1,60),ROW()-1,FALSE))</f>
        <v>31.858000000000001</v>
      </c>
      <c r="AN371">
        <f ca="1">IF(AND(ISNUMBER($AN$810),$B$419=1),$AN$810,HLOOKUP(INDIRECT(ADDRESS(2,COLUMN())),OFFSET($BN$2,0,0,ROW()-1,60),ROW()-1,FALSE))</f>
        <v>32.408000000000001</v>
      </c>
      <c r="AO371">
        <f ca="1">IF(AND(ISNUMBER($AO$810),$B$419=1),$AO$810,HLOOKUP(INDIRECT(ADDRESS(2,COLUMN())),OFFSET($BN$2,0,0,ROW()-1,60),ROW()-1,FALSE))</f>
        <v>49.735999999999997</v>
      </c>
      <c r="AP371">
        <f ca="1">IF(AND(ISNUMBER($AP$810),$B$419=1),$AP$810,HLOOKUP(INDIRECT(ADDRESS(2,COLUMN())),OFFSET($BN$2,0,0,ROW()-1,60),ROW()-1,FALSE))</f>
        <v>21.4</v>
      </c>
      <c r="AQ371">
        <f ca="1">IF(AND(ISNUMBER($AQ$810),$B$419=1),$AQ$810,HLOOKUP(INDIRECT(ADDRESS(2,COLUMN())),OFFSET($BN$2,0,0,ROW()-1,60),ROW()-1,FALSE))</f>
        <v>-14.176</v>
      </c>
      <c r="AR371">
        <f ca="1">IF(AND(ISNUMBER($AR$810),$B$419=1),$AR$810,HLOOKUP(INDIRECT(ADDRESS(2,COLUMN())),OFFSET($BN$2,0,0,ROW()-1,60),ROW()-1,FALSE))</f>
        <v>-15.864000000000001</v>
      </c>
      <c r="AS371">
        <f ca="1">IF(AND(ISNUMBER($AS$810),$B$419=1),$AS$810,HLOOKUP(INDIRECT(ADDRESS(2,COLUMN())),OFFSET($BN$2,0,0,ROW()-1,60),ROW()-1,FALSE))</f>
        <v>-1.5660000000000001</v>
      </c>
      <c r="AT371">
        <f ca="1">IF(AND(ISNUMBER($AT$810),$B$419=1),$AT$810,HLOOKUP(INDIRECT(ADDRESS(2,COLUMN())),OFFSET($BN$2,0,0,ROW()-1,60),ROW()-1,FALSE))</f>
        <v>-56.125999999999998</v>
      </c>
      <c r="AU371">
        <f ca="1">IF(AND(ISNUMBER($AU$810),$B$419=1),$AU$810,HLOOKUP(INDIRECT(ADDRESS(2,COLUMN())),OFFSET($BN$2,0,0,ROW()-1,60),ROW()-1,FALSE))</f>
        <v>-42.673000000000002</v>
      </c>
      <c r="AV371">
        <f ca="1">IF(AND(ISNUMBER($AV$810),$B$419=1),$AV$810,HLOOKUP(INDIRECT(ADDRESS(2,COLUMN())),OFFSET($BN$2,0,0,ROW()-1,60),ROW()-1,FALSE))</f>
        <v>-235.38200000000001</v>
      </c>
      <c r="AW371">
        <f ca="1">IF(AND(ISNUMBER($AW$810),$B$419=1),$AW$810,HLOOKUP(INDIRECT(ADDRESS(2,COLUMN())),OFFSET($BN$2,0,0,ROW()-1,60),ROW()-1,FALSE))</f>
        <v>-26.957000000000001</v>
      </c>
      <c r="AX371">
        <f ca="1">IF(AND(ISNUMBER($AX$810),$B$419=1),$AX$810,HLOOKUP(INDIRECT(ADDRESS(2,COLUMN())),OFFSET($BN$2,0,0,ROW()-1,60),ROW()-1,FALSE))</f>
        <v>-225.14099999999999</v>
      </c>
      <c r="AY371">
        <f ca="1">IF(AND(ISNUMBER($AY$810),$B$419=1),$AY$810,HLOOKUP(INDIRECT(ADDRESS(2,COLUMN())),OFFSET($BN$2,0,0,ROW()-1,60),ROW()-1,FALSE))</f>
        <v>-200.495</v>
      </c>
      <c r="AZ371">
        <f ca="1">IF(AND(ISNUMBER($AZ$810),$B$419=1),$AZ$810,HLOOKUP(INDIRECT(ADDRESS(2,COLUMN())),OFFSET($BN$2,0,0,ROW()-1,60),ROW()-1,FALSE))</f>
        <v>-369.18599999999998</v>
      </c>
      <c r="BA371">
        <f ca="1">IF(AND(ISNUMBER($BA$810),$B$419=1),$BA$810,HLOOKUP(INDIRECT(ADDRESS(2,COLUMN())),OFFSET($BN$2,0,0,ROW()-1,60),ROW()-1,FALSE))</f>
        <v>-46.347999999999999</v>
      </c>
      <c r="BB371">
        <f ca="1">IF(AND(ISNUMBER($BB$810),$B$419=1),$BB$810,HLOOKUP(INDIRECT(ADDRESS(2,COLUMN())),OFFSET($BN$2,0,0,ROW()-1,60),ROW()-1,FALSE))</f>
        <v>-21.85</v>
      </c>
      <c r="BC371">
        <f ca="1">IF(AND(ISNUMBER($BC$810),$B$419=1),$BC$810,HLOOKUP(INDIRECT(ADDRESS(2,COLUMN())),OFFSET($BN$2,0,0,ROW()-1,60),ROW()-1,FALSE))</f>
        <v>-42.41</v>
      </c>
      <c r="BD371">
        <f ca="1">IF(AND(ISNUMBER($BD$810),$B$419=1),$BD$810,HLOOKUP(INDIRECT(ADDRESS(2,COLUMN())),OFFSET($BN$2,0,0,ROW()-1,60),ROW()-1,FALSE))</f>
        <v>-5.851</v>
      </c>
      <c r="BE371">
        <f ca="1">IF(AND(ISNUMBER($BE$810),$B$419=1),$BE$810,HLOOKUP(INDIRECT(ADDRESS(2,COLUMN())),OFFSET($BN$2,0,0,ROW()-1,60),ROW()-1,FALSE))</f>
        <v>-14.013999999999999</v>
      </c>
      <c r="BF371">
        <f ca="1">IF(AND(ISNUMBER($BF$810),$B$419=1),$BF$810,HLOOKUP(INDIRECT(ADDRESS(2,COLUMN())),OFFSET($BN$2,0,0,ROW()-1,60),ROW()-1,FALSE))</f>
        <v>3.07</v>
      </c>
      <c r="BG371">
        <f ca="1">IF(AND(ISNUMBER($BG$810),$B$419=1),$BG$810,HLOOKUP(INDIRECT(ADDRESS(2,COLUMN())),OFFSET($BN$2,0,0,ROW()-1,60),ROW()-1,FALSE))</f>
        <v>-0.433</v>
      </c>
      <c r="BH371">
        <f ca="1">IF(AND(ISNUMBER($BH$810),$B$419=1),$BH$810,HLOOKUP(INDIRECT(ADDRESS(2,COLUMN())),OFFSET($BN$2,0,0,ROW()-1,60),ROW()-1,FALSE))</f>
        <v>0.56200000000000006</v>
      </c>
      <c r="BI371">
        <f ca="1">IF(AND(ISNUMBER($BI$810),$B$419=1),$BI$810,HLOOKUP(INDIRECT(ADDRESS(2,COLUMN())),OFFSET($BN$2,0,0,ROW()-1,60),ROW()-1,FALSE))</f>
        <v>-27.76300049</v>
      </c>
      <c r="BJ371">
        <f ca="1">IF(AND(ISNUMBER($BJ$810),$B$419=1),$BJ$810,HLOOKUP(INDIRECT(ADDRESS(2,COLUMN())),OFFSET($BN$2,0,0,ROW()-1,60),ROW()-1,FALSE))</f>
        <v>-172.46699699999999</v>
      </c>
      <c r="BK371">
        <f ca="1">IF(AND(ISNUMBER($BK$810),$B$419=1),$BK$810,HLOOKUP(INDIRECT(ADDRESS(2,COLUMN())),OFFSET($BN$2,0,0,ROW()-1,60),ROW()-1,FALSE))</f>
        <v>-46.501998999999998</v>
      </c>
      <c r="BL371">
        <f ca="1">IF(AND(ISNUMBER($BL$810),$B$419=1),$BL$810,HLOOKUP(INDIRECT(ADDRESS(2,COLUMN())),OFFSET($BN$2,0,0,ROW()-1,60),ROW()-1,FALSE))</f>
        <v>-63.593001999999998</v>
      </c>
      <c r="BM371">
        <f ca="1">IF(AND(ISNUMBER($BM$810),$B$419=1),$BM$810,HLOOKUP(INDIRECT(ADDRESS(2,COLUMN())),OFFSET($BN$2,0,0,ROW()-1,60),ROW()-1,FALSE))</f>
        <v>-24.111000000000001</v>
      </c>
      <c r="BN371" t="str">
        <f>""</f>
        <v/>
      </c>
      <c r="BO371">
        <f>27.616</f>
        <v>27.616</v>
      </c>
      <c r="BP371">
        <f>47.444</f>
        <v>47.444000000000003</v>
      </c>
      <c r="BQ371">
        <f>60.569</f>
        <v>60.569000000000003</v>
      </c>
      <c r="BR371">
        <f>-1.109</f>
        <v>-1.109</v>
      </c>
      <c r="BS371">
        <f>-31.871</f>
        <v>-31.870999999999999</v>
      </c>
      <c r="BT371">
        <f>-295.203</f>
        <v>-295.20299999999997</v>
      </c>
      <c r="BU371">
        <f>-51.065</f>
        <v>-51.064999999999998</v>
      </c>
      <c r="BV371">
        <f>29.279</f>
        <v>29.279</v>
      </c>
      <c r="BW371">
        <f>0.062</f>
        <v>6.2E-2</v>
      </c>
      <c r="BX371">
        <f>-17.451</f>
        <v>-17.451000000000001</v>
      </c>
      <c r="BY371">
        <f>7.772</f>
        <v>7.7720000000000002</v>
      </c>
      <c r="BZ371">
        <f>-51.448</f>
        <v>-51.448</v>
      </c>
      <c r="CA371">
        <f>-4.734</f>
        <v>-4.734</v>
      </c>
      <c r="CB371">
        <f>26.775</f>
        <v>26.774999999999999</v>
      </c>
      <c r="CC371">
        <f>47.363</f>
        <v>47.363</v>
      </c>
      <c r="CD371">
        <f>26.852</f>
        <v>26.852</v>
      </c>
      <c r="CE371">
        <f>-11.524</f>
        <v>-11.523999999999999</v>
      </c>
      <c r="CF371">
        <f>40.297</f>
        <v>40.296999999999997</v>
      </c>
      <c r="CG371">
        <f>17.802</f>
        <v>17.802</v>
      </c>
      <c r="CH371">
        <f>4.66</f>
        <v>4.66</v>
      </c>
      <c r="CI371">
        <f>36.353</f>
        <v>36.353000000000002</v>
      </c>
      <c r="CJ371">
        <f>-49.837</f>
        <v>-49.837000000000003</v>
      </c>
      <c r="CK371">
        <f>-59.444</f>
        <v>-59.444000000000003</v>
      </c>
      <c r="CL371">
        <f>6.344</f>
        <v>6.3440000000000003</v>
      </c>
      <c r="CM371">
        <f>31.562</f>
        <v>31.562000000000001</v>
      </c>
      <c r="CN371">
        <f>15.674</f>
        <v>15.673999999999999</v>
      </c>
      <c r="CO371">
        <f>28.628</f>
        <v>28.628</v>
      </c>
      <c r="CP371">
        <f>-6.239</f>
        <v>-6.2389999999999999</v>
      </c>
      <c r="CQ371">
        <f>-1.06</f>
        <v>-1.06</v>
      </c>
      <c r="CR371">
        <f>19.586</f>
        <v>19.585999999999999</v>
      </c>
      <c r="CS371">
        <f>38.684</f>
        <v>38.683999999999997</v>
      </c>
      <c r="CT371">
        <f>14.443</f>
        <v>14.443</v>
      </c>
      <c r="CU371">
        <f>31.858</f>
        <v>31.858000000000001</v>
      </c>
      <c r="CV371">
        <f>32.408</f>
        <v>32.408000000000001</v>
      </c>
      <c r="CW371">
        <f>49.736</f>
        <v>49.735999999999997</v>
      </c>
      <c r="CX371">
        <f>21.4</f>
        <v>21.4</v>
      </c>
      <c r="CY371">
        <f>-14.176</f>
        <v>-14.176</v>
      </c>
      <c r="CZ371">
        <f>-15.864</f>
        <v>-15.864000000000001</v>
      </c>
      <c r="DA371">
        <f>-1.566</f>
        <v>-1.5660000000000001</v>
      </c>
      <c r="DB371">
        <f>-56.126</f>
        <v>-56.125999999999998</v>
      </c>
      <c r="DC371">
        <f>-42.673</f>
        <v>-42.673000000000002</v>
      </c>
      <c r="DD371">
        <f>-235.382</f>
        <v>-235.38200000000001</v>
      </c>
      <c r="DE371">
        <f>-26.957</f>
        <v>-26.957000000000001</v>
      </c>
      <c r="DF371">
        <f>-225.141</f>
        <v>-225.14099999999999</v>
      </c>
      <c r="DG371">
        <f>-200.495</f>
        <v>-200.495</v>
      </c>
      <c r="DH371">
        <f>-369.186</f>
        <v>-369.18599999999998</v>
      </c>
      <c r="DI371">
        <f>-46.348</f>
        <v>-46.347999999999999</v>
      </c>
      <c r="DJ371">
        <f>-21.85</f>
        <v>-21.85</v>
      </c>
      <c r="DK371">
        <f>-42.41</f>
        <v>-42.41</v>
      </c>
      <c r="DL371">
        <f>-5.851</f>
        <v>-5.851</v>
      </c>
      <c r="DM371">
        <f>-14.014</f>
        <v>-14.013999999999999</v>
      </c>
      <c r="DN371">
        <f>3.07</f>
        <v>3.07</v>
      </c>
      <c r="DO371">
        <f>-0.433</f>
        <v>-0.433</v>
      </c>
      <c r="DP371">
        <f>0.562</f>
        <v>0.56200000000000006</v>
      </c>
      <c r="DQ371">
        <f>-27.76300049</f>
        <v>-27.76300049</v>
      </c>
      <c r="DR371">
        <f>-172.466997</f>
        <v>-172.46699699999999</v>
      </c>
      <c r="DS371">
        <f>-46.501999</f>
        <v>-46.501998999999998</v>
      </c>
      <c r="DT371">
        <f>-63.593002</f>
        <v>-63.593001999999998</v>
      </c>
      <c r="DU371">
        <f>-24.111</f>
        <v>-24.111000000000001</v>
      </c>
    </row>
    <row r="372" spans="1:125">
      <c r="A372" t="str">
        <f>"总可用流动性"</f>
        <v>总可用流动性</v>
      </c>
      <c r="B372" t="str">
        <f>""</f>
        <v/>
      </c>
      <c r="E372" t="str">
        <f>"Median"</f>
        <v>Median</v>
      </c>
      <c r="F372" t="str">
        <f ca="1">IF(ISERROR(IF(MEDIAN($F$373:$F$387) = 0, "", MEDIAN($F$373:$F$387))), "", (IF(MEDIAN($F$373:$F$387) = 0, "", MEDIAN($F$373:$F$387))))</f>
        <v/>
      </c>
      <c r="G372">
        <f ca="1">IF(ISERROR(IF(MEDIAN($G$373:$G$387) = 0, "", MEDIAN($G$373:$G$387))), "", (IF(MEDIAN($G$373:$G$387) = 0, "", MEDIAN($G$373:$G$387))))</f>
        <v>780.24099999999999</v>
      </c>
      <c r="H372">
        <f ca="1">IF(ISERROR(IF(MEDIAN($H$373:$H$387) = 0, "", MEDIAN($H$373:$H$387))), "", (IF(MEDIAN($H$373:$H$387) = 0, "", MEDIAN($H$373:$H$387))))</f>
        <v>917.22199999999998</v>
      </c>
      <c r="I372">
        <f ca="1">IF(ISERROR(IF(MEDIAN($I$373:$I$387) = 0, "", MEDIAN($I$373:$I$387))), "", (IF(MEDIAN($I$373:$I$387) = 0, "", MEDIAN($I$373:$I$387))))</f>
        <v>851.47900000000004</v>
      </c>
      <c r="J372">
        <f ca="1">IF(ISERROR(IF(MEDIAN($J$373:$J$387) = 0, "", MEDIAN($J$373:$J$387))), "", (IF(MEDIAN($J$373:$J$387) = 0, "", MEDIAN($J$373:$J$387))))</f>
        <v>434.03500000000003</v>
      </c>
      <c r="K372">
        <f ca="1">IF(ISERROR(IF(MEDIAN($K$373:$K$387) = 0, "", MEDIAN($K$373:$K$387))), "", (IF(MEDIAN($K$373:$K$387) = 0, "", MEDIAN($K$373:$K$387))))</f>
        <v>600.423</v>
      </c>
      <c r="L372">
        <f ca="1">IF(ISERROR(IF(MEDIAN($L$373:$L$387) = 0, "", MEDIAN($L$373:$L$387))), "", (IF(MEDIAN($L$373:$L$387) = 0, "", MEDIAN($L$373:$L$387))))</f>
        <v>616.20600000000002</v>
      </c>
      <c r="M372">
        <f ca="1">IF(ISERROR(IF(MEDIAN($M$373:$M$387) = 0, "", MEDIAN($M$373:$M$387))), "", (IF(MEDIAN($M$373:$M$387) = 0, "", MEDIAN($M$373:$M$387))))</f>
        <v>504.73899999999998</v>
      </c>
      <c r="N372">
        <f ca="1">IF(ISERROR(IF(MEDIAN($N$373:$N$387) = 0, "", MEDIAN($N$373:$N$387))), "", (IF(MEDIAN($N$373:$N$387) = 0, "", MEDIAN($N$373:$N$387))))</f>
        <v>337.79899999999998</v>
      </c>
      <c r="O372">
        <f ca="1">IF(ISERROR(IF(MEDIAN($O$373:$O$387) = 0, "", MEDIAN($O$373:$O$387))), "", (IF(MEDIAN($O$373:$O$387) = 0, "", MEDIAN($O$373:$O$387))))</f>
        <v>452.548</v>
      </c>
      <c r="P372">
        <f ca="1">IF(ISERROR(IF(MEDIAN($P$373:$P$387) = 0, "", MEDIAN($P$373:$P$387))), "", (IF(MEDIAN($P$373:$P$387) = 0, "", MEDIAN($P$373:$P$387))))</f>
        <v>458.78399999999999</v>
      </c>
      <c r="Q372">
        <f ca="1">IF(ISERROR(IF(MEDIAN($Q$373:$Q$387) = 0, "", MEDIAN($Q$373:$Q$387))), "", (IF(MEDIAN($Q$373:$Q$387) = 0, "", MEDIAN($Q$373:$Q$387))))</f>
        <v>410.12700000000001</v>
      </c>
      <c r="R372">
        <f ca="1">IF(ISERROR(IF(MEDIAN($R$373:$R$387) = 0, "", MEDIAN($R$373:$R$387))), "", (IF(MEDIAN($R$373:$R$387) = 0, "", MEDIAN($R$373:$R$387))))</f>
        <v>431.37400000000002</v>
      </c>
      <c r="S372">
        <f ca="1">IF(ISERROR(IF(MEDIAN($S$373:$S$387) = 0, "", MEDIAN($S$373:$S$387))), "", (IF(MEDIAN($S$373:$S$387) = 0, "", MEDIAN($S$373:$S$387))))</f>
        <v>475.39299999999997</v>
      </c>
      <c r="T372">
        <f ca="1">IF(ISERROR(IF(MEDIAN($T$373:$T$387) = 0, "", MEDIAN($T$373:$T$387))), "", (IF(MEDIAN($T$373:$T$387) = 0, "", MEDIAN($T$373:$T$387))))</f>
        <v>635.21600000000001</v>
      </c>
      <c r="U372">
        <f ca="1">IF(ISERROR(IF(MEDIAN($U$373:$U$387) = 0, "", MEDIAN($U$373:$U$387))), "", (IF(MEDIAN($U$373:$U$387) = 0, "", MEDIAN($U$373:$U$387))))</f>
        <v>695.82650000000001</v>
      </c>
      <c r="V372">
        <f ca="1">IF(ISERROR(IF(MEDIAN($V$373:$V$387) = 0, "", MEDIAN($V$373:$V$387))), "", (IF(MEDIAN($V$373:$V$387) = 0, "", MEDIAN($V$373:$V$387))))</f>
        <v>625.56299999999999</v>
      </c>
      <c r="W372">
        <f ca="1">IF(ISERROR(IF(MEDIAN($W$373:$W$387) = 0, "", MEDIAN($W$373:$W$387))), "", (IF(MEDIAN($W$373:$W$387) = 0, "", MEDIAN($W$373:$W$387))))</f>
        <v>632.7014999999999</v>
      </c>
      <c r="X372">
        <f ca="1">IF(ISERROR(IF(MEDIAN($X$373:$X$387) = 0, "", MEDIAN($X$373:$X$387))), "", (IF(MEDIAN($X$373:$X$387) = 0, "", MEDIAN($X$373:$X$387))))</f>
        <v>663.78200000000004</v>
      </c>
      <c r="Y372">
        <f ca="1">IF(ISERROR(IF(MEDIAN($Y$373:$Y$387) = 0, "", MEDIAN($Y$373:$Y$387))), "", (IF(MEDIAN($Y$373:$Y$387) = 0, "", MEDIAN($Y$373:$Y$387))))</f>
        <v>510.08199999999999</v>
      </c>
      <c r="Z372">
        <f ca="1">IF(ISERROR(IF(MEDIAN($Z$373:$Z$387) = 0, "", MEDIAN($Z$373:$Z$387))), "", (IF(MEDIAN($Z$373:$Z$387) = 0, "", MEDIAN($Z$373:$Z$387))))</f>
        <v>417.81049999999999</v>
      </c>
      <c r="AA372">
        <f ca="1">IF(ISERROR(IF(MEDIAN($AA$373:$AA$387) = 0, "", MEDIAN($AA$373:$AA$387))), "", (IF(MEDIAN($AA$373:$AA$387) = 0, "", MEDIAN($AA$373:$AA$387))))</f>
        <v>475.41800000000001</v>
      </c>
      <c r="AB372">
        <f ca="1">IF(ISERROR(IF(MEDIAN($AB$373:$AB$387) = 0, "", MEDIAN($AB$373:$AB$387))), "", (IF(MEDIAN($AB$373:$AB$387) = 0, "", MEDIAN($AB$373:$AB$387))))</f>
        <v>458.92500000000001</v>
      </c>
      <c r="AC372">
        <f ca="1">IF(ISERROR(IF(MEDIAN($AC$373:$AC$387) = 0, "", MEDIAN($AC$373:$AC$387))), "", (IF(MEDIAN($AC$373:$AC$387) = 0, "", MEDIAN($AC$373:$AC$387))))</f>
        <v>340.59500000000003</v>
      </c>
      <c r="AD372">
        <f ca="1">IF(ISERROR(IF(MEDIAN($AD$373:$AD$387) = 0, "", MEDIAN($AD$373:$AD$387))), "", (IF(MEDIAN($AD$373:$AD$387) = 0, "", MEDIAN($AD$373:$AD$387))))</f>
        <v>259.36250000000001</v>
      </c>
      <c r="AE372">
        <f ca="1">IF(ISERROR(IF(MEDIAN($AE$373:$AE$387) = 0, "", MEDIAN($AE$373:$AE$387))), "", (IF(MEDIAN($AE$373:$AE$387) = 0, "", MEDIAN($AE$373:$AE$387))))</f>
        <v>180.18651549999998</v>
      </c>
      <c r="AF372">
        <f ca="1">IF(ISERROR(IF(MEDIAN($AF$373:$AF$387) = 0, "", MEDIAN($AF$373:$AF$387))), "", (IF(MEDIAN($AF$373:$AF$387) = 0, "", MEDIAN($AF$373:$AF$387))))</f>
        <v>389.30599999999998</v>
      </c>
      <c r="AG372">
        <f ca="1">IF(ISERROR(IF(MEDIAN($AG$373:$AG$387) = 0, "", MEDIAN($AG$373:$AG$387))), "", (IF(MEDIAN($AG$373:$AG$387) = 0, "", MEDIAN($AG$373:$AG$387))))</f>
        <v>153.582427</v>
      </c>
      <c r="AH372">
        <f ca="1">IF(ISERROR(IF(MEDIAN($AH$373:$AH$387) = 0, "", MEDIAN($AH$373:$AH$387))), "", (IF(MEDIAN($AH$373:$AH$387) = 0, "", MEDIAN($AH$373:$AH$387))))</f>
        <v>169.488</v>
      </c>
      <c r="AI372">
        <f ca="1">IF(ISERROR(IF(MEDIAN($AI$373:$AI$387) = 0, "", MEDIAN($AI$373:$AI$387))), "", (IF(MEDIAN($AI$373:$AI$387) = 0, "", MEDIAN($AI$373:$AI$387))))</f>
        <v>247.63342399999999</v>
      </c>
      <c r="AJ372">
        <f ca="1">IF(ISERROR(IF(MEDIAN($AJ$373:$AJ$387) = 0, "", MEDIAN($AJ$373:$AJ$387))), "", (IF(MEDIAN($AJ$373:$AJ$387) = 0, "", MEDIAN($AJ$373:$AJ$387))))</f>
        <v>391.09649999999999</v>
      </c>
      <c r="AK372">
        <f ca="1">IF(ISERROR(IF(MEDIAN($AK$373:$AK$387) = 0, "", MEDIAN($AK$373:$AK$387))), "", (IF(MEDIAN($AK$373:$AK$387) = 0, "", MEDIAN($AK$373:$AK$387))))</f>
        <v>421.09699999999998</v>
      </c>
      <c r="AL372">
        <f ca="1">IF(ISERROR(IF(MEDIAN($AL$373:$AL$387) = 0, "", MEDIAN($AL$373:$AL$387))), "", (IF(MEDIAN($AL$373:$AL$387) = 0, "", MEDIAN($AL$373:$AL$387))))</f>
        <v>404.38200000000001</v>
      </c>
      <c r="AM372">
        <f ca="1">IF(ISERROR(IF(MEDIAN($AM$373:$AM$387) = 0, "", MEDIAN($AM$373:$AM$387))), "", (IF(MEDIAN($AM$373:$AM$387) = 0, "", MEDIAN($AM$373:$AM$387))))</f>
        <v>394.21600000000001</v>
      </c>
      <c r="AN372">
        <f ca="1">IF(ISERROR(IF(MEDIAN($AN$373:$AN$387) = 0, "", MEDIAN($AN$373:$AN$387))), "", (IF(MEDIAN($AN$373:$AN$387) = 0, "", MEDIAN($AN$373:$AN$387))))</f>
        <v>467.85299999999995</v>
      </c>
      <c r="AO372">
        <f ca="1">IF(ISERROR(IF(MEDIAN($AO$373:$AO$387) = 0, "", MEDIAN($AO$373:$AO$387))), "", (IF(MEDIAN($AO$373:$AO$387) = 0, "", MEDIAN($AO$373:$AO$387))))</f>
        <v>384.94399999999996</v>
      </c>
      <c r="AP372">
        <f ca="1">IF(ISERROR(IF(MEDIAN($AP$373:$AP$387) = 0, "", MEDIAN($AP$373:$AP$387))), "", (IF(MEDIAN($AP$373:$AP$387) = 0, "", MEDIAN($AP$373:$AP$387))))</f>
        <v>207.28649999999999</v>
      </c>
      <c r="AQ372">
        <f ca="1">IF(ISERROR(IF(MEDIAN($AQ$373:$AQ$387) = 0, "", MEDIAN($AQ$373:$AQ$387))), "", (IF(MEDIAN($AQ$373:$AQ$387) = 0, "", MEDIAN($AQ$373:$AQ$387))))</f>
        <v>259.30799999999999</v>
      </c>
      <c r="AR372">
        <f ca="1">IF(ISERROR(IF(MEDIAN($AR$373:$AR$387) = 0, "", MEDIAN($AR$373:$AR$387))), "", (IF(MEDIAN($AR$373:$AR$387) = 0, "", MEDIAN($AR$373:$AR$387))))</f>
        <v>451.87049999999999</v>
      </c>
      <c r="AS372">
        <f ca="1">IF(ISERROR(IF(MEDIAN($AS$373:$AS$387) = 0, "", MEDIAN($AS$373:$AS$387))), "", (IF(MEDIAN($AS$373:$AS$387) = 0, "", MEDIAN($AS$373:$AS$387))))</f>
        <v>281.14549999999997</v>
      </c>
      <c r="AT372">
        <f ca="1">IF(ISERROR(IF(MEDIAN($AT$373:$AT$387) = 0, "", MEDIAN($AT$373:$AT$387))), "", (IF(MEDIAN($AT$373:$AT$387) = 0, "", MEDIAN($AT$373:$AT$387))))</f>
        <v>405.53899999999999</v>
      </c>
      <c r="AU372">
        <f ca="1">IF(ISERROR(IF(MEDIAN($AU$373:$AU$387) = 0, "", MEDIAN($AU$373:$AU$387))), "", (IF(MEDIAN($AU$373:$AU$387) = 0, "", MEDIAN($AU$373:$AU$387))))</f>
        <v>184.50899999999999</v>
      </c>
      <c r="AV372">
        <f ca="1">IF(ISERROR(IF(MEDIAN($AV$373:$AV$387) = 0, "", MEDIAN($AV$373:$AV$387))), "", (IF(MEDIAN($AV$373:$AV$387) = 0, "", MEDIAN($AV$373:$AV$387))))</f>
        <v>282.03100000000001</v>
      </c>
      <c r="AW372">
        <f ca="1">IF(ISERROR(IF(MEDIAN($AW$373:$AW$387) = 0, "", MEDIAN($AW$373:$AW$387))), "", (IF(MEDIAN($AW$373:$AW$387) = 0, "", MEDIAN($AW$373:$AW$387))))</f>
        <v>340.77350000000001</v>
      </c>
      <c r="AX372">
        <f ca="1">IF(ISERROR(IF(MEDIAN($AX$373:$AX$387) = 0, "", MEDIAN($AX$373:$AX$387))), "", (IF(MEDIAN($AX$373:$AX$387) = 0, "", MEDIAN($AX$373:$AX$387))))</f>
        <v>241.69900000000001</v>
      </c>
      <c r="AY372">
        <f ca="1">IF(ISERROR(IF(MEDIAN($AY$373:$AY$387) = 0, "", MEDIAN($AY$373:$AY$387))), "", (IF(MEDIAN($AY$373:$AY$387) = 0, "", MEDIAN($AY$373:$AY$387))))</f>
        <v>319.83349999999996</v>
      </c>
      <c r="AZ372">
        <f ca="1">IF(ISERROR(IF(MEDIAN($AZ$373:$AZ$387) = 0, "", MEDIAN($AZ$373:$AZ$387))), "", (IF(MEDIAN($AZ$373:$AZ$387) = 0, "", MEDIAN($AZ$373:$AZ$387))))</f>
        <v>274.77499999999998</v>
      </c>
      <c r="BA372">
        <f ca="1">IF(ISERROR(IF(MEDIAN($BA$373:$BA$387) = 0, "", MEDIAN($BA$373:$BA$387))), "", (IF(MEDIAN($BA$373:$BA$387) = 0, "", MEDIAN($BA$373:$BA$387))))</f>
        <v>237.10899850000001</v>
      </c>
      <c r="BB372">
        <f ca="1">IF(ISERROR(IF(MEDIAN($BB$373:$BB$387) = 0, "", MEDIAN($BB$373:$BB$387))), "", (IF(MEDIAN($BB$373:$BB$387) = 0, "", MEDIAN($BB$373:$BB$387))))</f>
        <v>362.82400000000001</v>
      </c>
      <c r="BC372">
        <f ca="1">IF(ISERROR(IF(MEDIAN($BC$373:$BC$387) = 0, "", MEDIAN($BC$373:$BC$387))), "", (IF(MEDIAN($BC$373:$BC$387) = 0, "", MEDIAN($BC$373:$BC$387))))</f>
        <v>139.323499</v>
      </c>
      <c r="BD372">
        <f ca="1">IF(ISERROR(IF(MEDIAN($BD$373:$BD$387) = 0, "", MEDIAN($BD$373:$BD$387))), "", (IF(MEDIAN($BD$373:$BD$387) = 0, "", MEDIAN($BD$373:$BD$387))))</f>
        <v>354.55600000000004</v>
      </c>
      <c r="BE372">
        <f ca="1">IF(ISERROR(IF(MEDIAN($BE$373:$BE$387) = 0, "", MEDIAN($BE$373:$BE$387))), "", (IF(MEDIAN($BE$373:$BE$387) = 0, "", MEDIAN($BE$373:$BE$387))))</f>
        <v>393.52549999999997</v>
      </c>
      <c r="BF372">
        <f ca="1">IF(ISERROR(IF(MEDIAN($BF$373:$BF$387) = 0, "", MEDIAN($BF$373:$BF$387))), "", (IF(MEDIAN($BF$373:$BF$387) = 0, "", MEDIAN($BF$373:$BF$387))))</f>
        <v>259.07900000000001</v>
      </c>
      <c r="BG372">
        <f ca="1">IF(ISERROR(IF(MEDIAN($BG$373:$BG$387) = 0, "", MEDIAN($BG$373:$BG$387))), "", (IF(MEDIAN($BG$373:$BG$387) = 0, "", MEDIAN($BG$373:$BG$387))))</f>
        <v>196.2439995</v>
      </c>
      <c r="BH372">
        <f ca="1">IF(ISERROR(IF(MEDIAN($BH$373:$BH$387) = 0, "", MEDIAN($BH$373:$BH$387))), "", (IF(MEDIAN($BH$373:$BH$387) = 0, "", MEDIAN($BH$373:$BH$387))))</f>
        <v>163.58300600000001</v>
      </c>
      <c r="BI372">
        <f ca="1">IF(ISERROR(IF(MEDIAN($BI$373:$BI$387) = 0, "", MEDIAN($BI$373:$BI$387))), "", (IF(MEDIAN($BI$373:$BI$387) = 0, "", MEDIAN($BI$373:$BI$387))))</f>
        <v>252.41750200000001</v>
      </c>
      <c r="BJ372">
        <f ca="1">IF(ISERROR(IF(MEDIAN($BJ$373:$BJ$387) = 0, "", MEDIAN($BJ$373:$BJ$387))), "", (IF(MEDIAN($BJ$373:$BJ$387) = 0, "", MEDIAN($BJ$373:$BJ$387))))</f>
        <v>328.97249999999997</v>
      </c>
      <c r="BK372">
        <f ca="1">IF(ISERROR(IF(MEDIAN($BK$373:$BK$387) = 0, "", MEDIAN($BK$373:$BK$387))), "", (IF(MEDIAN($BK$373:$BK$387) = 0, "", MEDIAN($BK$373:$BK$387))))</f>
        <v>78.406000000000006</v>
      </c>
      <c r="BL372">
        <f ca="1">IF(ISERROR(IF(MEDIAN($BL$373:$BL$387) = 0, "", MEDIAN($BL$373:$BL$387))), "", (IF(MEDIAN($BL$373:$BL$387) = 0, "", MEDIAN($BL$373:$BL$387))))</f>
        <v>251.017</v>
      </c>
      <c r="BM372">
        <f ca="1">IF(ISERROR(IF(MEDIAN($BM$373:$BM$387) = 0, "", MEDIAN($BM$373:$BM$387))), "", (IF(MEDIAN($BM$373:$BM$387) = 0, "", MEDIAN($BM$373:$BM$387))))</f>
        <v>273.41800000000001</v>
      </c>
      <c r="BN372" t="str">
        <f>""</f>
        <v/>
      </c>
      <c r="BO372">
        <f>780.241</f>
        <v>780.24099999999999</v>
      </c>
      <c r="BP372">
        <f>917.222</f>
        <v>917.22199999999998</v>
      </c>
      <c r="BQ372">
        <f>851.479</f>
        <v>851.47900000000004</v>
      </c>
      <c r="BR372">
        <f>434.035</f>
        <v>434.03500000000003</v>
      </c>
      <c r="BS372">
        <f>600.423</f>
        <v>600.423</v>
      </c>
      <c r="BT372">
        <f>616.206</f>
        <v>616.20600000000002</v>
      </c>
      <c r="BU372">
        <f>504.739</f>
        <v>504.73899999999998</v>
      </c>
      <c r="BV372">
        <f>337.799</f>
        <v>337.79899999999998</v>
      </c>
      <c r="BW372">
        <f>452.548</f>
        <v>452.548</v>
      </c>
      <c r="BX372">
        <f>458.784</f>
        <v>458.78399999999999</v>
      </c>
      <c r="BY372">
        <f>410.127</f>
        <v>410.12700000000001</v>
      </c>
      <c r="BZ372">
        <f>431.374</f>
        <v>431.37400000000002</v>
      </c>
      <c r="CA372">
        <f>475.393</f>
        <v>475.39299999999997</v>
      </c>
      <c r="CB372">
        <f>635.216</f>
        <v>635.21600000000001</v>
      </c>
      <c r="CC372">
        <f>695.8265</f>
        <v>695.82650000000001</v>
      </c>
      <c r="CD372">
        <f>625.563</f>
        <v>625.56299999999999</v>
      </c>
      <c r="CE372">
        <f>632.7015</f>
        <v>632.70150000000001</v>
      </c>
      <c r="CF372">
        <f>663.782</f>
        <v>663.78200000000004</v>
      </c>
      <c r="CG372">
        <f>510.082</f>
        <v>510.08199999999999</v>
      </c>
      <c r="CH372">
        <f>417.8105</f>
        <v>417.81049999999999</v>
      </c>
      <c r="CI372">
        <f>475.418</f>
        <v>475.41800000000001</v>
      </c>
      <c r="CJ372">
        <f>458.925</f>
        <v>458.92500000000001</v>
      </c>
      <c r="CK372">
        <f>340.595</f>
        <v>340.59500000000003</v>
      </c>
      <c r="CL372">
        <f>259.3625</f>
        <v>259.36250000000001</v>
      </c>
      <c r="CM372">
        <f>180.1865155</f>
        <v>180.18651550000001</v>
      </c>
      <c r="CN372">
        <f>389.306</f>
        <v>389.30599999999998</v>
      </c>
      <c r="CO372">
        <f>153.582427</f>
        <v>153.582427</v>
      </c>
      <c r="CP372">
        <f>169.488</f>
        <v>169.488</v>
      </c>
      <c r="CQ372">
        <f>247.633424</f>
        <v>247.63342399999999</v>
      </c>
      <c r="CR372">
        <f>391.0965</f>
        <v>391.09649999999999</v>
      </c>
      <c r="CS372">
        <f>421.097</f>
        <v>421.09699999999998</v>
      </c>
      <c r="CT372">
        <f>404.382</f>
        <v>404.38200000000001</v>
      </c>
      <c r="CU372">
        <f>394.216</f>
        <v>394.21600000000001</v>
      </c>
      <c r="CV372">
        <f>467.853</f>
        <v>467.85300000000001</v>
      </c>
      <c r="CW372">
        <f>384.944</f>
        <v>384.94400000000002</v>
      </c>
      <c r="CX372">
        <f>207.2865</f>
        <v>207.28649999999999</v>
      </c>
      <c r="CY372">
        <f>259.308</f>
        <v>259.30799999999999</v>
      </c>
      <c r="CZ372">
        <f>451.8705</f>
        <v>451.87049999999999</v>
      </c>
      <c r="DA372">
        <f>281.1455</f>
        <v>281.14550000000003</v>
      </c>
      <c r="DB372">
        <f>405.539</f>
        <v>405.53899999999999</v>
      </c>
      <c r="DC372">
        <f>184.509</f>
        <v>184.50899999999999</v>
      </c>
      <c r="DD372">
        <f>282.031</f>
        <v>282.03100000000001</v>
      </c>
      <c r="DE372">
        <f>340.7735</f>
        <v>340.77350000000001</v>
      </c>
      <c r="DF372">
        <f>241.699</f>
        <v>241.69900000000001</v>
      </c>
      <c r="DG372">
        <f>319.8335</f>
        <v>319.83350000000002</v>
      </c>
      <c r="DH372">
        <f>274.775</f>
        <v>274.77499999999998</v>
      </c>
      <c r="DI372">
        <f>237.1089985</f>
        <v>237.10899850000001</v>
      </c>
      <c r="DJ372">
        <f>362.824</f>
        <v>362.82400000000001</v>
      </c>
      <c r="DK372">
        <f>139.323499</f>
        <v>139.323499</v>
      </c>
      <c r="DL372">
        <f>354.556</f>
        <v>354.55599999999998</v>
      </c>
      <c r="DM372">
        <f>393.5255</f>
        <v>393.52550000000002</v>
      </c>
      <c r="DN372">
        <f>259.079</f>
        <v>259.07900000000001</v>
      </c>
      <c r="DO372">
        <f>196.2439995</f>
        <v>196.2439995</v>
      </c>
      <c r="DP372">
        <f>163.583006</f>
        <v>163.58300600000001</v>
      </c>
      <c r="DQ372">
        <f>252.417502</f>
        <v>252.41750200000001</v>
      </c>
      <c r="DR372">
        <f>328.9725</f>
        <v>328.97250000000003</v>
      </c>
      <c r="DS372">
        <f>78.406</f>
        <v>78.406000000000006</v>
      </c>
      <c r="DT372">
        <f>251.017</f>
        <v>251.017</v>
      </c>
      <c r="DU372">
        <f>273.418</f>
        <v>273.41800000000001</v>
      </c>
    </row>
    <row r="373" spans="1:125">
      <c r="A373" t="str">
        <f>"    Brixmor Property Group Inc"</f>
        <v xml:space="preserve">    Brixmor Property Group Inc</v>
      </c>
      <c r="B373" t="str">
        <f>"BRX US Equity"</f>
        <v>BRX US Equity</v>
      </c>
      <c r="E373" t="str">
        <f t="shared" ref="E373:E387" si="69">"Expression"</f>
        <v>Expression</v>
      </c>
      <c r="F373" t="str">
        <f ca="1">IF(AND($B$419=1,LEN($F$421) * LEN($F$422) * LEN($F$423)&gt;0),$F$421+$F$422-$F$423,HLOOKUP(INDIRECT(ADDRESS(2,COLUMN())),OFFSET($BN$2,0,0,ROW()-1,60),ROW()-1,FALSE))</f>
        <v/>
      </c>
      <c r="G373">
        <f ca="1">IF(AND($B$419=1,LEN($G$421) * LEN($G$422) * LEN($G$423)&gt;0),$G$421+$G$422-$G$423,HLOOKUP(INDIRECT(ADDRESS(2,COLUMN())),OFFSET($BN$2,0,0,ROW()-1,60),ROW()-1,FALSE))</f>
        <v>1103.82</v>
      </c>
      <c r="H373">
        <f ca="1">IF(AND($B$419=1,LEN($H$421) * LEN($H$422) * LEN($H$423)&gt;0),$H$421+$H$422-$H$423,HLOOKUP(INDIRECT(ADDRESS(2,COLUMN())),OFFSET($BN$2,0,0,ROW()-1,60),ROW()-1,FALSE))</f>
        <v>1266.8130000000001</v>
      </c>
      <c r="I373">
        <f ca="1">IF(AND($B$419=1,LEN($I$421) * LEN($I$422) * LEN($I$423)&gt;0),$I$421+$I$422-$I$423,HLOOKUP(INDIRECT(ADDRESS(2,COLUMN())),OFFSET($BN$2,0,0,ROW()-1,60),ROW()-1,FALSE))</f>
        <v>1286.288</v>
      </c>
      <c r="J373">
        <f ca="1">IF(AND($B$419=1,LEN($J$421) * LEN($J$422) * LEN($J$423)&gt;0),$J$421+$J$422-$J$423,HLOOKUP(INDIRECT(ADDRESS(2,COLUMN())),OFFSET($BN$2,0,0,ROW()-1,60),ROW()-1,FALSE))</f>
        <v>792.95600000000002</v>
      </c>
      <c r="K373">
        <f ca="1">IF(AND($B$419=1,LEN($K$421) * LEN($K$422) * LEN($K$423)&gt;0),$K$421+$K$422-$K$423,HLOOKUP(INDIRECT(ADDRESS(2,COLUMN())),OFFSET($BN$2,0,0,ROW()-1,60),ROW()-1,FALSE))</f>
        <v>868.51400000000001</v>
      </c>
      <c r="L373">
        <f ca="1">IF(AND($B$419=1,LEN($L$421) * LEN($L$422) * LEN($L$423)&gt;0),$L$421+$L$422-$L$423,HLOOKUP(INDIRECT(ADDRESS(2,COLUMN())),OFFSET($BN$2,0,0,ROW()-1,60),ROW()-1,FALSE))</f>
        <v>1179.3610000000001</v>
      </c>
      <c r="M373">
        <f ca="1">IF(AND($B$419=1,LEN($M$421) * LEN($M$422) * LEN($M$423)&gt;0),$M$421+$M$422-$M$423,HLOOKUP(INDIRECT(ADDRESS(2,COLUMN())),OFFSET($BN$2,0,0,ROW()-1,60),ROW()-1,FALSE))</f>
        <v>665.12199999999996</v>
      </c>
      <c r="N373">
        <f ca="1">IF(AND($B$419=1,LEN($N$421) * LEN($N$422) * LEN($N$423)&gt;0),$N$421+$N$422-$N$423,HLOOKUP(INDIRECT(ADDRESS(2,COLUMN())),OFFSET($BN$2,0,0,ROW()-1,60),ROW()-1,FALSE))</f>
        <v>26.861999999999998</v>
      </c>
      <c r="O373">
        <f ca="1">IF(AND($B$419=1,LEN($O$421) * LEN($O$422) * LEN($O$423)&gt;0),$O$421+$O$422-$O$423,HLOOKUP(INDIRECT(ADDRESS(2,COLUMN())),OFFSET($BN$2,0,0,ROW()-1,60),ROW()-1,FALSE))</f>
        <v>25.827999999999999</v>
      </c>
      <c r="P373">
        <f ca="1">IF(AND($B$419=1,LEN($P$421) * LEN($P$422) * LEN($P$423)&gt;0),$P$421+$P$422-$P$423,HLOOKUP(INDIRECT(ADDRESS(2,COLUMN())),OFFSET($BN$2,0,0,ROW()-1,60),ROW()-1,FALSE))</f>
        <v>1279.8409999999999</v>
      </c>
      <c r="Q373">
        <f ca="1">IF(AND($B$419=1,LEN($Q$421) * LEN($Q$422) * LEN($Q$423)&gt;0),$Q$421+$Q$422-$Q$423,HLOOKUP(INDIRECT(ADDRESS(2,COLUMN())),OFFSET($BN$2,0,0,ROW()-1,60),ROW()-1,FALSE))</f>
        <v>1135.2159999999999</v>
      </c>
      <c r="R373">
        <f ca="1">IF(AND($B$419=1,LEN($R$421) * LEN($R$422) * LEN($R$423)&gt;0),$R$421+$R$422-$R$423,HLOOKUP(INDIRECT(ADDRESS(2,COLUMN())),OFFSET($BN$2,0,0,ROW()-1,60),ROW()-1,FALSE))</f>
        <v>823.79600000000005</v>
      </c>
      <c r="S373" t="str">
        <f ca="1">IF(AND($B$419=1,LEN($S$421) * LEN($S$422) * LEN($S$423)&gt;0),$S$421+$S$422-$S$423,HLOOKUP(INDIRECT(ADDRESS(2,COLUMN())),OFFSET($BN$2,0,0,ROW()-1,60),ROW()-1,FALSE))</f>
        <v/>
      </c>
      <c r="T373">
        <f ca="1">IF(AND($B$419=1,LEN($T$421) * LEN($T$422) * LEN($T$423)&gt;0),$T$421+$T$422-$T$423,HLOOKUP(INDIRECT(ADDRESS(2,COLUMN())),OFFSET($BN$2,0,0,ROW()-1,60),ROW()-1,FALSE))</f>
        <v>1334.366</v>
      </c>
      <c r="U373">
        <f ca="1">IF(AND($B$419=1,LEN($U$421) * LEN($U$422) * LEN($U$423)&gt;0),$U$421+$U$422-$U$423,HLOOKUP(INDIRECT(ADDRESS(2,COLUMN())),OFFSET($BN$2,0,0,ROW()-1,60),ROW()-1,FALSE))</f>
        <v>1295.8589999999999</v>
      </c>
      <c r="V373">
        <f ca="1">IF(AND($B$419=1,LEN($V$421) * LEN($V$422) * LEN($V$423)&gt;0),$V$421+$V$422-$V$423,HLOOKUP(INDIRECT(ADDRESS(2,COLUMN())),OFFSET($BN$2,0,0,ROW()-1,60),ROW()-1,FALSE))</f>
        <v>1233.527</v>
      </c>
      <c r="W373">
        <f ca="1">IF(AND($B$419=1,LEN($W$421) * LEN($W$422) * LEN($W$423)&gt;0),$W$421+$W$422-$W$423,HLOOKUP(INDIRECT(ADDRESS(2,COLUMN())),OFFSET($BN$2,0,0,ROW()-1,60),ROW()-1,FALSE))</f>
        <v>916.18299999999999</v>
      </c>
      <c r="X373">
        <f ca="1">IF(AND($B$419=1,LEN($X$421) * LEN($X$422) * LEN($X$423)&gt;0),$X$421+$X$422-$X$423,HLOOKUP(INDIRECT(ADDRESS(2,COLUMN())),OFFSET($BN$2,0,0,ROW()-1,60),ROW()-1,FALSE))</f>
        <v>1328.8520000000001</v>
      </c>
      <c r="Y373" t="str">
        <f ca="1">IF(AND($B$419=1,LEN($Y$421) * LEN($Y$422) * LEN($Y$423)&gt;0),$Y$421+$Y$422-$Y$423,HLOOKUP(INDIRECT(ADDRESS(2,COLUMN())),OFFSET($BN$2,0,0,ROW()-1,60),ROW()-1,FALSE))</f>
        <v/>
      </c>
      <c r="Z373" t="str">
        <f ca="1">IF(AND($B$419=1,LEN($Z$421) * LEN($Z$422) * LEN($Z$423)&gt;0),$Z$421+$Z$422-$Z$423,HLOOKUP(INDIRECT(ADDRESS(2,COLUMN())),OFFSET($BN$2,0,0,ROW()-1,60),ROW()-1,FALSE))</f>
        <v/>
      </c>
      <c r="AA373" t="str">
        <f ca="1">IF(AND($B$419=1,LEN($AA$421) * LEN($AA$422) * LEN($AA$423)&gt;0),$AA$421+$AA$422-$AA$423,HLOOKUP(INDIRECT(ADDRESS(2,COLUMN())),OFFSET($BN$2,0,0,ROW()-1,60),ROW()-1,FALSE))</f>
        <v/>
      </c>
      <c r="AB373" t="str">
        <f ca="1">IF(AND($B$419=1,LEN($AB$421) * LEN($AB$422) * LEN($AB$423)&gt;0),$AB$421+$AB$422-$AB$423,HLOOKUP(INDIRECT(ADDRESS(2,COLUMN())),OFFSET($BN$2,0,0,ROW()-1,60),ROW()-1,FALSE))</f>
        <v/>
      </c>
      <c r="AC373" t="str">
        <f ca="1">IF(AND($B$419=1,LEN($AC$421) * LEN($AC$422) * LEN($AC$423)&gt;0),$AC$421+$AC$422-$AC$423,HLOOKUP(INDIRECT(ADDRESS(2,COLUMN())),OFFSET($BN$2,0,0,ROW()-1,60),ROW()-1,FALSE))</f>
        <v/>
      </c>
      <c r="AD373" t="str">
        <f ca="1">IF(AND($B$419=1,LEN($AD$421) * LEN($AD$422) * LEN($AD$423)&gt;0),$AD$421+$AD$422-$AD$423,HLOOKUP(INDIRECT(ADDRESS(2,COLUMN())),OFFSET($BN$2,0,0,ROW()-1,60),ROW()-1,FALSE))</f>
        <v/>
      </c>
      <c r="AE373" t="str">
        <f ca="1">IF(AND($B$419=1,LEN($AE$421) * LEN($AE$422) * LEN($AE$423)&gt;0),$AE$421+$AE$422-$AE$423,HLOOKUP(INDIRECT(ADDRESS(2,COLUMN())),OFFSET($BN$2,0,0,ROW()-1,60),ROW()-1,FALSE))</f>
        <v/>
      </c>
      <c r="AF373" t="str">
        <f ca="1">IF(AND($B$419=1,LEN($AF$421) * LEN($AF$422) * LEN($AF$423)&gt;0),$AF$421+$AF$422-$AF$423,HLOOKUP(INDIRECT(ADDRESS(2,COLUMN())),OFFSET($BN$2,0,0,ROW()-1,60),ROW()-1,FALSE))</f>
        <v/>
      </c>
      <c r="AG373" t="str">
        <f ca="1">IF(AND($B$419=1,LEN($AG$421) * LEN($AG$422) * LEN($AG$423)&gt;0),$AG$421+$AG$422-$AG$423,HLOOKUP(INDIRECT(ADDRESS(2,COLUMN())),OFFSET($BN$2,0,0,ROW()-1,60),ROW()-1,FALSE))</f>
        <v/>
      </c>
      <c r="AH373" t="str">
        <f ca="1">IF(AND($B$419=1,LEN($AH$421) * LEN($AH$422) * LEN($AH$423)&gt;0),$AH$421+$AH$422-$AH$423,HLOOKUP(INDIRECT(ADDRESS(2,COLUMN())),OFFSET($BN$2,0,0,ROW()-1,60),ROW()-1,FALSE))</f>
        <v/>
      </c>
      <c r="AI373" t="str">
        <f ca="1">IF(AND($B$419=1,LEN($AI$421) * LEN($AI$422) * LEN($AI$423)&gt;0),$AI$421+$AI$422-$AI$423,HLOOKUP(INDIRECT(ADDRESS(2,COLUMN())),OFFSET($BN$2,0,0,ROW()-1,60),ROW()-1,FALSE))</f>
        <v/>
      </c>
      <c r="AJ373" t="str">
        <f ca="1">IF(AND($B$419=1,LEN($AJ$421) * LEN($AJ$422) * LEN($AJ$423)&gt;0),$AJ$421+$AJ$422-$AJ$423,HLOOKUP(INDIRECT(ADDRESS(2,COLUMN())),OFFSET($BN$2,0,0,ROW()-1,60),ROW()-1,FALSE))</f>
        <v/>
      </c>
      <c r="AK373" t="str">
        <f ca="1">IF(AND($B$419=1,LEN($AK$421) * LEN($AK$422) * LEN($AK$423)&gt;0),$AK$421+$AK$422-$AK$423,HLOOKUP(INDIRECT(ADDRESS(2,COLUMN())),OFFSET($BN$2,0,0,ROW()-1,60),ROW()-1,FALSE))</f>
        <v/>
      </c>
      <c r="AL373" t="str">
        <f ca="1">IF(AND($B$419=1,LEN($AL$421) * LEN($AL$422) * LEN($AL$423)&gt;0),$AL$421+$AL$422-$AL$423,HLOOKUP(INDIRECT(ADDRESS(2,COLUMN())),OFFSET($BN$2,0,0,ROW()-1,60),ROW()-1,FALSE))</f>
        <v/>
      </c>
      <c r="AM373" t="str">
        <f ca="1">IF(AND($B$419=1,LEN($AM$421) * LEN($AM$422) * LEN($AM$423)&gt;0),$AM$421+$AM$422-$AM$423,HLOOKUP(INDIRECT(ADDRESS(2,COLUMN())),OFFSET($BN$2,0,0,ROW()-1,60),ROW()-1,FALSE))</f>
        <v/>
      </c>
      <c r="AN373" t="str">
        <f ca="1">IF(AND($B$419=1,LEN($AN$421) * LEN($AN$422) * LEN($AN$423)&gt;0),$AN$421+$AN$422-$AN$423,HLOOKUP(INDIRECT(ADDRESS(2,COLUMN())),OFFSET($BN$2,0,0,ROW()-1,60),ROW()-1,FALSE))</f>
        <v/>
      </c>
      <c r="AO373" t="str">
        <f ca="1">IF(AND($B$419=1,LEN($AO$421) * LEN($AO$422) * LEN($AO$423)&gt;0),$AO$421+$AO$422-$AO$423,HLOOKUP(INDIRECT(ADDRESS(2,COLUMN())),OFFSET($BN$2,0,0,ROW()-1,60),ROW()-1,FALSE))</f>
        <v/>
      </c>
      <c r="AP373" t="str">
        <f ca="1">IF(AND($B$419=1,LEN($AP$421) * LEN($AP$422) * LEN($AP$423)&gt;0),$AP$421+$AP$422-$AP$423,HLOOKUP(INDIRECT(ADDRESS(2,COLUMN())),OFFSET($BN$2,0,0,ROW()-1,60),ROW()-1,FALSE))</f>
        <v/>
      </c>
      <c r="AQ373" t="str">
        <f ca="1">IF(AND($B$419=1,LEN($AQ$421) * LEN($AQ$422) * LEN($AQ$423)&gt;0),$AQ$421+$AQ$422-$AQ$423,HLOOKUP(INDIRECT(ADDRESS(2,COLUMN())),OFFSET($BN$2,0,0,ROW()-1,60),ROW()-1,FALSE))</f>
        <v/>
      </c>
      <c r="AR373" t="str">
        <f ca="1">IF(AND($B$419=1,LEN($AR$421) * LEN($AR$422) * LEN($AR$423)&gt;0),$AR$421+$AR$422-$AR$423,HLOOKUP(INDIRECT(ADDRESS(2,COLUMN())),OFFSET($BN$2,0,0,ROW()-1,60),ROW()-1,FALSE))</f>
        <v/>
      </c>
      <c r="AS373" t="str">
        <f ca="1">IF(AND($B$419=1,LEN($AS$421) * LEN($AS$422) * LEN($AS$423)&gt;0),$AS$421+$AS$422-$AS$423,HLOOKUP(INDIRECT(ADDRESS(2,COLUMN())),OFFSET($BN$2,0,0,ROW()-1,60),ROW()-1,FALSE))</f>
        <v/>
      </c>
      <c r="AT373" t="str">
        <f ca="1">IF(AND($B$419=1,LEN($AT$421) * LEN($AT$422) * LEN($AT$423)&gt;0),$AT$421+$AT$422-$AT$423,HLOOKUP(INDIRECT(ADDRESS(2,COLUMN())),OFFSET($BN$2,0,0,ROW()-1,60),ROW()-1,FALSE))</f>
        <v/>
      </c>
      <c r="AU373" t="str">
        <f ca="1">IF(AND($B$419=1,LEN($AU$421) * LEN($AU$422) * LEN($AU$423)&gt;0),$AU$421+$AU$422-$AU$423,HLOOKUP(INDIRECT(ADDRESS(2,COLUMN())),OFFSET($BN$2,0,0,ROW()-1,60),ROW()-1,FALSE))</f>
        <v/>
      </c>
      <c r="AV373" t="str">
        <f ca="1">IF(AND($B$419=1,LEN($AV$421) * LEN($AV$422) * LEN($AV$423)&gt;0),$AV$421+$AV$422-$AV$423,HLOOKUP(INDIRECT(ADDRESS(2,COLUMN())),OFFSET($BN$2,0,0,ROW()-1,60),ROW()-1,FALSE))</f>
        <v/>
      </c>
      <c r="AW373" t="str">
        <f ca="1">IF(AND($B$419=1,LEN($AW$421) * LEN($AW$422) * LEN($AW$423)&gt;0),$AW$421+$AW$422-$AW$423,HLOOKUP(INDIRECT(ADDRESS(2,COLUMN())),OFFSET($BN$2,0,0,ROW()-1,60),ROW()-1,FALSE))</f>
        <v/>
      </c>
      <c r="AX373" t="str">
        <f ca="1">IF(AND($B$419=1,LEN($AX$421) * LEN($AX$422) * LEN($AX$423)&gt;0),$AX$421+$AX$422-$AX$423,HLOOKUP(INDIRECT(ADDRESS(2,COLUMN())),OFFSET($BN$2,0,0,ROW()-1,60),ROW()-1,FALSE))</f>
        <v/>
      </c>
      <c r="AY373" t="str">
        <f ca="1">IF(AND($B$419=1,LEN($AY$421) * LEN($AY$422) * LEN($AY$423)&gt;0),$AY$421+$AY$422-$AY$423,HLOOKUP(INDIRECT(ADDRESS(2,COLUMN())),OFFSET($BN$2,0,0,ROW()-1,60),ROW()-1,FALSE))</f>
        <v/>
      </c>
      <c r="AZ373" t="str">
        <f ca="1">IF(AND($B$419=1,LEN($AZ$421) * LEN($AZ$422) * LEN($AZ$423)&gt;0),$AZ$421+$AZ$422-$AZ$423,HLOOKUP(INDIRECT(ADDRESS(2,COLUMN())),OFFSET($BN$2,0,0,ROW()-1,60),ROW()-1,FALSE))</f>
        <v/>
      </c>
      <c r="BA373" t="str">
        <f ca="1">IF(AND($B$419=1,LEN($BA$421) * LEN($BA$422) * LEN($BA$423)&gt;0),$BA$421+$BA$422-$BA$423,HLOOKUP(INDIRECT(ADDRESS(2,COLUMN())),OFFSET($BN$2,0,0,ROW()-1,60),ROW()-1,FALSE))</f>
        <v/>
      </c>
      <c r="BB373" t="str">
        <f ca="1">IF(AND($B$419=1,LEN($BB$421) * LEN($BB$422) * LEN($BB$423)&gt;0),$BB$421+$BB$422-$BB$423,HLOOKUP(INDIRECT(ADDRESS(2,COLUMN())),OFFSET($BN$2,0,0,ROW()-1,60),ROW()-1,FALSE))</f>
        <v/>
      </c>
      <c r="BC373" t="str">
        <f ca="1">IF(AND($B$419=1,LEN($BC$421) * LEN($BC$422) * LEN($BC$423)&gt;0),$BC$421+$BC$422-$BC$423,HLOOKUP(INDIRECT(ADDRESS(2,COLUMN())),OFFSET($BN$2,0,0,ROW()-1,60),ROW()-1,FALSE))</f>
        <v/>
      </c>
      <c r="BD373" t="str">
        <f ca="1">IF(AND($B$419=1,LEN($BD$421) * LEN($BD$422) * LEN($BD$423)&gt;0),$BD$421+$BD$422-$BD$423,HLOOKUP(INDIRECT(ADDRESS(2,COLUMN())),OFFSET($BN$2,0,0,ROW()-1,60),ROW()-1,FALSE))</f>
        <v/>
      </c>
      <c r="BE373" t="str">
        <f ca="1">IF(AND($B$419=1,LEN($BE$421) * LEN($BE$422) * LEN($BE$423)&gt;0),$BE$421+$BE$422-$BE$423,HLOOKUP(INDIRECT(ADDRESS(2,COLUMN())),OFFSET($BN$2,0,0,ROW()-1,60),ROW()-1,FALSE))</f>
        <v/>
      </c>
      <c r="BF373" t="str">
        <f ca="1">IF(AND($B$419=1,LEN($BF$421) * LEN($BF$422) * LEN($BF$423)&gt;0),$BF$421+$BF$422-$BF$423,HLOOKUP(INDIRECT(ADDRESS(2,COLUMN())),OFFSET($BN$2,0,0,ROW()-1,60),ROW()-1,FALSE))</f>
        <v/>
      </c>
      <c r="BG373" t="str">
        <f ca="1">IF(AND($B$419=1,LEN($BG$421) * LEN($BG$422) * LEN($BG$423)&gt;0),$BG$421+$BG$422-$BG$423,HLOOKUP(INDIRECT(ADDRESS(2,COLUMN())),OFFSET($BN$2,0,0,ROW()-1,60),ROW()-1,FALSE))</f>
        <v/>
      </c>
      <c r="BH373" t="str">
        <f ca="1">IF(AND($B$419=1,LEN($BH$421) * LEN($BH$422) * LEN($BH$423)&gt;0),$BH$421+$BH$422-$BH$423,HLOOKUP(INDIRECT(ADDRESS(2,COLUMN())),OFFSET($BN$2,0,0,ROW()-1,60),ROW()-1,FALSE))</f>
        <v/>
      </c>
      <c r="BI373" t="str">
        <f ca="1">IF(AND($B$419=1,LEN($BI$421) * LEN($BI$422) * LEN($BI$423)&gt;0),$BI$421+$BI$422-$BI$423,HLOOKUP(INDIRECT(ADDRESS(2,COLUMN())),OFFSET($BN$2,0,0,ROW()-1,60),ROW()-1,FALSE))</f>
        <v/>
      </c>
      <c r="BJ373" t="str">
        <f ca="1">IF(AND($B$419=1,LEN($BJ$421) * LEN($BJ$422) * LEN($BJ$423)&gt;0),$BJ$421+$BJ$422-$BJ$423,HLOOKUP(INDIRECT(ADDRESS(2,COLUMN())),OFFSET($BN$2,0,0,ROW()-1,60),ROW()-1,FALSE))</f>
        <v/>
      </c>
      <c r="BK373" t="str">
        <f ca="1">IF(AND($B$419=1,LEN($BK$421) * LEN($BK$422) * LEN($BK$423)&gt;0),$BK$421+$BK$422-$BK$423,HLOOKUP(INDIRECT(ADDRESS(2,COLUMN())),OFFSET($BN$2,0,0,ROW()-1,60),ROW()-1,FALSE))</f>
        <v/>
      </c>
      <c r="BL373" t="str">
        <f ca="1">IF(AND($B$419=1,LEN($BL$421) * LEN($BL$422) * LEN($BL$423)&gt;0),$BL$421+$BL$422-$BL$423,HLOOKUP(INDIRECT(ADDRESS(2,COLUMN())),OFFSET($BN$2,0,0,ROW()-1,60),ROW()-1,FALSE))</f>
        <v/>
      </c>
      <c r="BM373" t="str">
        <f ca="1">IF(AND($B$419=1,LEN($BM$421) * LEN($BM$422) * LEN($BM$423)&gt;0),$BM$421+$BM$422-$BM$423,HLOOKUP(INDIRECT(ADDRESS(2,COLUMN())),OFFSET($BN$2,0,0,ROW()-1,60),ROW()-1,FALSE))</f>
        <v/>
      </c>
      <c r="BN373" t="str">
        <f>""</f>
        <v/>
      </c>
      <c r="BO373">
        <f>1103.82</f>
        <v>1103.82</v>
      </c>
      <c r="BP373">
        <f>1266.813</f>
        <v>1266.8130000000001</v>
      </c>
      <c r="BQ373">
        <f>1286.288</f>
        <v>1286.288</v>
      </c>
      <c r="BR373">
        <f>792.956</f>
        <v>792.95600000000002</v>
      </c>
      <c r="BS373">
        <f>868.514</f>
        <v>868.51400000000001</v>
      </c>
      <c r="BT373">
        <f>1179.361</f>
        <v>1179.3610000000001</v>
      </c>
      <c r="BU373">
        <f>665.122</f>
        <v>665.12199999999996</v>
      </c>
      <c r="BV373">
        <f>26.862</f>
        <v>26.861999999999998</v>
      </c>
      <c r="BW373">
        <f>25.828</f>
        <v>25.827999999999999</v>
      </c>
      <c r="BX373">
        <f>1279.841</f>
        <v>1279.8409999999999</v>
      </c>
      <c r="BY373">
        <f>1135.216</f>
        <v>1135.2159999999999</v>
      </c>
      <c r="BZ373">
        <f>823.796</f>
        <v>823.79600000000005</v>
      </c>
      <c r="CA373" t="str">
        <f>""</f>
        <v/>
      </c>
      <c r="CB373">
        <f>1334.366</f>
        <v>1334.366</v>
      </c>
      <c r="CC373">
        <f>1295.859</f>
        <v>1295.8589999999999</v>
      </c>
      <c r="CD373">
        <f>1233.527</f>
        <v>1233.527</v>
      </c>
      <c r="CE373">
        <f>916.183</f>
        <v>916.18299999999999</v>
      </c>
      <c r="CF373">
        <f>1328.852</f>
        <v>1328.8520000000001</v>
      </c>
      <c r="CG373" t="str">
        <f>""</f>
        <v/>
      </c>
      <c r="CH373" t="str">
        <f>""</f>
        <v/>
      </c>
      <c r="CI373" t="str">
        <f>""</f>
        <v/>
      </c>
      <c r="CJ373" t="str">
        <f>""</f>
        <v/>
      </c>
      <c r="CK373" t="str">
        <f>""</f>
        <v/>
      </c>
      <c r="CL373" t="str">
        <f>""</f>
        <v/>
      </c>
      <c r="CM373" t="str">
        <f>""</f>
        <v/>
      </c>
      <c r="CN373" t="str">
        <f>""</f>
        <v/>
      </c>
      <c r="CO373" t="str">
        <f>""</f>
        <v/>
      </c>
      <c r="CP373" t="str">
        <f>""</f>
        <v/>
      </c>
      <c r="CQ373" t="str">
        <f>""</f>
        <v/>
      </c>
      <c r="CR373" t="str">
        <f>""</f>
        <v/>
      </c>
      <c r="CS373" t="str">
        <f>""</f>
        <v/>
      </c>
      <c r="CT373" t="str">
        <f>""</f>
        <v/>
      </c>
      <c r="CU373" t="str">
        <f>""</f>
        <v/>
      </c>
      <c r="CV373" t="str">
        <f>""</f>
        <v/>
      </c>
      <c r="CW373" t="str">
        <f>""</f>
        <v/>
      </c>
      <c r="CX373" t="str">
        <f>""</f>
        <v/>
      </c>
      <c r="CY373" t="str">
        <f>""</f>
        <v/>
      </c>
      <c r="CZ373" t="str">
        <f>""</f>
        <v/>
      </c>
      <c r="DA373" t="str">
        <f>""</f>
        <v/>
      </c>
      <c r="DB373" t="str">
        <f>""</f>
        <v/>
      </c>
      <c r="DC373" t="str">
        <f>""</f>
        <v/>
      </c>
      <c r="DD373" t="str">
        <f>""</f>
        <v/>
      </c>
      <c r="DE373" t="str">
        <f>""</f>
        <v/>
      </c>
      <c r="DF373" t="str">
        <f>""</f>
        <v/>
      </c>
      <c r="DG373" t="str">
        <f>""</f>
        <v/>
      </c>
      <c r="DH373" t="str">
        <f>""</f>
        <v/>
      </c>
      <c r="DI373" t="str">
        <f>""</f>
        <v/>
      </c>
      <c r="DJ373" t="str">
        <f>""</f>
        <v/>
      </c>
      <c r="DK373" t="str">
        <f>""</f>
        <v/>
      </c>
      <c r="DL373" t="str">
        <f>""</f>
        <v/>
      </c>
      <c r="DM373" t="str">
        <f>""</f>
        <v/>
      </c>
      <c r="DN373" t="str">
        <f>""</f>
        <v/>
      </c>
      <c r="DO373" t="str">
        <f>""</f>
        <v/>
      </c>
      <c r="DP373" t="str">
        <f>""</f>
        <v/>
      </c>
      <c r="DQ373" t="str">
        <f>""</f>
        <v/>
      </c>
      <c r="DR373" t="str">
        <f>""</f>
        <v/>
      </c>
      <c r="DS373" t="str">
        <f>""</f>
        <v/>
      </c>
      <c r="DT373" t="str">
        <f>""</f>
        <v/>
      </c>
      <c r="DU373" t="str">
        <f>""</f>
        <v/>
      </c>
    </row>
    <row r="374" spans="1:125">
      <c r="A374" t="str">
        <f>"    CBL &amp; Associates Properties In"</f>
        <v xml:space="preserve">    CBL &amp; Associates Properties In</v>
      </c>
      <c r="B374" t="str">
        <f>"CBL US Equity"</f>
        <v>CBL US Equity</v>
      </c>
      <c r="E374" t="str">
        <f t="shared" si="69"/>
        <v>Expression</v>
      </c>
      <c r="F374" t="str">
        <f ca="1">IF(AND($B$419=1,LEN($F$424) * LEN($F$425) * LEN($F$426)&gt;0),$F$424+$F$425-$F$426,HLOOKUP(INDIRECT(ADDRESS(2,COLUMN())),OFFSET($BN$2,0,0,ROW()-1,60),ROW()-1,FALSE))</f>
        <v/>
      </c>
      <c r="G374">
        <f ca="1">IF(AND($B$419=1,LEN($G$424) * LEN($G$425) * LEN($G$426)&gt;0),$G$424+$G$425-$G$426,HLOOKUP(INDIRECT(ADDRESS(2,COLUMN())),OFFSET($BN$2,0,0,ROW()-1,60),ROW()-1,FALSE))</f>
        <v>371.12</v>
      </c>
      <c r="H374">
        <f ca="1">IF(AND($B$419=1,LEN($H$424) * LEN($H$425) * LEN($H$426)&gt;0),$H$424+$H$425-$H$426,HLOOKUP(INDIRECT(ADDRESS(2,COLUMN())),OFFSET($BN$2,0,0,ROW()-1,60),ROW()-1,FALSE))</f>
        <v>917.22199999999998</v>
      </c>
      <c r="I374">
        <f ca="1">IF(AND($B$419=1,LEN($I$424) * LEN($I$425) * LEN($I$426)&gt;0),$I$424+$I$425-$I$426,HLOOKUP(INDIRECT(ADDRESS(2,COLUMN())),OFFSET($BN$2,0,0,ROW()-1,60),ROW()-1,FALSE))</f>
        <v>381.62299999999999</v>
      </c>
      <c r="J374">
        <f ca="1">IF(AND($B$419=1,LEN($J$424) * LEN($J$425) * LEN($J$426)&gt;0),$J$424+$J$425-$J$426,HLOOKUP(INDIRECT(ADDRESS(2,COLUMN())),OFFSET($BN$2,0,0,ROW()-1,60),ROW()-1,FALSE))</f>
        <v>303.46600000000001</v>
      </c>
      <c r="K374">
        <f ca="1">IF(AND($B$419=1,LEN($K$424) * LEN($K$425) * LEN($K$426)&gt;0),$K$424+$K$425-$K$426,HLOOKUP(INDIRECT(ADDRESS(2,COLUMN())),OFFSET($BN$2,0,0,ROW()-1,60),ROW()-1,FALSE))</f>
        <v>355.613</v>
      </c>
      <c r="L374">
        <f ca="1">IF(AND($B$419=1,LEN($L$424) * LEN($L$425) * LEN($L$426)&gt;0),$L$424+$L$425-$L$426,HLOOKUP(INDIRECT(ADDRESS(2,COLUMN())),OFFSET($BN$2,0,0,ROW()-1,60),ROW()-1,FALSE))</f>
        <v>600.36900000000003</v>
      </c>
      <c r="M374">
        <f ca="1">IF(AND($B$419=1,LEN($M$424) * LEN($M$425) * LEN($M$426)&gt;0),$M$424+$M$425-$M$426,HLOOKUP(INDIRECT(ADDRESS(2,COLUMN())),OFFSET($BN$2,0,0,ROW()-1,60),ROW()-1,FALSE))</f>
        <v>404.55799999999999</v>
      </c>
      <c r="N374">
        <f ca="1">IF(AND($B$419=1,LEN($N$424) * LEN($N$425) * LEN($N$426)&gt;0),$N$424+$N$425-$N$426,HLOOKUP(INDIRECT(ADDRESS(2,COLUMN())),OFFSET($BN$2,0,0,ROW()-1,60),ROW()-1,FALSE))</f>
        <v>159.64099999999999</v>
      </c>
      <c r="O374">
        <f ca="1">IF(AND($B$419=1,LEN($O$424) * LEN($O$425) * LEN($O$426)&gt;0),$O$424+$O$425-$O$426,HLOOKUP(INDIRECT(ADDRESS(2,COLUMN())),OFFSET($BN$2,0,0,ROW()-1,60),ROW()-1,FALSE))</f>
        <v>141.744</v>
      </c>
      <c r="P374">
        <f ca="1">IF(AND($B$419=1,LEN($P$424) * LEN($P$425) * LEN($P$426)&gt;0),$P$424+$P$425-$P$426,HLOOKUP(INDIRECT(ADDRESS(2,COLUMN())),OFFSET($BN$2,0,0,ROW()-1,60),ROW()-1,FALSE))</f>
        <v>234.351</v>
      </c>
      <c r="Q374">
        <f ca="1">IF(AND($B$419=1,LEN($Q$424) * LEN($Q$425) * LEN($Q$426)&gt;0),$Q$424+$Q$425-$Q$426,HLOOKUP(INDIRECT(ADDRESS(2,COLUMN())),OFFSET($BN$2,0,0,ROW()-1,60),ROW()-1,FALSE))</f>
        <v>401.12900000000002</v>
      </c>
      <c r="R374">
        <f ca="1">IF(AND($B$419=1,LEN($R$424) * LEN($R$425) * LEN($R$426)&gt;0),$R$424+$R$425-$R$426,HLOOKUP(INDIRECT(ADDRESS(2,COLUMN())),OFFSET($BN$2,0,0,ROW()-1,60),ROW()-1,FALSE))</f>
        <v>568.92600000000004</v>
      </c>
      <c r="S374" t="str">
        <f ca="1">IF(AND($B$419=1,LEN($S$424) * LEN($S$425) * LEN($S$426)&gt;0),$S$424+$S$425-$S$426,HLOOKUP(INDIRECT(ADDRESS(2,COLUMN())),OFFSET($BN$2,0,0,ROW()-1,60),ROW()-1,FALSE))</f>
        <v/>
      </c>
      <c r="T374">
        <f ca="1">IF(AND($B$419=1,LEN($T$424) * LEN($T$425) * LEN($T$426)&gt;0),$T$424+$T$425-$T$426,HLOOKUP(INDIRECT(ADDRESS(2,COLUMN())),OFFSET($BN$2,0,0,ROW()-1,60),ROW()-1,FALSE))</f>
        <v>779.57899999999995</v>
      </c>
      <c r="U374">
        <f ca="1">IF(AND($B$419=1,LEN($U$424) * LEN($U$425) * LEN($U$426)&gt;0),$U$424+$U$425-$U$426,HLOOKUP(INDIRECT(ADDRESS(2,COLUMN())),OFFSET($BN$2,0,0,ROW()-1,60),ROW()-1,FALSE))</f>
        <v>755.86300000000006</v>
      </c>
      <c r="V374">
        <f ca="1">IF(AND($B$419=1,LEN($V$424) * LEN($V$425) * LEN($V$426)&gt;0),$V$424+$V$425-$V$426,HLOOKUP(INDIRECT(ADDRESS(2,COLUMN())),OFFSET($BN$2,0,0,ROW()-1,60),ROW()-1,FALSE))</f>
        <v>780.09299999999996</v>
      </c>
      <c r="W374">
        <f ca="1">IF(AND($B$419=1,LEN($W$424) * LEN($W$425) * LEN($W$426)&gt;0),$W$424+$W$425-$W$426,HLOOKUP(INDIRECT(ADDRESS(2,COLUMN())),OFFSET($BN$2,0,0,ROW()-1,60),ROW()-1,FALSE))</f>
        <v>927.21100000000001</v>
      </c>
      <c r="X374">
        <f ca="1">IF(AND($B$419=1,LEN($X$424) * LEN($X$425) * LEN($X$426)&gt;0),$X$424+$X$425-$X$426,HLOOKUP(INDIRECT(ADDRESS(2,COLUMN())),OFFSET($BN$2,0,0,ROW()-1,60),ROW()-1,FALSE))</f>
        <v>663.78200000000004</v>
      </c>
      <c r="Y374">
        <f ca="1">IF(AND($B$419=1,LEN($Y$424) * LEN($Y$425) * LEN($Y$426)&gt;0),$Y$424+$Y$425-$Y$426,HLOOKUP(INDIRECT(ADDRESS(2,COLUMN())),OFFSET($BN$2,0,0,ROW()-1,60),ROW()-1,FALSE))</f>
        <v>491.30500000000001</v>
      </c>
      <c r="Z374">
        <f ca="1">IF(AND($B$419=1,LEN($Z$424) * LEN($Z$425) * LEN($Z$426)&gt;0),$Z$424+$Z$425-$Z$426,HLOOKUP(INDIRECT(ADDRESS(2,COLUMN())),OFFSET($BN$2,0,0,ROW()-1,60),ROW()-1,FALSE))</f>
        <v>490.39400000000001</v>
      </c>
      <c r="AA374">
        <f ca="1">IF(AND($B$419=1,LEN($AA$424) * LEN($AA$425) * LEN($AA$426)&gt;0),$AA$424+$AA$425-$AA$426,HLOOKUP(INDIRECT(ADDRESS(2,COLUMN())),OFFSET($BN$2,0,0,ROW()-1,60),ROW()-1,FALSE))</f>
        <v>764.452</v>
      </c>
      <c r="AB374">
        <f ca="1">IF(AND($B$419=1,LEN($AB$424) * LEN($AB$425) * LEN($AB$426)&gt;0),$AB$424+$AB$425-$AB$426,HLOOKUP(INDIRECT(ADDRESS(2,COLUMN())),OFFSET($BN$2,0,0,ROW()-1,60),ROW()-1,FALSE))</f>
        <v>772.37699999999995</v>
      </c>
      <c r="AC374">
        <f ca="1">IF(AND($B$419=1,LEN($AC$424) * LEN($AC$425) * LEN($AC$426)&gt;0),$AC$424+$AC$425-$AC$426,HLOOKUP(INDIRECT(ADDRESS(2,COLUMN())),OFFSET($BN$2,0,0,ROW()-1,60),ROW()-1,FALSE))</f>
        <v>781.5</v>
      </c>
      <c r="AD374">
        <f ca="1">IF(AND($B$419=1,LEN($AD$424) * LEN($AD$425) * LEN($AD$426)&gt;0),$AD$424+$AD$425-$AD$426,HLOOKUP(INDIRECT(ADDRESS(2,COLUMN())),OFFSET($BN$2,0,0,ROW()-1,60),ROW()-1,FALSE))</f>
        <v>250.43199999999999</v>
      </c>
      <c r="AE374">
        <f ca="1">IF(AND($B$419=1,LEN($AE$424) * LEN($AE$425) * LEN($AE$426)&gt;0),$AE$424+$AE$425-$AE$426,HLOOKUP(INDIRECT(ADDRESS(2,COLUMN())),OFFSET($BN$2,0,0,ROW()-1,60),ROW()-1,FALSE))</f>
        <v>149.733</v>
      </c>
      <c r="AF374">
        <f ca="1">IF(AND($B$419=1,LEN($AF$424) * LEN($AF$425) * LEN($AF$426)&gt;0),$AF$424+$AF$425-$AF$426,HLOOKUP(INDIRECT(ADDRESS(2,COLUMN())),OFFSET($BN$2,0,0,ROW()-1,60),ROW()-1,FALSE))</f>
        <v>627.26199999999994</v>
      </c>
      <c r="AG374">
        <f ca="1">IF(AND($B$419=1,LEN($AG$424) * LEN($AG$425) * LEN($AG$426)&gt;0),$AG$424+$AG$425-$AG$426,HLOOKUP(INDIRECT(ADDRESS(2,COLUMN())),OFFSET($BN$2,0,0,ROW()-1,60),ROW()-1,FALSE))</f>
        <v>309.49400000000003</v>
      </c>
      <c r="AH374">
        <f ca="1">IF(AND($B$419=1,LEN($AH$424) * LEN($AH$425) * LEN($AH$426)&gt;0),$AH$424+$AH$425-$AH$426,HLOOKUP(INDIRECT(ADDRESS(2,COLUMN())),OFFSET($BN$2,0,0,ROW()-1,60),ROW()-1,FALSE))</f>
        <v>-296.16800000000001</v>
      </c>
      <c r="AI374">
        <f ca="1">IF(AND($B$419=1,LEN($AI$424) * LEN($AI$425) * LEN($AI$426)&gt;0),$AI$424+$AI$425-$AI$426,HLOOKUP(INDIRECT(ADDRESS(2,COLUMN())),OFFSET($BN$2,0,0,ROW()-1,60),ROW()-1,FALSE))</f>
        <v>-1010.047</v>
      </c>
      <c r="AJ374">
        <f ca="1">IF(AND($B$419=1,LEN($AJ$424) * LEN($AJ$425) * LEN($AJ$426)&gt;0),$AJ$424+$AJ$425-$AJ$426,HLOOKUP(INDIRECT(ADDRESS(2,COLUMN())),OFFSET($BN$2,0,0,ROW()-1,60),ROW()-1,FALSE))</f>
        <v>182.69900000000001</v>
      </c>
      <c r="AK374">
        <f ca="1">IF(AND($B$419=1,LEN($AK$424) * LEN($AK$425) * LEN($AK$426)&gt;0),$AK$424+$AK$425-$AK$426,HLOOKUP(INDIRECT(ADDRESS(2,COLUMN())),OFFSET($BN$2,0,0,ROW()-1,60),ROW()-1,FALSE))</f>
        <v>-99.566000000000003</v>
      </c>
      <c r="AL374">
        <f ca="1">IF(AND($B$419=1,LEN($AL$424) * LEN($AL$425) * LEN($AL$426)&gt;0),$AL$424+$AL$425-$AL$426,HLOOKUP(INDIRECT(ADDRESS(2,COLUMN())),OFFSET($BN$2,0,0,ROW()-1,60),ROW()-1,FALSE))</f>
        <v>-335.10300000000001</v>
      </c>
      <c r="AM374">
        <f ca="1">IF(AND($B$419=1,LEN($AM$424) * LEN($AM$425) * LEN($AM$426)&gt;0),$AM$424+$AM$425-$AM$426,HLOOKUP(INDIRECT(ADDRESS(2,COLUMN())),OFFSET($BN$2,0,0,ROW()-1,60),ROW()-1,FALSE))</f>
        <v>-651.58900000000006</v>
      </c>
      <c r="AN374">
        <f ca="1">IF(AND($B$419=1,LEN($AN$424) * LEN($AN$425) * LEN($AN$426)&gt;0),$AN$424+$AN$425-$AN$426,HLOOKUP(INDIRECT(ADDRESS(2,COLUMN())),OFFSET($BN$2,0,0,ROW()-1,60),ROW()-1,FALSE))</f>
        <v>478.96</v>
      </c>
      <c r="AO374">
        <f ca="1">IF(AND($B$419=1,LEN($AO$424) * LEN($AO$425) * LEN($AO$426)&gt;0),$AO$424+$AO$425-$AO$426,HLOOKUP(INDIRECT(ADDRESS(2,COLUMN())),OFFSET($BN$2,0,0,ROW()-1,60),ROW()-1,FALSE))</f>
        <v>236.321</v>
      </c>
      <c r="AP374">
        <f ca="1">IF(AND($B$419=1,LEN($AP$424) * LEN($AP$425) * LEN($AP$426)&gt;0),$AP$424+$AP$425-$AP$426,HLOOKUP(INDIRECT(ADDRESS(2,COLUMN())),OFFSET($BN$2,0,0,ROW()-1,60),ROW()-1,FALSE))</f>
        <v>-917.35400000000004</v>
      </c>
      <c r="AQ374">
        <f ca="1">IF(AND($B$419=1,LEN($AQ$424) * LEN($AQ$425) * LEN($AQ$426)&gt;0),$AQ$424+$AQ$425-$AQ$426,HLOOKUP(INDIRECT(ADDRESS(2,COLUMN())),OFFSET($BN$2,0,0,ROW()-1,60),ROW()-1,FALSE))</f>
        <v>-1249.5260000000001</v>
      </c>
      <c r="AR374" t="str">
        <f ca="1">IF(AND($B$419=1,LEN($AR$424) * LEN($AR$425) * LEN($AR$426)&gt;0),$AR$424+$AR$425-$AR$426,HLOOKUP(INDIRECT(ADDRESS(2,COLUMN())),OFFSET($BN$2,0,0,ROW()-1,60),ROW()-1,FALSE))</f>
        <v/>
      </c>
      <c r="AS374" t="str">
        <f ca="1">IF(AND($B$419=1,LEN($AS$424) * LEN($AS$425) * LEN($AS$426)&gt;0),$AS$424+$AS$425-$AS$426,HLOOKUP(INDIRECT(ADDRESS(2,COLUMN())),OFFSET($BN$2,0,0,ROW()-1,60),ROW()-1,FALSE))</f>
        <v/>
      </c>
      <c r="AT374" t="str">
        <f ca="1">IF(AND($B$419=1,LEN($AT$424) * LEN($AT$425) * LEN($AT$426)&gt;0),$AT$424+$AT$425-$AT$426,HLOOKUP(INDIRECT(ADDRESS(2,COLUMN())),OFFSET($BN$2,0,0,ROW()-1,60),ROW()-1,FALSE))</f>
        <v/>
      </c>
      <c r="AU374">
        <f ca="1">IF(AND($B$419=1,LEN($AU$424) * LEN($AU$425) * LEN($AU$426)&gt;0),$AU$424+$AU$425-$AU$426,HLOOKUP(INDIRECT(ADDRESS(2,COLUMN())),OFFSET($BN$2,0,0,ROW()-1,60),ROW()-1,FALSE))</f>
        <v>-891.22500000000002</v>
      </c>
      <c r="AV374" t="str">
        <f ca="1">IF(AND($B$419=1,LEN($AV$424) * LEN($AV$425) * LEN($AV$426)&gt;0),$AV$424+$AV$425-$AV$426,HLOOKUP(INDIRECT(ADDRESS(2,COLUMN())),OFFSET($BN$2,0,0,ROW()-1,60),ROW()-1,FALSE))</f>
        <v/>
      </c>
      <c r="AW374" t="str">
        <f ca="1">IF(AND($B$419=1,LEN($AW$424) * LEN($AW$425) * LEN($AW$426)&gt;0),$AW$424+$AW$425-$AW$426,HLOOKUP(INDIRECT(ADDRESS(2,COLUMN())),OFFSET($BN$2,0,0,ROW()-1,60),ROW()-1,FALSE))</f>
        <v/>
      </c>
      <c r="AX374" t="str">
        <f ca="1">IF(AND($B$419=1,LEN($AX$424) * LEN($AX$425) * LEN($AX$426)&gt;0),$AX$424+$AX$425-$AX$426,HLOOKUP(INDIRECT(ADDRESS(2,COLUMN())),OFFSET($BN$2,0,0,ROW()-1,60),ROW()-1,FALSE))</f>
        <v/>
      </c>
      <c r="AY374">
        <f ca="1">IF(AND($B$419=1,LEN($AY$424) * LEN($AY$425) * LEN($AY$426)&gt;0),$AY$424+$AY$425-$AY$426,HLOOKUP(INDIRECT(ADDRESS(2,COLUMN())),OFFSET($BN$2,0,0,ROW()-1,60),ROW()-1,FALSE))</f>
        <v>549.50199999999995</v>
      </c>
      <c r="AZ374" t="str">
        <f ca="1">IF(AND($B$419=1,LEN($AZ$424) * LEN($AZ$425) * LEN($AZ$426)&gt;0),$AZ$424+$AZ$425-$AZ$426,HLOOKUP(INDIRECT(ADDRESS(2,COLUMN())),OFFSET($BN$2,0,0,ROW()-1,60),ROW()-1,FALSE))</f>
        <v/>
      </c>
      <c r="BA374" t="str">
        <f ca="1">IF(AND($B$419=1,LEN($BA$424) * LEN($BA$425) * LEN($BA$426)&gt;0),$BA$424+$BA$425-$BA$426,HLOOKUP(INDIRECT(ADDRESS(2,COLUMN())),OFFSET($BN$2,0,0,ROW()-1,60),ROW()-1,FALSE))</f>
        <v/>
      </c>
      <c r="BB374" t="str">
        <f ca="1">IF(AND($B$419=1,LEN($BB$424) * LEN($BB$425) * LEN($BB$426)&gt;0),$BB$424+$BB$425-$BB$426,HLOOKUP(INDIRECT(ADDRESS(2,COLUMN())),OFFSET($BN$2,0,0,ROW()-1,60),ROW()-1,FALSE))</f>
        <v/>
      </c>
      <c r="BC374" t="str">
        <f ca="1">IF(AND($B$419=1,LEN($BC$424) * LEN($BC$425) * LEN($BC$426)&gt;0),$BC$424+$BC$425-$BC$426,HLOOKUP(INDIRECT(ADDRESS(2,COLUMN())),OFFSET($BN$2,0,0,ROW()-1,60),ROW()-1,FALSE))</f>
        <v/>
      </c>
      <c r="BD374" t="str">
        <f ca="1">IF(AND($B$419=1,LEN($BD$424) * LEN($BD$425) * LEN($BD$426)&gt;0),$BD$424+$BD$425-$BD$426,HLOOKUP(INDIRECT(ADDRESS(2,COLUMN())),OFFSET($BN$2,0,0,ROW()-1,60),ROW()-1,FALSE))</f>
        <v/>
      </c>
      <c r="BE374" t="str">
        <f ca="1">IF(AND($B$419=1,LEN($BE$424) * LEN($BE$425) * LEN($BE$426)&gt;0),$BE$424+$BE$425-$BE$426,HLOOKUP(INDIRECT(ADDRESS(2,COLUMN())),OFFSET($BN$2,0,0,ROW()-1,60),ROW()-1,FALSE))</f>
        <v/>
      </c>
      <c r="BF374" t="str">
        <f ca="1">IF(AND($B$419=1,LEN($BF$424) * LEN($BF$425) * LEN($BF$426)&gt;0),$BF$424+$BF$425-$BF$426,HLOOKUP(INDIRECT(ADDRESS(2,COLUMN())),OFFSET($BN$2,0,0,ROW()-1,60),ROW()-1,FALSE))</f>
        <v/>
      </c>
      <c r="BG374" t="str">
        <f ca="1">IF(AND($B$419=1,LEN($BG$424) * LEN($BG$425) * LEN($BG$426)&gt;0),$BG$424+$BG$425-$BG$426,HLOOKUP(INDIRECT(ADDRESS(2,COLUMN())),OFFSET($BN$2,0,0,ROW()-1,60),ROW()-1,FALSE))</f>
        <v/>
      </c>
      <c r="BH374" t="str">
        <f ca="1">IF(AND($B$419=1,LEN($BH$424) * LEN($BH$425) * LEN($BH$426)&gt;0),$BH$424+$BH$425-$BH$426,HLOOKUP(INDIRECT(ADDRESS(2,COLUMN())),OFFSET($BN$2,0,0,ROW()-1,60),ROW()-1,FALSE))</f>
        <v/>
      </c>
      <c r="BI374" t="str">
        <f ca="1">IF(AND($B$419=1,LEN($BI$424) * LEN($BI$425) * LEN($BI$426)&gt;0),$BI$424+$BI$425-$BI$426,HLOOKUP(INDIRECT(ADDRESS(2,COLUMN())),OFFSET($BN$2,0,0,ROW()-1,60),ROW()-1,FALSE))</f>
        <v/>
      </c>
      <c r="BJ374" t="str">
        <f ca="1">IF(AND($B$419=1,LEN($BJ$424) * LEN($BJ$425) * LEN($BJ$426)&gt;0),$BJ$424+$BJ$425-$BJ$426,HLOOKUP(INDIRECT(ADDRESS(2,COLUMN())),OFFSET($BN$2,0,0,ROW()-1,60),ROW()-1,FALSE))</f>
        <v/>
      </c>
      <c r="BK374" t="str">
        <f ca="1">IF(AND($B$419=1,LEN($BK$424) * LEN($BK$425) * LEN($BK$426)&gt;0),$BK$424+$BK$425-$BK$426,HLOOKUP(INDIRECT(ADDRESS(2,COLUMN())),OFFSET($BN$2,0,0,ROW()-1,60),ROW()-1,FALSE))</f>
        <v/>
      </c>
      <c r="BL374" t="str">
        <f ca="1">IF(AND($B$419=1,LEN($BL$424) * LEN($BL$425) * LEN($BL$426)&gt;0),$BL$424+$BL$425-$BL$426,HLOOKUP(INDIRECT(ADDRESS(2,COLUMN())),OFFSET($BN$2,0,0,ROW()-1,60),ROW()-1,FALSE))</f>
        <v/>
      </c>
      <c r="BM374" t="str">
        <f ca="1">IF(AND($B$419=1,LEN($BM$424) * LEN($BM$425) * LEN($BM$426)&gt;0),$BM$424+$BM$425-$BM$426,HLOOKUP(INDIRECT(ADDRESS(2,COLUMN())),OFFSET($BN$2,0,0,ROW()-1,60),ROW()-1,FALSE))</f>
        <v/>
      </c>
      <c r="BN374" t="str">
        <f>""</f>
        <v/>
      </c>
      <c r="BO374">
        <f>371.12</f>
        <v>371.12</v>
      </c>
      <c r="BP374">
        <f>917.222</f>
        <v>917.22199999999998</v>
      </c>
      <c r="BQ374">
        <f>381.623</f>
        <v>381.62299999999999</v>
      </c>
      <c r="BR374">
        <f>303.466</f>
        <v>303.46600000000001</v>
      </c>
      <c r="BS374">
        <f>355.613</f>
        <v>355.613</v>
      </c>
      <c r="BT374">
        <f>600.369</f>
        <v>600.36900000000003</v>
      </c>
      <c r="BU374">
        <f>404.558</f>
        <v>404.55799999999999</v>
      </c>
      <c r="BV374">
        <f>159.641</f>
        <v>159.64099999999999</v>
      </c>
      <c r="BW374">
        <f>141.744</f>
        <v>141.744</v>
      </c>
      <c r="BX374">
        <f>234.351</f>
        <v>234.351</v>
      </c>
      <c r="BY374">
        <f>401.129</f>
        <v>401.12900000000002</v>
      </c>
      <c r="BZ374">
        <f>568.926</f>
        <v>568.92600000000004</v>
      </c>
      <c r="CA374" t="str">
        <f>""</f>
        <v/>
      </c>
      <c r="CB374">
        <f>779.579</f>
        <v>779.57899999999995</v>
      </c>
      <c r="CC374">
        <f>755.863</f>
        <v>755.86300000000006</v>
      </c>
      <c r="CD374">
        <f>780.093</f>
        <v>780.09299999999996</v>
      </c>
      <c r="CE374">
        <f>927.211</f>
        <v>927.21100000000001</v>
      </c>
      <c r="CF374">
        <f>663.782</f>
        <v>663.78200000000004</v>
      </c>
      <c r="CG374">
        <f>491.305</f>
        <v>491.30500000000001</v>
      </c>
      <c r="CH374">
        <f>490.394</f>
        <v>490.39400000000001</v>
      </c>
      <c r="CI374">
        <f>764.452</f>
        <v>764.452</v>
      </c>
      <c r="CJ374">
        <f>772.377</f>
        <v>772.37699999999995</v>
      </c>
      <c r="CK374">
        <f>781.5</f>
        <v>781.5</v>
      </c>
      <c r="CL374">
        <f>250.432</f>
        <v>250.43199999999999</v>
      </c>
      <c r="CM374">
        <f>149.733</f>
        <v>149.733</v>
      </c>
      <c r="CN374">
        <f>627.262</f>
        <v>627.26199999999994</v>
      </c>
      <c r="CO374">
        <f>309.494</f>
        <v>309.49400000000003</v>
      </c>
      <c r="CP374">
        <f>-296.168</f>
        <v>-296.16800000000001</v>
      </c>
      <c r="CQ374">
        <f>-1010.047</f>
        <v>-1010.047</v>
      </c>
      <c r="CR374">
        <f>182.699</f>
        <v>182.69900000000001</v>
      </c>
      <c r="CS374">
        <f>-99.566</f>
        <v>-99.566000000000003</v>
      </c>
      <c r="CT374">
        <f>-335.103</f>
        <v>-335.10300000000001</v>
      </c>
      <c r="CU374">
        <f>-651.589</f>
        <v>-651.58900000000006</v>
      </c>
      <c r="CV374">
        <f>478.96</f>
        <v>478.96</v>
      </c>
      <c r="CW374">
        <f>236.321</f>
        <v>236.321</v>
      </c>
      <c r="CX374">
        <f>-917.354</f>
        <v>-917.35400000000004</v>
      </c>
      <c r="CY374">
        <f>-1249.526</f>
        <v>-1249.5260000000001</v>
      </c>
      <c r="CZ374" t="str">
        <f>""</f>
        <v/>
      </c>
      <c r="DA374" t="str">
        <f>""</f>
        <v/>
      </c>
      <c r="DB374" t="str">
        <f>""</f>
        <v/>
      </c>
      <c r="DC374">
        <f>-891.225</f>
        <v>-891.22500000000002</v>
      </c>
      <c r="DD374" t="str">
        <f>""</f>
        <v/>
      </c>
      <c r="DE374" t="str">
        <f>""</f>
        <v/>
      </c>
      <c r="DF374" t="str">
        <f>""</f>
        <v/>
      </c>
      <c r="DG374">
        <f>549.502</f>
        <v>549.50199999999995</v>
      </c>
      <c r="DH374" t="str">
        <f>""</f>
        <v/>
      </c>
      <c r="DI374" t="str">
        <f>""</f>
        <v/>
      </c>
      <c r="DJ374" t="str">
        <f>""</f>
        <v/>
      </c>
      <c r="DK374" t="str">
        <f>""</f>
        <v/>
      </c>
      <c r="DL374" t="str">
        <f>""</f>
        <v/>
      </c>
      <c r="DM374" t="str">
        <f>""</f>
        <v/>
      </c>
      <c r="DN374" t="str">
        <f>""</f>
        <v/>
      </c>
      <c r="DO374" t="str">
        <f>""</f>
        <v/>
      </c>
      <c r="DP374" t="str">
        <f>""</f>
        <v/>
      </c>
      <c r="DQ374" t="str">
        <f>""</f>
        <v/>
      </c>
      <c r="DR374" t="str">
        <f>""</f>
        <v/>
      </c>
      <c r="DS374" t="str">
        <f>""</f>
        <v/>
      </c>
      <c r="DT374" t="str">
        <f>""</f>
        <v/>
      </c>
      <c r="DU374" t="str">
        <f>""</f>
        <v/>
      </c>
    </row>
    <row r="375" spans="1:125">
      <c r="A375" t="str">
        <f>"    DDR Corp"</f>
        <v xml:space="preserve">    DDR Corp</v>
      </c>
      <c r="B375" t="str">
        <f>"DDR US Equity"</f>
        <v>DDR US Equity</v>
      </c>
      <c r="E375" t="str">
        <f t="shared" si="69"/>
        <v>Expression</v>
      </c>
      <c r="F375" t="str">
        <f ca="1">IF(AND($B$419=1,LEN($F$427) * LEN($F$428) * LEN($F$429)&gt;0),$F$427+$F$428-$F$429,HLOOKUP(INDIRECT(ADDRESS(2,COLUMN())),OFFSET($BN$2,0,0,ROW()-1,60),ROW()-1,FALSE))</f>
        <v/>
      </c>
      <c r="G375">
        <f ca="1">IF(AND($B$419=1,LEN($G$427) * LEN($G$428) * LEN($G$429)&gt;0),$G$427+$G$428-$G$429,HLOOKUP(INDIRECT(ADDRESS(2,COLUMN())),OFFSET($BN$2,0,0,ROW()-1,60),ROW()-1,FALSE))</f>
        <v>793.73400000000004</v>
      </c>
      <c r="H375">
        <f ca="1">IF(AND($B$419=1,LEN($H$427) * LEN($H$428) * LEN($H$429)&gt;0),$H$427+$H$428-$H$429,HLOOKUP(INDIRECT(ADDRESS(2,COLUMN())),OFFSET($BN$2,0,0,ROW()-1,60),ROW()-1,FALSE))</f>
        <v>952.91800000000001</v>
      </c>
      <c r="I375">
        <f ca="1">IF(AND($B$419=1,LEN($I$427) * LEN($I$428) * LEN($I$429)&gt;0),$I$427+$I$428-$I$429,HLOOKUP(INDIRECT(ADDRESS(2,COLUMN())),OFFSET($BN$2,0,0,ROW()-1,60),ROW()-1,FALSE))</f>
        <v>1069.367</v>
      </c>
      <c r="J375">
        <f ca="1">IF(AND($B$419=1,LEN($J$427) * LEN($J$428) * LEN($J$429)&gt;0),$J$427+$J$428-$J$429,HLOOKUP(INDIRECT(ADDRESS(2,COLUMN())),OFFSET($BN$2,0,0,ROW()-1,60),ROW()-1,FALSE))</f>
        <v>101.151</v>
      </c>
      <c r="K375">
        <f ca="1">IF(AND($B$419=1,LEN($K$427) * LEN($K$428) * LEN($K$429)&gt;0),$K$427+$K$428-$K$429,HLOOKUP(INDIRECT(ADDRESS(2,COLUMN())),OFFSET($BN$2,0,0,ROW()-1,60),ROW()-1,FALSE))</f>
        <v>-294.96199999999999</v>
      </c>
      <c r="L375">
        <f ca="1">IF(AND($B$419=1,LEN($L$427) * LEN($L$428) * LEN($L$429)&gt;0),$L$427+$L$428-$L$429,HLOOKUP(INDIRECT(ADDRESS(2,COLUMN())),OFFSET($BN$2,0,0,ROW()-1,60),ROW()-1,FALSE))</f>
        <v>390.25799999999998</v>
      </c>
      <c r="M375">
        <f ca="1">IF(AND($B$419=1,LEN($M$427) * LEN($M$428) * LEN($M$429)&gt;0),$M$427+$M$428-$M$429,HLOOKUP(INDIRECT(ADDRESS(2,COLUMN())),OFFSET($BN$2,0,0,ROW()-1,60),ROW()-1,FALSE))</f>
        <v>423.28100000000001</v>
      </c>
      <c r="N375">
        <f ca="1">IF(AND($B$419=1,LEN($N$427) * LEN($N$428) * LEN($N$429)&gt;0),$N$427+$N$428-$N$429,HLOOKUP(INDIRECT(ADDRESS(2,COLUMN())),OFFSET($BN$2,0,0,ROW()-1,60),ROW()-1,FALSE))</f>
        <v>335.22</v>
      </c>
      <c r="O375">
        <f ca="1">IF(AND($B$419=1,LEN($O$427) * LEN($O$428) * LEN($O$429)&gt;0),$O$427+$O$428-$O$429,HLOOKUP(INDIRECT(ADDRESS(2,COLUMN())),OFFSET($BN$2,0,0,ROW()-1,60),ROW()-1,FALSE))</f>
        <v>201.11699999999999</v>
      </c>
      <c r="P375">
        <f ca="1">IF(AND($B$419=1,LEN($P$427) * LEN($P$428) * LEN($P$429)&gt;0),$P$427+$P$428-$P$429,HLOOKUP(INDIRECT(ADDRESS(2,COLUMN())),OFFSET($BN$2,0,0,ROW()-1,60),ROW()-1,FALSE))</f>
        <v>66.540000000000006</v>
      </c>
      <c r="Q375">
        <f ca="1">IF(AND($B$419=1,LEN($Q$427) * LEN($Q$428) * LEN($Q$429)&gt;0),$Q$427+$Q$428-$Q$429,HLOOKUP(INDIRECT(ADDRESS(2,COLUMN())),OFFSET($BN$2,0,0,ROW()-1,60),ROW()-1,FALSE))</f>
        <v>37.968000000000004</v>
      </c>
      <c r="R375">
        <f ca="1">IF(AND($B$419=1,LEN($R$427) * LEN($R$428) * LEN($R$429)&gt;0),$R$427+$R$428-$R$429,HLOOKUP(INDIRECT(ADDRESS(2,COLUMN())),OFFSET($BN$2,0,0,ROW()-1,60),ROW()-1,FALSE))</f>
        <v>-96.307000000000002</v>
      </c>
      <c r="S375">
        <f ca="1">IF(AND($B$419=1,LEN($S$427) * LEN($S$428) * LEN($S$429)&gt;0),$S$427+$S$428-$S$429,HLOOKUP(INDIRECT(ADDRESS(2,COLUMN())),OFFSET($BN$2,0,0,ROW()-1,60),ROW()-1,FALSE))</f>
        <v>-162.97800000000001</v>
      </c>
      <c r="T375" t="str">
        <f ca="1">IF(AND($B$419=1,LEN($T$427) * LEN($T$428) * LEN($T$429)&gt;0),$T$427+$T$428-$T$429,HLOOKUP(INDIRECT(ADDRESS(2,COLUMN())),OFFSET($BN$2,0,0,ROW()-1,60),ROW()-1,FALSE))</f>
        <v/>
      </c>
      <c r="U375" t="str">
        <f ca="1">IF(AND($B$419=1,LEN($U$427) * LEN($U$428) * LEN($U$429)&gt;0),$U$427+$U$428-$U$429,HLOOKUP(INDIRECT(ADDRESS(2,COLUMN())),OFFSET($BN$2,0,0,ROW()-1,60),ROW()-1,FALSE))</f>
        <v/>
      </c>
      <c r="V375" t="str">
        <f ca="1">IF(AND($B$419=1,LEN($V$427) * LEN($V$428) * LEN($V$429)&gt;0),$V$427+$V$428-$V$429,HLOOKUP(INDIRECT(ADDRESS(2,COLUMN())),OFFSET($BN$2,0,0,ROW()-1,60),ROW()-1,FALSE))</f>
        <v/>
      </c>
      <c r="W375">
        <f ca="1">IF(AND($B$419=1,LEN($W$427) * LEN($W$428) * LEN($W$429)&gt;0),$W$427+$W$428-$W$429,HLOOKUP(INDIRECT(ADDRESS(2,COLUMN())),OFFSET($BN$2,0,0,ROW()-1,60),ROW()-1,FALSE))</f>
        <v>502.13600000000002</v>
      </c>
      <c r="X375" t="str">
        <f ca="1">IF(AND($B$419=1,LEN($X$427) * LEN($X$428) * LEN($X$429)&gt;0),$X$427+$X$428-$X$429,HLOOKUP(INDIRECT(ADDRESS(2,COLUMN())),OFFSET($BN$2,0,0,ROW()-1,60),ROW()-1,FALSE))</f>
        <v/>
      </c>
      <c r="Y375" t="str">
        <f ca="1">IF(AND($B$419=1,LEN($Y$427) * LEN($Y$428) * LEN($Y$429)&gt;0),$Y$427+$Y$428-$Y$429,HLOOKUP(INDIRECT(ADDRESS(2,COLUMN())),OFFSET($BN$2,0,0,ROW()-1,60),ROW()-1,FALSE))</f>
        <v/>
      </c>
      <c r="Z375" t="str">
        <f ca="1">IF(AND($B$419=1,LEN($Z$427) * LEN($Z$428) * LEN($Z$429)&gt;0),$Z$427+$Z$428-$Z$429,HLOOKUP(INDIRECT(ADDRESS(2,COLUMN())),OFFSET($BN$2,0,0,ROW()-1,60),ROW()-1,FALSE))</f>
        <v/>
      </c>
      <c r="AA375">
        <f ca="1">IF(AND($B$419=1,LEN($AA$427) * LEN($AA$428) * LEN($AA$429)&gt;0),$AA$427+$AA$428-$AA$429,HLOOKUP(INDIRECT(ADDRESS(2,COLUMN())),OFFSET($BN$2,0,0,ROW()-1,60),ROW()-1,FALSE))</f>
        <v>603.43399999999997</v>
      </c>
      <c r="AB375" t="str">
        <f ca="1">IF(AND($B$419=1,LEN($AB$427) * LEN($AB$428) * LEN($AB$429)&gt;0),$AB$427+$AB$428-$AB$429,HLOOKUP(INDIRECT(ADDRESS(2,COLUMN())),OFFSET($BN$2,0,0,ROW()-1,60),ROW()-1,FALSE))</f>
        <v/>
      </c>
      <c r="AC375" t="str">
        <f ca="1">IF(AND($B$419=1,LEN($AC$427) * LEN($AC$428) * LEN($AC$429)&gt;0),$AC$427+$AC$428-$AC$429,HLOOKUP(INDIRECT(ADDRESS(2,COLUMN())),OFFSET($BN$2,0,0,ROW()-1,60),ROW()-1,FALSE))</f>
        <v/>
      </c>
      <c r="AD375" t="str">
        <f ca="1">IF(AND($B$419=1,LEN($AD$427) * LEN($AD$428) * LEN($AD$429)&gt;0),$AD$427+$AD$428-$AD$429,HLOOKUP(INDIRECT(ADDRESS(2,COLUMN())),OFFSET($BN$2,0,0,ROW()-1,60),ROW()-1,FALSE))</f>
        <v/>
      </c>
      <c r="AE375">
        <f ca="1">IF(AND($B$419=1,LEN($AE$427) * LEN($AE$428) * LEN($AE$429)&gt;0),$AE$427+$AE$428-$AE$429,HLOOKUP(INDIRECT(ADDRESS(2,COLUMN())),OFFSET($BN$2,0,0,ROW()-1,60),ROW()-1,FALSE))</f>
        <v>158.768</v>
      </c>
      <c r="AF375" t="str">
        <f ca="1">IF(AND($B$419=1,LEN($AF$427) * LEN($AF$428) * LEN($AF$429)&gt;0),$AF$427+$AF$428-$AF$429,HLOOKUP(INDIRECT(ADDRESS(2,COLUMN())),OFFSET($BN$2,0,0,ROW()-1,60),ROW()-1,FALSE))</f>
        <v/>
      </c>
      <c r="AG375" t="str">
        <f ca="1">IF(AND($B$419=1,LEN($AG$427) * LEN($AG$428) * LEN($AG$429)&gt;0),$AG$427+$AG$428-$AG$429,HLOOKUP(INDIRECT(ADDRESS(2,COLUMN())),OFFSET($BN$2,0,0,ROW()-1,60),ROW()-1,FALSE))</f>
        <v/>
      </c>
      <c r="AH375" t="str">
        <f ca="1">IF(AND($B$419=1,LEN($AH$427) * LEN($AH$428) * LEN($AH$429)&gt;0),$AH$427+$AH$428-$AH$429,HLOOKUP(INDIRECT(ADDRESS(2,COLUMN())),OFFSET($BN$2,0,0,ROW()-1,60),ROW()-1,FALSE))</f>
        <v/>
      </c>
      <c r="AI375">
        <f ca="1">IF(AND($B$419=1,LEN($AI$427) * LEN($AI$428) * LEN($AI$429)&gt;0),$AI$427+$AI$428-$AI$429,HLOOKUP(INDIRECT(ADDRESS(2,COLUMN())),OFFSET($BN$2,0,0,ROW()-1,60),ROW()-1,FALSE))</f>
        <v>-251.81100000000001</v>
      </c>
      <c r="AJ375" t="str">
        <f ca="1">IF(AND($B$419=1,LEN($AJ$427) * LEN($AJ$428) * LEN($AJ$429)&gt;0),$AJ$427+$AJ$428-$AJ$429,HLOOKUP(INDIRECT(ADDRESS(2,COLUMN())),OFFSET($BN$2,0,0,ROW()-1,60),ROW()-1,FALSE))</f>
        <v/>
      </c>
      <c r="AK375" t="str">
        <f ca="1">IF(AND($B$419=1,LEN($AK$427) * LEN($AK$428) * LEN($AK$429)&gt;0),$AK$427+$AK$428-$AK$429,HLOOKUP(INDIRECT(ADDRESS(2,COLUMN())),OFFSET($BN$2,0,0,ROW()-1,60),ROW()-1,FALSE))</f>
        <v/>
      </c>
      <c r="AL375" t="str">
        <f ca="1">IF(AND($B$419=1,LEN($AL$427) * LEN($AL$428) * LEN($AL$429)&gt;0),$AL$427+$AL$428-$AL$429,HLOOKUP(INDIRECT(ADDRESS(2,COLUMN())),OFFSET($BN$2,0,0,ROW()-1,60),ROW()-1,FALSE))</f>
        <v/>
      </c>
      <c r="AM375">
        <f ca="1">IF(AND($B$419=1,LEN($AM$427) * LEN($AM$428) * LEN($AM$429)&gt;0),$AM$427+$AM$428-$AM$429,HLOOKUP(INDIRECT(ADDRESS(2,COLUMN())),OFFSET($BN$2,0,0,ROW()-1,60),ROW()-1,FALSE))</f>
        <v>-909.22400000000005</v>
      </c>
      <c r="AN375" t="str">
        <f ca="1">IF(AND($B$419=1,LEN($AN$427) * LEN($AN$428) * LEN($AN$429)&gt;0),$AN$427+$AN$428-$AN$429,HLOOKUP(INDIRECT(ADDRESS(2,COLUMN())),OFFSET($BN$2,0,0,ROW()-1,60),ROW()-1,FALSE))</f>
        <v/>
      </c>
      <c r="AO375" t="str">
        <f ca="1">IF(AND($B$419=1,LEN($AO$427) * LEN($AO$428) * LEN($AO$429)&gt;0),$AO$427+$AO$428-$AO$429,HLOOKUP(INDIRECT(ADDRESS(2,COLUMN())),OFFSET($BN$2,0,0,ROW()-1,60),ROW()-1,FALSE))</f>
        <v/>
      </c>
      <c r="AP375" t="str">
        <f ca="1">IF(AND($B$419=1,LEN($AP$427) * LEN($AP$428) * LEN($AP$429)&gt;0),$AP$427+$AP$428-$AP$429,HLOOKUP(INDIRECT(ADDRESS(2,COLUMN())),OFFSET($BN$2,0,0,ROW()-1,60),ROW()-1,FALSE))</f>
        <v/>
      </c>
      <c r="AQ375">
        <f ca="1">IF(AND($B$419=1,LEN($AQ$427) * LEN($AQ$428) * LEN($AQ$429)&gt;0),$AQ$427+$AQ$428-$AQ$429,HLOOKUP(INDIRECT(ADDRESS(2,COLUMN())),OFFSET($BN$2,0,0,ROW()-1,60),ROW()-1,FALSE))</f>
        <v>-370.19071700000001</v>
      </c>
      <c r="AR375" t="str">
        <f ca="1">IF(AND($B$419=1,LEN($AR$427) * LEN($AR$428) * LEN($AR$429)&gt;0),$AR$427+$AR$428-$AR$429,HLOOKUP(INDIRECT(ADDRESS(2,COLUMN())),OFFSET($BN$2,0,0,ROW()-1,60),ROW()-1,FALSE))</f>
        <v/>
      </c>
      <c r="AS375" t="str">
        <f ca="1">IF(AND($B$419=1,LEN($AS$427) * LEN($AS$428) * LEN($AS$429)&gt;0),$AS$427+$AS$428-$AS$429,HLOOKUP(INDIRECT(ADDRESS(2,COLUMN())),OFFSET($BN$2,0,0,ROW()-1,60),ROW()-1,FALSE))</f>
        <v/>
      </c>
      <c r="AT375" t="str">
        <f ca="1">IF(AND($B$419=1,LEN($AT$427) * LEN($AT$428) * LEN($AT$429)&gt;0),$AT$427+$AT$428-$AT$429,HLOOKUP(INDIRECT(ADDRESS(2,COLUMN())),OFFSET($BN$2,0,0,ROW()-1,60),ROW()-1,FALSE))</f>
        <v/>
      </c>
      <c r="AU375" t="str">
        <f ca="1">IF(AND($B$419=1,LEN($AU$427) * LEN($AU$428) * LEN($AU$429)&gt;0),$AU$427+$AU$428-$AU$429,HLOOKUP(INDIRECT(ADDRESS(2,COLUMN())),OFFSET($BN$2,0,0,ROW()-1,60),ROW()-1,FALSE))</f>
        <v/>
      </c>
      <c r="AV375" t="str">
        <f ca="1">IF(AND($B$419=1,LEN($AV$427) * LEN($AV$428) * LEN($AV$429)&gt;0),$AV$427+$AV$428-$AV$429,HLOOKUP(INDIRECT(ADDRESS(2,COLUMN())),OFFSET($BN$2,0,0,ROW()-1,60),ROW()-1,FALSE))</f>
        <v/>
      </c>
      <c r="AW375" t="str">
        <f ca="1">IF(AND($B$419=1,LEN($AW$427) * LEN($AW$428) * LEN($AW$429)&gt;0),$AW$427+$AW$428-$AW$429,HLOOKUP(INDIRECT(ADDRESS(2,COLUMN())),OFFSET($BN$2,0,0,ROW()-1,60),ROW()-1,FALSE))</f>
        <v/>
      </c>
      <c r="AX375" t="str">
        <f ca="1">IF(AND($B$419=1,LEN($AX$427) * LEN($AX$428) * LEN($AX$429)&gt;0),$AX$427+$AX$428-$AX$429,HLOOKUP(INDIRECT(ADDRESS(2,COLUMN())),OFFSET($BN$2,0,0,ROW()-1,60),ROW()-1,FALSE))</f>
        <v/>
      </c>
      <c r="AY375" t="str">
        <f ca="1">IF(AND($B$419=1,LEN($AY$427) * LEN($AY$428) * LEN($AY$429)&gt;0),$AY$427+$AY$428-$AY$429,HLOOKUP(INDIRECT(ADDRESS(2,COLUMN())),OFFSET($BN$2,0,0,ROW()-1,60),ROW()-1,FALSE))</f>
        <v/>
      </c>
      <c r="AZ375" t="str">
        <f ca="1">IF(AND($B$419=1,LEN($AZ$427) * LEN($AZ$428) * LEN($AZ$429)&gt;0),$AZ$427+$AZ$428-$AZ$429,HLOOKUP(INDIRECT(ADDRESS(2,COLUMN())),OFFSET($BN$2,0,0,ROW()-1,60),ROW()-1,FALSE))</f>
        <v/>
      </c>
      <c r="BA375" t="str">
        <f ca="1">IF(AND($B$419=1,LEN($BA$427) * LEN($BA$428) * LEN($BA$429)&gt;0),$BA$427+$BA$428-$BA$429,HLOOKUP(INDIRECT(ADDRESS(2,COLUMN())),OFFSET($BN$2,0,0,ROW()-1,60),ROW()-1,FALSE))</f>
        <v/>
      </c>
      <c r="BB375" t="str">
        <f ca="1">IF(AND($B$419=1,LEN($BB$427) * LEN($BB$428) * LEN($BB$429)&gt;0),$BB$427+$BB$428-$BB$429,HLOOKUP(INDIRECT(ADDRESS(2,COLUMN())),OFFSET($BN$2,0,0,ROW()-1,60),ROW()-1,FALSE))</f>
        <v/>
      </c>
      <c r="BC375" t="str">
        <f ca="1">IF(AND($B$419=1,LEN($BC$427) * LEN($BC$428) * LEN($BC$429)&gt;0),$BC$427+$BC$428-$BC$429,HLOOKUP(INDIRECT(ADDRESS(2,COLUMN())),OFFSET($BN$2,0,0,ROW()-1,60),ROW()-1,FALSE))</f>
        <v/>
      </c>
      <c r="BD375" t="str">
        <f ca="1">IF(AND($B$419=1,LEN($BD$427) * LEN($BD$428) * LEN($BD$429)&gt;0),$BD$427+$BD$428-$BD$429,HLOOKUP(INDIRECT(ADDRESS(2,COLUMN())),OFFSET($BN$2,0,0,ROW()-1,60),ROW()-1,FALSE))</f>
        <v/>
      </c>
      <c r="BE375" t="str">
        <f ca="1">IF(AND($B$419=1,LEN($BE$427) * LEN($BE$428) * LEN($BE$429)&gt;0),$BE$427+$BE$428-$BE$429,HLOOKUP(INDIRECT(ADDRESS(2,COLUMN())),OFFSET($BN$2,0,0,ROW()-1,60),ROW()-1,FALSE))</f>
        <v/>
      </c>
      <c r="BF375" t="str">
        <f ca="1">IF(AND($B$419=1,LEN($BF$427) * LEN($BF$428) * LEN($BF$429)&gt;0),$BF$427+$BF$428-$BF$429,HLOOKUP(INDIRECT(ADDRESS(2,COLUMN())),OFFSET($BN$2,0,0,ROW()-1,60),ROW()-1,FALSE))</f>
        <v/>
      </c>
      <c r="BG375" t="str">
        <f ca="1">IF(AND($B$419=1,LEN($BG$427) * LEN($BG$428) * LEN($BG$429)&gt;0),$BG$427+$BG$428-$BG$429,HLOOKUP(INDIRECT(ADDRESS(2,COLUMN())),OFFSET($BN$2,0,0,ROW()-1,60),ROW()-1,FALSE))</f>
        <v/>
      </c>
      <c r="BH375" t="str">
        <f ca="1">IF(AND($B$419=1,LEN($BH$427) * LEN($BH$428) * LEN($BH$429)&gt;0),$BH$427+$BH$428-$BH$429,HLOOKUP(INDIRECT(ADDRESS(2,COLUMN())),OFFSET($BN$2,0,0,ROW()-1,60),ROW()-1,FALSE))</f>
        <v/>
      </c>
      <c r="BI375" t="str">
        <f ca="1">IF(AND($B$419=1,LEN($BI$427) * LEN($BI$428) * LEN($BI$429)&gt;0),$BI$427+$BI$428-$BI$429,HLOOKUP(INDIRECT(ADDRESS(2,COLUMN())),OFFSET($BN$2,0,0,ROW()-1,60),ROW()-1,FALSE))</f>
        <v/>
      </c>
      <c r="BJ375" t="str">
        <f ca="1">IF(AND($B$419=1,LEN($BJ$427) * LEN($BJ$428) * LEN($BJ$429)&gt;0),$BJ$427+$BJ$428-$BJ$429,HLOOKUP(INDIRECT(ADDRESS(2,COLUMN())),OFFSET($BN$2,0,0,ROW()-1,60),ROW()-1,FALSE))</f>
        <v/>
      </c>
      <c r="BK375" t="str">
        <f ca="1">IF(AND($B$419=1,LEN($BK$427) * LEN($BK$428) * LEN($BK$429)&gt;0),$BK$427+$BK$428-$BK$429,HLOOKUP(INDIRECT(ADDRESS(2,COLUMN())),OFFSET($BN$2,0,0,ROW()-1,60),ROW()-1,FALSE))</f>
        <v/>
      </c>
      <c r="BL375" t="str">
        <f ca="1">IF(AND($B$419=1,LEN($BL$427) * LEN($BL$428) * LEN($BL$429)&gt;0),$BL$427+$BL$428-$BL$429,HLOOKUP(INDIRECT(ADDRESS(2,COLUMN())),OFFSET($BN$2,0,0,ROW()-1,60),ROW()-1,FALSE))</f>
        <v/>
      </c>
      <c r="BM375" t="str">
        <f ca="1">IF(AND($B$419=1,LEN($BM$427) * LEN($BM$428) * LEN($BM$429)&gt;0),$BM$427+$BM$428-$BM$429,HLOOKUP(INDIRECT(ADDRESS(2,COLUMN())),OFFSET($BN$2,0,0,ROW()-1,60),ROW()-1,FALSE))</f>
        <v/>
      </c>
      <c r="BN375" t="str">
        <f>""</f>
        <v/>
      </c>
      <c r="BO375">
        <f>793.734</f>
        <v>793.73400000000004</v>
      </c>
      <c r="BP375">
        <f>952.918</f>
        <v>952.91800000000001</v>
      </c>
      <c r="BQ375">
        <f>1069.367</f>
        <v>1069.367</v>
      </c>
      <c r="BR375">
        <f>101.151</f>
        <v>101.151</v>
      </c>
      <c r="BS375">
        <f>-294.962</f>
        <v>-294.96199999999999</v>
      </c>
      <c r="BT375">
        <f>390.258</f>
        <v>390.25799999999998</v>
      </c>
      <c r="BU375">
        <f>423.281</f>
        <v>423.28100000000001</v>
      </c>
      <c r="BV375">
        <f>335.22</f>
        <v>335.22</v>
      </c>
      <c r="BW375">
        <f>201.117</f>
        <v>201.11699999999999</v>
      </c>
      <c r="BX375">
        <f>66.54</f>
        <v>66.540000000000006</v>
      </c>
      <c r="BY375">
        <f>37.968</f>
        <v>37.968000000000004</v>
      </c>
      <c r="BZ375">
        <f>-96.307</f>
        <v>-96.307000000000002</v>
      </c>
      <c r="CA375">
        <f>-162.978</f>
        <v>-162.97800000000001</v>
      </c>
      <c r="CB375" t="str">
        <f>""</f>
        <v/>
      </c>
      <c r="CC375" t="str">
        <f>""</f>
        <v/>
      </c>
      <c r="CD375" t="str">
        <f>""</f>
        <v/>
      </c>
      <c r="CE375">
        <f>502.136</f>
        <v>502.13600000000002</v>
      </c>
      <c r="CF375" t="str">
        <f>""</f>
        <v/>
      </c>
      <c r="CG375" t="str">
        <f>""</f>
        <v/>
      </c>
      <c r="CH375" t="str">
        <f>""</f>
        <v/>
      </c>
      <c r="CI375">
        <f>603.434</f>
        <v>603.43399999999997</v>
      </c>
      <c r="CJ375" t="str">
        <f>""</f>
        <v/>
      </c>
      <c r="CK375" t="str">
        <f>""</f>
        <v/>
      </c>
      <c r="CL375" t="str">
        <f>""</f>
        <v/>
      </c>
      <c r="CM375">
        <f>158.768</f>
        <v>158.768</v>
      </c>
      <c r="CN375" t="str">
        <f>""</f>
        <v/>
      </c>
      <c r="CO375" t="str">
        <f>""</f>
        <v/>
      </c>
      <c r="CP375" t="str">
        <f>""</f>
        <v/>
      </c>
      <c r="CQ375">
        <f>-251.811</f>
        <v>-251.81100000000001</v>
      </c>
      <c r="CR375" t="str">
        <f>""</f>
        <v/>
      </c>
      <c r="CS375" t="str">
        <f>""</f>
        <v/>
      </c>
      <c r="CT375" t="str">
        <f>""</f>
        <v/>
      </c>
      <c r="CU375">
        <f>-909.224</f>
        <v>-909.22400000000005</v>
      </c>
      <c r="CV375" t="str">
        <f>""</f>
        <v/>
      </c>
      <c r="CW375" t="str">
        <f>""</f>
        <v/>
      </c>
      <c r="CX375" t="str">
        <f>""</f>
        <v/>
      </c>
      <c r="CY375">
        <f>-370.190717</f>
        <v>-370.19071700000001</v>
      </c>
      <c r="CZ375" t="str">
        <f>""</f>
        <v/>
      </c>
      <c r="DA375" t="str">
        <f>""</f>
        <v/>
      </c>
      <c r="DB375" t="str">
        <f>""</f>
        <v/>
      </c>
      <c r="DC375" t="str">
        <f>""</f>
        <v/>
      </c>
      <c r="DD375" t="str">
        <f>""</f>
        <v/>
      </c>
      <c r="DE375" t="str">
        <f>""</f>
        <v/>
      </c>
      <c r="DF375" t="str">
        <f>""</f>
        <v/>
      </c>
      <c r="DG375" t="str">
        <f>""</f>
        <v/>
      </c>
      <c r="DH375" t="str">
        <f>""</f>
        <v/>
      </c>
      <c r="DI375" t="str">
        <f>""</f>
        <v/>
      </c>
      <c r="DJ375" t="str">
        <f>""</f>
        <v/>
      </c>
      <c r="DK375" t="str">
        <f>""</f>
        <v/>
      </c>
      <c r="DL375" t="str">
        <f>""</f>
        <v/>
      </c>
      <c r="DM375" t="str">
        <f>""</f>
        <v/>
      </c>
      <c r="DN375" t="str">
        <f>""</f>
        <v/>
      </c>
      <c r="DO375" t="str">
        <f>""</f>
        <v/>
      </c>
      <c r="DP375" t="str">
        <f>""</f>
        <v/>
      </c>
      <c r="DQ375" t="str">
        <f>""</f>
        <v/>
      </c>
      <c r="DR375" t="str">
        <f>""</f>
        <v/>
      </c>
      <c r="DS375" t="str">
        <f>""</f>
        <v/>
      </c>
      <c r="DT375" t="str">
        <f>""</f>
        <v/>
      </c>
      <c r="DU375" t="str">
        <f>""</f>
        <v/>
      </c>
    </row>
    <row r="376" spans="1:125">
      <c r="A376" t="str">
        <f>"    Federal Realty Investment Trus"</f>
        <v xml:space="preserve">    Federal Realty Investment Trus</v>
      </c>
      <c r="B376" t="str">
        <f>"FRT US Equity"</f>
        <v>FRT US Equity</v>
      </c>
      <c r="E376" t="str">
        <f t="shared" si="69"/>
        <v>Expression</v>
      </c>
      <c r="F376" t="str">
        <f ca="1">IF(AND($B$419=1,LEN($F$430) * LEN($F$431) * LEN($F$432)&gt;0),$F$430+$F$431-$F$432,HLOOKUP(INDIRECT(ADDRESS(2,COLUMN())),OFFSET($BN$2,0,0,ROW()-1,60),ROW()-1,FALSE))</f>
        <v/>
      </c>
      <c r="G376">
        <f ca="1">IF(AND($B$419=1,LEN($G$430) * LEN($G$431) * LEN($G$432)&gt;0),$G$430+$G$431-$G$432,HLOOKUP(INDIRECT(ADDRESS(2,COLUMN())),OFFSET($BN$2,0,0,ROW()-1,60),ROW()-1,FALSE))</f>
        <v>523.41300000000001</v>
      </c>
      <c r="H376">
        <f ca="1">IF(AND($B$419=1,LEN($H$430) * LEN($H$431) * LEN($H$432)&gt;0),$H$430+$H$431-$H$432,HLOOKUP(INDIRECT(ADDRESS(2,COLUMN())),OFFSET($BN$2,0,0,ROW()-1,60),ROW()-1,FALSE))</f>
        <v>779.78899999999999</v>
      </c>
      <c r="I376">
        <f ca="1">IF(AND($B$419=1,LEN($I$430) * LEN($I$431) * LEN($I$432)&gt;0),$I$430+$I$431-$I$432,HLOOKUP(INDIRECT(ADDRESS(2,COLUMN())),OFFSET($BN$2,0,0,ROW()-1,60),ROW()-1,FALSE))</f>
        <v>851.47900000000004</v>
      </c>
      <c r="J376">
        <f ca="1">IF(AND($B$419=1,LEN($J$430) * LEN($J$431) * LEN($J$432)&gt;0),$J$430+$J$431-$J$432,HLOOKUP(INDIRECT(ADDRESS(2,COLUMN())),OFFSET($BN$2,0,0,ROW()-1,60),ROW()-1,FALSE))</f>
        <v>381.64299999999997</v>
      </c>
      <c r="K376">
        <f ca="1">IF(AND($B$419=1,LEN($K$430) * LEN($K$431) * LEN($K$432)&gt;0),$K$430+$K$431-$K$432,HLOOKUP(INDIRECT(ADDRESS(2,COLUMN())),OFFSET($BN$2,0,0,ROW()-1,60),ROW()-1,FALSE))</f>
        <v>600.423</v>
      </c>
      <c r="L376">
        <f ca="1">IF(AND($B$419=1,LEN($L$430) * LEN($L$431) * LEN($L$432)&gt;0),$L$430+$L$431-$L$432,HLOOKUP(INDIRECT(ADDRESS(2,COLUMN())),OFFSET($BN$2,0,0,ROW()-1,60),ROW()-1,FALSE))</f>
        <v>890.57100000000003</v>
      </c>
      <c r="M376">
        <f ca="1">IF(AND($B$419=1,LEN($M$430) * LEN($M$431) * LEN($M$432)&gt;0),$M$430+$M$431-$M$432,HLOOKUP(INDIRECT(ADDRESS(2,COLUMN())),OFFSET($BN$2,0,0,ROW()-1,60),ROW()-1,FALSE))</f>
        <v>711.08399999999995</v>
      </c>
      <c r="N376">
        <f ca="1">IF(AND($B$419=1,LEN($N$430) * LEN($N$431) * LEN($N$432)&gt;0),$N$430+$N$431-$N$432,HLOOKUP(INDIRECT(ADDRESS(2,COLUMN())),OFFSET($BN$2,0,0,ROW()-1,60),ROW()-1,FALSE))</f>
        <v>518.20699999999999</v>
      </c>
      <c r="O376" t="str">
        <f ca="1">IF(AND($B$419=1,LEN($O$430) * LEN($O$431) * LEN($O$432)&gt;0),$O$430+$O$431-$O$432,HLOOKUP(INDIRECT(ADDRESS(2,COLUMN())),OFFSET($BN$2,0,0,ROW()-1,60),ROW()-1,FALSE))</f>
        <v/>
      </c>
      <c r="P376">
        <f ca="1">IF(AND($B$419=1,LEN($P$430) * LEN($P$431) * LEN($P$432)&gt;0),$P$430+$P$431-$P$432,HLOOKUP(INDIRECT(ADDRESS(2,COLUMN())),OFFSET($BN$2,0,0,ROW()-1,60),ROW()-1,FALSE))</f>
        <v>593.75400000000002</v>
      </c>
      <c r="Q376">
        <f ca="1">IF(AND($B$419=1,LEN($Q$430) * LEN($Q$431) * LEN($Q$432)&gt;0),$Q$430+$Q$431-$Q$432,HLOOKUP(INDIRECT(ADDRESS(2,COLUMN())),OFFSET($BN$2,0,0,ROW()-1,60),ROW()-1,FALSE))</f>
        <v>472.29950000000002</v>
      </c>
      <c r="R376">
        <f ca="1">IF(AND($B$419=1,LEN($R$430) * LEN($R$431) * LEN($R$432)&gt;0),$R$430+$R$431-$R$432,HLOOKUP(INDIRECT(ADDRESS(2,COLUMN())),OFFSET($BN$2,0,0,ROW()-1,60),ROW()-1,FALSE))</f>
        <v>419.21300000000002</v>
      </c>
      <c r="S376">
        <f ca="1">IF(AND($B$419=1,LEN($S$430) * LEN($S$431) * LEN($S$432)&gt;0),$S$430+$S$431-$S$432,HLOOKUP(INDIRECT(ADDRESS(2,COLUMN())),OFFSET($BN$2,0,0,ROW()-1,60),ROW()-1,FALSE))</f>
        <v>494.15600000000001</v>
      </c>
      <c r="T376">
        <f ca="1">IF(AND($B$419=1,LEN($T$430) * LEN($T$431) * LEN($T$432)&gt;0),$T$430+$T$431-$T$432,HLOOKUP(INDIRECT(ADDRESS(2,COLUMN())),OFFSET($BN$2,0,0,ROW()-1,60),ROW()-1,FALSE))</f>
        <v>610.20299999999997</v>
      </c>
      <c r="U376">
        <f ca="1">IF(AND($B$419=1,LEN($U$430) * LEN($U$431) * LEN($U$432)&gt;0),$U$430+$U$431-$U$432,HLOOKUP(INDIRECT(ADDRESS(2,COLUMN())),OFFSET($BN$2,0,0,ROW()-1,60),ROW()-1,FALSE))</f>
        <v>635.79</v>
      </c>
      <c r="V376">
        <f ca="1">IF(AND($B$419=1,LEN($V$430) * LEN($V$431) * LEN($V$432)&gt;0),$V$430+$V$431-$V$432,HLOOKUP(INDIRECT(ADDRESS(2,COLUMN())),OFFSET($BN$2,0,0,ROW()-1,60),ROW()-1,FALSE))</f>
        <v>625.56299999999999</v>
      </c>
      <c r="W376">
        <f ca="1">IF(AND($B$419=1,LEN($W$430) * LEN($W$431) * LEN($W$432)&gt;0),$W$430+$W$431-$W$432,HLOOKUP(INDIRECT(ADDRESS(2,COLUMN())),OFFSET($BN$2,0,0,ROW()-1,60),ROW()-1,FALSE))</f>
        <v>576.65099999999995</v>
      </c>
      <c r="X376">
        <f ca="1">IF(AND($B$419=1,LEN($X$430) * LEN($X$431) * LEN($X$432)&gt;0),$X$430+$X$431-$X$432,HLOOKUP(INDIRECT(ADDRESS(2,COLUMN())),OFFSET($BN$2,0,0,ROW()-1,60),ROW()-1,FALSE))</f>
        <v>724.80799999999999</v>
      </c>
      <c r="Y376">
        <f ca="1">IF(AND($B$419=1,LEN($Y$430) * LEN($Y$431) * LEN($Y$432)&gt;0),$Y$430+$Y$431-$Y$432,HLOOKUP(INDIRECT(ADDRESS(2,COLUMN())),OFFSET($BN$2,0,0,ROW()-1,60),ROW()-1,FALSE))</f>
        <v>702.16399999999999</v>
      </c>
      <c r="Z376">
        <f ca="1">IF(AND($B$419=1,LEN($Z$430) * LEN($Z$431) * LEN($Z$432)&gt;0),$Z$430+$Z$431-$Z$432,HLOOKUP(INDIRECT(ADDRESS(2,COLUMN())),OFFSET($BN$2,0,0,ROW()-1,60),ROW()-1,FALSE))</f>
        <v>267.73099999999999</v>
      </c>
      <c r="AA376">
        <f ca="1">IF(AND($B$419=1,LEN($AA$430) * LEN($AA$431) * LEN($AA$432)&gt;0),$AA$430+$AA$431-$AA$432,HLOOKUP(INDIRECT(ADDRESS(2,COLUMN())),OFFSET($BN$2,0,0,ROW()-1,60),ROW()-1,FALSE))</f>
        <v>261.43599999999998</v>
      </c>
      <c r="AB376">
        <f ca="1">IF(AND($B$419=1,LEN($AB$430) * LEN($AB$431) * LEN($AB$432)&gt;0),$AB$430+$AB$431-$AB$432,HLOOKUP(INDIRECT(ADDRESS(2,COLUMN())),OFFSET($BN$2,0,0,ROW()-1,60),ROW()-1,FALSE))</f>
        <v>524.55600000000004</v>
      </c>
      <c r="AC376">
        <f ca="1">IF(AND($B$419=1,LEN($AC$430) * LEN($AC$431) * LEN($AC$432)&gt;0),$AC$430+$AC$431-$AC$432,HLOOKUP(INDIRECT(ADDRESS(2,COLUMN())),OFFSET($BN$2,0,0,ROW()-1,60),ROW()-1,FALSE))</f>
        <v>291.83300000000003</v>
      </c>
      <c r="AD376">
        <f ca="1">IF(AND($B$419=1,LEN($AD$430) * LEN($AD$431) * LEN($AD$432)&gt;0),$AD$430+$AD$431-$AD$432,HLOOKUP(INDIRECT(ADDRESS(2,COLUMN())),OFFSET($BN$2,0,0,ROW()-1,60),ROW()-1,FALSE))</f>
        <v>268.29300000000001</v>
      </c>
      <c r="AE376">
        <f ca="1">IF(AND($B$419=1,LEN($AE$430) * LEN($AE$431) * LEN($AE$432)&gt;0),$AE$430+$AE$431-$AE$432,HLOOKUP(INDIRECT(ADDRESS(2,COLUMN())),OFFSET($BN$2,0,0,ROW()-1,60),ROW()-1,FALSE))</f>
        <v>59.46</v>
      </c>
      <c r="AF376">
        <f ca="1">IF(AND($B$419=1,LEN($AF$430) * LEN($AF$431) * LEN($AF$432)&gt;0),$AF$430+$AF$431-$AF$432,HLOOKUP(INDIRECT(ADDRESS(2,COLUMN())),OFFSET($BN$2,0,0,ROW()-1,60),ROW()-1,FALSE))</f>
        <v>100.633</v>
      </c>
      <c r="AG376">
        <f ca="1">IF(AND($B$419=1,LEN($AG$430) * LEN($AG$431) * LEN($AG$432)&gt;0),$AG$430+$AG$431-$AG$432,HLOOKUP(INDIRECT(ADDRESS(2,COLUMN())),OFFSET($BN$2,0,0,ROW()-1,60),ROW()-1,FALSE))</f>
        <v>125.846</v>
      </c>
      <c r="AH376">
        <f ca="1">IF(AND($B$419=1,LEN($AH$430) * LEN($AH$431) * LEN($AH$432)&gt;0),$AH$430+$AH$431-$AH$432,HLOOKUP(INDIRECT(ADDRESS(2,COLUMN())),OFFSET($BN$2,0,0,ROW()-1,60),ROW()-1,FALSE))</f>
        <v>72.638000000000005</v>
      </c>
      <c r="AI376">
        <f ca="1">IF(AND($B$419=1,LEN($AI$430) * LEN($AI$431) * LEN($AI$432)&gt;0),$AI$430+$AI$431-$AI$432,HLOOKUP(INDIRECT(ADDRESS(2,COLUMN())),OFFSET($BN$2,0,0,ROW()-1,60),ROW()-1,FALSE))</f>
        <v>113.724</v>
      </c>
      <c r="AJ376">
        <f ca="1">IF(AND($B$419=1,LEN($AJ$430) * LEN($AJ$431) * LEN($AJ$432)&gt;0),$AJ$430+$AJ$431-$AJ$432,HLOOKUP(INDIRECT(ADDRESS(2,COLUMN())),OFFSET($BN$2,0,0,ROW()-1,60),ROW()-1,FALSE))</f>
        <v>279.75200000000001</v>
      </c>
      <c r="AK376">
        <f ca="1">IF(AND($B$419=1,LEN($AK$430) * LEN($AK$431) * LEN($AK$432)&gt;0),$AK$430+$AK$431-$AK$432,HLOOKUP(INDIRECT(ADDRESS(2,COLUMN())),OFFSET($BN$2,0,0,ROW()-1,60),ROW()-1,FALSE))</f>
        <v>318.54599999999999</v>
      </c>
      <c r="AL376">
        <f ca="1">IF(AND($B$419=1,LEN($AL$430) * LEN($AL$431) * LEN($AL$432)&gt;0),$AL$430+$AL$431-$AL$432,HLOOKUP(INDIRECT(ADDRESS(2,COLUMN())),OFFSET($BN$2,0,0,ROW()-1,60),ROW()-1,FALSE))</f>
        <v>314.39</v>
      </c>
      <c r="AM376" t="str">
        <f ca="1">IF(AND($B$419=1,LEN($AM$430) * LEN($AM$431) * LEN($AM$432)&gt;0),$AM$430+$AM$431-$AM$432,HLOOKUP(INDIRECT(ADDRESS(2,COLUMN())),OFFSET($BN$2,0,0,ROW()-1,60),ROW()-1,FALSE))</f>
        <v/>
      </c>
      <c r="AN376">
        <f ca="1">IF(AND($B$419=1,LEN($AN$430) * LEN($AN$431) * LEN($AN$432)&gt;0),$AN$430+$AN$431-$AN$432,HLOOKUP(INDIRECT(ADDRESS(2,COLUMN())),OFFSET($BN$2,0,0,ROW()-1,60),ROW()-1,FALSE))</f>
        <v>456.74599999999998</v>
      </c>
      <c r="AO376">
        <f ca="1">IF(AND($B$419=1,LEN($AO$430) * LEN($AO$431) * LEN($AO$432)&gt;0),$AO$430+$AO$431-$AO$432,HLOOKUP(INDIRECT(ADDRESS(2,COLUMN())),OFFSET($BN$2,0,0,ROW()-1,60),ROW()-1,FALSE))</f>
        <v>57.567</v>
      </c>
      <c r="AP376">
        <f ca="1">IF(AND($B$419=1,LEN($AP$430) * LEN($AP$431) * LEN($AP$432)&gt;0),$AP$430+$AP$431-$AP$432,HLOOKUP(INDIRECT(ADDRESS(2,COLUMN())),OFFSET($BN$2,0,0,ROW()-1,60),ROW()-1,FALSE))</f>
        <v>-600.476</v>
      </c>
      <c r="AQ376">
        <f ca="1">IF(AND($B$419=1,LEN($AQ$430) * LEN($AQ$431) * LEN($AQ$432)&gt;0),$AQ$430+$AQ$431-$AQ$432,HLOOKUP(INDIRECT(ADDRESS(2,COLUMN())),OFFSET($BN$2,0,0,ROW()-1,60),ROW()-1,FALSE))</f>
        <v>-195.81899999999999</v>
      </c>
      <c r="AR376">
        <f ca="1">IF(AND($B$419=1,LEN($AR$430) * LEN($AR$431) * LEN($AR$432)&gt;0),$AR$430+$AR$431-$AR$432,HLOOKUP(INDIRECT(ADDRESS(2,COLUMN())),OFFSET($BN$2,0,0,ROW()-1,60),ROW()-1,FALSE))</f>
        <v>214.583</v>
      </c>
      <c r="AS376">
        <f ca="1">IF(AND($B$419=1,LEN($AS$430) * LEN($AS$431) * LEN($AS$432)&gt;0),$AS$430+$AS$431-$AS$432,HLOOKUP(INDIRECT(ADDRESS(2,COLUMN())),OFFSET($BN$2,0,0,ROW()-1,60),ROW()-1,FALSE))</f>
        <v>202.95699999999999</v>
      </c>
      <c r="AT376">
        <f ca="1">IF(AND($B$419=1,LEN($AT$430) * LEN($AT$431) * LEN($AT$432)&gt;0),$AT$430+$AT$431-$AT$432,HLOOKUP(INDIRECT(ADDRESS(2,COLUMN())),OFFSET($BN$2,0,0,ROW()-1,60),ROW()-1,FALSE))</f>
        <v>-110.10599999999999</v>
      </c>
      <c r="AU376">
        <f ca="1">IF(AND($B$419=1,LEN($AU$430) * LEN($AU$431) * LEN($AU$432)&gt;0),$AU$430+$AU$431-$AU$432,HLOOKUP(INDIRECT(ADDRESS(2,COLUMN())),OFFSET($BN$2,0,0,ROW()-1,60),ROW()-1,FALSE))</f>
        <v>133.607</v>
      </c>
      <c r="AV376">
        <f ca="1">IF(AND($B$419=1,LEN($AV$430) * LEN($AV$431) * LEN($AV$432)&gt;0),$AV$430+$AV$431-$AV$432,HLOOKUP(INDIRECT(ADDRESS(2,COLUMN())),OFFSET($BN$2,0,0,ROW()-1,60),ROW()-1,FALSE))</f>
        <v>-8.94</v>
      </c>
      <c r="AW376">
        <f ca="1">IF(AND($B$419=1,LEN($AW$430) * LEN($AW$431) * LEN($AW$432)&gt;0),$AW$430+$AW$431-$AW$432,HLOOKUP(INDIRECT(ADDRESS(2,COLUMN())),OFFSET($BN$2,0,0,ROW()-1,60),ROW()-1,FALSE))</f>
        <v>158.84899999999999</v>
      </c>
      <c r="AX376">
        <f ca="1">IF(AND($B$419=1,LEN($AX$430) * LEN($AX$431) * LEN($AX$432)&gt;0),$AX$430+$AX$431-$AX$432,HLOOKUP(INDIRECT(ADDRESS(2,COLUMN())),OFFSET($BN$2,0,0,ROW()-1,60),ROW()-1,FALSE))</f>
        <v>161.45400000000001</v>
      </c>
      <c r="AY376">
        <f ca="1">IF(AND($B$419=1,LEN($AY$430) * LEN($AY$431) * LEN($AY$432)&gt;0),$AY$430+$AY$431-$AY$432,HLOOKUP(INDIRECT(ADDRESS(2,COLUMN())),OFFSET($BN$2,0,0,ROW()-1,60),ROW()-1,FALSE))</f>
        <v>58.497999999999998</v>
      </c>
      <c r="AZ376">
        <f ca="1">IF(AND($B$419=1,LEN($AZ$430) * LEN($AZ$431) * LEN($AZ$432)&gt;0),$AZ$430+$AZ$431-$AZ$432,HLOOKUP(INDIRECT(ADDRESS(2,COLUMN())),OFFSET($BN$2,0,0,ROW()-1,60),ROW()-1,FALSE))</f>
        <v>365.56299999999999</v>
      </c>
      <c r="BA376">
        <f ca="1">IF(AND($B$419=1,LEN($BA$430) * LEN($BA$431) * LEN($BA$432)&gt;0),$BA$430+$BA$431-$BA$432,HLOOKUP(INDIRECT(ADDRESS(2,COLUMN())),OFFSET($BN$2,0,0,ROW()-1,60),ROW()-1,FALSE))</f>
        <v>-83.781000000000006</v>
      </c>
      <c r="BB376">
        <f ca="1">IF(AND($B$419=1,LEN($BB$430) * LEN($BB$431) * LEN($BB$432)&gt;0),$BB$430+$BB$431-$BB$432,HLOOKUP(INDIRECT(ADDRESS(2,COLUMN())),OFFSET($BN$2,0,0,ROW()-1,60),ROW()-1,FALSE))</f>
        <v>3.95</v>
      </c>
      <c r="BC376">
        <f ca="1">IF(AND($B$419=1,LEN($BC$430) * LEN($BC$431) * LEN($BC$432)&gt;0),$BC$430+$BC$431-$BC$432,HLOOKUP(INDIRECT(ADDRESS(2,COLUMN())),OFFSET($BN$2,0,0,ROW()-1,60),ROW()-1,FALSE))</f>
        <v>53.305</v>
      </c>
      <c r="BD376">
        <f ca="1">IF(AND($B$419=1,LEN($BD$430) * LEN($BD$431) * LEN($BD$432)&gt;0),$BD$430+$BD$431-$BD$432,HLOOKUP(INDIRECT(ADDRESS(2,COLUMN())),OFFSET($BN$2,0,0,ROW()-1,60),ROW()-1,FALSE))</f>
        <v>179.886</v>
      </c>
      <c r="BE376">
        <f ca="1">IF(AND($B$419=1,LEN($BE$430) * LEN($BE$431) * LEN($BE$432)&gt;0),$BE$430+$BE$431-$BE$432,HLOOKUP(INDIRECT(ADDRESS(2,COLUMN())),OFFSET($BN$2,0,0,ROW()-1,60),ROW()-1,FALSE))</f>
        <v>418.08600000000001</v>
      </c>
      <c r="BF376">
        <f ca="1">IF(AND($B$419=1,LEN($BF$430) * LEN($BF$431) * LEN($BF$432)&gt;0),$BF$430+$BF$431-$BF$432,HLOOKUP(INDIRECT(ADDRESS(2,COLUMN())),OFFSET($BN$2,0,0,ROW()-1,60),ROW()-1,FALSE))</f>
        <v>535.14499999999998</v>
      </c>
      <c r="BG376">
        <f ca="1">IF(AND($B$419=1,LEN($BG$430) * LEN($BG$431) * LEN($BG$432)&gt;0),$BG$430+$BG$431-$BG$432,HLOOKUP(INDIRECT(ADDRESS(2,COLUMN())),OFFSET($BN$2,0,0,ROW()-1,60),ROW()-1,FALSE))</f>
        <v>187.510999</v>
      </c>
      <c r="BH376" t="str">
        <f ca="1">IF(AND($B$419=1,LEN($BH$430) * LEN($BH$431) * LEN($BH$432)&gt;0),$BH$430+$BH$431-$BH$432,HLOOKUP(INDIRECT(ADDRESS(2,COLUMN())),OFFSET($BN$2,0,0,ROW()-1,60),ROW()-1,FALSE))</f>
        <v/>
      </c>
      <c r="BI376">
        <f ca="1">IF(AND($B$419=1,LEN($BI$430) * LEN($BI$431) * LEN($BI$432)&gt;0),$BI$430+$BI$431-$BI$432,HLOOKUP(INDIRECT(ADDRESS(2,COLUMN())),OFFSET($BN$2,0,0,ROW()-1,60),ROW()-1,FALSE))</f>
        <v>266.69500099999999</v>
      </c>
      <c r="BJ376">
        <f ca="1">IF(AND($B$419=1,LEN($BJ$430) * LEN($BJ$431) * LEN($BJ$432)&gt;0),$BJ$430+$BJ$431-$BJ$432,HLOOKUP(INDIRECT(ADDRESS(2,COLUMN())),OFFSET($BN$2,0,0,ROW()-1,60),ROW()-1,FALSE))</f>
        <v>160.751</v>
      </c>
      <c r="BK376">
        <f ca="1">IF(AND($B$419=1,LEN($BK$430) * LEN($BK$431) * LEN($BK$432)&gt;0),$BK$430+$BK$431-$BK$432,HLOOKUP(INDIRECT(ADDRESS(2,COLUMN())),OFFSET($BN$2,0,0,ROW()-1,60),ROW()-1,FALSE))</f>
        <v>192.76300000000001</v>
      </c>
      <c r="BL376">
        <f ca="1">IF(AND($B$419=1,LEN($BL$430) * LEN($BL$431) * LEN($BL$432)&gt;0),$BL$430+$BL$431-$BL$432,HLOOKUP(INDIRECT(ADDRESS(2,COLUMN())),OFFSET($BN$2,0,0,ROW()-1,60),ROW()-1,FALSE))</f>
        <v>-187.733</v>
      </c>
      <c r="BM376">
        <f ca="1">IF(AND($B$419=1,LEN($BM$430) * LEN($BM$431) * LEN($BM$432)&gt;0),$BM$430+$BM$431-$BM$432,HLOOKUP(INDIRECT(ADDRESS(2,COLUMN())),OFFSET($BN$2,0,0,ROW()-1,60),ROW()-1,FALSE))</f>
        <v>-220.99199999999999</v>
      </c>
      <c r="BN376" t="str">
        <f>""</f>
        <v/>
      </c>
      <c r="BO376">
        <f>523.413</f>
        <v>523.41300000000001</v>
      </c>
      <c r="BP376">
        <f>779.789</f>
        <v>779.78899999999999</v>
      </c>
      <c r="BQ376">
        <f>851.479</f>
        <v>851.47900000000004</v>
      </c>
      <c r="BR376">
        <f>381.643</f>
        <v>381.64299999999997</v>
      </c>
      <c r="BS376">
        <f>600.423</f>
        <v>600.423</v>
      </c>
      <c r="BT376">
        <f>890.571</f>
        <v>890.57100000000003</v>
      </c>
      <c r="BU376">
        <f>711.084</f>
        <v>711.08399999999995</v>
      </c>
      <c r="BV376">
        <f>518.207</f>
        <v>518.20699999999999</v>
      </c>
      <c r="BW376" t="str">
        <f>""</f>
        <v/>
      </c>
      <c r="BX376">
        <f>593.754</f>
        <v>593.75400000000002</v>
      </c>
      <c r="BY376">
        <f>472.2995</f>
        <v>472.29950000000002</v>
      </c>
      <c r="BZ376">
        <f>419.213</f>
        <v>419.21300000000002</v>
      </c>
      <c r="CA376">
        <f>494.156</f>
        <v>494.15600000000001</v>
      </c>
      <c r="CB376">
        <f>610.203</f>
        <v>610.20299999999997</v>
      </c>
      <c r="CC376">
        <f>635.79</f>
        <v>635.79</v>
      </c>
      <c r="CD376">
        <f>625.563</f>
        <v>625.56299999999999</v>
      </c>
      <c r="CE376">
        <f>576.651</f>
        <v>576.65099999999995</v>
      </c>
      <c r="CF376">
        <f>724.808</f>
        <v>724.80799999999999</v>
      </c>
      <c r="CG376">
        <f>702.164</f>
        <v>702.16399999999999</v>
      </c>
      <c r="CH376">
        <f>267.731</f>
        <v>267.73099999999999</v>
      </c>
      <c r="CI376">
        <f>261.436</f>
        <v>261.43599999999998</v>
      </c>
      <c r="CJ376">
        <f>524.556</f>
        <v>524.55600000000004</v>
      </c>
      <c r="CK376">
        <f>291.833</f>
        <v>291.83300000000003</v>
      </c>
      <c r="CL376">
        <f>268.293</f>
        <v>268.29300000000001</v>
      </c>
      <c r="CM376">
        <f>59.46</f>
        <v>59.46</v>
      </c>
      <c r="CN376">
        <f>100.633</f>
        <v>100.633</v>
      </c>
      <c r="CO376">
        <f>125.846</f>
        <v>125.846</v>
      </c>
      <c r="CP376">
        <f>72.638</f>
        <v>72.638000000000005</v>
      </c>
      <c r="CQ376">
        <f>113.724</f>
        <v>113.724</v>
      </c>
      <c r="CR376">
        <f>279.752</f>
        <v>279.75200000000001</v>
      </c>
      <c r="CS376">
        <f>318.546</f>
        <v>318.54599999999999</v>
      </c>
      <c r="CT376">
        <f>314.39</f>
        <v>314.39</v>
      </c>
      <c r="CU376" t="str">
        <f>""</f>
        <v/>
      </c>
      <c r="CV376">
        <f>456.746</f>
        <v>456.74599999999998</v>
      </c>
      <c r="CW376">
        <f>57.567</f>
        <v>57.567</v>
      </c>
      <c r="CX376">
        <f>-600.476</f>
        <v>-600.476</v>
      </c>
      <c r="CY376">
        <f>-195.819</f>
        <v>-195.81899999999999</v>
      </c>
      <c r="CZ376">
        <f>214.583</f>
        <v>214.583</v>
      </c>
      <c r="DA376">
        <f>202.957</f>
        <v>202.95699999999999</v>
      </c>
      <c r="DB376">
        <f>-110.106</f>
        <v>-110.10599999999999</v>
      </c>
      <c r="DC376">
        <f>133.607</f>
        <v>133.607</v>
      </c>
      <c r="DD376">
        <f>-8.94</f>
        <v>-8.94</v>
      </c>
      <c r="DE376">
        <f>158.849</f>
        <v>158.84899999999999</v>
      </c>
      <c r="DF376">
        <f>161.454</f>
        <v>161.45400000000001</v>
      </c>
      <c r="DG376">
        <f>58.498</f>
        <v>58.497999999999998</v>
      </c>
      <c r="DH376">
        <f>365.563</f>
        <v>365.56299999999999</v>
      </c>
      <c r="DI376">
        <f>-83.781</f>
        <v>-83.781000000000006</v>
      </c>
      <c r="DJ376">
        <f>3.95</f>
        <v>3.95</v>
      </c>
      <c r="DK376">
        <f>53.305</f>
        <v>53.305</v>
      </c>
      <c r="DL376">
        <f>179.886</f>
        <v>179.886</v>
      </c>
      <c r="DM376">
        <f>418.086</f>
        <v>418.08600000000001</v>
      </c>
      <c r="DN376">
        <f>535.145</f>
        <v>535.14499999999998</v>
      </c>
      <c r="DO376">
        <f>187.510999</f>
        <v>187.510999</v>
      </c>
      <c r="DP376" t="str">
        <f>""</f>
        <v/>
      </c>
      <c r="DQ376">
        <f>266.695001</f>
        <v>266.69500099999999</v>
      </c>
      <c r="DR376">
        <f>160.751</f>
        <v>160.751</v>
      </c>
      <c r="DS376">
        <f>192.763</f>
        <v>192.76300000000001</v>
      </c>
      <c r="DT376">
        <f>-187.733</f>
        <v>-187.733</v>
      </c>
      <c r="DU376">
        <f>-220.992</f>
        <v>-220.99199999999999</v>
      </c>
    </row>
    <row r="377" spans="1:125">
      <c r="A377" t="str">
        <f>"    Kimco Realty Corp"</f>
        <v xml:space="preserve">    Kimco Realty Corp</v>
      </c>
      <c r="B377" t="str">
        <f>"KIM US Equity"</f>
        <v>KIM US Equity</v>
      </c>
      <c r="E377" t="str">
        <f t="shared" si="69"/>
        <v>Expression</v>
      </c>
      <c r="F377" t="str">
        <f ca="1">IF(AND($B$419=1,LEN($F$433) * LEN($F$434) * LEN($F$435)&gt;0),$F$433+$F$434-$F$435,HLOOKUP(INDIRECT(ADDRESS(2,COLUMN())),OFFSET($BN$2,0,0,ROW()-1,60),ROW()-1,FALSE))</f>
        <v/>
      </c>
      <c r="G377">
        <f ca="1">IF(AND($B$419=1,LEN($G$433) * LEN($G$434) * LEN($G$435)&gt;0),$G$433+$G$434-$G$435,HLOOKUP(INDIRECT(ADDRESS(2,COLUMN())),OFFSET($BN$2,0,0,ROW()-1,60),ROW()-1,FALSE))</f>
        <v>2402.6469999999999</v>
      </c>
      <c r="H377">
        <f ca="1">IF(AND($B$419=1,LEN($H$433) * LEN($H$434) * LEN($H$435)&gt;0),$H$433+$H$434-$H$435,HLOOKUP(INDIRECT(ADDRESS(2,COLUMN())),OFFSET($BN$2,0,0,ROW()-1,60),ROW()-1,FALSE))</f>
        <v>2273.674</v>
      </c>
      <c r="I377">
        <f ca="1">IF(AND($B$419=1,LEN($I$433) * LEN($I$434) * LEN($I$435)&gt;0),$I$433+$I$434-$I$435,HLOOKUP(INDIRECT(ADDRESS(2,COLUMN())),OFFSET($BN$2,0,0,ROW()-1,60),ROW()-1,FALSE))</f>
        <v>1487.4680000000001</v>
      </c>
      <c r="J377">
        <f ca="1">IF(AND($B$419=1,LEN($J$433) * LEN($J$434) * LEN($J$435)&gt;0),$J$433+$J$434-$J$435,HLOOKUP(INDIRECT(ADDRESS(2,COLUMN())),OFFSET($BN$2,0,0,ROW()-1,60),ROW()-1,FALSE))</f>
        <v>1643.85</v>
      </c>
      <c r="K377">
        <f ca="1">IF(AND($B$419=1,LEN($K$433) * LEN($K$434) * LEN($K$435)&gt;0),$K$433+$K$434-$K$435,HLOOKUP(INDIRECT(ADDRESS(2,COLUMN())),OFFSET($BN$2,0,0,ROW()-1,60),ROW()-1,FALSE))</f>
        <v>1553.4590000000001</v>
      </c>
      <c r="L377">
        <f ca="1">IF(AND($B$419=1,LEN($L$433) * LEN($L$434) * LEN($L$435)&gt;0),$L$433+$L$434-$L$435,HLOOKUP(INDIRECT(ADDRESS(2,COLUMN())),OFFSET($BN$2,0,0,ROW()-1,60),ROW()-1,FALSE))</f>
        <v>1546.7950000000001</v>
      </c>
      <c r="M377">
        <f ca="1">IF(AND($B$419=1,LEN($M$433) * LEN($M$434) * LEN($M$435)&gt;0),$M$433+$M$434-$M$435,HLOOKUP(INDIRECT(ADDRESS(2,COLUMN())),OFFSET($BN$2,0,0,ROW()-1,60),ROW()-1,FALSE))</f>
        <v>1749.3340000000001</v>
      </c>
      <c r="N377">
        <f ca="1">IF(AND($B$419=1,LEN($N$433) * LEN($N$434) * LEN($N$435)&gt;0),$N$433+$N$434-$N$435,HLOOKUP(INDIRECT(ADDRESS(2,COLUMN())),OFFSET($BN$2,0,0,ROW()-1,60),ROW()-1,FALSE))</f>
        <v>1450.346</v>
      </c>
      <c r="O377">
        <f ca="1">IF(AND($B$419=1,LEN($O$433) * LEN($O$434) * LEN($O$435)&gt;0),$O$433+$O$434-$O$435,HLOOKUP(INDIRECT(ADDRESS(2,COLUMN())),OFFSET($BN$2,0,0,ROW()-1,60),ROW()-1,FALSE))</f>
        <v>1151.6659999999999</v>
      </c>
      <c r="P377">
        <f ca="1">IF(AND($B$419=1,LEN($P$433) * LEN($P$434) * LEN($P$435)&gt;0),$P$433+$P$434-$P$435,HLOOKUP(INDIRECT(ADDRESS(2,COLUMN())),OFFSET($BN$2,0,0,ROW()-1,60),ROW()-1,FALSE))</f>
        <v>1312.088</v>
      </c>
      <c r="Q377">
        <f ca="1">IF(AND($B$419=1,LEN($Q$433) * LEN($Q$434) * LEN($Q$435)&gt;0),$Q$433+$Q$434-$Q$435,HLOOKUP(INDIRECT(ADDRESS(2,COLUMN())),OFFSET($BN$2,0,0,ROW()-1,60),ROW()-1,FALSE))</f>
        <v>1239.2280000000001</v>
      </c>
      <c r="R377">
        <f ca="1">IF(AND($B$419=1,LEN($R$433) * LEN($R$434) * LEN($R$435)&gt;0),$R$433+$R$434-$R$435,HLOOKUP(INDIRECT(ADDRESS(2,COLUMN())),OFFSET($BN$2,0,0,ROW()-1,60),ROW()-1,FALSE))</f>
        <v>1091.3230000000001</v>
      </c>
      <c r="S377">
        <f ca="1">IF(AND($B$419=1,LEN($S$433) * LEN($S$434) * LEN($S$435)&gt;0),$S$433+$S$434-$S$435,HLOOKUP(INDIRECT(ADDRESS(2,COLUMN())),OFFSET($BN$2,0,0,ROW()-1,60),ROW()-1,FALSE))</f>
        <v>1114.8430000000001</v>
      </c>
      <c r="T377">
        <f ca="1">IF(AND($B$419=1,LEN($T$433) * LEN($T$434) * LEN($T$435)&gt;0),$T$433+$T$434-$T$435,HLOOKUP(INDIRECT(ADDRESS(2,COLUMN())),OFFSET($BN$2,0,0,ROW()-1,60),ROW()-1,FALSE))</f>
        <v>1646.59</v>
      </c>
      <c r="U377">
        <f ca="1">IF(AND($B$419=1,LEN($U$433) * LEN($U$434) * LEN($U$435)&gt;0),$U$433+$U$434-$U$435,HLOOKUP(INDIRECT(ADDRESS(2,COLUMN())),OFFSET($BN$2,0,0,ROW()-1,60),ROW()-1,FALSE))</f>
        <v>1410.088</v>
      </c>
      <c r="V377">
        <f ca="1">IF(AND($B$419=1,LEN($V$433) * LEN($V$434) * LEN($V$435)&gt;0),$V$433+$V$434-$V$435,HLOOKUP(INDIRECT(ADDRESS(2,COLUMN())),OFFSET($BN$2,0,0,ROW()-1,60),ROW()-1,FALSE))</f>
        <v>1330.8109999999999</v>
      </c>
      <c r="W377">
        <f ca="1">IF(AND($B$419=1,LEN($W$433) * LEN($W$434) * LEN($W$435)&gt;0),$W$433+$W$434-$W$435,HLOOKUP(INDIRECT(ADDRESS(2,COLUMN())),OFFSET($BN$2,0,0,ROW()-1,60),ROW()-1,FALSE))</f>
        <v>962.07600000000002</v>
      </c>
      <c r="X377">
        <f ca="1">IF(AND($B$419=1,LEN($X$433) * LEN($X$434) * LEN($X$435)&gt;0),$X$433+$X$434-$X$435,HLOOKUP(INDIRECT(ADDRESS(2,COLUMN())),OFFSET($BN$2,0,0,ROW()-1,60),ROW()-1,FALSE))</f>
        <v>1894.73</v>
      </c>
      <c r="Y377">
        <f ca="1">IF(AND($B$419=1,LEN($Y$433) * LEN($Y$434) * LEN($Y$435)&gt;0),$Y$433+$Y$434-$Y$435,HLOOKUP(INDIRECT(ADDRESS(2,COLUMN())),OFFSET($BN$2,0,0,ROW()-1,60),ROW()-1,FALSE))</f>
        <v>1356.75</v>
      </c>
      <c r="Z377">
        <f ca="1">IF(AND($B$419=1,LEN($Z$433) * LEN($Z$434) * LEN($Z$435)&gt;0),$Z$433+$Z$434-$Z$435,HLOOKUP(INDIRECT(ADDRESS(2,COLUMN())),OFFSET($BN$2,0,0,ROW()-1,60),ROW()-1,FALSE))</f>
        <v>971.69399999999996</v>
      </c>
      <c r="AA377">
        <f ca="1">IF(AND($B$419=1,LEN($AA$433) * LEN($AA$434) * LEN($AA$435)&gt;0),$AA$433+$AA$434-$AA$435,HLOOKUP(INDIRECT(ADDRESS(2,COLUMN())),OFFSET($BN$2,0,0,ROW()-1,60),ROW()-1,FALSE))</f>
        <v>974.17499999999995</v>
      </c>
      <c r="AB377">
        <f ca="1">IF(AND($B$419=1,LEN($AB$433) * LEN($AB$434) * LEN($AB$435)&gt;0),$AB$433+$AB$434-$AB$435,HLOOKUP(INDIRECT(ADDRESS(2,COLUMN())),OFFSET($BN$2,0,0,ROW()-1,60),ROW()-1,FALSE))</f>
        <v>1910.6289999999999</v>
      </c>
      <c r="AC377">
        <f ca="1">IF(AND($B$419=1,LEN($AC$433) * LEN($AC$434) * LEN($AC$435)&gt;0),$AC$433+$AC$434-$AC$435,HLOOKUP(INDIRECT(ADDRESS(2,COLUMN())),OFFSET($BN$2,0,0,ROW()-1,60),ROW()-1,FALSE))</f>
        <v>1844.029</v>
      </c>
      <c r="AD377">
        <f ca="1">IF(AND($B$419=1,LEN($AD$433) * LEN($AD$434) * LEN($AD$435)&gt;0),$AD$433+$AD$434-$AD$435,HLOOKUP(INDIRECT(ADDRESS(2,COLUMN())),OFFSET($BN$2,0,0,ROW()-1,60),ROW()-1,FALSE))</f>
        <v>1599.1</v>
      </c>
      <c r="AE377">
        <f ca="1">IF(AND($B$419=1,LEN($AE$433) * LEN($AE$434) * LEN($AE$435)&gt;0),$AE$433+$AE$434-$AE$435,HLOOKUP(INDIRECT(ADDRESS(2,COLUMN())),OFFSET($BN$2,0,0,ROW()-1,60),ROW()-1,FALSE))</f>
        <v>1173.482</v>
      </c>
      <c r="AF377">
        <f ca="1">IF(AND($B$419=1,LEN($AF$433) * LEN($AF$434) * LEN($AF$435)&gt;0),$AF$433+$AF$434-$AF$435,HLOOKUP(INDIRECT(ADDRESS(2,COLUMN())),OFFSET($BN$2,0,0,ROW()-1,60),ROW()-1,FALSE))</f>
        <v>1515.8979999999999</v>
      </c>
      <c r="AG377">
        <f ca="1">IF(AND($B$419=1,LEN($AG$433) * LEN($AG$434) * LEN($AG$435)&gt;0),$AG$433+$AG$434-$AG$435,HLOOKUP(INDIRECT(ADDRESS(2,COLUMN())),OFFSET($BN$2,0,0,ROW()-1,60),ROW()-1,FALSE))</f>
        <v>1504.4670000000001</v>
      </c>
      <c r="AH377">
        <f ca="1">IF(AND($B$419=1,LEN($AH$433) * LEN($AH$434) * LEN($AH$435)&gt;0),$AH$433+$AH$434-$AH$435,HLOOKUP(INDIRECT(ADDRESS(2,COLUMN())),OFFSET($BN$2,0,0,ROW()-1,60),ROW()-1,FALSE))</f>
        <v>1323.1379999999999</v>
      </c>
      <c r="AI377">
        <f ca="1">IF(AND($B$419=1,LEN($AI$433) * LEN($AI$434) * LEN($AI$435)&gt;0),$AI$433+$AI$434-$AI$435,HLOOKUP(INDIRECT(ADDRESS(2,COLUMN())),OFFSET($BN$2,0,0,ROW()-1,60),ROW()-1,FALSE))</f>
        <v>1529.454</v>
      </c>
      <c r="AJ377">
        <f ca="1">IF(AND($B$419=1,LEN($AJ$433) * LEN($AJ$434) * LEN($AJ$435)&gt;0),$AJ$433+$AJ$434-$AJ$435,HLOOKUP(INDIRECT(ADDRESS(2,COLUMN())),OFFSET($BN$2,0,0,ROW()-1,60),ROW()-1,FALSE))</f>
        <v>1494.5160000000001</v>
      </c>
      <c r="AK377">
        <f ca="1">IF(AND($B$419=1,LEN($AK$433) * LEN($AK$434) * LEN($AK$435)&gt;0),$AK$433+$AK$434-$AK$435,HLOOKUP(INDIRECT(ADDRESS(2,COLUMN())),OFFSET($BN$2,0,0,ROW()-1,60),ROW()-1,FALSE))</f>
        <v>1398.9829999999999</v>
      </c>
      <c r="AL377">
        <f ca="1">IF(AND($B$419=1,LEN($AL$433) * LEN($AL$434) * LEN($AL$435)&gt;0),$AL$433+$AL$434-$AL$435,HLOOKUP(INDIRECT(ADDRESS(2,COLUMN())),OFFSET($BN$2,0,0,ROW()-1,60),ROW()-1,FALSE))</f>
        <v>1240.2370000000001</v>
      </c>
      <c r="AM377">
        <f ca="1">IF(AND($B$419=1,LEN($AM$433) * LEN($AM$434) * LEN($AM$435)&gt;0),$AM$433+$AM$434-$AM$435,HLOOKUP(INDIRECT(ADDRESS(2,COLUMN())),OFFSET($BN$2,0,0,ROW()-1,60),ROW()-1,FALSE))</f>
        <v>1302.558</v>
      </c>
      <c r="AN377">
        <f ca="1">IF(AND($B$419=1,LEN($AN$433) * LEN($AN$434) * LEN($AN$435)&gt;0),$AN$433+$AN$434-$AN$435,HLOOKUP(INDIRECT(ADDRESS(2,COLUMN())),OFFSET($BN$2,0,0,ROW()-1,60),ROW()-1,FALSE))</f>
        <v>1489.557</v>
      </c>
      <c r="AO377">
        <f ca="1">IF(AND($B$419=1,LEN($AO$433) * LEN($AO$434) * LEN($AO$435)&gt;0),$AO$433+$AO$434-$AO$435,HLOOKUP(INDIRECT(ADDRESS(2,COLUMN())),OFFSET($BN$2,0,0,ROW()-1,60),ROW()-1,FALSE))</f>
        <v>1505.125</v>
      </c>
      <c r="AP377">
        <f ca="1">IF(AND($B$419=1,LEN($AP$433) * LEN($AP$434) * LEN($AP$435)&gt;0),$AP$433+$AP$434-$AP$435,HLOOKUP(INDIRECT(ADDRESS(2,COLUMN())),OFFSET($BN$2,0,0,ROW()-1,60),ROW()-1,FALSE))</f>
        <v>481.08199999999999</v>
      </c>
      <c r="AQ377">
        <f ca="1">IF(AND($B$419=1,LEN($AQ$433) * LEN($AQ$434) * LEN($AQ$435)&gt;0),$AQ$433+$AQ$434-$AQ$435,HLOOKUP(INDIRECT(ADDRESS(2,COLUMN())),OFFSET($BN$2,0,0,ROW()-1,60),ROW()-1,FALSE))</f>
        <v>383.97699999999998</v>
      </c>
      <c r="AR377">
        <f ca="1">IF(AND($B$419=1,LEN($AR$433) * LEN($AR$434) * LEN($AR$435)&gt;0),$AR$433+$AR$434-$AR$435,HLOOKUP(INDIRECT(ADDRESS(2,COLUMN())),OFFSET($BN$2,0,0,ROW()-1,60),ROW()-1,FALSE))</f>
        <v>1057.72</v>
      </c>
      <c r="AS377">
        <f ca="1">IF(AND($B$419=1,LEN($AS$433) * LEN($AS$434) * LEN($AS$435)&gt;0),$AS$433+$AS$434-$AS$435,HLOOKUP(INDIRECT(ADDRESS(2,COLUMN())),OFFSET($BN$2,0,0,ROW()-1,60),ROW()-1,FALSE))</f>
        <v>761.07100000000003</v>
      </c>
      <c r="AT377">
        <f ca="1">IF(AND($B$419=1,LEN($AT$433) * LEN($AT$434) * LEN($AT$435)&gt;0),$AT$433+$AT$434-$AT$435,HLOOKUP(INDIRECT(ADDRESS(2,COLUMN())),OFFSET($BN$2,0,0,ROW()-1,60),ROW()-1,FALSE))</f>
        <v>680.65200000000004</v>
      </c>
      <c r="AU377">
        <f ca="1">IF(AND($B$419=1,LEN($AU$433) * LEN($AU$434) * LEN($AU$435)&gt;0),$AU$433+$AU$434-$AU$435,HLOOKUP(INDIRECT(ADDRESS(2,COLUMN())),OFFSET($BN$2,0,0,ROW()-1,60),ROW()-1,FALSE))</f>
        <v>832.59900000000005</v>
      </c>
      <c r="AV377">
        <f ca="1">IF(AND($B$419=1,LEN($AV$433) * LEN($AV$434) * LEN($AV$435)&gt;0),$AV$433+$AV$434-$AV$435,HLOOKUP(INDIRECT(ADDRESS(2,COLUMN())),OFFSET($BN$2,0,0,ROW()-1,60),ROW()-1,FALSE))</f>
        <v>98.463999999999999</v>
      </c>
      <c r="AW377">
        <f ca="1">IF(AND($B$419=1,LEN($AW$433) * LEN($AW$434) * LEN($AW$435)&gt;0),$AW$433+$AW$434-$AW$435,HLOOKUP(INDIRECT(ADDRESS(2,COLUMN())),OFFSET($BN$2,0,0,ROW()-1,60),ROW()-1,FALSE))</f>
        <v>294.03199999999998</v>
      </c>
      <c r="AX377">
        <f ca="1">IF(AND($B$419=1,LEN($AX$433) * LEN($AX$434) * LEN($AX$435)&gt;0),$AX$433+$AX$434-$AX$435,HLOOKUP(INDIRECT(ADDRESS(2,COLUMN())),OFFSET($BN$2,0,0,ROW()-1,60),ROW()-1,FALSE))</f>
        <v>583.19299999999998</v>
      </c>
      <c r="AY377">
        <f ca="1">IF(AND($B$419=1,LEN($AY$433) * LEN($AY$434) * LEN($AY$435)&gt;0),$AY$433+$AY$434-$AY$435,HLOOKUP(INDIRECT(ADDRESS(2,COLUMN())),OFFSET($BN$2,0,0,ROW()-1,60),ROW()-1,FALSE))</f>
        <v>699.16499999999996</v>
      </c>
      <c r="AZ377">
        <f ca="1">IF(AND($B$419=1,LEN($AZ$433) * LEN($AZ$434) * LEN($AZ$435)&gt;0),$AZ$433+$AZ$434-$AZ$435,HLOOKUP(INDIRECT(ADDRESS(2,COLUMN())),OFFSET($BN$2,0,0,ROW()-1,60),ROW()-1,FALSE))</f>
        <v>460.91399999999999</v>
      </c>
      <c r="BA377">
        <f ca="1">IF(AND($B$419=1,LEN($BA$433) * LEN($BA$434) * LEN($BA$435)&gt;0),$BA$433+$BA$434-$BA$435,HLOOKUP(INDIRECT(ADDRESS(2,COLUMN())),OFFSET($BN$2,0,0,ROW()-1,60),ROW()-1,FALSE))</f>
        <v>613.31399999999996</v>
      </c>
      <c r="BB377">
        <f ca="1">IF(AND($B$419=1,LEN($BB$433) * LEN($BB$434) * LEN($BB$435)&gt;0),$BB$433+$BB$434-$BB$435,HLOOKUP(INDIRECT(ADDRESS(2,COLUMN())),OFFSET($BN$2,0,0,ROW()-1,60),ROW()-1,FALSE))</f>
        <v>715.55899999999997</v>
      </c>
      <c r="BC377" t="str">
        <f ca="1">IF(AND($B$419=1,LEN($BC$433) * LEN($BC$434) * LEN($BC$435)&gt;0),$BC$433+$BC$434-$BC$435,HLOOKUP(INDIRECT(ADDRESS(2,COLUMN())),OFFSET($BN$2,0,0,ROW()-1,60),ROW()-1,FALSE))</f>
        <v/>
      </c>
      <c r="BD377" t="str">
        <f ca="1">IF(AND($B$419=1,LEN($BD$433) * LEN($BD$434) * LEN($BD$435)&gt;0),$BD$433+$BD$434-$BD$435,HLOOKUP(INDIRECT(ADDRESS(2,COLUMN())),OFFSET($BN$2,0,0,ROW()-1,60),ROW()-1,FALSE))</f>
        <v/>
      </c>
      <c r="BE377" t="str">
        <f ca="1">IF(AND($B$419=1,LEN($BE$433) * LEN($BE$434) * LEN($BE$435)&gt;0),$BE$433+$BE$434-$BE$435,HLOOKUP(INDIRECT(ADDRESS(2,COLUMN())),OFFSET($BN$2,0,0,ROW()-1,60),ROW()-1,FALSE))</f>
        <v/>
      </c>
      <c r="BF377" t="str">
        <f ca="1">IF(AND($B$419=1,LEN($BF$433) * LEN($BF$434) * LEN($BF$435)&gt;0),$BF$433+$BF$434-$BF$435,HLOOKUP(INDIRECT(ADDRESS(2,COLUMN())),OFFSET($BN$2,0,0,ROW()-1,60),ROW()-1,FALSE))</f>
        <v/>
      </c>
      <c r="BG377" t="str">
        <f ca="1">IF(AND($B$419=1,LEN($BG$433) * LEN($BG$434) * LEN($BG$435)&gt;0),$BG$433+$BG$434-$BG$435,HLOOKUP(INDIRECT(ADDRESS(2,COLUMN())),OFFSET($BN$2,0,0,ROW()-1,60),ROW()-1,FALSE))</f>
        <v/>
      </c>
      <c r="BH377" t="str">
        <f ca="1">IF(AND($B$419=1,LEN($BH$433) * LEN($BH$434) * LEN($BH$435)&gt;0),$BH$433+$BH$434-$BH$435,HLOOKUP(INDIRECT(ADDRESS(2,COLUMN())),OFFSET($BN$2,0,0,ROW()-1,60),ROW()-1,FALSE))</f>
        <v/>
      </c>
      <c r="BI377" t="str">
        <f ca="1">IF(AND($B$419=1,LEN($BI$433) * LEN($BI$434) * LEN($BI$435)&gt;0),$BI$433+$BI$434-$BI$435,HLOOKUP(INDIRECT(ADDRESS(2,COLUMN())),OFFSET($BN$2,0,0,ROW()-1,60),ROW()-1,FALSE))</f>
        <v/>
      </c>
      <c r="BJ377" t="str">
        <f ca="1">IF(AND($B$419=1,LEN($BJ$433) * LEN($BJ$434) * LEN($BJ$435)&gt;0),$BJ$433+$BJ$434-$BJ$435,HLOOKUP(INDIRECT(ADDRESS(2,COLUMN())),OFFSET($BN$2,0,0,ROW()-1,60),ROW()-1,FALSE))</f>
        <v/>
      </c>
      <c r="BK377" t="str">
        <f ca="1">IF(AND($B$419=1,LEN($BK$433) * LEN($BK$434) * LEN($BK$435)&gt;0),$BK$433+$BK$434-$BK$435,HLOOKUP(INDIRECT(ADDRESS(2,COLUMN())),OFFSET($BN$2,0,0,ROW()-1,60),ROW()-1,FALSE))</f>
        <v/>
      </c>
      <c r="BL377" t="str">
        <f ca="1">IF(AND($B$419=1,LEN($BL$433) * LEN($BL$434) * LEN($BL$435)&gt;0),$BL$433+$BL$434-$BL$435,HLOOKUP(INDIRECT(ADDRESS(2,COLUMN())),OFFSET($BN$2,0,0,ROW()-1,60),ROW()-1,FALSE))</f>
        <v/>
      </c>
      <c r="BM377" t="str">
        <f ca="1">IF(AND($B$419=1,LEN($BM$433) * LEN($BM$434) * LEN($BM$435)&gt;0),$BM$433+$BM$434-$BM$435,HLOOKUP(INDIRECT(ADDRESS(2,COLUMN())),OFFSET($BN$2,0,0,ROW()-1,60),ROW()-1,FALSE))</f>
        <v/>
      </c>
      <c r="BN377" t="str">
        <f>""</f>
        <v/>
      </c>
      <c r="BO377">
        <f>2402.647</f>
        <v>2402.6469999999999</v>
      </c>
      <c r="BP377">
        <f>2273.674</f>
        <v>2273.674</v>
      </c>
      <c r="BQ377">
        <f>1487.468</f>
        <v>1487.4680000000001</v>
      </c>
      <c r="BR377">
        <f>1643.85</f>
        <v>1643.85</v>
      </c>
      <c r="BS377">
        <f>1553.459</f>
        <v>1553.4590000000001</v>
      </c>
      <c r="BT377">
        <f>1546.795</f>
        <v>1546.7950000000001</v>
      </c>
      <c r="BU377">
        <f>1749.334</f>
        <v>1749.3340000000001</v>
      </c>
      <c r="BV377">
        <f>1450.346</f>
        <v>1450.346</v>
      </c>
      <c r="BW377">
        <f>1151.666</f>
        <v>1151.6659999999999</v>
      </c>
      <c r="BX377">
        <f>1312.088</f>
        <v>1312.088</v>
      </c>
      <c r="BY377">
        <f>1239.228</f>
        <v>1239.2280000000001</v>
      </c>
      <c r="BZ377">
        <f>1091.323</f>
        <v>1091.3230000000001</v>
      </c>
      <c r="CA377">
        <f>1114.843</f>
        <v>1114.8430000000001</v>
      </c>
      <c r="CB377">
        <f>1646.59</f>
        <v>1646.59</v>
      </c>
      <c r="CC377">
        <f>1410.088</f>
        <v>1410.088</v>
      </c>
      <c r="CD377">
        <f>1330.811</f>
        <v>1330.8109999999999</v>
      </c>
      <c r="CE377">
        <f>962.076</f>
        <v>962.07600000000002</v>
      </c>
      <c r="CF377">
        <f>1894.73</f>
        <v>1894.73</v>
      </c>
      <c r="CG377">
        <f>1356.75</f>
        <v>1356.75</v>
      </c>
      <c r="CH377">
        <f>971.694</f>
        <v>971.69399999999996</v>
      </c>
      <c r="CI377">
        <f>974.175</f>
        <v>974.17499999999995</v>
      </c>
      <c r="CJ377">
        <f>1910.629</f>
        <v>1910.6289999999999</v>
      </c>
      <c r="CK377">
        <f>1844.029</f>
        <v>1844.029</v>
      </c>
      <c r="CL377">
        <f>1599.1</f>
        <v>1599.1</v>
      </c>
      <c r="CM377">
        <f>1173.482</f>
        <v>1173.482</v>
      </c>
      <c r="CN377">
        <f>1515.898</f>
        <v>1515.8979999999999</v>
      </c>
      <c r="CO377">
        <f>1504.467</f>
        <v>1504.4670000000001</v>
      </c>
      <c r="CP377">
        <f>1323.138</f>
        <v>1323.1379999999999</v>
      </c>
      <c r="CQ377">
        <f>1529.454</f>
        <v>1529.454</v>
      </c>
      <c r="CR377">
        <f>1494.516</f>
        <v>1494.5160000000001</v>
      </c>
      <c r="CS377">
        <f>1398.983</f>
        <v>1398.9829999999999</v>
      </c>
      <c r="CT377">
        <f>1240.237</f>
        <v>1240.2370000000001</v>
      </c>
      <c r="CU377">
        <f>1302.558</f>
        <v>1302.558</v>
      </c>
      <c r="CV377">
        <f>1489.557</f>
        <v>1489.557</v>
      </c>
      <c r="CW377">
        <f>1505.125</f>
        <v>1505.125</v>
      </c>
      <c r="CX377">
        <f>481.082</f>
        <v>481.08199999999999</v>
      </c>
      <c r="CY377">
        <f>383.977</f>
        <v>383.97699999999998</v>
      </c>
      <c r="CZ377">
        <f>1057.72</f>
        <v>1057.72</v>
      </c>
      <c r="DA377">
        <f>761.071</f>
        <v>761.07100000000003</v>
      </c>
      <c r="DB377">
        <f>680.652</f>
        <v>680.65200000000004</v>
      </c>
      <c r="DC377">
        <f>832.599</f>
        <v>832.59900000000005</v>
      </c>
      <c r="DD377">
        <f>98.464</f>
        <v>98.463999999999999</v>
      </c>
      <c r="DE377">
        <f>294.032</f>
        <v>294.03199999999998</v>
      </c>
      <c r="DF377">
        <f>583.193</f>
        <v>583.19299999999998</v>
      </c>
      <c r="DG377">
        <f>699.165</f>
        <v>699.16499999999996</v>
      </c>
      <c r="DH377">
        <f>460.914</f>
        <v>460.91399999999999</v>
      </c>
      <c r="DI377">
        <f>613.314</f>
        <v>613.31399999999996</v>
      </c>
      <c r="DJ377">
        <f>715.559</f>
        <v>715.55899999999997</v>
      </c>
      <c r="DK377" t="str">
        <f>""</f>
        <v/>
      </c>
      <c r="DL377" t="str">
        <f>""</f>
        <v/>
      </c>
      <c r="DM377" t="str">
        <f>""</f>
        <v/>
      </c>
      <c r="DN377" t="str">
        <f>""</f>
        <v/>
      </c>
      <c r="DO377" t="str">
        <f>""</f>
        <v/>
      </c>
      <c r="DP377" t="str">
        <f>""</f>
        <v/>
      </c>
      <c r="DQ377" t="str">
        <f>""</f>
        <v/>
      </c>
      <c r="DR377" t="str">
        <f>""</f>
        <v/>
      </c>
      <c r="DS377" t="str">
        <f>""</f>
        <v/>
      </c>
      <c r="DT377" t="str">
        <f>""</f>
        <v/>
      </c>
      <c r="DU377" t="str">
        <f>""</f>
        <v/>
      </c>
    </row>
    <row r="378" spans="1:125">
      <c r="A378" t="str">
        <f>"    National Retail Properties Inc"</f>
        <v xml:space="preserve">    National Retail Properties Inc</v>
      </c>
      <c r="B378" t="str">
        <f>"NNN US Equity"</f>
        <v>NNN US Equity</v>
      </c>
      <c r="E378" t="str">
        <f t="shared" si="69"/>
        <v>Expression</v>
      </c>
      <c r="F378" t="str">
        <f ca="1">IF(AND($B$419=1,LEN($F$436) * LEN($F$437) * LEN($F$438)&gt;0),$F$436+$F$437-$F$438,HLOOKUP(INDIRECT(ADDRESS(2,COLUMN())),OFFSET($BN$2,0,0,ROW()-1,60),ROW()-1,FALSE))</f>
        <v/>
      </c>
      <c r="G378">
        <f ca="1">IF(AND($B$419=1,LEN($G$436) * LEN($G$437) * LEN($G$438)&gt;0),$G$436+$G$437-$G$438,HLOOKUP(INDIRECT(ADDRESS(2,COLUMN())),OFFSET($BN$2,0,0,ROW()-1,60),ROW()-1,FALSE))</f>
        <v>780.24099999999999</v>
      </c>
      <c r="H378">
        <f ca="1">IF(AND($B$419=1,LEN($H$436) * LEN($H$437) * LEN($H$438)&gt;0),$H$436+$H$437-$H$438,HLOOKUP(INDIRECT(ADDRESS(2,COLUMN())),OFFSET($BN$2,0,0,ROW()-1,60),ROW()-1,FALSE))</f>
        <v>654.11699999999996</v>
      </c>
      <c r="I378">
        <f ca="1">IF(AND($B$419=1,LEN($I$436) * LEN($I$437) * LEN($I$438)&gt;0),$I$436+$I$437-$I$438,HLOOKUP(INDIRECT(ADDRESS(2,COLUMN())),OFFSET($BN$2,0,0,ROW()-1,60),ROW()-1,FALSE))</f>
        <v>188.685</v>
      </c>
      <c r="J378">
        <f ca="1">IF(AND($B$419=1,LEN($J$436) * LEN($J$437) * LEN($J$438)&gt;0),$J$436+$J$437-$J$438,HLOOKUP(INDIRECT(ADDRESS(2,COLUMN())),OFFSET($BN$2,0,0,ROW()-1,60),ROW()-1,FALSE))</f>
        <v>434.03500000000003</v>
      </c>
      <c r="K378">
        <f ca="1">IF(AND($B$419=1,LEN($K$436) * LEN($K$437) * LEN($K$438)&gt;0),$K$436+$K$437-$K$438,HLOOKUP(INDIRECT(ADDRESS(2,COLUMN())),OFFSET($BN$2,0,0,ROW()-1,60),ROW()-1,FALSE))</f>
        <v>623.89800000000002</v>
      </c>
      <c r="L378">
        <f ca="1">IF(AND($B$419=1,LEN($L$436) * LEN($L$437) * LEN($L$438)&gt;0),$L$436+$L$437-$L$438,HLOOKUP(INDIRECT(ADDRESS(2,COLUMN())),OFFSET($BN$2,0,0,ROW()-1,60),ROW()-1,FALSE))</f>
        <v>471.55599999999998</v>
      </c>
      <c r="M378">
        <f ca="1">IF(AND($B$419=1,LEN($M$436) * LEN($M$437) * LEN($M$438)&gt;0),$M$436+$M$437-$M$438,HLOOKUP(INDIRECT(ADDRESS(2,COLUMN())),OFFSET($BN$2,0,0,ROW()-1,60),ROW()-1,FALSE))</f>
        <v>504.73899999999998</v>
      </c>
      <c r="N378">
        <f ca="1">IF(AND($B$419=1,LEN($N$436) * LEN($N$437) * LEN($N$438)&gt;0),$N$436+$N$437-$N$438,HLOOKUP(INDIRECT(ADDRESS(2,COLUMN())),OFFSET($BN$2,0,0,ROW()-1,60),ROW()-1,FALSE))</f>
        <v>657.70100000000002</v>
      </c>
      <c r="O378">
        <f ca="1">IF(AND($B$419=1,LEN($O$436) * LEN($O$437) * LEN($O$438)&gt;0),$O$436+$O$437-$O$438,HLOOKUP(INDIRECT(ADDRESS(2,COLUMN())),OFFSET($BN$2,0,0,ROW()-1,60),ROW()-1,FALSE))</f>
        <v>578.23400000000004</v>
      </c>
      <c r="P378">
        <f ca="1">IF(AND($B$419=1,LEN($P$436) * LEN($P$437) * LEN($P$438)&gt;0),$P$436+$P$437-$P$438,HLOOKUP(INDIRECT(ADDRESS(2,COLUMN())),OFFSET($BN$2,0,0,ROW()-1,60),ROW()-1,FALSE))</f>
        <v>219.797</v>
      </c>
      <c r="Q378">
        <f ca="1">IF(AND($B$419=1,LEN($Q$436) * LEN($Q$437) * LEN($Q$438)&gt;0),$Q$436+$Q$437-$Q$438,HLOOKUP(INDIRECT(ADDRESS(2,COLUMN())),OFFSET($BN$2,0,0,ROW()-1,60),ROW()-1,FALSE))</f>
        <v>374.05900000000003</v>
      </c>
      <c r="R378">
        <f ca="1">IF(AND($B$419=1,LEN($R$436) * LEN($R$437) * LEN($R$438)&gt;0),$R$436+$R$437-$R$438,HLOOKUP(INDIRECT(ADDRESS(2,COLUMN())),OFFSET($BN$2,0,0,ROW()-1,60),ROW()-1,FALSE))</f>
        <v>461.30200000000002</v>
      </c>
      <c r="S378">
        <f ca="1">IF(AND($B$419=1,LEN($S$436) * LEN($S$437) * LEN($S$438)&gt;0),$S$436+$S$437-$S$438,HLOOKUP(INDIRECT(ADDRESS(2,COLUMN())),OFFSET($BN$2,0,0,ROW()-1,60),ROW()-1,FALSE))</f>
        <v>508.78199999999998</v>
      </c>
      <c r="T378">
        <f ca="1">IF(AND($B$419=1,LEN($T$436) * LEN($T$437) * LEN($T$438)&gt;0),$T$436+$T$437-$T$438,HLOOKUP(INDIRECT(ADDRESS(2,COLUMN())),OFFSET($BN$2,0,0,ROW()-1,60),ROW()-1,FALSE))</f>
        <v>504.58499999999998</v>
      </c>
      <c r="U378">
        <f ca="1">IF(AND($B$419=1,LEN($U$436) * LEN($U$437) * LEN($U$438)&gt;0),$U$436+$U$437-$U$438,HLOOKUP(INDIRECT(ADDRESS(2,COLUMN())),OFFSET($BN$2,0,0,ROW()-1,60),ROW()-1,FALSE))</f>
        <v>584.78300000000002</v>
      </c>
      <c r="V378">
        <f ca="1">IF(AND($B$419=1,LEN($V$436) * LEN($V$437) * LEN($V$438)&gt;0),$V$436+$V$437-$V$438,HLOOKUP(INDIRECT(ADDRESS(2,COLUMN())),OFFSET($BN$2,0,0,ROW()-1,60),ROW()-1,FALSE))</f>
        <v>263.57299999999998</v>
      </c>
      <c r="W378">
        <f ca="1">IF(AND($B$419=1,LEN($W$436) * LEN($W$437) * LEN($W$438)&gt;0),$W$436+$W$437-$W$438,HLOOKUP(INDIRECT(ADDRESS(2,COLUMN())),OFFSET($BN$2,0,0,ROW()-1,60),ROW()-1,FALSE))</f>
        <v>303.952</v>
      </c>
      <c r="X378">
        <f ca="1">IF(AND($B$419=1,LEN($X$436) * LEN($X$437) * LEN($X$438)&gt;0),$X$436+$X$437-$X$438,HLOOKUP(INDIRECT(ADDRESS(2,COLUMN())),OFFSET($BN$2,0,0,ROW()-1,60),ROW()-1,FALSE))</f>
        <v>506.24099999999999</v>
      </c>
      <c r="Y378">
        <f ca="1">IF(AND($B$419=1,LEN($Y$436) * LEN($Y$437) * LEN($Y$438)&gt;0),$Y$436+$Y$437-$Y$438,HLOOKUP(INDIRECT(ADDRESS(2,COLUMN())),OFFSET($BN$2,0,0,ROW()-1,60),ROW()-1,FALSE))</f>
        <v>513.399</v>
      </c>
      <c r="Z378">
        <f ca="1">IF(AND($B$419=1,LEN($Z$436) * LEN($Z$437) * LEN($Z$438)&gt;0),$Z$436+$Z$437-$Z$438,HLOOKUP(INDIRECT(ADDRESS(2,COLUMN())),OFFSET($BN$2,0,0,ROW()-1,60),ROW()-1,FALSE))</f>
        <v>221.10400000000001</v>
      </c>
      <c r="AA378">
        <f ca="1">IF(AND($B$419=1,LEN($AA$436) * LEN($AA$437) * LEN($AA$438)&gt;0),$AA$436+$AA$437-$AA$438,HLOOKUP(INDIRECT(ADDRESS(2,COLUMN())),OFFSET($BN$2,0,0,ROW()-1,60),ROW()-1,FALSE))</f>
        <v>90.248999999999995</v>
      </c>
      <c r="AB378">
        <f ca="1">IF(AND($B$419=1,LEN($AB$436) * LEN($AB$437) * LEN($AB$438)&gt;0),$AB$436+$AB$437-$AB$438,HLOOKUP(INDIRECT(ADDRESS(2,COLUMN())),OFFSET($BN$2,0,0,ROW()-1,60),ROW()-1,FALSE))</f>
        <v>591.17600000000004</v>
      </c>
      <c r="AC378">
        <f ca="1">IF(AND($B$419=1,LEN($AC$436) * LEN($AC$437) * LEN($AC$438)&gt;0),$AC$436+$AC$437-$AC$438,HLOOKUP(INDIRECT(ADDRESS(2,COLUMN())),OFFSET($BN$2,0,0,ROW()-1,60),ROW()-1,FALSE))</f>
        <v>291.56799999999998</v>
      </c>
      <c r="AD378">
        <f ca="1">IF(AND($B$419=1,LEN($AD$436) * LEN($AD$437) * LEN($AD$438)&gt;0),$AD$436+$AD$437-$AD$438,HLOOKUP(INDIRECT(ADDRESS(2,COLUMN())),OFFSET($BN$2,0,0,ROW()-1,60),ROW()-1,FALSE))</f>
        <v>357.83800000000002</v>
      </c>
      <c r="AE378">
        <f ca="1">IF(AND($B$419=1,LEN($AE$436) * LEN($AE$437) * LEN($AE$438)&gt;0),$AE$436+$AE$437-$AE$438,HLOOKUP(INDIRECT(ADDRESS(2,COLUMN())),OFFSET($BN$2,0,0,ROW()-1,60),ROW()-1,FALSE))</f>
        <v>317.209</v>
      </c>
      <c r="AF378">
        <f ca="1">IF(AND($B$419=1,LEN($AF$436) * LEN($AF$437) * LEN($AF$438)&gt;0),$AF$436+$AF$437-$AF$438,HLOOKUP(INDIRECT(ADDRESS(2,COLUMN())),OFFSET($BN$2,0,0,ROW()-1,60),ROW()-1,FALSE))</f>
        <v>469.39600000000002</v>
      </c>
      <c r="AG378">
        <f ca="1">IF(AND($B$419=1,LEN($AG$436) * LEN($AG$437) * LEN($AG$438)&gt;0),$AG$436+$AG$437-$AG$438,HLOOKUP(INDIRECT(ADDRESS(2,COLUMN())),OFFSET($BN$2,0,0,ROW()-1,60),ROW()-1,FALSE))</f>
        <v>95.701999999999998</v>
      </c>
      <c r="AH378">
        <f ca="1">IF(AND($B$419=1,LEN($AH$436) * LEN($AH$437) * LEN($AH$438)&gt;0),$AH$436+$AH$437-$AH$438,HLOOKUP(INDIRECT(ADDRESS(2,COLUMN())),OFFSET($BN$2,0,0,ROW()-1,60),ROW()-1,FALSE))</f>
        <v>80.042000000000002</v>
      </c>
      <c r="AI378">
        <f ca="1">IF(AND($B$419=1,LEN($AI$436) * LEN($AI$437) * LEN($AI$438)&gt;0),$AI$436+$AI$437-$AI$438,HLOOKUP(INDIRECT(ADDRESS(2,COLUMN())),OFFSET($BN$2,0,0,ROW()-1,60),ROW()-1,FALSE))</f>
        <v>103.093</v>
      </c>
      <c r="AJ378">
        <f ca="1">IF(AND($B$419=1,LEN($AJ$436) * LEN($AJ$437) * LEN($AJ$438)&gt;0),$AJ$436+$AJ$437-$AJ$438,HLOOKUP(INDIRECT(ADDRESS(2,COLUMN())),OFFSET($BN$2,0,0,ROW()-1,60),ROW()-1,FALSE))</f>
        <v>366.64600000000002</v>
      </c>
      <c r="AK378">
        <f ca="1">IF(AND($B$419=1,LEN($AK$436) * LEN($AK$437) * LEN($AK$438)&gt;0),$AK$436+$AK$437-$AK$438,HLOOKUP(INDIRECT(ADDRESS(2,COLUMN())),OFFSET($BN$2,0,0,ROW()-1,60),ROW()-1,FALSE))</f>
        <v>425.916</v>
      </c>
      <c r="AL378">
        <f ca="1">IF(AND($B$419=1,LEN($AL$436) * LEN($AL$437) * LEN($AL$438)&gt;0),$AL$436+$AL$437-$AL$438,HLOOKUP(INDIRECT(ADDRESS(2,COLUMN())),OFFSET($BN$2,0,0,ROW()-1,60),ROW()-1,FALSE))</f>
        <v>405.05099999999999</v>
      </c>
      <c r="AM378">
        <f ca="1">IF(AND($B$419=1,LEN($AM$436) * LEN($AM$437) * LEN($AM$438)&gt;0),$AM$436+$AM$437-$AM$438,HLOOKUP(INDIRECT(ADDRESS(2,COLUMN())),OFFSET($BN$2,0,0,ROW()-1,60),ROW()-1,FALSE))</f>
        <v>394.21600000000001</v>
      </c>
      <c r="AN378">
        <f ca="1">IF(AND($B$419=1,LEN($AN$436) * LEN($AN$437) * LEN($AN$438)&gt;0),$AN$436+$AN$437-$AN$438,HLOOKUP(INDIRECT(ADDRESS(2,COLUMN())),OFFSET($BN$2,0,0,ROW()-1,60),ROW()-1,FALSE))</f>
        <v>422.99200000000002</v>
      </c>
      <c r="AO378">
        <f ca="1">IF(AND($B$419=1,LEN($AO$436) * LEN($AO$437) * LEN($AO$438)&gt;0),$AO$436+$AO$437-$AO$438,HLOOKUP(INDIRECT(ADDRESS(2,COLUMN())),OFFSET($BN$2,0,0,ROW()-1,60),ROW()-1,FALSE))</f>
        <v>379.065</v>
      </c>
      <c r="AP378">
        <f ca="1">IF(AND($B$419=1,LEN($AP$436) * LEN($AP$437) * LEN($AP$438)&gt;0),$AP$436+$AP$437-$AP$438,HLOOKUP(INDIRECT(ADDRESS(2,COLUMN())),OFFSET($BN$2,0,0,ROW()-1,60),ROW()-1,FALSE))</f>
        <v>378.20499999999998</v>
      </c>
      <c r="AQ378">
        <f ca="1">IF(AND($B$419=1,LEN($AQ$436) * LEN($AQ$437) * LEN($AQ$438)&gt;0),$AQ$436+$AQ$437-$AQ$438,HLOOKUP(INDIRECT(ADDRESS(2,COLUMN())),OFFSET($BN$2,0,0,ROW()-1,60),ROW()-1,FALSE))</f>
        <v>375.125</v>
      </c>
      <c r="AR378">
        <f ca="1">IF(AND($B$419=1,LEN($AR$436) * LEN($AR$437) * LEN($AR$438)&gt;0),$AR$436+$AR$437-$AR$438,HLOOKUP(INDIRECT(ADDRESS(2,COLUMN())),OFFSET($BN$2,0,0,ROW()-1,60),ROW()-1,FALSE))</f>
        <v>349.20600000000002</v>
      </c>
      <c r="AS378">
        <f ca="1">IF(AND($B$419=1,LEN($AS$436) * LEN($AS$437) * LEN($AS$438)&gt;0),$AS$436+$AS$437-$AS$438,HLOOKUP(INDIRECT(ADDRESS(2,COLUMN())),OFFSET($BN$2,0,0,ROW()-1,60),ROW()-1,FALSE))</f>
        <v>277.06599999999997</v>
      </c>
      <c r="AT378">
        <f ca="1">IF(AND($B$419=1,LEN($AT$436) * LEN($AT$437) * LEN($AT$438)&gt;0),$AT$436+$AT$437-$AT$438,HLOOKUP(INDIRECT(ADDRESS(2,COLUMN())),OFFSET($BN$2,0,0,ROW()-1,60),ROW()-1,FALSE))</f>
        <v>287.43900000000002</v>
      </c>
      <c r="AU378">
        <f ca="1">IF(AND($B$419=1,LEN($AU$436) * LEN($AU$437) * LEN($AU$438)&gt;0),$AU$436+$AU$437-$AU$438,HLOOKUP(INDIRECT(ADDRESS(2,COLUMN())),OFFSET($BN$2,0,0,ROW()-1,60),ROW()-1,FALSE))</f>
        <v>184.50899999999999</v>
      </c>
      <c r="AV378">
        <f ca="1">IF(AND($B$419=1,LEN($AV$436) * LEN($AV$437) * LEN($AV$438)&gt;0),$AV$436+$AV$437-$AV$438,HLOOKUP(INDIRECT(ADDRESS(2,COLUMN())),OFFSET($BN$2,0,0,ROW()-1,60),ROW()-1,FALSE))</f>
        <v>396.25700000000001</v>
      </c>
      <c r="AW378">
        <f ca="1">IF(AND($B$419=1,LEN($AW$436) * LEN($AW$437) * LEN($AW$438)&gt;0),$AW$436+$AW$437-$AW$438,HLOOKUP(INDIRECT(ADDRESS(2,COLUMN())),OFFSET($BN$2,0,0,ROW()-1,60),ROW()-1,FALSE))</f>
        <v>111.905002</v>
      </c>
      <c r="AX378">
        <f ca="1">IF(AND($B$419=1,LEN($AX$436) * LEN($AX$437) * LEN($AX$438)&gt;0),$AX$436+$AX$437-$AX$438,HLOOKUP(INDIRECT(ADDRESS(2,COLUMN())),OFFSET($BN$2,0,0,ROW()-1,60),ROW()-1,FALSE))</f>
        <v>338.09899999999999</v>
      </c>
      <c r="AY378">
        <f ca="1">IF(AND($B$419=1,LEN($AY$436) * LEN($AY$437) * LEN($AY$438)&gt;0),$AY$436+$AY$437-$AY$438,HLOOKUP(INDIRECT(ADDRESS(2,COLUMN())),OFFSET($BN$2,0,0,ROW()-1,60),ROW()-1,FALSE))</f>
        <v>280.762</v>
      </c>
      <c r="AZ378">
        <f ca="1">IF(AND($B$419=1,LEN($AZ$436) * LEN($AZ$437) * LEN($AZ$438)&gt;0),$AZ$436+$AZ$437-$AZ$438,HLOOKUP(INDIRECT(ADDRESS(2,COLUMN())),OFFSET($BN$2,0,0,ROW()-1,60),ROW()-1,FALSE))</f>
        <v>85.822000000000003</v>
      </c>
      <c r="BA378">
        <f ca="1">IF(AND($B$419=1,LEN($BA$436) * LEN($BA$437) * LEN($BA$438)&gt;0),$BA$436+$BA$437-$BA$438,HLOOKUP(INDIRECT(ADDRESS(2,COLUMN())),OFFSET($BN$2,0,0,ROW()-1,60),ROW()-1,FALSE))</f>
        <v>151.766997</v>
      </c>
      <c r="BB378">
        <f ca="1">IF(AND($B$419=1,LEN($BB$436) * LEN($BB$437) * LEN($BB$438)&gt;0),$BB$436+$BB$437-$BB$438,HLOOKUP(INDIRECT(ADDRESS(2,COLUMN())),OFFSET($BN$2,0,0,ROW()-1,60),ROW()-1,FALSE))</f>
        <v>206.78800000000001</v>
      </c>
      <c r="BC378">
        <f ca="1">IF(AND($B$419=1,LEN($BC$436) * LEN($BC$437) * LEN($BC$438)&gt;0),$BC$436+$BC$437-$BC$438,HLOOKUP(INDIRECT(ADDRESS(2,COLUMN())),OFFSET($BN$2,0,0,ROW()-1,60),ROW()-1,FALSE))</f>
        <v>121.942998</v>
      </c>
      <c r="BD378">
        <f ca="1">IF(AND($B$419=1,LEN($BD$436) * LEN($BD$437) * LEN($BD$438)&gt;0),$BD$436+$BD$437-$BD$438,HLOOKUP(INDIRECT(ADDRESS(2,COLUMN())),OFFSET($BN$2,0,0,ROW()-1,60),ROW()-1,FALSE))</f>
        <v>113.39599699999999</v>
      </c>
      <c r="BE378">
        <f ca="1">IF(AND($B$419=1,LEN($BE$436) * LEN($BE$437) * LEN($BE$438)&gt;0),$BE$436+$BE$437-$BE$438,HLOOKUP(INDIRECT(ADDRESS(2,COLUMN())),OFFSET($BN$2,0,0,ROW()-1,60),ROW()-1,FALSE))</f>
        <v>154.41600299999999</v>
      </c>
      <c r="BF378">
        <f ca="1">IF(AND($B$419=1,LEN($BF$436) * LEN($BF$437) * LEN($BF$438)&gt;0),$BF$436+$BF$437-$BF$438,HLOOKUP(INDIRECT(ADDRESS(2,COLUMN())),OFFSET($BN$2,0,0,ROW()-1,60),ROW()-1,FALSE))</f>
        <v>259.07900000000001</v>
      </c>
      <c r="BG378">
        <f ca="1">IF(AND($B$419=1,LEN($BG$436) * LEN($BG$437) * LEN($BG$438)&gt;0),$BG$436+$BG$437-$BG$438,HLOOKUP(INDIRECT(ADDRESS(2,COLUMN())),OFFSET($BN$2,0,0,ROW()-1,60),ROW()-1,FALSE))</f>
        <v>204.977</v>
      </c>
      <c r="BH378" t="str">
        <f ca="1">IF(AND($B$419=1,LEN($BH$436) * LEN($BH$437) * LEN($BH$438)&gt;0),$BH$436+$BH$437-$BH$438,HLOOKUP(INDIRECT(ADDRESS(2,COLUMN())),OFFSET($BN$2,0,0,ROW()-1,60),ROW()-1,FALSE))</f>
        <v/>
      </c>
      <c r="BI378">
        <f ca="1">IF(AND($B$419=1,LEN($BI$436) * LEN($BI$437) * LEN($BI$438)&gt;0),$BI$436+$BI$437-$BI$438,HLOOKUP(INDIRECT(ADDRESS(2,COLUMN())),OFFSET($BN$2,0,0,ROW()-1,60),ROW()-1,FALSE))</f>
        <v>17.302</v>
      </c>
      <c r="BJ378" t="str">
        <f ca="1">IF(AND($B$419=1,LEN($BJ$436) * LEN($BJ$437) * LEN($BJ$438)&gt;0),$BJ$436+$BJ$437-$BJ$438,HLOOKUP(INDIRECT(ADDRESS(2,COLUMN())),OFFSET($BN$2,0,0,ROW()-1,60),ROW()-1,FALSE))</f>
        <v/>
      </c>
      <c r="BK378">
        <f ca="1">IF(AND($B$419=1,LEN($BK$436) * LEN($BK$437) * LEN($BK$438)&gt;0),$BK$436+$BK$437-$BK$438,HLOOKUP(INDIRECT(ADDRESS(2,COLUMN())),OFFSET($BN$2,0,0,ROW()-1,60),ROW()-1,FALSE))</f>
        <v>78.406000000000006</v>
      </c>
      <c r="BL378" t="str">
        <f ca="1">IF(AND($B$419=1,LEN($BL$436) * LEN($BL$437) * LEN($BL$438)&gt;0),$BL$436+$BL$437-$BL$438,HLOOKUP(INDIRECT(ADDRESS(2,COLUMN())),OFFSET($BN$2,0,0,ROW()-1,60),ROW()-1,FALSE))</f>
        <v/>
      </c>
      <c r="BM378" t="str">
        <f ca="1">IF(AND($B$419=1,LEN($BM$436) * LEN($BM$437) * LEN($BM$438)&gt;0),$BM$436+$BM$437-$BM$438,HLOOKUP(INDIRECT(ADDRESS(2,COLUMN())),OFFSET($BN$2,0,0,ROW()-1,60),ROW()-1,FALSE))</f>
        <v/>
      </c>
      <c r="BN378" t="str">
        <f>""</f>
        <v/>
      </c>
      <c r="BO378">
        <f>780.241</f>
        <v>780.24099999999999</v>
      </c>
      <c r="BP378">
        <f>654.117</f>
        <v>654.11699999999996</v>
      </c>
      <c r="BQ378">
        <f>188.685</f>
        <v>188.685</v>
      </c>
      <c r="BR378">
        <f>434.035</f>
        <v>434.03500000000003</v>
      </c>
      <c r="BS378">
        <f>623.898</f>
        <v>623.89800000000002</v>
      </c>
      <c r="BT378">
        <f>471.556</f>
        <v>471.55599999999998</v>
      </c>
      <c r="BU378">
        <f>504.739</f>
        <v>504.73899999999998</v>
      </c>
      <c r="BV378">
        <f>657.701</f>
        <v>657.70100000000002</v>
      </c>
      <c r="BW378">
        <f>578.234</f>
        <v>578.23400000000004</v>
      </c>
      <c r="BX378">
        <f>219.797</f>
        <v>219.797</v>
      </c>
      <c r="BY378">
        <f>374.059</f>
        <v>374.05900000000003</v>
      </c>
      <c r="BZ378">
        <f>461.302</f>
        <v>461.30200000000002</v>
      </c>
      <c r="CA378">
        <f>508.782</f>
        <v>508.78199999999998</v>
      </c>
      <c r="CB378">
        <f>504.585</f>
        <v>504.58499999999998</v>
      </c>
      <c r="CC378">
        <f>584.783</f>
        <v>584.78300000000002</v>
      </c>
      <c r="CD378">
        <f>263.573</f>
        <v>263.57299999999998</v>
      </c>
      <c r="CE378">
        <f>303.952</f>
        <v>303.952</v>
      </c>
      <c r="CF378">
        <f>506.241</f>
        <v>506.24099999999999</v>
      </c>
      <c r="CG378">
        <f>513.399</f>
        <v>513.399</v>
      </c>
      <c r="CH378">
        <f>221.104</f>
        <v>221.10400000000001</v>
      </c>
      <c r="CI378">
        <f>90.249</f>
        <v>90.248999999999995</v>
      </c>
      <c r="CJ378">
        <f>591.176</f>
        <v>591.17600000000004</v>
      </c>
      <c r="CK378">
        <f>291.568</f>
        <v>291.56799999999998</v>
      </c>
      <c r="CL378">
        <f>357.838</f>
        <v>357.83800000000002</v>
      </c>
      <c r="CM378">
        <f>317.209</f>
        <v>317.209</v>
      </c>
      <c r="CN378">
        <f>469.396</f>
        <v>469.39600000000002</v>
      </c>
      <c r="CO378">
        <f>95.702</f>
        <v>95.701999999999998</v>
      </c>
      <c r="CP378">
        <f>80.042</f>
        <v>80.042000000000002</v>
      </c>
      <c r="CQ378">
        <f>103.093</f>
        <v>103.093</v>
      </c>
      <c r="CR378">
        <f>366.646</f>
        <v>366.64600000000002</v>
      </c>
      <c r="CS378">
        <f>425.916</f>
        <v>425.916</v>
      </c>
      <c r="CT378">
        <f>405.051</f>
        <v>405.05099999999999</v>
      </c>
      <c r="CU378">
        <f>394.216</f>
        <v>394.21600000000001</v>
      </c>
      <c r="CV378">
        <f>422.992</f>
        <v>422.99200000000002</v>
      </c>
      <c r="CW378">
        <f>379.065</f>
        <v>379.065</v>
      </c>
      <c r="CX378">
        <f>378.205</f>
        <v>378.20499999999998</v>
      </c>
      <c r="CY378">
        <f>375.125</f>
        <v>375.125</v>
      </c>
      <c r="CZ378">
        <f>349.206</f>
        <v>349.20600000000002</v>
      </c>
      <c r="DA378">
        <f>277.066</f>
        <v>277.06599999999997</v>
      </c>
      <c r="DB378">
        <f>287.439</f>
        <v>287.43900000000002</v>
      </c>
      <c r="DC378">
        <f>184.509</f>
        <v>184.50899999999999</v>
      </c>
      <c r="DD378">
        <f>396.257</f>
        <v>396.25700000000001</v>
      </c>
      <c r="DE378">
        <f>111.905002</f>
        <v>111.905002</v>
      </c>
      <c r="DF378">
        <f>338.099</f>
        <v>338.09899999999999</v>
      </c>
      <c r="DG378">
        <f>280.762</f>
        <v>280.762</v>
      </c>
      <c r="DH378">
        <f>85.822</f>
        <v>85.822000000000003</v>
      </c>
      <c r="DI378">
        <f>151.766997</f>
        <v>151.766997</v>
      </c>
      <c r="DJ378">
        <f>206.788</f>
        <v>206.78800000000001</v>
      </c>
      <c r="DK378">
        <f>121.942998</f>
        <v>121.942998</v>
      </c>
      <c r="DL378">
        <f>113.395997</f>
        <v>113.39599699999999</v>
      </c>
      <c r="DM378">
        <f>154.416003</f>
        <v>154.41600299999999</v>
      </c>
      <c r="DN378">
        <f>259.079</f>
        <v>259.07900000000001</v>
      </c>
      <c r="DO378">
        <f>204.977</f>
        <v>204.977</v>
      </c>
      <c r="DP378" t="str">
        <f>""</f>
        <v/>
      </c>
      <c r="DQ378">
        <f>17.302</f>
        <v>17.302</v>
      </c>
      <c r="DR378" t="str">
        <f>""</f>
        <v/>
      </c>
      <c r="DS378">
        <f>78.406</f>
        <v>78.406000000000006</v>
      </c>
      <c r="DT378" t="str">
        <f>""</f>
        <v/>
      </c>
      <c r="DU378" t="str">
        <f>""</f>
        <v/>
      </c>
    </row>
    <row r="379" spans="1:125">
      <c r="A379" t="str">
        <f>"    Realty Income Corp"</f>
        <v xml:space="preserve">    Realty Income Corp</v>
      </c>
      <c r="B379" t="str">
        <f>"O US Equity"</f>
        <v>O US Equity</v>
      </c>
      <c r="E379" t="str">
        <f t="shared" si="69"/>
        <v>Expression</v>
      </c>
      <c r="F379" t="str">
        <f ca="1">IF(AND($B$419=1,LEN($F$439) * LEN($F$440) * LEN($F$441)&gt;0),$F$439+$F$440-$F$441,HLOOKUP(INDIRECT(ADDRESS(2,COLUMN())),OFFSET($BN$2,0,0,ROW()-1,60),ROW()-1,FALSE))</f>
        <v/>
      </c>
      <c r="G379">
        <f ca="1">IF(AND($B$419=1,LEN($G$439) * LEN($G$440) * LEN($G$441)&gt;0),$G$439+$G$440-$G$441,HLOOKUP(INDIRECT(ADDRESS(2,COLUMN())),OFFSET($BN$2,0,0,ROW()-1,60),ROW()-1,FALSE))</f>
        <v>1329.098</v>
      </c>
      <c r="H379">
        <f ca="1">IF(AND($B$419=1,LEN($H$439) * LEN($H$440) * LEN($H$441)&gt;0),$H$439+$H$440-$H$441,HLOOKUP(INDIRECT(ADDRESS(2,COLUMN())),OFFSET($BN$2,0,0,ROW()-1,60),ROW()-1,FALSE))</f>
        <v>1341.8989999999999</v>
      </c>
      <c r="I379">
        <f ca="1">IF(AND($B$419=1,LEN($I$439) * LEN($I$440) * LEN($I$441)&gt;0),$I$439+$I$440-$I$441,HLOOKUP(INDIRECT(ADDRESS(2,COLUMN())),OFFSET($BN$2,0,0,ROW()-1,60),ROW()-1,FALSE))</f>
        <v>1147.645</v>
      </c>
      <c r="J379">
        <f ca="1">IF(AND($B$419=1,LEN($J$439) * LEN($J$440) * LEN($J$441)&gt;0),$J$439+$J$440-$J$441,HLOOKUP(INDIRECT(ADDRESS(2,COLUMN())),OFFSET($BN$2,0,0,ROW()-1,60),ROW()-1,FALSE))</f>
        <v>751.49800000000005</v>
      </c>
      <c r="K379">
        <f ca="1">IF(AND($B$419=1,LEN($K$439) * LEN($K$440) * LEN($K$441)&gt;0),$K$439+$K$440-$K$441,HLOOKUP(INDIRECT(ADDRESS(2,COLUMN())),OFFSET($BN$2,0,0,ROW()-1,60),ROW()-1,FALSE))</f>
        <v>611.22</v>
      </c>
      <c r="L379">
        <f ca="1">IF(AND($B$419=1,LEN($L$439) * LEN($L$440) * LEN($L$441)&gt;0),$L$439+$L$440-$L$441,HLOOKUP(INDIRECT(ADDRESS(2,COLUMN())),OFFSET($BN$2,0,0,ROW()-1,60),ROW()-1,FALSE))</f>
        <v>913.50099999999998</v>
      </c>
      <c r="M379">
        <f ca="1">IF(AND($B$419=1,LEN($M$439) * LEN($M$440) * LEN($M$441)&gt;0),$M$439+$M$440-$M$441,HLOOKUP(INDIRECT(ADDRESS(2,COLUMN())),OFFSET($BN$2,0,0,ROW()-1,60),ROW()-1,FALSE))</f>
        <v>1230.643</v>
      </c>
      <c r="N379">
        <f ca="1">IF(AND($B$419=1,LEN($N$439) * LEN($N$440) * LEN($N$441)&gt;0),$N$439+$N$440-$N$441,HLOOKUP(INDIRECT(ADDRESS(2,COLUMN())),OFFSET($BN$2,0,0,ROW()-1,60),ROW()-1,FALSE))</f>
        <v>1058.9949999999999</v>
      </c>
      <c r="O379">
        <f ca="1">IF(AND($B$419=1,LEN($O$439) * LEN($O$440) * LEN($O$441)&gt;0),$O$439+$O$440-$O$441,HLOOKUP(INDIRECT(ADDRESS(2,COLUMN())),OFFSET($BN$2,0,0,ROW()-1,60),ROW()-1,FALSE))</f>
        <v>1355.194</v>
      </c>
      <c r="P379">
        <f ca="1">IF(AND($B$419=1,LEN($P$439) * LEN($P$440) * LEN($P$441)&gt;0),$P$439+$P$440-$P$441,HLOOKUP(INDIRECT(ADDRESS(2,COLUMN())),OFFSET($BN$2,0,0,ROW()-1,60),ROW()-1,FALSE))</f>
        <v>1415.174</v>
      </c>
      <c r="Q379">
        <f ca="1">IF(AND($B$419=1,LEN($Q$439) * LEN($Q$440) * LEN($Q$441)&gt;0),$Q$439+$Q$440-$Q$441,HLOOKUP(INDIRECT(ADDRESS(2,COLUMN())),OFFSET($BN$2,0,0,ROW()-1,60),ROW()-1,FALSE))</f>
        <v>1398.3409999999999</v>
      </c>
      <c r="R379">
        <f ca="1">IF(AND($B$419=1,LEN($R$439) * LEN($R$440) * LEN($R$441)&gt;0),$R$439+$R$440-$R$441,HLOOKUP(INDIRECT(ADDRESS(2,COLUMN())),OFFSET($BN$2,0,0,ROW()-1,60),ROW()-1,FALSE))</f>
        <v>923.79</v>
      </c>
      <c r="S379">
        <f ca="1">IF(AND($B$419=1,LEN($S$439) * LEN($S$440) * LEN($S$441)&gt;0),$S$439+$S$440-$S$441,HLOOKUP(INDIRECT(ADDRESS(2,COLUMN())),OFFSET($BN$2,0,0,ROW()-1,60),ROW()-1,FALSE))</f>
        <v>1164.002</v>
      </c>
      <c r="T379">
        <f ca="1">IF(AND($B$419=1,LEN($T$439) * LEN($T$440) * LEN($T$441)&gt;0),$T$439+$T$440-$T$441,HLOOKUP(INDIRECT(ADDRESS(2,COLUMN())),OFFSET($BN$2,0,0,ROW()-1,60),ROW()-1,FALSE))</f>
        <v>1469.336</v>
      </c>
      <c r="U379">
        <f ca="1">IF(AND($B$419=1,LEN($U$439) * LEN($U$440) * LEN($U$441)&gt;0),$U$439+$U$440-$U$441,HLOOKUP(INDIRECT(ADDRESS(2,COLUMN())),OFFSET($BN$2,0,0,ROW()-1,60),ROW()-1,FALSE))</f>
        <v>1381.508</v>
      </c>
      <c r="V379">
        <f ca="1">IF(AND($B$419=1,LEN($V$439) * LEN($V$440) * LEN($V$441)&gt;0),$V$439+$V$440-$V$441,HLOOKUP(INDIRECT(ADDRESS(2,COLUMN())),OFFSET($BN$2,0,0,ROW()-1,60),ROW()-1,FALSE))</f>
        <v>725.94200000000001</v>
      </c>
      <c r="W379">
        <f ca="1">IF(AND($B$419=1,LEN($W$439) * LEN($W$440) * LEN($W$441)&gt;0),$W$439+$W$440-$W$441,HLOOKUP(INDIRECT(ADDRESS(2,COLUMN())),OFFSET($BN$2,0,0,ROW()-1,60),ROW()-1,FALSE))</f>
        <v>1382.2570000000001</v>
      </c>
      <c r="X379">
        <f ca="1">IF(AND($B$419=1,LEN($X$439) * LEN($X$440) * LEN($X$441)&gt;0),$X$439+$X$440-$X$441,HLOOKUP(INDIRECT(ADDRESS(2,COLUMN())),OFFSET($BN$2,0,0,ROW()-1,60),ROW()-1,FALSE))</f>
        <v>530.86</v>
      </c>
      <c r="Y379">
        <f ca="1">IF(AND($B$419=1,LEN($Y$439) * LEN($Y$440) * LEN($Y$441)&gt;0),$Y$439+$Y$440-$Y$441,HLOOKUP(INDIRECT(ADDRESS(2,COLUMN())),OFFSET($BN$2,0,0,ROW()-1,60),ROW()-1,FALSE))</f>
        <v>321.57499999999999</v>
      </c>
      <c r="Z379">
        <f ca="1">IF(AND($B$419=1,LEN($Z$439) * LEN($Z$440) * LEN($Z$441)&gt;0),$Z$439+$Z$440-$Z$441,HLOOKUP(INDIRECT(ADDRESS(2,COLUMN())),OFFSET($BN$2,0,0,ROW()-1,60),ROW()-1,FALSE))</f>
        <v>862.75900000000001</v>
      </c>
      <c r="AA379">
        <f ca="1">IF(AND($B$419=1,LEN($AA$439) * LEN($AA$440) * LEN($AA$441)&gt;0),$AA$439+$AA$440-$AA$441,HLOOKUP(INDIRECT(ADDRESS(2,COLUMN())),OFFSET($BN$2,0,0,ROW()-1,60),ROW()-1,FALSE))</f>
        <v>747.24800000000005</v>
      </c>
      <c r="AB379">
        <f ca="1">IF(AND($B$419=1,LEN($AB$439) * LEN($AB$440) * LEN($AB$441)&gt;0),$AB$439+$AB$440-$AB$441,HLOOKUP(INDIRECT(ADDRESS(2,COLUMN())),OFFSET($BN$2,0,0,ROW()-1,60),ROW()-1,FALSE))</f>
        <v>393.29399999999998</v>
      </c>
      <c r="AC379">
        <f ca="1">IF(AND($B$419=1,LEN($AC$439) * LEN($AC$440) * LEN($AC$441)&gt;0),$AC$439+$AC$440-$AC$441,HLOOKUP(INDIRECT(ADDRESS(2,COLUMN())),OFFSET($BN$2,0,0,ROW()-1,60),ROW()-1,FALSE))</f>
        <v>822.46400000000006</v>
      </c>
      <c r="AD379">
        <f ca="1">IF(AND($B$419=1,LEN($AD$439) * LEN($AD$440) * LEN($AD$441)&gt;0),$AD$439+$AD$440-$AD$441,HLOOKUP(INDIRECT(ADDRESS(2,COLUMN())),OFFSET($BN$2,0,0,ROW()-1,60),ROW()-1,FALSE))</f>
        <v>47.793999999999997</v>
      </c>
      <c r="AE379">
        <f ca="1">IF(AND($B$419=1,LEN($AE$439) * LEN($AE$440) * LEN($AE$441)&gt;0),$AE$439+$AE$440-$AE$441,HLOOKUP(INDIRECT(ADDRESS(2,COLUMN())),OFFSET($BN$2,0,0,ROW()-1,60),ROW()-1,FALSE))</f>
        <v>417.86500000000001</v>
      </c>
      <c r="AF379">
        <f ca="1">IF(AND($B$419=1,LEN($AF$439) * LEN($AF$440) * LEN($AF$441)&gt;0),$AF$439+$AF$440-$AF$441,HLOOKUP(INDIRECT(ADDRESS(2,COLUMN())),OFFSET($BN$2,0,0,ROW()-1,60),ROW()-1,FALSE))</f>
        <v>333.74299999999999</v>
      </c>
      <c r="AG379">
        <f ca="1">IF(AND($B$419=1,LEN($AG$439) * LEN($AG$440) * LEN($AG$441)&gt;0),$AG$439+$AG$440-$AG$441,HLOOKUP(INDIRECT(ADDRESS(2,COLUMN())),OFFSET($BN$2,0,0,ROW()-1,60),ROW()-1,FALSE))</f>
        <v>580.67100000000005</v>
      </c>
      <c r="AH379">
        <f ca="1">IF(AND($B$419=1,LEN($AH$439) * LEN($AH$440) * LEN($AH$441)&gt;0),$AH$439+$AH$440-$AH$441,HLOOKUP(INDIRECT(ADDRESS(2,COLUMN())),OFFSET($BN$2,0,0,ROW()-1,60),ROW()-1,FALSE))</f>
        <v>554.70699999999999</v>
      </c>
      <c r="AI379">
        <f ca="1">IF(AND($B$419=1,LEN($AI$439) * LEN($AI$440) * LEN($AI$441)&gt;0),$AI$439+$AI$440-$AI$441,HLOOKUP(INDIRECT(ADDRESS(2,COLUMN())),OFFSET($BN$2,0,0,ROW()-1,60),ROW()-1,FALSE))</f>
        <v>442.60700000000003</v>
      </c>
      <c r="AJ379">
        <f ca="1">IF(AND($B$419=1,LEN($AJ$439) * LEN($AJ$440) * LEN($AJ$441)&gt;0),$AJ$439+$AJ$440-$AJ$441,HLOOKUP(INDIRECT(ADDRESS(2,COLUMN())),OFFSET($BN$2,0,0,ROW()-1,60),ROW()-1,FALSE))</f>
        <v>510.58199999999999</v>
      </c>
      <c r="AK379">
        <f ca="1">IF(AND($B$419=1,LEN($AK$439) * LEN($AK$440) * LEN($AK$441)&gt;0),$AK$439+$AK$440-$AK$441,HLOOKUP(INDIRECT(ADDRESS(2,COLUMN())),OFFSET($BN$2,0,0,ROW()-1,60),ROW()-1,FALSE))</f>
        <v>355.87200000000001</v>
      </c>
      <c r="AL379">
        <f ca="1">IF(AND($B$419=1,LEN($AL$439) * LEN($AL$440) * LEN($AL$441)&gt;0),$AL$439+$AL$440-$AL$441,HLOOKUP(INDIRECT(ADDRESS(2,COLUMN())),OFFSET($BN$2,0,0,ROW()-1,60),ROW()-1,FALSE))</f>
        <v>355.84899999999999</v>
      </c>
      <c r="AM379">
        <f ca="1">IF(AND($B$419=1,LEN($AM$439) * LEN($AM$440) * LEN($AM$441)&gt;0),$AM$439+$AM$440-$AM$441,HLOOKUP(INDIRECT(ADDRESS(2,COLUMN())),OFFSET($BN$2,0,0,ROW()-1,60),ROW()-1,FALSE))</f>
        <v>278.02600000000001</v>
      </c>
      <c r="AN379">
        <f ca="1">IF(AND($B$419=1,LEN($AN$439) * LEN($AN$440) * LEN($AN$441)&gt;0),$AN$439+$AN$440-$AN$441,HLOOKUP(INDIRECT(ADDRESS(2,COLUMN())),OFFSET($BN$2,0,0,ROW()-1,60),ROW()-1,FALSE))</f>
        <v>375.04199999999997</v>
      </c>
      <c r="AO379">
        <f ca="1">IF(AND($B$419=1,LEN($AO$439) * LEN($AO$440) * LEN($AO$441)&gt;0),$AO$439+$AO$440-$AO$441,HLOOKUP(INDIRECT(ADDRESS(2,COLUMN())),OFFSET($BN$2,0,0,ROW()-1,60),ROW()-1,FALSE))</f>
        <v>390.82299999999998</v>
      </c>
      <c r="AP379">
        <f ca="1">IF(AND($B$419=1,LEN($AP$439) * LEN($AP$440) * LEN($AP$441)&gt;0),$AP$439+$AP$440-$AP$441,HLOOKUP(INDIRECT(ADDRESS(2,COLUMN())),OFFSET($BN$2,0,0,ROW()-1,60),ROW()-1,FALSE))</f>
        <v>10.438000000000001</v>
      </c>
      <c r="AQ379" t="str">
        <f ca="1">IF(AND($B$419=1,LEN($AQ$439) * LEN($AQ$440) * LEN($AQ$441)&gt;0),$AQ$439+$AQ$440-$AQ$441,HLOOKUP(INDIRECT(ADDRESS(2,COLUMN())),OFFSET($BN$2,0,0,ROW()-1,60),ROW()-1,FALSE))</f>
        <v/>
      </c>
      <c r="AR379" t="str">
        <f ca="1">IF(AND($B$419=1,LEN($AR$439) * LEN($AR$440) * LEN($AR$441)&gt;0),$AR$439+$AR$440-$AR$441,HLOOKUP(INDIRECT(ADDRESS(2,COLUMN())),OFFSET($BN$2,0,0,ROW()-1,60),ROW()-1,FALSE))</f>
        <v/>
      </c>
      <c r="AS379" t="str">
        <f ca="1">IF(AND($B$419=1,LEN($AS$439) * LEN($AS$440) * LEN($AS$441)&gt;0),$AS$439+$AS$440-$AS$441,HLOOKUP(INDIRECT(ADDRESS(2,COLUMN())),OFFSET($BN$2,0,0,ROW()-1,60),ROW()-1,FALSE))</f>
        <v/>
      </c>
      <c r="AT379" t="str">
        <f ca="1">IF(AND($B$419=1,LEN($AT$439) * LEN($AT$440) * LEN($AT$441)&gt;0),$AT$439+$AT$440-$AT$441,HLOOKUP(INDIRECT(ADDRESS(2,COLUMN())),OFFSET($BN$2,0,0,ROW()-1,60),ROW()-1,FALSE))</f>
        <v/>
      </c>
      <c r="AU379">
        <f ca="1">IF(AND($B$419=1,LEN($AU$439) * LEN($AU$440) * LEN($AU$441)&gt;0),$AU$439+$AU$440-$AU$441,HLOOKUP(INDIRECT(ADDRESS(2,COLUMN())),OFFSET($BN$2,0,0,ROW()-1,60),ROW()-1,FALSE))</f>
        <v>393.101</v>
      </c>
      <c r="AV379" t="str">
        <f ca="1">IF(AND($B$419=1,LEN($AV$439) * LEN($AV$440) * LEN($AV$441)&gt;0),$AV$439+$AV$440-$AV$441,HLOOKUP(INDIRECT(ADDRESS(2,COLUMN())),OFFSET($BN$2,0,0,ROW()-1,60),ROW()-1,FALSE))</f>
        <v/>
      </c>
      <c r="AW379" t="str">
        <f ca="1">IF(AND($B$419=1,LEN($AW$439) * LEN($AW$440) * LEN($AW$441)&gt;0),$AW$439+$AW$440-$AW$441,HLOOKUP(INDIRECT(ADDRESS(2,COLUMN())),OFFSET($BN$2,0,0,ROW()-1,60),ROW()-1,FALSE))</f>
        <v/>
      </c>
      <c r="AX379">
        <f ca="1">IF(AND($B$419=1,LEN($AX$439) * LEN($AX$440) * LEN($AX$441)&gt;0),$AX$439+$AX$440-$AX$441,HLOOKUP(INDIRECT(ADDRESS(2,COLUMN())),OFFSET($BN$2,0,0,ROW()-1,60),ROW()-1,FALSE))</f>
        <v>241.69900000000001</v>
      </c>
      <c r="AY379">
        <f ca="1">IF(AND($B$419=1,LEN($AY$439) * LEN($AY$440) * LEN($AY$441)&gt;0),$AY$439+$AY$440-$AY$441,HLOOKUP(INDIRECT(ADDRESS(2,COLUMN())),OFFSET($BN$2,0,0,ROW()-1,60),ROW()-1,FALSE))</f>
        <v>238.273</v>
      </c>
      <c r="AZ379">
        <f ca="1">IF(AND($B$419=1,LEN($AZ$439) * LEN($AZ$440) * LEN($AZ$441)&gt;0),$AZ$439+$AZ$440-$AZ$441,HLOOKUP(INDIRECT(ADDRESS(2,COLUMN())),OFFSET($BN$2,0,0,ROW()-1,60),ROW()-1,FALSE))</f>
        <v>265.274</v>
      </c>
      <c r="BA379" t="str">
        <f ca="1">IF(AND($B$419=1,LEN($BA$439) * LEN($BA$440) * LEN($BA$441)&gt;0),$BA$439+$BA$440-$BA$441,HLOOKUP(INDIRECT(ADDRESS(2,COLUMN())),OFFSET($BN$2,0,0,ROW()-1,60),ROW()-1,FALSE))</f>
        <v/>
      </c>
      <c r="BB379">
        <f ca="1">IF(AND($B$419=1,LEN($BB$439) * LEN($BB$440) * LEN($BB$441)&gt;0),$BB$439+$BB$440-$BB$441,HLOOKUP(INDIRECT(ADDRESS(2,COLUMN())),OFFSET($BN$2,0,0,ROW()-1,60),ROW()-1,FALSE))</f>
        <v>188.107</v>
      </c>
      <c r="BC379">
        <f ca="1">IF(AND($B$419=1,LEN($BC$439) * LEN($BC$440) * LEN($BC$441)&gt;0),$BC$439+$BC$440-$BC$441,HLOOKUP(INDIRECT(ADDRESS(2,COLUMN())),OFFSET($BN$2,0,0,ROW()-1,60),ROW()-1,FALSE))</f>
        <v>156.70400000000001</v>
      </c>
      <c r="BD379" t="str">
        <f ca="1">IF(AND($B$419=1,LEN($BD$439) * LEN($BD$440) * LEN($BD$441)&gt;0),$BD$439+$BD$440-$BD$441,HLOOKUP(INDIRECT(ADDRESS(2,COLUMN())),OFFSET($BN$2,0,0,ROW()-1,60),ROW()-1,FALSE))</f>
        <v/>
      </c>
      <c r="BE379" t="str">
        <f ca="1">IF(AND($B$419=1,LEN($BE$439) * LEN($BE$440) * LEN($BE$441)&gt;0),$BE$439+$BE$440-$BE$441,HLOOKUP(INDIRECT(ADDRESS(2,COLUMN())),OFFSET($BN$2,0,0,ROW()-1,60),ROW()-1,FALSE))</f>
        <v/>
      </c>
      <c r="BF379" t="str">
        <f ca="1">IF(AND($B$419=1,LEN($BF$439) * LEN($BF$440) * LEN($BF$441)&gt;0),$BF$439+$BF$440-$BF$441,HLOOKUP(INDIRECT(ADDRESS(2,COLUMN())),OFFSET($BN$2,0,0,ROW()-1,60),ROW()-1,FALSE))</f>
        <v/>
      </c>
      <c r="BG379" t="str">
        <f ca="1">IF(AND($B$419=1,LEN($BG$439) * LEN($BG$440) * LEN($BG$441)&gt;0),$BG$439+$BG$440-$BG$441,HLOOKUP(INDIRECT(ADDRESS(2,COLUMN())),OFFSET($BN$2,0,0,ROW()-1,60),ROW()-1,FALSE))</f>
        <v/>
      </c>
      <c r="BH379">
        <f ca="1">IF(AND($B$419=1,LEN($BH$439) * LEN($BH$440) * LEN($BH$441)&gt;0),$BH$439+$BH$440-$BH$441,HLOOKUP(INDIRECT(ADDRESS(2,COLUMN())),OFFSET($BN$2,0,0,ROW()-1,60),ROW()-1,FALSE))</f>
        <v>163.58300600000001</v>
      </c>
      <c r="BI379">
        <f ca="1">IF(AND($B$419=1,LEN($BI$439) * LEN($BI$440) * LEN($BI$441)&gt;0),$BI$439+$BI$440-$BI$441,HLOOKUP(INDIRECT(ADDRESS(2,COLUMN())),OFFSET($BN$2,0,0,ROW()-1,60),ROW()-1,FALSE))</f>
        <v>238.14000300000001</v>
      </c>
      <c r="BJ379" t="str">
        <f ca="1">IF(AND($B$419=1,LEN($BJ$439) * LEN($BJ$440) * LEN($BJ$441)&gt;0),$BJ$439+$BJ$440-$BJ$441,HLOOKUP(INDIRECT(ADDRESS(2,COLUMN())),OFFSET($BN$2,0,0,ROW()-1,60),ROW()-1,FALSE))</f>
        <v/>
      </c>
      <c r="BK379" t="str">
        <f ca="1">IF(AND($B$419=1,LEN($BK$439) * LEN($BK$440) * LEN($BK$441)&gt;0),$BK$439+$BK$440-$BK$441,HLOOKUP(INDIRECT(ADDRESS(2,COLUMN())),OFFSET($BN$2,0,0,ROW()-1,60),ROW()-1,FALSE))</f>
        <v/>
      </c>
      <c r="BL379" t="str">
        <f ca="1">IF(AND($B$419=1,LEN($BL$439) * LEN($BL$440) * LEN($BL$441)&gt;0),$BL$439+$BL$440-$BL$441,HLOOKUP(INDIRECT(ADDRESS(2,COLUMN())),OFFSET($BN$2,0,0,ROW()-1,60),ROW()-1,FALSE))</f>
        <v/>
      </c>
      <c r="BM379" t="str">
        <f ca="1">IF(AND($B$419=1,LEN($BM$439) * LEN($BM$440) * LEN($BM$441)&gt;0),$BM$439+$BM$440-$BM$441,HLOOKUP(INDIRECT(ADDRESS(2,COLUMN())),OFFSET($BN$2,0,0,ROW()-1,60),ROW()-1,FALSE))</f>
        <v/>
      </c>
      <c r="BN379" t="str">
        <f>""</f>
        <v/>
      </c>
      <c r="BO379">
        <f>1329.098</f>
        <v>1329.098</v>
      </c>
      <c r="BP379">
        <f>1341.899</f>
        <v>1341.8989999999999</v>
      </c>
      <c r="BQ379">
        <f>1147.645</f>
        <v>1147.645</v>
      </c>
      <c r="BR379">
        <f>751.498</f>
        <v>751.49800000000005</v>
      </c>
      <c r="BS379">
        <f>611.22</f>
        <v>611.22</v>
      </c>
      <c r="BT379">
        <f>913.501</f>
        <v>913.50099999999998</v>
      </c>
      <c r="BU379">
        <f>1230.643</f>
        <v>1230.643</v>
      </c>
      <c r="BV379">
        <f>1058.995</f>
        <v>1058.9949999999999</v>
      </c>
      <c r="BW379">
        <f>1355.194</f>
        <v>1355.194</v>
      </c>
      <c r="BX379">
        <f>1415.174</f>
        <v>1415.174</v>
      </c>
      <c r="BY379">
        <f>1398.341</f>
        <v>1398.3409999999999</v>
      </c>
      <c r="BZ379">
        <f>923.79</f>
        <v>923.79</v>
      </c>
      <c r="CA379">
        <f>1164.002</f>
        <v>1164.002</v>
      </c>
      <c r="CB379">
        <f>1469.336</f>
        <v>1469.336</v>
      </c>
      <c r="CC379">
        <f>1381.508</f>
        <v>1381.508</v>
      </c>
      <c r="CD379">
        <f>725.942</f>
        <v>725.94200000000001</v>
      </c>
      <c r="CE379">
        <f>1382.257</f>
        <v>1382.2570000000001</v>
      </c>
      <c r="CF379">
        <f>530.86</f>
        <v>530.86</v>
      </c>
      <c r="CG379">
        <f>321.575</f>
        <v>321.57499999999999</v>
      </c>
      <c r="CH379">
        <f>862.759</f>
        <v>862.75900000000001</v>
      </c>
      <c r="CI379">
        <f>747.248</f>
        <v>747.24800000000005</v>
      </c>
      <c r="CJ379">
        <f>393.294</f>
        <v>393.29399999999998</v>
      </c>
      <c r="CK379">
        <f>822.464</f>
        <v>822.46400000000006</v>
      </c>
      <c r="CL379">
        <f>47.794</f>
        <v>47.793999999999997</v>
      </c>
      <c r="CM379">
        <f>417.865</f>
        <v>417.86500000000001</v>
      </c>
      <c r="CN379">
        <f>333.743</f>
        <v>333.74299999999999</v>
      </c>
      <c r="CO379">
        <f>580.671</f>
        <v>580.67100000000005</v>
      </c>
      <c r="CP379">
        <f>554.707</f>
        <v>554.70699999999999</v>
      </c>
      <c r="CQ379">
        <f>442.607</f>
        <v>442.60700000000003</v>
      </c>
      <c r="CR379">
        <f>510.582</f>
        <v>510.58199999999999</v>
      </c>
      <c r="CS379">
        <f>355.872</f>
        <v>355.87200000000001</v>
      </c>
      <c r="CT379">
        <f>355.849</f>
        <v>355.84899999999999</v>
      </c>
      <c r="CU379">
        <f>278.026</f>
        <v>278.02600000000001</v>
      </c>
      <c r="CV379">
        <f>375.042</f>
        <v>375.04199999999997</v>
      </c>
      <c r="CW379">
        <f>390.823</f>
        <v>390.82299999999998</v>
      </c>
      <c r="CX379">
        <f>10.438</f>
        <v>10.438000000000001</v>
      </c>
      <c r="CY379" t="str">
        <f>""</f>
        <v/>
      </c>
      <c r="CZ379" t="str">
        <f>""</f>
        <v/>
      </c>
      <c r="DA379" t="str">
        <f>""</f>
        <v/>
      </c>
      <c r="DB379" t="str">
        <f>""</f>
        <v/>
      </c>
      <c r="DC379">
        <f>393.101</f>
        <v>393.101</v>
      </c>
      <c r="DD379" t="str">
        <f>""</f>
        <v/>
      </c>
      <c r="DE379" t="str">
        <f>""</f>
        <v/>
      </c>
      <c r="DF379">
        <f>241.699</f>
        <v>241.69900000000001</v>
      </c>
      <c r="DG379">
        <f>238.273</f>
        <v>238.273</v>
      </c>
      <c r="DH379">
        <f>265.274</f>
        <v>265.274</v>
      </c>
      <c r="DI379" t="str">
        <f>""</f>
        <v/>
      </c>
      <c r="DJ379">
        <f>188.107</f>
        <v>188.107</v>
      </c>
      <c r="DK379">
        <f>156.704</f>
        <v>156.70400000000001</v>
      </c>
      <c r="DL379" t="str">
        <f>""</f>
        <v/>
      </c>
      <c r="DM379" t="str">
        <f>""</f>
        <v/>
      </c>
      <c r="DN379" t="str">
        <f>""</f>
        <v/>
      </c>
      <c r="DO379" t="str">
        <f>""</f>
        <v/>
      </c>
      <c r="DP379">
        <f>163.583006</f>
        <v>163.58300600000001</v>
      </c>
      <c r="DQ379">
        <f>238.140003</f>
        <v>238.14000300000001</v>
      </c>
      <c r="DR379" t="str">
        <f>""</f>
        <v/>
      </c>
      <c r="DS379" t="str">
        <f>""</f>
        <v/>
      </c>
      <c r="DT379" t="str">
        <f>""</f>
        <v/>
      </c>
      <c r="DU379" t="str">
        <f>""</f>
        <v/>
      </c>
    </row>
    <row r="380" spans="1:125">
      <c r="A380" t="str">
        <f>"    Regency Centers Corp"</f>
        <v xml:space="preserve">    Regency Centers Corp</v>
      </c>
      <c r="B380" t="str">
        <f>"REG US Equity"</f>
        <v>REG US Equity</v>
      </c>
      <c r="E380" t="str">
        <f t="shared" si="69"/>
        <v>Expression</v>
      </c>
      <c r="F380" t="str">
        <f ca="1">IF(AND($B$419=1,LEN($F$442) * LEN($F$443) * LEN($F$444)&gt;0),$F$442+$F$443-$F$444,HLOOKUP(INDIRECT(ADDRESS(2,COLUMN())),OFFSET($BN$2,0,0,ROW()-1,60),ROW()-1,FALSE))</f>
        <v/>
      </c>
      <c r="G380">
        <f ca="1">IF(AND($B$419=1,LEN($G$442) * LEN($G$443) * LEN($G$444)&gt;0),$G$442+$G$443-$G$444,HLOOKUP(INDIRECT(ADDRESS(2,COLUMN())),OFFSET($BN$2,0,0,ROW()-1,60),ROW()-1,FALSE))</f>
        <v>853.10299999999995</v>
      </c>
      <c r="H380">
        <f ca="1">IF(AND($B$419=1,LEN($H$442) * LEN($H$443) * LEN($H$444)&gt;0),$H$442+$H$443-$H$444,HLOOKUP(INDIRECT(ADDRESS(2,COLUMN())),OFFSET($BN$2,0,0,ROW()-1,60),ROW()-1,FALSE))</f>
        <v>1005.835</v>
      </c>
      <c r="I380">
        <f ca="1">IF(AND($B$419=1,LEN($I$442) * LEN($I$443) * LEN($I$444)&gt;0),$I$442+$I$443-$I$444,HLOOKUP(INDIRECT(ADDRESS(2,COLUMN())),OFFSET($BN$2,0,0,ROW()-1,60),ROW()-1,FALSE))</f>
        <v>1091.894</v>
      </c>
      <c r="J380">
        <f ca="1">IF(AND($B$419=1,LEN($J$442) * LEN($J$443) * LEN($J$444)&gt;0),$J$442+$J$443-$J$444,HLOOKUP(INDIRECT(ADDRESS(2,COLUMN())),OFFSET($BN$2,0,0,ROW()-1,60),ROW()-1,FALSE))</f>
        <v>857.52</v>
      </c>
      <c r="K380">
        <f ca="1">IF(AND($B$419=1,LEN($K$442) * LEN($K$443) * LEN($K$444)&gt;0),$K$442+$K$443-$K$444,HLOOKUP(INDIRECT(ADDRESS(2,COLUMN())),OFFSET($BN$2,0,0,ROW()-1,60),ROW()-1,FALSE))</f>
        <v>700.83799999999997</v>
      </c>
      <c r="L380">
        <f ca="1">IF(AND($B$419=1,LEN($L$442) * LEN($L$443) * LEN($L$444)&gt;0),$L$442+$L$443-$L$444,HLOOKUP(INDIRECT(ADDRESS(2,COLUMN())),OFFSET($BN$2,0,0,ROW()-1,60),ROW()-1,FALSE))</f>
        <v>839.47400000000005</v>
      </c>
      <c r="M380">
        <f ca="1">IF(AND($B$419=1,LEN($M$442) * LEN($M$443) * LEN($M$444)&gt;0),$M$442+$M$443-$M$444,HLOOKUP(INDIRECT(ADDRESS(2,COLUMN())),OFFSET($BN$2,0,0,ROW()-1,60),ROW()-1,FALSE))</f>
        <v>676.976</v>
      </c>
      <c r="N380">
        <f ca="1">IF(AND($B$419=1,LEN($N$442) * LEN($N$443) * LEN($N$444)&gt;0),$N$442+$N$443-$N$444,HLOOKUP(INDIRECT(ADDRESS(2,COLUMN())),OFFSET($BN$2,0,0,ROW()-1,60),ROW()-1,FALSE))</f>
        <v>808.38099999999997</v>
      </c>
      <c r="O380" t="str">
        <f ca="1">IF(AND($B$419=1,LEN($O$442) * LEN($O$443) * LEN($O$444)&gt;0),$O$442+$O$443-$O$444,HLOOKUP(INDIRECT(ADDRESS(2,COLUMN())),OFFSET($BN$2,0,0,ROW()-1,60),ROW()-1,FALSE))</f>
        <v/>
      </c>
      <c r="P380">
        <f ca="1">IF(AND($B$419=1,LEN($P$442) * LEN($P$443) * LEN($P$444)&gt;0),$P$442+$P$443-$P$444,HLOOKUP(INDIRECT(ADDRESS(2,COLUMN())),OFFSET($BN$2,0,0,ROW()-1,60),ROW()-1,FALSE))</f>
        <v>771.75300000000004</v>
      </c>
      <c r="Q380">
        <f ca="1">IF(AND($B$419=1,LEN($Q$442) * LEN($Q$443) * LEN($Q$444)&gt;0),$Q$442+$Q$443-$Q$444,HLOOKUP(INDIRECT(ADDRESS(2,COLUMN())),OFFSET($BN$2,0,0,ROW()-1,60),ROW()-1,FALSE))</f>
        <v>422.89800000000002</v>
      </c>
      <c r="R380">
        <f ca="1">IF(AND($B$419=1,LEN($R$442) * LEN($R$443) * LEN($R$444)&gt;0),$R$442+$R$443-$R$444,HLOOKUP(INDIRECT(ADDRESS(2,COLUMN())),OFFSET($BN$2,0,0,ROW()-1,60),ROW()-1,FALSE))</f>
        <v>431.37400000000002</v>
      </c>
      <c r="S380">
        <f ca="1">IF(AND($B$419=1,LEN($S$442) * LEN($S$443) * LEN($S$444)&gt;0),$S$442+$S$443-$S$444,HLOOKUP(INDIRECT(ADDRESS(2,COLUMN())),OFFSET($BN$2,0,0,ROW()-1,60),ROW()-1,FALSE))</f>
        <v>475.39299999999997</v>
      </c>
      <c r="T380">
        <f ca="1">IF(AND($B$419=1,LEN($T$442) * LEN($T$443) * LEN($T$444)&gt;0),$T$442+$T$443-$T$444,HLOOKUP(INDIRECT(ADDRESS(2,COLUMN())),OFFSET($BN$2,0,0,ROW()-1,60),ROW()-1,FALSE))</f>
        <v>898.73800000000006</v>
      </c>
      <c r="U380">
        <f ca="1">IF(AND($B$419=1,LEN($U$442) * LEN($U$443) * LEN($U$444)&gt;0),$U$442+$U$443-$U$444,HLOOKUP(INDIRECT(ADDRESS(2,COLUMN())),OFFSET($BN$2,0,0,ROW()-1,60),ROW()-1,FALSE))</f>
        <v>813.91</v>
      </c>
      <c r="V380">
        <f ca="1">IF(AND($B$419=1,LEN($V$442) * LEN($V$443) * LEN($V$444)&gt;0),$V$442+$V$443-$V$444,HLOOKUP(INDIRECT(ADDRESS(2,COLUMN())),OFFSET($BN$2,0,0,ROW()-1,60),ROW()-1,FALSE))</f>
        <v>644.58000000000004</v>
      </c>
      <c r="W380">
        <f ca="1">IF(AND($B$419=1,LEN($W$442) * LEN($W$443) * LEN($W$444)&gt;0),$W$442+$W$443-$W$444,HLOOKUP(INDIRECT(ADDRESS(2,COLUMN())),OFFSET($BN$2,0,0,ROW()-1,60),ROW()-1,FALSE))</f>
        <v>688.75199999999995</v>
      </c>
      <c r="X380">
        <f ca="1">IF(AND($B$419=1,LEN($X$442) * LEN($X$443) * LEN($X$444)&gt;0),$X$442+$X$443-$X$444,HLOOKUP(INDIRECT(ADDRESS(2,COLUMN())),OFFSET($BN$2,0,0,ROW()-1,60),ROW()-1,FALSE))</f>
        <v>841.38300000000004</v>
      </c>
      <c r="Y380">
        <f ca="1">IF(AND($B$419=1,LEN($Y$442) * LEN($Y$443) * LEN($Y$444)&gt;0),$Y$442+$Y$443-$Y$444,HLOOKUP(INDIRECT(ADDRESS(2,COLUMN())),OFFSET($BN$2,0,0,ROW()-1,60),ROW()-1,FALSE))</f>
        <v>810.96600000000001</v>
      </c>
      <c r="Z380">
        <f ca="1">IF(AND($B$419=1,LEN($Z$442) * LEN($Z$443) * LEN($Z$444)&gt;0),$Z$442+$Z$443-$Z$444,HLOOKUP(INDIRECT(ADDRESS(2,COLUMN())),OFFSET($BN$2,0,0,ROW()-1,60),ROW()-1,FALSE))</f>
        <v>735.89400000000001</v>
      </c>
      <c r="AA380">
        <f ca="1">IF(AND($B$419=1,LEN($AA$442) * LEN($AA$443) * LEN($AA$444)&gt;0),$AA$442+$AA$443-$AA$444,HLOOKUP(INDIRECT(ADDRESS(2,COLUMN())),OFFSET($BN$2,0,0,ROW()-1,60),ROW()-1,FALSE))</f>
        <v>728.15800000000002</v>
      </c>
      <c r="AB380">
        <f ca="1">IF(AND($B$419=1,LEN($AB$442) * LEN($AB$443) * LEN($AB$444)&gt;0),$AB$442+$AB$443-$AB$444,HLOOKUP(INDIRECT(ADDRESS(2,COLUMN())),OFFSET($BN$2,0,0,ROW()-1,60),ROW()-1,FALSE))</f>
        <v>754.32799999999997</v>
      </c>
      <c r="AC380">
        <f ca="1">IF(AND($B$419=1,LEN($AC$442) * LEN($AC$443) * LEN($AC$444)&gt;0),$AC$442+$AC$443-$AC$444,HLOOKUP(INDIRECT(ADDRESS(2,COLUMN())),OFFSET($BN$2,0,0,ROW()-1,60),ROW()-1,FALSE))</f>
        <v>504.14699999999999</v>
      </c>
      <c r="AD380">
        <f ca="1">IF(AND($B$419=1,LEN($AD$442) * LEN($AD$443) * LEN($AD$444)&gt;0),$AD$442+$AD$443-$AD$444,HLOOKUP(INDIRECT(ADDRESS(2,COLUMN())),OFFSET($BN$2,0,0,ROW()-1,60),ROW()-1,FALSE))</f>
        <v>496.80900000000003</v>
      </c>
      <c r="AE380">
        <f ca="1">IF(AND($B$419=1,LEN($AE$442) * LEN($AE$443) * LEN($AE$444)&gt;0),$AE$442+$AE$443-$AE$444,HLOOKUP(INDIRECT(ADDRESS(2,COLUMN())),OFFSET($BN$2,0,0,ROW()-1,60),ROW()-1,FALSE))</f>
        <v>485.827</v>
      </c>
      <c r="AF380">
        <f ca="1">IF(AND($B$419=1,LEN($AF$442) * LEN($AF$443) * LEN($AF$444)&gt;0),$AF$442+$AF$443-$AF$444,HLOOKUP(INDIRECT(ADDRESS(2,COLUMN())),OFFSET($BN$2,0,0,ROW()-1,60),ROW()-1,FALSE))</f>
        <v>628.23800000000006</v>
      </c>
      <c r="AG380">
        <f ca="1">IF(AND($B$419=1,LEN($AG$442) * LEN($AG$443) * LEN($AG$444)&gt;0),$AG$442+$AG$443-$AG$444,HLOOKUP(INDIRECT(ADDRESS(2,COLUMN())),OFFSET($BN$2,0,0,ROW()-1,60),ROW()-1,FALSE))</f>
        <v>670.53300000000002</v>
      </c>
      <c r="AH380">
        <f ca="1">IF(AND($B$419=1,LEN($AH$442) * LEN($AH$443) * LEN($AH$444)&gt;0),$AH$442+$AH$443-$AH$444,HLOOKUP(INDIRECT(ADDRESS(2,COLUMN())),OFFSET($BN$2,0,0,ROW()-1,60),ROW()-1,FALSE))</f>
        <v>633.51599999999996</v>
      </c>
      <c r="AI380">
        <f ca="1">IF(AND($B$419=1,LEN($AI$442) * LEN($AI$443) * LEN($AI$444)&gt;0),$AI$442+$AI$443-$AI$444,HLOOKUP(INDIRECT(ADDRESS(2,COLUMN())),OFFSET($BN$2,0,0,ROW()-1,60),ROW()-1,FALSE))</f>
        <v>526.548</v>
      </c>
      <c r="AJ380">
        <f ca="1">IF(AND($B$419=1,LEN($AJ$442) * LEN($AJ$443) * LEN($AJ$444)&gt;0),$AJ$442+$AJ$443-$AJ$444,HLOOKUP(INDIRECT(ADDRESS(2,COLUMN())),OFFSET($BN$2,0,0,ROW()-1,60),ROW()-1,FALSE))</f>
        <v>623.89800000000002</v>
      </c>
      <c r="AK380">
        <f ca="1">IF(AND($B$419=1,LEN($AK$442) * LEN($AK$443) * LEN($AK$444)&gt;0),$AK$442+$AK$443-$AK$444,HLOOKUP(INDIRECT(ADDRESS(2,COLUMN())),OFFSET($BN$2,0,0,ROW()-1,60),ROW()-1,FALSE))</f>
        <v>669.851</v>
      </c>
      <c r="AL380">
        <f ca="1">IF(AND($B$419=1,LEN($AL$442) * LEN($AL$443) * LEN($AL$444)&gt;0),$AL$442+$AL$443-$AL$444,HLOOKUP(INDIRECT(ADDRESS(2,COLUMN())),OFFSET($BN$2,0,0,ROW()-1,60),ROW()-1,FALSE))</f>
        <v>660.61599999999999</v>
      </c>
      <c r="AM380">
        <f ca="1">IF(AND($B$419=1,LEN($AM$442) * LEN($AM$443) * LEN($AM$444)&gt;0),$AM$442+$AM$443-$AM$444,HLOOKUP(INDIRECT(ADDRESS(2,COLUMN())),OFFSET($BN$2,0,0,ROW()-1,60),ROW()-1,FALSE))</f>
        <v>639.30700000000002</v>
      </c>
      <c r="AN380">
        <f ca="1">IF(AND($B$419=1,LEN($AN$442) * LEN($AN$443) * LEN($AN$444)&gt;0),$AN$442+$AN$443-$AN$444,HLOOKUP(INDIRECT(ADDRESS(2,COLUMN())),OFFSET($BN$2,0,0,ROW()-1,60),ROW()-1,FALSE))</f>
        <v>653.53200000000004</v>
      </c>
      <c r="AO380">
        <f ca="1">IF(AND($B$419=1,LEN($AO$442) * LEN($AO$443) * LEN($AO$444)&gt;0),$AO$442+$AO$443-$AO$444,HLOOKUP(INDIRECT(ADDRESS(2,COLUMN())),OFFSET($BN$2,0,0,ROW()-1,60),ROW()-1,FALSE))</f>
        <v>605.21600000000001</v>
      </c>
      <c r="AP380">
        <f ca="1">IF(AND($B$419=1,LEN($AP$442) * LEN($AP$443) * LEN($AP$444)&gt;0),$AP$442+$AP$443-$AP$444,HLOOKUP(INDIRECT(ADDRESS(2,COLUMN())),OFFSET($BN$2,0,0,ROW()-1,60),ROW()-1,FALSE))</f>
        <v>311.80099999999999</v>
      </c>
      <c r="AQ380">
        <f ca="1">IF(AND($B$419=1,LEN($AQ$442) * LEN($AQ$443) * LEN($AQ$444)&gt;0),$AQ$442+$AQ$443-$AQ$444,HLOOKUP(INDIRECT(ADDRESS(2,COLUMN())),OFFSET($BN$2,0,0,ROW()-1,60),ROW()-1,FALSE))</f>
        <v>374.75700000000001</v>
      </c>
      <c r="AR380">
        <f ca="1">IF(AND($B$419=1,LEN($AR$442) * LEN($AR$443) * LEN($AR$444)&gt;0),$AR$442+$AR$443-$AR$444,HLOOKUP(INDIRECT(ADDRESS(2,COLUMN())),OFFSET($BN$2,0,0,ROW()-1,60),ROW()-1,FALSE))</f>
        <v>554.53499999999997</v>
      </c>
      <c r="AS380">
        <f ca="1">IF(AND($B$419=1,LEN($AS$442) * LEN($AS$443) * LEN($AS$444)&gt;0),$AS$442+$AS$443-$AS$444,HLOOKUP(INDIRECT(ADDRESS(2,COLUMN())),OFFSET($BN$2,0,0,ROW()-1,60),ROW()-1,FALSE))</f>
        <v>285.22500000000002</v>
      </c>
      <c r="AT380">
        <f ca="1">IF(AND($B$419=1,LEN($AT$442) * LEN($AT$443) * LEN($AT$444)&gt;0),$AT$442+$AT$443-$AT$444,HLOOKUP(INDIRECT(ADDRESS(2,COLUMN())),OFFSET($BN$2,0,0,ROW()-1,60),ROW()-1,FALSE))</f>
        <v>523.63900000000001</v>
      </c>
      <c r="AU380">
        <f ca="1">IF(AND($B$419=1,LEN($AU$442) * LEN($AU$443) * LEN($AU$444)&gt;0),$AU$442+$AU$443-$AU$444,HLOOKUP(INDIRECT(ADDRESS(2,COLUMN())),OFFSET($BN$2,0,0,ROW()-1,60),ROW()-1,FALSE))</f>
        <v>386.99599999999998</v>
      </c>
      <c r="AV380">
        <f ca="1">IF(AND($B$419=1,LEN($AV$442) * LEN($AV$443) * LEN($AV$444)&gt;0),$AV$442+$AV$443-$AV$444,HLOOKUP(INDIRECT(ADDRESS(2,COLUMN())),OFFSET($BN$2,0,0,ROW()-1,60),ROW()-1,FALSE))</f>
        <v>266.10000000000002</v>
      </c>
      <c r="AW380">
        <f ca="1">IF(AND($B$419=1,LEN($AW$442) * LEN($AW$443) * LEN($AW$444)&gt;0),$AW$442+$AW$443-$AW$444,HLOOKUP(INDIRECT(ADDRESS(2,COLUMN())),OFFSET($BN$2,0,0,ROW()-1,60),ROW()-1,FALSE))</f>
        <v>616.79700000000003</v>
      </c>
      <c r="AX380">
        <f ca="1">IF(AND($B$419=1,LEN($AX$442) * LEN($AX$443) * LEN($AX$444)&gt;0),$AX$442+$AX$443-$AX$444,HLOOKUP(INDIRECT(ADDRESS(2,COLUMN())),OFFSET($BN$2,0,0,ROW()-1,60),ROW()-1,FALSE))</f>
        <v>548.875</v>
      </c>
      <c r="AY380">
        <f ca="1">IF(AND($B$419=1,LEN($AY$442) * LEN($AY$443) * LEN($AY$444)&gt;0),$AY$442+$AY$443-$AY$444,HLOOKUP(INDIRECT(ADDRESS(2,COLUMN())),OFFSET($BN$2,0,0,ROW()-1,60),ROW()-1,FALSE))</f>
        <v>196.40700000000001</v>
      </c>
      <c r="AZ380">
        <f ca="1">IF(AND($B$419=1,LEN($AZ$442) * LEN($AZ$443) * LEN($AZ$444)&gt;0),$AZ$442+$AZ$443-$AZ$444,HLOOKUP(INDIRECT(ADDRESS(2,COLUMN())),OFFSET($BN$2,0,0,ROW()-1,60),ROW()-1,FALSE))</f>
        <v>274.77499999999998</v>
      </c>
      <c r="BA380">
        <f ca="1">IF(AND($B$419=1,LEN($BA$442) * LEN($BA$443) * LEN($BA$444)&gt;0),$BA$442+$BA$443-$BA$444,HLOOKUP(INDIRECT(ADDRESS(2,COLUMN())),OFFSET($BN$2,0,0,ROW()-1,60),ROW()-1,FALSE))</f>
        <v>322.45100000000002</v>
      </c>
      <c r="BB380">
        <f ca="1">IF(AND($B$419=1,LEN($BB$442) * LEN($BB$443) * LEN($BB$444)&gt;0),$BB$442+$BB$443-$BB$444,HLOOKUP(INDIRECT(ADDRESS(2,COLUMN())),OFFSET($BN$2,0,0,ROW()-1,60),ROW()-1,FALSE))</f>
        <v>362.82400000000001</v>
      </c>
      <c r="BC380" t="str">
        <f ca="1">IF(AND($B$419=1,LEN($BC$442) * LEN($BC$443) * LEN($BC$444)&gt;0),$BC$442+$BC$443-$BC$444,HLOOKUP(INDIRECT(ADDRESS(2,COLUMN())),OFFSET($BN$2,0,0,ROW()-1,60),ROW()-1,FALSE))</f>
        <v/>
      </c>
      <c r="BD380">
        <f ca="1">IF(AND($B$419=1,LEN($BD$442) * LEN($BD$443) * LEN($BD$444)&gt;0),$BD$442+$BD$443-$BD$444,HLOOKUP(INDIRECT(ADDRESS(2,COLUMN())),OFFSET($BN$2,0,0,ROW()-1,60),ROW()-1,FALSE))</f>
        <v>529.226</v>
      </c>
      <c r="BE380">
        <f ca="1">IF(AND($B$419=1,LEN($BE$442) * LEN($BE$443) * LEN($BE$444)&gt;0),$BE$442+$BE$443-$BE$444,HLOOKUP(INDIRECT(ADDRESS(2,COLUMN())),OFFSET($BN$2,0,0,ROW()-1,60),ROW()-1,FALSE))</f>
        <v>368.96499999999997</v>
      </c>
      <c r="BF380" t="str">
        <f ca="1">IF(AND($B$419=1,LEN($BF$442) * LEN($BF$443) * LEN($BF$444)&gt;0),$BF$442+$BF$443-$BF$444,HLOOKUP(INDIRECT(ADDRESS(2,COLUMN())),OFFSET($BN$2,0,0,ROW()-1,60),ROW()-1,FALSE))</f>
        <v/>
      </c>
      <c r="BG380" t="str">
        <f ca="1">IF(AND($B$419=1,LEN($BG$442) * LEN($BG$443) * LEN($BG$444)&gt;0),$BG$442+$BG$443-$BG$444,HLOOKUP(INDIRECT(ADDRESS(2,COLUMN())),OFFSET($BN$2,0,0,ROW()-1,60),ROW()-1,FALSE))</f>
        <v/>
      </c>
      <c r="BH380" t="str">
        <f ca="1">IF(AND($B$419=1,LEN($BH$442) * LEN($BH$443) * LEN($BH$444)&gt;0),$BH$442+$BH$443-$BH$444,HLOOKUP(INDIRECT(ADDRESS(2,COLUMN())),OFFSET($BN$2,0,0,ROW()-1,60),ROW()-1,FALSE))</f>
        <v/>
      </c>
      <c r="BI380" t="str">
        <f ca="1">IF(AND($B$419=1,LEN($BI$442) * LEN($BI$443) * LEN($BI$444)&gt;0),$BI$442+$BI$443-$BI$444,HLOOKUP(INDIRECT(ADDRESS(2,COLUMN())),OFFSET($BN$2,0,0,ROW()-1,60),ROW()-1,FALSE))</f>
        <v/>
      </c>
      <c r="BJ380" t="str">
        <f ca="1">IF(AND($B$419=1,LEN($BJ$442) * LEN($BJ$443) * LEN($BJ$444)&gt;0),$BJ$442+$BJ$443-$BJ$444,HLOOKUP(INDIRECT(ADDRESS(2,COLUMN())),OFFSET($BN$2,0,0,ROW()-1,60),ROW()-1,FALSE))</f>
        <v/>
      </c>
      <c r="BK380" t="str">
        <f ca="1">IF(AND($B$419=1,LEN($BK$442) * LEN($BK$443) * LEN($BK$444)&gt;0),$BK$442+$BK$443-$BK$444,HLOOKUP(INDIRECT(ADDRESS(2,COLUMN())),OFFSET($BN$2,0,0,ROW()-1,60),ROW()-1,FALSE))</f>
        <v/>
      </c>
      <c r="BL380" t="str">
        <f ca="1">IF(AND($B$419=1,LEN($BL$442) * LEN($BL$443) * LEN($BL$444)&gt;0),$BL$442+$BL$443-$BL$444,HLOOKUP(INDIRECT(ADDRESS(2,COLUMN())),OFFSET($BN$2,0,0,ROW()-1,60),ROW()-1,FALSE))</f>
        <v/>
      </c>
      <c r="BM380" t="str">
        <f ca="1">IF(AND($B$419=1,LEN($BM$442) * LEN($BM$443) * LEN($BM$444)&gt;0),$BM$442+$BM$443-$BM$444,HLOOKUP(INDIRECT(ADDRESS(2,COLUMN())),OFFSET($BN$2,0,0,ROW()-1,60),ROW()-1,FALSE))</f>
        <v/>
      </c>
      <c r="BN380" t="str">
        <f>""</f>
        <v/>
      </c>
      <c r="BO380">
        <f>853.103</f>
        <v>853.10299999999995</v>
      </c>
      <c r="BP380">
        <f>1005.835</f>
        <v>1005.835</v>
      </c>
      <c r="BQ380">
        <f>1091.894</f>
        <v>1091.894</v>
      </c>
      <c r="BR380">
        <f>857.52</f>
        <v>857.52</v>
      </c>
      <c r="BS380">
        <f>700.838</f>
        <v>700.83799999999997</v>
      </c>
      <c r="BT380">
        <f>839.474</f>
        <v>839.47400000000005</v>
      </c>
      <c r="BU380">
        <f>676.976</f>
        <v>676.976</v>
      </c>
      <c r="BV380">
        <f>808.381</f>
        <v>808.38099999999997</v>
      </c>
      <c r="BW380" t="str">
        <f>""</f>
        <v/>
      </c>
      <c r="BX380">
        <f>771.753</f>
        <v>771.75300000000004</v>
      </c>
      <c r="BY380">
        <f>422.898</f>
        <v>422.89800000000002</v>
      </c>
      <c r="BZ380">
        <f>431.374</f>
        <v>431.37400000000002</v>
      </c>
      <c r="CA380">
        <f>475.393</f>
        <v>475.39299999999997</v>
      </c>
      <c r="CB380">
        <f>898.738</f>
        <v>898.73800000000006</v>
      </c>
      <c r="CC380">
        <f>813.91</f>
        <v>813.91</v>
      </c>
      <c r="CD380">
        <f>644.58</f>
        <v>644.58000000000004</v>
      </c>
      <c r="CE380">
        <f>688.752</f>
        <v>688.75199999999995</v>
      </c>
      <c r="CF380">
        <f>841.383</f>
        <v>841.38300000000004</v>
      </c>
      <c r="CG380">
        <f>810.966</f>
        <v>810.96600000000001</v>
      </c>
      <c r="CH380">
        <f>735.894</f>
        <v>735.89400000000001</v>
      </c>
      <c r="CI380">
        <f>728.158</f>
        <v>728.15800000000002</v>
      </c>
      <c r="CJ380">
        <f>754.328</f>
        <v>754.32799999999997</v>
      </c>
      <c r="CK380">
        <f>504.147</f>
        <v>504.14699999999999</v>
      </c>
      <c r="CL380">
        <f>496.809</f>
        <v>496.80900000000003</v>
      </c>
      <c r="CM380">
        <f>485.827</f>
        <v>485.827</v>
      </c>
      <c r="CN380">
        <f>628.238</f>
        <v>628.23800000000006</v>
      </c>
      <c r="CO380">
        <f>670.533</f>
        <v>670.53300000000002</v>
      </c>
      <c r="CP380">
        <f>633.516</f>
        <v>633.51599999999996</v>
      </c>
      <c r="CQ380">
        <f>526.548</f>
        <v>526.548</v>
      </c>
      <c r="CR380">
        <f>623.898</f>
        <v>623.89800000000002</v>
      </c>
      <c r="CS380">
        <f>669.851</f>
        <v>669.851</v>
      </c>
      <c r="CT380">
        <f>660.616</f>
        <v>660.61599999999999</v>
      </c>
      <c r="CU380">
        <f>639.307</f>
        <v>639.30700000000002</v>
      </c>
      <c r="CV380">
        <f>653.532</f>
        <v>653.53200000000004</v>
      </c>
      <c r="CW380">
        <f>605.216</f>
        <v>605.21600000000001</v>
      </c>
      <c r="CX380">
        <f>311.801</f>
        <v>311.80099999999999</v>
      </c>
      <c r="CY380">
        <f>374.757</f>
        <v>374.75700000000001</v>
      </c>
      <c r="CZ380">
        <f>554.535</f>
        <v>554.53499999999997</v>
      </c>
      <c r="DA380">
        <f>285.225</f>
        <v>285.22500000000002</v>
      </c>
      <c r="DB380">
        <f>523.639</f>
        <v>523.63900000000001</v>
      </c>
      <c r="DC380">
        <f>386.996</f>
        <v>386.99599999999998</v>
      </c>
      <c r="DD380">
        <f>266.1</f>
        <v>266.10000000000002</v>
      </c>
      <c r="DE380">
        <f>616.797</f>
        <v>616.79700000000003</v>
      </c>
      <c r="DF380">
        <f>548.875</f>
        <v>548.875</v>
      </c>
      <c r="DG380">
        <f>196.407</f>
        <v>196.40700000000001</v>
      </c>
      <c r="DH380">
        <f>274.775</f>
        <v>274.77499999999998</v>
      </c>
      <c r="DI380">
        <f>322.451</f>
        <v>322.45100000000002</v>
      </c>
      <c r="DJ380">
        <f>362.824</f>
        <v>362.82400000000001</v>
      </c>
      <c r="DK380" t="str">
        <f>""</f>
        <v/>
      </c>
      <c r="DL380">
        <f>529.226</f>
        <v>529.226</v>
      </c>
      <c r="DM380">
        <f>368.965</f>
        <v>368.96499999999997</v>
      </c>
      <c r="DN380" t="str">
        <f>""</f>
        <v/>
      </c>
      <c r="DO380" t="str">
        <f>""</f>
        <v/>
      </c>
      <c r="DP380" t="str">
        <f>""</f>
        <v/>
      </c>
      <c r="DQ380" t="str">
        <f>""</f>
        <v/>
      </c>
      <c r="DR380" t="str">
        <f>""</f>
        <v/>
      </c>
      <c r="DS380" t="str">
        <f>""</f>
        <v/>
      </c>
      <c r="DT380" t="str">
        <f>""</f>
        <v/>
      </c>
      <c r="DU380" t="str">
        <f>""</f>
        <v/>
      </c>
    </row>
    <row r="381" spans="1:125">
      <c r="A381" t="str">
        <f>"    Retail Opportunity Investments"</f>
        <v xml:space="preserve">    Retail Opportunity Investments</v>
      </c>
      <c r="B381" t="str">
        <f>"ROIC US Equity"</f>
        <v>ROIC US Equity</v>
      </c>
      <c r="E381" t="str">
        <f t="shared" si="69"/>
        <v>Expression</v>
      </c>
      <c r="F381" t="str">
        <f ca="1">IF(AND($B$419=1,LEN($F$445) * LEN($F$446) * LEN($F$447)&gt;0),$F$445+$F$446-$F$447,HLOOKUP(INDIRECT(ADDRESS(2,COLUMN())),OFFSET($BN$2,0,0,ROW()-1,60),ROW()-1,FALSE))</f>
        <v/>
      </c>
      <c r="G381">
        <f ca="1">IF(AND($B$419=1,LEN($G$445) * LEN($G$446) * LEN($G$447)&gt;0),$G$445+$G$446-$G$447,HLOOKUP(INDIRECT(ADDRESS(2,COLUMN())),OFFSET($BN$2,0,0,ROW()-1,60),ROW()-1,FALSE))</f>
        <v>448.44099999999997</v>
      </c>
      <c r="H381">
        <f ca="1">IF(AND($B$419=1,LEN($H$445) * LEN($H$446) * LEN($H$447)&gt;0),$H$445+$H$446-$H$447,HLOOKUP(INDIRECT(ADDRESS(2,COLUMN())),OFFSET($BN$2,0,0,ROW()-1,60),ROW()-1,FALSE))</f>
        <v>292.92599999999999</v>
      </c>
      <c r="I381">
        <f ca="1">IF(AND($B$419=1,LEN($I$445) * LEN($I$446) * LEN($I$447)&gt;0),$I$445+$I$446-$I$447,HLOOKUP(INDIRECT(ADDRESS(2,COLUMN())),OFFSET($BN$2,0,0,ROW()-1,60),ROW()-1,FALSE))</f>
        <v>230.11799999999999</v>
      </c>
      <c r="J381">
        <f ca="1">IF(AND($B$419=1,LEN($J$445) * LEN($J$446) * LEN($J$447)&gt;0),$J$445+$J$446-$J$447,HLOOKUP(INDIRECT(ADDRESS(2,COLUMN())),OFFSET($BN$2,0,0,ROW()-1,60),ROW()-1,FALSE))</f>
        <v>323.83100000000002</v>
      </c>
      <c r="K381">
        <f ca="1">IF(AND($B$419=1,LEN($K$445) * LEN($K$446) * LEN($K$447)&gt;0),$K$445+$K$446-$K$447,HLOOKUP(INDIRECT(ADDRESS(2,COLUMN())),OFFSET($BN$2,0,0,ROW()-1,60),ROW()-1,FALSE))</f>
        <v>405.745</v>
      </c>
      <c r="L381">
        <f ca="1">IF(AND($B$419=1,LEN($L$445) * LEN($L$446) * LEN($L$447)&gt;0),$L$445+$L$446-$L$447,HLOOKUP(INDIRECT(ADDRESS(2,COLUMN())),OFFSET($BN$2,0,0,ROW()-1,60),ROW()-1,FALSE))</f>
        <v>502.25900000000001</v>
      </c>
      <c r="M381">
        <f ca="1">IF(AND($B$419=1,LEN($M$445) * LEN($M$446) * LEN($M$447)&gt;0),$M$445+$M$446-$M$447,HLOOKUP(INDIRECT(ADDRESS(2,COLUMN())),OFFSET($BN$2,0,0,ROW()-1,60),ROW()-1,FALSE))</f>
        <v>183.66499999999999</v>
      </c>
      <c r="N381">
        <f ca="1">IF(AND($B$419=1,LEN($N$445) * LEN($N$446) * LEN($N$447)&gt;0),$N$445+$N$446-$N$447,HLOOKUP(INDIRECT(ADDRESS(2,COLUMN())),OFFSET($BN$2,0,0,ROW()-1,60),ROW()-1,FALSE))</f>
        <v>337.79899999999998</v>
      </c>
      <c r="O381" t="str">
        <f ca="1">IF(AND($B$419=1,LEN($O$445) * LEN($O$446) * LEN($O$447)&gt;0),$O$445+$O$446-$O$447,HLOOKUP(INDIRECT(ADDRESS(2,COLUMN())),OFFSET($BN$2,0,0,ROW()-1,60),ROW()-1,FALSE))</f>
        <v/>
      </c>
      <c r="P381">
        <f ca="1">IF(AND($B$419=1,LEN($P$445) * LEN($P$446) * LEN($P$447)&gt;0),$P$445+$P$446-$P$447,HLOOKUP(INDIRECT(ADDRESS(2,COLUMN())),OFFSET($BN$2,0,0,ROW()-1,60),ROW()-1,FALSE))</f>
        <v>490.625</v>
      </c>
      <c r="Q381">
        <f ca="1">IF(AND($B$419=1,LEN($Q$445) * LEN($Q$446) * LEN($Q$447)&gt;0),$Q$445+$Q$446-$Q$447,HLOOKUP(INDIRECT(ADDRESS(2,COLUMN())),OFFSET($BN$2,0,0,ROW()-1,60),ROW()-1,FALSE))</f>
        <v>173.142</v>
      </c>
      <c r="R381">
        <f ca="1">IF(AND($B$419=1,LEN($R$445) * LEN($R$446) * LEN($R$447)&gt;0),$R$445+$R$446-$R$447,HLOOKUP(INDIRECT(ADDRESS(2,COLUMN())),OFFSET($BN$2,0,0,ROW()-1,60),ROW()-1,FALSE))</f>
        <v>208.31399999999999</v>
      </c>
      <c r="S381">
        <f ca="1">IF(AND($B$419=1,LEN($S$445) * LEN($S$446) * LEN($S$447)&gt;0),$S$445+$S$446-$S$447,HLOOKUP(INDIRECT(ADDRESS(2,COLUMN())),OFFSET($BN$2,0,0,ROW()-1,60),ROW()-1,FALSE))</f>
        <v>287.19254799999999</v>
      </c>
      <c r="T381">
        <f ca="1">IF(AND($B$419=1,LEN($T$445) * LEN($T$446) * LEN($T$447)&gt;0),$T$445+$T$446-$T$447,HLOOKUP(INDIRECT(ADDRESS(2,COLUMN())),OFFSET($BN$2,0,0,ROW()-1,60),ROW()-1,FALSE))</f>
        <v>237.22103000000001</v>
      </c>
      <c r="U381">
        <f ca="1">IF(AND($B$419=1,LEN($U$445) * LEN($U$446) * LEN($U$447)&gt;0),$U$445+$U$446-$U$447,HLOOKUP(INDIRECT(ADDRESS(2,COLUMN())),OFFSET($BN$2,0,0,ROW()-1,60),ROW()-1,FALSE))</f>
        <v>228.72794500000001</v>
      </c>
      <c r="V381">
        <f ca="1">IF(AND($B$419=1,LEN($V$445) * LEN($V$446) * LEN($V$447)&gt;0),$V$445+$V$446-$V$447,HLOOKUP(INDIRECT(ADDRESS(2,COLUMN())),OFFSET($BN$2,0,0,ROW()-1,60),ROW()-1,FALSE))</f>
        <v>230.86247900000001</v>
      </c>
      <c r="W381">
        <f ca="1">IF(AND($B$419=1,LEN($W$445) * LEN($W$446) * LEN($W$447)&gt;0),$W$445+$W$446-$W$447,HLOOKUP(INDIRECT(ADDRESS(2,COLUMN())),OFFSET($BN$2,0,0,ROW()-1,60),ROW()-1,FALSE))</f>
        <v>288.278434</v>
      </c>
      <c r="X381">
        <f ca="1">IF(AND($B$419=1,LEN($X$445) * LEN($X$446) * LEN($X$447)&gt;0),$X$445+$X$446-$X$447,HLOOKUP(INDIRECT(ADDRESS(2,COLUMN())),OFFSET($BN$2,0,0,ROW()-1,60),ROW()-1,FALSE))</f>
        <v>182.71576200000001</v>
      </c>
      <c r="Y381">
        <f ca="1">IF(AND($B$419=1,LEN($Y$445) * LEN($Y$446) * LEN($Y$447)&gt;0),$Y$445+$Y$446-$Y$447,HLOOKUP(INDIRECT(ADDRESS(2,COLUMN())),OFFSET($BN$2,0,0,ROW()-1,60),ROW()-1,FALSE))</f>
        <v>100.574378</v>
      </c>
      <c r="Z381">
        <f ca="1">IF(AND($B$419=1,LEN($Z$445) * LEN($Z$446) * LEN($Z$447)&gt;0),$Z$445+$Z$446-$Z$447,HLOOKUP(INDIRECT(ADDRESS(2,COLUMN())),OFFSET($BN$2,0,0,ROW()-1,60),ROW()-1,FALSE))</f>
        <v>187.82681199999999</v>
      </c>
      <c r="AA381">
        <f ca="1">IF(AND($B$419=1,LEN($AA$445) * LEN($AA$446) * LEN($AA$447)&gt;0),$AA$445+$AA$446-$AA$447,HLOOKUP(INDIRECT(ADDRESS(2,COLUMN())),OFFSET($BN$2,0,0,ROW()-1,60),ROW()-1,FALSE))</f>
        <v>82.920516000000006</v>
      </c>
      <c r="AB381">
        <f ca="1">IF(AND($B$419=1,LEN($AB$445) * LEN($AB$446) * LEN($AB$447)&gt;0),$AB$445+$AB$446-$AB$447,HLOOKUP(INDIRECT(ADDRESS(2,COLUMN())),OFFSET($BN$2,0,0,ROW()-1,60),ROW()-1,FALSE))</f>
        <v>223.28300899999999</v>
      </c>
      <c r="AC381">
        <f ca="1">IF(AND($B$419=1,LEN($AC$445) * LEN($AC$446) * LEN($AC$447)&gt;0),$AC$445+$AC$446-$AC$447,HLOOKUP(INDIRECT(ADDRESS(2,COLUMN())),OFFSET($BN$2,0,0,ROW()-1,60),ROW()-1,FALSE))</f>
        <v>121.154</v>
      </c>
      <c r="AD381">
        <f ca="1">IF(AND($B$419=1,LEN($AD$445) * LEN($AD$446) * LEN($AD$447)&gt;0),$AD$445+$AD$446-$AD$447,HLOOKUP(INDIRECT(ADDRESS(2,COLUMN())),OFFSET($BN$2,0,0,ROW()-1,60),ROW()-1,FALSE))</f>
        <v>168.159076</v>
      </c>
      <c r="AE381">
        <f ca="1">IF(AND($B$419=1,LEN($AE$445) * LEN($AE$446) * LEN($AE$447)&gt;0),$AE$445+$AE$446-$AE$447,HLOOKUP(INDIRECT(ADDRESS(2,COLUMN())),OFFSET($BN$2,0,0,ROW()-1,60),ROW()-1,FALSE))</f>
        <v>201.605031</v>
      </c>
      <c r="AF381">
        <f ca="1">IF(AND($B$419=1,LEN($AF$445) * LEN($AF$446) * LEN($AF$447)&gt;0),$AF$445+$AF$446-$AF$447,HLOOKUP(INDIRECT(ADDRESS(2,COLUMN())),OFFSET($BN$2,0,0,ROW()-1,60),ROW()-1,FALSE))</f>
        <v>152.882711</v>
      </c>
      <c r="AG381">
        <f ca="1">IF(AND($B$419=1,LEN($AG$445) * LEN($AG$446) * LEN($AG$447)&gt;0),$AG$445+$AG$446-$AG$447,HLOOKUP(INDIRECT(ADDRESS(2,COLUMN())),OFFSET($BN$2,0,0,ROW()-1,60),ROW()-1,FALSE))</f>
        <v>153.582427</v>
      </c>
      <c r="AH381">
        <f ca="1">IF(AND($B$419=1,LEN($AH$445) * LEN($AH$446) * LEN($AH$447)&gt;0),$AH$445+$AH$446-$AH$447,HLOOKUP(INDIRECT(ADDRESS(2,COLUMN())),OFFSET($BN$2,0,0,ROW()-1,60),ROW()-1,FALSE))</f>
        <v>161.83760599999999</v>
      </c>
      <c r="AI381">
        <f ca="1">IF(AND($B$419=1,LEN($AI$445) * LEN($AI$446) * LEN($AI$447)&gt;0),$AI$445+$AI$446-$AI$447,HLOOKUP(INDIRECT(ADDRESS(2,COLUMN())),OFFSET($BN$2,0,0,ROW()-1,60),ROW()-1,FALSE))</f>
        <v>247.63342399999999</v>
      </c>
      <c r="AJ381" t="str">
        <f ca="1">IF(AND($B$419=1,LEN($AJ$445) * LEN($AJ$446) * LEN($AJ$447)&gt;0),$AJ$445+$AJ$446-$AJ$447,HLOOKUP(INDIRECT(ADDRESS(2,COLUMN())),OFFSET($BN$2,0,0,ROW()-1,60),ROW()-1,FALSE))</f>
        <v/>
      </c>
      <c r="AK381" t="str">
        <f ca="1">IF(AND($B$419=1,LEN($AK$445) * LEN($AK$446) * LEN($AK$447)&gt;0),$AK$445+$AK$446-$AK$447,HLOOKUP(INDIRECT(ADDRESS(2,COLUMN())),OFFSET($BN$2,0,0,ROW()-1,60),ROW()-1,FALSE))</f>
        <v/>
      </c>
      <c r="AL381" t="str">
        <f ca="1">IF(AND($B$419=1,LEN($AL$445) * LEN($AL$446) * LEN($AL$447)&gt;0),$AL$445+$AL$446-$AL$447,HLOOKUP(INDIRECT(ADDRESS(2,COLUMN())),OFFSET($BN$2,0,0,ROW()-1,60),ROW()-1,FALSE))</f>
        <v/>
      </c>
      <c r="AM381" t="str">
        <f ca="1">IF(AND($B$419=1,LEN($AM$445) * LEN($AM$446) * LEN($AM$447)&gt;0),$AM$445+$AM$446-$AM$447,HLOOKUP(INDIRECT(ADDRESS(2,COLUMN())),OFFSET($BN$2,0,0,ROW()-1,60),ROW()-1,FALSE))</f>
        <v/>
      </c>
      <c r="AN381" t="str">
        <f ca="1">IF(AND($B$419=1,LEN($AN$445) * LEN($AN$446) * LEN($AN$447)&gt;0),$AN$445+$AN$446-$AN$447,HLOOKUP(INDIRECT(ADDRESS(2,COLUMN())),OFFSET($BN$2,0,0,ROW()-1,60),ROW()-1,FALSE))</f>
        <v/>
      </c>
      <c r="AO381" t="str">
        <f ca="1">IF(AND($B$419=1,LEN($AO$445) * LEN($AO$446) * LEN($AO$447)&gt;0),$AO$445+$AO$446-$AO$447,HLOOKUP(INDIRECT(ADDRESS(2,COLUMN())),OFFSET($BN$2,0,0,ROW()-1,60),ROW()-1,FALSE))</f>
        <v/>
      </c>
      <c r="AP381" t="str">
        <f ca="1">IF(AND($B$419=1,LEN($AP$445) * LEN($AP$446) * LEN($AP$447)&gt;0),$AP$445+$AP$446-$AP$447,HLOOKUP(INDIRECT(ADDRESS(2,COLUMN())),OFFSET($BN$2,0,0,ROW()-1,60),ROW()-1,FALSE))</f>
        <v/>
      </c>
      <c r="AQ381" t="str">
        <f ca="1">IF(AND($B$419=1,LEN($AQ$445) * LEN($AQ$446) * LEN($AQ$447)&gt;0),$AQ$445+$AQ$446-$AQ$447,HLOOKUP(INDIRECT(ADDRESS(2,COLUMN())),OFFSET($BN$2,0,0,ROW()-1,60),ROW()-1,FALSE))</f>
        <v/>
      </c>
      <c r="AR381" t="str">
        <f ca="1">IF(AND($B$419=1,LEN($AR$445) * LEN($AR$446) * LEN($AR$447)&gt;0),$AR$445+$AR$446-$AR$447,HLOOKUP(INDIRECT(ADDRESS(2,COLUMN())),OFFSET($BN$2,0,0,ROW()-1,60),ROW()-1,FALSE))</f>
        <v/>
      </c>
      <c r="AS381" t="str">
        <f ca="1">IF(AND($B$419=1,LEN($AS$445) * LEN($AS$446) * LEN($AS$447)&gt;0),$AS$445+$AS$446-$AS$447,HLOOKUP(INDIRECT(ADDRESS(2,COLUMN())),OFFSET($BN$2,0,0,ROW()-1,60),ROW()-1,FALSE))</f>
        <v/>
      </c>
      <c r="AT381" t="str">
        <f ca="1">IF(AND($B$419=1,LEN($AT$445) * LEN($AT$446) * LEN($AT$447)&gt;0),$AT$445+$AT$446-$AT$447,HLOOKUP(INDIRECT(ADDRESS(2,COLUMN())),OFFSET($BN$2,0,0,ROW()-1,60),ROW()-1,FALSE))</f>
        <v/>
      </c>
      <c r="AU381" t="str">
        <f ca="1">IF(AND($B$419=1,LEN($AU$445) * LEN($AU$446) * LEN($AU$447)&gt;0),$AU$445+$AU$446-$AU$447,HLOOKUP(INDIRECT(ADDRESS(2,COLUMN())),OFFSET($BN$2,0,0,ROW()-1,60),ROW()-1,FALSE))</f>
        <v/>
      </c>
      <c r="AV381" t="str">
        <f ca="1">IF(AND($B$419=1,LEN($AV$445) * LEN($AV$446) * LEN($AV$447)&gt;0),$AV$445+$AV$446-$AV$447,HLOOKUP(INDIRECT(ADDRESS(2,COLUMN())),OFFSET($BN$2,0,0,ROW()-1,60),ROW()-1,FALSE))</f>
        <v/>
      </c>
      <c r="AW381" t="str">
        <f ca="1">IF(AND($B$419=1,LEN($AW$445) * LEN($AW$446) * LEN($AW$447)&gt;0),$AW$445+$AW$446-$AW$447,HLOOKUP(INDIRECT(ADDRESS(2,COLUMN())),OFFSET($BN$2,0,0,ROW()-1,60),ROW()-1,FALSE))</f>
        <v/>
      </c>
      <c r="AX381" t="str">
        <f ca="1">IF(AND($B$419=1,LEN($AX$445) * LEN($AX$446) * LEN($AX$447)&gt;0),$AX$445+$AX$446-$AX$447,HLOOKUP(INDIRECT(ADDRESS(2,COLUMN())),OFFSET($BN$2,0,0,ROW()-1,60),ROW()-1,FALSE))</f>
        <v/>
      </c>
      <c r="AY381" t="str">
        <f ca="1">IF(AND($B$419=1,LEN($AY$445) * LEN($AY$446) * LEN($AY$447)&gt;0),$AY$445+$AY$446-$AY$447,HLOOKUP(INDIRECT(ADDRESS(2,COLUMN())),OFFSET($BN$2,0,0,ROW()-1,60),ROW()-1,FALSE))</f>
        <v/>
      </c>
      <c r="AZ381" t="str">
        <f ca="1">IF(AND($B$419=1,LEN($AZ$445) * LEN($AZ$446) * LEN($AZ$447)&gt;0),$AZ$445+$AZ$446-$AZ$447,HLOOKUP(INDIRECT(ADDRESS(2,COLUMN())),OFFSET($BN$2,0,0,ROW()-1,60),ROW()-1,FALSE))</f>
        <v/>
      </c>
      <c r="BA381" t="str">
        <f ca="1">IF(AND($B$419=1,LEN($BA$445) * LEN($BA$446) * LEN($BA$447)&gt;0),$BA$445+$BA$446-$BA$447,HLOOKUP(INDIRECT(ADDRESS(2,COLUMN())),OFFSET($BN$2,0,0,ROW()-1,60),ROW()-1,FALSE))</f>
        <v/>
      </c>
      <c r="BB381" t="str">
        <f ca="1">IF(AND($B$419=1,LEN($BB$445) * LEN($BB$446) * LEN($BB$447)&gt;0),$BB$445+$BB$446-$BB$447,HLOOKUP(INDIRECT(ADDRESS(2,COLUMN())),OFFSET($BN$2,0,0,ROW()-1,60),ROW()-1,FALSE))</f>
        <v/>
      </c>
      <c r="BC381" t="str">
        <f ca="1">IF(AND($B$419=1,LEN($BC$445) * LEN($BC$446) * LEN($BC$447)&gt;0),$BC$445+$BC$446-$BC$447,HLOOKUP(INDIRECT(ADDRESS(2,COLUMN())),OFFSET($BN$2,0,0,ROW()-1,60),ROW()-1,FALSE))</f>
        <v/>
      </c>
      <c r="BD381" t="str">
        <f ca="1">IF(AND($B$419=1,LEN($BD$445) * LEN($BD$446) * LEN($BD$447)&gt;0),$BD$445+$BD$446-$BD$447,HLOOKUP(INDIRECT(ADDRESS(2,COLUMN())),OFFSET($BN$2,0,0,ROW()-1,60),ROW()-1,FALSE))</f>
        <v/>
      </c>
      <c r="BE381" t="str">
        <f ca="1">IF(AND($B$419=1,LEN($BE$445) * LEN($BE$446) * LEN($BE$447)&gt;0),$BE$445+$BE$446-$BE$447,HLOOKUP(INDIRECT(ADDRESS(2,COLUMN())),OFFSET($BN$2,0,0,ROW()-1,60),ROW()-1,FALSE))</f>
        <v/>
      </c>
      <c r="BF381" t="str">
        <f ca="1">IF(AND($B$419=1,LEN($BF$445) * LEN($BF$446) * LEN($BF$447)&gt;0),$BF$445+$BF$446-$BF$447,HLOOKUP(INDIRECT(ADDRESS(2,COLUMN())),OFFSET($BN$2,0,0,ROW()-1,60),ROW()-1,FALSE))</f>
        <v/>
      </c>
      <c r="BG381" t="str">
        <f ca="1">IF(AND($B$419=1,LEN($BG$445) * LEN($BG$446) * LEN($BG$447)&gt;0),$BG$445+$BG$446-$BG$447,HLOOKUP(INDIRECT(ADDRESS(2,COLUMN())),OFFSET($BN$2,0,0,ROW()-1,60),ROW()-1,FALSE))</f>
        <v/>
      </c>
      <c r="BH381" t="str">
        <f ca="1">IF(AND($B$419=1,LEN($BH$445) * LEN($BH$446) * LEN($BH$447)&gt;0),$BH$445+$BH$446-$BH$447,HLOOKUP(INDIRECT(ADDRESS(2,COLUMN())),OFFSET($BN$2,0,0,ROW()-1,60),ROW()-1,FALSE))</f>
        <v/>
      </c>
      <c r="BI381" t="str">
        <f ca="1">IF(AND($B$419=1,LEN($BI$445) * LEN($BI$446) * LEN($BI$447)&gt;0),$BI$445+$BI$446-$BI$447,HLOOKUP(INDIRECT(ADDRESS(2,COLUMN())),OFFSET($BN$2,0,0,ROW()-1,60),ROW()-1,FALSE))</f>
        <v/>
      </c>
      <c r="BJ381" t="str">
        <f ca="1">IF(AND($B$419=1,LEN($BJ$445) * LEN($BJ$446) * LEN($BJ$447)&gt;0),$BJ$445+$BJ$446-$BJ$447,HLOOKUP(INDIRECT(ADDRESS(2,COLUMN())),OFFSET($BN$2,0,0,ROW()-1,60),ROW()-1,FALSE))</f>
        <v/>
      </c>
      <c r="BK381" t="str">
        <f ca="1">IF(AND($B$419=1,LEN($BK$445) * LEN($BK$446) * LEN($BK$447)&gt;0),$BK$445+$BK$446-$BK$447,HLOOKUP(INDIRECT(ADDRESS(2,COLUMN())),OFFSET($BN$2,0,0,ROW()-1,60),ROW()-1,FALSE))</f>
        <v/>
      </c>
      <c r="BL381" t="str">
        <f ca="1">IF(AND($B$419=1,LEN($BL$445) * LEN($BL$446) * LEN($BL$447)&gt;0),$BL$445+$BL$446-$BL$447,HLOOKUP(INDIRECT(ADDRESS(2,COLUMN())),OFFSET($BN$2,0,0,ROW()-1,60),ROW()-1,FALSE))</f>
        <v/>
      </c>
      <c r="BM381" t="str">
        <f ca="1">IF(AND($B$419=1,LEN($BM$445) * LEN($BM$446) * LEN($BM$447)&gt;0),$BM$445+$BM$446-$BM$447,HLOOKUP(INDIRECT(ADDRESS(2,COLUMN())),OFFSET($BN$2,0,0,ROW()-1,60),ROW()-1,FALSE))</f>
        <v/>
      </c>
      <c r="BN381" t="str">
        <f>""</f>
        <v/>
      </c>
      <c r="BO381">
        <f>448.441</f>
        <v>448.44099999999997</v>
      </c>
      <c r="BP381">
        <f>292.926</f>
        <v>292.92599999999999</v>
      </c>
      <c r="BQ381">
        <f>230.118</f>
        <v>230.11799999999999</v>
      </c>
      <c r="BR381">
        <f>323.831</f>
        <v>323.83100000000002</v>
      </c>
      <c r="BS381">
        <f>405.745</f>
        <v>405.745</v>
      </c>
      <c r="BT381">
        <f>502.259</f>
        <v>502.25900000000001</v>
      </c>
      <c r="BU381">
        <f>183.665</f>
        <v>183.66499999999999</v>
      </c>
      <c r="BV381">
        <f>337.799</f>
        <v>337.79899999999998</v>
      </c>
      <c r="BW381" t="str">
        <f>""</f>
        <v/>
      </c>
      <c r="BX381">
        <f>490.625</f>
        <v>490.625</v>
      </c>
      <c r="BY381">
        <f>173.142</f>
        <v>173.142</v>
      </c>
      <c r="BZ381">
        <f>208.314</f>
        <v>208.31399999999999</v>
      </c>
      <c r="CA381">
        <f>287.192548</f>
        <v>287.19254799999999</v>
      </c>
      <c r="CB381">
        <f>237.22103</f>
        <v>237.22103000000001</v>
      </c>
      <c r="CC381">
        <f>228.727945</f>
        <v>228.72794500000001</v>
      </c>
      <c r="CD381">
        <f>230.862479</f>
        <v>230.86247900000001</v>
      </c>
      <c r="CE381">
        <f>288.278434</f>
        <v>288.278434</v>
      </c>
      <c r="CF381">
        <f>182.715762</f>
        <v>182.71576200000001</v>
      </c>
      <c r="CG381">
        <f>100.574378</f>
        <v>100.574378</v>
      </c>
      <c r="CH381">
        <f>187.826812</f>
        <v>187.82681199999999</v>
      </c>
      <c r="CI381">
        <f>82.920516</f>
        <v>82.920516000000006</v>
      </c>
      <c r="CJ381">
        <f>223.283009</f>
        <v>223.28300899999999</v>
      </c>
      <c r="CK381">
        <f>121.154</f>
        <v>121.154</v>
      </c>
      <c r="CL381">
        <f>168.159076</f>
        <v>168.159076</v>
      </c>
      <c r="CM381">
        <f>201.605031</f>
        <v>201.605031</v>
      </c>
      <c r="CN381">
        <f>152.882711</f>
        <v>152.882711</v>
      </c>
      <c r="CO381">
        <f>153.582427</f>
        <v>153.582427</v>
      </c>
      <c r="CP381">
        <f>161.837606</f>
        <v>161.83760599999999</v>
      </c>
      <c r="CQ381">
        <f>247.633424</f>
        <v>247.63342399999999</v>
      </c>
      <c r="CR381" t="str">
        <f>""</f>
        <v/>
      </c>
      <c r="CS381" t="str">
        <f>""</f>
        <v/>
      </c>
      <c r="CT381" t="str">
        <f>""</f>
        <v/>
      </c>
      <c r="CU381" t="str">
        <f>""</f>
        <v/>
      </c>
      <c r="CV381" t="str">
        <f>""</f>
        <v/>
      </c>
      <c r="CW381" t="str">
        <f>""</f>
        <v/>
      </c>
      <c r="CX381" t="str">
        <f>""</f>
        <v/>
      </c>
      <c r="CY381" t="str">
        <f>""</f>
        <v/>
      </c>
      <c r="CZ381" t="str">
        <f>""</f>
        <v/>
      </c>
      <c r="DA381" t="str">
        <f>""</f>
        <v/>
      </c>
      <c r="DB381" t="str">
        <f>""</f>
        <v/>
      </c>
      <c r="DC381" t="str">
        <f>""</f>
        <v/>
      </c>
      <c r="DD381" t="str">
        <f>""</f>
        <v/>
      </c>
      <c r="DE381" t="str">
        <f>""</f>
        <v/>
      </c>
      <c r="DF381" t="str">
        <f>""</f>
        <v/>
      </c>
      <c r="DG381" t="str">
        <f>""</f>
        <v/>
      </c>
      <c r="DH381" t="str">
        <f>""</f>
        <v/>
      </c>
      <c r="DI381" t="str">
        <f>""</f>
        <v/>
      </c>
      <c r="DJ381" t="str">
        <f>""</f>
        <v/>
      </c>
      <c r="DK381" t="str">
        <f>""</f>
        <v/>
      </c>
      <c r="DL381" t="str">
        <f>""</f>
        <v/>
      </c>
      <c r="DM381" t="str">
        <f>""</f>
        <v/>
      </c>
      <c r="DN381" t="str">
        <f>""</f>
        <v/>
      </c>
      <c r="DO381" t="str">
        <f>""</f>
        <v/>
      </c>
      <c r="DP381" t="str">
        <f>""</f>
        <v/>
      </c>
      <c r="DQ381" t="str">
        <f>""</f>
        <v/>
      </c>
      <c r="DR381" t="str">
        <f>""</f>
        <v/>
      </c>
      <c r="DS381" t="str">
        <f>""</f>
        <v/>
      </c>
      <c r="DT381" t="str">
        <f>""</f>
        <v/>
      </c>
      <c r="DU381" t="str">
        <f>""</f>
        <v/>
      </c>
    </row>
    <row r="382" spans="1:125">
      <c r="A382" t="str">
        <f>"    Retail Properties of America I"</f>
        <v xml:space="preserve">    Retail Properties of America I</v>
      </c>
      <c r="B382" t="str">
        <f>"RPAI US Equity"</f>
        <v>RPAI US Equity</v>
      </c>
      <c r="E382" t="str">
        <f t="shared" si="69"/>
        <v>Expression</v>
      </c>
      <c r="F382" t="str">
        <f ca="1">IF(AND($B$419=1,LEN($F$448) * LEN($F$449) * LEN($F$450)&gt;0),$F$448+$F$449-$F$450,HLOOKUP(INDIRECT(ADDRESS(2,COLUMN())),OFFSET($BN$2,0,0,ROW()-1,60),ROW()-1,FALSE))</f>
        <v/>
      </c>
      <c r="G382">
        <f ca="1">IF(AND($B$419=1,LEN($G$448) * LEN($G$449) * LEN($G$450)&gt;0),$G$448+$G$449-$G$450,HLOOKUP(INDIRECT(ADDRESS(2,COLUMN())),OFFSET($BN$2,0,0,ROW()-1,60),ROW()-1,FALSE))</f>
        <v>271.01900000000001</v>
      </c>
      <c r="H382">
        <f ca="1">IF(AND($B$419=1,LEN($H$448) * LEN($H$449) * LEN($H$450)&gt;0),$H$448+$H$449-$H$450,HLOOKUP(INDIRECT(ADDRESS(2,COLUMN())),OFFSET($BN$2,0,0,ROW()-1,60),ROW()-1,FALSE))</f>
        <v>582.00400000000002</v>
      </c>
      <c r="I382">
        <f ca="1">IF(AND($B$419=1,LEN($I$448) * LEN($I$449) * LEN($I$450)&gt;0),$I$448+$I$449-$I$450,HLOOKUP(INDIRECT(ADDRESS(2,COLUMN())),OFFSET($BN$2,0,0,ROW()-1,60),ROW()-1,FALSE))</f>
        <v>555.68700000000001</v>
      </c>
      <c r="J382">
        <f ca="1">IF(AND($B$419=1,LEN($J$448) * LEN($J$449) * LEN($J$450)&gt;0),$J$448+$J$449-$J$450,HLOOKUP(INDIRECT(ADDRESS(2,COLUMN())),OFFSET($BN$2,0,0,ROW()-1,60),ROW()-1,FALSE))</f>
        <v>461.94900000000001</v>
      </c>
      <c r="K382">
        <f ca="1">IF(AND($B$419=1,LEN($K$448) * LEN($K$449) * LEN($K$450)&gt;0),$K$448+$K$449-$K$450,HLOOKUP(INDIRECT(ADDRESS(2,COLUMN())),OFFSET($BN$2,0,0,ROW()-1,60),ROW()-1,FALSE))</f>
        <v>468.096</v>
      </c>
      <c r="L382">
        <f ca="1">IF(AND($B$419=1,LEN($L$448) * LEN($L$449) * LEN($L$450)&gt;0),$L$448+$L$449-$L$450,HLOOKUP(INDIRECT(ADDRESS(2,COLUMN())),OFFSET($BN$2,0,0,ROW()-1,60),ROW()-1,FALSE))</f>
        <v>616.20600000000002</v>
      </c>
      <c r="M382">
        <f ca="1">IF(AND($B$419=1,LEN($M$448) * LEN($M$449) * LEN($M$450)&gt;0),$M$448+$M$449-$M$450,HLOOKUP(INDIRECT(ADDRESS(2,COLUMN())),OFFSET($BN$2,0,0,ROW()-1,60),ROW()-1,FALSE))</f>
        <v>239.358</v>
      </c>
      <c r="N382">
        <f ca="1">IF(AND($B$419=1,LEN($N$448) * LEN($N$449) * LEN($N$450)&gt;0),$N$448+$N$449-$N$450,HLOOKUP(INDIRECT(ADDRESS(2,COLUMN())),OFFSET($BN$2,0,0,ROW()-1,60),ROW()-1,FALSE))</f>
        <v>325.90499999999997</v>
      </c>
      <c r="O382">
        <f ca="1">IF(AND($B$419=1,LEN($O$448) * LEN($O$449) * LEN($O$450)&gt;0),$O$448+$O$449-$O$450,HLOOKUP(INDIRECT(ADDRESS(2,COLUMN())),OFFSET($BN$2,0,0,ROW()-1,60),ROW()-1,FALSE))</f>
        <v>452.548</v>
      </c>
      <c r="P382">
        <f ca="1">IF(AND($B$419=1,LEN($P$448) * LEN($P$449) * LEN($P$450)&gt;0),$P$448+$P$449-$P$450,HLOOKUP(INDIRECT(ADDRESS(2,COLUMN())),OFFSET($BN$2,0,0,ROW()-1,60),ROW()-1,FALSE))</f>
        <v>458.78399999999999</v>
      </c>
      <c r="Q382">
        <f ca="1">IF(AND($B$419=1,LEN($Q$448) * LEN($Q$449) * LEN($Q$450)&gt;0),$Q$448+$Q$449-$Q$450,HLOOKUP(INDIRECT(ADDRESS(2,COLUMN())),OFFSET($BN$2,0,0,ROW()-1,60),ROW()-1,FALSE))</f>
        <v>279.37700000000001</v>
      </c>
      <c r="R382">
        <f ca="1">IF(AND($B$419=1,LEN($R$448) * LEN($R$449) * LEN($R$450)&gt;0),$R$448+$R$449-$R$450,HLOOKUP(INDIRECT(ADDRESS(2,COLUMN())),OFFSET($BN$2,0,0,ROW()-1,60),ROW()-1,FALSE))</f>
        <v>259.53800000000001</v>
      </c>
      <c r="S382">
        <f ca="1">IF(AND($B$419=1,LEN($S$448) * LEN($S$449) * LEN($S$450)&gt;0),$S$448+$S$449-$S$450,HLOOKUP(INDIRECT(ADDRESS(2,COLUMN())),OFFSET($BN$2,0,0,ROW()-1,60),ROW()-1,FALSE))</f>
        <v>270.733</v>
      </c>
      <c r="T382">
        <f ca="1">IF(AND($B$419=1,LEN($T$448) * LEN($T$449) * LEN($T$450)&gt;0),$T$448+$T$449-$T$450,HLOOKUP(INDIRECT(ADDRESS(2,COLUMN())),OFFSET($BN$2,0,0,ROW()-1,60),ROW()-1,FALSE))</f>
        <v>540.70500000000004</v>
      </c>
      <c r="U382">
        <f ca="1">IF(AND($B$419=1,LEN($U$448) * LEN($U$449) * LEN($U$450)&gt;0),$U$448+$U$449-$U$450,HLOOKUP(INDIRECT(ADDRESS(2,COLUMN())),OFFSET($BN$2,0,0,ROW()-1,60),ROW()-1,FALSE))</f>
        <v>584.65499999999997</v>
      </c>
      <c r="V382">
        <f ca="1">IF(AND($B$419=1,LEN($V$448) * LEN($V$449) * LEN($V$450)&gt;0),$V$448+$V$449-$V$450,HLOOKUP(INDIRECT(ADDRESS(2,COLUMN())),OFFSET($BN$2,0,0,ROW()-1,60),ROW()-1,FALSE))</f>
        <v>352.17700000000002</v>
      </c>
      <c r="W382">
        <f ca="1">IF(AND($B$419=1,LEN($W$448) * LEN($W$449) * LEN($W$450)&gt;0),$W$448+$W$449-$W$450,HLOOKUP(INDIRECT(ADDRESS(2,COLUMN())),OFFSET($BN$2,0,0,ROW()-1,60),ROW()-1,FALSE))</f>
        <v>393.36500000000001</v>
      </c>
      <c r="X382">
        <f ca="1">IF(AND($B$419=1,LEN($X$448) * LEN($X$449) * LEN($X$450)&gt;0),$X$448+$X$449-$X$450,HLOOKUP(INDIRECT(ADDRESS(2,COLUMN())),OFFSET($BN$2,0,0,ROW()-1,60),ROW()-1,FALSE))</f>
        <v>389.84199999999998</v>
      </c>
      <c r="Y382">
        <f ca="1">IF(AND($B$419=1,LEN($Y$448) * LEN($Y$449) * LEN($Y$450)&gt;0),$Y$448+$Y$449-$Y$450,HLOOKUP(INDIRECT(ADDRESS(2,COLUMN())),OFFSET($BN$2,0,0,ROW()-1,60),ROW()-1,FALSE))</f>
        <v>506.76499999999999</v>
      </c>
      <c r="Z382">
        <f ca="1">IF(AND($B$419=1,LEN($Z$448) * LEN($Z$449) * LEN($Z$450)&gt;0),$Z$448+$Z$449-$Z$450,HLOOKUP(INDIRECT(ADDRESS(2,COLUMN())),OFFSET($BN$2,0,0,ROW()-1,60),ROW()-1,FALSE))</f>
        <v>47.593000000000004</v>
      </c>
      <c r="AA382">
        <f ca="1">IF(AND($B$419=1,LEN($AA$448) * LEN($AA$449) * LEN($AA$450)&gt;0),$AA$448+$AA$449-$AA$450,HLOOKUP(INDIRECT(ADDRESS(2,COLUMN())),OFFSET($BN$2,0,0,ROW()-1,60),ROW()-1,FALSE))</f>
        <v>171.875</v>
      </c>
      <c r="AB382">
        <f ca="1">IF(AND($B$419=1,LEN($AB$448) * LEN($AB$449) * LEN($AB$450)&gt;0),$AB$448+$AB$449-$AB$450,HLOOKUP(INDIRECT(ADDRESS(2,COLUMN())),OFFSET($BN$2,0,0,ROW()-1,60),ROW()-1,FALSE))</f>
        <v>245.19300000000001</v>
      </c>
      <c r="AC382">
        <f ca="1">IF(AND($B$419=1,LEN($AC$448) * LEN($AC$449) * LEN($AC$450)&gt;0),$AC$448+$AC$449-$AC$450,HLOOKUP(INDIRECT(ADDRESS(2,COLUMN())),OFFSET($BN$2,0,0,ROW()-1,60),ROW()-1,FALSE))</f>
        <v>64.075000000000003</v>
      </c>
      <c r="AD382">
        <f ca="1">IF(AND($B$419=1,LEN($AD$448) * LEN($AD$449) * LEN($AD$450)&gt;0),$AD$448+$AD$449-$AD$450,HLOOKUP(INDIRECT(ADDRESS(2,COLUMN())),OFFSET($BN$2,0,0,ROW()-1,60),ROW()-1,FALSE))</f>
        <v>-135.084</v>
      </c>
      <c r="AE382">
        <f ca="1">IF(AND($B$419=1,LEN($AE$448) * LEN($AE$449) * LEN($AE$450)&gt;0),$AE$448+$AE$449-$AE$450,HLOOKUP(INDIRECT(ADDRESS(2,COLUMN())),OFFSET($BN$2,0,0,ROW()-1,60),ROW()-1,FALSE))</f>
        <v>-361.36799999999999</v>
      </c>
      <c r="AF382">
        <f ca="1">IF(AND($B$419=1,LEN($AF$448) * LEN($AF$449) * LEN($AF$450)&gt;0),$AF$448+$AF$449-$AF$450,HLOOKUP(INDIRECT(ADDRESS(2,COLUMN())),OFFSET($BN$2,0,0,ROW()-1,60),ROW()-1,FALSE))</f>
        <v>389.30599999999998</v>
      </c>
      <c r="AG382">
        <f ca="1">IF(AND($B$419=1,LEN($AG$448) * LEN($AG$449) * LEN($AG$450)&gt;0),$AG$448+$AG$449-$AG$450,HLOOKUP(INDIRECT(ADDRESS(2,COLUMN())),OFFSET($BN$2,0,0,ROW()-1,60),ROW()-1,FALSE))</f>
        <v>144.81</v>
      </c>
      <c r="AH382">
        <f ca="1">IF(AND($B$419=1,LEN($AH$448) * LEN($AH$449) * LEN($AH$450)&gt;0),$AH$448+$AH$449-$AH$450,HLOOKUP(INDIRECT(ADDRESS(2,COLUMN())),OFFSET($BN$2,0,0,ROW()-1,60),ROW()-1,FALSE))</f>
        <v>-43.843000000000004</v>
      </c>
      <c r="AI382" t="str">
        <f ca="1">IF(AND($B$419=1,LEN($AI$448) * LEN($AI$449) * LEN($AI$450)&gt;0),$AI$448+$AI$449-$AI$450,HLOOKUP(INDIRECT(ADDRESS(2,COLUMN())),OFFSET($BN$2,0,0,ROW()-1,60),ROW()-1,FALSE))</f>
        <v/>
      </c>
      <c r="AJ382">
        <f ca="1">IF(AND($B$419=1,LEN($AJ$448) * LEN($AJ$449) * LEN($AJ$450)&gt;0),$AJ$448+$AJ$449-$AJ$450,HLOOKUP(INDIRECT(ADDRESS(2,COLUMN())),OFFSET($BN$2,0,0,ROW()-1,60),ROW()-1,FALSE))</f>
        <v>-144.256</v>
      </c>
      <c r="AK382" t="str">
        <f ca="1">IF(AND($B$419=1,LEN($AK$448) * LEN($AK$449) * LEN($AK$450)&gt;0),$AK$448+$AK$449-$AK$450,HLOOKUP(INDIRECT(ADDRESS(2,COLUMN())),OFFSET($BN$2,0,0,ROW()-1,60),ROW()-1,FALSE))</f>
        <v/>
      </c>
      <c r="AL382" t="str">
        <f ca="1">IF(AND($B$419=1,LEN($AL$448) * LEN($AL$449) * LEN($AL$450)&gt;0),$AL$448+$AL$449-$AL$450,HLOOKUP(INDIRECT(ADDRESS(2,COLUMN())),OFFSET($BN$2,0,0,ROW()-1,60),ROW()-1,FALSE))</f>
        <v/>
      </c>
      <c r="AM382" t="str">
        <f ca="1">IF(AND($B$419=1,LEN($AM$448) * LEN($AM$449) * LEN($AM$450)&gt;0),$AM$448+$AM$449-$AM$450,HLOOKUP(INDIRECT(ADDRESS(2,COLUMN())),OFFSET($BN$2,0,0,ROW()-1,60),ROW()-1,FALSE))</f>
        <v/>
      </c>
      <c r="AN382" t="str">
        <f ca="1">IF(AND($B$419=1,LEN($AN$448) * LEN($AN$449) * LEN($AN$450)&gt;0),$AN$448+$AN$449-$AN$450,HLOOKUP(INDIRECT(ADDRESS(2,COLUMN())),OFFSET($BN$2,0,0,ROW()-1,60),ROW()-1,FALSE))</f>
        <v/>
      </c>
      <c r="AO382" t="str">
        <f ca="1">IF(AND($B$419=1,LEN($AO$448) * LEN($AO$449) * LEN($AO$450)&gt;0),$AO$448+$AO$449-$AO$450,HLOOKUP(INDIRECT(ADDRESS(2,COLUMN())),OFFSET($BN$2,0,0,ROW()-1,60),ROW()-1,FALSE))</f>
        <v/>
      </c>
      <c r="AP382" t="str">
        <f ca="1">IF(AND($B$419=1,LEN($AP$448) * LEN($AP$449) * LEN($AP$450)&gt;0),$AP$448+$AP$449-$AP$450,HLOOKUP(INDIRECT(ADDRESS(2,COLUMN())),OFFSET($BN$2,0,0,ROW()-1,60),ROW()-1,FALSE))</f>
        <v/>
      </c>
      <c r="AQ382" t="str">
        <f ca="1">IF(AND($B$419=1,LEN($AQ$448) * LEN($AQ$449) * LEN($AQ$450)&gt;0),$AQ$448+$AQ$449-$AQ$450,HLOOKUP(INDIRECT(ADDRESS(2,COLUMN())),OFFSET($BN$2,0,0,ROW()-1,60),ROW()-1,FALSE))</f>
        <v/>
      </c>
      <c r="AR382" t="str">
        <f ca="1">IF(AND($B$419=1,LEN($AR$448) * LEN($AR$449) * LEN($AR$450)&gt;0),$AR$448+$AR$449-$AR$450,HLOOKUP(INDIRECT(ADDRESS(2,COLUMN())),OFFSET($BN$2,0,0,ROW()-1,60),ROW()-1,FALSE))</f>
        <v/>
      </c>
      <c r="AS382" t="str">
        <f ca="1">IF(AND($B$419=1,LEN($AS$448) * LEN($AS$449) * LEN($AS$450)&gt;0),$AS$448+$AS$449-$AS$450,HLOOKUP(INDIRECT(ADDRESS(2,COLUMN())),OFFSET($BN$2,0,0,ROW()-1,60),ROW()-1,FALSE))</f>
        <v/>
      </c>
      <c r="AT382" t="str">
        <f ca="1">IF(AND($B$419=1,LEN($AT$448) * LEN($AT$449) * LEN($AT$450)&gt;0),$AT$448+$AT$449-$AT$450,HLOOKUP(INDIRECT(ADDRESS(2,COLUMN())),OFFSET($BN$2,0,0,ROW()-1,60),ROW()-1,FALSE))</f>
        <v/>
      </c>
      <c r="AU382" t="str">
        <f ca="1">IF(AND($B$419=1,LEN($AU$448) * LEN($AU$449) * LEN($AU$450)&gt;0),$AU$448+$AU$449-$AU$450,HLOOKUP(INDIRECT(ADDRESS(2,COLUMN())),OFFSET($BN$2,0,0,ROW()-1,60),ROW()-1,FALSE))</f>
        <v/>
      </c>
      <c r="AV382" t="str">
        <f ca="1">IF(AND($B$419=1,LEN($AV$448) * LEN($AV$449) * LEN($AV$450)&gt;0),$AV$448+$AV$449-$AV$450,HLOOKUP(INDIRECT(ADDRESS(2,COLUMN())),OFFSET($BN$2,0,0,ROW()-1,60),ROW()-1,FALSE))</f>
        <v/>
      </c>
      <c r="AW382" t="str">
        <f ca="1">IF(AND($B$419=1,LEN($AW$448) * LEN($AW$449) * LEN($AW$450)&gt;0),$AW$448+$AW$449-$AW$450,HLOOKUP(INDIRECT(ADDRESS(2,COLUMN())),OFFSET($BN$2,0,0,ROW()-1,60),ROW()-1,FALSE))</f>
        <v/>
      </c>
      <c r="AX382" t="str">
        <f ca="1">IF(AND($B$419=1,LEN($AX$448) * LEN($AX$449) * LEN($AX$450)&gt;0),$AX$448+$AX$449-$AX$450,HLOOKUP(INDIRECT(ADDRESS(2,COLUMN())),OFFSET($BN$2,0,0,ROW()-1,60),ROW()-1,FALSE))</f>
        <v/>
      </c>
      <c r="AY382" t="str">
        <f ca="1">IF(AND($B$419=1,LEN($AY$448) * LEN($AY$449) * LEN($AY$450)&gt;0),$AY$448+$AY$449-$AY$450,HLOOKUP(INDIRECT(ADDRESS(2,COLUMN())),OFFSET($BN$2,0,0,ROW()-1,60),ROW()-1,FALSE))</f>
        <v/>
      </c>
      <c r="AZ382" t="str">
        <f ca="1">IF(AND($B$419=1,LEN($AZ$448) * LEN($AZ$449) * LEN($AZ$450)&gt;0),$AZ$448+$AZ$449-$AZ$450,HLOOKUP(INDIRECT(ADDRESS(2,COLUMN())),OFFSET($BN$2,0,0,ROW()-1,60),ROW()-1,FALSE))</f>
        <v/>
      </c>
      <c r="BA382" t="str">
        <f ca="1">IF(AND($B$419=1,LEN($BA$448) * LEN($BA$449) * LEN($BA$450)&gt;0),$BA$448+$BA$449-$BA$450,HLOOKUP(INDIRECT(ADDRESS(2,COLUMN())),OFFSET($BN$2,0,0,ROW()-1,60),ROW()-1,FALSE))</f>
        <v/>
      </c>
      <c r="BB382" t="str">
        <f ca="1">IF(AND($B$419=1,LEN($BB$448) * LEN($BB$449) * LEN($BB$450)&gt;0),$BB$448+$BB$449-$BB$450,HLOOKUP(INDIRECT(ADDRESS(2,COLUMN())),OFFSET($BN$2,0,0,ROW()-1,60),ROW()-1,FALSE))</f>
        <v/>
      </c>
      <c r="BC382" t="str">
        <f ca="1">IF(AND($B$419=1,LEN($BC$448) * LEN($BC$449) * LEN($BC$450)&gt;0),$BC$448+$BC$449-$BC$450,HLOOKUP(INDIRECT(ADDRESS(2,COLUMN())),OFFSET($BN$2,0,0,ROW()-1,60),ROW()-1,FALSE))</f>
        <v/>
      </c>
      <c r="BD382" t="str">
        <f ca="1">IF(AND($B$419=1,LEN($BD$448) * LEN($BD$449) * LEN($BD$450)&gt;0),$BD$448+$BD$449-$BD$450,HLOOKUP(INDIRECT(ADDRESS(2,COLUMN())),OFFSET($BN$2,0,0,ROW()-1,60),ROW()-1,FALSE))</f>
        <v/>
      </c>
      <c r="BE382" t="str">
        <f ca="1">IF(AND($B$419=1,LEN($BE$448) * LEN($BE$449) * LEN($BE$450)&gt;0),$BE$448+$BE$449-$BE$450,HLOOKUP(INDIRECT(ADDRESS(2,COLUMN())),OFFSET($BN$2,0,0,ROW()-1,60),ROW()-1,FALSE))</f>
        <v/>
      </c>
      <c r="BF382" t="str">
        <f ca="1">IF(AND($B$419=1,LEN($BF$448) * LEN($BF$449) * LEN($BF$450)&gt;0),$BF$448+$BF$449-$BF$450,HLOOKUP(INDIRECT(ADDRESS(2,COLUMN())),OFFSET($BN$2,0,0,ROW()-1,60),ROW()-1,FALSE))</f>
        <v/>
      </c>
      <c r="BG382" t="str">
        <f ca="1">IF(AND($B$419=1,LEN($BG$448) * LEN($BG$449) * LEN($BG$450)&gt;0),$BG$448+$BG$449-$BG$450,HLOOKUP(INDIRECT(ADDRESS(2,COLUMN())),OFFSET($BN$2,0,0,ROW()-1,60),ROW()-1,FALSE))</f>
        <v/>
      </c>
      <c r="BH382" t="str">
        <f ca="1">IF(AND($B$419=1,LEN($BH$448) * LEN($BH$449) * LEN($BH$450)&gt;0),$BH$448+$BH$449-$BH$450,HLOOKUP(INDIRECT(ADDRESS(2,COLUMN())),OFFSET($BN$2,0,0,ROW()-1,60),ROW()-1,FALSE))</f>
        <v/>
      </c>
      <c r="BI382" t="str">
        <f ca="1">IF(AND($B$419=1,LEN($BI$448) * LEN($BI$449) * LEN($BI$450)&gt;0),$BI$448+$BI$449-$BI$450,HLOOKUP(INDIRECT(ADDRESS(2,COLUMN())),OFFSET($BN$2,0,0,ROW()-1,60),ROW()-1,FALSE))</f>
        <v/>
      </c>
      <c r="BJ382" t="str">
        <f ca="1">IF(AND($B$419=1,LEN($BJ$448) * LEN($BJ$449) * LEN($BJ$450)&gt;0),$BJ$448+$BJ$449-$BJ$450,HLOOKUP(INDIRECT(ADDRESS(2,COLUMN())),OFFSET($BN$2,0,0,ROW()-1,60),ROW()-1,FALSE))</f>
        <v/>
      </c>
      <c r="BK382" t="str">
        <f ca="1">IF(AND($B$419=1,LEN($BK$448) * LEN($BK$449) * LEN($BK$450)&gt;0),$BK$448+$BK$449-$BK$450,HLOOKUP(INDIRECT(ADDRESS(2,COLUMN())),OFFSET($BN$2,0,0,ROW()-1,60),ROW()-1,FALSE))</f>
        <v/>
      </c>
      <c r="BL382" t="str">
        <f ca="1">IF(AND($B$419=1,LEN($BL$448) * LEN($BL$449) * LEN($BL$450)&gt;0),$BL$448+$BL$449-$BL$450,HLOOKUP(INDIRECT(ADDRESS(2,COLUMN())),OFFSET($BN$2,0,0,ROW()-1,60),ROW()-1,FALSE))</f>
        <v/>
      </c>
      <c r="BM382" t="str">
        <f ca="1">IF(AND($B$419=1,LEN($BM$448) * LEN($BM$449) * LEN($BM$450)&gt;0),$BM$448+$BM$449-$BM$450,HLOOKUP(INDIRECT(ADDRESS(2,COLUMN())),OFFSET($BN$2,0,0,ROW()-1,60),ROW()-1,FALSE))</f>
        <v/>
      </c>
      <c r="BN382" t="str">
        <f>""</f>
        <v/>
      </c>
      <c r="BO382">
        <f>271.019</f>
        <v>271.01900000000001</v>
      </c>
      <c r="BP382">
        <f>582.004</f>
        <v>582.00400000000002</v>
      </c>
      <c r="BQ382">
        <f>555.687</f>
        <v>555.68700000000001</v>
      </c>
      <c r="BR382">
        <f>461.949</f>
        <v>461.94900000000001</v>
      </c>
      <c r="BS382">
        <f>468.096</f>
        <v>468.096</v>
      </c>
      <c r="BT382">
        <f>616.206</f>
        <v>616.20600000000002</v>
      </c>
      <c r="BU382">
        <f>239.358</f>
        <v>239.358</v>
      </c>
      <c r="BV382">
        <f>325.905</f>
        <v>325.90499999999997</v>
      </c>
      <c r="BW382">
        <f>452.548</f>
        <v>452.548</v>
      </c>
      <c r="BX382">
        <f>458.784</f>
        <v>458.78399999999999</v>
      </c>
      <c r="BY382">
        <f>279.377</f>
        <v>279.37700000000001</v>
      </c>
      <c r="BZ382">
        <f>259.538</f>
        <v>259.53800000000001</v>
      </c>
      <c r="CA382">
        <f>270.733</f>
        <v>270.733</v>
      </c>
      <c r="CB382">
        <f>540.705</f>
        <v>540.70500000000004</v>
      </c>
      <c r="CC382">
        <f>584.655</f>
        <v>584.65499999999997</v>
      </c>
      <c r="CD382">
        <f>352.177</f>
        <v>352.17700000000002</v>
      </c>
      <c r="CE382">
        <f>393.365</f>
        <v>393.36500000000001</v>
      </c>
      <c r="CF382">
        <f>389.842</f>
        <v>389.84199999999998</v>
      </c>
      <c r="CG382">
        <f>506.765</f>
        <v>506.76499999999999</v>
      </c>
      <c r="CH382">
        <f>47.593</f>
        <v>47.593000000000004</v>
      </c>
      <c r="CI382">
        <f>171.875</f>
        <v>171.875</v>
      </c>
      <c r="CJ382">
        <f>245.193</f>
        <v>245.19300000000001</v>
      </c>
      <c r="CK382">
        <f>64.075</f>
        <v>64.075000000000003</v>
      </c>
      <c r="CL382">
        <f>-135.084</f>
        <v>-135.084</v>
      </c>
      <c r="CM382">
        <f>-361.368</f>
        <v>-361.36799999999999</v>
      </c>
      <c r="CN382">
        <f>389.306</f>
        <v>389.30599999999998</v>
      </c>
      <c r="CO382">
        <f>144.81</f>
        <v>144.81</v>
      </c>
      <c r="CP382">
        <f>-43.843</f>
        <v>-43.843000000000004</v>
      </c>
      <c r="CQ382" t="str">
        <f>""</f>
        <v/>
      </c>
      <c r="CR382">
        <f>-144.256</f>
        <v>-144.256</v>
      </c>
      <c r="CS382" t="str">
        <f>""</f>
        <v/>
      </c>
      <c r="CT382" t="str">
        <f>""</f>
        <v/>
      </c>
      <c r="CU382" t="str">
        <f>""</f>
        <v/>
      </c>
      <c r="CV382" t="str">
        <f>""</f>
        <v/>
      </c>
      <c r="CW382" t="str">
        <f>""</f>
        <v/>
      </c>
      <c r="CX382" t="str">
        <f>""</f>
        <v/>
      </c>
      <c r="CY382" t="str">
        <f>""</f>
        <v/>
      </c>
      <c r="CZ382" t="str">
        <f>""</f>
        <v/>
      </c>
      <c r="DA382" t="str">
        <f>""</f>
        <v/>
      </c>
      <c r="DB382" t="str">
        <f>""</f>
        <v/>
      </c>
      <c r="DC382" t="str">
        <f>""</f>
        <v/>
      </c>
      <c r="DD382" t="str">
        <f>""</f>
        <v/>
      </c>
      <c r="DE382" t="str">
        <f>""</f>
        <v/>
      </c>
      <c r="DF382" t="str">
        <f>""</f>
        <v/>
      </c>
      <c r="DG382" t="str">
        <f>""</f>
        <v/>
      </c>
      <c r="DH382" t="str">
        <f>""</f>
        <v/>
      </c>
      <c r="DI382" t="str">
        <f>""</f>
        <v/>
      </c>
      <c r="DJ382" t="str">
        <f>""</f>
        <v/>
      </c>
      <c r="DK382" t="str">
        <f>""</f>
        <v/>
      </c>
      <c r="DL382" t="str">
        <f>""</f>
        <v/>
      </c>
      <c r="DM382" t="str">
        <f>""</f>
        <v/>
      </c>
      <c r="DN382" t="str">
        <f>""</f>
        <v/>
      </c>
      <c r="DO382" t="str">
        <f>""</f>
        <v/>
      </c>
      <c r="DP382" t="str">
        <f>""</f>
        <v/>
      </c>
      <c r="DQ382" t="str">
        <f>""</f>
        <v/>
      </c>
      <c r="DR382" t="str">
        <f>""</f>
        <v/>
      </c>
      <c r="DS382" t="str">
        <f>""</f>
        <v/>
      </c>
      <c r="DT382" t="str">
        <f>""</f>
        <v/>
      </c>
      <c r="DU382" t="str">
        <f>""</f>
        <v/>
      </c>
    </row>
    <row r="383" spans="1:125">
      <c r="A383" t="str">
        <f>"    Simon Property Group Inc"</f>
        <v xml:space="preserve">    Simon Property Group Inc</v>
      </c>
      <c r="B383" t="str">
        <f>"SPG US Equity"</f>
        <v>SPG US Equity</v>
      </c>
      <c r="E383" t="str">
        <f t="shared" si="69"/>
        <v>Expression</v>
      </c>
      <c r="F383" t="str">
        <f ca="1">IF(AND($B$419=1,LEN($F$451) * LEN($F$452) * LEN($F$453)&gt;0),$F$451+$F$452-$F$453,HLOOKUP(INDIRECT(ADDRESS(2,COLUMN())),OFFSET($BN$2,0,0,ROW()-1,60),ROW()-1,FALSE))</f>
        <v/>
      </c>
      <c r="G383">
        <f ca="1">IF(AND($B$419=1,LEN($G$451) * LEN($G$452) * LEN($G$453)&gt;0),$G$451+$G$452-$G$453,HLOOKUP(INDIRECT(ADDRESS(2,COLUMN())),OFFSET($BN$2,0,0,ROW()-1,60),ROW()-1,FALSE))</f>
        <v>5512.4679999999998</v>
      </c>
      <c r="H383">
        <f ca="1">IF(AND($B$419=1,LEN($H$451) * LEN($H$452) * LEN($H$453)&gt;0),$H$451+$H$452-$H$453,HLOOKUP(INDIRECT(ADDRESS(2,COLUMN())),OFFSET($BN$2,0,0,ROW()-1,60),ROW()-1,FALSE))</f>
        <v>5099.1729999999998</v>
      </c>
      <c r="I383">
        <f ca="1">IF(AND($B$419=1,LEN($I$451) * LEN($I$452) * LEN($I$453)&gt;0),$I$451+$I$452-$I$453,HLOOKUP(INDIRECT(ADDRESS(2,COLUMN())),OFFSET($BN$2,0,0,ROW()-1,60),ROW()-1,FALSE))</f>
        <v>5426.2510000000002</v>
      </c>
      <c r="J383">
        <f ca="1">IF(AND($B$419=1,LEN($J$451) * LEN($J$452) * LEN($J$453)&gt;0),$J$451+$J$452-$J$453,HLOOKUP(INDIRECT(ADDRESS(2,COLUMN())),OFFSET($BN$2,0,0,ROW()-1,60),ROW()-1,FALSE))</f>
        <v>5186.8860000000004</v>
      </c>
      <c r="K383">
        <f ca="1">IF(AND($B$419=1,LEN($K$451) * LEN($K$452) * LEN($K$453)&gt;0),$K$451+$K$452-$K$453,HLOOKUP(INDIRECT(ADDRESS(2,COLUMN())),OFFSET($BN$2,0,0,ROW()-1,60),ROW()-1,FALSE))</f>
        <v>4271.3959999999997</v>
      </c>
      <c r="L383">
        <f ca="1">IF(AND($B$419=1,LEN($L$451) * LEN($L$452) * LEN($L$453)&gt;0),$L$451+$L$452-$L$453,HLOOKUP(INDIRECT(ADDRESS(2,COLUMN())),OFFSET($BN$2,0,0,ROW()-1,60),ROW()-1,FALSE))</f>
        <v>5676.8289999999997</v>
      </c>
      <c r="M383">
        <f ca="1">IF(AND($B$419=1,LEN($M$451) * LEN($M$452) * LEN($M$453)&gt;0),$M$451+$M$452-$M$453,HLOOKUP(INDIRECT(ADDRESS(2,COLUMN())),OFFSET($BN$2,0,0,ROW()-1,60),ROW()-1,FALSE))</f>
        <v>5116.884</v>
      </c>
      <c r="N383">
        <f ca="1">IF(AND($B$419=1,LEN($N$451) * LEN($N$452) * LEN($N$453)&gt;0),$N$451+$N$452-$N$453,HLOOKUP(INDIRECT(ADDRESS(2,COLUMN())),OFFSET($BN$2,0,0,ROW()-1,60),ROW()-1,FALSE))</f>
        <v>3713.5479999999998</v>
      </c>
      <c r="O383" t="str">
        <f ca="1">IF(AND($B$419=1,LEN($O$451) * LEN($O$452) * LEN($O$453)&gt;0),$O$451+$O$452-$O$453,HLOOKUP(INDIRECT(ADDRESS(2,COLUMN())),OFFSET($BN$2,0,0,ROW()-1,60),ROW()-1,FALSE))</f>
        <v/>
      </c>
      <c r="P383">
        <f ca="1">IF(AND($B$419=1,LEN($P$451) * LEN($P$452) * LEN($P$453)&gt;0),$P$451+$P$452-$P$453,HLOOKUP(INDIRECT(ADDRESS(2,COLUMN())),OFFSET($BN$2,0,0,ROW()-1,60),ROW()-1,FALSE))</f>
        <v>5031.942</v>
      </c>
      <c r="Q383">
        <f ca="1">IF(AND($B$419=1,LEN($Q$451) * LEN($Q$452) * LEN($Q$453)&gt;0),$Q$451+$Q$452-$Q$453,HLOOKUP(INDIRECT(ADDRESS(2,COLUMN())),OFFSET($BN$2,0,0,ROW()-1,60),ROW()-1,FALSE))</f>
        <v>3856.4650000000001</v>
      </c>
      <c r="R383">
        <f ca="1">IF(AND($B$419=1,LEN($R$451) * LEN($R$452) * LEN($R$453)&gt;0),$R$451+$R$452-$R$453,HLOOKUP(INDIRECT(ADDRESS(2,COLUMN())),OFFSET($BN$2,0,0,ROW()-1,60),ROW()-1,FALSE))</f>
        <v>4812.652</v>
      </c>
      <c r="S383">
        <f ca="1">IF(AND($B$419=1,LEN($S$451) * LEN($S$452) * LEN($S$453)&gt;0),$S$451+$S$452-$S$453,HLOOKUP(INDIRECT(ADDRESS(2,COLUMN())),OFFSET($BN$2,0,0,ROW()-1,60),ROW()-1,FALSE))</f>
        <v>3643.5030000000002</v>
      </c>
      <c r="T383">
        <f ca="1">IF(AND($B$419=1,LEN($T$451) * LEN($T$452) * LEN($T$453)&gt;0),$T$451+$T$452-$T$453,HLOOKUP(INDIRECT(ADDRESS(2,COLUMN())),OFFSET($BN$2,0,0,ROW()-1,60),ROW()-1,FALSE))</f>
        <v>5980.2269999999999</v>
      </c>
      <c r="U383">
        <f ca="1">IF(AND($B$419=1,LEN($U$451) * LEN($U$452) * LEN($U$453)&gt;0),$U$451+$U$452-$U$453,HLOOKUP(INDIRECT(ADDRESS(2,COLUMN())),OFFSET($BN$2,0,0,ROW()-1,60),ROW()-1,FALSE))</f>
        <v>6489.06</v>
      </c>
      <c r="V383">
        <f ca="1">IF(AND($B$419=1,LEN($V$451) * LEN($V$452) * LEN($V$453)&gt;0),$V$451+$V$452-$V$453,HLOOKUP(INDIRECT(ADDRESS(2,COLUMN())),OFFSET($BN$2,0,0,ROW()-1,60),ROW()-1,FALSE))</f>
        <v>5728.5309999999999</v>
      </c>
      <c r="W383">
        <f ca="1">IF(AND($B$419=1,LEN($W$451) * LEN($W$452) * LEN($W$453)&gt;0),$W$451+$W$452-$W$453,HLOOKUP(INDIRECT(ADDRESS(2,COLUMN())),OFFSET($BN$2,0,0,ROW()-1,60),ROW()-1,FALSE))</f>
        <v>3861.4479999999999</v>
      </c>
      <c r="X383">
        <f ca="1">IF(AND($B$419=1,LEN($X$451) * LEN($X$452) * LEN($X$453)&gt;0),$X$451+$X$452-$X$453,HLOOKUP(INDIRECT(ADDRESS(2,COLUMN())),OFFSET($BN$2,0,0,ROW()-1,60),ROW()-1,FALSE))</f>
        <v>5638.3130000000001</v>
      </c>
      <c r="Y383">
        <f ca="1">IF(AND($B$419=1,LEN($Y$451) * LEN($Y$452) * LEN($Y$453)&gt;0),$Y$451+$Y$452-$Y$453,HLOOKUP(INDIRECT(ADDRESS(2,COLUMN())),OFFSET($BN$2,0,0,ROW()-1,60),ROW()-1,FALSE))</f>
        <v>5581.1019999999999</v>
      </c>
      <c r="Z383">
        <f ca="1">IF(AND($B$419=1,LEN($Z$451) * LEN($Z$452) * LEN($Z$453)&gt;0),$Z$451+$Z$452-$Z$453,HLOOKUP(INDIRECT(ADDRESS(2,COLUMN())),OFFSET($BN$2,0,0,ROW()-1,60),ROW()-1,FALSE))</f>
        <v>5263.4520000000002</v>
      </c>
      <c r="AA383">
        <f ca="1">IF(AND($B$419=1,LEN($AA$451) * LEN($AA$452) * LEN($AA$453)&gt;0),$AA$451+$AA$452-$AA$453,HLOOKUP(INDIRECT(ADDRESS(2,COLUMN())),OFFSET($BN$2,0,0,ROW()-1,60),ROW()-1,FALSE))</f>
        <v>4762.8810000000003</v>
      </c>
      <c r="AB383">
        <f ca="1">IF(AND($B$419=1,LEN($AB$451) * LEN($AB$452) * LEN($AB$453)&gt;0),$AB$451+$AB$452-$AB$453,HLOOKUP(INDIRECT(ADDRESS(2,COLUMN())),OFFSET($BN$2,0,0,ROW()-1,60),ROW()-1,FALSE))</f>
        <v>4133.6660000000002</v>
      </c>
      <c r="AC383">
        <f ca="1">IF(AND($B$419=1,LEN($AC$451) * LEN($AC$452) * LEN($AC$453)&gt;0),$AC$451+$AC$452-$AC$453,HLOOKUP(INDIRECT(ADDRESS(2,COLUMN())),OFFSET($BN$2,0,0,ROW()-1,60),ROW()-1,FALSE))</f>
        <v>2590.3939999999998</v>
      </c>
      <c r="AD383">
        <f ca="1">IF(AND($B$419=1,LEN($AD$451) * LEN($AD$452) * LEN($AD$453)&gt;0),$AD$451+$AD$452-$AD$453,HLOOKUP(INDIRECT(ADDRESS(2,COLUMN())),OFFSET($BN$2,0,0,ROW()-1,60),ROW()-1,FALSE))</f>
        <v>2356.817</v>
      </c>
      <c r="AE383" t="str">
        <f ca="1">IF(AND($B$419=1,LEN($AE$451) * LEN($AE$452) * LEN($AE$453)&gt;0),$AE$451+$AE$452-$AE$453,HLOOKUP(INDIRECT(ADDRESS(2,COLUMN())),OFFSET($BN$2,0,0,ROW()-1,60),ROW()-1,FALSE))</f>
        <v/>
      </c>
      <c r="AF383">
        <f ca="1">IF(AND($B$419=1,LEN($AF$451) * LEN($AF$452) * LEN($AF$453)&gt;0),$AF$451+$AF$452-$AF$453,HLOOKUP(INDIRECT(ADDRESS(2,COLUMN())),OFFSET($BN$2,0,0,ROW()-1,60),ROW()-1,FALSE))</f>
        <v>2658.6190000000001</v>
      </c>
      <c r="AG383">
        <f ca="1">IF(AND($B$419=1,LEN($AG$451) * LEN($AG$452) * LEN($AG$453)&gt;0),$AG$451+$AG$452-$AG$453,HLOOKUP(INDIRECT(ADDRESS(2,COLUMN())),OFFSET($BN$2,0,0,ROW()-1,60),ROW()-1,FALSE))</f>
        <v>3700.2420000000002</v>
      </c>
      <c r="AH383">
        <f ca="1">IF(AND($B$419=1,LEN($AH$451) * LEN($AH$452) * LEN($AH$453)&gt;0),$AH$451+$AH$452-$AH$453,HLOOKUP(INDIRECT(ADDRESS(2,COLUMN())),OFFSET($BN$2,0,0,ROW()-1,60),ROW()-1,FALSE))</f>
        <v>3181.723</v>
      </c>
      <c r="AI383">
        <f ca="1">IF(AND($B$419=1,LEN($AI$451) * LEN($AI$452) * LEN($AI$453)&gt;0),$AI$451+$AI$452-$AI$453,HLOOKUP(INDIRECT(ADDRESS(2,COLUMN())),OFFSET($BN$2,0,0,ROW()-1,60),ROW()-1,FALSE))</f>
        <v>2122.1550000000002</v>
      </c>
      <c r="AJ383">
        <f ca="1">IF(AND($B$419=1,LEN($AJ$451) * LEN($AJ$452) * LEN($AJ$453)&gt;0),$AJ$451+$AJ$452-$AJ$453,HLOOKUP(INDIRECT(ADDRESS(2,COLUMN())),OFFSET($BN$2,0,0,ROW()-1,60),ROW()-1,FALSE))</f>
        <v>3980.6350000000002</v>
      </c>
      <c r="AK383">
        <f ca="1">IF(AND($B$419=1,LEN($AK$451) * LEN($AK$452) * LEN($AK$453)&gt;0),$AK$451+$AK$452-$AK$453,HLOOKUP(INDIRECT(ADDRESS(2,COLUMN())),OFFSET($BN$2,0,0,ROW()-1,60),ROW()-1,FALSE))</f>
        <v>4877.2250000000004</v>
      </c>
      <c r="AL383">
        <f ca="1">IF(AND($B$419=1,LEN($AL$451) * LEN($AL$452) * LEN($AL$453)&gt;0),$AL$451+$AL$452-$AL$453,HLOOKUP(INDIRECT(ADDRESS(2,COLUMN())),OFFSET($BN$2,0,0,ROW()-1,60),ROW()-1,FALSE))</f>
        <v>4855.7560000000003</v>
      </c>
      <c r="AM383">
        <f ca="1">IF(AND($B$419=1,LEN($AM$451) * LEN($AM$452) * LEN($AM$453)&gt;0),$AM$451+$AM$452-$AM$453,HLOOKUP(INDIRECT(ADDRESS(2,COLUMN())),OFFSET($BN$2,0,0,ROW()-1,60),ROW()-1,FALSE))</f>
        <v>4960.9160000000002</v>
      </c>
      <c r="AN383">
        <f ca="1">IF(AND($B$419=1,LEN($AN$451) * LEN($AN$452) * LEN($AN$453)&gt;0),$AN$451+$AN$452-$AN$453,HLOOKUP(INDIRECT(ADDRESS(2,COLUMN())),OFFSET($BN$2,0,0,ROW()-1,60),ROW()-1,FALSE))</f>
        <v>6464.0169999999998</v>
      </c>
      <c r="AO383">
        <f ca="1">IF(AND($B$419=1,LEN($AO$451) * LEN($AO$452) * LEN($AO$453)&gt;0),$AO$451+$AO$452-$AO$453,HLOOKUP(INDIRECT(ADDRESS(2,COLUMN())),OFFSET($BN$2,0,0,ROW()-1,60),ROW()-1,FALSE))</f>
        <v>5320.7290000000003</v>
      </c>
      <c r="AP383">
        <f ca="1">IF(AND($B$419=1,LEN($AP$451) * LEN($AP$452) * LEN($AP$453)&gt;0),$AP$451+$AP$452-$AP$453,HLOOKUP(INDIRECT(ADDRESS(2,COLUMN())),OFFSET($BN$2,0,0,ROW()-1,60),ROW()-1,FALSE))</f>
        <v>2721.3739999999998</v>
      </c>
      <c r="AQ383">
        <f ca="1">IF(AND($B$419=1,LEN($AQ$451) * LEN($AQ$452) * LEN($AQ$453)&gt;0),$AQ$451+$AQ$452-$AQ$453,HLOOKUP(INDIRECT(ADDRESS(2,COLUMN())),OFFSET($BN$2,0,0,ROW()-1,60),ROW()-1,FALSE))</f>
        <v>1698.0340000000001</v>
      </c>
      <c r="AR383">
        <f ca="1">IF(AND($B$419=1,LEN($AR$451) * LEN($AR$452) * LEN($AR$453)&gt;0),$AR$451+$AR$452-$AR$453,HLOOKUP(INDIRECT(ADDRESS(2,COLUMN())),OFFSET($BN$2,0,0,ROW()-1,60),ROW()-1,FALSE))</f>
        <v>3117.884</v>
      </c>
      <c r="AS383">
        <f ca="1">IF(AND($B$419=1,LEN($AS$451) * LEN($AS$452) * LEN($AS$453)&gt;0),$AS$451+$AS$452-$AS$453,HLOOKUP(INDIRECT(ADDRESS(2,COLUMN())),OFFSET($BN$2,0,0,ROW()-1,60),ROW()-1,FALSE))</f>
        <v>2485.2910000000002</v>
      </c>
      <c r="AT383">
        <f ca="1">IF(AND($B$419=1,LEN($AT$451) * LEN($AT$452) * LEN($AT$453)&gt;0),$AT$451+$AT$452-$AT$453,HLOOKUP(INDIRECT(ADDRESS(2,COLUMN())),OFFSET($BN$2,0,0,ROW()-1,60),ROW()-1,FALSE))</f>
        <v>1234.451</v>
      </c>
      <c r="AU383">
        <f ca="1">IF(AND($B$419=1,LEN($AU$451) * LEN($AU$452) * LEN($AU$453)&gt;0),$AU$451+$AU$452-$AU$453,HLOOKUP(INDIRECT(ADDRESS(2,COLUMN())),OFFSET($BN$2,0,0,ROW()-1,60),ROW()-1,FALSE))</f>
        <v>764.11500000000001</v>
      </c>
      <c r="AV383">
        <f ca="1">IF(AND($B$419=1,LEN($AV$451) * LEN($AV$452) * LEN($AV$453)&gt;0),$AV$451+$AV$452-$AV$453,HLOOKUP(INDIRECT(ADDRESS(2,COLUMN())),OFFSET($BN$2,0,0,ROW()-1,60),ROW()-1,FALSE))</f>
        <v>2998.683</v>
      </c>
      <c r="AW383">
        <f ca="1">IF(AND($B$419=1,LEN($AW$451) * LEN($AW$452) * LEN($AW$453)&gt;0),$AW$451+$AW$452-$AW$453,HLOOKUP(INDIRECT(ADDRESS(2,COLUMN())),OFFSET($BN$2,0,0,ROW()-1,60),ROW()-1,FALSE))</f>
        <v>1060.866</v>
      </c>
      <c r="AX383">
        <f ca="1">IF(AND($B$419=1,LEN($AX$451) * LEN($AX$452) * LEN($AX$453)&gt;0),$AX$451+$AX$452-$AX$453,HLOOKUP(INDIRECT(ADDRESS(2,COLUMN())),OFFSET($BN$2,0,0,ROW()-1,60),ROW()-1,FALSE))</f>
        <v>-255.33199999999999</v>
      </c>
      <c r="AY383">
        <f ca="1">IF(AND($B$419=1,LEN($AY$451) * LEN($AY$452) * LEN($AY$453)&gt;0),$AY$451+$AY$452-$AY$453,HLOOKUP(INDIRECT(ADDRESS(2,COLUMN())),OFFSET($BN$2,0,0,ROW()-1,60),ROW()-1,FALSE))</f>
        <v>1945.394</v>
      </c>
      <c r="AZ383">
        <f ca="1">IF(AND($B$419=1,LEN($AZ$451) * LEN($AZ$452) * LEN($AZ$453)&gt;0),$AZ$451+$AZ$452-$AZ$453,HLOOKUP(INDIRECT(ADDRESS(2,COLUMN())),OFFSET($BN$2,0,0,ROW()-1,60),ROW()-1,FALSE))</f>
        <v>2755.5529999999999</v>
      </c>
      <c r="BA383">
        <f ca="1">IF(AND($B$419=1,LEN($BA$451) * LEN($BA$452) * LEN($BA$453)&gt;0),$BA$451+$BA$452-$BA$453,HLOOKUP(INDIRECT(ADDRESS(2,COLUMN())),OFFSET($BN$2,0,0,ROW()-1,60),ROW()-1,FALSE))</f>
        <v>1747.021</v>
      </c>
      <c r="BB383">
        <f ca="1">IF(AND($B$419=1,LEN($BB$451) * LEN($BB$452) * LEN($BB$453)&gt;0),$BB$451+$BB$452-$BB$453,HLOOKUP(INDIRECT(ADDRESS(2,COLUMN())),OFFSET($BN$2,0,0,ROW()-1,60),ROW()-1,FALSE))</f>
        <v>941.45600000000002</v>
      </c>
      <c r="BC383" t="str">
        <f ca="1">IF(AND($B$419=1,LEN($BC$451) * LEN($BC$452) * LEN($BC$453)&gt;0),$BC$451+$BC$452-$BC$453,HLOOKUP(INDIRECT(ADDRESS(2,COLUMN())),OFFSET($BN$2,0,0,ROW()-1,60),ROW()-1,FALSE))</f>
        <v/>
      </c>
      <c r="BD383">
        <f ca="1">IF(AND($B$419=1,LEN($BD$451) * LEN($BD$452) * LEN($BD$453)&gt;0),$BD$451+$BD$452-$BD$453,HLOOKUP(INDIRECT(ADDRESS(2,COLUMN())),OFFSET($BN$2,0,0,ROW()-1,60),ROW()-1,FALSE))</f>
        <v>1209.1030000000001</v>
      </c>
      <c r="BE383">
        <f ca="1">IF(AND($B$419=1,LEN($BE$451) * LEN($BE$452) * LEN($BE$453)&gt;0),$BE$451+$BE$452-$BE$453,HLOOKUP(INDIRECT(ADDRESS(2,COLUMN())),OFFSET($BN$2,0,0,ROW()-1,60),ROW()-1,FALSE))</f>
        <v>1330.7860000000001</v>
      </c>
      <c r="BF383">
        <f ca="1">IF(AND($B$419=1,LEN($BF$451) * LEN($BF$452) * LEN($BF$453)&gt;0),$BF$451+$BF$452-$BF$453,HLOOKUP(INDIRECT(ADDRESS(2,COLUMN())),OFFSET($BN$2,0,0,ROW()-1,60),ROW()-1,FALSE))</f>
        <v>-68.334000000000003</v>
      </c>
      <c r="BG383" t="str">
        <f ca="1">IF(AND($B$419=1,LEN($BG$451) * LEN($BG$452) * LEN($BG$453)&gt;0),$BG$451+$BG$452-$BG$453,HLOOKUP(INDIRECT(ADDRESS(2,COLUMN())),OFFSET($BN$2,0,0,ROW()-1,60),ROW()-1,FALSE))</f>
        <v/>
      </c>
      <c r="BH383" t="str">
        <f ca="1">IF(AND($B$419=1,LEN($BH$451) * LEN($BH$452) * LEN($BH$453)&gt;0),$BH$451+$BH$452-$BH$453,HLOOKUP(INDIRECT(ADDRESS(2,COLUMN())),OFFSET($BN$2,0,0,ROW()-1,60),ROW()-1,FALSE))</f>
        <v/>
      </c>
      <c r="BI383">
        <f ca="1">IF(AND($B$419=1,LEN($BI$451) * LEN($BI$452) * LEN($BI$453)&gt;0),$BI$451+$BI$452-$BI$453,HLOOKUP(INDIRECT(ADDRESS(2,COLUMN())),OFFSET($BN$2,0,0,ROW()-1,60),ROW()-1,FALSE))</f>
        <v>692.85500000000002</v>
      </c>
      <c r="BJ383">
        <f ca="1">IF(AND($B$419=1,LEN($BJ$451) * LEN($BJ$452) * LEN($BJ$453)&gt;0),$BJ$451+$BJ$452-$BJ$453,HLOOKUP(INDIRECT(ADDRESS(2,COLUMN())),OFFSET($BN$2,0,0,ROW()-1,60),ROW()-1,FALSE))</f>
        <v>497.19400000000002</v>
      </c>
      <c r="BK383">
        <f ca="1">IF(AND($B$419=1,LEN($BK$451) * LEN($BK$452) * LEN($BK$453)&gt;0),$BK$451+$BK$452-$BK$453,HLOOKUP(INDIRECT(ADDRESS(2,COLUMN())),OFFSET($BN$2,0,0,ROW()-1,60),ROW()-1,FALSE))</f>
        <v>-47.209000000000003</v>
      </c>
      <c r="BL383">
        <f ca="1">IF(AND($B$419=1,LEN($BL$451) * LEN($BL$452) * LEN($BL$453)&gt;0),$BL$451+$BL$452-$BL$453,HLOOKUP(INDIRECT(ADDRESS(2,COLUMN())),OFFSET($BN$2,0,0,ROW()-1,60),ROW()-1,FALSE))</f>
        <v>689.76700000000005</v>
      </c>
      <c r="BM383">
        <f ca="1">IF(AND($B$419=1,LEN($BM$451) * LEN($BM$452) * LEN($BM$453)&gt;0),$BM$451+$BM$452-$BM$453,HLOOKUP(INDIRECT(ADDRESS(2,COLUMN())),OFFSET($BN$2,0,0,ROW()-1,60),ROW()-1,FALSE))</f>
        <v>767.82799999999997</v>
      </c>
      <c r="BN383" t="str">
        <f>""</f>
        <v/>
      </c>
      <c r="BO383">
        <f>5512.468</f>
        <v>5512.4679999999998</v>
      </c>
      <c r="BP383">
        <f>5099.173</f>
        <v>5099.1729999999998</v>
      </c>
      <c r="BQ383">
        <f>5426.251</f>
        <v>5426.2510000000002</v>
      </c>
      <c r="BR383">
        <f>5186.886</f>
        <v>5186.8860000000004</v>
      </c>
      <c r="BS383">
        <f>4271.396</f>
        <v>4271.3959999999997</v>
      </c>
      <c r="BT383">
        <f>5676.829</f>
        <v>5676.8289999999997</v>
      </c>
      <c r="BU383">
        <f>5116.884</f>
        <v>5116.884</v>
      </c>
      <c r="BV383">
        <f>3713.548</f>
        <v>3713.5479999999998</v>
      </c>
      <c r="BW383" t="str">
        <f>""</f>
        <v/>
      </c>
      <c r="BX383">
        <f>5031.942</f>
        <v>5031.942</v>
      </c>
      <c r="BY383">
        <f>3856.465</f>
        <v>3856.4650000000001</v>
      </c>
      <c r="BZ383">
        <f>4812.652</f>
        <v>4812.652</v>
      </c>
      <c r="CA383">
        <f>3643.503</f>
        <v>3643.5030000000002</v>
      </c>
      <c r="CB383">
        <f>5980.227</f>
        <v>5980.2269999999999</v>
      </c>
      <c r="CC383">
        <f>6489.06</f>
        <v>6489.06</v>
      </c>
      <c r="CD383">
        <f>5728.531</f>
        <v>5728.5309999999999</v>
      </c>
      <c r="CE383">
        <f>3861.448</f>
        <v>3861.4479999999999</v>
      </c>
      <c r="CF383">
        <f>5638.313</f>
        <v>5638.3130000000001</v>
      </c>
      <c r="CG383">
        <f>5581.102</f>
        <v>5581.1019999999999</v>
      </c>
      <c r="CH383">
        <f>5263.452</f>
        <v>5263.4520000000002</v>
      </c>
      <c r="CI383">
        <f>4762.881</f>
        <v>4762.8810000000003</v>
      </c>
      <c r="CJ383">
        <f>4133.666</f>
        <v>4133.6660000000002</v>
      </c>
      <c r="CK383">
        <f>2590.394</f>
        <v>2590.3939999999998</v>
      </c>
      <c r="CL383">
        <f>2356.817</f>
        <v>2356.817</v>
      </c>
      <c r="CM383" t="str">
        <f>""</f>
        <v/>
      </c>
      <c r="CN383">
        <f>2658.619</f>
        <v>2658.6190000000001</v>
      </c>
      <c r="CO383">
        <f>3700.242</f>
        <v>3700.2420000000002</v>
      </c>
      <c r="CP383">
        <f>3181.723</f>
        <v>3181.723</v>
      </c>
      <c r="CQ383">
        <f>2122.155</f>
        <v>2122.1550000000002</v>
      </c>
      <c r="CR383">
        <f>3980.635</f>
        <v>3980.6350000000002</v>
      </c>
      <c r="CS383">
        <f>4877.225</f>
        <v>4877.2250000000004</v>
      </c>
      <c r="CT383">
        <f>4855.756</f>
        <v>4855.7560000000003</v>
      </c>
      <c r="CU383">
        <f>4960.916</f>
        <v>4960.9160000000002</v>
      </c>
      <c r="CV383">
        <f>6464.017</f>
        <v>6464.0169999999998</v>
      </c>
      <c r="CW383">
        <f>5320.729</f>
        <v>5320.7290000000003</v>
      </c>
      <c r="CX383">
        <f>2721.374</f>
        <v>2721.3739999999998</v>
      </c>
      <c r="CY383">
        <f>1698.034</f>
        <v>1698.0340000000001</v>
      </c>
      <c r="CZ383">
        <f>3117.884</f>
        <v>3117.884</v>
      </c>
      <c r="DA383">
        <f>2485.291</f>
        <v>2485.2910000000002</v>
      </c>
      <c r="DB383">
        <f>1234.451</f>
        <v>1234.451</v>
      </c>
      <c r="DC383">
        <f>764.115</f>
        <v>764.11500000000001</v>
      </c>
      <c r="DD383">
        <f>2998.683</f>
        <v>2998.683</v>
      </c>
      <c r="DE383">
        <f>1060.866</f>
        <v>1060.866</v>
      </c>
      <c r="DF383">
        <f>-255.332</f>
        <v>-255.33199999999999</v>
      </c>
      <c r="DG383">
        <f>1945.394</f>
        <v>1945.394</v>
      </c>
      <c r="DH383">
        <f>2755.553</f>
        <v>2755.5529999999999</v>
      </c>
      <c r="DI383">
        <f>1747.021</f>
        <v>1747.021</v>
      </c>
      <c r="DJ383">
        <f>941.456</f>
        <v>941.45600000000002</v>
      </c>
      <c r="DK383" t="str">
        <f>""</f>
        <v/>
      </c>
      <c r="DL383">
        <f>1209.103</f>
        <v>1209.1030000000001</v>
      </c>
      <c r="DM383">
        <f>1330.786</f>
        <v>1330.7860000000001</v>
      </c>
      <c r="DN383">
        <f>-68.334</f>
        <v>-68.334000000000003</v>
      </c>
      <c r="DO383" t="str">
        <f>""</f>
        <v/>
      </c>
      <c r="DP383" t="str">
        <f>""</f>
        <v/>
      </c>
      <c r="DQ383">
        <f>692.855</f>
        <v>692.85500000000002</v>
      </c>
      <c r="DR383">
        <f>497.194</f>
        <v>497.19400000000002</v>
      </c>
      <c r="DS383">
        <f>-47.209</f>
        <v>-47.209000000000003</v>
      </c>
      <c r="DT383">
        <f>689.767</f>
        <v>689.76700000000005</v>
      </c>
      <c r="DU383">
        <f>767.828</f>
        <v>767.82799999999997</v>
      </c>
    </row>
    <row r="384" spans="1:125">
      <c r="A384" t="str">
        <f>"    Tanger Factory Outlet Centers"</f>
        <v xml:space="preserve">    Tanger Factory Outlet Centers</v>
      </c>
      <c r="B384" t="str">
        <f>"SKT US Equity"</f>
        <v>SKT US Equity</v>
      </c>
      <c r="E384" t="str">
        <f t="shared" si="69"/>
        <v>Expression</v>
      </c>
      <c r="F384" t="str">
        <f ca="1">IF(AND($B$419=1,LEN($F$454) * LEN($F$455) * LEN($F$456)&gt;0),$F$454+$F$455-$F$456,HLOOKUP(INDIRECT(ADDRESS(2,COLUMN())),OFFSET($BN$2,0,0,ROW()-1,60),ROW()-1,FALSE))</f>
        <v/>
      </c>
      <c r="G384">
        <f ca="1">IF(AND($B$419=1,LEN($G$454) * LEN($G$455) * LEN($G$456)&gt;0),$G$454+$G$455-$G$456,HLOOKUP(INDIRECT(ADDRESS(2,COLUMN())),OFFSET($BN$2,0,0,ROW()-1,60),ROW()-1,FALSE))</f>
        <v>254.81700000000001</v>
      </c>
      <c r="H384">
        <f ca="1">IF(AND($B$419=1,LEN($H$454) * LEN($H$455) * LEN($H$456)&gt;0),$H$454+$H$455-$H$456,HLOOKUP(INDIRECT(ADDRESS(2,COLUMN())),OFFSET($BN$2,0,0,ROW()-1,60),ROW()-1,FALSE))</f>
        <v>309.55599999999998</v>
      </c>
      <c r="I384">
        <f ca="1">IF(AND($B$419=1,LEN($I$454) * LEN($I$455) * LEN($I$456)&gt;0),$I$454+$I$455-$I$456,HLOOKUP(INDIRECT(ADDRESS(2,COLUMN())),OFFSET($BN$2,0,0,ROW()-1,60),ROW()-1,FALSE))</f>
        <v>355.43200000000002</v>
      </c>
      <c r="J384">
        <f ca="1">IF(AND($B$419=1,LEN($J$454) * LEN($J$455) * LEN($J$456)&gt;0),$J$454+$J$455-$J$456,HLOOKUP(INDIRECT(ADDRESS(2,COLUMN())),OFFSET($BN$2,0,0,ROW()-1,60),ROW()-1,FALSE))</f>
        <v>382.35500000000002</v>
      </c>
      <c r="K384">
        <f ca="1">IF(AND($B$419=1,LEN($K$454) * LEN($K$455) * LEN($K$456)&gt;0),$K$454+$K$455-$K$456,HLOOKUP(INDIRECT(ADDRESS(2,COLUMN())),OFFSET($BN$2,0,0,ROW()-1,60),ROW()-1,FALSE))</f>
        <v>397.964</v>
      </c>
      <c r="L384">
        <f ca="1">IF(AND($B$419=1,LEN($L$454) * LEN($L$455) * LEN($L$456)&gt;0),$L$454+$L$455-$L$456,HLOOKUP(INDIRECT(ADDRESS(2,COLUMN())),OFFSET($BN$2,0,0,ROW()-1,60),ROW()-1,FALSE))</f>
        <v>349.17500000000001</v>
      </c>
      <c r="M384">
        <f ca="1">IF(AND($B$419=1,LEN($M$454) * LEN($M$455) * LEN($M$456)&gt;0),$M$454+$M$455-$M$456,HLOOKUP(INDIRECT(ADDRESS(2,COLUMN())),OFFSET($BN$2,0,0,ROW()-1,60),ROW()-1,FALSE))</f>
        <v>286.46499999999997</v>
      </c>
      <c r="N384">
        <f ca="1">IF(AND($B$419=1,LEN($N$454) * LEN($N$455) * LEN($N$456)&gt;0),$N$454+$N$455-$N$456,HLOOKUP(INDIRECT(ADDRESS(2,COLUMN())),OFFSET($BN$2,0,0,ROW()-1,60),ROW()-1,FALSE))</f>
        <v>263.029</v>
      </c>
      <c r="O384" t="str">
        <f ca="1">IF(AND($B$419=1,LEN($O$454) * LEN($O$455) * LEN($O$456)&gt;0),$O$454+$O$455-$O$456,HLOOKUP(INDIRECT(ADDRESS(2,COLUMN())),OFFSET($BN$2,0,0,ROW()-1,60),ROW()-1,FALSE))</f>
        <v/>
      </c>
      <c r="P384">
        <f ca="1">IF(AND($B$419=1,LEN($P$454) * LEN($P$455) * LEN($P$456)&gt;0),$P$454+$P$455-$P$456,HLOOKUP(INDIRECT(ADDRESS(2,COLUMN())),OFFSET($BN$2,0,0,ROW()-1,60),ROW()-1,FALSE))</f>
        <v>344.17500000000001</v>
      </c>
      <c r="Q384">
        <f ca="1">IF(AND($B$419=1,LEN($Q$454) * LEN($Q$455) * LEN($Q$456)&gt;0),$Q$454+$Q$455-$Q$456,HLOOKUP(INDIRECT(ADDRESS(2,COLUMN())),OFFSET($BN$2,0,0,ROW()-1,60),ROW()-1,FALSE))</f>
        <v>359.09300000000002</v>
      </c>
      <c r="R384">
        <f ca="1">IF(AND($B$419=1,LEN($R$454) * LEN($R$455) * LEN($R$456)&gt;0),$R$454+$R$455-$R$456,HLOOKUP(INDIRECT(ADDRESS(2,COLUMN())),OFFSET($BN$2,0,0,ROW()-1,60),ROW()-1,FALSE))</f>
        <v>387.55900000000003</v>
      </c>
      <c r="S384">
        <f ca="1">IF(AND($B$419=1,LEN($S$454) * LEN($S$455) * LEN($S$456)&gt;0),$S$454+$S$455-$S$456,HLOOKUP(INDIRECT(ADDRESS(2,COLUMN())),OFFSET($BN$2,0,0,ROW()-1,60),ROW()-1,FALSE))</f>
        <v>393.53199999999998</v>
      </c>
      <c r="T384">
        <f ca="1">IF(AND($B$419=1,LEN($T$454) * LEN($T$455) * LEN($T$456)&gt;0),$T$454+$T$455-$T$456,HLOOKUP(INDIRECT(ADDRESS(2,COLUMN())),OFFSET($BN$2,0,0,ROW()-1,60),ROW()-1,FALSE))</f>
        <v>390.10300000000001</v>
      </c>
      <c r="U384">
        <f ca="1">IF(AND($B$419=1,LEN($U$454) * LEN($U$455) * LEN($U$456)&gt;0),$U$454+$U$455-$U$456,HLOOKUP(INDIRECT(ADDRESS(2,COLUMN())),OFFSET($BN$2,0,0,ROW()-1,60),ROW()-1,FALSE))</f>
        <v>440.21699999999998</v>
      </c>
      <c r="V384">
        <f ca="1">IF(AND($B$419=1,LEN($V$454) * LEN($V$455) * LEN($V$456)&gt;0),$V$454+$V$455-$V$456,HLOOKUP(INDIRECT(ADDRESS(2,COLUMN())),OFFSET($BN$2,0,0,ROW()-1,60),ROW()-1,FALSE))</f>
        <v>487.29399999999998</v>
      </c>
      <c r="W384">
        <f ca="1">IF(AND($B$419=1,LEN($W$454) * LEN($W$455) * LEN($W$456)&gt;0),$W$454+$W$455-$W$456,HLOOKUP(INDIRECT(ADDRESS(2,COLUMN())),OFFSET($BN$2,0,0,ROW()-1,60),ROW()-1,FALSE))</f>
        <v>515.43799999999999</v>
      </c>
      <c r="X384">
        <f ca="1">IF(AND($B$419=1,LEN($X$454) * LEN($X$455) * LEN($X$456)&gt;0),$X$454+$X$455-$X$456,HLOOKUP(INDIRECT(ADDRESS(2,COLUMN())),OFFSET($BN$2,0,0,ROW()-1,60),ROW()-1,FALSE))</f>
        <v>270.61099999999999</v>
      </c>
      <c r="Y384">
        <f ca="1">IF(AND($B$419=1,LEN($Y$454) * LEN($Y$455) * LEN($Y$456)&gt;0),$Y$454+$Y$455-$Y$456,HLOOKUP(INDIRECT(ADDRESS(2,COLUMN())),OFFSET($BN$2,0,0,ROW()-1,60),ROW()-1,FALSE))</f>
        <v>310.62700000000001</v>
      </c>
      <c r="Z384">
        <f ca="1">IF(AND($B$419=1,LEN($Z$454) * LEN($Z$455) * LEN($Z$456)&gt;0),$Z$454+$Z$455-$Z$456,HLOOKUP(INDIRECT(ADDRESS(2,COLUMN())),OFFSET($BN$2,0,0,ROW()-1,60),ROW()-1,FALSE))</f>
        <v>345.22699999999998</v>
      </c>
      <c r="AA384">
        <f ca="1">IF(AND($B$419=1,LEN($AA$454) * LEN($AA$455) * LEN($AA$456)&gt;0),$AA$454+$AA$455-$AA$456,HLOOKUP(INDIRECT(ADDRESS(2,COLUMN())),OFFSET($BN$2,0,0,ROW()-1,60),ROW()-1,FALSE))</f>
        <v>347.40199999999999</v>
      </c>
      <c r="AB384">
        <f ca="1">IF(AND($B$419=1,LEN($AB$454) * LEN($AB$455) * LEN($AB$456)&gt;0),$AB$454+$AB$455-$AB$456,HLOOKUP(INDIRECT(ADDRESS(2,COLUMN())),OFFSET($BN$2,0,0,ROW()-1,60),ROW()-1,FALSE))</f>
        <v>392.05399999999997</v>
      </c>
      <c r="AC384">
        <f ca="1">IF(AND($B$419=1,LEN($AC$454) * LEN($AC$455) * LEN($AC$456)&gt;0),$AC$454+$AC$455-$AC$456,HLOOKUP(INDIRECT(ADDRESS(2,COLUMN())),OFFSET($BN$2,0,0,ROW()-1,60),ROW()-1,FALSE))</f>
        <v>389.35700000000003</v>
      </c>
      <c r="AD384">
        <f ca="1">IF(AND($B$419=1,LEN($AD$454) * LEN($AD$455) * LEN($AD$456)&gt;0),$AD$454+$AD$455-$AD$456,HLOOKUP(INDIRECT(ADDRESS(2,COLUMN())),OFFSET($BN$2,0,0,ROW()-1,60),ROW()-1,FALSE))</f>
        <v>407.75599999999997</v>
      </c>
      <c r="AE384">
        <f ca="1">IF(AND($B$419=1,LEN($AE$454) * LEN($AE$455) * LEN($AE$456)&gt;0),$AE$454+$AE$455-$AE$456,HLOOKUP(INDIRECT(ADDRESS(2,COLUMN())),OFFSET($BN$2,0,0,ROW()-1,60),ROW()-1,FALSE))</f>
        <v>305.33100000000002</v>
      </c>
      <c r="AF384">
        <f ca="1">IF(AND($B$419=1,LEN($AF$454) * LEN($AF$455) * LEN($AF$456)&gt;0),$AF$454+$AF$455-$AF$456,HLOOKUP(INDIRECT(ADDRESS(2,COLUMN())),OFFSET($BN$2,0,0,ROW()-1,60),ROW()-1,FALSE))</f>
        <v>80.771000000000001</v>
      </c>
      <c r="AG384">
        <f ca="1">IF(AND($B$419=1,LEN($AG$454) * LEN($AG$455) * LEN($AG$456)&gt;0),$AG$454+$AG$455-$AG$456,HLOOKUP(INDIRECT(ADDRESS(2,COLUMN())),OFFSET($BN$2,0,0,ROW()-1,60),ROW()-1,FALSE))</f>
        <v>79.408000000000001</v>
      </c>
      <c r="AH384">
        <f ca="1">IF(AND($B$419=1,LEN($AH$454) * LEN($AH$455) * LEN($AH$456)&gt;0),$AH$454+$AH$455-$AH$456,HLOOKUP(INDIRECT(ADDRESS(2,COLUMN())),OFFSET($BN$2,0,0,ROW()-1,60),ROW()-1,FALSE))</f>
        <v>227.27099999999999</v>
      </c>
      <c r="AI384">
        <f ca="1">IF(AND($B$419=1,LEN($AI$454) * LEN($AI$455) * LEN($AI$456)&gt;0),$AI$454+$AI$455-$AI$456,HLOOKUP(INDIRECT(ADDRESS(2,COLUMN())),OFFSET($BN$2,0,0,ROW()-1,60),ROW()-1,FALSE))</f>
        <v>238.548</v>
      </c>
      <c r="AJ384">
        <f ca="1">IF(AND($B$419=1,LEN($AJ$454) * LEN($AJ$455) * LEN($AJ$456)&gt;0),$AJ$454+$AJ$455-$AJ$456,HLOOKUP(INDIRECT(ADDRESS(2,COLUMN())),OFFSET($BN$2,0,0,ROW()-1,60),ROW()-1,FALSE))</f>
        <v>273.03500000000003</v>
      </c>
      <c r="AK384">
        <f ca="1">IF(AND($B$419=1,LEN($AK$454) * LEN($AK$455) * LEN($AK$456)&gt;0),$AK$454+$AK$455-$AK$456,HLOOKUP(INDIRECT(ADDRESS(2,COLUMN())),OFFSET($BN$2,0,0,ROW()-1,60),ROW()-1,FALSE))</f>
        <v>277.65300000000002</v>
      </c>
      <c r="AL384" t="str">
        <f ca="1">IF(AND($B$419=1,LEN($AL$454) * LEN($AL$455) * LEN($AL$456)&gt;0),$AL$454+$AL$455-$AL$456,HLOOKUP(INDIRECT(ADDRESS(2,COLUMN())),OFFSET($BN$2,0,0,ROW()-1,60),ROW()-1,FALSE))</f>
        <v/>
      </c>
      <c r="AM384">
        <f ca="1">IF(AND($B$419=1,LEN($AM$454) * LEN($AM$455) * LEN($AM$456)&gt;0),$AM$454+$AM$455-$AM$456,HLOOKUP(INDIRECT(ADDRESS(2,COLUMN())),OFFSET($BN$2,0,0,ROW()-1,60),ROW()-1,FALSE))</f>
        <v>234.767</v>
      </c>
      <c r="AN384" t="str">
        <f ca="1">IF(AND($B$419=1,LEN($AN$454) * LEN($AN$455) * LEN($AN$456)&gt;0),$AN$454+$AN$455-$AN$456,HLOOKUP(INDIRECT(ADDRESS(2,COLUMN())),OFFSET($BN$2,0,0,ROW()-1,60),ROW()-1,FALSE))</f>
        <v/>
      </c>
      <c r="AO384" t="str">
        <f ca="1">IF(AND($B$419=1,LEN($AO$454) * LEN($AO$455) * LEN($AO$456)&gt;0),$AO$454+$AO$455-$AO$456,HLOOKUP(INDIRECT(ADDRESS(2,COLUMN())),OFFSET($BN$2,0,0,ROW()-1,60),ROW()-1,FALSE))</f>
        <v/>
      </c>
      <c r="AP384" t="str">
        <f ca="1">IF(AND($B$419=1,LEN($AP$454) * LEN($AP$455) * LEN($AP$456)&gt;0),$AP$454+$AP$455-$AP$456,HLOOKUP(INDIRECT(ADDRESS(2,COLUMN())),OFFSET($BN$2,0,0,ROW()-1,60),ROW()-1,FALSE))</f>
        <v/>
      </c>
      <c r="AQ384" t="str">
        <f ca="1">IF(AND($B$419=1,LEN($AQ$454) * LEN($AQ$455) * LEN($AQ$456)&gt;0),$AQ$454+$AQ$455-$AQ$456,HLOOKUP(INDIRECT(ADDRESS(2,COLUMN())),OFFSET($BN$2,0,0,ROW()-1,60),ROW()-1,FALSE))</f>
        <v/>
      </c>
      <c r="AR384" t="str">
        <f ca="1">IF(AND($B$419=1,LEN($AR$454) * LEN($AR$455) * LEN($AR$456)&gt;0),$AR$454+$AR$455-$AR$456,HLOOKUP(INDIRECT(ADDRESS(2,COLUMN())),OFFSET($BN$2,0,0,ROW()-1,60),ROW()-1,FALSE))</f>
        <v/>
      </c>
      <c r="AS384" t="str">
        <f ca="1">IF(AND($B$419=1,LEN($AS$454) * LEN($AS$455) * LEN($AS$456)&gt;0),$AS$454+$AS$455-$AS$456,HLOOKUP(INDIRECT(ADDRESS(2,COLUMN())),OFFSET($BN$2,0,0,ROW()-1,60),ROW()-1,FALSE))</f>
        <v/>
      </c>
      <c r="AT384" t="str">
        <f ca="1">IF(AND($B$419=1,LEN($AT$454) * LEN($AT$455) * LEN($AT$456)&gt;0),$AT$454+$AT$455-$AT$456,HLOOKUP(INDIRECT(ADDRESS(2,COLUMN())),OFFSET($BN$2,0,0,ROW()-1,60),ROW()-1,FALSE))</f>
        <v/>
      </c>
      <c r="AU384">
        <f ca="1">IF(AND($B$419=1,LEN($AU$454) * LEN($AU$455) * LEN($AU$456)&gt;0),$AU$454+$AU$455-$AU$456,HLOOKUP(INDIRECT(ADDRESS(2,COLUMN())),OFFSET($BN$2,0,0,ROW()-1,60),ROW()-1,FALSE))</f>
        <v>20.853999999999999</v>
      </c>
      <c r="AV384" t="str">
        <f ca="1">IF(AND($B$419=1,LEN($AV$454) * LEN($AV$455) * LEN($AV$456)&gt;0),$AV$454+$AV$455-$AV$456,HLOOKUP(INDIRECT(ADDRESS(2,COLUMN())),OFFSET($BN$2,0,0,ROW()-1,60),ROW()-1,FALSE))</f>
        <v/>
      </c>
      <c r="AW384" t="str">
        <f ca="1">IF(AND($B$419=1,LEN($AW$454) * LEN($AW$455) * LEN($AW$456)&gt;0),$AW$454+$AW$455-$AW$456,HLOOKUP(INDIRECT(ADDRESS(2,COLUMN())),OFFSET($BN$2,0,0,ROW()-1,60),ROW()-1,FALSE))</f>
        <v/>
      </c>
      <c r="AX384" t="str">
        <f ca="1">IF(AND($B$419=1,LEN($AX$454) * LEN($AX$455) * LEN($AX$456)&gt;0),$AX$454+$AX$455-$AX$456,HLOOKUP(INDIRECT(ADDRESS(2,COLUMN())),OFFSET($BN$2,0,0,ROW()-1,60),ROW()-1,FALSE))</f>
        <v/>
      </c>
      <c r="AY384" t="str">
        <f ca="1">IF(AND($B$419=1,LEN($AY$454) * LEN($AY$455) * LEN($AY$456)&gt;0),$AY$454+$AY$455-$AY$456,HLOOKUP(INDIRECT(ADDRESS(2,COLUMN())),OFFSET($BN$2,0,0,ROW()-1,60),ROW()-1,FALSE))</f>
        <v/>
      </c>
      <c r="AZ384" t="str">
        <f ca="1">IF(AND($B$419=1,LEN($AZ$454) * LEN($AZ$455) * LEN($AZ$456)&gt;0),$AZ$454+$AZ$455-$AZ$456,HLOOKUP(INDIRECT(ADDRESS(2,COLUMN())),OFFSET($BN$2,0,0,ROW()-1,60),ROW()-1,FALSE))</f>
        <v/>
      </c>
      <c r="BA384" t="str">
        <f ca="1">IF(AND($B$419=1,LEN($BA$454) * LEN($BA$455) * LEN($BA$456)&gt;0),$BA$454+$BA$455-$BA$456,HLOOKUP(INDIRECT(ADDRESS(2,COLUMN())),OFFSET($BN$2,0,0,ROW()-1,60),ROW()-1,FALSE))</f>
        <v/>
      </c>
      <c r="BB384" t="str">
        <f ca="1">IF(AND($B$419=1,LEN($BB$454) * LEN($BB$455) * LEN($BB$456)&gt;0),$BB$454+$BB$455-$BB$456,HLOOKUP(INDIRECT(ADDRESS(2,COLUMN())),OFFSET($BN$2,0,0,ROW()-1,60),ROW()-1,FALSE))</f>
        <v/>
      </c>
      <c r="BC384" t="str">
        <f ca="1">IF(AND($B$419=1,LEN($BC$454) * LEN($BC$455) * LEN($BC$456)&gt;0),$BC$454+$BC$455-$BC$456,HLOOKUP(INDIRECT(ADDRESS(2,COLUMN())),OFFSET($BN$2,0,0,ROW()-1,60),ROW()-1,FALSE))</f>
        <v/>
      </c>
      <c r="BD384" t="str">
        <f ca="1">IF(AND($B$419=1,LEN($BD$454) * LEN($BD$455) * LEN($BD$456)&gt;0),$BD$454+$BD$455-$BD$456,HLOOKUP(INDIRECT(ADDRESS(2,COLUMN())),OFFSET($BN$2,0,0,ROW()-1,60),ROW()-1,FALSE))</f>
        <v/>
      </c>
      <c r="BE384" t="str">
        <f ca="1">IF(AND($B$419=1,LEN($BE$454) * LEN($BE$455) * LEN($BE$456)&gt;0),$BE$454+$BE$455-$BE$456,HLOOKUP(INDIRECT(ADDRESS(2,COLUMN())),OFFSET($BN$2,0,0,ROW()-1,60),ROW()-1,FALSE))</f>
        <v/>
      </c>
      <c r="BF384" t="str">
        <f ca="1">IF(AND($B$419=1,LEN($BF$454) * LEN($BF$455) * LEN($BF$456)&gt;0),$BF$454+$BF$455-$BF$456,HLOOKUP(INDIRECT(ADDRESS(2,COLUMN())),OFFSET($BN$2,0,0,ROW()-1,60),ROW()-1,FALSE))</f>
        <v/>
      </c>
      <c r="BG384" t="str">
        <f ca="1">IF(AND($B$419=1,LEN($BG$454) * LEN($BG$455) * LEN($BG$456)&gt;0),$BG$454+$BG$455-$BG$456,HLOOKUP(INDIRECT(ADDRESS(2,COLUMN())),OFFSET($BN$2,0,0,ROW()-1,60),ROW()-1,FALSE))</f>
        <v/>
      </c>
      <c r="BH384" t="str">
        <f ca="1">IF(AND($B$419=1,LEN($BH$454) * LEN($BH$455) * LEN($BH$456)&gt;0),$BH$454+$BH$455-$BH$456,HLOOKUP(INDIRECT(ADDRESS(2,COLUMN())),OFFSET($BN$2,0,0,ROW()-1,60),ROW()-1,FALSE))</f>
        <v/>
      </c>
      <c r="BI384" t="str">
        <f ca="1">IF(AND($B$419=1,LEN($BI$454) * LEN($BI$455) * LEN($BI$456)&gt;0),$BI$454+$BI$455-$BI$456,HLOOKUP(INDIRECT(ADDRESS(2,COLUMN())),OFFSET($BN$2,0,0,ROW()-1,60),ROW()-1,FALSE))</f>
        <v/>
      </c>
      <c r="BJ384" t="str">
        <f ca="1">IF(AND($B$419=1,LEN($BJ$454) * LEN($BJ$455) * LEN($BJ$456)&gt;0),$BJ$454+$BJ$455-$BJ$456,HLOOKUP(INDIRECT(ADDRESS(2,COLUMN())),OFFSET($BN$2,0,0,ROW()-1,60),ROW()-1,FALSE))</f>
        <v/>
      </c>
      <c r="BK384" t="str">
        <f ca="1">IF(AND($B$419=1,LEN($BK$454) * LEN($BK$455) * LEN($BK$456)&gt;0),$BK$454+$BK$455-$BK$456,HLOOKUP(INDIRECT(ADDRESS(2,COLUMN())),OFFSET($BN$2,0,0,ROW()-1,60),ROW()-1,FALSE))</f>
        <v/>
      </c>
      <c r="BL384" t="str">
        <f ca="1">IF(AND($B$419=1,LEN($BL$454) * LEN($BL$455) * LEN($BL$456)&gt;0),$BL$454+$BL$455-$BL$456,HLOOKUP(INDIRECT(ADDRESS(2,COLUMN())),OFFSET($BN$2,0,0,ROW()-1,60),ROW()-1,FALSE))</f>
        <v/>
      </c>
      <c r="BM384" t="str">
        <f ca="1">IF(AND($B$419=1,LEN($BM$454) * LEN($BM$455) * LEN($BM$456)&gt;0),$BM$454+$BM$455-$BM$456,HLOOKUP(INDIRECT(ADDRESS(2,COLUMN())),OFFSET($BN$2,0,0,ROW()-1,60),ROW()-1,FALSE))</f>
        <v/>
      </c>
      <c r="BN384" t="str">
        <f>""</f>
        <v/>
      </c>
      <c r="BO384">
        <f>254.817</f>
        <v>254.81700000000001</v>
      </c>
      <c r="BP384">
        <f>309.556</f>
        <v>309.55599999999998</v>
      </c>
      <c r="BQ384">
        <f>355.432</f>
        <v>355.43200000000002</v>
      </c>
      <c r="BR384">
        <f>382.355</f>
        <v>382.35500000000002</v>
      </c>
      <c r="BS384">
        <f>397.964</f>
        <v>397.964</v>
      </c>
      <c r="BT384">
        <f>349.175</f>
        <v>349.17500000000001</v>
      </c>
      <c r="BU384">
        <f>286.465</f>
        <v>286.46499999999997</v>
      </c>
      <c r="BV384">
        <f>263.029</f>
        <v>263.029</v>
      </c>
      <c r="BW384" t="str">
        <f>""</f>
        <v/>
      </c>
      <c r="BX384">
        <f>344.175</f>
        <v>344.17500000000001</v>
      </c>
      <c r="BY384">
        <f>359.093</f>
        <v>359.09300000000002</v>
      </c>
      <c r="BZ384">
        <f>387.559</f>
        <v>387.55900000000003</v>
      </c>
      <c r="CA384">
        <f>393.532</f>
        <v>393.53199999999998</v>
      </c>
      <c r="CB384">
        <f>390.103</f>
        <v>390.10300000000001</v>
      </c>
      <c r="CC384">
        <f>440.217</f>
        <v>440.21699999999998</v>
      </c>
      <c r="CD384">
        <f>487.294</f>
        <v>487.29399999999998</v>
      </c>
      <c r="CE384">
        <f>515.438</f>
        <v>515.43799999999999</v>
      </c>
      <c r="CF384">
        <f>270.611</f>
        <v>270.61099999999999</v>
      </c>
      <c r="CG384">
        <f>310.627</f>
        <v>310.62700000000001</v>
      </c>
      <c r="CH384">
        <f>345.227</f>
        <v>345.22699999999998</v>
      </c>
      <c r="CI384">
        <f>347.402</f>
        <v>347.40199999999999</v>
      </c>
      <c r="CJ384">
        <f>392.054</f>
        <v>392.05399999999997</v>
      </c>
      <c r="CK384">
        <f>389.357</f>
        <v>389.35700000000003</v>
      </c>
      <c r="CL384">
        <f>407.756</f>
        <v>407.75599999999997</v>
      </c>
      <c r="CM384">
        <f>305.331</f>
        <v>305.33100000000002</v>
      </c>
      <c r="CN384">
        <f>80.771</f>
        <v>80.771000000000001</v>
      </c>
      <c r="CO384">
        <f>79.408</f>
        <v>79.408000000000001</v>
      </c>
      <c r="CP384">
        <f>227.271</f>
        <v>227.27099999999999</v>
      </c>
      <c r="CQ384">
        <f>238.548</f>
        <v>238.548</v>
      </c>
      <c r="CR384">
        <f>273.035</f>
        <v>273.03500000000003</v>
      </c>
      <c r="CS384">
        <f>277.653</f>
        <v>277.65300000000002</v>
      </c>
      <c r="CT384" t="str">
        <f>""</f>
        <v/>
      </c>
      <c r="CU384">
        <f>234.767</f>
        <v>234.767</v>
      </c>
      <c r="CV384" t="str">
        <f>""</f>
        <v/>
      </c>
      <c r="CW384" t="str">
        <f>""</f>
        <v/>
      </c>
      <c r="CX384" t="str">
        <f>""</f>
        <v/>
      </c>
      <c r="CY384" t="str">
        <f>""</f>
        <v/>
      </c>
      <c r="CZ384" t="str">
        <f>""</f>
        <v/>
      </c>
      <c r="DA384" t="str">
        <f>""</f>
        <v/>
      </c>
      <c r="DB384" t="str">
        <f>""</f>
        <v/>
      </c>
      <c r="DC384">
        <f>20.854</f>
        <v>20.853999999999999</v>
      </c>
      <c r="DD384" t="str">
        <f>""</f>
        <v/>
      </c>
      <c r="DE384" t="str">
        <f>""</f>
        <v/>
      </c>
      <c r="DF384" t="str">
        <f>""</f>
        <v/>
      </c>
      <c r="DG384" t="str">
        <f>""</f>
        <v/>
      </c>
      <c r="DH384" t="str">
        <f>""</f>
        <v/>
      </c>
      <c r="DI384" t="str">
        <f>""</f>
        <v/>
      </c>
      <c r="DJ384" t="str">
        <f>""</f>
        <v/>
      </c>
      <c r="DK384" t="str">
        <f>""</f>
        <v/>
      </c>
      <c r="DL384" t="str">
        <f>""</f>
        <v/>
      </c>
      <c r="DM384" t="str">
        <f>""</f>
        <v/>
      </c>
      <c r="DN384" t="str">
        <f>""</f>
        <v/>
      </c>
      <c r="DO384" t="str">
        <f>""</f>
        <v/>
      </c>
      <c r="DP384" t="str">
        <f>""</f>
        <v/>
      </c>
      <c r="DQ384" t="str">
        <f>""</f>
        <v/>
      </c>
      <c r="DR384" t="str">
        <f>""</f>
        <v/>
      </c>
      <c r="DS384" t="str">
        <f>""</f>
        <v/>
      </c>
      <c r="DT384" t="str">
        <f>""</f>
        <v/>
      </c>
      <c r="DU384" t="str">
        <f>""</f>
        <v/>
      </c>
    </row>
    <row r="385" spans="1:125">
      <c r="A385" t="str">
        <f>"    VEREIT Inc"</f>
        <v xml:space="preserve">    VEREIT Inc</v>
      </c>
      <c r="B385" t="str">
        <f>"VER US Equity"</f>
        <v>VER US Equity</v>
      </c>
      <c r="E385" t="str">
        <f t="shared" si="69"/>
        <v>Expression</v>
      </c>
      <c r="F385" t="str">
        <f ca="1">IF(AND($B$419=1,LEN($F$457) * LEN($F$458) * LEN($F$459)&gt;0),$F$457+$F$458-$F$459,HLOOKUP(INDIRECT(ADDRESS(2,COLUMN())),OFFSET($BN$2,0,0,ROW()-1,60),ROW()-1,FALSE))</f>
        <v/>
      </c>
      <c r="G385">
        <f ca="1">IF(AND($B$419=1,LEN($G$457) * LEN($G$458) * LEN($G$459)&gt;0),$G$457+$G$458-$G$459,HLOOKUP(INDIRECT(ADDRESS(2,COLUMN())),OFFSET($BN$2,0,0,ROW()-1,60),ROW()-1,FALSE))</f>
        <v>1269.4259999999999</v>
      </c>
      <c r="H385">
        <f ca="1">IF(AND($B$419=1,LEN($H$457) * LEN($H$458) * LEN($H$459)&gt;0),$H$457+$H$458-$H$459,HLOOKUP(INDIRECT(ADDRESS(2,COLUMN())),OFFSET($BN$2,0,0,ROW()-1,60),ROW()-1,FALSE))</f>
        <v>2336.5819999999999</v>
      </c>
      <c r="I385">
        <f ca="1">IF(AND($B$419=1,LEN($I$457) * LEN($I$458) * LEN($I$459)&gt;0),$I$457+$I$458-$I$459,HLOOKUP(INDIRECT(ADDRESS(2,COLUMN())),OFFSET($BN$2,0,0,ROW()-1,60),ROW()-1,FALSE))</f>
        <v>2430.0149999999999</v>
      </c>
      <c r="J385">
        <f ca="1">IF(AND($B$419=1,LEN($J$457) * LEN($J$458) * LEN($J$459)&gt;0),$J$457+$J$458-$J$459,HLOOKUP(INDIRECT(ADDRESS(2,COLUMN())),OFFSET($BN$2,0,0,ROW()-1,60),ROW()-1,FALSE))</f>
        <v>2284.44</v>
      </c>
      <c r="K385">
        <f ca="1">IF(AND($B$419=1,LEN($K$457) * LEN($K$458) * LEN($K$459)&gt;0),$K$457+$K$458-$K$459,HLOOKUP(INDIRECT(ADDRESS(2,COLUMN())),OFFSET($BN$2,0,0,ROW()-1,60),ROW()-1,FALSE))</f>
        <v>1769.3579999999999</v>
      </c>
      <c r="L385">
        <f ca="1">IF(AND($B$419=1,LEN($L$457) * LEN($L$458) * LEN($L$459)&gt;0),$L$457+$L$458-$L$459,HLOOKUP(INDIRECT(ADDRESS(2,COLUMN())),OFFSET($BN$2,0,0,ROW()-1,60),ROW()-1,FALSE))</f>
        <v>1868.78</v>
      </c>
      <c r="M385">
        <f ca="1">IF(AND($B$419=1,LEN($M$457) * LEN($M$458) * LEN($M$459)&gt;0),$M$457+$M$458-$M$459,HLOOKUP(INDIRECT(ADDRESS(2,COLUMN())),OFFSET($BN$2,0,0,ROW()-1,60),ROW()-1,FALSE))</f>
        <v>2108.5740000000001</v>
      </c>
      <c r="N385">
        <f ca="1">IF(AND($B$419=1,LEN($N$457) * LEN($N$458) * LEN($N$459)&gt;0),$N$457+$N$458-$N$459,HLOOKUP(INDIRECT(ADDRESS(2,COLUMN())),OFFSET($BN$2,0,0,ROW()-1,60),ROW()-1,FALSE))</f>
        <v>1997.106</v>
      </c>
      <c r="O385">
        <f ca="1">IF(AND($B$419=1,LEN($O$457) * LEN($O$458) * LEN($O$459)&gt;0),$O$457+$O$458-$O$459,HLOOKUP(INDIRECT(ADDRESS(2,COLUMN())),OFFSET($BN$2,0,0,ROW()-1,60),ROW()-1,FALSE))</f>
        <v>653.09699999999998</v>
      </c>
      <c r="P385">
        <f ca="1">IF(AND($B$419=1,LEN($P$457) * LEN($P$458) * LEN($P$459)&gt;0),$P$457+$P$458-$P$459,HLOOKUP(INDIRECT(ADDRESS(2,COLUMN())),OFFSET($BN$2,0,0,ROW()-1,60),ROW()-1,FALSE))</f>
        <v>366.24700000000001</v>
      </c>
      <c r="Q385">
        <f ca="1">IF(AND($B$419=1,LEN($Q$457) * LEN($Q$458) * LEN($Q$459)&gt;0),$Q$457+$Q$458-$Q$459,HLOOKUP(INDIRECT(ADDRESS(2,COLUMN())),OFFSET($BN$2,0,0,ROW()-1,60),ROW()-1,FALSE))</f>
        <v>410.12700000000001</v>
      </c>
      <c r="R385">
        <f ca="1">IF(AND($B$419=1,LEN($R$457) * LEN($R$458) * LEN($R$459)&gt;0),$R$457+$R$458-$R$459,HLOOKUP(INDIRECT(ADDRESS(2,COLUMN())),OFFSET($BN$2,0,0,ROW()-1,60),ROW()-1,FALSE))</f>
        <v>1142.162</v>
      </c>
      <c r="S385" t="str">
        <f ca="1">IF(AND($B$419=1,LEN($S$457) * LEN($S$458) * LEN($S$459)&gt;0),$S$457+$S$458-$S$459,HLOOKUP(INDIRECT(ADDRESS(2,COLUMN())),OFFSET($BN$2,0,0,ROW()-1,60),ROW()-1,FALSE))</f>
        <v/>
      </c>
      <c r="T385">
        <f ca="1">IF(AND($B$419=1,LEN($T$457) * LEN($T$458) * LEN($T$459)&gt;0),$T$457+$T$458-$T$459,HLOOKUP(INDIRECT(ADDRESS(2,COLUMN())),OFFSET($BN$2,0,0,ROW()-1,60),ROW()-1,FALSE))</f>
        <v>291.36099999999999</v>
      </c>
      <c r="U385">
        <f ca="1">IF(AND($B$419=1,LEN($U$457) * LEN($U$458) * LEN($U$459)&gt;0),$U$457+$U$458-$U$459,HLOOKUP(INDIRECT(ADDRESS(2,COLUMN())),OFFSET($BN$2,0,0,ROW()-1,60),ROW()-1,FALSE))</f>
        <v>2789.6469999999999</v>
      </c>
      <c r="V385">
        <f ca="1">IF(AND($B$419=1,LEN($V$457) * LEN($V$458) * LEN($V$459)&gt;0),$V$457+$V$458-$V$459,HLOOKUP(INDIRECT(ADDRESS(2,COLUMN())),OFFSET($BN$2,0,0,ROW()-1,60),ROW()-1,FALSE))</f>
        <v>576.19000000000005</v>
      </c>
      <c r="W385">
        <f ca="1">IF(AND($B$419=1,LEN($W$457) * LEN($W$458) * LEN($W$459)&gt;0),$W$457+$W$458-$W$459,HLOOKUP(INDIRECT(ADDRESS(2,COLUMN())),OFFSET($BN$2,0,0,ROW()-1,60),ROW()-1,FALSE))</f>
        <v>1333.1410000000001</v>
      </c>
      <c r="X385">
        <f ca="1">IF(AND($B$419=1,LEN($X$457) * LEN($X$458) * LEN($X$459)&gt;0),$X$457+$X$458-$X$459,HLOOKUP(INDIRECT(ADDRESS(2,COLUMN())),OFFSET($BN$2,0,0,ROW()-1,60),ROW()-1,FALSE))</f>
        <v>2050.4340000000002</v>
      </c>
      <c r="Y385">
        <f ca="1">IF(AND($B$419=1,LEN($Y$457) * LEN($Y$458) * LEN($Y$459)&gt;0),$Y$457+$Y$458-$Y$459,HLOOKUP(INDIRECT(ADDRESS(2,COLUMN())),OFFSET($BN$2,0,0,ROW()-1,60),ROW()-1,FALSE))</f>
        <v>1910.884</v>
      </c>
      <c r="Z385">
        <f ca="1">IF(AND($B$419=1,LEN($Z$457) * LEN($Z$458) * LEN($Z$459)&gt;0),$Z$457+$Z$458-$Z$459,HLOOKUP(INDIRECT(ADDRESS(2,COLUMN())),OFFSET($BN$2,0,0,ROW()-1,60),ROW()-1,FALSE))</f>
        <v>1912.338</v>
      </c>
      <c r="AA385" t="str">
        <f ca="1">IF(AND($B$419=1,LEN($AA$457) * LEN($AA$458) * LEN($AA$459)&gt;0),$AA$457+$AA$458-$AA$459,HLOOKUP(INDIRECT(ADDRESS(2,COLUMN())),OFFSET($BN$2,0,0,ROW()-1,60),ROW()-1,FALSE))</f>
        <v/>
      </c>
      <c r="AB385">
        <f ca="1">IF(AND($B$419=1,LEN($AB$457) * LEN($AB$458) * LEN($AB$459)&gt;0),$AB$457+$AB$458-$AB$459,HLOOKUP(INDIRECT(ADDRESS(2,COLUMN())),OFFSET($BN$2,0,0,ROW()-1,60),ROW()-1,FALSE))</f>
        <v>62.276000000000003</v>
      </c>
      <c r="AC385">
        <f ca="1">IF(AND($B$419=1,LEN($AC$457) * LEN($AC$458) * LEN($AC$459)&gt;0),$AC$457+$AC$458-$AC$459,HLOOKUP(INDIRECT(ADDRESS(2,COLUMN())),OFFSET($BN$2,0,0,ROW()-1,60),ROW()-1,FALSE))</f>
        <v>77.206999999999994</v>
      </c>
      <c r="AD385">
        <f ca="1">IF(AND($B$419=1,LEN($AD$457) * LEN($AD$458) * LEN($AD$459)&gt;0),$AD$457+$AD$458-$AD$459,HLOOKUP(INDIRECT(ADDRESS(2,COLUMN())),OFFSET($BN$2,0,0,ROW()-1,60),ROW()-1,FALSE))</f>
        <v>101.16800000000001</v>
      </c>
      <c r="AE385">
        <f ca="1">IF(AND($B$419=1,LEN($AE$457) * LEN($AE$458) * LEN($AE$459)&gt;0),$AE$457+$AE$458-$AE$459,HLOOKUP(INDIRECT(ADDRESS(2,COLUMN())),OFFSET($BN$2,0,0,ROW()-1,60),ROW()-1,FALSE))</f>
        <v>110.748</v>
      </c>
      <c r="AF385" t="str">
        <f ca="1">IF(AND($B$419=1,LEN($AF$457) * LEN($AF$458) * LEN($AF$459)&gt;0),$AF$457+$AF$458-$AF$459,HLOOKUP(INDIRECT(ADDRESS(2,COLUMN())),OFFSET($BN$2,0,0,ROW()-1,60),ROW()-1,FALSE))</f>
        <v/>
      </c>
      <c r="AG385" t="str">
        <f ca="1">IF(AND($B$419=1,LEN($AG$457) * LEN($AG$458) * LEN($AG$459)&gt;0),$AG$457+$AG$458-$AG$459,HLOOKUP(INDIRECT(ADDRESS(2,COLUMN())),OFFSET($BN$2,0,0,ROW()-1,60),ROW()-1,FALSE))</f>
        <v/>
      </c>
      <c r="AH385" t="str">
        <f ca="1">IF(AND($B$419=1,LEN($AH$457) * LEN($AH$458) * LEN($AH$459)&gt;0),$AH$457+$AH$458-$AH$459,HLOOKUP(INDIRECT(ADDRESS(2,COLUMN())),OFFSET($BN$2,0,0,ROW()-1,60),ROW()-1,FALSE))</f>
        <v/>
      </c>
      <c r="AI385" t="str">
        <f ca="1">IF(AND($B$419=1,LEN($AI$457) * LEN($AI$458) * LEN($AI$459)&gt;0),$AI$457+$AI$458-$AI$459,HLOOKUP(INDIRECT(ADDRESS(2,COLUMN())),OFFSET($BN$2,0,0,ROW()-1,60),ROW()-1,FALSE))</f>
        <v/>
      </c>
      <c r="AJ385" t="str">
        <f ca="1">IF(AND($B$419=1,LEN($AJ$457) * LEN($AJ$458) * LEN($AJ$459)&gt;0),$AJ$457+$AJ$458-$AJ$459,HLOOKUP(INDIRECT(ADDRESS(2,COLUMN())),OFFSET($BN$2,0,0,ROW()-1,60),ROW()-1,FALSE))</f>
        <v/>
      </c>
      <c r="AK385" t="str">
        <f ca="1">IF(AND($B$419=1,LEN($AK$457) * LEN($AK$458) * LEN($AK$459)&gt;0),$AK$457+$AK$458-$AK$459,HLOOKUP(INDIRECT(ADDRESS(2,COLUMN())),OFFSET($BN$2,0,0,ROW()-1,60),ROW()-1,FALSE))</f>
        <v/>
      </c>
      <c r="AL385" t="str">
        <f ca="1">IF(AND($B$419=1,LEN($AL$457) * LEN($AL$458) * LEN($AL$459)&gt;0),$AL$457+$AL$458-$AL$459,HLOOKUP(INDIRECT(ADDRESS(2,COLUMN())),OFFSET($BN$2,0,0,ROW()-1,60),ROW()-1,FALSE))</f>
        <v/>
      </c>
      <c r="AM385" t="str">
        <f ca="1">IF(AND($B$419=1,LEN($AM$457) * LEN($AM$458) * LEN($AM$459)&gt;0),$AM$457+$AM$458-$AM$459,HLOOKUP(INDIRECT(ADDRESS(2,COLUMN())),OFFSET($BN$2,0,0,ROW()-1,60),ROW()-1,FALSE))</f>
        <v/>
      </c>
      <c r="AN385" t="str">
        <f ca="1">IF(AND($B$419=1,LEN($AN$457) * LEN($AN$458) * LEN($AN$459)&gt;0),$AN$457+$AN$458-$AN$459,HLOOKUP(INDIRECT(ADDRESS(2,COLUMN())),OFFSET($BN$2,0,0,ROW()-1,60),ROW()-1,FALSE))</f>
        <v/>
      </c>
      <c r="AO385" t="str">
        <f ca="1">IF(AND($B$419=1,LEN($AO$457) * LEN($AO$458) * LEN($AO$459)&gt;0),$AO$457+$AO$458-$AO$459,HLOOKUP(INDIRECT(ADDRESS(2,COLUMN())),OFFSET($BN$2,0,0,ROW()-1,60),ROW()-1,FALSE))</f>
        <v/>
      </c>
      <c r="AP385" t="str">
        <f ca="1">IF(AND($B$419=1,LEN($AP$457) * LEN($AP$458) * LEN($AP$459)&gt;0),$AP$457+$AP$458-$AP$459,HLOOKUP(INDIRECT(ADDRESS(2,COLUMN())),OFFSET($BN$2,0,0,ROW()-1,60),ROW()-1,FALSE))</f>
        <v/>
      </c>
      <c r="AQ385" t="str">
        <f ca="1">IF(AND($B$419=1,LEN($AQ$457) * LEN($AQ$458) * LEN($AQ$459)&gt;0),$AQ$457+$AQ$458-$AQ$459,HLOOKUP(INDIRECT(ADDRESS(2,COLUMN())),OFFSET($BN$2,0,0,ROW()-1,60),ROW()-1,FALSE))</f>
        <v/>
      </c>
      <c r="AR385" t="str">
        <f ca="1">IF(AND($B$419=1,LEN($AR$457) * LEN($AR$458) * LEN($AR$459)&gt;0),$AR$457+$AR$458-$AR$459,HLOOKUP(INDIRECT(ADDRESS(2,COLUMN())),OFFSET($BN$2,0,0,ROW()-1,60),ROW()-1,FALSE))</f>
        <v/>
      </c>
      <c r="AS385" t="str">
        <f ca="1">IF(AND($B$419=1,LEN($AS$457) * LEN($AS$458) * LEN($AS$459)&gt;0),$AS$457+$AS$458-$AS$459,HLOOKUP(INDIRECT(ADDRESS(2,COLUMN())),OFFSET($BN$2,0,0,ROW()-1,60),ROW()-1,FALSE))</f>
        <v/>
      </c>
      <c r="AT385" t="str">
        <f ca="1">IF(AND($B$419=1,LEN($AT$457) * LEN($AT$458) * LEN($AT$459)&gt;0),$AT$457+$AT$458-$AT$459,HLOOKUP(INDIRECT(ADDRESS(2,COLUMN())),OFFSET($BN$2,0,0,ROW()-1,60),ROW()-1,FALSE))</f>
        <v/>
      </c>
      <c r="AU385" t="str">
        <f ca="1">IF(AND($B$419=1,LEN($AU$457) * LEN($AU$458) * LEN($AU$459)&gt;0),$AU$457+$AU$458-$AU$459,HLOOKUP(INDIRECT(ADDRESS(2,COLUMN())),OFFSET($BN$2,0,0,ROW()-1,60),ROW()-1,FALSE))</f>
        <v/>
      </c>
      <c r="AV385" t="str">
        <f ca="1">IF(AND($B$419=1,LEN($AV$457) * LEN($AV$458) * LEN($AV$459)&gt;0),$AV$457+$AV$458-$AV$459,HLOOKUP(INDIRECT(ADDRESS(2,COLUMN())),OFFSET($BN$2,0,0,ROW()-1,60),ROW()-1,FALSE))</f>
        <v/>
      </c>
      <c r="AW385" t="str">
        <f ca="1">IF(AND($B$419=1,LEN($AW$457) * LEN($AW$458) * LEN($AW$459)&gt;0),$AW$457+$AW$458-$AW$459,HLOOKUP(INDIRECT(ADDRESS(2,COLUMN())),OFFSET($BN$2,0,0,ROW()-1,60),ROW()-1,FALSE))</f>
        <v/>
      </c>
      <c r="AX385" t="str">
        <f ca="1">IF(AND($B$419=1,LEN($AX$457) * LEN($AX$458) * LEN($AX$459)&gt;0),$AX$457+$AX$458-$AX$459,HLOOKUP(INDIRECT(ADDRESS(2,COLUMN())),OFFSET($BN$2,0,0,ROW()-1,60),ROW()-1,FALSE))</f>
        <v/>
      </c>
      <c r="AY385" t="str">
        <f ca="1">IF(AND($B$419=1,LEN($AY$457) * LEN($AY$458) * LEN($AY$459)&gt;0),$AY$457+$AY$458-$AY$459,HLOOKUP(INDIRECT(ADDRESS(2,COLUMN())),OFFSET($BN$2,0,0,ROW()-1,60),ROW()-1,FALSE))</f>
        <v/>
      </c>
      <c r="AZ385" t="str">
        <f ca="1">IF(AND($B$419=1,LEN($AZ$457) * LEN($AZ$458) * LEN($AZ$459)&gt;0),$AZ$457+$AZ$458-$AZ$459,HLOOKUP(INDIRECT(ADDRESS(2,COLUMN())),OFFSET($BN$2,0,0,ROW()-1,60),ROW()-1,FALSE))</f>
        <v/>
      </c>
      <c r="BA385" t="str">
        <f ca="1">IF(AND($B$419=1,LEN($BA$457) * LEN($BA$458) * LEN($BA$459)&gt;0),$BA$457+$BA$458-$BA$459,HLOOKUP(INDIRECT(ADDRESS(2,COLUMN())),OFFSET($BN$2,0,0,ROW()-1,60),ROW()-1,FALSE))</f>
        <v/>
      </c>
      <c r="BB385" t="str">
        <f ca="1">IF(AND($B$419=1,LEN($BB$457) * LEN($BB$458) * LEN($BB$459)&gt;0),$BB$457+$BB$458-$BB$459,HLOOKUP(INDIRECT(ADDRESS(2,COLUMN())),OFFSET($BN$2,0,0,ROW()-1,60),ROW()-1,FALSE))</f>
        <v/>
      </c>
      <c r="BC385" t="str">
        <f ca="1">IF(AND($B$419=1,LEN($BC$457) * LEN($BC$458) * LEN($BC$459)&gt;0),$BC$457+$BC$458-$BC$459,HLOOKUP(INDIRECT(ADDRESS(2,COLUMN())),OFFSET($BN$2,0,0,ROW()-1,60),ROW()-1,FALSE))</f>
        <v/>
      </c>
      <c r="BD385" t="str">
        <f ca="1">IF(AND($B$419=1,LEN($BD$457) * LEN($BD$458) * LEN($BD$459)&gt;0),$BD$457+$BD$458-$BD$459,HLOOKUP(INDIRECT(ADDRESS(2,COLUMN())),OFFSET($BN$2,0,0,ROW()-1,60),ROW()-1,FALSE))</f>
        <v/>
      </c>
      <c r="BE385" t="str">
        <f ca="1">IF(AND($B$419=1,LEN($BE$457) * LEN($BE$458) * LEN($BE$459)&gt;0),$BE$457+$BE$458-$BE$459,HLOOKUP(INDIRECT(ADDRESS(2,COLUMN())),OFFSET($BN$2,0,0,ROW()-1,60),ROW()-1,FALSE))</f>
        <v/>
      </c>
      <c r="BF385" t="str">
        <f ca="1">IF(AND($B$419=1,LEN($BF$457) * LEN($BF$458) * LEN($BF$459)&gt;0),$BF$457+$BF$458-$BF$459,HLOOKUP(INDIRECT(ADDRESS(2,COLUMN())),OFFSET($BN$2,0,0,ROW()-1,60),ROW()-1,FALSE))</f>
        <v/>
      </c>
      <c r="BG385" t="str">
        <f ca="1">IF(AND($B$419=1,LEN($BG$457) * LEN($BG$458) * LEN($BG$459)&gt;0),$BG$457+$BG$458-$BG$459,HLOOKUP(INDIRECT(ADDRESS(2,COLUMN())),OFFSET($BN$2,0,0,ROW()-1,60),ROW()-1,FALSE))</f>
        <v/>
      </c>
      <c r="BH385" t="str">
        <f ca="1">IF(AND($B$419=1,LEN($BH$457) * LEN($BH$458) * LEN($BH$459)&gt;0),$BH$457+$BH$458-$BH$459,HLOOKUP(INDIRECT(ADDRESS(2,COLUMN())),OFFSET($BN$2,0,0,ROW()-1,60),ROW()-1,FALSE))</f>
        <v/>
      </c>
      <c r="BI385" t="str">
        <f ca="1">IF(AND($B$419=1,LEN($BI$457) * LEN($BI$458) * LEN($BI$459)&gt;0),$BI$457+$BI$458-$BI$459,HLOOKUP(INDIRECT(ADDRESS(2,COLUMN())),OFFSET($BN$2,0,0,ROW()-1,60),ROW()-1,FALSE))</f>
        <v/>
      </c>
      <c r="BJ385" t="str">
        <f ca="1">IF(AND($B$419=1,LEN($BJ$457) * LEN($BJ$458) * LEN($BJ$459)&gt;0),$BJ$457+$BJ$458-$BJ$459,HLOOKUP(INDIRECT(ADDRESS(2,COLUMN())),OFFSET($BN$2,0,0,ROW()-1,60),ROW()-1,FALSE))</f>
        <v/>
      </c>
      <c r="BK385" t="str">
        <f ca="1">IF(AND($B$419=1,LEN($BK$457) * LEN($BK$458) * LEN($BK$459)&gt;0),$BK$457+$BK$458-$BK$459,HLOOKUP(INDIRECT(ADDRESS(2,COLUMN())),OFFSET($BN$2,0,0,ROW()-1,60),ROW()-1,FALSE))</f>
        <v/>
      </c>
      <c r="BL385" t="str">
        <f ca="1">IF(AND($B$419=1,LEN($BL$457) * LEN($BL$458) * LEN($BL$459)&gt;0),$BL$457+$BL$458-$BL$459,HLOOKUP(INDIRECT(ADDRESS(2,COLUMN())),OFFSET($BN$2,0,0,ROW()-1,60),ROW()-1,FALSE))</f>
        <v/>
      </c>
      <c r="BM385" t="str">
        <f ca="1">IF(AND($B$419=1,LEN($BM$457) * LEN($BM$458) * LEN($BM$459)&gt;0),$BM$457+$BM$458-$BM$459,HLOOKUP(INDIRECT(ADDRESS(2,COLUMN())),OFFSET($BN$2,0,0,ROW()-1,60),ROW()-1,FALSE))</f>
        <v/>
      </c>
      <c r="BN385" t="str">
        <f>""</f>
        <v/>
      </c>
      <c r="BO385">
        <f>1269.426</f>
        <v>1269.4259999999999</v>
      </c>
      <c r="BP385">
        <f>2336.582</f>
        <v>2336.5819999999999</v>
      </c>
      <c r="BQ385">
        <f>2430.015</f>
        <v>2430.0149999999999</v>
      </c>
      <c r="BR385">
        <f>2284.44</f>
        <v>2284.44</v>
      </c>
      <c r="BS385">
        <f>1769.358</f>
        <v>1769.3579999999999</v>
      </c>
      <c r="BT385">
        <f>1868.78</f>
        <v>1868.78</v>
      </c>
      <c r="BU385">
        <f>2108.574</f>
        <v>2108.5740000000001</v>
      </c>
      <c r="BV385">
        <f>1997.106</f>
        <v>1997.106</v>
      </c>
      <c r="BW385">
        <f>653.097</f>
        <v>653.09699999999998</v>
      </c>
      <c r="BX385">
        <f>366.247</f>
        <v>366.24700000000001</v>
      </c>
      <c r="BY385">
        <f>410.127</f>
        <v>410.12700000000001</v>
      </c>
      <c r="BZ385">
        <f>1142.162</f>
        <v>1142.162</v>
      </c>
      <c r="CA385" t="str">
        <f>""</f>
        <v/>
      </c>
      <c r="CB385">
        <f>291.361</f>
        <v>291.36099999999999</v>
      </c>
      <c r="CC385">
        <f>2789.647</f>
        <v>2789.6469999999999</v>
      </c>
      <c r="CD385">
        <f>576.19</f>
        <v>576.19000000000005</v>
      </c>
      <c r="CE385">
        <f>1333.141</f>
        <v>1333.1410000000001</v>
      </c>
      <c r="CF385">
        <f>2050.434</f>
        <v>2050.4340000000002</v>
      </c>
      <c r="CG385">
        <f>1910.884</f>
        <v>1910.884</v>
      </c>
      <c r="CH385">
        <f>1912.338</f>
        <v>1912.338</v>
      </c>
      <c r="CI385" t="str">
        <f>""</f>
        <v/>
      </c>
      <c r="CJ385">
        <f>62.276</f>
        <v>62.276000000000003</v>
      </c>
      <c r="CK385">
        <f>77.207</f>
        <v>77.206999999999994</v>
      </c>
      <c r="CL385">
        <f>101.168</f>
        <v>101.16800000000001</v>
      </c>
      <c r="CM385">
        <f>110.748</f>
        <v>110.748</v>
      </c>
      <c r="CN385" t="str">
        <f>""</f>
        <v/>
      </c>
      <c r="CO385" t="str">
        <f>""</f>
        <v/>
      </c>
      <c r="CP385" t="str">
        <f>""</f>
        <v/>
      </c>
      <c r="CQ385" t="str">
        <f>""</f>
        <v/>
      </c>
      <c r="CR385" t="str">
        <f>""</f>
        <v/>
      </c>
      <c r="CS385" t="str">
        <f>""</f>
        <v/>
      </c>
      <c r="CT385" t="str">
        <f>""</f>
        <v/>
      </c>
      <c r="CU385" t="str">
        <f>""</f>
        <v/>
      </c>
      <c r="CV385" t="str">
        <f>""</f>
        <v/>
      </c>
      <c r="CW385" t="str">
        <f>""</f>
        <v/>
      </c>
      <c r="CX385" t="str">
        <f>""</f>
        <v/>
      </c>
      <c r="CY385" t="str">
        <f>""</f>
        <v/>
      </c>
      <c r="CZ385" t="str">
        <f>""</f>
        <v/>
      </c>
      <c r="DA385" t="str">
        <f>""</f>
        <v/>
      </c>
      <c r="DB385" t="str">
        <f>""</f>
        <v/>
      </c>
      <c r="DC385" t="str">
        <f>""</f>
        <v/>
      </c>
      <c r="DD385" t="str">
        <f>""</f>
        <v/>
      </c>
      <c r="DE385" t="str">
        <f>""</f>
        <v/>
      </c>
      <c r="DF385" t="str">
        <f>""</f>
        <v/>
      </c>
      <c r="DG385" t="str">
        <f>""</f>
        <v/>
      </c>
      <c r="DH385" t="str">
        <f>""</f>
        <v/>
      </c>
      <c r="DI385" t="str">
        <f>""</f>
        <v/>
      </c>
      <c r="DJ385" t="str">
        <f>""</f>
        <v/>
      </c>
      <c r="DK385" t="str">
        <f>""</f>
        <v/>
      </c>
      <c r="DL385" t="str">
        <f>""</f>
        <v/>
      </c>
      <c r="DM385" t="str">
        <f>""</f>
        <v/>
      </c>
      <c r="DN385" t="str">
        <f>""</f>
        <v/>
      </c>
      <c r="DO385" t="str">
        <f>""</f>
        <v/>
      </c>
      <c r="DP385" t="str">
        <f>""</f>
        <v/>
      </c>
      <c r="DQ385" t="str">
        <f>""</f>
        <v/>
      </c>
      <c r="DR385" t="str">
        <f>""</f>
        <v/>
      </c>
      <c r="DS385" t="str">
        <f>""</f>
        <v/>
      </c>
      <c r="DT385" t="str">
        <f>""</f>
        <v/>
      </c>
      <c r="DU385" t="str">
        <f>""</f>
        <v/>
      </c>
    </row>
    <row r="386" spans="1:125">
      <c r="A386" t="str">
        <f>"    Washington Prime Group Inc"</f>
        <v xml:space="preserve">    Washington Prime Group Inc</v>
      </c>
      <c r="B386" t="str">
        <f>"WPG US Equity"</f>
        <v>WPG US Equity</v>
      </c>
      <c r="E386" t="str">
        <f t="shared" si="69"/>
        <v>Expression</v>
      </c>
      <c r="F386" t="str">
        <f ca="1">IF(AND($B$419=1,LEN($F$460) * LEN($F$461) * LEN($F$462)&gt;0),$F$460+$F$461-$F$462,HLOOKUP(INDIRECT(ADDRESS(2,COLUMN())),OFFSET($BN$2,0,0,ROW()-1,60),ROW()-1,FALSE))</f>
        <v/>
      </c>
      <c r="G386">
        <f ca="1">IF(AND($B$419=1,LEN($G$460) * LEN($G$461) * LEN($G$462)&gt;0),$G$460+$G$461-$G$462,HLOOKUP(INDIRECT(ADDRESS(2,COLUMN())),OFFSET($BN$2,0,0,ROW()-1,60),ROW()-1,FALSE))</f>
        <v>771.40700000000004</v>
      </c>
      <c r="H386">
        <f ca="1">IF(AND($B$419=1,LEN($H$460) * LEN($H$461) * LEN($H$462)&gt;0),$H$460+$H$461-$H$462,HLOOKUP(INDIRECT(ADDRESS(2,COLUMN())),OFFSET($BN$2,0,0,ROW()-1,60),ROW()-1,FALSE))</f>
        <v>704.54100000000005</v>
      </c>
      <c r="I386">
        <f ca="1">IF(AND($B$419=1,LEN($I$460) * LEN($I$461) * LEN($I$462)&gt;0),$I$460+$I$461-$I$462,HLOOKUP(INDIRECT(ADDRESS(2,COLUMN())),OFFSET($BN$2,0,0,ROW()-1,60),ROW()-1,FALSE))</f>
        <v>729.07600000000002</v>
      </c>
      <c r="J386">
        <f ca="1">IF(AND($B$419=1,LEN($J$460) * LEN($J$461) * LEN($J$462)&gt;0),$J$460+$J$461-$J$462,HLOOKUP(INDIRECT(ADDRESS(2,COLUMN())),OFFSET($BN$2,0,0,ROW()-1,60),ROW()-1,FALSE))</f>
        <v>361.60599999999999</v>
      </c>
      <c r="K386">
        <f ca="1">IF(AND($B$419=1,LEN($K$460) * LEN($K$461) * LEN($K$462)&gt;0),$K$460+$K$461-$K$462,HLOOKUP(INDIRECT(ADDRESS(2,COLUMN())),OFFSET($BN$2,0,0,ROW()-1,60),ROW()-1,FALSE))</f>
        <v>305.00299999999999</v>
      </c>
      <c r="L386">
        <f ca="1">IF(AND($B$419=1,LEN($L$460) * LEN($L$461) * LEN($L$462)&gt;0),$L$460+$L$461-$L$462,HLOOKUP(INDIRECT(ADDRESS(2,COLUMN())),OFFSET($BN$2,0,0,ROW()-1,60),ROW()-1,FALSE))</f>
        <v>423.54500000000002</v>
      </c>
      <c r="M386">
        <f ca="1">IF(AND($B$419=1,LEN($M$460) * LEN($M$461) * LEN($M$462)&gt;0),$M$460+$M$461-$M$462,HLOOKUP(INDIRECT(ADDRESS(2,COLUMN())),OFFSET($BN$2,0,0,ROW()-1,60),ROW()-1,FALSE))</f>
        <v>408.39800000000002</v>
      </c>
      <c r="N386">
        <f ca="1">IF(AND($B$419=1,LEN($N$460) * LEN($N$461) * LEN($N$462)&gt;0),$N$460+$N$461-$N$462,HLOOKUP(INDIRECT(ADDRESS(2,COLUMN())),OFFSET($BN$2,0,0,ROW()-1,60),ROW()-1,FALSE))</f>
        <v>304.83699999999999</v>
      </c>
      <c r="O386" t="str">
        <f ca="1">IF(AND($B$419=1,LEN($O$460) * LEN($O$461) * LEN($O$462)&gt;0),$O$460+$O$461-$O$462,HLOOKUP(INDIRECT(ADDRESS(2,COLUMN())),OFFSET($BN$2,0,0,ROW()-1,60),ROW()-1,FALSE))</f>
        <v/>
      </c>
      <c r="P386">
        <f ca="1">IF(AND($B$419=1,LEN($P$460) * LEN($P$461) * LEN($P$462)&gt;0),$P$460+$P$461-$P$462,HLOOKUP(INDIRECT(ADDRESS(2,COLUMN())),OFFSET($BN$2,0,0,ROW()-1,60),ROW()-1,FALSE))</f>
        <v>374.09500000000003</v>
      </c>
      <c r="Q386">
        <f ca="1">IF(AND($B$419=1,LEN($Q$460) * LEN($Q$461) * LEN($Q$462)&gt;0),$Q$460+$Q$461-$Q$462,HLOOKUP(INDIRECT(ADDRESS(2,COLUMN())),OFFSET($BN$2,0,0,ROW()-1,60),ROW()-1,FALSE))</f>
        <v>282.24099999999999</v>
      </c>
      <c r="R386">
        <f ca="1">IF(AND($B$419=1,LEN($R$460) * LEN($R$461) * LEN($R$462)&gt;0),$R$460+$R$461-$R$462,HLOOKUP(INDIRECT(ADDRESS(2,COLUMN())),OFFSET($BN$2,0,0,ROW()-1,60),ROW()-1,FALSE))</f>
        <v>43.9</v>
      </c>
      <c r="S386">
        <f ca="1">IF(AND($B$419=1,LEN($S$460) * LEN($S$461) * LEN($S$462)&gt;0),$S$460+$S$461-$S$462,HLOOKUP(INDIRECT(ADDRESS(2,COLUMN())),OFFSET($BN$2,0,0,ROW()-1,60),ROW()-1,FALSE))</f>
        <v>407.38900000000001</v>
      </c>
      <c r="T386">
        <f ca="1">IF(AND($B$419=1,LEN($T$460) * LEN($T$461) * LEN($T$462)&gt;0),$T$460+$T$461-$T$462,HLOOKUP(INDIRECT(ADDRESS(2,COLUMN())),OFFSET($BN$2,0,0,ROW()-1,60),ROW()-1,FALSE))</f>
        <v>660.22900000000004</v>
      </c>
      <c r="U386">
        <f ca="1">IF(AND($B$419=1,LEN($U$460) * LEN($U$461) * LEN($U$462)&gt;0),$U$460+$U$461-$U$462,HLOOKUP(INDIRECT(ADDRESS(2,COLUMN())),OFFSET($BN$2,0,0,ROW()-1,60),ROW()-1,FALSE))</f>
        <v>629.49</v>
      </c>
      <c r="V386" t="str">
        <f ca="1">IF(AND($B$419=1,LEN($V$460) * LEN($V$461) * LEN($V$462)&gt;0),$V$460+$V$461-$V$462,HLOOKUP(INDIRECT(ADDRESS(2,COLUMN())),OFFSET($BN$2,0,0,ROW()-1,60),ROW()-1,FALSE))</f>
        <v/>
      </c>
      <c r="W386" t="str">
        <f ca="1">IF(AND($B$419=1,LEN($W$460) * LEN($W$461) * LEN($W$462)&gt;0),$W$460+$W$461-$W$462,HLOOKUP(INDIRECT(ADDRESS(2,COLUMN())),OFFSET($BN$2,0,0,ROW()-1,60),ROW()-1,FALSE))</f>
        <v/>
      </c>
      <c r="X386" t="str">
        <f ca="1">IF(AND($B$419=1,LEN($X$460) * LEN($X$461) * LEN($X$462)&gt;0),$X$460+$X$461-$X$462,HLOOKUP(INDIRECT(ADDRESS(2,COLUMN())),OFFSET($BN$2,0,0,ROW()-1,60),ROW()-1,FALSE))</f>
        <v/>
      </c>
      <c r="Y386" t="str">
        <f ca="1">IF(AND($B$419=1,LEN($Y$460) * LEN($Y$461) * LEN($Y$462)&gt;0),$Y$460+$Y$461-$Y$462,HLOOKUP(INDIRECT(ADDRESS(2,COLUMN())),OFFSET($BN$2,0,0,ROW()-1,60),ROW()-1,FALSE))</f>
        <v/>
      </c>
      <c r="Z386" t="str">
        <f ca="1">IF(AND($B$419=1,LEN($Z$460) * LEN($Z$461) * LEN($Z$462)&gt;0),$Z$460+$Z$461-$Z$462,HLOOKUP(INDIRECT(ADDRESS(2,COLUMN())),OFFSET($BN$2,0,0,ROW()-1,60),ROW()-1,FALSE))</f>
        <v/>
      </c>
      <c r="AA386" t="str">
        <f ca="1">IF(AND($B$419=1,LEN($AA$460) * LEN($AA$461) * LEN($AA$462)&gt;0),$AA$460+$AA$461-$AA$462,HLOOKUP(INDIRECT(ADDRESS(2,COLUMN())),OFFSET($BN$2,0,0,ROW()-1,60),ROW()-1,FALSE))</f>
        <v/>
      </c>
      <c r="AB386" t="str">
        <f ca="1">IF(AND($B$419=1,LEN($AB$460) * LEN($AB$461) * LEN($AB$462)&gt;0),$AB$460+$AB$461-$AB$462,HLOOKUP(INDIRECT(ADDRESS(2,COLUMN())),OFFSET($BN$2,0,0,ROW()-1,60),ROW()-1,FALSE))</f>
        <v/>
      </c>
      <c r="AC386" t="str">
        <f ca="1">IF(AND($B$419=1,LEN($AC$460) * LEN($AC$461) * LEN($AC$462)&gt;0),$AC$460+$AC$461-$AC$462,HLOOKUP(INDIRECT(ADDRESS(2,COLUMN())),OFFSET($BN$2,0,0,ROW()-1,60),ROW()-1,FALSE))</f>
        <v/>
      </c>
      <c r="AD386" t="str">
        <f ca="1">IF(AND($B$419=1,LEN($AD$460) * LEN($AD$461) * LEN($AD$462)&gt;0),$AD$460+$AD$461-$AD$462,HLOOKUP(INDIRECT(ADDRESS(2,COLUMN())),OFFSET($BN$2,0,0,ROW()-1,60),ROW()-1,FALSE))</f>
        <v/>
      </c>
      <c r="AE386" t="str">
        <f ca="1">IF(AND($B$419=1,LEN($AE$460) * LEN($AE$461) * LEN($AE$462)&gt;0),$AE$460+$AE$461-$AE$462,HLOOKUP(INDIRECT(ADDRESS(2,COLUMN())),OFFSET($BN$2,0,0,ROW()-1,60),ROW()-1,FALSE))</f>
        <v/>
      </c>
      <c r="AF386" t="str">
        <f ca="1">IF(AND($B$419=1,LEN($AF$460) * LEN($AF$461) * LEN($AF$462)&gt;0),$AF$460+$AF$461-$AF$462,HLOOKUP(INDIRECT(ADDRESS(2,COLUMN())),OFFSET($BN$2,0,0,ROW()-1,60),ROW()-1,FALSE))</f>
        <v/>
      </c>
      <c r="AG386" t="str">
        <f ca="1">IF(AND($B$419=1,LEN($AG$460) * LEN($AG$461) * LEN($AG$462)&gt;0),$AG$460+$AG$461-$AG$462,HLOOKUP(INDIRECT(ADDRESS(2,COLUMN())),OFFSET($BN$2,0,0,ROW()-1,60),ROW()-1,FALSE))</f>
        <v/>
      </c>
      <c r="AH386" t="str">
        <f ca="1">IF(AND($B$419=1,LEN($AH$460) * LEN($AH$461) * LEN($AH$462)&gt;0),$AH$460+$AH$461-$AH$462,HLOOKUP(INDIRECT(ADDRESS(2,COLUMN())),OFFSET($BN$2,0,0,ROW()-1,60),ROW()-1,FALSE))</f>
        <v/>
      </c>
      <c r="AI386" t="str">
        <f ca="1">IF(AND($B$419=1,LEN($AI$460) * LEN($AI$461) * LEN($AI$462)&gt;0),$AI$460+$AI$461-$AI$462,HLOOKUP(INDIRECT(ADDRESS(2,COLUMN())),OFFSET($BN$2,0,0,ROW()-1,60),ROW()-1,FALSE))</f>
        <v/>
      </c>
      <c r="AJ386" t="str">
        <f ca="1">IF(AND($B$419=1,LEN($AJ$460) * LEN($AJ$461) * LEN($AJ$462)&gt;0),$AJ$460+$AJ$461-$AJ$462,HLOOKUP(INDIRECT(ADDRESS(2,COLUMN())),OFFSET($BN$2,0,0,ROW()-1,60),ROW()-1,FALSE))</f>
        <v/>
      </c>
      <c r="AK386" t="str">
        <f ca="1">IF(AND($B$419=1,LEN($AK$460) * LEN($AK$461) * LEN($AK$462)&gt;0),$AK$460+$AK$461-$AK$462,HLOOKUP(INDIRECT(ADDRESS(2,COLUMN())),OFFSET($BN$2,0,0,ROW()-1,60),ROW()-1,FALSE))</f>
        <v/>
      </c>
      <c r="AL386" t="str">
        <f ca="1">IF(AND($B$419=1,LEN($AL$460) * LEN($AL$461) * LEN($AL$462)&gt;0),$AL$460+$AL$461-$AL$462,HLOOKUP(INDIRECT(ADDRESS(2,COLUMN())),OFFSET($BN$2,0,0,ROW()-1,60),ROW()-1,FALSE))</f>
        <v/>
      </c>
      <c r="AM386" t="str">
        <f ca="1">IF(AND($B$419=1,LEN($AM$460) * LEN($AM$461) * LEN($AM$462)&gt;0),$AM$460+$AM$461-$AM$462,HLOOKUP(INDIRECT(ADDRESS(2,COLUMN())),OFFSET($BN$2,0,0,ROW()-1,60),ROW()-1,FALSE))</f>
        <v/>
      </c>
      <c r="AN386" t="str">
        <f ca="1">IF(AND($B$419=1,LEN($AN$460) * LEN($AN$461) * LEN($AN$462)&gt;0),$AN$460+$AN$461-$AN$462,HLOOKUP(INDIRECT(ADDRESS(2,COLUMN())),OFFSET($BN$2,0,0,ROW()-1,60),ROW()-1,FALSE))</f>
        <v/>
      </c>
      <c r="AO386" t="str">
        <f ca="1">IF(AND($B$419=1,LEN($AO$460) * LEN($AO$461) * LEN($AO$462)&gt;0),$AO$460+$AO$461-$AO$462,HLOOKUP(INDIRECT(ADDRESS(2,COLUMN())),OFFSET($BN$2,0,0,ROW()-1,60),ROW()-1,FALSE))</f>
        <v/>
      </c>
      <c r="AP386" t="str">
        <f ca="1">IF(AND($B$419=1,LEN($AP$460) * LEN($AP$461) * LEN($AP$462)&gt;0),$AP$460+$AP$461-$AP$462,HLOOKUP(INDIRECT(ADDRESS(2,COLUMN())),OFFSET($BN$2,0,0,ROW()-1,60),ROW()-1,FALSE))</f>
        <v/>
      </c>
      <c r="AQ386" t="str">
        <f ca="1">IF(AND($B$419=1,LEN($AQ$460) * LEN($AQ$461) * LEN($AQ$462)&gt;0),$AQ$460+$AQ$461-$AQ$462,HLOOKUP(INDIRECT(ADDRESS(2,COLUMN())),OFFSET($BN$2,0,0,ROW()-1,60),ROW()-1,FALSE))</f>
        <v/>
      </c>
      <c r="AR386" t="str">
        <f ca="1">IF(AND($B$419=1,LEN($AR$460) * LEN($AR$461) * LEN($AR$462)&gt;0),$AR$460+$AR$461-$AR$462,HLOOKUP(INDIRECT(ADDRESS(2,COLUMN())),OFFSET($BN$2,0,0,ROW()-1,60),ROW()-1,FALSE))</f>
        <v/>
      </c>
      <c r="AS386" t="str">
        <f ca="1">IF(AND($B$419=1,LEN($AS$460) * LEN($AS$461) * LEN($AS$462)&gt;0),$AS$460+$AS$461-$AS$462,HLOOKUP(INDIRECT(ADDRESS(2,COLUMN())),OFFSET($BN$2,0,0,ROW()-1,60),ROW()-1,FALSE))</f>
        <v/>
      </c>
      <c r="AT386" t="str">
        <f ca="1">IF(AND($B$419=1,LEN($AT$460) * LEN($AT$461) * LEN($AT$462)&gt;0),$AT$460+$AT$461-$AT$462,HLOOKUP(INDIRECT(ADDRESS(2,COLUMN())),OFFSET($BN$2,0,0,ROW()-1,60),ROW()-1,FALSE))</f>
        <v/>
      </c>
      <c r="AU386" t="str">
        <f ca="1">IF(AND($B$419=1,LEN($AU$460) * LEN($AU$461) * LEN($AU$462)&gt;0),$AU$460+$AU$461-$AU$462,HLOOKUP(INDIRECT(ADDRESS(2,COLUMN())),OFFSET($BN$2,0,0,ROW()-1,60),ROW()-1,FALSE))</f>
        <v/>
      </c>
      <c r="AV386" t="str">
        <f ca="1">IF(AND($B$419=1,LEN($AV$460) * LEN($AV$461) * LEN($AV$462)&gt;0),$AV$460+$AV$461-$AV$462,HLOOKUP(INDIRECT(ADDRESS(2,COLUMN())),OFFSET($BN$2,0,0,ROW()-1,60),ROW()-1,FALSE))</f>
        <v/>
      </c>
      <c r="AW386" t="str">
        <f ca="1">IF(AND($B$419=1,LEN($AW$460) * LEN($AW$461) * LEN($AW$462)&gt;0),$AW$460+$AW$461-$AW$462,HLOOKUP(INDIRECT(ADDRESS(2,COLUMN())),OFFSET($BN$2,0,0,ROW()-1,60),ROW()-1,FALSE))</f>
        <v/>
      </c>
      <c r="AX386" t="str">
        <f ca="1">IF(AND($B$419=1,LEN($AX$460) * LEN($AX$461) * LEN($AX$462)&gt;0),$AX$460+$AX$461-$AX$462,HLOOKUP(INDIRECT(ADDRESS(2,COLUMN())),OFFSET($BN$2,0,0,ROW()-1,60),ROW()-1,FALSE))</f>
        <v/>
      </c>
      <c r="AY386" t="str">
        <f ca="1">IF(AND($B$419=1,LEN($AY$460) * LEN($AY$461) * LEN($AY$462)&gt;0),$AY$460+$AY$461-$AY$462,HLOOKUP(INDIRECT(ADDRESS(2,COLUMN())),OFFSET($BN$2,0,0,ROW()-1,60),ROW()-1,FALSE))</f>
        <v/>
      </c>
      <c r="AZ386" t="str">
        <f ca="1">IF(AND($B$419=1,LEN($AZ$460) * LEN($AZ$461) * LEN($AZ$462)&gt;0),$AZ$460+$AZ$461-$AZ$462,HLOOKUP(INDIRECT(ADDRESS(2,COLUMN())),OFFSET($BN$2,0,0,ROW()-1,60),ROW()-1,FALSE))</f>
        <v/>
      </c>
      <c r="BA386" t="str">
        <f ca="1">IF(AND($B$419=1,LEN($BA$460) * LEN($BA$461) * LEN($BA$462)&gt;0),$BA$460+$BA$461-$BA$462,HLOOKUP(INDIRECT(ADDRESS(2,COLUMN())),OFFSET($BN$2,0,0,ROW()-1,60),ROW()-1,FALSE))</f>
        <v/>
      </c>
      <c r="BB386" t="str">
        <f ca="1">IF(AND($B$419=1,LEN($BB$460) * LEN($BB$461) * LEN($BB$462)&gt;0),$BB$460+$BB$461-$BB$462,HLOOKUP(INDIRECT(ADDRESS(2,COLUMN())),OFFSET($BN$2,0,0,ROW()-1,60),ROW()-1,FALSE))</f>
        <v/>
      </c>
      <c r="BC386" t="str">
        <f ca="1">IF(AND($B$419=1,LEN($BC$460) * LEN($BC$461) * LEN($BC$462)&gt;0),$BC$460+$BC$461-$BC$462,HLOOKUP(INDIRECT(ADDRESS(2,COLUMN())),OFFSET($BN$2,0,0,ROW()-1,60),ROW()-1,FALSE))</f>
        <v/>
      </c>
      <c r="BD386" t="str">
        <f ca="1">IF(AND($B$419=1,LEN($BD$460) * LEN($BD$461) * LEN($BD$462)&gt;0),$BD$460+$BD$461-$BD$462,HLOOKUP(INDIRECT(ADDRESS(2,COLUMN())),OFFSET($BN$2,0,0,ROW()-1,60),ROW()-1,FALSE))</f>
        <v/>
      </c>
      <c r="BE386" t="str">
        <f ca="1">IF(AND($B$419=1,LEN($BE$460) * LEN($BE$461) * LEN($BE$462)&gt;0),$BE$460+$BE$461-$BE$462,HLOOKUP(INDIRECT(ADDRESS(2,COLUMN())),OFFSET($BN$2,0,0,ROW()-1,60),ROW()-1,FALSE))</f>
        <v/>
      </c>
      <c r="BF386" t="str">
        <f ca="1">IF(AND($B$419=1,LEN($BF$460) * LEN($BF$461) * LEN($BF$462)&gt;0),$BF$460+$BF$461-$BF$462,HLOOKUP(INDIRECT(ADDRESS(2,COLUMN())),OFFSET($BN$2,0,0,ROW()-1,60),ROW()-1,FALSE))</f>
        <v/>
      </c>
      <c r="BG386" t="str">
        <f ca="1">IF(AND($B$419=1,LEN($BG$460) * LEN($BG$461) * LEN($BG$462)&gt;0),$BG$460+$BG$461-$BG$462,HLOOKUP(INDIRECT(ADDRESS(2,COLUMN())),OFFSET($BN$2,0,0,ROW()-1,60),ROW()-1,FALSE))</f>
        <v/>
      </c>
      <c r="BH386" t="str">
        <f ca="1">IF(AND($B$419=1,LEN($BH$460) * LEN($BH$461) * LEN($BH$462)&gt;0),$BH$460+$BH$461-$BH$462,HLOOKUP(INDIRECT(ADDRESS(2,COLUMN())),OFFSET($BN$2,0,0,ROW()-1,60),ROW()-1,FALSE))</f>
        <v/>
      </c>
      <c r="BI386" t="str">
        <f ca="1">IF(AND($B$419=1,LEN($BI$460) * LEN($BI$461) * LEN($BI$462)&gt;0),$BI$460+$BI$461-$BI$462,HLOOKUP(INDIRECT(ADDRESS(2,COLUMN())),OFFSET($BN$2,0,0,ROW()-1,60),ROW()-1,FALSE))</f>
        <v/>
      </c>
      <c r="BJ386" t="str">
        <f ca="1">IF(AND($B$419=1,LEN($BJ$460) * LEN($BJ$461) * LEN($BJ$462)&gt;0),$BJ$460+$BJ$461-$BJ$462,HLOOKUP(INDIRECT(ADDRESS(2,COLUMN())),OFFSET($BN$2,0,0,ROW()-1,60),ROW()-1,FALSE))</f>
        <v/>
      </c>
      <c r="BK386" t="str">
        <f ca="1">IF(AND($B$419=1,LEN($BK$460) * LEN($BK$461) * LEN($BK$462)&gt;0),$BK$460+$BK$461-$BK$462,HLOOKUP(INDIRECT(ADDRESS(2,COLUMN())),OFFSET($BN$2,0,0,ROW()-1,60),ROW()-1,FALSE))</f>
        <v/>
      </c>
      <c r="BL386" t="str">
        <f ca="1">IF(AND($B$419=1,LEN($BL$460) * LEN($BL$461) * LEN($BL$462)&gt;0),$BL$460+$BL$461-$BL$462,HLOOKUP(INDIRECT(ADDRESS(2,COLUMN())),OFFSET($BN$2,0,0,ROW()-1,60),ROW()-1,FALSE))</f>
        <v/>
      </c>
      <c r="BM386" t="str">
        <f ca="1">IF(AND($B$419=1,LEN($BM$460) * LEN($BM$461) * LEN($BM$462)&gt;0),$BM$460+$BM$461-$BM$462,HLOOKUP(INDIRECT(ADDRESS(2,COLUMN())),OFFSET($BN$2,0,0,ROW()-1,60),ROW()-1,FALSE))</f>
        <v/>
      </c>
      <c r="BN386" t="str">
        <f>""</f>
        <v/>
      </c>
      <c r="BO386">
        <f>771.407</f>
        <v>771.40700000000004</v>
      </c>
      <c r="BP386">
        <f>704.541</f>
        <v>704.54100000000005</v>
      </c>
      <c r="BQ386">
        <f>729.076</f>
        <v>729.07600000000002</v>
      </c>
      <c r="BR386">
        <f>361.606</f>
        <v>361.60599999999999</v>
      </c>
      <c r="BS386">
        <f>305.003</f>
        <v>305.00299999999999</v>
      </c>
      <c r="BT386">
        <f>423.545</f>
        <v>423.54500000000002</v>
      </c>
      <c r="BU386">
        <f>408.398</f>
        <v>408.39800000000002</v>
      </c>
      <c r="BV386">
        <f>304.837</f>
        <v>304.83699999999999</v>
      </c>
      <c r="BW386" t="str">
        <f>""</f>
        <v/>
      </c>
      <c r="BX386">
        <f>374.095</f>
        <v>374.09500000000003</v>
      </c>
      <c r="BY386">
        <f>282.241</f>
        <v>282.24099999999999</v>
      </c>
      <c r="BZ386">
        <f>43.9</f>
        <v>43.9</v>
      </c>
      <c r="CA386">
        <f>407.389</f>
        <v>407.38900000000001</v>
      </c>
      <c r="CB386">
        <f>660.229</f>
        <v>660.22900000000004</v>
      </c>
      <c r="CC386">
        <f>629.49</f>
        <v>629.49</v>
      </c>
      <c r="CD386" t="str">
        <f>""</f>
        <v/>
      </c>
      <c r="CE386" t="str">
        <f>""</f>
        <v/>
      </c>
      <c r="CF386" t="str">
        <f>""</f>
        <v/>
      </c>
      <c r="CG386" t="str">
        <f>""</f>
        <v/>
      </c>
      <c r="CH386" t="str">
        <f>""</f>
        <v/>
      </c>
      <c r="CI386" t="str">
        <f>""</f>
        <v/>
      </c>
      <c r="CJ386" t="str">
        <f>""</f>
        <v/>
      </c>
      <c r="CK386" t="str">
        <f>""</f>
        <v/>
      </c>
      <c r="CL386" t="str">
        <f>""</f>
        <v/>
      </c>
      <c r="CM386" t="str">
        <f>""</f>
        <v/>
      </c>
      <c r="CN386" t="str">
        <f>""</f>
        <v/>
      </c>
      <c r="CO386" t="str">
        <f>""</f>
        <v/>
      </c>
      <c r="CP386" t="str">
        <f>""</f>
        <v/>
      </c>
      <c r="CQ386" t="str">
        <f>""</f>
        <v/>
      </c>
      <c r="CR386" t="str">
        <f>""</f>
        <v/>
      </c>
      <c r="CS386" t="str">
        <f>""</f>
        <v/>
      </c>
      <c r="CT386" t="str">
        <f>""</f>
        <v/>
      </c>
      <c r="CU386" t="str">
        <f>""</f>
        <v/>
      </c>
      <c r="CV386" t="str">
        <f>""</f>
        <v/>
      </c>
      <c r="CW386" t="str">
        <f>""</f>
        <v/>
      </c>
      <c r="CX386" t="str">
        <f>""</f>
        <v/>
      </c>
      <c r="CY386" t="str">
        <f>""</f>
        <v/>
      </c>
      <c r="CZ386" t="str">
        <f>""</f>
        <v/>
      </c>
      <c r="DA386" t="str">
        <f>""</f>
        <v/>
      </c>
      <c r="DB386" t="str">
        <f>""</f>
        <v/>
      </c>
      <c r="DC386" t="str">
        <f>""</f>
        <v/>
      </c>
      <c r="DD386" t="str">
        <f>""</f>
        <v/>
      </c>
      <c r="DE386" t="str">
        <f>""</f>
        <v/>
      </c>
      <c r="DF386" t="str">
        <f>""</f>
        <v/>
      </c>
      <c r="DG386" t="str">
        <f>""</f>
        <v/>
      </c>
      <c r="DH386" t="str">
        <f>""</f>
        <v/>
      </c>
      <c r="DI386" t="str">
        <f>""</f>
        <v/>
      </c>
      <c r="DJ386" t="str">
        <f>""</f>
        <v/>
      </c>
      <c r="DK386" t="str">
        <f>""</f>
        <v/>
      </c>
      <c r="DL386" t="str">
        <f>""</f>
        <v/>
      </c>
      <c r="DM386" t="str">
        <f>""</f>
        <v/>
      </c>
      <c r="DN386" t="str">
        <f>""</f>
        <v/>
      </c>
      <c r="DO386" t="str">
        <f>""</f>
        <v/>
      </c>
      <c r="DP386" t="str">
        <f>""</f>
        <v/>
      </c>
      <c r="DQ386" t="str">
        <f>""</f>
        <v/>
      </c>
      <c r="DR386" t="str">
        <f>""</f>
        <v/>
      </c>
      <c r="DS386" t="str">
        <f>""</f>
        <v/>
      </c>
      <c r="DT386" t="str">
        <f>""</f>
        <v/>
      </c>
      <c r="DU386" t="str">
        <f>""</f>
        <v/>
      </c>
    </row>
    <row r="387" spans="1:125">
      <c r="A387" t="str">
        <f>"    Weingarten Realty Investors"</f>
        <v xml:space="preserve">    Weingarten Realty Investors</v>
      </c>
      <c r="B387" t="str">
        <f>"WRI US Equity"</f>
        <v>WRI US Equity</v>
      </c>
      <c r="E387" t="str">
        <f t="shared" si="69"/>
        <v>Expression</v>
      </c>
      <c r="F387" t="str">
        <f ca="1">IF(AND($B$419=1,LEN($F$463) * LEN($F$464) * LEN($F$465)&gt;0),$F$463+$F$464-$F$465,HLOOKUP(INDIRECT(ADDRESS(2,COLUMN())),OFFSET($BN$2,0,0,ROW()-1,60),ROW()-1,FALSE))</f>
        <v/>
      </c>
      <c r="G387">
        <f ca="1">IF(AND($B$419=1,LEN($G$463) * LEN($G$464) * LEN($G$465)&gt;0),$G$463+$G$464-$G$465,HLOOKUP(INDIRECT(ADDRESS(2,COLUMN())),OFFSET($BN$2,0,0,ROW()-1,60),ROW()-1,FALSE))</f>
        <v>393.40199999999999</v>
      </c>
      <c r="H387">
        <f ca="1">IF(AND($B$419=1,LEN($H$463) * LEN($H$464) * LEN($H$465)&gt;0),$H$463+$H$464-$H$465,HLOOKUP(INDIRECT(ADDRESS(2,COLUMN())),OFFSET($BN$2,0,0,ROW()-1,60),ROW()-1,FALSE))</f>
        <v>369.35</v>
      </c>
      <c r="I387">
        <f ca="1">IF(AND($B$419=1,LEN($I$463) * LEN($I$464) * LEN($I$465)&gt;0),$I$463+$I$464-$I$465,HLOOKUP(INDIRECT(ADDRESS(2,COLUMN())),OFFSET($BN$2,0,0,ROW()-1,60),ROW()-1,FALSE))</f>
        <v>260.642</v>
      </c>
      <c r="J387">
        <f ca="1">IF(AND($B$419=1,LEN($J$463) * LEN($J$464) * LEN($J$465)&gt;0),$J$463+$J$464-$J$465,HLOOKUP(INDIRECT(ADDRESS(2,COLUMN())),OFFSET($BN$2,0,0,ROW()-1,60),ROW()-1,FALSE))</f>
        <v>204.733</v>
      </c>
      <c r="K387">
        <f ca="1">IF(AND($B$419=1,LEN($K$463) * LEN($K$464) * LEN($K$465)&gt;0),$K$463+$K$464-$K$465,HLOOKUP(INDIRECT(ADDRESS(2,COLUMN())),OFFSET($BN$2,0,0,ROW()-1,60),ROW()-1,FALSE))</f>
        <v>179.68700000000001</v>
      </c>
      <c r="L387">
        <f ca="1">IF(AND($B$419=1,LEN($L$463) * LEN($L$464) * LEN($L$465)&gt;0),$L$463+$L$464-$L$465,HLOOKUP(INDIRECT(ADDRESS(2,COLUMN())),OFFSET($BN$2,0,0,ROW()-1,60),ROW()-1,FALSE))</f>
        <v>299.96699999999998</v>
      </c>
      <c r="M387">
        <f ca="1">IF(AND($B$419=1,LEN($M$463) * LEN($M$464) * LEN($M$465)&gt;0),$M$463+$M$464-$M$465,HLOOKUP(INDIRECT(ADDRESS(2,COLUMN())),OFFSET($BN$2,0,0,ROW()-1,60),ROW()-1,FALSE))</f>
        <v>335.88400000000001</v>
      </c>
      <c r="N387">
        <f ca="1">IF(AND($B$419=1,LEN($N$463) * LEN($N$464) * LEN($N$465)&gt;0),$N$463+$N$464-$N$465,HLOOKUP(INDIRECT(ADDRESS(2,COLUMN())),OFFSET($BN$2,0,0,ROW()-1,60),ROW()-1,FALSE))</f>
        <v>183.898</v>
      </c>
      <c r="O387">
        <f ca="1">IF(AND($B$419=1,LEN($O$463) * LEN($O$464) * LEN($O$465)&gt;0),$O$463+$O$464-$O$465,HLOOKUP(INDIRECT(ADDRESS(2,COLUMN())),OFFSET($BN$2,0,0,ROW()-1,60),ROW()-1,FALSE))</f>
        <v>215.49</v>
      </c>
      <c r="P387">
        <f ca="1">IF(AND($B$419=1,LEN($P$463) * LEN($P$464) * LEN($P$465)&gt;0),$P$463+$P$464-$P$465,HLOOKUP(INDIRECT(ADDRESS(2,COLUMN())),OFFSET($BN$2,0,0,ROW()-1,60),ROW()-1,FALSE))</f>
        <v>397.50200000000001</v>
      </c>
      <c r="Q387">
        <f ca="1">IF(AND($B$419=1,LEN($Q$463) * LEN($Q$464) * LEN($Q$465)&gt;0),$Q$463+$Q$464-$Q$465,HLOOKUP(INDIRECT(ADDRESS(2,COLUMN())),OFFSET($BN$2,0,0,ROW()-1,60),ROW()-1,FALSE))</f>
        <v>421.108</v>
      </c>
      <c r="R387">
        <f ca="1">IF(AND($B$419=1,LEN($R$463) * LEN($R$464) * LEN($R$465)&gt;0),$R$463+$R$464-$R$465,HLOOKUP(INDIRECT(ADDRESS(2,COLUMN())),OFFSET($BN$2,0,0,ROW()-1,60),ROW()-1,FALSE))</f>
        <v>317.89100000000002</v>
      </c>
      <c r="S387" t="str">
        <f ca="1">IF(AND($B$419=1,LEN($S$463) * LEN($S$464) * LEN($S$465)&gt;0),$S$463+$S$464-$S$465,HLOOKUP(INDIRECT(ADDRESS(2,COLUMN())),OFFSET($BN$2,0,0,ROW()-1,60),ROW()-1,FALSE))</f>
        <v/>
      </c>
      <c r="T387">
        <f ca="1">IF(AND($B$419=1,LEN($T$463) * LEN($T$464) * LEN($T$465)&gt;0),$T$463+$T$464-$T$465,HLOOKUP(INDIRECT(ADDRESS(2,COLUMN())),OFFSET($BN$2,0,0,ROW()-1,60),ROW()-1,FALSE))</f>
        <v>175.762</v>
      </c>
      <c r="U387">
        <f ca="1">IF(AND($B$419=1,LEN($U$463) * LEN($U$464) * LEN($U$465)&gt;0),$U$463+$U$464-$U$465,HLOOKUP(INDIRECT(ADDRESS(2,COLUMN())),OFFSET($BN$2,0,0,ROW()-1,60),ROW()-1,FALSE))</f>
        <v>-6.1189999999999998</v>
      </c>
      <c r="V387">
        <f ca="1">IF(AND($B$419=1,LEN($V$463) * LEN($V$464) * LEN($V$465)&gt;0),$V$463+$V$464-$V$465,HLOOKUP(INDIRECT(ADDRESS(2,COLUMN())),OFFSET($BN$2,0,0,ROW()-1,60),ROW()-1,FALSE))</f>
        <v>299.495</v>
      </c>
      <c r="W387">
        <f ca="1">IF(AND($B$419=1,LEN($W$463) * LEN($W$464) * LEN($W$465)&gt;0),$W$463+$W$464-$W$465,HLOOKUP(INDIRECT(ADDRESS(2,COLUMN())),OFFSET($BN$2,0,0,ROW()-1,60),ROW()-1,FALSE))</f>
        <v>100.518</v>
      </c>
      <c r="X387">
        <f ca="1">IF(AND($B$419=1,LEN($X$463) * LEN($X$464) * LEN($X$465)&gt;0),$X$463+$X$464-$X$465,HLOOKUP(INDIRECT(ADDRESS(2,COLUMN())),OFFSET($BN$2,0,0,ROW()-1,60),ROW()-1,FALSE))</f>
        <v>383.82400000000001</v>
      </c>
      <c r="Y387">
        <f ca="1">IF(AND($B$419=1,LEN($Y$463) * LEN($Y$464) * LEN($Y$465)&gt;0),$Y$463+$Y$464-$Y$465,HLOOKUP(INDIRECT(ADDRESS(2,COLUMN())),OFFSET($BN$2,0,0,ROW()-1,60),ROW()-1,FALSE))</f>
        <v>-181.70400000000001</v>
      </c>
      <c r="Z387">
        <f ca="1">IF(AND($B$419=1,LEN($Z$463) * LEN($Z$464) * LEN($Z$465)&gt;0),$Z$463+$Z$464-$Z$465,HLOOKUP(INDIRECT(ADDRESS(2,COLUMN())),OFFSET($BN$2,0,0,ROW()-1,60),ROW()-1,FALSE))</f>
        <v>96.027000000000001</v>
      </c>
      <c r="AA387">
        <f ca="1">IF(AND($B$419=1,LEN($AA$463) * LEN($AA$464) * LEN($AA$465)&gt;0),$AA$463+$AA$464-$AA$465,HLOOKUP(INDIRECT(ADDRESS(2,COLUMN())),OFFSET($BN$2,0,0,ROW()-1,60),ROW()-1,FALSE))</f>
        <v>53.095999999999997</v>
      </c>
      <c r="AB387">
        <f ca="1">IF(AND($B$419=1,LEN($AB$463) * LEN($AB$464) * LEN($AB$465)&gt;0),$AB$463+$AB$464-$AB$465,HLOOKUP(INDIRECT(ADDRESS(2,COLUMN())),OFFSET($BN$2,0,0,ROW()-1,60),ROW()-1,FALSE))</f>
        <v>104.639</v>
      </c>
      <c r="AC387">
        <f ca="1">IF(AND($B$419=1,LEN($AC$463) * LEN($AC$464) * LEN($AC$465)&gt;0),$AC$463+$AC$464-$AC$465,HLOOKUP(INDIRECT(ADDRESS(2,COLUMN())),OFFSET($BN$2,0,0,ROW()-1,60),ROW()-1,FALSE))</f>
        <v>170.64599999999999</v>
      </c>
      <c r="AD387">
        <f ca="1">IF(AND($B$419=1,LEN($AD$463) * LEN($AD$464) * LEN($AD$465)&gt;0),$AD$463+$AD$464-$AD$465,HLOOKUP(INDIRECT(ADDRESS(2,COLUMN())),OFFSET($BN$2,0,0,ROW()-1,60),ROW()-1,FALSE))</f>
        <v>-116.057</v>
      </c>
      <c r="AE387">
        <f ca="1">IF(AND($B$419=1,LEN($AE$463) * LEN($AE$464) * LEN($AE$465)&gt;0),$AE$463+$AE$464-$AE$465,HLOOKUP(INDIRECT(ADDRESS(2,COLUMN())),OFFSET($BN$2,0,0,ROW()-1,60),ROW()-1,FALSE))</f>
        <v>-124.98399999999999</v>
      </c>
      <c r="AF387">
        <f ca="1">IF(AND($B$419=1,LEN($AF$463) * LEN($AF$464) * LEN($AF$465)&gt;0),$AF$463+$AF$464-$AF$465,HLOOKUP(INDIRECT(ADDRESS(2,COLUMN())),OFFSET($BN$2,0,0,ROW()-1,60),ROW()-1,FALSE))</f>
        <v>292.25200000000001</v>
      </c>
      <c r="AG387">
        <f ca="1">IF(AND($B$419=1,LEN($AG$463) * LEN($AG$464) * LEN($AG$465)&gt;0),$AG$463+$AG$464-$AG$465,HLOOKUP(INDIRECT(ADDRESS(2,COLUMN())),OFFSET($BN$2,0,0,ROW()-1,60),ROW()-1,FALSE))</f>
        <v>36.869999999999997</v>
      </c>
      <c r="AH387">
        <f ca="1">IF(AND($B$419=1,LEN($AH$463) * LEN($AH$464) * LEN($AH$465)&gt;0),$AH$463+$AH$464-$AH$465,HLOOKUP(INDIRECT(ADDRESS(2,COLUMN())),OFFSET($BN$2,0,0,ROW()-1,60),ROW()-1,FALSE))</f>
        <v>169.488</v>
      </c>
      <c r="AI387">
        <f ca="1">IF(AND($B$419=1,LEN($AI$463) * LEN($AI$464) * LEN($AI$465)&gt;0),$AI$463+$AI$464-$AI$465,HLOOKUP(INDIRECT(ADDRESS(2,COLUMN())),OFFSET($BN$2,0,0,ROW()-1,60),ROW()-1,FALSE))</f>
        <v>260.29500000000002</v>
      </c>
      <c r="AJ387">
        <f ca="1">IF(AND($B$419=1,LEN($AJ$463) * LEN($AJ$464) * LEN($AJ$465)&gt;0),$AJ$463+$AJ$464-$AJ$465,HLOOKUP(INDIRECT(ADDRESS(2,COLUMN())),OFFSET($BN$2,0,0,ROW()-1,60),ROW()-1,FALSE))</f>
        <v>415.54700000000003</v>
      </c>
      <c r="AK387">
        <f ca="1">IF(AND($B$419=1,LEN($AK$463) * LEN($AK$464) * LEN($AK$465)&gt;0),$AK$463+$AK$464-$AK$465,HLOOKUP(INDIRECT(ADDRESS(2,COLUMN())),OFFSET($BN$2,0,0,ROW()-1,60),ROW()-1,FALSE))</f>
        <v>421.09699999999998</v>
      </c>
      <c r="AL387">
        <f ca="1">IF(AND($B$419=1,LEN($AL$463) * LEN($AL$464) * LEN($AL$465)&gt;0),$AL$463+$AL$464-$AL$465,HLOOKUP(INDIRECT(ADDRESS(2,COLUMN())),OFFSET($BN$2,0,0,ROW()-1,60),ROW()-1,FALSE))</f>
        <v>403.71300000000002</v>
      </c>
      <c r="AM387">
        <f ca="1">IF(AND($B$419=1,LEN($AM$463) * LEN($AM$464) * LEN($AM$465)&gt;0),$AM$463+$AM$464-$AM$465,HLOOKUP(INDIRECT(ADDRESS(2,COLUMN())),OFFSET($BN$2,0,0,ROW()-1,60),ROW()-1,FALSE))</f>
        <v>612.74</v>
      </c>
      <c r="AN387">
        <f ca="1">IF(AND($B$419=1,LEN($AN$463) * LEN($AN$464) * LEN($AN$465)&gt;0),$AN$463+$AN$464-$AN$465,HLOOKUP(INDIRECT(ADDRESS(2,COLUMN())),OFFSET($BN$2,0,0,ROW()-1,60),ROW()-1,FALSE))</f>
        <v>423.97699999999998</v>
      </c>
      <c r="AO387">
        <f ca="1">IF(AND($B$419=1,LEN($AO$463) * LEN($AO$464) * LEN($AO$465)&gt;0),$AO$463+$AO$464-$AO$465,HLOOKUP(INDIRECT(ADDRESS(2,COLUMN())),OFFSET($BN$2,0,0,ROW()-1,60),ROW()-1,FALSE))</f>
        <v>199.13900000000001</v>
      </c>
      <c r="AP387">
        <f ca="1">IF(AND($B$419=1,LEN($AP$463) * LEN($AP$464) * LEN($AP$465)&gt;0),$AP$463+$AP$464-$AP$465,HLOOKUP(INDIRECT(ADDRESS(2,COLUMN())),OFFSET($BN$2,0,0,ROW()-1,60),ROW()-1,FALSE))</f>
        <v>102.77200000000001</v>
      </c>
      <c r="AQ387">
        <f ca="1">IF(AND($B$419=1,LEN($AQ$463) * LEN($AQ$464) * LEN($AQ$465)&gt;0),$AQ$463+$AQ$464-$AQ$465,HLOOKUP(INDIRECT(ADDRESS(2,COLUMN())),OFFSET($BN$2,0,0,ROW()-1,60),ROW()-1,FALSE))</f>
        <v>143.85900000000001</v>
      </c>
      <c r="AR387">
        <f ca="1">IF(AND($B$419=1,LEN($AR$463) * LEN($AR$464) * LEN($AR$465)&gt;0),$AR$463+$AR$464-$AR$465,HLOOKUP(INDIRECT(ADDRESS(2,COLUMN())),OFFSET($BN$2,0,0,ROW()-1,60),ROW()-1,FALSE))</f>
        <v>55.64</v>
      </c>
      <c r="AS387">
        <f ca="1">IF(AND($B$419=1,LEN($AS$463) * LEN($AS$464) * LEN($AS$465)&gt;0),$AS$463+$AS$464-$AS$465,HLOOKUP(INDIRECT(ADDRESS(2,COLUMN())),OFFSET($BN$2,0,0,ROW()-1,60),ROW()-1,FALSE))</f>
        <v>155.08500000000001</v>
      </c>
      <c r="AT387">
        <f ca="1">IF(AND($B$419=1,LEN($AT$463) * LEN($AT$464) * LEN($AT$465)&gt;0),$AT$463+$AT$464-$AT$465,HLOOKUP(INDIRECT(ADDRESS(2,COLUMN())),OFFSET($BN$2,0,0,ROW()-1,60),ROW()-1,FALSE))</f>
        <v>135.11699999999999</v>
      </c>
      <c r="AU387">
        <f ca="1">IF(AND($B$419=1,LEN($AU$463) * LEN($AU$464) * LEN($AU$465)&gt;0),$AU$463+$AU$464-$AU$465,HLOOKUP(INDIRECT(ADDRESS(2,COLUMN())),OFFSET($BN$2,0,0,ROW()-1,60),ROW()-1,FALSE))</f>
        <v>131.268</v>
      </c>
      <c r="AV387">
        <f ca="1">IF(AND($B$419=1,LEN($AV$463) * LEN($AV$464) * LEN($AV$465)&gt;0),$AV$463+$AV$464-$AV$465,HLOOKUP(INDIRECT(ADDRESS(2,COLUMN())),OFFSET($BN$2,0,0,ROW()-1,60),ROW()-1,FALSE))</f>
        <v>297.96199999999999</v>
      </c>
      <c r="AW387">
        <f ca="1">IF(AND($B$419=1,LEN($AW$463) * LEN($AW$464) * LEN($AW$465)&gt;0),$AW$463+$AW$464-$AW$465,HLOOKUP(INDIRECT(ADDRESS(2,COLUMN())),OFFSET($BN$2,0,0,ROW()-1,60),ROW()-1,FALSE))</f>
        <v>387.51499999999999</v>
      </c>
      <c r="AX387">
        <f ca="1">IF(AND($B$419=1,LEN($AX$463) * LEN($AX$464) * LEN($AX$465)&gt;0),$AX$463+$AX$464-$AX$465,HLOOKUP(INDIRECT(ADDRESS(2,COLUMN())),OFFSET($BN$2,0,0,ROW()-1,60),ROW()-1,FALSE))</f>
        <v>200.483</v>
      </c>
      <c r="AY387">
        <f ca="1">IF(AND($B$419=1,LEN($AY$463) * LEN($AY$464) * LEN($AY$465)&gt;0),$AY$463+$AY$464-$AY$465,HLOOKUP(INDIRECT(ADDRESS(2,COLUMN())),OFFSET($BN$2,0,0,ROW()-1,60),ROW()-1,FALSE))</f>
        <v>358.90499999999997</v>
      </c>
      <c r="AZ387">
        <f ca="1">IF(AND($B$419=1,LEN($AZ$463) * LEN($AZ$464) * LEN($AZ$465)&gt;0),$AZ$463+$AZ$464-$AZ$465,HLOOKUP(INDIRECT(ADDRESS(2,COLUMN())),OFFSET($BN$2,0,0,ROW()-1,60),ROW()-1,FALSE))</f>
        <v>263.608</v>
      </c>
      <c r="BA387">
        <f ca="1">IF(AND($B$419=1,LEN($BA$463) * LEN($BA$464) * LEN($BA$465)&gt;0),$BA$463+$BA$464-$BA$465,HLOOKUP(INDIRECT(ADDRESS(2,COLUMN())),OFFSET($BN$2,0,0,ROW()-1,60),ROW()-1,FALSE))</f>
        <v>-139.32</v>
      </c>
      <c r="BB387">
        <f ca="1">IF(AND($B$419=1,LEN($BB$463) * LEN($BB$464) * LEN($BB$465)&gt;0),$BB$463+$BB$464-$BB$465,HLOOKUP(INDIRECT(ADDRESS(2,COLUMN())),OFFSET($BN$2,0,0,ROW()-1,60),ROW()-1,FALSE))</f>
        <v>419.85199999999998</v>
      </c>
      <c r="BC387">
        <f ca="1">IF(AND($B$419=1,LEN($BC$463) * LEN($BC$464) * LEN($BC$465)&gt;0),$BC$463+$BC$464-$BC$465,HLOOKUP(INDIRECT(ADDRESS(2,COLUMN())),OFFSET($BN$2,0,0,ROW()-1,60),ROW()-1,FALSE))</f>
        <v>196.333</v>
      </c>
      <c r="BD387" t="str">
        <f ca="1">IF(AND($B$419=1,LEN($BD$463) * LEN($BD$464) * LEN($BD$465)&gt;0),$BD$463+$BD$464-$BD$465,HLOOKUP(INDIRECT(ADDRESS(2,COLUMN())),OFFSET($BN$2,0,0,ROW()-1,60),ROW()-1,FALSE))</f>
        <v/>
      </c>
      <c r="BE387" t="str">
        <f ca="1">IF(AND($B$419=1,LEN($BE$463) * LEN($BE$464) * LEN($BE$465)&gt;0),$BE$463+$BE$464-$BE$465,HLOOKUP(INDIRECT(ADDRESS(2,COLUMN())),OFFSET($BN$2,0,0,ROW()-1,60),ROW()-1,FALSE))</f>
        <v/>
      </c>
      <c r="BF387" t="str">
        <f ca="1">IF(AND($B$419=1,LEN($BF$463) * LEN($BF$464) * LEN($BF$465)&gt;0),$BF$463+$BF$464-$BF$465,HLOOKUP(INDIRECT(ADDRESS(2,COLUMN())),OFFSET($BN$2,0,0,ROW()-1,60),ROW()-1,FALSE))</f>
        <v/>
      </c>
      <c r="BG387" t="str">
        <f ca="1">IF(AND($B$419=1,LEN($BG$463) * LEN($BG$464) * LEN($BG$465)&gt;0),$BG$463+$BG$464-$BG$465,HLOOKUP(INDIRECT(ADDRESS(2,COLUMN())),OFFSET($BN$2,0,0,ROW()-1,60),ROW()-1,FALSE))</f>
        <v/>
      </c>
      <c r="BH387" t="str">
        <f ca="1">IF(AND($B$419=1,LEN($BH$463) * LEN($BH$464) * LEN($BH$465)&gt;0),$BH$463+$BH$464-$BH$465,HLOOKUP(INDIRECT(ADDRESS(2,COLUMN())),OFFSET($BN$2,0,0,ROW()-1,60),ROW()-1,FALSE))</f>
        <v/>
      </c>
      <c r="BI387" t="str">
        <f ca="1">IF(AND($B$419=1,LEN($BI$463) * LEN($BI$464) * LEN($BI$465)&gt;0),$BI$463+$BI$464-$BI$465,HLOOKUP(INDIRECT(ADDRESS(2,COLUMN())),OFFSET($BN$2,0,0,ROW()-1,60),ROW()-1,FALSE))</f>
        <v/>
      </c>
      <c r="BJ387" t="str">
        <f ca="1">IF(AND($B$419=1,LEN($BJ$463) * LEN($BJ$464) * LEN($BJ$465)&gt;0),$BJ$463+$BJ$464-$BJ$465,HLOOKUP(INDIRECT(ADDRESS(2,COLUMN())),OFFSET($BN$2,0,0,ROW()-1,60),ROW()-1,FALSE))</f>
        <v/>
      </c>
      <c r="BK387" t="str">
        <f ca="1">IF(AND($B$419=1,LEN($BK$463) * LEN($BK$464) * LEN($BK$465)&gt;0),$BK$463+$BK$464-$BK$465,HLOOKUP(INDIRECT(ADDRESS(2,COLUMN())),OFFSET($BN$2,0,0,ROW()-1,60),ROW()-1,FALSE))</f>
        <v/>
      </c>
      <c r="BL387" t="str">
        <f ca="1">IF(AND($B$419=1,LEN($BL$463) * LEN($BL$464) * LEN($BL$465)&gt;0),$BL$463+$BL$464-$BL$465,HLOOKUP(INDIRECT(ADDRESS(2,COLUMN())),OFFSET($BN$2,0,0,ROW()-1,60),ROW()-1,FALSE))</f>
        <v/>
      </c>
      <c r="BM387" t="str">
        <f ca="1">IF(AND($B$419=1,LEN($BM$463) * LEN($BM$464) * LEN($BM$465)&gt;0),$BM$463+$BM$464-$BM$465,HLOOKUP(INDIRECT(ADDRESS(2,COLUMN())),OFFSET($BN$2,0,0,ROW()-1,60),ROW()-1,FALSE))</f>
        <v/>
      </c>
      <c r="BN387" t="str">
        <f>""</f>
        <v/>
      </c>
      <c r="BO387">
        <f>393.402</f>
        <v>393.40199999999999</v>
      </c>
      <c r="BP387">
        <f>369.35</f>
        <v>369.35</v>
      </c>
      <c r="BQ387">
        <f>260.642</f>
        <v>260.642</v>
      </c>
      <c r="BR387">
        <f>204.733</f>
        <v>204.733</v>
      </c>
      <c r="BS387">
        <f>179.687</f>
        <v>179.68700000000001</v>
      </c>
      <c r="BT387">
        <f>299.967</f>
        <v>299.96699999999998</v>
      </c>
      <c r="BU387">
        <f>335.884</f>
        <v>335.88400000000001</v>
      </c>
      <c r="BV387">
        <f>183.898</f>
        <v>183.898</v>
      </c>
      <c r="BW387">
        <f>215.49</f>
        <v>215.49</v>
      </c>
      <c r="BX387">
        <f>397.502</f>
        <v>397.50200000000001</v>
      </c>
      <c r="BY387">
        <f>421.108</f>
        <v>421.108</v>
      </c>
      <c r="BZ387">
        <f>317.891</f>
        <v>317.89100000000002</v>
      </c>
      <c r="CA387" t="str">
        <f>""</f>
        <v/>
      </c>
      <c r="CB387">
        <f>175.762</f>
        <v>175.762</v>
      </c>
      <c r="CC387">
        <f>-6.119</f>
        <v>-6.1189999999999998</v>
      </c>
      <c r="CD387">
        <f>299.495</f>
        <v>299.495</v>
      </c>
      <c r="CE387">
        <f>100.518</f>
        <v>100.518</v>
      </c>
      <c r="CF387">
        <f>383.824</f>
        <v>383.82400000000001</v>
      </c>
      <c r="CG387">
        <f>-181.704</f>
        <v>-181.70400000000001</v>
      </c>
      <c r="CH387">
        <f>96.027</f>
        <v>96.027000000000001</v>
      </c>
      <c r="CI387">
        <f>53.096</f>
        <v>53.095999999999997</v>
      </c>
      <c r="CJ387">
        <f>104.639</f>
        <v>104.639</v>
      </c>
      <c r="CK387">
        <f>170.646</f>
        <v>170.64599999999999</v>
      </c>
      <c r="CL387">
        <f>-116.057</f>
        <v>-116.057</v>
      </c>
      <c r="CM387">
        <f>-124.984</f>
        <v>-124.98399999999999</v>
      </c>
      <c r="CN387">
        <f>292.252</f>
        <v>292.25200000000001</v>
      </c>
      <c r="CO387">
        <f>36.87</f>
        <v>36.869999999999997</v>
      </c>
      <c r="CP387">
        <f>169.488</f>
        <v>169.488</v>
      </c>
      <c r="CQ387">
        <f>260.295</f>
        <v>260.29500000000002</v>
      </c>
      <c r="CR387">
        <f>415.547</f>
        <v>415.54700000000003</v>
      </c>
      <c r="CS387">
        <f>421.097</f>
        <v>421.09699999999998</v>
      </c>
      <c r="CT387">
        <f>403.713</f>
        <v>403.71300000000002</v>
      </c>
      <c r="CU387">
        <f>612.74</f>
        <v>612.74</v>
      </c>
      <c r="CV387">
        <f>423.977</f>
        <v>423.97699999999998</v>
      </c>
      <c r="CW387">
        <f>199.139</f>
        <v>199.13900000000001</v>
      </c>
      <c r="CX387">
        <f>102.772</f>
        <v>102.77200000000001</v>
      </c>
      <c r="CY387">
        <f>143.859</f>
        <v>143.85900000000001</v>
      </c>
      <c r="CZ387">
        <f>55.64</f>
        <v>55.64</v>
      </c>
      <c r="DA387">
        <f>155.085</f>
        <v>155.08500000000001</v>
      </c>
      <c r="DB387">
        <f>135.117</f>
        <v>135.11699999999999</v>
      </c>
      <c r="DC387">
        <f>131.268</f>
        <v>131.268</v>
      </c>
      <c r="DD387">
        <f>297.962</f>
        <v>297.96199999999999</v>
      </c>
      <c r="DE387">
        <f>387.515</f>
        <v>387.51499999999999</v>
      </c>
      <c r="DF387">
        <f>200.483</f>
        <v>200.483</v>
      </c>
      <c r="DG387">
        <f>358.905</f>
        <v>358.90499999999997</v>
      </c>
      <c r="DH387">
        <f>263.608</f>
        <v>263.608</v>
      </c>
      <c r="DI387">
        <f>-139.32</f>
        <v>-139.32</v>
      </c>
      <c r="DJ387">
        <f>419.852</f>
        <v>419.85199999999998</v>
      </c>
      <c r="DK387">
        <f>196.333</f>
        <v>196.333</v>
      </c>
      <c r="DL387" t="str">
        <f>""</f>
        <v/>
      </c>
      <c r="DM387" t="str">
        <f>""</f>
        <v/>
      </c>
      <c r="DN387" t="str">
        <f>""</f>
        <v/>
      </c>
      <c r="DO387" t="str">
        <f>""</f>
        <v/>
      </c>
      <c r="DP387" t="str">
        <f>""</f>
        <v/>
      </c>
      <c r="DQ387" t="str">
        <f>""</f>
        <v/>
      </c>
      <c r="DR387" t="str">
        <f>""</f>
        <v/>
      </c>
      <c r="DS387" t="str">
        <f>""</f>
        <v/>
      </c>
      <c r="DT387" t="str">
        <f>""</f>
        <v/>
      </c>
      <c r="DU387" t="str">
        <f>""</f>
        <v/>
      </c>
    </row>
    <row r="388" spans="1:125">
      <c r="A388" t="str">
        <f>"FFO支付比率(%)"</f>
        <v>FFO支付比率(%)</v>
      </c>
      <c r="B388" t="str">
        <f>""</f>
        <v/>
      </c>
      <c r="E388" t="str">
        <f>"Median"</f>
        <v>Median</v>
      </c>
      <c r="F388" t="str">
        <f ca="1">IF(ISERROR(IF(MEDIAN($F$389:$F$403) = 0, "", MEDIAN($F$389:$F$403))), "", (IF(MEDIAN($F$389:$F$403) = 0, "", MEDIAN($F$389:$F$403))))</f>
        <v/>
      </c>
      <c r="G388">
        <f ca="1">IF(ISERROR(IF(MEDIAN($G$389:$G$403) = 0, "", MEDIAN($G$389:$G$403))), "", (IF(MEDIAN($G$389:$G$403) = 0, "", MEDIAN($G$389:$G$403))))</f>
        <v>71.442600220000003</v>
      </c>
      <c r="H388">
        <f ca="1">IF(ISERROR(IF(MEDIAN($H$389:$H$403) = 0, "", MEDIAN($H$389:$H$403))), "", (IF(MEDIAN($H$389:$H$403) = 0, "", MEDIAN($H$389:$H$403))))</f>
        <v>66.514309089999998</v>
      </c>
      <c r="I388">
        <f ca="1">IF(ISERROR(IF(MEDIAN($I$389:$I$403) = 0, "", MEDIAN($I$389:$I$403))), "", (IF(MEDIAN($I$389:$I$403) = 0, "", MEDIAN($I$389:$I$403))))</f>
        <v>62.792828190000002</v>
      </c>
      <c r="J388">
        <f ca="1">IF(ISERROR(IF(MEDIAN($J$389:$J$403) = 0, "", MEDIAN($J$389:$J$403))), "", (IF(MEDIAN($J$389:$J$403) = 0, "", MEDIAN($J$389:$J$403))))</f>
        <v>66.823573890000006</v>
      </c>
      <c r="K388">
        <f ca="1">IF(ISERROR(IF(MEDIAN($K$389:$K$403) = 0, "", MEDIAN($K$389:$K$403))), "", (IF(MEDIAN($K$389:$K$403) = 0, "", MEDIAN($K$389:$K$403))))</f>
        <v>62.558474269999998</v>
      </c>
      <c r="L388">
        <f ca="1">IF(ISERROR(IF(MEDIAN($L$389:$L$403) = 0, "", MEDIAN($L$389:$L$403))), "", (IF(MEDIAN($L$389:$L$403) = 0, "", MEDIAN($L$389:$L$403))))</f>
        <v>61.92891522</v>
      </c>
      <c r="M388">
        <f ca="1">IF(ISERROR(IF(MEDIAN($M$389:$M$403) = 0, "", MEDIAN($M$389:$M$403))), "", (IF(MEDIAN($M$389:$M$403) = 0, "", MEDIAN($M$389:$M$403))))</f>
        <v>59.194013200000001</v>
      </c>
      <c r="N388">
        <f ca="1">IF(ISERROR(IF(MEDIAN($N$389:$N$403) = 0, "", MEDIAN($N$389:$N$403))), "", (IF(MEDIAN($N$389:$N$403) = 0, "", MEDIAN($N$389:$N$403))))</f>
        <v>59.930234980000002</v>
      </c>
      <c r="O388">
        <f ca="1">IF(ISERROR(IF(MEDIAN($O$389:$O$403) = 0, "", MEDIAN($O$389:$O$403))), "", (IF(MEDIAN($O$389:$O$403) = 0, "", MEDIAN($O$389:$O$403))))</f>
        <v>65.172364450000003</v>
      </c>
      <c r="P388">
        <f ca="1">IF(ISERROR(IF(MEDIAN($P$389:$P$403) = 0, "", MEDIAN($P$389:$P$403))), "", (IF(MEDIAN($P$389:$P$403) = 0, "", MEDIAN($P$389:$P$403))))</f>
        <v>61.232560650000003</v>
      </c>
      <c r="Q388">
        <f ca="1">IF(ISERROR(IF(MEDIAN($Q$389:$Q$403) = 0, "", MEDIAN($Q$389:$Q$403))), "", (IF(MEDIAN($Q$389:$Q$403) = 0, "", MEDIAN($Q$389:$Q$403))))</f>
        <v>64.041501289999999</v>
      </c>
      <c r="R388">
        <f ca="1">IF(ISERROR(IF(MEDIAN($R$389:$R$403) = 0, "", MEDIAN($R$389:$R$403))), "", (IF(MEDIAN($R$389:$R$403) = 0, "", MEDIAN($R$389:$R$403))))</f>
        <v>64.886114000000006</v>
      </c>
      <c r="S388">
        <f ca="1">IF(ISERROR(IF(MEDIAN($S$389:$S$403) = 0, "", MEDIAN($S$389:$S$403))), "", (IF(MEDIAN($S$389:$S$403) = 0, "", MEDIAN($S$389:$S$403))))</f>
        <v>63.329352104999998</v>
      </c>
      <c r="T388">
        <f ca="1">IF(ISERROR(IF(MEDIAN($T$389:$T$403) = 0, "", MEDIAN($T$389:$T$403))), "", (IF(MEDIAN($T$389:$T$403) = 0, "", MEDIAN($T$389:$T$403))))</f>
        <v>60.178009009999997</v>
      </c>
      <c r="U388">
        <f ca="1">IF(ISERROR(IF(MEDIAN($U$389:$U$403) = 0, "", MEDIAN($U$389:$U$403))), "", (IF(MEDIAN($U$389:$U$403) = 0, "", MEDIAN($U$389:$U$403))))</f>
        <v>62.740675039999999</v>
      </c>
      <c r="V388">
        <f ca="1">IF(ISERROR(IF(MEDIAN($V$389:$V$403) = 0, "", MEDIAN($V$389:$V$403))), "", (IF(MEDIAN($V$389:$V$403) = 0, "", MEDIAN($V$389:$V$403))))</f>
        <v>63.550534319999997</v>
      </c>
      <c r="W388">
        <f ca="1">IF(ISERROR(IF(MEDIAN($W$389:$W$403) = 0, "", MEDIAN($W$389:$W$403))), "", (IF(MEDIAN($W$389:$W$403) = 0, "", MEDIAN($W$389:$W$403))))</f>
        <v>66.462448190000003</v>
      </c>
      <c r="X388">
        <f ca="1">IF(ISERROR(IF(MEDIAN($X$389:$X$403) = 0, "", MEDIAN($X$389:$X$403))), "", (IF(MEDIAN($X$389:$X$403) = 0, "", MEDIAN($X$389:$X$403))))</f>
        <v>60.623120839999999</v>
      </c>
      <c r="Y388">
        <f ca="1">IF(ISERROR(IF(MEDIAN($Y$389:$Y$403) = 0, "", MEDIAN($Y$389:$Y$403))), "", (IF(MEDIAN($Y$389:$Y$403) = 0, "", MEDIAN($Y$389:$Y$403))))</f>
        <v>63.915010565000003</v>
      </c>
      <c r="Z388">
        <f ca="1">IF(ISERROR(IF(MEDIAN($Z$389:$Z$403) = 0, "", MEDIAN($Z$389:$Z$403))), "", (IF(MEDIAN($Z$389:$Z$403) = 0, "", MEDIAN($Z$389:$Z$403))))</f>
        <v>63.315282590000002</v>
      </c>
      <c r="AA388">
        <f ca="1">IF(ISERROR(IF(MEDIAN($AA$389:$AA$403) = 0, "", MEDIAN($AA$389:$AA$403))), "", (IF(MEDIAN($AA$389:$AA$403) = 0, "", MEDIAN($AA$389:$AA$403))))</f>
        <v>63.666052319999999</v>
      </c>
      <c r="AB388">
        <f ca="1">IF(ISERROR(IF(MEDIAN($AB$389:$AB$403) = 0, "", MEDIAN($AB$389:$AB$403))), "", (IF(MEDIAN($AB$389:$AB$403) = 0, "", MEDIAN($AB$389:$AB$403))))</f>
        <v>64.82257371</v>
      </c>
      <c r="AC388">
        <f ca="1">IF(ISERROR(IF(MEDIAN($AC$389:$AC$403) = 0, "", MEDIAN($AC$389:$AC$403))), "", (IF(MEDIAN($AC$389:$AC$403) = 0, "", MEDIAN($AC$389:$AC$403))))</f>
        <v>54.446978340000001</v>
      </c>
      <c r="AD388">
        <f ca="1">IF(ISERROR(IF(MEDIAN($AD$389:$AD$403) = 0, "", MEDIAN($AD$389:$AD$403))), "", (IF(MEDIAN($AD$389:$AD$403) = 0, "", MEDIAN($AD$389:$AD$403))))</f>
        <v>62.942452099999997</v>
      </c>
      <c r="AE388">
        <f ca="1">IF(ISERROR(IF(MEDIAN($AE$389:$AE$403) = 0, "", MEDIAN($AE$389:$AE$403))), "", (IF(MEDIAN($AE$389:$AE$403) = 0, "", MEDIAN($AE$389:$AE$403))))</f>
        <v>68.168480130000006</v>
      </c>
      <c r="AF388">
        <f ca="1">IF(ISERROR(IF(MEDIAN($AF$389:$AF$403) = 0, "", MEDIAN($AF$389:$AF$403))), "", (IF(MEDIAN($AF$389:$AF$403) = 0, "", MEDIAN($AF$389:$AF$403))))</f>
        <v>51.008692095000001</v>
      </c>
      <c r="AG388">
        <f ca="1">IF(ISERROR(IF(MEDIAN($AG$389:$AG$403) = 0, "", MEDIAN($AG$389:$AG$403))), "", (IF(MEDIAN($AG$389:$AG$403) = 0, "", MEDIAN($AG$389:$AG$403))))</f>
        <v>62.563392754999995</v>
      </c>
      <c r="AH388">
        <f ca="1">IF(ISERROR(IF(MEDIAN($AH$389:$AH$403) = 0, "", MEDIAN($AH$389:$AH$403))), "", (IF(MEDIAN($AH$389:$AH$403) = 0, "", MEDIAN($AH$389:$AH$403))))</f>
        <v>53.16002701</v>
      </c>
      <c r="AI388">
        <f ca="1">IF(ISERROR(IF(MEDIAN($AI$389:$AI$403) = 0, "", MEDIAN($AI$389:$AI$403))), "", (IF(MEDIAN($AI$389:$AI$403) = 0, "", MEDIAN($AI$389:$AI$403))))</f>
        <v>58.334085989999998</v>
      </c>
      <c r="AJ388">
        <f ca="1">IF(ISERROR(IF(MEDIAN($AJ$389:$AJ$403) = 0, "", MEDIAN($AJ$389:$AJ$403))), "", (IF(MEDIAN($AJ$389:$AJ$403) = 0, "", MEDIAN($AJ$389:$AJ$403))))</f>
        <v>64.33401155</v>
      </c>
      <c r="AK388">
        <f ca="1">IF(ISERROR(IF(MEDIAN($AK$389:$AK$403) = 0, "", MEDIAN($AK$389:$AK$403))), "", (IF(MEDIAN($AK$389:$AK$403) = 0, "", MEDIAN($AK$389:$AK$403))))</f>
        <v>78.428389030000005</v>
      </c>
      <c r="AL388">
        <f ca="1">IF(ISERROR(IF(MEDIAN($AL$389:$AL$403) = 0, "", MEDIAN($AL$389:$AL$403))), "", (IF(MEDIAN($AL$389:$AL$403) = 0, "", MEDIAN($AL$389:$AL$403))))</f>
        <v>52.801068739999998</v>
      </c>
      <c r="AM388">
        <f ca="1">IF(ISERROR(IF(MEDIAN($AM$389:$AM$403) = 0, "", MEDIAN($AM$389:$AM$403))), "", (IF(MEDIAN($AM$389:$AM$403) = 0, "", MEDIAN($AM$389:$AM$403))))</f>
        <v>66.336349394999999</v>
      </c>
      <c r="AN388">
        <f ca="1">IF(ISERROR(IF(MEDIAN($AN$389:$AN$403) = 0, "", MEDIAN($AN$389:$AN$403))), "", (IF(MEDIAN($AN$389:$AN$403) = 0, "", MEDIAN($AN$389:$AN$403))))</f>
        <v>60.70590627</v>
      </c>
      <c r="AO388">
        <f ca="1">IF(ISERROR(IF(MEDIAN($AO$389:$AO$403) = 0, "", MEDIAN($AO$389:$AO$403))), "", (IF(MEDIAN($AO$389:$AO$403) = 0, "", MEDIAN($AO$389:$AO$403))))</f>
        <v>59.081117464999998</v>
      </c>
      <c r="AP388">
        <f ca="1">IF(ISERROR(IF(MEDIAN($AP$389:$AP$403) = 0, "", MEDIAN($AP$389:$AP$403))), "", (IF(MEDIAN($AP$389:$AP$403) = 0, "", MEDIAN($AP$389:$AP$403))))</f>
        <v>76.603865040000002</v>
      </c>
      <c r="AQ388">
        <f ca="1">IF(ISERROR(IF(MEDIAN($AQ$389:$AQ$403) = 0, "", MEDIAN($AQ$389:$AQ$403))), "", (IF(MEDIAN($AQ$389:$AQ$403) = 0, "", MEDIAN($AQ$389:$AQ$403))))</f>
        <v>73.290864319999997</v>
      </c>
      <c r="AR388">
        <f ca="1">IF(ISERROR(IF(MEDIAN($AR$389:$AR$403) = 0, "", MEDIAN($AR$389:$AR$403))), "", (IF(MEDIAN($AR$389:$AR$403) = 0, "", MEDIAN($AR$389:$AR$403))))</f>
        <v>70.621931380000007</v>
      </c>
      <c r="AS388">
        <f ca="1">IF(ISERROR(IF(MEDIAN($AS$389:$AS$403) = 0, "", MEDIAN($AS$389:$AS$403))), "", (IF(MEDIAN($AS$389:$AS$403) = 0, "", MEDIAN($AS$389:$AS$403))))</f>
        <v>70.238944355000001</v>
      </c>
      <c r="AT388">
        <f ca="1">IF(ISERROR(IF(MEDIAN($AT$389:$AT$403) = 0, "", MEDIAN($AT$389:$AT$403))), "", (IF(MEDIAN($AT$389:$AT$403) = 0, "", MEDIAN($AT$389:$AT$403))))</f>
        <v>66.852704955000007</v>
      </c>
      <c r="AU388">
        <f ca="1">IF(ISERROR(IF(MEDIAN($AU$389:$AU$403) = 0, "", MEDIAN($AU$389:$AU$403))), "", (IF(MEDIAN($AU$389:$AU$403) = 0, "", MEDIAN($AU$389:$AU$403))))</f>
        <v>61.327856824999998</v>
      </c>
      <c r="AV388">
        <f ca="1">IF(ISERROR(IF(MEDIAN($AV$389:$AV$403) = 0, "", MEDIAN($AV$389:$AV$403))), "", (IF(MEDIAN($AV$389:$AV$403) = 0, "", MEDIAN($AV$389:$AV$403))))</f>
        <v>67.136508320000004</v>
      </c>
      <c r="AW388">
        <f ca="1">IF(ISERROR(IF(MEDIAN($AW$389:$AW$403) = 0, "", MEDIAN($AW$389:$AW$403))), "", (IF(MEDIAN($AW$389:$AW$403) = 0, "", MEDIAN($AW$389:$AW$403))))</f>
        <v>50.205959839999998</v>
      </c>
      <c r="AX388">
        <f ca="1">IF(ISERROR(IF(MEDIAN($AX$389:$AX$403) = 0, "", MEDIAN($AX$389:$AX$403))), "", (IF(MEDIAN($AX$389:$AX$403) = 0, "", MEDIAN($AX$389:$AX$403))))</f>
        <v>60.825257024999999</v>
      </c>
      <c r="AY388">
        <f ca="1">IF(ISERROR(IF(MEDIAN($AY$389:$AY$403) = 0, "", MEDIAN($AY$389:$AY$403))), "", (IF(MEDIAN($AY$389:$AY$403) = 0, "", MEDIAN($AY$389:$AY$403))))</f>
        <v>57.89472593</v>
      </c>
      <c r="AZ388">
        <f ca="1">IF(ISERROR(IF(MEDIAN($AZ$389:$AZ$403) = 0, "", MEDIAN($AZ$389:$AZ$403))), "", (IF(MEDIAN($AZ$389:$AZ$403) = 0, "", MEDIAN($AZ$389:$AZ$403))))</f>
        <v>61.470778005</v>
      </c>
      <c r="BA388">
        <f ca="1">IF(ISERROR(IF(MEDIAN($BA$389:$BA$403) = 0, "", MEDIAN($BA$389:$BA$403))), "", (IF(MEDIAN($BA$389:$BA$403) = 0, "", MEDIAN($BA$389:$BA$403))))</f>
        <v>61.183718065000001</v>
      </c>
      <c r="BB388">
        <f ca="1">IF(ISERROR(IF(MEDIAN($BB$389:$BB$403) = 0, "", MEDIAN($BB$389:$BB$403))), "", (IF(MEDIAN($BB$389:$BB$403) = 0, "", MEDIAN($BB$389:$BB$403))))</f>
        <v>63.104324039999995</v>
      </c>
      <c r="BC388">
        <f ca="1">IF(ISERROR(IF(MEDIAN($BC$389:$BC$403) = 0, "", MEDIAN($BC$389:$BC$403))), "", (IF(MEDIAN($BC$389:$BC$403) = 0, "", MEDIAN($BC$389:$BC$403))))</f>
        <v>62.981075910000001</v>
      </c>
      <c r="BD388">
        <f ca="1">IF(ISERROR(IF(MEDIAN($BD$389:$BD$403) = 0, "", MEDIAN($BD$389:$BD$403))), "", (IF(MEDIAN($BD$389:$BD$403) = 0, "", MEDIAN($BD$389:$BD$403))))</f>
        <v>66.474538210000006</v>
      </c>
      <c r="BE388">
        <f ca="1">IF(ISERROR(IF(MEDIAN($BE$389:$BE$403) = 0, "", MEDIAN($BE$389:$BE$403))), "", (IF(MEDIAN($BE$389:$BE$403) = 0, "", MEDIAN($BE$389:$BE$403))))</f>
        <v>60.733852370000001</v>
      </c>
      <c r="BF388">
        <f ca="1">IF(ISERROR(IF(MEDIAN($BF$389:$BF$403) = 0, "", MEDIAN($BF$389:$BF$403))), "", (IF(MEDIAN($BF$389:$BF$403) = 0, "", MEDIAN($BF$389:$BF$403))))</f>
        <v>61.604190549999998</v>
      </c>
      <c r="BG388">
        <f ca="1">IF(ISERROR(IF(MEDIAN($BG$389:$BG$403) = 0, "", MEDIAN($BG$389:$BG$403))), "", (IF(MEDIAN($BG$389:$BG$403) = 0, "", MEDIAN($BG$389:$BG$403))))</f>
        <v>62.976801300000005</v>
      </c>
      <c r="BH388">
        <f ca="1">IF(ISERROR(IF(MEDIAN($BH$389:$BH$403) = 0, "", MEDIAN($BH$389:$BH$403))), "", (IF(MEDIAN($BH$389:$BH$403) = 0, "", MEDIAN($BH$389:$BH$403))))</f>
        <v>51.088513434999996</v>
      </c>
      <c r="BI388">
        <f ca="1">IF(ISERROR(IF(MEDIAN($BI$389:$BI$403) = 0, "", MEDIAN($BI$389:$BI$403))), "", (IF(MEDIAN($BI$389:$BI$403) = 0, "", MEDIAN($BI$389:$BI$403))))</f>
        <v>66.957903049999999</v>
      </c>
      <c r="BJ388">
        <f ca="1">IF(ISERROR(IF(MEDIAN($BJ$389:$BJ$403) = 0, "", MEDIAN($BJ$389:$BJ$403))), "", (IF(MEDIAN($BJ$389:$BJ$403) = 0, "", MEDIAN($BJ$389:$BJ$403))))</f>
        <v>61.725777260000001</v>
      </c>
      <c r="BK388">
        <f ca="1">IF(ISERROR(IF(MEDIAN($BK$389:$BK$403) = 0, "", MEDIAN($BK$389:$BK$403))), "", (IF(MEDIAN($BK$389:$BK$403) = 0, "", MEDIAN($BK$389:$BK$403))))</f>
        <v>48.642045359999997</v>
      </c>
      <c r="BL388">
        <f ca="1">IF(ISERROR(IF(MEDIAN($BL$389:$BL$403) = 0, "", MEDIAN($BL$389:$BL$403))), "", (IF(MEDIAN($BL$389:$BL$403) = 0, "", MEDIAN($BL$389:$BL$403))))</f>
        <v>64.366020539999994</v>
      </c>
      <c r="BM388">
        <f ca="1">IF(ISERROR(IF(MEDIAN($BM$389:$BM$403) = 0, "", MEDIAN($BM$389:$BM$403))), "", (IF(MEDIAN($BM$389:$BM$403) = 0, "", MEDIAN($BM$389:$BM$403))))</f>
        <v>65.460485899999995</v>
      </c>
      <c r="BN388" t="str">
        <f>""</f>
        <v/>
      </c>
      <c r="BO388">
        <f>71.44260022</f>
        <v>71.442600220000003</v>
      </c>
      <c r="BP388">
        <f>66.51430909</f>
        <v>66.514309089999998</v>
      </c>
      <c r="BQ388">
        <f>62.79282819</f>
        <v>62.792828190000002</v>
      </c>
      <c r="BR388">
        <f>66.82357389</f>
        <v>66.823573890000006</v>
      </c>
      <c r="BS388">
        <f>62.55847427</f>
        <v>62.558474269999998</v>
      </c>
      <c r="BT388">
        <f>61.92891522</f>
        <v>61.92891522</v>
      </c>
      <c r="BU388">
        <f>59.1940132</f>
        <v>59.194013200000001</v>
      </c>
      <c r="BV388">
        <f>59.93023498</f>
        <v>59.930234980000002</v>
      </c>
      <c r="BW388">
        <f>65.17236445</f>
        <v>65.172364450000003</v>
      </c>
      <c r="BX388">
        <f>61.23256065</f>
        <v>61.232560650000003</v>
      </c>
      <c r="BY388">
        <f>64.04150129</f>
        <v>64.041501289999999</v>
      </c>
      <c r="BZ388">
        <f>64.886114</f>
        <v>64.886114000000006</v>
      </c>
      <c r="CA388">
        <f>63.32935211</f>
        <v>63.329352110000002</v>
      </c>
      <c r="CB388">
        <f>60.17800901</f>
        <v>60.178009009999997</v>
      </c>
      <c r="CC388">
        <f>62.74067504</f>
        <v>62.740675039999999</v>
      </c>
      <c r="CD388">
        <f>63.55053432</f>
        <v>63.550534319999997</v>
      </c>
      <c r="CE388">
        <f>66.46244819</f>
        <v>66.462448190000003</v>
      </c>
      <c r="CF388">
        <f>60.62312084</f>
        <v>60.623120839999999</v>
      </c>
      <c r="CG388">
        <f>63.91501057</f>
        <v>63.91501057</v>
      </c>
      <c r="CH388">
        <f>63.31528259</f>
        <v>63.315282590000002</v>
      </c>
      <c r="CI388">
        <f>63.66605232</f>
        <v>63.666052319999999</v>
      </c>
      <c r="CJ388">
        <f>64.82257371</f>
        <v>64.82257371</v>
      </c>
      <c r="CK388">
        <f>54.44697834</f>
        <v>54.446978340000001</v>
      </c>
      <c r="CL388">
        <f>62.9424521</f>
        <v>62.942452099999997</v>
      </c>
      <c r="CM388">
        <f>68.16848013</f>
        <v>68.168480130000006</v>
      </c>
      <c r="CN388">
        <f>51.0086921</f>
        <v>51.008692099999998</v>
      </c>
      <c r="CO388">
        <f>62.56339276</f>
        <v>62.563392759999999</v>
      </c>
      <c r="CP388">
        <f>53.16002701</f>
        <v>53.16002701</v>
      </c>
      <c r="CQ388">
        <f>58.33408599</f>
        <v>58.334085989999998</v>
      </c>
      <c r="CR388">
        <f>64.33401155</f>
        <v>64.33401155</v>
      </c>
      <c r="CS388">
        <f>78.42838903</f>
        <v>78.428389030000005</v>
      </c>
      <c r="CT388">
        <f>52.80106874</f>
        <v>52.801068739999998</v>
      </c>
      <c r="CU388">
        <f>66.33634939</f>
        <v>66.336349389999995</v>
      </c>
      <c r="CV388">
        <f>60.70590627</f>
        <v>60.70590627</v>
      </c>
      <c r="CW388">
        <f>59.08111747</f>
        <v>59.081117470000002</v>
      </c>
      <c r="CX388">
        <f>76.60386504</f>
        <v>76.603865040000002</v>
      </c>
      <c r="CY388">
        <f>73.29086432</f>
        <v>73.290864319999997</v>
      </c>
      <c r="CZ388">
        <f>70.62193138</f>
        <v>70.621931380000007</v>
      </c>
      <c r="DA388">
        <f>70.23894436</f>
        <v>70.238944360000005</v>
      </c>
      <c r="DB388">
        <f>66.85270496</f>
        <v>66.852704959999997</v>
      </c>
      <c r="DC388">
        <f>61.32785682</f>
        <v>61.327856820000001</v>
      </c>
      <c r="DD388">
        <f>67.13650832</f>
        <v>67.136508320000004</v>
      </c>
      <c r="DE388">
        <f>50.20595984</f>
        <v>50.205959839999998</v>
      </c>
      <c r="DF388">
        <f>60.82525703</f>
        <v>60.825257030000003</v>
      </c>
      <c r="DG388">
        <f>57.89472593</f>
        <v>57.89472593</v>
      </c>
      <c r="DH388">
        <f>61.47077801</f>
        <v>61.470778009999997</v>
      </c>
      <c r="DI388">
        <f>61.18371806</f>
        <v>61.183718059999997</v>
      </c>
      <c r="DJ388">
        <f>63.10432404</f>
        <v>63.104324040000002</v>
      </c>
      <c r="DK388">
        <f>62.98107591</f>
        <v>62.981075910000001</v>
      </c>
      <c r="DL388">
        <f>66.47453821</f>
        <v>66.474538210000006</v>
      </c>
      <c r="DM388">
        <f>60.73385237</f>
        <v>60.733852370000001</v>
      </c>
      <c r="DN388">
        <f>61.60419055</f>
        <v>61.604190549999998</v>
      </c>
      <c r="DO388">
        <f>62.9768013</f>
        <v>62.976801299999998</v>
      </c>
      <c r="DP388">
        <f>51.08851343</f>
        <v>51.088513429999999</v>
      </c>
      <c r="DQ388">
        <f>66.95790305</f>
        <v>66.957903049999999</v>
      </c>
      <c r="DR388">
        <f>61.72577726</f>
        <v>61.725777260000001</v>
      </c>
      <c r="DS388">
        <f>48.64204536</f>
        <v>48.642045359999997</v>
      </c>
      <c r="DT388">
        <f>64.36602054</f>
        <v>64.366020539999994</v>
      </c>
      <c r="DU388">
        <f>65.4604859</f>
        <v>65.460485899999995</v>
      </c>
    </row>
    <row r="389" spans="1:125">
      <c r="A389" t="str">
        <f>"    Brixmor Property Group Inc"</f>
        <v xml:space="preserve">    Brixmor Property Group Inc</v>
      </c>
      <c r="B389" t="str">
        <f>"BRX US Equity"</f>
        <v>BRX US Equity</v>
      </c>
      <c r="C389" t="str">
        <f t="shared" ref="C389:C403" si="70">"RR106"</f>
        <v>RR106</v>
      </c>
      <c r="D389" t="str">
        <f t="shared" ref="D389:D403" si="71">"FFO_PAYOUT_RATIO"</f>
        <v>FFO_PAYOUT_RATIO</v>
      </c>
      <c r="E389" t="str">
        <f t="shared" ref="E389:E403" si="72">"动态"</f>
        <v>动态</v>
      </c>
      <c r="F389" t="str">
        <f ca="1">IF(AND(ISNUMBER($F$811),$B$419=1),$F$811,HLOOKUP(INDIRECT(ADDRESS(2,COLUMN())),OFFSET($BN$2,0,0,ROW()-1,60),ROW()-1,FALSE))</f>
        <v/>
      </c>
      <c r="G389">
        <f ca="1">IF(AND(ISNUMBER($G$811),$B$419=1),$G$811,HLOOKUP(INDIRECT(ADDRESS(2,COLUMN())),OFFSET($BN$2,0,0,ROW()-1,60),ROW()-1,FALSE))</f>
        <v>53.165911039999997</v>
      </c>
      <c r="H389">
        <f ca="1">IF(AND(ISNUMBER($H$811),$B$419=1),$H$811,HLOOKUP(INDIRECT(ADDRESS(2,COLUMN())),OFFSET($BN$2,0,0,ROW()-1,60),ROW()-1,FALSE))</f>
        <v>50.419953450000001</v>
      </c>
      <c r="I389">
        <f ca="1">IF(AND(ISNUMBER($I$811),$B$419=1),$I$811,HLOOKUP(INDIRECT(ADDRESS(2,COLUMN())),OFFSET($BN$2,0,0,ROW()-1,60),ROW()-1,FALSE))</f>
        <v>48.974603860000002</v>
      </c>
      <c r="J389">
        <f ca="1">IF(AND(ISNUMBER($J$811),$B$419=1),$J$811,HLOOKUP(INDIRECT(ADDRESS(2,COLUMN())),OFFSET($BN$2,0,0,ROW()-1,60),ROW()-1,FALSE))</f>
        <v>49.016087400000004</v>
      </c>
      <c r="K389">
        <f ca="1">IF(AND(ISNUMBER($K$811),$B$419=1),$K$811,HLOOKUP(INDIRECT(ADDRESS(2,COLUMN())),OFFSET($BN$2,0,0,ROW()-1,60),ROW()-1,FALSE))</f>
        <v>48.527847289999997</v>
      </c>
      <c r="L389">
        <f ca="1">IF(AND(ISNUMBER($L$811),$B$419=1),$L$811,HLOOKUP(INDIRECT(ADDRESS(2,COLUMN())),OFFSET($BN$2,0,0,ROW()-1,60),ROW()-1,FALSE))</f>
        <v>47.920645630000003</v>
      </c>
      <c r="M389">
        <f ca="1">IF(AND(ISNUMBER($M$811),$B$419=1),$M$811,HLOOKUP(INDIRECT(ADDRESS(2,COLUMN())),OFFSET($BN$2,0,0,ROW()-1,60),ROW()-1,FALSE))</f>
        <v>48.097939089999997</v>
      </c>
      <c r="N389">
        <f ca="1">IF(AND(ISNUMBER($N$811),$B$419=1),$N$811,HLOOKUP(INDIRECT(ADDRESS(2,COLUMN())),OFFSET($BN$2,0,0,ROW()-1,60),ROW()-1,FALSE))</f>
        <v>45.45426922</v>
      </c>
      <c r="O389">
        <f ca="1">IF(AND(ISNUMBER($O$811),$B$419=1),$O$811,HLOOKUP(INDIRECT(ADDRESS(2,COLUMN())),OFFSET($BN$2,0,0,ROW()-1,60),ROW()-1,FALSE))</f>
        <v>47.01203829</v>
      </c>
      <c r="P389">
        <f ca="1">IF(AND(ISNUMBER($P$811),$B$419=1),$P$811,HLOOKUP(INDIRECT(ADDRESS(2,COLUMN())),OFFSET($BN$2,0,0,ROW()-1,60),ROW()-1,FALSE))</f>
        <v>42.993949870000002</v>
      </c>
      <c r="Q389">
        <f ca="1">IF(AND(ISNUMBER($Q$811),$B$419=1),$Q$811,HLOOKUP(INDIRECT(ADDRESS(2,COLUMN())),OFFSET($BN$2,0,0,ROW()-1,60),ROW()-1,FALSE))</f>
        <v>45.054645729999997</v>
      </c>
      <c r="R389">
        <f ca="1">IF(AND(ISNUMBER($R$811),$B$419=1),$R$811,HLOOKUP(INDIRECT(ADDRESS(2,COLUMN())),OFFSET($BN$2,0,0,ROW()-1,60),ROW()-1,FALSE))</f>
        <v>47.890859110000001</v>
      </c>
      <c r="S389">
        <f ca="1">IF(AND(ISNUMBER($S$811),$B$419=1),$S$811,HLOOKUP(INDIRECT(ADDRESS(2,COLUMN())),OFFSET($BN$2,0,0,ROW()-1,60),ROW()-1,FALSE))</f>
        <v>41.36523029</v>
      </c>
      <c r="T389">
        <f ca="1">IF(AND(ISNUMBER($T$811),$B$419=1),$T$811,HLOOKUP(INDIRECT(ADDRESS(2,COLUMN())),OFFSET($BN$2,0,0,ROW()-1,60),ROW()-1,FALSE))</f>
        <v>33.854347990000001</v>
      </c>
      <c r="U389">
        <f ca="1">IF(AND(ISNUMBER($U$811),$B$419=1),$U$811,HLOOKUP(INDIRECT(ADDRESS(2,COLUMN())),OFFSET($BN$2,0,0,ROW()-1,60),ROW()-1,FALSE))</f>
        <v>32.694795460000002</v>
      </c>
      <c r="V389">
        <f ca="1">IF(AND(ISNUMBER($V$811),$B$419=1),$V$811,HLOOKUP(INDIRECT(ADDRESS(2,COLUMN())),OFFSET($BN$2,0,0,ROW()-1,60),ROW()-1,FALSE))</f>
        <v>21.835082679999999</v>
      </c>
      <c r="W389">
        <f ca="1">IF(AND(ISNUMBER($W$811),$B$419=1),$W$811,HLOOKUP(INDIRECT(ADDRESS(2,COLUMN())),OFFSET($BN$2,0,0,ROW()-1,60),ROW()-1,FALSE))</f>
        <v>45.331112830000002</v>
      </c>
      <c r="X389">
        <f ca="1">IF(AND(ISNUMBER($X$811),$B$419=1),$X$811,HLOOKUP(INDIRECT(ADDRESS(2,COLUMN())),OFFSET($BN$2,0,0,ROW()-1,60),ROW()-1,FALSE))</f>
        <v>0</v>
      </c>
      <c r="Y389">
        <f ca="1">IF(AND(ISNUMBER($Y$811),$B$419=1),$Y$811,HLOOKUP(INDIRECT(ADDRESS(2,COLUMN())),OFFSET($BN$2,0,0,ROW()-1,60),ROW()-1,FALSE))</f>
        <v>0</v>
      </c>
      <c r="Z389">
        <f ca="1">IF(AND(ISNUMBER($Z$811),$B$419=1),$Z$811,HLOOKUP(INDIRECT(ADDRESS(2,COLUMN())),OFFSET($BN$2,0,0,ROW()-1,60),ROW()-1,FALSE))</f>
        <v>0</v>
      </c>
      <c r="AA389">
        <f ca="1">IF(AND(ISNUMBER($AA$811),$B$419=1),$AA$811,HLOOKUP(INDIRECT(ADDRESS(2,COLUMN())),OFFSET($BN$2,0,0,ROW()-1,60),ROW()-1,FALSE))</f>
        <v>0</v>
      </c>
      <c r="AB389">
        <f ca="1">IF(AND(ISNUMBER($AB$811),$B$419=1),$AB$811,HLOOKUP(INDIRECT(ADDRESS(2,COLUMN())),OFFSET($BN$2,0,0,ROW()-1,60),ROW()-1,FALSE))</f>
        <v>0</v>
      </c>
      <c r="AC389">
        <f ca="1">IF(AND(ISNUMBER($AC$811),$B$419=1),$AC$811,HLOOKUP(INDIRECT(ADDRESS(2,COLUMN())),OFFSET($BN$2,0,0,ROW()-1,60),ROW()-1,FALSE))</f>
        <v>0</v>
      </c>
      <c r="AD389">
        <f ca="1">IF(AND(ISNUMBER($AD$811),$B$419=1),$AD$811,HLOOKUP(INDIRECT(ADDRESS(2,COLUMN())),OFFSET($BN$2,0,0,ROW()-1,60),ROW()-1,FALSE))</f>
        <v>0</v>
      </c>
      <c r="AE389" t="str">
        <f ca="1">IF(AND(ISNUMBER($AE$811),$B$419=1),$AE$811,HLOOKUP(INDIRECT(ADDRESS(2,COLUMN())),OFFSET($BN$2,0,0,ROW()-1,60),ROW()-1,FALSE))</f>
        <v/>
      </c>
      <c r="AF389" t="str">
        <f ca="1">IF(AND(ISNUMBER($AF$811),$B$419=1),$AF$811,HLOOKUP(INDIRECT(ADDRESS(2,COLUMN())),OFFSET($BN$2,0,0,ROW()-1,60),ROW()-1,FALSE))</f>
        <v/>
      </c>
      <c r="AG389" t="str">
        <f ca="1">IF(AND(ISNUMBER($AG$811),$B$419=1),$AG$811,HLOOKUP(INDIRECT(ADDRESS(2,COLUMN())),OFFSET($BN$2,0,0,ROW()-1,60),ROW()-1,FALSE))</f>
        <v/>
      </c>
      <c r="AH389" t="str">
        <f ca="1">IF(AND(ISNUMBER($AH$811),$B$419=1),$AH$811,HLOOKUP(INDIRECT(ADDRESS(2,COLUMN())),OFFSET($BN$2,0,0,ROW()-1,60),ROW()-1,FALSE))</f>
        <v/>
      </c>
      <c r="AI389" t="str">
        <f ca="1">IF(AND(ISNUMBER($AI$811),$B$419=1),$AI$811,HLOOKUP(INDIRECT(ADDRESS(2,COLUMN())),OFFSET($BN$2,0,0,ROW()-1,60),ROW()-1,FALSE))</f>
        <v/>
      </c>
      <c r="AJ389" t="str">
        <f ca="1">IF(AND(ISNUMBER($AJ$811),$B$419=1),$AJ$811,HLOOKUP(INDIRECT(ADDRESS(2,COLUMN())),OFFSET($BN$2,0,0,ROW()-1,60),ROW()-1,FALSE))</f>
        <v/>
      </c>
      <c r="AK389" t="str">
        <f ca="1">IF(AND(ISNUMBER($AK$811),$B$419=1),$AK$811,HLOOKUP(INDIRECT(ADDRESS(2,COLUMN())),OFFSET($BN$2,0,0,ROW()-1,60),ROW()-1,FALSE))</f>
        <v/>
      </c>
      <c r="AL389" t="str">
        <f ca="1">IF(AND(ISNUMBER($AL$811),$B$419=1),$AL$811,HLOOKUP(INDIRECT(ADDRESS(2,COLUMN())),OFFSET($BN$2,0,0,ROW()-1,60),ROW()-1,FALSE))</f>
        <v/>
      </c>
      <c r="AM389" t="str">
        <f ca="1">IF(AND(ISNUMBER($AM$811),$B$419=1),$AM$811,HLOOKUP(INDIRECT(ADDRESS(2,COLUMN())),OFFSET($BN$2,0,0,ROW()-1,60),ROW()-1,FALSE))</f>
        <v/>
      </c>
      <c r="AN389" t="str">
        <f ca="1">IF(AND(ISNUMBER($AN$811),$B$419=1),$AN$811,HLOOKUP(INDIRECT(ADDRESS(2,COLUMN())),OFFSET($BN$2,0,0,ROW()-1,60),ROW()-1,FALSE))</f>
        <v/>
      </c>
      <c r="AO389" t="str">
        <f ca="1">IF(AND(ISNUMBER($AO$811),$B$419=1),$AO$811,HLOOKUP(INDIRECT(ADDRESS(2,COLUMN())),OFFSET($BN$2,0,0,ROW()-1,60),ROW()-1,FALSE))</f>
        <v/>
      </c>
      <c r="AP389" t="str">
        <f ca="1">IF(AND(ISNUMBER($AP$811),$B$419=1),$AP$811,HLOOKUP(INDIRECT(ADDRESS(2,COLUMN())),OFFSET($BN$2,0,0,ROW()-1,60),ROW()-1,FALSE))</f>
        <v/>
      </c>
      <c r="AQ389" t="str">
        <f ca="1">IF(AND(ISNUMBER($AQ$811),$B$419=1),$AQ$811,HLOOKUP(INDIRECT(ADDRESS(2,COLUMN())),OFFSET($BN$2,0,0,ROW()-1,60),ROW()-1,FALSE))</f>
        <v/>
      </c>
      <c r="AR389" t="str">
        <f ca="1">IF(AND(ISNUMBER($AR$811),$B$419=1),$AR$811,HLOOKUP(INDIRECT(ADDRESS(2,COLUMN())),OFFSET($BN$2,0,0,ROW()-1,60),ROW()-1,FALSE))</f>
        <v/>
      </c>
      <c r="AS389" t="str">
        <f ca="1">IF(AND(ISNUMBER($AS$811),$B$419=1),$AS$811,HLOOKUP(INDIRECT(ADDRESS(2,COLUMN())),OFFSET($BN$2,0,0,ROW()-1,60),ROW()-1,FALSE))</f>
        <v/>
      </c>
      <c r="AT389" t="str">
        <f ca="1">IF(AND(ISNUMBER($AT$811),$B$419=1),$AT$811,HLOOKUP(INDIRECT(ADDRESS(2,COLUMN())),OFFSET($BN$2,0,0,ROW()-1,60),ROW()-1,FALSE))</f>
        <v/>
      </c>
      <c r="AU389" t="str">
        <f ca="1">IF(AND(ISNUMBER($AU$811),$B$419=1),$AU$811,HLOOKUP(INDIRECT(ADDRESS(2,COLUMN())),OFFSET($BN$2,0,0,ROW()-1,60),ROW()-1,FALSE))</f>
        <v/>
      </c>
      <c r="AV389" t="str">
        <f ca="1">IF(AND(ISNUMBER($AV$811),$B$419=1),$AV$811,HLOOKUP(INDIRECT(ADDRESS(2,COLUMN())),OFFSET($BN$2,0,0,ROW()-1,60),ROW()-1,FALSE))</f>
        <v/>
      </c>
      <c r="AW389" t="str">
        <f ca="1">IF(AND(ISNUMBER($AW$811),$B$419=1),$AW$811,HLOOKUP(INDIRECT(ADDRESS(2,COLUMN())),OFFSET($BN$2,0,0,ROW()-1,60),ROW()-1,FALSE))</f>
        <v/>
      </c>
      <c r="AX389" t="str">
        <f ca="1">IF(AND(ISNUMBER($AX$811),$B$419=1),$AX$811,HLOOKUP(INDIRECT(ADDRESS(2,COLUMN())),OFFSET($BN$2,0,0,ROW()-1,60),ROW()-1,FALSE))</f>
        <v/>
      </c>
      <c r="AY389" t="str">
        <f ca="1">IF(AND(ISNUMBER($AY$811),$B$419=1),$AY$811,HLOOKUP(INDIRECT(ADDRESS(2,COLUMN())),OFFSET($BN$2,0,0,ROW()-1,60),ROW()-1,FALSE))</f>
        <v/>
      </c>
      <c r="AZ389" t="str">
        <f ca="1">IF(AND(ISNUMBER($AZ$811),$B$419=1),$AZ$811,HLOOKUP(INDIRECT(ADDRESS(2,COLUMN())),OFFSET($BN$2,0,0,ROW()-1,60),ROW()-1,FALSE))</f>
        <v/>
      </c>
      <c r="BA389" t="str">
        <f ca="1">IF(AND(ISNUMBER($BA$811),$B$419=1),$BA$811,HLOOKUP(INDIRECT(ADDRESS(2,COLUMN())),OFFSET($BN$2,0,0,ROW()-1,60),ROW()-1,FALSE))</f>
        <v/>
      </c>
      <c r="BB389" t="str">
        <f ca="1">IF(AND(ISNUMBER($BB$811),$B$419=1),$BB$811,HLOOKUP(INDIRECT(ADDRESS(2,COLUMN())),OFFSET($BN$2,0,0,ROW()-1,60),ROW()-1,FALSE))</f>
        <v/>
      </c>
      <c r="BC389" t="str">
        <f ca="1">IF(AND(ISNUMBER($BC$811),$B$419=1),$BC$811,HLOOKUP(INDIRECT(ADDRESS(2,COLUMN())),OFFSET($BN$2,0,0,ROW()-1,60),ROW()-1,FALSE))</f>
        <v/>
      </c>
      <c r="BD389" t="str">
        <f ca="1">IF(AND(ISNUMBER($BD$811),$B$419=1),$BD$811,HLOOKUP(INDIRECT(ADDRESS(2,COLUMN())),OFFSET($BN$2,0,0,ROW()-1,60),ROW()-1,FALSE))</f>
        <v/>
      </c>
      <c r="BE389" t="str">
        <f ca="1">IF(AND(ISNUMBER($BE$811),$B$419=1),$BE$811,HLOOKUP(INDIRECT(ADDRESS(2,COLUMN())),OFFSET($BN$2,0,0,ROW()-1,60),ROW()-1,FALSE))</f>
        <v/>
      </c>
      <c r="BF389" t="str">
        <f ca="1">IF(AND(ISNUMBER($BF$811),$B$419=1),$BF$811,HLOOKUP(INDIRECT(ADDRESS(2,COLUMN())),OFFSET($BN$2,0,0,ROW()-1,60),ROW()-1,FALSE))</f>
        <v/>
      </c>
      <c r="BG389" t="str">
        <f ca="1">IF(AND(ISNUMBER($BG$811),$B$419=1),$BG$811,HLOOKUP(INDIRECT(ADDRESS(2,COLUMN())),OFFSET($BN$2,0,0,ROW()-1,60),ROW()-1,FALSE))</f>
        <v/>
      </c>
      <c r="BH389" t="str">
        <f ca="1">IF(AND(ISNUMBER($BH$811),$B$419=1),$BH$811,HLOOKUP(INDIRECT(ADDRESS(2,COLUMN())),OFFSET($BN$2,0,0,ROW()-1,60),ROW()-1,FALSE))</f>
        <v/>
      </c>
      <c r="BI389" t="str">
        <f ca="1">IF(AND(ISNUMBER($BI$811),$B$419=1),$BI$811,HLOOKUP(INDIRECT(ADDRESS(2,COLUMN())),OFFSET($BN$2,0,0,ROW()-1,60),ROW()-1,FALSE))</f>
        <v/>
      </c>
      <c r="BJ389" t="str">
        <f ca="1">IF(AND(ISNUMBER($BJ$811),$B$419=1),$BJ$811,HLOOKUP(INDIRECT(ADDRESS(2,COLUMN())),OFFSET($BN$2,0,0,ROW()-1,60),ROW()-1,FALSE))</f>
        <v/>
      </c>
      <c r="BK389" t="str">
        <f ca="1">IF(AND(ISNUMBER($BK$811),$B$419=1),$BK$811,HLOOKUP(INDIRECT(ADDRESS(2,COLUMN())),OFFSET($BN$2,0,0,ROW()-1,60),ROW()-1,FALSE))</f>
        <v/>
      </c>
      <c r="BL389" t="str">
        <f ca="1">IF(AND(ISNUMBER($BL$811),$B$419=1),$BL$811,HLOOKUP(INDIRECT(ADDRESS(2,COLUMN())),OFFSET($BN$2,0,0,ROW()-1,60),ROW()-1,FALSE))</f>
        <v/>
      </c>
      <c r="BM389" t="str">
        <f ca="1">IF(AND(ISNUMBER($BM$811),$B$419=1),$BM$811,HLOOKUP(INDIRECT(ADDRESS(2,COLUMN())),OFFSET($BN$2,0,0,ROW()-1,60),ROW()-1,FALSE))</f>
        <v/>
      </c>
      <c r="BN389" t="str">
        <f>""</f>
        <v/>
      </c>
      <c r="BO389">
        <f>53.16591104</f>
        <v>53.165911039999997</v>
      </c>
      <c r="BP389">
        <f>50.41995345</f>
        <v>50.419953450000001</v>
      </c>
      <c r="BQ389">
        <f>48.97460386</f>
        <v>48.974603860000002</v>
      </c>
      <c r="BR389">
        <f>49.0160874</f>
        <v>49.016087400000004</v>
      </c>
      <c r="BS389">
        <f>48.52784729</f>
        <v>48.527847289999997</v>
      </c>
      <c r="BT389">
        <f>47.92064563</f>
        <v>47.920645630000003</v>
      </c>
      <c r="BU389">
        <f>48.09793909</f>
        <v>48.097939089999997</v>
      </c>
      <c r="BV389">
        <f>45.45426922</f>
        <v>45.45426922</v>
      </c>
      <c r="BW389">
        <f>47.01203829</f>
        <v>47.01203829</v>
      </c>
      <c r="BX389">
        <f>42.99394987</f>
        <v>42.993949870000002</v>
      </c>
      <c r="BY389">
        <f>45.05464573</f>
        <v>45.054645729999997</v>
      </c>
      <c r="BZ389">
        <f>47.89085911</f>
        <v>47.890859110000001</v>
      </c>
      <c r="CA389">
        <f>41.36523029</f>
        <v>41.36523029</v>
      </c>
      <c r="CB389">
        <f>33.85434799</f>
        <v>33.854347990000001</v>
      </c>
      <c r="CC389">
        <f>32.69479546</f>
        <v>32.694795460000002</v>
      </c>
      <c r="CD389">
        <f>21.83508268</f>
        <v>21.835082679999999</v>
      </c>
      <c r="CE389">
        <f>45.33111283</f>
        <v>45.331112830000002</v>
      </c>
      <c r="CF389">
        <f>0</f>
        <v>0</v>
      </c>
      <c r="CG389">
        <f>0</f>
        <v>0</v>
      </c>
      <c r="CH389">
        <f>0</f>
        <v>0</v>
      </c>
      <c r="CI389">
        <f>0</f>
        <v>0</v>
      </c>
      <c r="CJ389">
        <f>0</f>
        <v>0</v>
      </c>
      <c r="CK389">
        <f>0</f>
        <v>0</v>
      </c>
      <c r="CL389">
        <f>0</f>
        <v>0</v>
      </c>
      <c r="CM389" t="str">
        <f>""</f>
        <v/>
      </c>
      <c r="CN389" t="str">
        <f>""</f>
        <v/>
      </c>
      <c r="CO389" t="str">
        <f>""</f>
        <v/>
      </c>
      <c r="CP389" t="str">
        <f>""</f>
        <v/>
      </c>
      <c r="CQ389" t="str">
        <f>""</f>
        <v/>
      </c>
      <c r="CR389" t="str">
        <f>""</f>
        <v/>
      </c>
      <c r="CS389" t="str">
        <f>""</f>
        <v/>
      </c>
      <c r="CT389" t="str">
        <f>""</f>
        <v/>
      </c>
      <c r="CU389" t="str">
        <f>""</f>
        <v/>
      </c>
      <c r="CV389" t="str">
        <f>""</f>
        <v/>
      </c>
      <c r="CW389" t="str">
        <f>""</f>
        <v/>
      </c>
      <c r="CX389" t="str">
        <f>""</f>
        <v/>
      </c>
      <c r="CY389" t="str">
        <f>""</f>
        <v/>
      </c>
      <c r="CZ389" t="str">
        <f>""</f>
        <v/>
      </c>
      <c r="DA389" t="str">
        <f>""</f>
        <v/>
      </c>
      <c r="DB389" t="str">
        <f>""</f>
        <v/>
      </c>
      <c r="DC389" t="str">
        <f>""</f>
        <v/>
      </c>
      <c r="DD389" t="str">
        <f>""</f>
        <v/>
      </c>
      <c r="DE389" t="str">
        <f>""</f>
        <v/>
      </c>
      <c r="DF389" t="str">
        <f>""</f>
        <v/>
      </c>
      <c r="DG389" t="str">
        <f>""</f>
        <v/>
      </c>
      <c r="DH389" t="str">
        <f>""</f>
        <v/>
      </c>
      <c r="DI389" t="str">
        <f>""</f>
        <v/>
      </c>
      <c r="DJ389" t="str">
        <f>""</f>
        <v/>
      </c>
      <c r="DK389" t="str">
        <f>""</f>
        <v/>
      </c>
      <c r="DL389" t="str">
        <f>""</f>
        <v/>
      </c>
      <c r="DM389" t="str">
        <f>""</f>
        <v/>
      </c>
      <c r="DN389" t="str">
        <f>""</f>
        <v/>
      </c>
      <c r="DO389" t="str">
        <f>""</f>
        <v/>
      </c>
      <c r="DP389" t="str">
        <f>""</f>
        <v/>
      </c>
      <c r="DQ389" t="str">
        <f>""</f>
        <v/>
      </c>
      <c r="DR389" t="str">
        <f>""</f>
        <v/>
      </c>
      <c r="DS389" t="str">
        <f>""</f>
        <v/>
      </c>
      <c r="DT389" t="str">
        <f>""</f>
        <v/>
      </c>
      <c r="DU389" t="str">
        <f>""</f>
        <v/>
      </c>
    </row>
    <row r="390" spans="1:125">
      <c r="A390" t="str">
        <f>"    CBL &amp; Associates Properties In"</f>
        <v xml:space="preserve">    CBL &amp; Associates Properties In</v>
      </c>
      <c r="B390" t="str">
        <f>"CBL US Equity"</f>
        <v>CBL US Equity</v>
      </c>
      <c r="C390" t="str">
        <f t="shared" si="70"/>
        <v>RR106</v>
      </c>
      <c r="D390" t="str">
        <f t="shared" si="71"/>
        <v>FFO_PAYOUT_RATIO</v>
      </c>
      <c r="E390" t="str">
        <f t="shared" si="72"/>
        <v>动态</v>
      </c>
      <c r="F390" t="str">
        <f ca="1">IF(AND(ISNUMBER($F$812),$B$419=1),$F$812,HLOOKUP(INDIRECT(ADDRESS(2,COLUMN())),OFFSET($BN$2,0,0,ROW()-1,60),ROW()-1,FALSE))</f>
        <v/>
      </c>
      <c r="G390">
        <f ca="1">IF(AND(ISNUMBER($G$812),$B$419=1),$G$812,HLOOKUP(INDIRECT(ADDRESS(2,COLUMN())),OFFSET($BN$2,0,0,ROW()-1,60),ROW()-1,FALSE))</f>
        <v>72.946509939999999</v>
      </c>
      <c r="H390">
        <f ca="1">IF(AND(ISNUMBER($H$812),$B$419=1),$H$812,HLOOKUP(INDIRECT(ADDRESS(2,COLUMN())),OFFSET($BN$2,0,0,ROW()-1,60),ROW()-1,FALSE))</f>
        <v>44.08318749</v>
      </c>
      <c r="I390">
        <f ca="1">IF(AND(ISNUMBER($I$812),$B$419=1),$I$812,HLOOKUP(INDIRECT(ADDRESS(2,COLUMN())),OFFSET($BN$2,0,0,ROW()-1,60),ROW()-1,FALSE))</f>
        <v>39.059646460000003</v>
      </c>
      <c r="J390">
        <f ca="1">IF(AND(ISNUMBER($J$812),$B$419=1),$J$812,HLOOKUP(INDIRECT(ADDRESS(2,COLUMN())),OFFSET($BN$2,0,0,ROW()-1,60),ROW()-1,FALSE))</f>
        <v>42.526967450000001</v>
      </c>
      <c r="K390">
        <f ca="1">IF(AND(ISNUMBER($K$812),$B$419=1),$K$812,HLOOKUP(INDIRECT(ADDRESS(2,COLUMN())),OFFSET($BN$2,0,0,ROW()-1,60),ROW()-1,FALSE))</f>
        <v>31.330138720000001</v>
      </c>
      <c r="L390">
        <f ca="1">IF(AND(ISNUMBER($L$812),$B$419=1),$L$812,HLOOKUP(INDIRECT(ADDRESS(2,COLUMN())),OFFSET($BN$2,0,0,ROW()-1,60),ROW()-1,FALSE))</f>
        <v>40.75043668</v>
      </c>
      <c r="M390">
        <f ca="1">IF(AND(ISNUMBER($M$812),$B$419=1),$M$812,HLOOKUP(INDIRECT(ADDRESS(2,COLUMN())),OFFSET($BN$2,0,0,ROW()-1,60),ROW()-1,FALSE))</f>
        <v>30.736361469999999</v>
      </c>
      <c r="N390">
        <f ca="1">IF(AND(ISNUMBER($N$812),$B$419=1),$N$812,HLOOKUP(INDIRECT(ADDRESS(2,COLUMN())),OFFSET($BN$2,0,0,ROW()-1,60),ROW()-1,FALSE))</f>
        <v>33.296060619999999</v>
      </c>
      <c r="O390">
        <f ca="1">IF(AND(ISNUMBER($O$812),$B$419=1),$O$812,HLOOKUP(INDIRECT(ADDRESS(2,COLUMN())),OFFSET($BN$2,0,0,ROW()-1,60),ROW()-1,FALSE))</f>
        <v>32.038387630000003</v>
      </c>
      <c r="P390">
        <f ca="1">IF(AND(ISNUMBER($P$812),$B$419=1),$P$812,HLOOKUP(INDIRECT(ADDRESS(2,COLUMN())),OFFSET($BN$2,0,0,ROW()-1,60),ROW()-1,FALSE))</f>
        <v>40.717375629999999</v>
      </c>
      <c r="Q390">
        <f ca="1">IF(AND(ISNUMBER($Q$812),$B$419=1),$Q$812,HLOOKUP(INDIRECT(ADDRESS(2,COLUMN())),OFFSET($BN$2,0,0,ROW()-1,60),ROW()-1,FALSE))</f>
        <v>43.058143520000002</v>
      </c>
      <c r="R390">
        <f ca="1">IF(AND(ISNUMBER($R$812),$B$419=1),$R$812,HLOOKUP(INDIRECT(ADDRESS(2,COLUMN())),OFFSET($BN$2,0,0,ROW()-1,60),ROW()-1,FALSE))</f>
        <v>36.374641580000002</v>
      </c>
      <c r="S390">
        <f ca="1">IF(AND(ISNUMBER($S$812),$B$419=1),$S$812,HLOOKUP(INDIRECT(ADDRESS(2,COLUMN())),OFFSET($BN$2,0,0,ROW()-1,60),ROW()-1,FALSE))</f>
        <v>27.485333799999999</v>
      </c>
      <c r="T390">
        <f ca="1">IF(AND(ISNUMBER($T$812),$B$419=1),$T$812,HLOOKUP(INDIRECT(ADDRESS(2,COLUMN())),OFFSET($BN$2,0,0,ROW()-1,60),ROW()-1,FALSE))</f>
        <v>33.143701630000002</v>
      </c>
      <c r="U390">
        <f ca="1">IF(AND(ISNUMBER($U$812),$B$419=1),$U$812,HLOOKUP(INDIRECT(ADDRESS(2,COLUMN())),OFFSET($BN$2,0,0,ROW()-1,60),ROW()-1,FALSE))</f>
        <v>38.230687809999999</v>
      </c>
      <c r="V390">
        <f ca="1">IF(AND(ISNUMBER($V$812),$B$419=1),$V$812,HLOOKUP(INDIRECT(ADDRESS(2,COLUMN())),OFFSET($BN$2,0,0,ROW()-1,60),ROW()-1,FALSE))</f>
        <v>28.484588899999999</v>
      </c>
      <c r="W390">
        <f ca="1">IF(AND(ISNUMBER($W$812),$B$419=1),$W$812,HLOOKUP(INDIRECT(ADDRESS(2,COLUMN())),OFFSET($BN$2,0,0,ROW()-1,60),ROW()-1,FALSE))</f>
        <v>34.43051036</v>
      </c>
      <c r="X390">
        <f ca="1">IF(AND(ISNUMBER($X$812),$B$419=1),$X$812,HLOOKUP(INDIRECT(ADDRESS(2,COLUMN())),OFFSET($BN$2,0,0,ROW()-1,60),ROW()-1,FALSE))</f>
        <v>35.2995619</v>
      </c>
      <c r="Y390">
        <f ca="1">IF(AND(ISNUMBER($Y$812),$B$419=1),$Y$812,HLOOKUP(INDIRECT(ADDRESS(2,COLUMN())),OFFSET($BN$2,0,0,ROW()-1,60),ROW()-1,FALSE))</f>
        <v>40.607481640000003</v>
      </c>
      <c r="Z390">
        <f ca="1">IF(AND(ISNUMBER($Z$812),$B$419=1),$Z$812,HLOOKUP(INDIRECT(ADDRESS(2,COLUMN())),OFFSET($BN$2,0,0,ROW()-1,60),ROW()-1,FALSE))</f>
        <v>37.110693449999999</v>
      </c>
      <c r="AA390">
        <f ca="1">IF(AND(ISNUMBER($AA$812),$B$419=1),$AA$812,HLOOKUP(INDIRECT(ADDRESS(2,COLUMN())),OFFSET($BN$2,0,0,ROW()-1,60),ROW()-1,FALSE))</f>
        <v>22.51781888</v>
      </c>
      <c r="AB390">
        <f ca="1">IF(AND(ISNUMBER($AB$812),$B$419=1),$AB$812,HLOOKUP(INDIRECT(ADDRESS(2,COLUMN())),OFFSET($BN$2,0,0,ROW()-1,60),ROW()-1,FALSE))</f>
        <v>34.293253460000003</v>
      </c>
      <c r="AC390">
        <f ca="1">IF(AND(ISNUMBER($AC$812),$B$419=1),$AC$812,HLOOKUP(INDIRECT(ADDRESS(2,COLUMN())),OFFSET($BN$2,0,0,ROW()-1,60),ROW()-1,FALSE))</f>
        <v>32.94324383</v>
      </c>
      <c r="AD390">
        <f ca="1">IF(AND(ISNUMBER($AD$812),$B$419=1),$AD$812,HLOOKUP(INDIRECT(ADDRESS(2,COLUMN())),OFFSET($BN$2,0,0,ROW()-1,60),ROW()-1,FALSE))</f>
        <v>35.360525969999998</v>
      </c>
      <c r="AE390">
        <f ca="1">IF(AND(ISNUMBER($AE$812),$B$419=1),$AE$812,HLOOKUP(INDIRECT(ADDRESS(2,COLUMN())),OFFSET($BN$2,0,0,ROW()-1,60),ROW()-1,FALSE))</f>
        <v>27.270406999999999</v>
      </c>
      <c r="AF390">
        <f ca="1">IF(AND(ISNUMBER($AF$812),$B$419=1),$AF$812,HLOOKUP(INDIRECT(ADDRESS(2,COLUMN())),OFFSET($BN$2,0,0,ROW()-1,60),ROW()-1,FALSE))</f>
        <v>34.203159479999997</v>
      </c>
      <c r="AG390">
        <f ca="1">IF(AND(ISNUMBER($AG$812),$B$419=1),$AG$812,HLOOKUP(INDIRECT(ADDRESS(2,COLUMN())),OFFSET($BN$2,0,0,ROW()-1,60),ROW()-1,FALSE))</f>
        <v>32.914709520000002</v>
      </c>
      <c r="AH390">
        <f ca="1">IF(AND(ISNUMBER($AH$812),$B$419=1),$AH$812,HLOOKUP(INDIRECT(ADDRESS(2,COLUMN())),OFFSET($BN$2,0,0,ROW()-1,60),ROW()-1,FALSE))</f>
        <v>25.386502369999999</v>
      </c>
      <c r="AI390">
        <f ca="1">IF(AND(ISNUMBER($AI$812),$B$419=1),$AI$812,HLOOKUP(INDIRECT(ADDRESS(2,COLUMN())),OFFSET($BN$2,0,0,ROW()-1,60),ROW()-1,FALSE))</f>
        <v>26.06099481</v>
      </c>
      <c r="AJ390">
        <f ca="1">IF(AND(ISNUMBER($AJ$812),$B$419=1),$AJ$812,HLOOKUP(INDIRECT(ADDRESS(2,COLUMN())),OFFSET($BN$2,0,0,ROW()-1,60),ROW()-1,FALSE))</f>
        <v>30.860610399999999</v>
      </c>
      <c r="AK390">
        <f ca="1">IF(AND(ISNUMBER($AK$812),$B$419=1),$AK$812,HLOOKUP(INDIRECT(ADDRESS(2,COLUMN())),OFFSET($BN$2,0,0,ROW()-1,60),ROW()-1,FALSE))</f>
        <v>40.232798680000002</v>
      </c>
      <c r="AL390">
        <f ca="1">IF(AND(ISNUMBER($AL$812),$B$419=1),$AL$812,HLOOKUP(INDIRECT(ADDRESS(2,COLUMN())),OFFSET($BN$2,0,0,ROW()-1,60),ROW()-1,FALSE))</f>
        <v>29.498455719999999</v>
      </c>
      <c r="AM390">
        <f ca="1">IF(AND(ISNUMBER($AM$812),$B$419=1),$AM$812,HLOOKUP(INDIRECT(ADDRESS(2,COLUMN())),OFFSET($BN$2,0,0,ROW()-1,60),ROW()-1,FALSE))</f>
        <v>424.63196799999997</v>
      </c>
      <c r="AN390">
        <f ca="1">IF(AND(ISNUMBER($AN$812),$B$419=1),$AN$812,HLOOKUP(INDIRECT(ADDRESS(2,COLUMN())),OFFSET($BN$2,0,0,ROW()-1,60),ROW()-1,FALSE))</f>
        <v>7.3092028449999997</v>
      </c>
      <c r="AO390">
        <f ca="1">IF(AND(ISNUMBER($AO$812),$B$419=1),$AO$812,HLOOKUP(INDIRECT(ADDRESS(2,COLUMN())),OFFSET($BN$2,0,0,ROW()-1,60),ROW()-1,FALSE))</f>
        <v>15.75094238</v>
      </c>
      <c r="AP390">
        <f ca="1">IF(AND(ISNUMBER($AP$812),$B$419=1),$AP$812,HLOOKUP(INDIRECT(ADDRESS(2,COLUMN())),OFFSET($BN$2,0,0,ROW()-1,60),ROW()-1,FALSE))</f>
        <v>27.785189370000001</v>
      </c>
      <c r="AQ390">
        <f ca="1">IF(AND(ISNUMBER($AQ$812),$B$419=1),$AQ$812,HLOOKUP(INDIRECT(ADDRESS(2,COLUMN())),OFFSET($BN$2,0,0,ROW()-1,60),ROW()-1,FALSE))</f>
        <v>26.698638509999999</v>
      </c>
      <c r="AR390">
        <f ca="1">IF(AND(ISNUMBER($AR$812),$B$419=1),$AR$812,HLOOKUP(INDIRECT(ADDRESS(2,COLUMN())),OFFSET($BN$2,0,0,ROW()-1,60),ROW()-1,FALSE))</f>
        <v>37.749540590000002</v>
      </c>
      <c r="AS390">
        <f ca="1">IF(AND(ISNUMBER($AS$812),$B$419=1),$AS$812,HLOOKUP(INDIRECT(ADDRESS(2,COLUMN())),OFFSET($BN$2,0,0,ROW()-1,60),ROW()-1,FALSE))</f>
        <v>38.273291399999998</v>
      </c>
      <c r="AT390">
        <f ca="1">IF(AND(ISNUMBER($AT$812),$B$419=1),$AT$812,HLOOKUP(INDIRECT(ADDRESS(2,COLUMN())),OFFSET($BN$2,0,0,ROW()-1,60),ROW()-1,FALSE))</f>
        <v>38.83043455</v>
      </c>
      <c r="AU390">
        <f ca="1">IF(AND(ISNUMBER($AU$812),$B$419=1),$AU$812,HLOOKUP(INDIRECT(ADDRESS(2,COLUMN())),OFFSET($BN$2,0,0,ROW()-1,60),ROW()-1,FALSE))</f>
        <v>36.990384419999998</v>
      </c>
      <c r="AV390">
        <f ca="1">IF(AND(ISNUMBER($AV$812),$B$419=1),$AV$812,HLOOKUP(INDIRECT(ADDRESS(2,COLUMN())),OFFSET($BN$2,0,0,ROW()-1,60),ROW()-1,FALSE))</f>
        <v>37.409124919999996</v>
      </c>
      <c r="AW390">
        <f ca="1">IF(AND(ISNUMBER($AW$812),$B$419=1),$AW$812,HLOOKUP(INDIRECT(ADDRESS(2,COLUMN())),OFFSET($BN$2,0,0,ROW()-1,60),ROW()-1,FALSE))</f>
        <v>38.336238190000003</v>
      </c>
      <c r="AX390">
        <f ca="1">IF(AND(ISNUMBER($AX$812),$B$419=1),$AX$812,HLOOKUP(INDIRECT(ADDRESS(2,COLUMN())),OFFSET($BN$2,0,0,ROW()-1,60),ROW()-1,FALSE))</f>
        <v>36.228660050000002</v>
      </c>
      <c r="AY390">
        <f ca="1">IF(AND(ISNUMBER($AY$812),$B$419=1),$AY$812,HLOOKUP(INDIRECT(ADDRESS(2,COLUMN())),OFFSET($BN$2,0,0,ROW()-1,60),ROW()-1,FALSE))</f>
        <v>28.79871485</v>
      </c>
      <c r="AZ390">
        <f ca="1">IF(AND(ISNUMBER($AZ$812),$B$419=1),$AZ$812,HLOOKUP(INDIRECT(ADDRESS(2,COLUMN())),OFFSET($BN$2,0,0,ROW()-1,60),ROW()-1,FALSE))</f>
        <v>32.033086390000001</v>
      </c>
      <c r="BA390">
        <f ca="1">IF(AND(ISNUMBER($BA$812),$B$419=1),$BA$812,HLOOKUP(INDIRECT(ADDRESS(2,COLUMN())),OFFSET($BN$2,0,0,ROW()-1,60),ROW()-1,FALSE))</f>
        <v>33.073216809999998</v>
      </c>
      <c r="BB390">
        <f ca="1">IF(AND(ISNUMBER($BB$812),$B$419=1),$BB$812,HLOOKUP(INDIRECT(ADDRESS(2,COLUMN())),OFFSET($BN$2,0,0,ROW()-1,60),ROW()-1,FALSE))</f>
        <v>29.68370406</v>
      </c>
      <c r="BC390">
        <f ca="1">IF(AND(ISNUMBER($BC$812),$B$419=1),$BC$812,HLOOKUP(INDIRECT(ADDRESS(2,COLUMN())),OFFSET($BN$2,0,0,ROW()-1,60),ROW()-1,FALSE))</f>
        <v>61.634327470000002</v>
      </c>
      <c r="BD390">
        <f ca="1">IF(AND(ISNUMBER($BD$812),$B$419=1),$BD$812,HLOOKUP(INDIRECT(ADDRESS(2,COLUMN())),OFFSET($BN$2,0,0,ROW()-1,60),ROW()-1,FALSE))</f>
        <v>22.348898699999999</v>
      </c>
      <c r="BE390">
        <f ca="1">IF(AND(ISNUMBER($BE$812),$B$419=1),$BE$812,HLOOKUP(INDIRECT(ADDRESS(2,COLUMN())),OFFSET($BN$2,0,0,ROW()-1,60),ROW()-1,FALSE))</f>
        <v>30.606806550000002</v>
      </c>
      <c r="BF390">
        <f ca="1">IF(AND(ISNUMBER($BF$812),$B$419=1),$BF$812,HLOOKUP(INDIRECT(ADDRESS(2,COLUMN())),OFFSET($BN$2,0,0,ROW()-1,60),ROW()-1,FALSE))</f>
        <v>28.678739780000001</v>
      </c>
      <c r="BG390">
        <f ca="1">IF(AND(ISNUMBER($BG$812),$B$419=1),$BG$812,HLOOKUP(INDIRECT(ADDRESS(2,COLUMN())),OFFSET($BN$2,0,0,ROW()-1,60),ROW()-1,FALSE))</f>
        <v>22.925019630000001</v>
      </c>
      <c r="BH390">
        <f ca="1">IF(AND(ISNUMBER($BH$812),$B$419=1),$BH$812,HLOOKUP(INDIRECT(ADDRESS(2,COLUMN())),OFFSET($BN$2,0,0,ROW()-1,60),ROW()-1,FALSE))</f>
        <v>29.651425140000001</v>
      </c>
      <c r="BI390">
        <f ca="1">IF(AND(ISNUMBER($BI$812),$B$419=1),$BI$812,HLOOKUP(INDIRECT(ADDRESS(2,COLUMN())),OFFSET($BN$2,0,0,ROW()-1,60),ROW()-1,FALSE))</f>
        <v>32.27472333</v>
      </c>
      <c r="BJ390">
        <f ca="1">IF(AND(ISNUMBER($BJ$812),$B$419=1),$BJ$812,HLOOKUP(INDIRECT(ADDRESS(2,COLUMN())),OFFSET($BN$2,0,0,ROW()-1,60),ROW()-1,FALSE))</f>
        <v>31.560436030000002</v>
      </c>
      <c r="BK390">
        <f ca="1">IF(AND(ISNUMBER($BK$812),$B$419=1),$BK$812,HLOOKUP(INDIRECT(ADDRESS(2,COLUMN())),OFFSET($BN$2,0,0,ROW()-1,60),ROW()-1,FALSE))</f>
        <v>30.699866790000002</v>
      </c>
      <c r="BL390">
        <f ca="1">IF(AND(ISNUMBER($BL$812),$B$419=1),$BL$812,HLOOKUP(INDIRECT(ADDRESS(2,COLUMN())),OFFSET($BN$2,0,0,ROW()-1,60),ROW()-1,FALSE))</f>
        <v>29.884042950000001</v>
      </c>
      <c r="BM390">
        <f ca="1">IF(AND(ISNUMBER($BM$812),$B$419=1),$BM$812,HLOOKUP(INDIRECT(ADDRESS(2,COLUMN())),OFFSET($BN$2,0,0,ROW()-1,60),ROW()-1,FALSE))</f>
        <v>29.040443849999999</v>
      </c>
      <c r="BN390" t="str">
        <f>""</f>
        <v/>
      </c>
      <c r="BO390">
        <f>72.94650994</f>
        <v>72.946509939999999</v>
      </c>
      <c r="BP390">
        <f>44.08318749</f>
        <v>44.08318749</v>
      </c>
      <c r="BQ390">
        <f>39.05964646</f>
        <v>39.059646460000003</v>
      </c>
      <c r="BR390">
        <f>42.52696745</f>
        <v>42.526967450000001</v>
      </c>
      <c r="BS390">
        <f>31.33013872</f>
        <v>31.330138720000001</v>
      </c>
      <c r="BT390">
        <f>40.75043668</f>
        <v>40.75043668</v>
      </c>
      <c r="BU390">
        <f>30.73636147</f>
        <v>30.736361469999999</v>
      </c>
      <c r="BV390">
        <f>33.29606062</f>
        <v>33.296060619999999</v>
      </c>
      <c r="BW390">
        <f>32.03838763</f>
        <v>32.038387630000003</v>
      </c>
      <c r="BX390">
        <f>40.71737563</f>
        <v>40.717375629999999</v>
      </c>
      <c r="BY390">
        <f>43.05814352</f>
        <v>43.058143520000002</v>
      </c>
      <c r="BZ390">
        <f>36.37464158</f>
        <v>36.374641580000002</v>
      </c>
      <c r="CA390">
        <f>27.4853338</f>
        <v>27.485333799999999</v>
      </c>
      <c r="CB390">
        <f>33.14370163</f>
        <v>33.143701630000002</v>
      </c>
      <c r="CC390">
        <f>38.23068781</f>
        <v>38.230687809999999</v>
      </c>
      <c r="CD390">
        <f>28.4845889</f>
        <v>28.484588899999999</v>
      </c>
      <c r="CE390">
        <f>34.43051036</f>
        <v>34.43051036</v>
      </c>
      <c r="CF390">
        <f>35.2995619</f>
        <v>35.2995619</v>
      </c>
      <c r="CG390">
        <f>40.60748164</f>
        <v>40.607481640000003</v>
      </c>
      <c r="CH390">
        <f>37.11069345</f>
        <v>37.110693449999999</v>
      </c>
      <c r="CI390">
        <f>22.51781888</f>
        <v>22.51781888</v>
      </c>
      <c r="CJ390">
        <f>34.29325346</f>
        <v>34.293253460000003</v>
      </c>
      <c r="CK390">
        <f>32.94324383</f>
        <v>32.94324383</v>
      </c>
      <c r="CL390">
        <f>35.36052597</f>
        <v>35.360525969999998</v>
      </c>
      <c r="CM390">
        <f>27.270407</f>
        <v>27.270406999999999</v>
      </c>
      <c r="CN390">
        <f>34.20315948</f>
        <v>34.203159479999997</v>
      </c>
      <c r="CO390">
        <f>32.91470952</f>
        <v>32.914709520000002</v>
      </c>
      <c r="CP390">
        <f>25.38650237</f>
        <v>25.386502369999999</v>
      </c>
      <c r="CQ390">
        <f>26.06099481</f>
        <v>26.06099481</v>
      </c>
      <c r="CR390">
        <f>30.8606104</f>
        <v>30.860610399999999</v>
      </c>
      <c r="CS390">
        <f>40.23279868</f>
        <v>40.232798680000002</v>
      </c>
      <c r="CT390">
        <f>29.49845572</f>
        <v>29.498455719999999</v>
      </c>
      <c r="CU390">
        <f>424.631968</f>
        <v>424.63196799999997</v>
      </c>
      <c r="CV390">
        <f>7.309202845</f>
        <v>7.3092028449999997</v>
      </c>
      <c r="CW390">
        <f>15.75094238</f>
        <v>15.75094238</v>
      </c>
      <c r="CX390">
        <f>27.78518937</f>
        <v>27.785189370000001</v>
      </c>
      <c r="CY390">
        <f>26.69863851</f>
        <v>26.698638509999999</v>
      </c>
      <c r="CZ390">
        <f>37.74954059</f>
        <v>37.749540590000002</v>
      </c>
      <c r="DA390">
        <f>38.2732914</f>
        <v>38.273291399999998</v>
      </c>
      <c r="DB390">
        <f>38.83043455</f>
        <v>38.83043455</v>
      </c>
      <c r="DC390">
        <f>36.99038442</f>
        <v>36.990384419999998</v>
      </c>
      <c r="DD390">
        <f>37.40912492</f>
        <v>37.409124919999996</v>
      </c>
      <c r="DE390">
        <f>38.33623819</f>
        <v>38.336238190000003</v>
      </c>
      <c r="DF390">
        <f>36.22866005</f>
        <v>36.228660050000002</v>
      </c>
      <c r="DG390">
        <f>28.79871485</f>
        <v>28.79871485</v>
      </c>
      <c r="DH390">
        <f>32.03308639</f>
        <v>32.033086390000001</v>
      </c>
      <c r="DI390">
        <f>33.07321681</f>
        <v>33.073216809999998</v>
      </c>
      <c r="DJ390">
        <f>29.68370406</f>
        <v>29.68370406</v>
      </c>
      <c r="DK390">
        <f>61.63432747</f>
        <v>61.634327470000002</v>
      </c>
      <c r="DL390">
        <f>22.3488987</f>
        <v>22.348898699999999</v>
      </c>
      <c r="DM390">
        <f>30.60680655</f>
        <v>30.606806550000002</v>
      </c>
      <c r="DN390">
        <f>28.67873978</f>
        <v>28.678739780000001</v>
      </c>
      <c r="DO390">
        <f>22.92501963</f>
        <v>22.925019630000001</v>
      </c>
      <c r="DP390">
        <f>29.65142514</f>
        <v>29.651425140000001</v>
      </c>
      <c r="DQ390">
        <f>32.27472333</f>
        <v>32.27472333</v>
      </c>
      <c r="DR390">
        <f>31.56043603</f>
        <v>31.560436030000002</v>
      </c>
      <c r="DS390">
        <f>30.69986679</f>
        <v>30.699866790000002</v>
      </c>
      <c r="DT390">
        <f>29.88404295</f>
        <v>29.884042950000001</v>
      </c>
      <c r="DU390">
        <f>29.04044385</f>
        <v>29.040443849999999</v>
      </c>
    </row>
    <row r="391" spans="1:125">
      <c r="A391" t="str">
        <f>"    DDR Corp"</f>
        <v xml:space="preserve">    DDR Corp</v>
      </c>
      <c r="B391" t="str">
        <f>"DDR US Equity"</f>
        <v>DDR US Equity</v>
      </c>
      <c r="C391" t="str">
        <f t="shared" si="70"/>
        <v>RR106</v>
      </c>
      <c r="D391" t="str">
        <f t="shared" si="71"/>
        <v>FFO_PAYOUT_RATIO</v>
      </c>
      <c r="E391" t="str">
        <f t="shared" si="72"/>
        <v>动态</v>
      </c>
      <c r="F391" t="str">
        <f ca="1">IF(AND(ISNUMBER($F$813),$B$419=1),$F$813,HLOOKUP(INDIRECT(ADDRESS(2,COLUMN())),OFFSET($BN$2,0,0,ROW()-1,60),ROW()-1,FALSE))</f>
        <v/>
      </c>
      <c r="G391">
        <f ca="1">IF(AND(ISNUMBER($G$813),$B$419=1),$G$813,HLOOKUP(INDIRECT(ADDRESS(2,COLUMN())),OFFSET($BN$2,0,0,ROW()-1,60),ROW()-1,FALSE))</f>
        <v>73.74666302</v>
      </c>
      <c r="H391">
        <f ca="1">IF(AND(ISNUMBER($H$813),$B$419=1),$H$813,HLOOKUP(INDIRECT(ADDRESS(2,COLUMN())),OFFSET($BN$2,0,0,ROW()-1,60),ROW()-1,FALSE))</f>
        <v>151.13724640000001</v>
      </c>
      <c r="I391">
        <f ca="1">IF(AND(ISNUMBER($I$813),$B$419=1),$I$813,HLOOKUP(INDIRECT(ADDRESS(2,COLUMN())),OFFSET($BN$2,0,0,ROW()-1,60),ROW()-1,FALSE))</f>
        <v>75.072214770000002</v>
      </c>
      <c r="J391">
        <f ca="1">IF(AND(ISNUMBER($J$813),$B$419=1),$J$813,HLOOKUP(INDIRECT(ADDRESS(2,COLUMN())),OFFSET($BN$2,0,0,ROW()-1,60),ROW()-1,FALSE))</f>
        <v>314.31208359999999</v>
      </c>
      <c r="K391">
        <f ca="1">IF(AND(ISNUMBER($K$813),$B$419=1),$K$813,HLOOKUP(INDIRECT(ADDRESS(2,COLUMN())),OFFSET($BN$2,0,0,ROW()-1,60),ROW()-1,FALSE))</f>
        <v>62.558474269999998</v>
      </c>
      <c r="L391">
        <f ca="1">IF(AND(ISNUMBER($L$813),$B$419=1),$L$813,HLOOKUP(INDIRECT(ADDRESS(2,COLUMN())),OFFSET($BN$2,0,0,ROW()-1,60),ROW()-1,FALSE))</f>
        <v>57.90472544</v>
      </c>
      <c r="M391">
        <f ca="1">IF(AND(ISNUMBER($M$813),$B$419=1),$M$813,HLOOKUP(INDIRECT(ADDRESS(2,COLUMN())),OFFSET($BN$2,0,0,ROW()-1,60),ROW()-1,FALSE))</f>
        <v>57.751348479999997</v>
      </c>
      <c r="N391">
        <f ca="1">IF(AND(ISNUMBER($N$813),$B$419=1),$N$813,HLOOKUP(INDIRECT(ADDRESS(2,COLUMN())),OFFSET($BN$2,0,0,ROW()-1,60),ROW()-1,FALSE))</f>
        <v>60.660718340000003</v>
      </c>
      <c r="O391">
        <f ca="1">IF(AND(ISNUMBER($O$813),$B$419=1),$O$813,HLOOKUP(INDIRECT(ADDRESS(2,COLUMN())),OFFSET($BN$2,0,0,ROW()-1,60),ROW()-1,FALSE))</f>
        <v>54.01397283</v>
      </c>
      <c r="P391">
        <f ca="1">IF(AND(ISNUMBER($P$813),$B$419=1),$P$813,HLOOKUP(INDIRECT(ADDRESS(2,COLUMN())),OFFSET($BN$2,0,0,ROW()-1,60),ROW()-1,FALSE))</f>
        <v>55.084656080000002</v>
      </c>
      <c r="Q391">
        <f ca="1">IF(AND(ISNUMBER($Q$813),$B$419=1),$Q$813,HLOOKUP(INDIRECT(ADDRESS(2,COLUMN())),OFFSET($BN$2,0,0,ROW()-1,60),ROW()-1,FALSE))</f>
        <v>59.302735169999998</v>
      </c>
      <c r="R391">
        <f ca="1">IF(AND(ISNUMBER($R$813),$B$419=1),$R$813,HLOOKUP(INDIRECT(ADDRESS(2,COLUMN())),OFFSET($BN$2,0,0,ROW()-1,60),ROW()-1,FALSE))</f>
        <v>471.6428085</v>
      </c>
      <c r="S391">
        <f ca="1">IF(AND(ISNUMBER($S$813),$B$419=1),$S$813,HLOOKUP(INDIRECT(ADDRESS(2,COLUMN())),OFFSET($BN$2,0,0,ROW()-1,60),ROW()-1,FALSE))</f>
        <v>69.07063565</v>
      </c>
      <c r="T391">
        <f ca="1">IF(AND(ISNUMBER($T$813),$B$419=1),$T$813,HLOOKUP(INDIRECT(ADDRESS(2,COLUMN())),OFFSET($BN$2,0,0,ROW()-1,60),ROW()-1,FALSE))</f>
        <v>50.296931409999999</v>
      </c>
      <c r="U391">
        <f ca="1">IF(AND(ISNUMBER($U$813),$B$419=1),$U$813,HLOOKUP(INDIRECT(ADDRESS(2,COLUMN())),OFFSET($BN$2,0,0,ROW()-1,60),ROW()-1,FALSE))</f>
        <v>67.833572799999999</v>
      </c>
      <c r="V391">
        <f ca="1">IF(AND(ISNUMBER($V$813),$B$419=1),$V$813,HLOOKUP(INDIRECT(ADDRESS(2,COLUMN())),OFFSET($BN$2,0,0,ROW()-1,60),ROW()-1,FALSE))</f>
        <v>64.598506040000004</v>
      </c>
      <c r="W391">
        <f ca="1">IF(AND(ISNUMBER($W$813),$B$419=1),$W$813,HLOOKUP(INDIRECT(ADDRESS(2,COLUMN())),OFFSET($BN$2,0,0,ROW()-1,60),ROW()-1,FALSE))</f>
        <v>40.096785199999999</v>
      </c>
      <c r="X391">
        <f ca="1">IF(AND(ISNUMBER($X$813),$B$419=1),$X$813,HLOOKUP(INDIRECT(ADDRESS(2,COLUMN())),OFFSET($BN$2,0,0,ROW()-1,60),ROW()-1,FALSE))</f>
        <v>47.792385230000001</v>
      </c>
      <c r="Y391">
        <f ca="1">IF(AND(ISNUMBER($Y$813),$B$419=1),$Y$813,HLOOKUP(INDIRECT(ADDRESS(2,COLUMN())),OFFSET($BN$2,0,0,ROW()-1,60),ROW()-1,FALSE))</f>
        <v>54.033064879999998</v>
      </c>
      <c r="Z391">
        <f ca="1">IF(AND(ISNUMBER($Z$813),$B$419=1),$Z$813,HLOOKUP(INDIRECT(ADDRESS(2,COLUMN())),OFFSET($BN$2,0,0,ROW()-1,60),ROW()-1,FALSE))</f>
        <v>51.84933831</v>
      </c>
      <c r="AA391">
        <f ca="1">IF(AND(ISNUMBER($AA$813),$B$419=1),$AA$813,HLOOKUP(INDIRECT(ADDRESS(2,COLUMN())),OFFSET($BN$2,0,0,ROW()-1,60),ROW()-1,FALSE))</f>
        <v>59.750634730000002</v>
      </c>
      <c r="AB391">
        <f ca="1">IF(AND(ISNUMBER($AB$813),$B$419=1),$AB$813,HLOOKUP(INDIRECT(ADDRESS(2,COLUMN())),OFFSET($BN$2,0,0,ROW()-1,60),ROW()-1,FALSE))</f>
        <v>32.174588810000003</v>
      </c>
      <c r="AC391">
        <f ca="1">IF(AND(ISNUMBER($AC$813),$B$419=1),$AC$813,HLOOKUP(INDIRECT(ADDRESS(2,COLUMN())),OFFSET($BN$2,0,0,ROW()-1,60),ROW()-1,FALSE))</f>
        <v>43.096589090000002</v>
      </c>
      <c r="AD391">
        <f ca="1">IF(AND(ISNUMBER($AD$813),$B$419=1),$AD$813,HLOOKUP(INDIRECT(ADDRESS(2,COLUMN())),OFFSET($BN$2,0,0,ROW()-1,60),ROW()-1,FALSE))</f>
        <v>55.274954809999997</v>
      </c>
      <c r="AE391">
        <f ca="1">IF(AND(ISNUMBER($AE$813),$B$419=1),$AE$813,HLOOKUP(INDIRECT(ADDRESS(2,COLUMN())),OFFSET($BN$2,0,0,ROW()-1,60),ROW()-1,FALSE))</f>
        <v>46.351239059999997</v>
      </c>
      <c r="AF391">
        <f ca="1">IF(AND(ISNUMBER($AF$813),$B$419=1),$AF$813,HLOOKUP(INDIRECT(ADDRESS(2,COLUMN())),OFFSET($BN$2,0,0,ROW()-1,60),ROW()-1,FALSE))</f>
        <v>47.511287950000003</v>
      </c>
      <c r="AG391">
        <f ca="1">IF(AND(ISNUMBER($AG$813),$B$419=1),$AG$813,HLOOKUP(INDIRECT(ADDRESS(2,COLUMN())),OFFSET($BN$2,0,0,ROW()-1,60),ROW()-1,FALSE))</f>
        <v>20.876702949999999</v>
      </c>
      <c r="AH391">
        <f ca="1">IF(AND(ISNUMBER($AH$813),$B$419=1),$AH$813,HLOOKUP(INDIRECT(ADDRESS(2,COLUMN())),OFFSET($BN$2,0,0,ROW()-1,60),ROW()-1,FALSE))</f>
        <v>11.014619980000001</v>
      </c>
      <c r="AI391" t="str">
        <f ca="1">IF(AND(ISNUMBER($AI$813),$B$419=1),$AI$813,HLOOKUP(INDIRECT(ADDRESS(2,COLUMN())),OFFSET($BN$2,0,0,ROW()-1,60),ROW()-1,FALSE))</f>
        <v/>
      </c>
      <c r="AJ391">
        <f ca="1">IF(AND(ISNUMBER($AJ$813),$B$419=1),$AJ$813,HLOOKUP(INDIRECT(ADDRESS(2,COLUMN())),OFFSET($BN$2,0,0,ROW()-1,60),ROW()-1,FALSE))</f>
        <v>10.45857734</v>
      </c>
      <c r="AK391" t="str">
        <f ca="1">IF(AND(ISNUMBER($AK$813),$B$419=1),$AK$813,HLOOKUP(INDIRECT(ADDRESS(2,COLUMN())),OFFSET($BN$2,0,0,ROW()-1,60),ROW()-1,FALSE))</f>
        <v/>
      </c>
      <c r="AL391">
        <f ca="1">IF(AND(ISNUMBER($AL$813),$B$419=1),$AL$813,HLOOKUP(INDIRECT(ADDRESS(2,COLUMN())),OFFSET($BN$2,0,0,ROW()-1,60),ROW()-1,FALSE))</f>
        <v>11.64904093</v>
      </c>
      <c r="AM391" t="str">
        <f ca="1">IF(AND(ISNUMBER($AM$813),$B$419=1),$AM$813,HLOOKUP(INDIRECT(ADDRESS(2,COLUMN())),OFFSET($BN$2,0,0,ROW()-1,60),ROW()-1,FALSE))</f>
        <v/>
      </c>
      <c r="AN391" t="str">
        <f ca="1">IF(AND(ISNUMBER($AN$813),$B$419=1),$AN$813,HLOOKUP(INDIRECT(ADDRESS(2,COLUMN())),OFFSET($BN$2,0,0,ROW()-1,60),ROW()-1,FALSE))</f>
        <v/>
      </c>
      <c r="AO391" t="str">
        <f ca="1">IF(AND(ISNUMBER($AO$813),$B$419=1),$AO$813,HLOOKUP(INDIRECT(ADDRESS(2,COLUMN())),OFFSET($BN$2,0,0,ROW()-1,60),ROW()-1,FALSE))</f>
        <v/>
      </c>
      <c r="AP391">
        <f ca="1">IF(AND(ISNUMBER($AP$813),$B$419=1),$AP$813,HLOOKUP(INDIRECT(ADDRESS(2,COLUMN())),OFFSET($BN$2,0,0,ROW()-1,60),ROW()-1,FALSE))</f>
        <v>18.70820724</v>
      </c>
      <c r="AQ391">
        <f ca="1">IF(AND(ISNUMBER($AQ$813),$B$419=1),$AQ$813,HLOOKUP(INDIRECT(ADDRESS(2,COLUMN())),OFFSET($BN$2,0,0,ROW()-1,60),ROW()-1,FALSE))</f>
        <v>0</v>
      </c>
      <c r="AR391">
        <f ca="1">IF(AND(ISNUMBER($AR$813),$B$419=1),$AR$813,HLOOKUP(INDIRECT(ADDRESS(2,COLUMN())),OFFSET($BN$2,0,0,ROW()-1,60),ROW()-1,FALSE))</f>
        <v>77.040739290000005</v>
      </c>
      <c r="AS391">
        <f ca="1">IF(AND(ISNUMBER($AS$813),$B$419=1),$AS$813,HLOOKUP(INDIRECT(ADDRESS(2,COLUMN())),OFFSET($BN$2,0,0,ROW()-1,60),ROW()-1,FALSE))</f>
        <v>77.386145870000007</v>
      </c>
      <c r="AT391">
        <f ca="1">IF(AND(ISNUMBER($AT$813),$B$419=1),$AT$813,HLOOKUP(INDIRECT(ADDRESS(2,COLUMN())),OFFSET($BN$2,0,0,ROW()-1,60),ROW()-1,FALSE))</f>
        <v>77.311466820000007</v>
      </c>
      <c r="AU391">
        <f ca="1">IF(AND(ISNUMBER($AU$813),$B$419=1),$AU$813,HLOOKUP(INDIRECT(ADDRESS(2,COLUMN())),OFFSET($BN$2,0,0,ROW()-1,60),ROW()-1,FALSE))</f>
        <v>71.352224230000004</v>
      </c>
      <c r="AV391">
        <f ca="1">IF(AND(ISNUMBER($AV$813),$B$419=1),$AV$813,HLOOKUP(INDIRECT(ADDRESS(2,COLUMN())),OFFSET($BN$2,0,0,ROW()-1,60),ROW()-1,FALSE))</f>
        <v>73.919448579999994</v>
      </c>
      <c r="AW391">
        <f ca="1">IF(AND(ISNUMBER($AW$813),$B$419=1),$AW$813,HLOOKUP(INDIRECT(ADDRESS(2,COLUMN())),OFFSET($BN$2,0,0,ROW()-1,60),ROW()-1,FALSE))</f>
        <v>46.866077850000003</v>
      </c>
      <c r="AX391">
        <f ca="1">IF(AND(ISNUMBER($AX$813),$B$419=1),$AX$813,HLOOKUP(INDIRECT(ADDRESS(2,COLUMN())),OFFSET($BN$2,0,0,ROW()-1,60),ROW()-1,FALSE))</f>
        <v>68.725984580000002</v>
      </c>
      <c r="AY391">
        <f ca="1">IF(AND(ISNUMBER($AY$813),$B$419=1),$AY$813,HLOOKUP(INDIRECT(ADDRESS(2,COLUMN())),OFFSET($BN$2,0,0,ROW()-1,60),ROW()-1,FALSE))</f>
        <v>62.31832095</v>
      </c>
      <c r="AZ391">
        <f ca="1">IF(AND(ISNUMBER($AZ$813),$B$419=1),$AZ$813,HLOOKUP(INDIRECT(ADDRESS(2,COLUMN())),OFFSET($BN$2,0,0,ROW()-1,60),ROW()-1,FALSE))</f>
        <v>61.009997630000001</v>
      </c>
      <c r="BA391">
        <f ca="1">IF(AND(ISNUMBER($BA$813),$B$419=1),$BA$813,HLOOKUP(INDIRECT(ADDRESS(2,COLUMN())),OFFSET($BN$2,0,0,ROW()-1,60),ROW()-1,FALSE))</f>
        <v>52.228482880000001</v>
      </c>
      <c r="BB391">
        <f ca="1">IF(AND(ISNUMBER($BB$813),$B$419=1),$BB$813,HLOOKUP(INDIRECT(ADDRESS(2,COLUMN())),OFFSET($BN$2,0,0,ROW()-1,60),ROW()-1,FALSE))</f>
        <v>64.297867659999994</v>
      </c>
      <c r="BC391">
        <f ca="1">IF(AND(ISNUMBER($BC$813),$B$419=1),$BC$813,HLOOKUP(INDIRECT(ADDRESS(2,COLUMN())),OFFSET($BN$2,0,0,ROW()-1,60),ROW()-1,FALSE))</f>
        <v>62.401637630000003</v>
      </c>
      <c r="BD391">
        <f ca="1">IF(AND(ISNUMBER($BD$813),$B$419=1),$BD$813,HLOOKUP(INDIRECT(ADDRESS(2,COLUMN())),OFFSET($BN$2,0,0,ROW()-1,60),ROW()-1,FALSE))</f>
        <v>71.594585670000001</v>
      </c>
      <c r="BE391">
        <f ca="1">IF(AND(ISNUMBER($BE$813),$B$419=1),$BE$813,HLOOKUP(INDIRECT(ADDRESS(2,COLUMN())),OFFSET($BN$2,0,0,ROW()-1,60),ROW()-1,FALSE))</f>
        <v>63.185864809999998</v>
      </c>
      <c r="BF391">
        <f ca="1">IF(AND(ISNUMBER($BF$813),$B$419=1),$BF$813,HLOOKUP(INDIRECT(ADDRESS(2,COLUMN())),OFFSET($BN$2,0,0,ROW()-1,60),ROW()-1,FALSE))</f>
        <v>51.675659869999997</v>
      </c>
      <c r="BG391">
        <f ca="1">IF(AND(ISNUMBER($BG$813),$B$419=1),$BG$813,HLOOKUP(INDIRECT(ADDRESS(2,COLUMN())),OFFSET($BN$2,0,0,ROW()-1,60),ROW()-1,FALSE))</f>
        <v>80.230042449999999</v>
      </c>
      <c r="BH391">
        <f ca="1">IF(AND(ISNUMBER($BH$813),$B$419=1),$BH$813,HLOOKUP(INDIRECT(ADDRESS(2,COLUMN())),OFFSET($BN$2,0,0,ROW()-1,60),ROW()-1,FALSE))</f>
        <v>69.518461149999993</v>
      </c>
      <c r="BI391">
        <f ca="1">IF(AND(ISNUMBER($BI$813),$B$419=1),$BI$813,HLOOKUP(INDIRECT(ADDRESS(2,COLUMN())),OFFSET($BN$2,0,0,ROW()-1,60),ROW()-1,FALSE))</f>
        <v>210.97784429999999</v>
      </c>
      <c r="BJ391">
        <f ca="1">IF(AND(ISNUMBER($BJ$813),$B$419=1),$BJ$813,HLOOKUP(INDIRECT(ADDRESS(2,COLUMN())),OFFSET($BN$2,0,0,ROW()-1,60),ROW()-1,FALSE))</f>
        <v>0</v>
      </c>
      <c r="BK391">
        <f ca="1">IF(AND(ISNUMBER($BK$813),$B$419=1),$BK$813,HLOOKUP(INDIRECT(ADDRESS(2,COLUMN())),OFFSET($BN$2,0,0,ROW()-1,60),ROW()-1,FALSE))</f>
        <v>65.947678300000007</v>
      </c>
      <c r="BL391">
        <f ca="1">IF(AND(ISNUMBER($BL$813),$B$419=1),$BL$813,HLOOKUP(INDIRECT(ADDRESS(2,COLUMN())),OFFSET($BN$2,0,0,ROW()-1,60),ROW()-1,FALSE))</f>
        <v>345.64032939999998</v>
      </c>
      <c r="BM391">
        <f ca="1">IF(AND(ISNUMBER($BM$813),$B$419=1),$BM$813,HLOOKUP(INDIRECT(ADDRESS(2,COLUMN())),OFFSET($BN$2,0,0,ROW()-1,60),ROW()-1,FALSE))</f>
        <v>375.80166000000003</v>
      </c>
      <c r="BN391" t="str">
        <f>""</f>
        <v/>
      </c>
      <c r="BO391">
        <f>73.74666302</f>
        <v>73.74666302</v>
      </c>
      <c r="BP391">
        <f>151.1372464</f>
        <v>151.13724640000001</v>
      </c>
      <c r="BQ391">
        <f>75.07221477</f>
        <v>75.072214770000002</v>
      </c>
      <c r="BR391">
        <f>314.3120836</f>
        <v>314.31208359999999</v>
      </c>
      <c r="BS391">
        <f>62.55847427</f>
        <v>62.558474269999998</v>
      </c>
      <c r="BT391">
        <f>57.90472544</f>
        <v>57.90472544</v>
      </c>
      <c r="BU391">
        <f>57.75134848</f>
        <v>57.751348479999997</v>
      </c>
      <c r="BV391">
        <f>60.66071834</f>
        <v>60.660718340000003</v>
      </c>
      <c r="BW391">
        <f>54.01397283</f>
        <v>54.01397283</v>
      </c>
      <c r="BX391">
        <f>55.08465608</f>
        <v>55.084656080000002</v>
      </c>
      <c r="BY391">
        <f>59.30273517</f>
        <v>59.302735169999998</v>
      </c>
      <c r="BZ391">
        <f>471.6428085</f>
        <v>471.6428085</v>
      </c>
      <c r="CA391">
        <f>69.07063565</f>
        <v>69.07063565</v>
      </c>
      <c r="CB391">
        <f>50.29693141</f>
        <v>50.296931409999999</v>
      </c>
      <c r="CC391">
        <f>67.8335728</f>
        <v>67.833572799999999</v>
      </c>
      <c r="CD391">
        <f>64.59850604</f>
        <v>64.598506040000004</v>
      </c>
      <c r="CE391">
        <f>40.0967852</f>
        <v>40.096785199999999</v>
      </c>
      <c r="CF391">
        <f>47.79238523</f>
        <v>47.792385230000001</v>
      </c>
      <c r="CG391">
        <f>54.03306488</f>
        <v>54.033064879999998</v>
      </c>
      <c r="CH391">
        <f>51.84933831</f>
        <v>51.84933831</v>
      </c>
      <c r="CI391">
        <f>59.75063473</f>
        <v>59.750634730000002</v>
      </c>
      <c r="CJ391">
        <f>32.17458881</f>
        <v>32.174588810000003</v>
      </c>
      <c r="CK391">
        <f>43.09658909</f>
        <v>43.096589090000002</v>
      </c>
      <c r="CL391">
        <f>55.27495481</f>
        <v>55.274954809999997</v>
      </c>
      <c r="CM391">
        <f>46.35123906</f>
        <v>46.351239059999997</v>
      </c>
      <c r="CN391">
        <f>47.51128795</f>
        <v>47.511287950000003</v>
      </c>
      <c r="CO391">
        <f>20.87670295</f>
        <v>20.876702949999999</v>
      </c>
      <c r="CP391">
        <f>11.01461998</f>
        <v>11.014619980000001</v>
      </c>
      <c r="CQ391" t="str">
        <f>""</f>
        <v/>
      </c>
      <c r="CR391">
        <f>10.45857734</f>
        <v>10.45857734</v>
      </c>
      <c r="CS391" t="str">
        <f>""</f>
        <v/>
      </c>
      <c r="CT391">
        <f>11.64904093</f>
        <v>11.64904093</v>
      </c>
      <c r="CU391" t="str">
        <f>""</f>
        <v/>
      </c>
      <c r="CV391" t="str">
        <f>""</f>
        <v/>
      </c>
      <c r="CW391" t="str">
        <f>""</f>
        <v/>
      </c>
      <c r="CX391">
        <f>18.70820724</f>
        <v>18.70820724</v>
      </c>
      <c r="CY391">
        <f>0</f>
        <v>0</v>
      </c>
      <c r="CZ391">
        <f>77.04073929</f>
        <v>77.040739290000005</v>
      </c>
      <c r="DA391">
        <f>77.38614587</f>
        <v>77.386145870000007</v>
      </c>
      <c r="DB391">
        <f>77.31146682</f>
        <v>77.311466820000007</v>
      </c>
      <c r="DC391">
        <f>71.35222423</f>
        <v>71.352224230000004</v>
      </c>
      <c r="DD391">
        <f>73.91944858</f>
        <v>73.919448579999994</v>
      </c>
      <c r="DE391">
        <f>46.86607785</f>
        <v>46.866077850000003</v>
      </c>
      <c r="DF391">
        <f>68.72598458</f>
        <v>68.725984580000002</v>
      </c>
      <c r="DG391">
        <f>62.31832095</f>
        <v>62.31832095</v>
      </c>
      <c r="DH391">
        <f>61.00999763</f>
        <v>61.009997630000001</v>
      </c>
      <c r="DI391">
        <f>52.22848288</f>
        <v>52.228482880000001</v>
      </c>
      <c r="DJ391">
        <f>64.29786766</f>
        <v>64.297867659999994</v>
      </c>
      <c r="DK391">
        <f>62.40163763</f>
        <v>62.401637630000003</v>
      </c>
      <c r="DL391">
        <f>71.59458567</f>
        <v>71.594585670000001</v>
      </c>
      <c r="DM391">
        <f>63.18586481</f>
        <v>63.185864809999998</v>
      </c>
      <c r="DN391">
        <f>51.67565987</f>
        <v>51.675659869999997</v>
      </c>
      <c r="DO391">
        <f>80.23004245</f>
        <v>80.230042449999999</v>
      </c>
      <c r="DP391">
        <f>69.51846115</f>
        <v>69.518461149999993</v>
      </c>
      <c r="DQ391">
        <f>210.9778443</f>
        <v>210.97784429999999</v>
      </c>
      <c r="DR391">
        <f>0</f>
        <v>0</v>
      </c>
      <c r="DS391">
        <f>65.9476783</f>
        <v>65.947678300000007</v>
      </c>
      <c r="DT391">
        <f>345.6403294</f>
        <v>345.64032939999998</v>
      </c>
      <c r="DU391">
        <f>375.80166</f>
        <v>375.80166000000003</v>
      </c>
    </row>
    <row r="392" spans="1:125">
      <c r="A392" t="str">
        <f>"    Federal Realty Investment Trus"</f>
        <v xml:space="preserve">    Federal Realty Investment Trus</v>
      </c>
      <c r="B392" t="str">
        <f>"FRT US Equity"</f>
        <v>FRT US Equity</v>
      </c>
      <c r="C392" t="str">
        <f t="shared" si="70"/>
        <v>RR106</v>
      </c>
      <c r="D392" t="str">
        <f t="shared" si="71"/>
        <v>FFO_PAYOUT_RATIO</v>
      </c>
      <c r="E392" t="str">
        <f t="shared" si="72"/>
        <v>动态</v>
      </c>
      <c r="F392" t="str">
        <f ca="1">IF(AND(ISNUMBER($F$814),$B$419=1),$F$814,HLOOKUP(INDIRECT(ADDRESS(2,COLUMN())),OFFSET($BN$2,0,0,ROW()-1,60),ROW()-1,FALSE))</f>
        <v/>
      </c>
      <c r="G392">
        <f ca="1">IF(AND(ISNUMBER($G$814),$B$419=1),$G$814,HLOOKUP(INDIRECT(ADDRESS(2,COLUMN())),OFFSET($BN$2,0,0,ROW()-1,60),ROW()-1,FALSE))</f>
        <v>76.505456300000006</v>
      </c>
      <c r="H392">
        <f ca="1">IF(AND(ISNUMBER($H$814),$B$419=1),$H$814,HLOOKUP(INDIRECT(ADDRESS(2,COLUMN())),OFFSET($BN$2,0,0,ROW()-1,60),ROW()-1,FALSE))</f>
        <v>65.930998110000004</v>
      </c>
      <c r="I392">
        <f ca="1">IF(AND(ISNUMBER($I$814),$B$419=1),$I$814,HLOOKUP(INDIRECT(ADDRESS(2,COLUMN())),OFFSET($BN$2,0,0,ROW()-1,60),ROW()-1,FALSE))</f>
        <v>64.971483289999995</v>
      </c>
      <c r="J392">
        <f ca="1">IF(AND(ISNUMBER($J$814),$B$419=1),$J$814,HLOOKUP(INDIRECT(ADDRESS(2,COLUMN())),OFFSET($BN$2,0,0,ROW()-1,60),ROW()-1,FALSE))</f>
        <v>66.823573890000006</v>
      </c>
      <c r="K392">
        <f ca="1">IF(AND(ISNUMBER($K$814),$B$419=1),$K$814,HLOOKUP(INDIRECT(ADDRESS(2,COLUMN())),OFFSET($BN$2,0,0,ROW()-1,60),ROW()-1,FALSE))</f>
        <v>67.206130439999995</v>
      </c>
      <c r="L392">
        <f ca="1">IF(AND(ISNUMBER($L$814),$B$419=1),$L$814,HLOOKUP(INDIRECT(ADDRESS(2,COLUMN())),OFFSET($BN$2,0,0,ROW()-1,60),ROW()-1,FALSE))</f>
        <v>69.152378990000003</v>
      </c>
      <c r="M392">
        <f ca="1">IF(AND(ISNUMBER($M$814),$B$419=1),$M$814,HLOOKUP(INDIRECT(ADDRESS(2,COLUMN())),OFFSET($BN$2,0,0,ROW()-1,60),ROW()-1,FALSE))</f>
        <v>65.118525980000001</v>
      </c>
      <c r="N392">
        <f ca="1">IF(AND(ISNUMBER($N$814),$B$419=1),$N$814,HLOOKUP(INDIRECT(ADDRESS(2,COLUMN())),OFFSET($BN$2,0,0,ROW()-1,60),ROW()-1,FALSE))</f>
        <v>68.215680050000003</v>
      </c>
      <c r="O392">
        <f ca="1">IF(AND(ISNUMBER($O$814),$B$419=1),$O$814,HLOOKUP(INDIRECT(ADDRESS(2,COLUMN())),OFFSET($BN$2,0,0,ROW()-1,60),ROW()-1,FALSE))</f>
        <v>67.708462909999994</v>
      </c>
      <c r="P392">
        <f ca="1">IF(AND(ISNUMBER($P$814),$B$419=1),$P$814,HLOOKUP(INDIRECT(ADDRESS(2,COLUMN())),OFFSET($BN$2,0,0,ROW()-1,60),ROW()-1,FALSE))</f>
        <v>68.598211379999995</v>
      </c>
      <c r="Q392">
        <f ca="1">IF(AND(ISNUMBER($Q$814),$B$419=1),$Q$814,HLOOKUP(INDIRECT(ADDRESS(2,COLUMN())),OFFSET($BN$2,0,0,ROW()-1,60),ROW()-1,FALSE))</f>
        <v>81.200638319999996</v>
      </c>
      <c r="R392">
        <f ca="1">IF(AND(ISNUMBER($R$814),$B$419=1),$R$814,HLOOKUP(INDIRECT(ADDRESS(2,COLUMN())),OFFSET($BN$2,0,0,ROW()-1,60),ROW()-1,FALSE))</f>
        <v>68.453853910000007</v>
      </c>
      <c r="S392">
        <f ca="1">IF(AND(ISNUMBER($S$814),$B$419=1),$S$814,HLOOKUP(INDIRECT(ADDRESS(2,COLUMN())),OFFSET($BN$2,0,0,ROW()-1,60),ROW()-1,FALSE))</f>
        <v>76.091568589999994</v>
      </c>
      <c r="T392">
        <f ca="1">IF(AND(ISNUMBER($T$814),$B$419=1),$T$814,HLOOKUP(INDIRECT(ADDRESS(2,COLUMN())),OFFSET($BN$2,0,0,ROW()-1,60),ROW()-1,FALSE))</f>
        <v>69.584962169999997</v>
      </c>
      <c r="U392">
        <f ca="1">IF(AND(ISNUMBER($U$814),$B$419=1),$U$814,HLOOKUP(INDIRECT(ADDRESS(2,COLUMN())),OFFSET($BN$2,0,0,ROW()-1,60),ROW()-1,FALSE))</f>
        <v>62.740675039999999</v>
      </c>
      <c r="V392">
        <f ca="1">IF(AND(ISNUMBER($V$814),$B$419=1),$V$814,HLOOKUP(INDIRECT(ADDRESS(2,COLUMN())),OFFSET($BN$2,0,0,ROW()-1,60),ROW()-1,FALSE))</f>
        <v>64.169337279999993</v>
      </c>
      <c r="W392">
        <f ca="1">IF(AND(ISNUMBER($W$814),$B$419=1),$W$814,HLOOKUP(INDIRECT(ADDRESS(2,COLUMN())),OFFSET($BN$2,0,0,ROW()-1,60),ROW()-1,FALSE))</f>
        <v>75.254051369999999</v>
      </c>
      <c r="X392">
        <f ca="1">IF(AND(ISNUMBER($X$814),$B$419=1),$X$814,HLOOKUP(INDIRECT(ADDRESS(2,COLUMN())),OFFSET($BN$2,0,0,ROW()-1,60),ROW()-1,FALSE))</f>
        <v>66.903834070000002</v>
      </c>
      <c r="Y392">
        <f ca="1">IF(AND(ISNUMBER($Y$814),$B$419=1),$Y$814,HLOOKUP(INDIRECT(ADDRESS(2,COLUMN())),OFFSET($BN$2,0,0,ROW()-1,60),ROW()-1,FALSE))</f>
        <v>67.392862660000006</v>
      </c>
      <c r="Z392">
        <f ca="1">IF(AND(ISNUMBER($Z$814),$B$419=1),$Z$814,HLOOKUP(INDIRECT(ADDRESS(2,COLUMN())),OFFSET($BN$2,0,0,ROW()-1,60),ROW()-1,FALSE))</f>
        <v>64.15530047</v>
      </c>
      <c r="AA392">
        <f ca="1">IF(AND(ISNUMBER($AA$814),$B$419=1),$AA$814,HLOOKUP(INDIRECT(ADDRESS(2,COLUMN())),OFFSET($BN$2,0,0,ROW()-1,60),ROW()-1,FALSE))</f>
        <v>65.519290810000001</v>
      </c>
      <c r="AB392">
        <f ca="1">IF(AND(ISNUMBER($AB$814),$B$419=1),$AB$814,HLOOKUP(INDIRECT(ADDRESS(2,COLUMN())),OFFSET($BN$2,0,0,ROW()-1,60),ROW()-1,FALSE))</f>
        <v>64.848142550000006</v>
      </c>
      <c r="AC392">
        <f ca="1">IF(AND(ISNUMBER($AC$814),$B$419=1),$AC$814,HLOOKUP(INDIRECT(ADDRESS(2,COLUMN())),OFFSET($BN$2,0,0,ROW()-1,60),ROW()-1,FALSE))</f>
        <v>65.819581299999996</v>
      </c>
      <c r="AD392">
        <f ca="1">IF(AND(ISNUMBER($AD$814),$B$419=1),$AD$814,HLOOKUP(INDIRECT(ADDRESS(2,COLUMN())),OFFSET($BN$2,0,0,ROW()-1,60),ROW()-1,FALSE))</f>
        <v>66.152068889999995</v>
      </c>
      <c r="AE392">
        <f ca="1">IF(AND(ISNUMBER($AE$814),$B$419=1),$AE$814,HLOOKUP(INDIRECT(ADDRESS(2,COLUMN())),OFFSET($BN$2,0,0,ROW()-1,60),ROW()-1,FALSE))</f>
        <v>70.239840279999996</v>
      </c>
      <c r="AF392">
        <f ca="1">IF(AND(ISNUMBER($AF$814),$B$419=1),$AF$814,HLOOKUP(INDIRECT(ADDRESS(2,COLUMN())),OFFSET($BN$2,0,0,ROW()-1,60),ROW()-1,FALSE))</f>
        <v>67.804054690000001</v>
      </c>
      <c r="AG392">
        <f ca="1">IF(AND(ISNUMBER($AG$814),$B$419=1),$AG$814,HLOOKUP(INDIRECT(ADDRESS(2,COLUMN())),OFFSET($BN$2,0,0,ROW()-1,60),ROW()-1,FALSE))</f>
        <v>64.854648990000001</v>
      </c>
      <c r="AH392">
        <f ca="1">IF(AND(ISNUMBER($AH$814),$B$419=1),$AH$814,HLOOKUP(INDIRECT(ADDRESS(2,COLUMN())),OFFSET($BN$2,0,0,ROW()-1,60),ROW()-1,FALSE))</f>
        <v>68.008813450000005</v>
      </c>
      <c r="AI392">
        <f ca="1">IF(AND(ISNUMBER($AI$814),$B$419=1),$AI$814,HLOOKUP(INDIRECT(ADDRESS(2,COLUMN())),OFFSET($BN$2,0,0,ROW()-1,60),ROW()-1,FALSE))</f>
        <v>66.215195769999994</v>
      </c>
      <c r="AJ392">
        <f ca="1">IF(AND(ISNUMBER($AJ$814),$B$419=1),$AJ$814,HLOOKUP(INDIRECT(ADDRESS(2,COLUMN())),OFFSET($BN$2,0,0,ROW()-1,60),ROW()-1,FALSE))</f>
        <v>68.869175080000005</v>
      </c>
      <c r="AK392">
        <f ca="1">IF(AND(ISNUMBER($AK$814),$B$419=1),$AK$814,HLOOKUP(INDIRECT(ADDRESS(2,COLUMN())),OFFSET($BN$2,0,0,ROW()-1,60),ROW()-1,FALSE))</f>
        <v>67.18726685</v>
      </c>
      <c r="AL392">
        <f ca="1">IF(AND(ISNUMBER($AL$814),$B$419=1),$AL$814,HLOOKUP(INDIRECT(ADDRESS(2,COLUMN())),OFFSET($BN$2,0,0,ROW()-1,60),ROW()-1,FALSE))</f>
        <v>70.018335289999996</v>
      </c>
      <c r="AM392">
        <f ca="1">IF(AND(ISNUMBER($AM$814),$B$419=1),$AM$814,HLOOKUP(INDIRECT(ADDRESS(2,COLUMN())),OFFSET($BN$2,0,0,ROW()-1,60),ROW()-1,FALSE))</f>
        <v>67.253515269999994</v>
      </c>
      <c r="AN392">
        <f ca="1">IF(AND(ISNUMBER($AN$814),$B$419=1),$AN$814,HLOOKUP(INDIRECT(ADDRESS(2,COLUMN())),OFFSET($BN$2,0,0,ROW()-1,60),ROW()-1,FALSE))</f>
        <v>71.248421620000002</v>
      </c>
      <c r="AO392">
        <f ca="1">IF(AND(ISNUMBER($AO$814),$B$419=1),$AO$814,HLOOKUP(INDIRECT(ADDRESS(2,COLUMN())),OFFSET($BN$2,0,0,ROW()-1,60),ROW()-1,FALSE))</f>
        <v>66.757399849999999</v>
      </c>
      <c r="AP392">
        <f ca="1">IF(AND(ISNUMBER($AP$814),$B$419=1),$AP$814,HLOOKUP(INDIRECT(ADDRESS(2,COLUMN())),OFFSET($BN$2,0,0,ROW()-1,60),ROW()-1,FALSE))</f>
        <v>101.28611530000001</v>
      </c>
      <c r="AQ392">
        <f ca="1">IF(AND(ISNUMBER($AQ$814),$B$419=1),$AQ$814,HLOOKUP(INDIRECT(ADDRESS(2,COLUMN())),OFFSET($BN$2,0,0,ROW()-1,60),ROW()-1,FALSE))</f>
        <v>65.442255829999993</v>
      </c>
      <c r="AR392">
        <f ca="1">IF(AND(ISNUMBER($AR$814),$B$419=1),$AR$814,HLOOKUP(INDIRECT(ADDRESS(2,COLUMN())),OFFSET($BN$2,0,0,ROW()-1,60),ROW()-1,FALSE))</f>
        <v>65.934217799999999</v>
      </c>
      <c r="AS392">
        <f ca="1">IF(AND(ISNUMBER($AS$814),$B$419=1),$AS$814,HLOOKUP(INDIRECT(ADDRESS(2,COLUMN())),OFFSET($BN$2,0,0,ROW()-1,60),ROW()-1,FALSE))</f>
        <v>62.829067790000003</v>
      </c>
      <c r="AT392">
        <f ca="1">IF(AND(ISNUMBER($AT$814),$B$419=1),$AT$814,HLOOKUP(INDIRECT(ADDRESS(2,COLUMN())),OFFSET($BN$2,0,0,ROW()-1,60),ROW()-1,FALSE))</f>
        <v>64.662940079999998</v>
      </c>
      <c r="AU392">
        <f ca="1">IF(AND(ISNUMBER($AU$814),$B$419=1),$AU$814,HLOOKUP(INDIRECT(ADDRESS(2,COLUMN())),OFFSET($BN$2,0,0,ROW()-1,60),ROW()-1,FALSE))</f>
        <v>65.596336359999995</v>
      </c>
      <c r="AV392">
        <f ca="1">IF(AND(ISNUMBER($AV$814),$B$419=1),$AV$814,HLOOKUP(INDIRECT(ADDRESS(2,COLUMN())),OFFSET($BN$2,0,0,ROW()-1,60),ROW()-1,FALSE))</f>
        <v>65.444986470000003</v>
      </c>
      <c r="AW392">
        <f ca="1">IF(AND(ISNUMBER($AW$814),$B$419=1),$AW$814,HLOOKUP(INDIRECT(ADDRESS(2,COLUMN())),OFFSET($BN$2,0,0,ROW()-1,60),ROW()-1,FALSE))</f>
        <v>66.041788740000001</v>
      </c>
      <c r="AX392">
        <f ca="1">IF(AND(ISNUMBER($AX$814),$B$419=1),$AX$814,HLOOKUP(INDIRECT(ADDRESS(2,COLUMN())),OFFSET($BN$2,0,0,ROW()-1,60),ROW()-1,FALSE))</f>
        <v>64.216926950000001</v>
      </c>
      <c r="AY392">
        <f ca="1">IF(AND(ISNUMBER($AY$814),$B$419=1),$AY$814,HLOOKUP(INDIRECT(ADDRESS(2,COLUMN())),OFFSET($BN$2,0,0,ROW()-1,60),ROW()-1,FALSE))</f>
        <v>73.511127549999998</v>
      </c>
      <c r="AZ392">
        <f ca="1">IF(AND(ISNUMBER($AZ$814),$B$419=1),$AZ$814,HLOOKUP(INDIRECT(ADDRESS(2,COLUMN())),OFFSET($BN$2,0,0,ROW()-1,60),ROW()-1,FALSE))</f>
        <v>66.74201257</v>
      </c>
      <c r="BA392">
        <f ca="1">IF(AND(ISNUMBER($BA$814),$B$419=1),$BA$814,HLOOKUP(INDIRECT(ADDRESS(2,COLUMN())),OFFSET($BN$2,0,0,ROW()-1,60),ROW()-1,FALSE))</f>
        <v>65.779898619999997</v>
      </c>
      <c r="BB392">
        <f ca="1">IF(AND(ISNUMBER($BB$814),$B$419=1),$BB$814,HLOOKUP(INDIRECT(ADDRESS(2,COLUMN())),OFFSET($BN$2,0,0,ROW()-1,60),ROW()-1,FALSE))</f>
        <v>92.263468090000003</v>
      </c>
      <c r="BC392">
        <f ca="1">IF(AND(ISNUMBER($BC$814),$B$419=1),$BC$814,HLOOKUP(INDIRECT(ADDRESS(2,COLUMN())),OFFSET($BN$2,0,0,ROW()-1,60),ROW()-1,FALSE))</f>
        <v>94.971567649999997</v>
      </c>
      <c r="BD392">
        <f ca="1">IF(AND(ISNUMBER($BD$814),$B$419=1),$BD$814,HLOOKUP(INDIRECT(ADDRESS(2,COLUMN())),OFFSET($BN$2,0,0,ROW()-1,60),ROW()-1,FALSE))</f>
        <v>71.237229839999998</v>
      </c>
      <c r="BE392">
        <f ca="1">IF(AND(ISNUMBER($BE$814),$B$419=1),$BE$814,HLOOKUP(INDIRECT(ADDRESS(2,COLUMN())),OFFSET($BN$2,0,0,ROW()-1,60),ROW()-1,FALSE))</f>
        <v>70.456081409999996</v>
      </c>
      <c r="BF392">
        <f ca="1">IF(AND(ISNUMBER($BF$814),$B$419=1),$BF$814,HLOOKUP(INDIRECT(ADDRESS(2,COLUMN())),OFFSET($BN$2,0,0,ROW()-1,60),ROW()-1,FALSE))</f>
        <v>67.054954839999994</v>
      </c>
      <c r="BG392">
        <f ca="1">IF(AND(ISNUMBER($BG$814),$B$419=1),$BG$814,HLOOKUP(INDIRECT(ADDRESS(2,COLUMN())),OFFSET($BN$2,0,0,ROW()-1,60),ROW()-1,FALSE))</f>
        <v>71.746039850000003</v>
      </c>
      <c r="BH392">
        <f ca="1">IF(AND(ISNUMBER($BH$814),$B$419=1),$BH$814,HLOOKUP(INDIRECT(ADDRESS(2,COLUMN())),OFFSET($BN$2,0,0,ROW()-1,60),ROW()-1,FALSE))</f>
        <v>23.34726985</v>
      </c>
      <c r="BI392">
        <f ca="1">IF(AND(ISNUMBER($BI$814),$B$419=1),$BI$814,HLOOKUP(INDIRECT(ADDRESS(2,COLUMN())),OFFSET($BN$2,0,0,ROW()-1,60),ROW()-1,FALSE))</f>
        <v>65.132770969999996</v>
      </c>
      <c r="BJ392">
        <f ca="1">IF(AND(ISNUMBER($BJ$814),$B$419=1),$BJ$814,HLOOKUP(INDIRECT(ADDRESS(2,COLUMN())),OFFSET($BN$2,0,0,ROW()-1,60),ROW()-1,FALSE))</f>
        <v>0</v>
      </c>
      <c r="BK392">
        <f ca="1">IF(AND(ISNUMBER($BK$814),$B$419=1),$BK$814,HLOOKUP(INDIRECT(ADDRESS(2,COLUMN())),OFFSET($BN$2,0,0,ROW()-1,60),ROW()-1,FALSE))</f>
        <v>0</v>
      </c>
      <c r="BL392">
        <f ca="1">IF(AND(ISNUMBER($BL$814),$B$419=1),$BL$814,HLOOKUP(INDIRECT(ADDRESS(2,COLUMN())),OFFSET($BN$2,0,0,ROW()-1,60),ROW()-1,FALSE))</f>
        <v>2.6675852259999999</v>
      </c>
      <c r="BM392">
        <f ca="1">IF(AND(ISNUMBER($BM$814),$B$419=1),$BM$814,HLOOKUP(INDIRECT(ADDRESS(2,COLUMN())),OFFSET($BN$2,0,0,ROW()-1,60),ROW()-1,FALSE))</f>
        <v>3.8124794780000002</v>
      </c>
      <c r="BN392" t="str">
        <f>""</f>
        <v/>
      </c>
      <c r="BO392">
        <f>76.5054563</f>
        <v>76.505456300000006</v>
      </c>
      <c r="BP392">
        <f>65.93099811</f>
        <v>65.930998110000004</v>
      </c>
      <c r="BQ392">
        <f>64.97148329</f>
        <v>64.971483289999995</v>
      </c>
      <c r="BR392">
        <f>66.82357389</f>
        <v>66.823573890000006</v>
      </c>
      <c r="BS392">
        <f>67.20613044</f>
        <v>67.206130439999995</v>
      </c>
      <c r="BT392">
        <f>69.15237899</f>
        <v>69.152378990000003</v>
      </c>
      <c r="BU392">
        <f>65.11852598</f>
        <v>65.118525980000001</v>
      </c>
      <c r="BV392">
        <f>68.21568005</f>
        <v>68.215680050000003</v>
      </c>
      <c r="BW392">
        <f>67.70846291</f>
        <v>67.708462909999994</v>
      </c>
      <c r="BX392">
        <f>68.59821138</f>
        <v>68.598211379999995</v>
      </c>
      <c r="BY392">
        <f>81.20063832</f>
        <v>81.200638319999996</v>
      </c>
      <c r="BZ392">
        <f>68.45385391</f>
        <v>68.453853910000007</v>
      </c>
      <c r="CA392">
        <f>76.09156859</f>
        <v>76.091568589999994</v>
      </c>
      <c r="CB392">
        <f>69.58496217</f>
        <v>69.584962169999997</v>
      </c>
      <c r="CC392">
        <f>62.74067504</f>
        <v>62.740675039999999</v>
      </c>
      <c r="CD392">
        <f>64.16933728</f>
        <v>64.169337279999993</v>
      </c>
      <c r="CE392">
        <f>75.25405137</f>
        <v>75.254051369999999</v>
      </c>
      <c r="CF392">
        <f>66.90383407</f>
        <v>66.903834070000002</v>
      </c>
      <c r="CG392">
        <f>67.39286266</f>
        <v>67.392862660000006</v>
      </c>
      <c r="CH392">
        <f>64.15530047</f>
        <v>64.15530047</v>
      </c>
      <c r="CI392">
        <f>65.51929081</f>
        <v>65.519290810000001</v>
      </c>
      <c r="CJ392">
        <f>64.84814255</f>
        <v>64.848142550000006</v>
      </c>
      <c r="CK392">
        <f>65.8195813</f>
        <v>65.819581299999996</v>
      </c>
      <c r="CL392">
        <f>66.15206889</f>
        <v>66.152068889999995</v>
      </c>
      <c r="CM392">
        <f>70.23984028</f>
        <v>70.239840279999996</v>
      </c>
      <c r="CN392">
        <f>67.80405469</f>
        <v>67.804054690000001</v>
      </c>
      <c r="CO392">
        <f>64.85464899</f>
        <v>64.854648990000001</v>
      </c>
      <c r="CP392">
        <f>68.00881345</f>
        <v>68.008813450000005</v>
      </c>
      <c r="CQ392">
        <f>66.21519577</f>
        <v>66.215195769999994</v>
      </c>
      <c r="CR392">
        <f>68.86917508</f>
        <v>68.869175080000005</v>
      </c>
      <c r="CS392">
        <f>67.18726685</f>
        <v>67.18726685</v>
      </c>
      <c r="CT392">
        <f>70.01833529</f>
        <v>70.018335289999996</v>
      </c>
      <c r="CU392">
        <f>67.25351527</f>
        <v>67.253515269999994</v>
      </c>
      <c r="CV392">
        <f>71.24842162</f>
        <v>71.248421620000002</v>
      </c>
      <c r="CW392">
        <f>66.75739985</f>
        <v>66.757399849999999</v>
      </c>
      <c r="CX392">
        <f>101.2861153</f>
        <v>101.28611530000001</v>
      </c>
      <c r="CY392">
        <f>65.44225583</f>
        <v>65.442255829999993</v>
      </c>
      <c r="CZ392">
        <f>65.9342178</f>
        <v>65.934217799999999</v>
      </c>
      <c r="DA392">
        <f>62.82906779</f>
        <v>62.829067790000003</v>
      </c>
      <c r="DB392">
        <f>64.66294008</f>
        <v>64.662940079999998</v>
      </c>
      <c r="DC392">
        <f>65.59633636</f>
        <v>65.596336359999995</v>
      </c>
      <c r="DD392">
        <f>65.44498647</f>
        <v>65.444986470000003</v>
      </c>
      <c r="DE392">
        <f>66.04178874</f>
        <v>66.041788740000001</v>
      </c>
      <c r="DF392">
        <f>64.21692695</f>
        <v>64.216926950000001</v>
      </c>
      <c r="DG392">
        <f>73.51112755</f>
        <v>73.511127549999998</v>
      </c>
      <c r="DH392">
        <f>66.74201257</f>
        <v>66.74201257</v>
      </c>
      <c r="DI392">
        <f>65.77989862</f>
        <v>65.779898619999997</v>
      </c>
      <c r="DJ392">
        <f>92.26346809</f>
        <v>92.263468090000003</v>
      </c>
      <c r="DK392">
        <f>94.97156765</f>
        <v>94.971567649999997</v>
      </c>
      <c r="DL392">
        <f>71.23722984</f>
        <v>71.237229839999998</v>
      </c>
      <c r="DM392">
        <f>70.45608141</f>
        <v>70.456081409999996</v>
      </c>
      <c r="DN392">
        <f>67.05495484</f>
        <v>67.054954839999994</v>
      </c>
      <c r="DO392">
        <f>71.74603985</f>
        <v>71.746039850000003</v>
      </c>
      <c r="DP392">
        <f>23.34726985</f>
        <v>23.34726985</v>
      </c>
      <c r="DQ392">
        <f>65.13277097</f>
        <v>65.132770969999996</v>
      </c>
      <c r="DR392">
        <f>0</f>
        <v>0</v>
      </c>
      <c r="DS392">
        <f>0</f>
        <v>0</v>
      </c>
      <c r="DT392">
        <f>2.667585226</f>
        <v>2.6675852259999999</v>
      </c>
      <c r="DU392">
        <f>3.812479478</f>
        <v>3.8124794780000002</v>
      </c>
    </row>
    <row r="393" spans="1:125">
      <c r="A393" t="str">
        <f>"    Kimco Realty Corp"</f>
        <v xml:space="preserve">    Kimco Realty Corp</v>
      </c>
      <c r="B393" t="str">
        <f>"KIM US Equity"</f>
        <v>KIM US Equity</v>
      </c>
      <c r="C393" t="str">
        <f t="shared" si="70"/>
        <v>RR106</v>
      </c>
      <c r="D393" t="str">
        <f t="shared" si="71"/>
        <v>FFO_PAYOUT_RATIO</v>
      </c>
      <c r="E393" t="str">
        <f t="shared" si="72"/>
        <v>动态</v>
      </c>
      <c r="F393" t="str">
        <f ca="1">IF(AND(ISNUMBER($F$815),$B$419=1),$F$815,HLOOKUP(INDIRECT(ADDRESS(2,COLUMN())),OFFSET($BN$2,0,0,ROW()-1,60),ROW()-1,FALSE))</f>
        <v/>
      </c>
      <c r="G393">
        <f ca="1">IF(AND(ISNUMBER($G$815),$B$419=1),$G$815,HLOOKUP(INDIRECT(ADDRESS(2,COLUMN())),OFFSET($BN$2,0,0,ROW()-1,60),ROW()-1,FALSE))</f>
        <v>71.442600220000003</v>
      </c>
      <c r="H393">
        <f ca="1">IF(AND(ISNUMBER($H$815),$B$419=1),$H$815,HLOOKUP(INDIRECT(ADDRESS(2,COLUMN())),OFFSET($BN$2,0,0,ROW()-1,60),ROW()-1,FALSE))</f>
        <v>69.210798249999996</v>
      </c>
      <c r="I393">
        <f ca="1">IF(AND(ISNUMBER($I$815),$B$419=1),$I$815,HLOOKUP(INDIRECT(ADDRESS(2,COLUMN())),OFFSET($BN$2,0,0,ROW()-1,60),ROW()-1,FALSE))</f>
        <v>65.364636910000002</v>
      </c>
      <c r="J393">
        <f ca="1">IF(AND(ISNUMBER($J$815),$B$419=1),$J$815,HLOOKUP(INDIRECT(ADDRESS(2,COLUMN())),OFFSET($BN$2,0,0,ROW()-1,60),ROW()-1,FALSE))</f>
        <v>73.683685699999998</v>
      </c>
      <c r="K393">
        <f ca="1">IF(AND(ISNUMBER($K$815),$B$419=1),$K$815,HLOOKUP(INDIRECT(ADDRESS(2,COLUMN())),OFFSET($BN$2,0,0,ROW()-1,60),ROW()-1,FALSE))</f>
        <v>70.088775589999997</v>
      </c>
      <c r="L393">
        <f ca="1">IF(AND(ISNUMBER($L$815),$B$419=1),$L$815,HLOOKUP(INDIRECT(ADDRESS(2,COLUMN())),OFFSET($BN$2,0,0,ROW()-1,60),ROW()-1,FALSE))</f>
        <v>140.19660110000001</v>
      </c>
      <c r="M393">
        <f ca="1">IF(AND(ISNUMBER($M$815),$B$419=1),$M$815,HLOOKUP(INDIRECT(ADDRESS(2,COLUMN())),OFFSET($BN$2,0,0,ROW()-1,60),ROW()-1,FALSE))</f>
        <v>67.377431169999994</v>
      </c>
      <c r="N393">
        <f ca="1">IF(AND(ISNUMBER($N$815),$B$419=1),$N$815,HLOOKUP(INDIRECT(ADDRESS(2,COLUMN())),OFFSET($BN$2,0,0,ROW()-1,60),ROW()-1,FALSE))</f>
        <v>66.501908709999995</v>
      </c>
      <c r="O393">
        <f ca="1">IF(AND(ISNUMBER($O$815),$B$419=1),$O$815,HLOOKUP(INDIRECT(ADDRESS(2,COLUMN())),OFFSET($BN$2,0,0,ROW()-1,60),ROW()-1,FALSE))</f>
        <v>73.31737545</v>
      </c>
      <c r="P393">
        <f ca="1">IF(AND(ISNUMBER($P$815),$B$419=1),$P$815,HLOOKUP(INDIRECT(ADDRESS(2,COLUMN())),OFFSET($BN$2,0,0,ROW()-1,60),ROW()-1,FALSE))</f>
        <v>60.263174599999999</v>
      </c>
      <c r="Q393">
        <f ca="1">IF(AND(ISNUMBER($Q$815),$B$419=1),$Q$815,HLOOKUP(INDIRECT(ADDRESS(2,COLUMN())),OFFSET($BN$2,0,0,ROW()-1,60),ROW()-1,FALSE))</f>
        <v>54.027649769999996</v>
      </c>
      <c r="R393">
        <f ca="1">IF(AND(ISNUMBER($R$815),$B$419=1),$R$815,HLOOKUP(INDIRECT(ADDRESS(2,COLUMN())),OFFSET($BN$2,0,0,ROW()-1,60),ROW()-1,FALSE))</f>
        <v>64.181133450000004</v>
      </c>
      <c r="S393">
        <f ca="1">IF(AND(ISNUMBER($S$815),$B$419=1),$S$815,HLOOKUP(INDIRECT(ADDRESS(2,COLUMN())),OFFSET($BN$2,0,0,ROW()-1,60),ROW()-1,FALSE))</f>
        <v>62.746519309999996</v>
      </c>
      <c r="T393">
        <f ca="1">IF(AND(ISNUMBER($T$815),$B$419=1),$T$815,HLOOKUP(INDIRECT(ADDRESS(2,COLUMN())),OFFSET($BN$2,0,0,ROW()-1,60),ROW()-1,FALSE))</f>
        <v>57.594585639999998</v>
      </c>
      <c r="U393">
        <f ca="1">IF(AND(ISNUMBER($U$815),$B$419=1),$U$815,HLOOKUP(INDIRECT(ADDRESS(2,COLUMN())),OFFSET($BN$2,0,0,ROW()-1,60),ROW()-1,FALSE))</f>
        <v>65.153282349999998</v>
      </c>
      <c r="V393">
        <f ca="1">IF(AND(ISNUMBER($V$815),$B$419=1),$V$815,HLOOKUP(INDIRECT(ADDRESS(2,COLUMN())),OFFSET($BN$2,0,0,ROW()-1,60),ROW()-1,FALSE))</f>
        <v>66.392501789999997</v>
      </c>
      <c r="W393">
        <f ca="1">IF(AND(ISNUMBER($W$815),$B$419=1),$W$815,HLOOKUP(INDIRECT(ADDRESS(2,COLUMN())),OFFSET($BN$2,0,0,ROW()-1,60),ROW()-1,FALSE))</f>
        <v>68.190865680000002</v>
      </c>
      <c r="X393">
        <f ca="1">IF(AND(ISNUMBER($X$815),$B$419=1),$X$815,HLOOKUP(INDIRECT(ADDRESS(2,COLUMN())),OFFSET($BN$2,0,0,ROW()-1,60),ROW()-1,FALSE))</f>
        <v>60.623120839999999</v>
      </c>
      <c r="Y393">
        <f ca="1">IF(AND(ISNUMBER($Y$815),$B$419=1),$Y$815,HLOOKUP(INDIRECT(ADDRESS(2,COLUMN())),OFFSET($BN$2,0,0,ROW()-1,60),ROW()-1,FALSE))</f>
        <v>60.43715847</v>
      </c>
      <c r="Z393">
        <f ca="1">IF(AND(ISNUMBER($Z$815),$B$419=1),$Z$815,HLOOKUP(INDIRECT(ADDRESS(2,COLUMN())),OFFSET($BN$2,0,0,ROW()-1,60),ROW()-1,FALSE))</f>
        <v>63.315282590000002</v>
      </c>
      <c r="AA393">
        <f ca="1">IF(AND(ISNUMBER($AA$815),$B$419=1),$AA$815,HLOOKUP(INDIRECT(ADDRESS(2,COLUMN())),OFFSET($BN$2,0,0,ROW()-1,60),ROW()-1,FALSE))</f>
        <v>67.0810405</v>
      </c>
      <c r="AB393">
        <f ca="1">IF(AND(ISNUMBER($AB$815),$B$419=1),$AB$815,HLOOKUP(INDIRECT(ADDRESS(2,COLUMN())),OFFSET($BN$2,0,0,ROW()-1,60),ROW()-1,FALSE))</f>
        <v>64.797004869999995</v>
      </c>
      <c r="AC393">
        <f ca="1">IF(AND(ISNUMBER($AC$815),$B$419=1),$AC$815,HLOOKUP(INDIRECT(ADDRESS(2,COLUMN())),OFFSET($BN$2,0,0,ROW()-1,60),ROW()-1,FALSE))</f>
        <v>55.842422220000003</v>
      </c>
      <c r="AD393">
        <f ca="1">IF(AND(ISNUMBER($AD$815),$B$419=1),$AD$815,HLOOKUP(INDIRECT(ADDRESS(2,COLUMN())),OFFSET($BN$2,0,0,ROW()-1,60),ROW()-1,FALSE))</f>
        <v>61.142409049999998</v>
      </c>
      <c r="AE393">
        <f ca="1">IF(AND(ISNUMBER($AE$815),$B$419=1),$AE$815,HLOOKUP(INDIRECT(ADDRESS(2,COLUMN())),OFFSET($BN$2,0,0,ROW()-1,60),ROW()-1,FALSE))</f>
        <v>114.0631262</v>
      </c>
      <c r="AF393">
        <f ca="1">IF(AND(ISNUMBER($AF$815),$B$419=1),$AF$815,HLOOKUP(INDIRECT(ADDRESS(2,COLUMN())),OFFSET($BN$2,0,0,ROW()-1,60),ROW()-1,FALSE))</f>
        <v>54.506096239999998</v>
      </c>
      <c r="AG393">
        <f ca="1">IF(AND(ISNUMBER($AG$815),$B$419=1),$AG$815,HLOOKUP(INDIRECT(ADDRESS(2,COLUMN())),OFFSET($BN$2,0,0,ROW()-1,60),ROW()-1,FALSE))</f>
        <v>60.272136519999997</v>
      </c>
      <c r="AH393">
        <f ca="1">IF(AND(ISNUMBER($AH$815),$B$419=1),$AH$815,HLOOKUP(INDIRECT(ADDRESS(2,COLUMN())),OFFSET($BN$2,0,0,ROW()-1,60),ROW()-1,FALSE))</f>
        <v>59.952306419999999</v>
      </c>
      <c r="AI393">
        <f ca="1">IF(AND(ISNUMBER($AI$815),$B$419=1),$AI$815,HLOOKUP(INDIRECT(ADDRESS(2,COLUMN())),OFFSET($BN$2,0,0,ROW()-1,60),ROW()-1,FALSE))</f>
        <v>58.334085989999998</v>
      </c>
      <c r="AJ393">
        <f ca="1">IF(AND(ISNUMBER($AJ$815),$B$419=1),$AJ$815,HLOOKUP(INDIRECT(ADDRESS(2,COLUMN())),OFFSET($BN$2,0,0,ROW()-1,60),ROW()-1,FALSE))</f>
        <v>58.740142380000002</v>
      </c>
      <c r="AK393">
        <f ca="1">IF(AND(ISNUMBER($AK$815),$B$419=1),$AK$815,HLOOKUP(INDIRECT(ADDRESS(2,COLUMN())),OFFSET($BN$2,0,0,ROW()-1,60),ROW()-1,FALSE))</f>
        <v>122.95721020000001</v>
      </c>
      <c r="AL393">
        <f ca="1">IF(AND(ISNUMBER($AL$815),$B$419=1),$AL$815,HLOOKUP(INDIRECT(ADDRESS(2,COLUMN())),OFFSET($BN$2,0,0,ROW()-1,60),ROW()-1,FALSE))</f>
        <v>51.506322179999998</v>
      </c>
      <c r="AM393">
        <f ca="1">IF(AND(ISNUMBER($AM$815),$B$419=1),$AM$815,HLOOKUP(INDIRECT(ADDRESS(2,COLUMN())),OFFSET($BN$2,0,0,ROW()-1,60),ROW()-1,FALSE))</f>
        <v>51.285025449999999</v>
      </c>
      <c r="AN393">
        <f ca="1">IF(AND(ISNUMBER($AN$815),$B$419=1),$AN$815,HLOOKUP(INDIRECT(ADDRESS(2,COLUMN())),OFFSET($BN$2,0,0,ROW()-1,60),ROW()-1,FALSE))</f>
        <v>20.073689730000002</v>
      </c>
      <c r="AO393" t="str">
        <f ca="1">IF(AND(ISNUMBER($AO$815),$B$419=1),$AO$815,HLOOKUP(INDIRECT(ADDRESS(2,COLUMN())),OFFSET($BN$2,0,0,ROW()-1,60),ROW()-1,FALSE))</f>
        <v/>
      </c>
      <c r="AP393">
        <f ca="1">IF(AND(ISNUMBER($AP$815),$B$419=1),$AP$815,HLOOKUP(INDIRECT(ADDRESS(2,COLUMN())),OFFSET($BN$2,0,0,ROW()-1,60),ROW()-1,FALSE))</f>
        <v>101.2491151</v>
      </c>
      <c r="AQ393">
        <f ca="1">IF(AND(ISNUMBER($AQ$815),$B$419=1),$AQ$815,HLOOKUP(INDIRECT(ADDRESS(2,COLUMN())),OFFSET($BN$2,0,0,ROW()-1,60),ROW()-1,FALSE))</f>
        <v>1021.6506429999999</v>
      </c>
      <c r="AR393">
        <f ca="1">IF(AND(ISNUMBER($AR$815),$B$419=1),$AR$815,HLOOKUP(INDIRECT(ADDRESS(2,COLUMN())),OFFSET($BN$2,0,0,ROW()-1,60),ROW()-1,FALSE))</f>
        <v>63.717344850000003</v>
      </c>
      <c r="AS393">
        <f ca="1">IF(AND(ISNUMBER($AS$815),$B$419=1),$AS$815,HLOOKUP(INDIRECT(ADDRESS(2,COLUMN())),OFFSET($BN$2,0,0,ROW()-1,60),ROW()-1,FALSE))</f>
        <v>59.331486089999999</v>
      </c>
      <c r="AT393">
        <f ca="1">IF(AND(ISNUMBER($AT$815),$B$419=1),$AT$815,HLOOKUP(INDIRECT(ADDRESS(2,COLUMN())),OFFSET($BN$2,0,0,ROW()-1,60),ROW()-1,FALSE))</f>
        <v>61.541381280000003</v>
      </c>
      <c r="AU393">
        <f ca="1">IF(AND(ISNUMBER($AU$815),$B$419=1),$AU$815,HLOOKUP(INDIRECT(ADDRESS(2,COLUMN())),OFFSET($BN$2,0,0,ROW()-1,60),ROW()-1,FALSE))</f>
        <v>74.214316650000001</v>
      </c>
      <c r="AV393">
        <f ca="1">IF(AND(ISNUMBER($AV$815),$B$419=1),$AV$815,HLOOKUP(INDIRECT(ADDRESS(2,COLUMN())),OFFSET($BN$2,0,0,ROW()-1,60),ROW()-1,FALSE))</f>
        <v>68.828030170000005</v>
      </c>
      <c r="AW393">
        <f ca="1">IF(AND(ISNUMBER($AW$815),$B$419=1),$AW$815,HLOOKUP(INDIRECT(ADDRESS(2,COLUMN())),OFFSET($BN$2,0,0,ROW()-1,60),ROW()-1,FALSE))</f>
        <v>49.27142911</v>
      </c>
      <c r="AX393">
        <f ca="1">IF(AND(ISNUMBER($AX$815),$B$419=1),$AX$815,HLOOKUP(INDIRECT(ADDRESS(2,COLUMN())),OFFSET($BN$2,0,0,ROW()-1,60),ROW()-1,FALSE))</f>
        <v>44.624526590000002</v>
      </c>
      <c r="AY393">
        <f ca="1">IF(AND(ISNUMBER($AY$815),$B$419=1),$AY$815,HLOOKUP(INDIRECT(ADDRESS(2,COLUMN())),OFFSET($BN$2,0,0,ROW()-1,60),ROW()-1,FALSE))</f>
        <v>53.647773469999997</v>
      </c>
      <c r="AZ393">
        <f ca="1">IF(AND(ISNUMBER($AZ$815),$B$419=1),$AZ$815,HLOOKUP(INDIRECT(ADDRESS(2,COLUMN())),OFFSET($BN$2,0,0,ROW()-1,60),ROW()-1,FALSE))</f>
        <v>62.598373729999999</v>
      </c>
      <c r="BA393">
        <f ca="1">IF(AND(ISNUMBER($BA$815),$B$419=1),$BA$815,HLOOKUP(INDIRECT(ADDRESS(2,COLUMN())),OFFSET($BN$2,0,0,ROW()-1,60),ROW()-1,FALSE))</f>
        <v>59.54753582</v>
      </c>
      <c r="BB393">
        <f ca="1">IF(AND(ISNUMBER($BB$815),$B$419=1),$BB$815,HLOOKUP(INDIRECT(ADDRESS(2,COLUMN())),OFFSET($BN$2,0,0,ROW()-1,60),ROW()-1,FALSE))</f>
        <v>60.55693582</v>
      </c>
      <c r="BC393">
        <f ca="1">IF(AND(ISNUMBER($BC$815),$B$419=1),$BC$815,HLOOKUP(INDIRECT(ADDRESS(2,COLUMN())),OFFSET($BN$2,0,0,ROW()-1,60),ROW()-1,FALSE))</f>
        <v>54.109933310000002</v>
      </c>
      <c r="BD393">
        <f ca="1">IF(AND(ISNUMBER($BD$815),$B$419=1),$BD$815,HLOOKUP(INDIRECT(ADDRESS(2,COLUMN())),OFFSET($BN$2,0,0,ROW()-1,60),ROW()-1,FALSE))</f>
        <v>64.434667059999995</v>
      </c>
      <c r="BE393">
        <f ca="1">IF(AND(ISNUMBER($BE$815),$B$419=1),$BE$815,HLOOKUP(INDIRECT(ADDRESS(2,COLUMN())),OFFSET($BN$2,0,0,ROW()-1,60),ROW()-1,FALSE))</f>
        <v>61.420163989999999</v>
      </c>
      <c r="BF393">
        <f ca="1">IF(AND(ISNUMBER($BF$815),$B$419=1),$BF$815,HLOOKUP(INDIRECT(ADDRESS(2,COLUMN())),OFFSET($BN$2,0,0,ROW()-1,60),ROW()-1,FALSE))</f>
        <v>63.357999720000002</v>
      </c>
      <c r="BG393">
        <f ca="1">IF(AND(ISNUMBER($BG$815),$B$419=1),$BG$815,HLOOKUP(INDIRECT(ADDRESS(2,COLUMN())),OFFSET($BN$2,0,0,ROW()-1,60),ROW()-1,FALSE))</f>
        <v>66.068894959999994</v>
      </c>
      <c r="BH393">
        <f ca="1">IF(AND(ISNUMBER($BH$815),$B$419=1),$BH$815,HLOOKUP(INDIRECT(ADDRESS(2,COLUMN())),OFFSET($BN$2,0,0,ROW()-1,60),ROW()-1,FALSE))</f>
        <v>66.956212780000001</v>
      </c>
      <c r="BI393" t="str">
        <f ca="1">IF(AND(ISNUMBER($BI$815),$B$419=1),$BI$815,HLOOKUP(INDIRECT(ADDRESS(2,COLUMN())),OFFSET($BN$2,0,0,ROW()-1,60),ROW()-1,FALSE))</f>
        <v/>
      </c>
      <c r="BJ393" t="str">
        <f ca="1">IF(AND(ISNUMBER($BJ$815),$B$419=1),$BJ$815,HLOOKUP(INDIRECT(ADDRESS(2,COLUMN())),OFFSET($BN$2,0,0,ROW()-1,60),ROW()-1,FALSE))</f>
        <v/>
      </c>
      <c r="BK393" t="str">
        <f ca="1">IF(AND(ISNUMBER($BK$815),$B$419=1),$BK$815,HLOOKUP(INDIRECT(ADDRESS(2,COLUMN())),OFFSET($BN$2,0,0,ROW()-1,60),ROW()-1,FALSE))</f>
        <v/>
      </c>
      <c r="BL393">
        <f ca="1">IF(AND(ISNUMBER($BL$815),$B$419=1),$BL$815,HLOOKUP(INDIRECT(ADDRESS(2,COLUMN())),OFFSET($BN$2,0,0,ROW()-1,60),ROW()-1,FALSE))</f>
        <v>64.341631250000006</v>
      </c>
      <c r="BM393" t="str">
        <f ca="1">IF(AND(ISNUMBER($BM$815),$B$419=1),$BM$815,HLOOKUP(INDIRECT(ADDRESS(2,COLUMN())),OFFSET($BN$2,0,0,ROW()-1,60),ROW()-1,FALSE))</f>
        <v/>
      </c>
      <c r="BN393" t="str">
        <f>""</f>
        <v/>
      </c>
      <c r="BO393">
        <f>71.44260022</f>
        <v>71.442600220000003</v>
      </c>
      <c r="BP393">
        <f>69.21079825</f>
        <v>69.210798249999996</v>
      </c>
      <c r="BQ393">
        <f>65.36463691</f>
        <v>65.364636910000002</v>
      </c>
      <c r="BR393">
        <f>73.6836857</f>
        <v>73.683685699999998</v>
      </c>
      <c r="BS393">
        <f>70.08877559</f>
        <v>70.088775589999997</v>
      </c>
      <c r="BT393">
        <f>140.1966011</f>
        <v>140.19660110000001</v>
      </c>
      <c r="BU393">
        <f>67.37743117</f>
        <v>67.377431169999994</v>
      </c>
      <c r="BV393">
        <f>66.50190871</f>
        <v>66.501908709999995</v>
      </c>
      <c r="BW393">
        <f>73.31737545</f>
        <v>73.31737545</v>
      </c>
      <c r="BX393">
        <f>60.2631746</f>
        <v>60.263174599999999</v>
      </c>
      <c r="BY393">
        <f>54.02764977</f>
        <v>54.027649769999996</v>
      </c>
      <c r="BZ393">
        <f>64.18113345</f>
        <v>64.181133450000004</v>
      </c>
      <c r="CA393">
        <f>62.74651931</f>
        <v>62.746519309999996</v>
      </c>
      <c r="CB393">
        <f>57.59458564</f>
        <v>57.594585639999998</v>
      </c>
      <c r="CC393">
        <f>65.15328235</f>
        <v>65.153282349999998</v>
      </c>
      <c r="CD393">
        <f>66.39250179</f>
        <v>66.392501789999997</v>
      </c>
      <c r="CE393">
        <f>68.19086568</f>
        <v>68.190865680000002</v>
      </c>
      <c r="CF393">
        <f>60.62312084</f>
        <v>60.623120839999999</v>
      </c>
      <c r="CG393">
        <f>60.43715847</f>
        <v>60.43715847</v>
      </c>
      <c r="CH393">
        <f>63.31528259</f>
        <v>63.315282590000002</v>
      </c>
      <c r="CI393">
        <f>67.0810405</f>
        <v>67.0810405</v>
      </c>
      <c r="CJ393">
        <f>64.79700487</f>
        <v>64.797004869999995</v>
      </c>
      <c r="CK393">
        <f>55.84242222</f>
        <v>55.842422220000003</v>
      </c>
      <c r="CL393">
        <f>61.14240905</f>
        <v>61.142409049999998</v>
      </c>
      <c r="CM393">
        <f>114.0631262</f>
        <v>114.0631262</v>
      </c>
      <c r="CN393">
        <f>54.50609624</f>
        <v>54.506096239999998</v>
      </c>
      <c r="CO393">
        <f>60.27213652</f>
        <v>60.272136519999997</v>
      </c>
      <c r="CP393">
        <f>59.95230642</f>
        <v>59.952306419999999</v>
      </c>
      <c r="CQ393">
        <f>58.33408599</f>
        <v>58.334085989999998</v>
      </c>
      <c r="CR393">
        <f>58.74014238</f>
        <v>58.740142380000002</v>
      </c>
      <c r="CS393">
        <f>122.9572102</f>
        <v>122.95721020000001</v>
      </c>
      <c r="CT393">
        <f>51.50632218</f>
        <v>51.506322179999998</v>
      </c>
      <c r="CU393">
        <f>51.28502545</f>
        <v>51.285025449999999</v>
      </c>
      <c r="CV393">
        <f>20.07368973</f>
        <v>20.073689730000002</v>
      </c>
      <c r="CW393" t="str">
        <f>""</f>
        <v/>
      </c>
      <c r="CX393">
        <f>101.2491151</f>
        <v>101.2491151</v>
      </c>
      <c r="CY393">
        <f>1021.650643</f>
        <v>1021.6506429999999</v>
      </c>
      <c r="CZ393">
        <f>63.71734485</f>
        <v>63.717344850000003</v>
      </c>
      <c r="DA393">
        <f>59.33148609</f>
        <v>59.331486089999999</v>
      </c>
      <c r="DB393">
        <f>61.54138128</f>
        <v>61.541381280000003</v>
      </c>
      <c r="DC393">
        <f>74.21431665</f>
        <v>74.214316650000001</v>
      </c>
      <c r="DD393">
        <f>68.82803017</f>
        <v>68.828030170000005</v>
      </c>
      <c r="DE393">
        <f>49.27142911</f>
        <v>49.27142911</v>
      </c>
      <c r="DF393">
        <f>44.62452659</f>
        <v>44.624526590000002</v>
      </c>
      <c r="DG393">
        <f>53.64777347</f>
        <v>53.647773469999997</v>
      </c>
      <c r="DH393">
        <f>62.59837373</f>
        <v>62.598373729999999</v>
      </c>
      <c r="DI393">
        <f>59.54753582</f>
        <v>59.54753582</v>
      </c>
      <c r="DJ393">
        <f>60.55693582</f>
        <v>60.55693582</v>
      </c>
      <c r="DK393">
        <f>54.10993331</f>
        <v>54.109933310000002</v>
      </c>
      <c r="DL393">
        <f>64.43466706</f>
        <v>64.434667059999995</v>
      </c>
      <c r="DM393">
        <f>61.42016399</f>
        <v>61.420163989999999</v>
      </c>
      <c r="DN393">
        <f>63.35799972</f>
        <v>63.357999720000002</v>
      </c>
      <c r="DO393">
        <f>66.06889496</f>
        <v>66.068894959999994</v>
      </c>
      <c r="DP393">
        <f>66.95621278</f>
        <v>66.956212780000001</v>
      </c>
      <c r="DQ393" t="str">
        <f>""</f>
        <v/>
      </c>
      <c r="DR393" t="str">
        <f>""</f>
        <v/>
      </c>
      <c r="DS393" t="str">
        <f>""</f>
        <v/>
      </c>
      <c r="DT393">
        <f>64.34163125</f>
        <v>64.341631250000006</v>
      </c>
      <c r="DU393" t="str">
        <f>""</f>
        <v/>
      </c>
    </row>
    <row r="394" spans="1:125">
      <c r="A394" t="str">
        <f>"    National Retail Properties Inc"</f>
        <v xml:space="preserve">    National Retail Properties Inc</v>
      </c>
      <c r="B394" t="str">
        <f>"NNN US Equity"</f>
        <v>NNN US Equity</v>
      </c>
      <c r="C394" t="str">
        <f t="shared" si="70"/>
        <v>RR106</v>
      </c>
      <c r="D394" t="str">
        <f t="shared" si="71"/>
        <v>FFO_PAYOUT_RATIO</v>
      </c>
      <c r="E394" t="str">
        <f t="shared" si="72"/>
        <v>动态</v>
      </c>
      <c r="F394" t="str">
        <f ca="1">IF(AND(ISNUMBER($F$816),$B$419=1),$F$816,HLOOKUP(INDIRECT(ADDRESS(2,COLUMN())),OFFSET($BN$2,0,0,ROW()-1,60),ROW()-1,FALSE))</f>
        <v/>
      </c>
      <c r="G394">
        <f ca="1">IF(AND(ISNUMBER($G$816),$B$419=1),$G$816,HLOOKUP(INDIRECT(ADDRESS(2,COLUMN())),OFFSET($BN$2,0,0,ROW()-1,60),ROW()-1,FALSE))</f>
        <v>75.682791519999995</v>
      </c>
      <c r="H394">
        <f ca="1">IF(AND(ISNUMBER($H$816),$B$419=1),$H$816,HLOOKUP(INDIRECT(ADDRESS(2,COLUMN())),OFFSET($BN$2,0,0,ROW()-1,60),ROW()-1,FALSE))</f>
        <v>72.289279870000001</v>
      </c>
      <c r="I394">
        <f ca="1">IF(AND(ISNUMBER($I$816),$B$419=1),$I$816,HLOOKUP(INDIRECT(ADDRESS(2,COLUMN())),OFFSET($BN$2,0,0,ROW()-1,60),ROW()-1,FALSE))</f>
        <v>76.987847619999997</v>
      </c>
      <c r="J394">
        <f ca="1">IF(AND(ISNUMBER($J$816),$B$419=1),$J$816,HLOOKUP(INDIRECT(ADDRESS(2,COLUMN())),OFFSET($BN$2,0,0,ROW()-1,60),ROW()-1,FALSE))</f>
        <v>85.324594020000006</v>
      </c>
      <c r="K394">
        <f ca="1">IF(AND(ISNUMBER($K$816),$B$419=1),$K$816,HLOOKUP(INDIRECT(ADDRESS(2,COLUMN())),OFFSET($BN$2,0,0,ROW()-1,60),ROW()-1,FALSE))</f>
        <v>73.943192310000001</v>
      </c>
      <c r="L394">
        <f ca="1">IF(AND(ISNUMBER($L$816),$B$419=1),$L$816,HLOOKUP(INDIRECT(ADDRESS(2,COLUMN())),OFFSET($BN$2,0,0,ROW()-1,60),ROW()-1,FALSE))</f>
        <v>82.087016469999995</v>
      </c>
      <c r="M394">
        <f ca="1">IF(AND(ISNUMBER($M$816),$B$419=1),$M$816,HLOOKUP(INDIRECT(ADDRESS(2,COLUMN())),OFFSET($BN$2,0,0,ROW()-1,60),ROW()-1,FALSE))</f>
        <v>77.575990959999999</v>
      </c>
      <c r="N394">
        <f ca="1">IF(AND(ISNUMBER($N$816),$B$419=1),$N$816,HLOOKUP(INDIRECT(ADDRESS(2,COLUMN())),OFFSET($BN$2,0,0,ROW()-1,60),ROW()-1,FALSE))</f>
        <v>76.345227100000002</v>
      </c>
      <c r="O394">
        <f ca="1">IF(AND(ISNUMBER($O$816),$B$419=1),$O$816,HLOOKUP(INDIRECT(ADDRESS(2,COLUMN())),OFFSET($BN$2,0,0,ROW()-1,60),ROW()-1,FALSE))</f>
        <v>88.597996109999997</v>
      </c>
      <c r="P394">
        <f ca="1">IF(AND(ISNUMBER($P$816),$B$419=1),$P$816,HLOOKUP(INDIRECT(ADDRESS(2,COLUMN())),OFFSET($BN$2,0,0,ROW()-1,60),ROW()-1,FALSE))</f>
        <v>74.72852666</v>
      </c>
      <c r="Q394">
        <f ca="1">IF(AND(ISNUMBER($Q$816),$B$419=1),$Q$816,HLOOKUP(INDIRECT(ADDRESS(2,COLUMN())),OFFSET($BN$2,0,0,ROW()-1,60),ROW()-1,FALSE))</f>
        <v>76.609266980000001</v>
      </c>
      <c r="R394">
        <f ca="1">IF(AND(ISNUMBER($R$816),$B$419=1),$R$816,HLOOKUP(INDIRECT(ADDRESS(2,COLUMN())),OFFSET($BN$2,0,0,ROW()-1,60),ROW()-1,FALSE))</f>
        <v>78.048849320000002</v>
      </c>
      <c r="S394">
        <f ca="1">IF(AND(ISNUMBER($S$816),$B$419=1),$S$816,HLOOKUP(INDIRECT(ADDRESS(2,COLUMN())),OFFSET($BN$2,0,0,ROW()-1,60),ROW()-1,FALSE))</f>
        <v>74.573432769999997</v>
      </c>
      <c r="T394">
        <f ca="1">IF(AND(ISNUMBER($T$816),$B$419=1),$T$816,HLOOKUP(INDIRECT(ADDRESS(2,COLUMN())),OFFSET($BN$2,0,0,ROW()-1,60),ROW()-1,FALSE))</f>
        <v>80.026782909999994</v>
      </c>
      <c r="U394">
        <f ca="1">IF(AND(ISNUMBER($U$816),$B$419=1),$U$816,HLOOKUP(INDIRECT(ADDRESS(2,COLUMN())),OFFSET($BN$2,0,0,ROW()-1,60),ROW()-1,FALSE))</f>
        <v>80.415908459999997</v>
      </c>
      <c r="V394">
        <f ca="1">IF(AND(ISNUMBER($V$816),$B$419=1),$V$816,HLOOKUP(INDIRECT(ADDRESS(2,COLUMN())),OFFSET($BN$2,0,0,ROW()-1,60),ROW()-1,FALSE))</f>
        <v>79.935432590000005</v>
      </c>
      <c r="W394">
        <f ca="1">IF(AND(ISNUMBER($W$816),$B$419=1),$W$816,HLOOKUP(INDIRECT(ADDRESS(2,COLUMN())),OFFSET($BN$2,0,0,ROW()-1,60),ROW()-1,FALSE))</f>
        <v>80.883801079999998</v>
      </c>
      <c r="X394">
        <f ca="1">IF(AND(ISNUMBER($X$816),$B$419=1),$X$816,HLOOKUP(INDIRECT(ADDRESS(2,COLUMN())),OFFSET($BN$2,0,0,ROW()-1,60),ROW()-1,FALSE))</f>
        <v>81.651819970000005</v>
      </c>
      <c r="Y394">
        <f ca="1">IF(AND(ISNUMBER($Y$816),$B$419=1),$Y$816,HLOOKUP(INDIRECT(ADDRESS(2,COLUMN())),OFFSET($BN$2,0,0,ROW()-1,60),ROW()-1,FALSE))</f>
        <v>85.726912429999999</v>
      </c>
      <c r="Z394">
        <f ca="1">IF(AND(ISNUMBER($Z$816),$B$419=1),$Z$816,HLOOKUP(INDIRECT(ADDRESS(2,COLUMN())),OFFSET($BN$2,0,0,ROW()-1,60),ROW()-1,FALSE))</f>
        <v>81.114568079999998</v>
      </c>
      <c r="AA394">
        <f ca="1">IF(AND(ISNUMBER($AA$816),$B$419=1),$AA$816,HLOOKUP(INDIRECT(ADDRESS(2,COLUMN())),OFFSET($BN$2,0,0,ROW()-1,60),ROW()-1,FALSE))</f>
        <v>86.850476360000002</v>
      </c>
      <c r="AB394">
        <f ca="1">IF(AND(ISNUMBER($AB$816),$B$419=1),$AB$816,HLOOKUP(INDIRECT(ADDRESS(2,COLUMN())),OFFSET($BN$2,0,0,ROW()-1,60),ROW()-1,FALSE))</f>
        <v>74.728279920000006</v>
      </c>
      <c r="AC394">
        <f ca="1">IF(AND(ISNUMBER($AC$816),$B$419=1),$AC$816,HLOOKUP(INDIRECT(ADDRESS(2,COLUMN())),OFFSET($BN$2,0,0,ROW()-1,60),ROW()-1,FALSE))</f>
        <v>93.935652050000002</v>
      </c>
      <c r="AD394">
        <f ca="1">IF(AND(ISNUMBER($AD$816),$B$419=1),$AD$816,HLOOKUP(INDIRECT(ADDRESS(2,COLUMN())),OFFSET($BN$2,0,0,ROW()-1,60),ROW()-1,FALSE))</f>
        <v>96.681013870000001</v>
      </c>
      <c r="AE394">
        <f ca="1">IF(AND(ISNUMBER($AE$816),$B$419=1),$AE$816,HLOOKUP(INDIRECT(ADDRESS(2,COLUMN())),OFFSET($BN$2,0,0,ROW()-1,60),ROW()-1,FALSE))</f>
        <v>91.568607139999997</v>
      </c>
      <c r="AF394">
        <f ca="1">IF(AND(ISNUMBER($AF$816),$B$419=1),$AF$816,HLOOKUP(INDIRECT(ADDRESS(2,COLUMN())),OFFSET($BN$2,0,0,ROW()-1,60),ROW()-1,FALSE))</f>
        <v>96.863707099999999</v>
      </c>
      <c r="AG394">
        <f ca="1">IF(AND(ISNUMBER($AG$816),$B$419=1),$AG$816,HLOOKUP(INDIRECT(ADDRESS(2,COLUMN())),OFFSET($BN$2,0,0,ROW()-1,60),ROW()-1,FALSE))</f>
        <v>100.9874717</v>
      </c>
      <c r="AH394">
        <f ca="1">IF(AND(ISNUMBER($AH$816),$B$419=1),$AH$816,HLOOKUP(INDIRECT(ADDRESS(2,COLUMN())),OFFSET($BN$2,0,0,ROW()-1,60),ROW()-1,FALSE))</f>
        <v>100.9078457</v>
      </c>
      <c r="AI394">
        <f ca="1">IF(AND(ISNUMBER($AI$816),$B$419=1),$AI$816,HLOOKUP(INDIRECT(ADDRESS(2,COLUMN())),OFFSET($BN$2,0,0,ROW()-1,60),ROW()-1,FALSE))</f>
        <v>131.3114631</v>
      </c>
      <c r="AJ394">
        <f ca="1">IF(AND(ISNUMBER($AJ$816),$B$419=1),$AJ$816,HLOOKUP(INDIRECT(ADDRESS(2,COLUMN())),OFFSET($BN$2,0,0,ROW()-1,60),ROW()-1,FALSE))</f>
        <v>106.149021</v>
      </c>
      <c r="AK394">
        <f ca="1">IF(AND(ISNUMBER($AK$816),$B$419=1),$AK$816,HLOOKUP(INDIRECT(ADDRESS(2,COLUMN())),OFFSET($BN$2,0,0,ROW()-1,60),ROW()-1,FALSE))</f>
        <v>105.3166378</v>
      </c>
      <c r="AL394">
        <f ca="1">IF(AND(ISNUMBER($AL$816),$B$419=1),$AL$816,HLOOKUP(INDIRECT(ADDRESS(2,COLUMN())),OFFSET($BN$2,0,0,ROW()-1,60),ROW()-1,FALSE))</f>
        <v>122.21501050000001</v>
      </c>
      <c r="AM394" t="str">
        <f ca="1">IF(AND(ISNUMBER($AM$816),$B$419=1),$AM$816,HLOOKUP(INDIRECT(ADDRESS(2,COLUMN())),OFFSET($BN$2,0,0,ROW()-1,60),ROW()-1,FALSE))</f>
        <v/>
      </c>
      <c r="AN394">
        <f ca="1">IF(AND(ISNUMBER($AN$816),$B$419=1),$AN$816,HLOOKUP(INDIRECT(ADDRESS(2,COLUMN())),OFFSET($BN$2,0,0,ROW()-1,60),ROW()-1,FALSE))</f>
        <v>95.949123439999994</v>
      </c>
      <c r="AO394">
        <f ca="1">IF(AND(ISNUMBER($AO$816),$B$419=1),$AO$816,HLOOKUP(INDIRECT(ADDRESS(2,COLUMN())),OFFSET($BN$2,0,0,ROW()-1,60),ROW()-1,FALSE))</f>
        <v>109.4380944</v>
      </c>
      <c r="AP394">
        <f ca="1">IF(AND(ISNUMBER($AP$816),$B$419=1),$AP$816,HLOOKUP(INDIRECT(ADDRESS(2,COLUMN())),OFFSET($BN$2,0,0,ROW()-1,60),ROW()-1,FALSE))</f>
        <v>84.938270430000003</v>
      </c>
      <c r="AQ394">
        <f ca="1">IF(AND(ISNUMBER($AQ$816),$B$419=1),$AQ$816,HLOOKUP(INDIRECT(ADDRESS(2,COLUMN())),OFFSET($BN$2,0,0,ROW()-1,60),ROW()-1,FALSE))</f>
        <v>81.139472810000001</v>
      </c>
      <c r="AR394">
        <f ca="1">IF(AND(ISNUMBER($AR$816),$B$419=1),$AR$816,HLOOKUP(INDIRECT(ADDRESS(2,COLUMN())),OFFSET($BN$2,0,0,ROW()-1,60),ROW()-1,FALSE))</f>
        <v>75.30964496</v>
      </c>
      <c r="AS394">
        <f ca="1">IF(AND(ISNUMBER($AS$816),$B$419=1),$AS$816,HLOOKUP(INDIRECT(ADDRESS(2,COLUMN())),OFFSET($BN$2,0,0,ROW()-1,60),ROW()-1,FALSE))</f>
        <v>0</v>
      </c>
      <c r="AT394">
        <f ca="1">IF(AND(ISNUMBER($AT$816),$B$419=1),$AT$816,HLOOKUP(INDIRECT(ADDRESS(2,COLUMN())),OFFSET($BN$2,0,0,ROW()-1,60),ROW()-1,FALSE))</f>
        <v>145.989476</v>
      </c>
      <c r="AU394">
        <f ca="1">IF(AND(ISNUMBER($AU$816),$B$419=1),$AU$816,HLOOKUP(INDIRECT(ADDRESS(2,COLUMN())),OFFSET($BN$2,0,0,ROW()-1,60),ROW()-1,FALSE))</f>
        <v>82.2397749</v>
      </c>
      <c r="AV394">
        <f ca="1">IF(AND(ISNUMBER($AV$816),$B$419=1),$AV$816,HLOOKUP(INDIRECT(ADDRESS(2,COLUMN())),OFFSET($BN$2,0,0,ROW()-1,60),ROW()-1,FALSE))</f>
        <v>76.80909226</v>
      </c>
      <c r="AW394">
        <f ca="1">IF(AND(ISNUMBER($AW$816),$B$419=1),$AW$816,HLOOKUP(INDIRECT(ADDRESS(2,COLUMN())),OFFSET($BN$2,0,0,ROW()-1,60),ROW()-1,FALSE))</f>
        <v>0</v>
      </c>
      <c r="AX394">
        <f ca="1">IF(AND(ISNUMBER($AX$816),$B$419=1),$AX$816,HLOOKUP(INDIRECT(ADDRESS(2,COLUMN())),OFFSET($BN$2,0,0,ROW()-1,60),ROW()-1,FALSE))</f>
        <v>144.66872480000001</v>
      </c>
      <c r="AY394">
        <f ca="1">IF(AND(ISNUMBER($AY$816),$B$419=1),$AY$816,HLOOKUP(INDIRECT(ADDRESS(2,COLUMN())),OFFSET($BN$2,0,0,ROW()-1,60),ROW()-1,FALSE))</f>
        <v>73.322869319999995</v>
      </c>
      <c r="AZ394">
        <f ca="1">IF(AND(ISNUMBER($AZ$816),$B$419=1),$AZ$816,HLOOKUP(INDIRECT(ADDRESS(2,COLUMN())),OFFSET($BN$2,0,0,ROW()-1,60),ROW()-1,FALSE))</f>
        <v>93.942946860000006</v>
      </c>
      <c r="BA394">
        <f ca="1">IF(AND(ISNUMBER($BA$816),$B$419=1),$BA$816,HLOOKUP(INDIRECT(ADDRESS(2,COLUMN())),OFFSET($BN$2,0,0,ROW()-1,60),ROW()-1,FALSE))</f>
        <v>75.943074699999997</v>
      </c>
      <c r="BB394">
        <f ca="1">IF(AND(ISNUMBER($BB$816),$B$419=1),$BB$816,HLOOKUP(INDIRECT(ADDRESS(2,COLUMN())),OFFSET($BN$2,0,0,ROW()-1,60),ROW()-1,FALSE))</f>
        <v>76.216366660000006</v>
      </c>
      <c r="BC394">
        <f ca="1">IF(AND(ISNUMBER($BC$816),$B$419=1),$BC$816,HLOOKUP(INDIRECT(ADDRESS(2,COLUMN())),OFFSET($BN$2,0,0,ROW()-1,60),ROW()-1,FALSE))</f>
        <v>144.92103259999999</v>
      </c>
      <c r="BD394">
        <f ca="1">IF(AND(ISNUMBER($BD$816),$B$419=1),$BD$816,HLOOKUP(INDIRECT(ADDRESS(2,COLUMN())),OFFSET($BN$2,0,0,ROW()-1,60),ROW()-1,FALSE))</f>
        <v>81.575797449999996</v>
      </c>
      <c r="BE394" t="str">
        <f ca="1">IF(AND(ISNUMBER($BE$816),$B$419=1),$BE$816,HLOOKUP(INDIRECT(ADDRESS(2,COLUMN())),OFFSET($BN$2,0,0,ROW()-1,60),ROW()-1,FALSE))</f>
        <v/>
      </c>
      <c r="BF394">
        <f ca="1">IF(AND(ISNUMBER($BF$816),$B$419=1),$BF$816,HLOOKUP(INDIRECT(ADDRESS(2,COLUMN())),OFFSET($BN$2,0,0,ROW()-1,60),ROW()-1,FALSE))</f>
        <v>86.023443299999997</v>
      </c>
      <c r="BG394">
        <f ca="1">IF(AND(ISNUMBER($BG$816),$B$419=1),$BG$816,HLOOKUP(INDIRECT(ADDRESS(2,COLUMN())),OFFSET($BN$2,0,0,ROW()-1,60),ROW()-1,FALSE))</f>
        <v>75.725414740000005</v>
      </c>
      <c r="BH394" t="str">
        <f ca="1">IF(AND(ISNUMBER($BH$816),$B$419=1),$BH$816,HLOOKUP(INDIRECT(ADDRESS(2,COLUMN())),OFFSET($BN$2,0,0,ROW()-1,60),ROW()-1,FALSE))</f>
        <v/>
      </c>
      <c r="BI394" t="str">
        <f ca="1">IF(AND(ISNUMBER($BI$816),$B$419=1),$BI$816,HLOOKUP(INDIRECT(ADDRESS(2,COLUMN())),OFFSET($BN$2,0,0,ROW()-1,60),ROW()-1,FALSE))</f>
        <v/>
      </c>
      <c r="BJ394" t="str">
        <f ca="1">IF(AND(ISNUMBER($BJ$816),$B$419=1),$BJ$816,HLOOKUP(INDIRECT(ADDRESS(2,COLUMN())),OFFSET($BN$2,0,0,ROW()-1,60),ROW()-1,FALSE))</f>
        <v/>
      </c>
      <c r="BK394">
        <f ca="1">IF(AND(ISNUMBER($BK$816),$B$419=1),$BK$816,HLOOKUP(INDIRECT(ADDRESS(2,COLUMN())),OFFSET($BN$2,0,0,ROW()-1,60),ROW()-1,FALSE))</f>
        <v>23.50144946</v>
      </c>
      <c r="BL394" t="str">
        <f ca="1">IF(AND(ISNUMBER($BL$816),$B$419=1),$BL$816,HLOOKUP(INDIRECT(ADDRESS(2,COLUMN())),OFFSET($BN$2,0,0,ROW()-1,60),ROW()-1,FALSE))</f>
        <v/>
      </c>
      <c r="BM394" t="str">
        <f ca="1">IF(AND(ISNUMBER($BM$816),$B$419=1),$BM$816,HLOOKUP(INDIRECT(ADDRESS(2,COLUMN())),OFFSET($BN$2,0,0,ROW()-1,60),ROW()-1,FALSE))</f>
        <v/>
      </c>
      <c r="BN394" t="str">
        <f>""</f>
        <v/>
      </c>
      <c r="BO394">
        <f>75.68279152</f>
        <v>75.682791519999995</v>
      </c>
      <c r="BP394">
        <f>72.28927987</f>
        <v>72.289279870000001</v>
      </c>
      <c r="BQ394">
        <f>76.98784762</f>
        <v>76.987847619999997</v>
      </c>
      <c r="BR394">
        <f>85.32459402</f>
        <v>85.324594020000006</v>
      </c>
      <c r="BS394">
        <f>73.94319231</f>
        <v>73.943192310000001</v>
      </c>
      <c r="BT394">
        <f>82.08701647</f>
        <v>82.087016469999995</v>
      </c>
      <c r="BU394">
        <f>77.57599096</f>
        <v>77.575990959999999</v>
      </c>
      <c r="BV394">
        <f>76.3452271</f>
        <v>76.345227100000002</v>
      </c>
      <c r="BW394">
        <f>88.59799611</f>
        <v>88.597996109999997</v>
      </c>
      <c r="BX394">
        <f>74.72852666</f>
        <v>74.72852666</v>
      </c>
      <c r="BY394">
        <f>76.60926698</f>
        <v>76.609266980000001</v>
      </c>
      <c r="BZ394">
        <f>78.04884932</f>
        <v>78.048849320000002</v>
      </c>
      <c r="CA394">
        <f>74.57343277</f>
        <v>74.573432769999997</v>
      </c>
      <c r="CB394">
        <f>80.02678291</f>
        <v>80.026782909999994</v>
      </c>
      <c r="CC394">
        <f>80.41590846</f>
        <v>80.415908459999997</v>
      </c>
      <c r="CD394">
        <f>79.93543259</f>
        <v>79.935432590000005</v>
      </c>
      <c r="CE394">
        <f>80.88380108</f>
        <v>80.883801079999998</v>
      </c>
      <c r="CF394">
        <f>81.65181997</f>
        <v>81.651819970000005</v>
      </c>
      <c r="CG394">
        <f>85.72691243</f>
        <v>85.726912429999999</v>
      </c>
      <c r="CH394">
        <f>81.11456808</f>
        <v>81.114568079999998</v>
      </c>
      <c r="CI394">
        <f>86.85047636</f>
        <v>86.850476360000002</v>
      </c>
      <c r="CJ394">
        <f>74.72827992</f>
        <v>74.728279920000006</v>
      </c>
      <c r="CK394">
        <f>93.93565205</f>
        <v>93.935652050000002</v>
      </c>
      <c r="CL394">
        <f>96.68101387</f>
        <v>96.681013870000001</v>
      </c>
      <c r="CM394">
        <f>91.56860714</f>
        <v>91.568607139999997</v>
      </c>
      <c r="CN394">
        <f>96.8637071</f>
        <v>96.863707099999999</v>
      </c>
      <c r="CO394">
        <f>100.9874717</f>
        <v>100.9874717</v>
      </c>
      <c r="CP394">
        <f>100.9078457</f>
        <v>100.9078457</v>
      </c>
      <c r="CQ394">
        <f>131.3114631</f>
        <v>131.3114631</v>
      </c>
      <c r="CR394">
        <f>106.149021</f>
        <v>106.149021</v>
      </c>
      <c r="CS394">
        <f>105.3166378</f>
        <v>105.3166378</v>
      </c>
      <c r="CT394">
        <f>122.2150105</f>
        <v>122.21501050000001</v>
      </c>
      <c r="CU394" t="str">
        <f>""</f>
        <v/>
      </c>
      <c r="CV394">
        <f>95.94912344</f>
        <v>95.949123439999994</v>
      </c>
      <c r="CW394">
        <f>109.4380944</f>
        <v>109.4380944</v>
      </c>
      <c r="CX394">
        <f>84.93827043</f>
        <v>84.938270430000003</v>
      </c>
      <c r="CY394">
        <f>81.13947281</f>
        <v>81.139472810000001</v>
      </c>
      <c r="CZ394">
        <f>75.30964496</f>
        <v>75.30964496</v>
      </c>
      <c r="DA394">
        <f>0</f>
        <v>0</v>
      </c>
      <c r="DB394">
        <f>145.989476</f>
        <v>145.989476</v>
      </c>
      <c r="DC394">
        <f>82.2397749</f>
        <v>82.2397749</v>
      </c>
      <c r="DD394">
        <f>76.80909226</f>
        <v>76.80909226</v>
      </c>
      <c r="DE394">
        <f>0</f>
        <v>0</v>
      </c>
      <c r="DF394">
        <f>144.6687248</f>
        <v>144.66872480000001</v>
      </c>
      <c r="DG394">
        <f>73.32286932</f>
        <v>73.322869319999995</v>
      </c>
      <c r="DH394">
        <f>93.94294686</f>
        <v>93.942946860000006</v>
      </c>
      <c r="DI394">
        <f>75.9430747</f>
        <v>75.943074699999997</v>
      </c>
      <c r="DJ394">
        <f>76.21636666</f>
        <v>76.216366660000006</v>
      </c>
      <c r="DK394">
        <f>144.9210326</f>
        <v>144.92103259999999</v>
      </c>
      <c r="DL394">
        <f>81.57579745</f>
        <v>81.575797449999996</v>
      </c>
      <c r="DM394" t="str">
        <f>""</f>
        <v/>
      </c>
      <c r="DN394">
        <f>86.0234433</f>
        <v>86.023443299999997</v>
      </c>
      <c r="DO394">
        <f>75.72541474</f>
        <v>75.725414740000005</v>
      </c>
      <c r="DP394" t="str">
        <f>""</f>
        <v/>
      </c>
      <c r="DQ394" t="str">
        <f>""</f>
        <v/>
      </c>
      <c r="DR394" t="str">
        <f>""</f>
        <v/>
      </c>
      <c r="DS394">
        <f>23.50144946</f>
        <v>23.50144946</v>
      </c>
      <c r="DT394" t="str">
        <f>""</f>
        <v/>
      </c>
      <c r="DU394" t="str">
        <f>""</f>
        <v/>
      </c>
    </row>
    <row r="395" spans="1:125">
      <c r="A395" t="str">
        <f>"    Realty Income Corp"</f>
        <v xml:space="preserve">    Realty Income Corp</v>
      </c>
      <c r="B395" t="str">
        <f>"O US Equity"</f>
        <v>O US Equity</v>
      </c>
      <c r="C395" t="str">
        <f t="shared" si="70"/>
        <v>RR106</v>
      </c>
      <c r="D395" t="str">
        <f t="shared" si="71"/>
        <v>FFO_PAYOUT_RATIO</v>
      </c>
      <c r="E395" t="str">
        <f t="shared" si="72"/>
        <v>动态</v>
      </c>
      <c r="F395" t="str">
        <f ca="1">IF(AND(ISNUMBER($F$817),$B$419=1),$F$817,HLOOKUP(INDIRECT(ADDRESS(2,COLUMN())),OFFSET($BN$2,0,0,ROW()-1,60),ROW()-1,FALSE))</f>
        <v/>
      </c>
      <c r="G395">
        <f ca="1">IF(AND(ISNUMBER($G$817),$B$419=1),$G$817,HLOOKUP(INDIRECT(ADDRESS(2,COLUMN())),OFFSET($BN$2,0,0,ROW()-1,60),ROW()-1,FALSE))</f>
        <v>104.8646689</v>
      </c>
      <c r="H395">
        <f ca="1">IF(AND(ISNUMBER($H$817),$B$419=1),$H$817,HLOOKUP(INDIRECT(ADDRESS(2,COLUMN())),OFFSET($BN$2,0,0,ROW()-1,60),ROW()-1,FALSE))</f>
        <v>82.676900639999999</v>
      </c>
      <c r="I395">
        <f ca="1">IF(AND(ISNUMBER($I$817),$B$419=1),$I$817,HLOOKUP(INDIRECT(ADDRESS(2,COLUMN())),OFFSET($BN$2,0,0,ROW()-1,60),ROW()-1,FALSE))</f>
        <v>85.045653119999997</v>
      </c>
      <c r="J395">
        <f ca="1">IF(AND(ISNUMBER($J$817),$B$419=1),$J$817,HLOOKUP(INDIRECT(ADDRESS(2,COLUMN())),OFFSET($BN$2,0,0,ROW()-1,60),ROW()-1,FALSE))</f>
        <v>86.802732719999995</v>
      </c>
      <c r="K395">
        <f ca="1">IF(AND(ISNUMBER($K$817),$B$419=1),$K$817,HLOOKUP(INDIRECT(ADDRESS(2,COLUMN())),OFFSET($BN$2,0,0,ROW()-1,60),ROW()-1,FALSE))</f>
        <v>78.435994059999999</v>
      </c>
      <c r="L395">
        <f ca="1">IF(AND(ISNUMBER($L$817),$B$419=1),$L$817,HLOOKUP(INDIRECT(ADDRESS(2,COLUMN())),OFFSET($BN$2,0,0,ROW()-1,60),ROW()-1,FALSE))</f>
        <v>82.424609369999999</v>
      </c>
      <c r="M395">
        <f ca="1">IF(AND(ISNUMBER($M$817),$B$419=1),$M$817,HLOOKUP(INDIRECT(ADDRESS(2,COLUMN())),OFFSET($BN$2,0,0,ROW()-1,60),ROW()-1,FALSE))</f>
        <v>85.614329060000003</v>
      </c>
      <c r="N395">
        <f ca="1">IF(AND(ISNUMBER($N$817),$B$419=1),$N$817,HLOOKUP(INDIRECT(ADDRESS(2,COLUMN())),OFFSET($BN$2,0,0,ROW()-1,60),ROW()-1,FALSE))</f>
        <v>86.354019539999996</v>
      </c>
      <c r="O395">
        <f ca="1">IF(AND(ISNUMBER($O$817),$B$419=1),$O$817,HLOOKUP(INDIRECT(ADDRESS(2,COLUMN())),OFFSET($BN$2,0,0,ROW()-1,60),ROW()-1,FALSE))</f>
        <v>78.957101420000001</v>
      </c>
      <c r="P395">
        <f ca="1">IF(AND(ISNUMBER($P$817),$B$419=1),$P$817,HLOOKUP(INDIRECT(ADDRESS(2,COLUMN())),OFFSET($BN$2,0,0,ROW()-1,60),ROW()-1,FALSE))</f>
        <v>82.935989149999997</v>
      </c>
      <c r="Q395">
        <f ca="1">IF(AND(ISNUMBER($Q$817),$B$419=1),$Q$817,HLOOKUP(INDIRECT(ADDRESS(2,COLUMN())),OFFSET($BN$2,0,0,ROW()-1,60),ROW()-1,FALSE))</f>
        <v>82.520223240000007</v>
      </c>
      <c r="R395">
        <f ca="1">IF(AND(ISNUMBER($R$817),$B$419=1),$R$817,HLOOKUP(INDIRECT(ADDRESS(2,COLUMN())),OFFSET($BN$2,0,0,ROW()-1,60),ROW()-1,FALSE))</f>
        <v>82.852845000000002</v>
      </c>
      <c r="S395">
        <f ca="1">IF(AND(ISNUMBER($S$817),$B$419=1),$S$817,HLOOKUP(INDIRECT(ADDRESS(2,COLUMN())),OFFSET($BN$2,0,0,ROW()-1,60),ROW()-1,FALSE))</f>
        <v>85.258096390000006</v>
      </c>
      <c r="T395">
        <f ca="1">IF(AND(ISNUMBER($T$817),$B$419=1),$T$817,HLOOKUP(INDIRECT(ADDRESS(2,COLUMN())),OFFSET($BN$2,0,0,ROW()-1,60),ROW()-1,FALSE))</f>
        <v>85.823744020000007</v>
      </c>
      <c r="U395">
        <f ca="1">IF(AND(ISNUMBER($U$817),$B$419=1),$U$817,HLOOKUP(INDIRECT(ADDRESS(2,COLUMN())),OFFSET($BN$2,0,0,ROW()-1,60),ROW()-1,FALSE))</f>
        <v>85.127344480000005</v>
      </c>
      <c r="V395">
        <f ca="1">IF(AND(ISNUMBER($V$817),$B$419=1),$V$817,HLOOKUP(INDIRECT(ADDRESS(2,COLUMN())),OFFSET($BN$2,0,0,ROW()-1,60),ROW()-1,FALSE))</f>
        <v>84.310139759999998</v>
      </c>
      <c r="W395">
        <f ca="1">IF(AND(ISNUMBER($W$817),$B$419=1),$W$817,HLOOKUP(INDIRECT(ADDRESS(2,COLUMN())),OFFSET($BN$2,0,0,ROW()-1,60),ROW()-1,FALSE))</f>
        <v>88.805263580000002</v>
      </c>
      <c r="X395">
        <f ca="1">IF(AND(ISNUMBER($X$817),$B$419=1),$X$817,HLOOKUP(INDIRECT(ADDRESS(2,COLUMN())),OFFSET($BN$2,0,0,ROW()-1,60),ROW()-1,FALSE))</f>
        <v>92.017805179999996</v>
      </c>
      <c r="Y395">
        <f ca="1">IF(AND(ISNUMBER($Y$817),$B$419=1),$Y$817,HLOOKUP(INDIRECT(ADDRESS(2,COLUMN())),OFFSET($BN$2,0,0,ROW()-1,60),ROW()-1,FALSE))</f>
        <v>90.751499170000002</v>
      </c>
      <c r="Z395">
        <f ca="1">IF(AND(ISNUMBER($Z$817),$B$419=1),$Z$817,HLOOKUP(INDIRECT(ADDRESS(2,COLUMN())),OFFSET($BN$2,0,0,ROW()-1,60),ROW()-1,FALSE))</f>
        <v>81.9545174</v>
      </c>
      <c r="AA395">
        <f ca="1">IF(AND(ISNUMBER($AA$817),$B$419=1),$AA$817,HLOOKUP(INDIRECT(ADDRESS(2,COLUMN())),OFFSET($BN$2,0,0,ROW()-1,60),ROW()-1,FALSE))</f>
        <v>84.702217129999994</v>
      </c>
      <c r="AB395">
        <f ca="1">IF(AND(ISNUMBER($AB$817),$B$419=1),$AB$817,HLOOKUP(INDIRECT(ADDRESS(2,COLUMN())),OFFSET($BN$2,0,0,ROW()-1,60),ROW()-1,FALSE))</f>
        <v>93.293913590000003</v>
      </c>
      <c r="AC395">
        <f ca="1">IF(AND(ISNUMBER($AC$817),$B$419=1),$AC$817,HLOOKUP(INDIRECT(ADDRESS(2,COLUMN())),OFFSET($BN$2,0,0,ROW()-1,60),ROW()-1,FALSE))</f>
        <v>89.554529130000006</v>
      </c>
      <c r="AD395">
        <f ca="1">IF(AND(ISNUMBER($AD$817),$B$419=1),$AD$817,HLOOKUP(INDIRECT(ADDRESS(2,COLUMN())),OFFSET($BN$2,0,0,ROW()-1,60),ROW()-1,FALSE))</f>
        <v>95.876101820000002</v>
      </c>
      <c r="AE395">
        <f ca="1">IF(AND(ISNUMBER($AE$817),$B$419=1),$AE$817,HLOOKUP(INDIRECT(ADDRESS(2,COLUMN())),OFFSET($BN$2,0,0,ROW()-1,60),ROW()-1,FALSE))</f>
        <v>85.228491270000006</v>
      </c>
      <c r="AF395">
        <f ca="1">IF(AND(ISNUMBER($AF$817),$B$419=1),$AF$817,HLOOKUP(INDIRECT(ADDRESS(2,COLUMN())),OFFSET($BN$2,0,0,ROW()-1,60),ROW()-1,FALSE))</f>
        <v>86.741435179999996</v>
      </c>
      <c r="AG395">
        <f ca="1">IF(AND(ISNUMBER($AG$817),$B$419=1),$AG$817,HLOOKUP(INDIRECT(ADDRESS(2,COLUMN())),OFFSET($BN$2,0,0,ROW()-1,60),ROW()-1,FALSE))</f>
        <v>90.259910739999995</v>
      </c>
      <c r="AH395">
        <f ca="1">IF(AND(ISNUMBER($AH$817),$B$419=1),$AH$817,HLOOKUP(INDIRECT(ADDRESS(2,COLUMN())),OFFSET($BN$2,0,0,ROW()-1,60),ROW()-1,FALSE))</f>
        <v>90.008450999999994</v>
      </c>
      <c r="AI395">
        <f ca="1">IF(AND(ISNUMBER($AI$817),$B$419=1),$AI$817,HLOOKUP(INDIRECT(ADDRESS(2,COLUMN())),OFFSET($BN$2,0,0,ROW()-1,60),ROW()-1,FALSE))</f>
        <v>91.032013559999996</v>
      </c>
      <c r="AJ395">
        <f ca="1">IF(AND(ISNUMBER($AJ$817),$B$419=1),$AJ$817,HLOOKUP(INDIRECT(ADDRESS(2,COLUMN())),OFFSET($BN$2,0,0,ROW()-1,60),ROW()-1,FALSE))</f>
        <v>94.188770809999994</v>
      </c>
      <c r="AK395">
        <f ca="1">IF(AND(ISNUMBER($AK$817),$B$419=1),$AK$817,HLOOKUP(INDIRECT(ADDRESS(2,COLUMN())),OFFSET($BN$2,0,0,ROW()-1,60),ROW()-1,FALSE))</f>
        <v>95.979996150000005</v>
      </c>
      <c r="AL395">
        <f ca="1">IF(AND(ISNUMBER($AL$817),$B$419=1),$AL$817,HLOOKUP(INDIRECT(ADDRESS(2,COLUMN())),OFFSET($BN$2,0,0,ROW()-1,60),ROW()-1,FALSE))</f>
        <v>95.953013799999994</v>
      </c>
      <c r="AM395">
        <f ca="1">IF(AND(ISNUMBER($AM$817),$B$419=1),$AM$817,HLOOKUP(INDIRECT(ADDRESS(2,COLUMN())),OFFSET($BN$2,0,0,ROW()-1,60),ROW()-1,FALSE))</f>
        <v>92.281136950000004</v>
      </c>
      <c r="AN395">
        <f ca="1">IF(AND(ISNUMBER($AN$817),$B$419=1),$AN$817,HLOOKUP(INDIRECT(ADDRESS(2,COLUMN())),OFFSET($BN$2,0,0,ROW()-1,60),ROW()-1,FALSE))</f>
        <v>92.496988830000006</v>
      </c>
      <c r="AO395">
        <f ca="1">IF(AND(ISNUMBER($AO$817),$B$419=1),$AO$817,HLOOKUP(INDIRECT(ADDRESS(2,COLUMN())),OFFSET($BN$2,0,0,ROW()-1,60),ROW()-1,FALSE))</f>
        <v>94.243323439999998</v>
      </c>
      <c r="AP395">
        <f ca="1">IF(AND(ISNUMBER($AP$817),$B$419=1),$AP$817,HLOOKUP(INDIRECT(ADDRESS(2,COLUMN())),OFFSET($BN$2,0,0,ROW()-1,60),ROW()-1,FALSE))</f>
        <v>94.924466129999999</v>
      </c>
      <c r="AQ395">
        <f ca="1">IF(AND(ISNUMBER($AQ$817),$B$419=1),$AQ$817,HLOOKUP(INDIRECT(ADDRESS(2,COLUMN())),OFFSET($BN$2,0,0,ROW()-1,60),ROW()-1,FALSE))</f>
        <v>93.852467730000001</v>
      </c>
      <c r="AR395">
        <f ca="1">IF(AND(ISNUMBER($AR$817),$B$419=1),$AR$817,HLOOKUP(INDIRECT(ADDRESS(2,COLUMN())),OFFSET($BN$2,0,0,ROW()-1,60),ROW()-1,FALSE))</f>
        <v>91.372598120000006</v>
      </c>
      <c r="AS395">
        <f ca="1">IF(AND(ISNUMBER($AS$817),$B$419=1),$AS$817,HLOOKUP(INDIRECT(ADDRESS(2,COLUMN())),OFFSET($BN$2,0,0,ROW()-1,60),ROW()-1,FALSE))</f>
        <v>88.343386859999995</v>
      </c>
      <c r="AT395">
        <f ca="1">IF(AND(ISNUMBER($AT$817),$B$419=1),$AT$817,HLOOKUP(INDIRECT(ADDRESS(2,COLUMN())),OFFSET($BN$2,0,0,ROW()-1,60),ROW()-1,FALSE))</f>
        <v>89.557390130000002</v>
      </c>
      <c r="AU395">
        <f ca="1">IF(AND(ISNUMBER($AU$817),$B$419=1),$AU$817,HLOOKUP(INDIRECT(ADDRESS(2,COLUMN())),OFFSET($BN$2,0,0,ROW()-1,60),ROW()-1,FALSE))</f>
        <v>85.857061139999999</v>
      </c>
      <c r="AV395">
        <f ca="1">IF(AND(ISNUMBER($AV$817),$B$419=1),$AV$817,HLOOKUP(INDIRECT(ADDRESS(2,COLUMN())),OFFSET($BN$2,0,0,ROW()-1,60),ROW()-1,FALSE))</f>
        <v>84.018165240000002</v>
      </c>
      <c r="AW395">
        <f ca="1">IF(AND(ISNUMBER($AW$817),$B$419=1),$AW$817,HLOOKUP(INDIRECT(ADDRESS(2,COLUMN())),OFFSET($BN$2,0,0,ROW()-1,60),ROW()-1,FALSE))</f>
        <v>78.318827810000002</v>
      </c>
      <c r="AX395">
        <f ca="1">IF(AND(ISNUMBER($AX$817),$B$419=1),$AX$817,HLOOKUP(INDIRECT(ADDRESS(2,COLUMN())),OFFSET($BN$2,0,0,ROW()-1,60),ROW()-1,FALSE))</f>
        <v>81.589252909999999</v>
      </c>
      <c r="AY395">
        <f ca="1">IF(AND(ISNUMBER($AY$817),$B$419=1),$AY$817,HLOOKUP(INDIRECT(ADDRESS(2,COLUMN())),OFFSET($BN$2,0,0,ROW()-1,60),ROW()-1,FALSE))</f>
        <v>82.21193624</v>
      </c>
      <c r="AZ395">
        <f ca="1">IF(AND(ISNUMBER($AZ$817),$B$419=1),$AZ$817,HLOOKUP(INDIRECT(ADDRESS(2,COLUMN())),OFFSET($BN$2,0,0,ROW()-1,60),ROW()-1,FALSE))</f>
        <v>84.585543630000004</v>
      </c>
      <c r="BA395">
        <f ca="1">IF(AND(ISNUMBER($BA$817),$B$419=1),$BA$817,HLOOKUP(INDIRECT(ADDRESS(2,COLUMN())),OFFSET($BN$2,0,0,ROW()-1,60),ROW()-1,FALSE))</f>
        <v>82.297593019999994</v>
      </c>
      <c r="BB395">
        <f ca="1">IF(AND(ISNUMBER($BB$817),$B$419=1),$BB$817,HLOOKUP(INDIRECT(ADDRESS(2,COLUMN())),OFFSET($BN$2,0,0,ROW()-1,60),ROW()-1,FALSE))</f>
        <v>82.206856029999997</v>
      </c>
      <c r="BC395">
        <f ca="1">IF(AND(ISNUMBER($BC$817),$B$419=1),$BC$817,HLOOKUP(INDIRECT(ADDRESS(2,COLUMN())),OFFSET($BN$2,0,0,ROW()-1,60),ROW()-1,FALSE))</f>
        <v>78.319631020000003</v>
      </c>
      <c r="BD395">
        <f ca="1">IF(AND(ISNUMBER($BD$817),$B$419=1),$BD$817,HLOOKUP(INDIRECT(ADDRESS(2,COLUMN())),OFFSET($BN$2,0,0,ROW()-1,60),ROW()-1,FALSE))</f>
        <v>84.625807179999995</v>
      </c>
      <c r="BE395">
        <f ca="1">IF(AND(ISNUMBER($BE$817),$B$419=1),$BE$817,HLOOKUP(INDIRECT(ADDRESS(2,COLUMN())),OFFSET($BN$2,0,0,ROW()-1,60),ROW()-1,FALSE))</f>
        <v>85.561833210000003</v>
      </c>
      <c r="BF395">
        <f ca="1">IF(AND(ISNUMBER($BF$817),$B$419=1),$BF$817,HLOOKUP(INDIRECT(ADDRESS(2,COLUMN())),OFFSET($BN$2,0,0,ROW()-1,60),ROW()-1,FALSE))</f>
        <v>84.275397580000003</v>
      </c>
      <c r="BG395">
        <f ca="1">IF(AND(ISNUMBER($BG$817),$B$419=1),$BG$817,HLOOKUP(INDIRECT(ADDRESS(2,COLUMN())),OFFSET($BN$2,0,0,ROW()-1,60),ROW()-1,FALSE))</f>
        <v>63.003676400000003</v>
      </c>
      <c r="BH395">
        <f ca="1">IF(AND(ISNUMBER($BH$817),$B$419=1),$BH$817,HLOOKUP(INDIRECT(ADDRESS(2,COLUMN())),OFFSET($BN$2,0,0,ROW()-1,60),ROW()-1,FALSE))</f>
        <v>29.421941790000002</v>
      </c>
      <c r="BI395">
        <f ca="1">IF(AND(ISNUMBER($BI$817),$B$419=1),$BI$817,HLOOKUP(INDIRECT(ADDRESS(2,COLUMN())),OFFSET($BN$2,0,0,ROW()-1,60),ROW()-1,FALSE))</f>
        <v>79.501112989999996</v>
      </c>
      <c r="BJ395">
        <f ca="1">IF(AND(ISNUMBER($BJ$817),$B$419=1),$BJ$817,HLOOKUP(INDIRECT(ADDRESS(2,COLUMN())),OFFSET($BN$2,0,0,ROW()-1,60),ROW()-1,FALSE))</f>
        <v>74.470089130000005</v>
      </c>
      <c r="BK395">
        <f ca="1">IF(AND(ISNUMBER($BK$817),$B$419=1),$BK$817,HLOOKUP(INDIRECT(ADDRESS(2,COLUMN())),OFFSET($BN$2,0,0,ROW()-1,60),ROW()-1,FALSE))</f>
        <v>70.597560319999999</v>
      </c>
      <c r="BL395">
        <f ca="1">IF(AND(ISNUMBER($BL$817),$B$419=1),$BL$817,HLOOKUP(INDIRECT(ADDRESS(2,COLUMN())),OFFSET($BN$2,0,0,ROW()-1,60),ROW()-1,FALSE))</f>
        <v>82.884252110000006</v>
      </c>
      <c r="BM395">
        <f ca="1">IF(AND(ISNUMBER($BM$817),$B$419=1),$BM$817,HLOOKUP(INDIRECT(ADDRESS(2,COLUMN())),OFFSET($BN$2,0,0,ROW()-1,60),ROW()-1,FALSE))</f>
        <v>86.415932069999997</v>
      </c>
      <c r="BN395" t="str">
        <f>""</f>
        <v/>
      </c>
      <c r="BO395">
        <f>104.8646689</f>
        <v>104.8646689</v>
      </c>
      <c r="BP395">
        <f>82.67690064</f>
        <v>82.676900639999999</v>
      </c>
      <c r="BQ395">
        <f>85.04565312</f>
        <v>85.045653119999997</v>
      </c>
      <c r="BR395">
        <f>86.80273272</f>
        <v>86.802732719999995</v>
      </c>
      <c r="BS395">
        <f>78.43599406</f>
        <v>78.435994059999999</v>
      </c>
      <c r="BT395">
        <f>82.42460937</f>
        <v>82.424609369999999</v>
      </c>
      <c r="BU395">
        <f>85.61432906</f>
        <v>85.614329060000003</v>
      </c>
      <c r="BV395">
        <f>86.35401954</f>
        <v>86.354019539999996</v>
      </c>
      <c r="BW395">
        <f>78.95710142</f>
        <v>78.957101420000001</v>
      </c>
      <c r="BX395">
        <f>82.93598915</f>
        <v>82.935989149999997</v>
      </c>
      <c r="BY395">
        <f>82.52022324</f>
        <v>82.520223240000007</v>
      </c>
      <c r="BZ395">
        <f>82.852845</f>
        <v>82.852845000000002</v>
      </c>
      <c r="CA395">
        <f>85.25809639</f>
        <v>85.258096390000006</v>
      </c>
      <c r="CB395">
        <f>85.82374402</f>
        <v>85.823744020000007</v>
      </c>
      <c r="CC395">
        <f>85.12734448</f>
        <v>85.127344480000005</v>
      </c>
      <c r="CD395">
        <f>84.31013976</f>
        <v>84.310139759999998</v>
      </c>
      <c r="CE395">
        <f>88.80526358</f>
        <v>88.805263580000002</v>
      </c>
      <c r="CF395">
        <f>92.01780518</f>
        <v>92.017805179999996</v>
      </c>
      <c r="CG395">
        <f>90.75149917</f>
        <v>90.751499170000002</v>
      </c>
      <c r="CH395">
        <f>81.9545174</f>
        <v>81.9545174</v>
      </c>
      <c r="CI395">
        <f>84.70221713</f>
        <v>84.702217129999994</v>
      </c>
      <c r="CJ395">
        <f>93.29391359</f>
        <v>93.293913590000003</v>
      </c>
      <c r="CK395">
        <f>89.55452913</f>
        <v>89.554529130000006</v>
      </c>
      <c r="CL395">
        <f>95.87610182</f>
        <v>95.876101820000002</v>
      </c>
      <c r="CM395">
        <f>85.22849127</f>
        <v>85.228491270000006</v>
      </c>
      <c r="CN395">
        <f>86.74143518</f>
        <v>86.741435179999996</v>
      </c>
      <c r="CO395">
        <f>90.25991074</f>
        <v>90.259910739999995</v>
      </c>
      <c r="CP395">
        <f>90.008451</f>
        <v>90.008450999999994</v>
      </c>
      <c r="CQ395">
        <f>91.03201356</f>
        <v>91.032013559999996</v>
      </c>
      <c r="CR395">
        <f>94.18877081</f>
        <v>94.188770809999994</v>
      </c>
      <c r="CS395">
        <f>95.97999615</f>
        <v>95.979996150000005</v>
      </c>
      <c r="CT395">
        <f>95.9530138</f>
        <v>95.953013799999994</v>
      </c>
      <c r="CU395">
        <f>92.28113695</f>
        <v>92.281136950000004</v>
      </c>
      <c r="CV395">
        <f>92.49698883</f>
        <v>92.496988830000006</v>
      </c>
      <c r="CW395">
        <f>94.24332344</f>
        <v>94.243323439999998</v>
      </c>
      <c r="CX395">
        <f>94.92446613</f>
        <v>94.924466129999999</v>
      </c>
      <c r="CY395">
        <f>93.85246773</f>
        <v>93.852467730000001</v>
      </c>
      <c r="CZ395">
        <f>91.37259812</f>
        <v>91.372598120000006</v>
      </c>
      <c r="DA395">
        <f>88.34338686</f>
        <v>88.343386859999995</v>
      </c>
      <c r="DB395">
        <f>89.55739013</f>
        <v>89.557390130000002</v>
      </c>
      <c r="DC395">
        <f>85.85706114</f>
        <v>85.857061139999999</v>
      </c>
      <c r="DD395">
        <f>84.01816524</f>
        <v>84.018165240000002</v>
      </c>
      <c r="DE395">
        <f>78.31882781</f>
        <v>78.318827810000002</v>
      </c>
      <c r="DF395">
        <f>81.58925291</f>
        <v>81.589252909999999</v>
      </c>
      <c r="DG395">
        <f>82.21193624</f>
        <v>82.21193624</v>
      </c>
      <c r="DH395">
        <f>84.58554363</f>
        <v>84.585543630000004</v>
      </c>
      <c r="DI395">
        <f>82.29759302</f>
        <v>82.297593019999994</v>
      </c>
      <c r="DJ395">
        <f>82.20685603</f>
        <v>82.206856029999997</v>
      </c>
      <c r="DK395">
        <f>78.31963102</f>
        <v>78.319631020000003</v>
      </c>
      <c r="DL395">
        <f>84.62580718</f>
        <v>84.625807179999995</v>
      </c>
      <c r="DM395">
        <f>85.56183321</f>
        <v>85.561833210000003</v>
      </c>
      <c r="DN395">
        <f>84.27539758</f>
        <v>84.275397580000003</v>
      </c>
      <c r="DO395">
        <f>63.0036764</f>
        <v>63.003676400000003</v>
      </c>
      <c r="DP395">
        <f>29.42194179</f>
        <v>29.421941790000002</v>
      </c>
      <c r="DQ395">
        <f>79.50111299</f>
        <v>79.501112989999996</v>
      </c>
      <c r="DR395">
        <f>74.47008913</f>
        <v>74.470089130000005</v>
      </c>
      <c r="DS395">
        <f>70.59756032</f>
        <v>70.597560319999999</v>
      </c>
      <c r="DT395">
        <f>82.88425211</f>
        <v>82.884252110000006</v>
      </c>
      <c r="DU395">
        <f>86.41593207</f>
        <v>86.415932069999997</v>
      </c>
    </row>
    <row r="396" spans="1:125">
      <c r="A396" t="str">
        <f>"    Regency Centers Corp"</f>
        <v xml:space="preserve">    Regency Centers Corp</v>
      </c>
      <c r="B396" t="str">
        <f>"REG US Equity"</f>
        <v>REG US Equity</v>
      </c>
      <c r="C396" t="str">
        <f t="shared" si="70"/>
        <v>RR106</v>
      </c>
      <c r="D396" t="str">
        <f t="shared" si="71"/>
        <v>FFO_PAYOUT_RATIO</v>
      </c>
      <c r="E396" t="str">
        <f t="shared" si="72"/>
        <v>动态</v>
      </c>
      <c r="F396" t="str">
        <f ca="1">IF(AND(ISNUMBER($F$818),$B$419=1),$F$818,HLOOKUP(INDIRECT(ADDRESS(2,COLUMN())),OFFSET($BN$2,0,0,ROW()-1,60),ROW()-1,FALSE))</f>
        <v/>
      </c>
      <c r="G396">
        <f ca="1">IF(AND(ISNUMBER($G$818),$B$419=1),$G$818,HLOOKUP(INDIRECT(ADDRESS(2,COLUMN())),OFFSET($BN$2,0,0,ROW()-1,60),ROW()-1,FALSE))</f>
        <v>56.119753090000003</v>
      </c>
      <c r="H396">
        <f ca="1">IF(AND(ISNUMBER($H$818),$B$419=1),$H$818,HLOOKUP(INDIRECT(ADDRESS(2,COLUMN())),OFFSET($BN$2,0,0,ROW()-1,60),ROW()-1,FALSE))</f>
        <v>57.891166290000001</v>
      </c>
      <c r="I396">
        <f ca="1">IF(AND(ISNUMBER($I$818),$B$419=1),$I$818,HLOOKUP(INDIRECT(ADDRESS(2,COLUMN())),OFFSET($BN$2,0,0,ROW()-1,60),ROW()-1,FALSE))</f>
        <v>62.792828190000002</v>
      </c>
      <c r="J396">
        <f ca="1">IF(AND(ISNUMBER($J$818),$B$419=1),$J$818,HLOOKUP(INDIRECT(ADDRESS(2,COLUMN())),OFFSET($BN$2,0,0,ROW()-1,60),ROW()-1,FALSE))</f>
        <v>156.4125062</v>
      </c>
      <c r="K396">
        <f ca="1">IF(AND(ISNUMBER($K$818),$B$419=1),$K$818,HLOOKUP(INDIRECT(ADDRESS(2,COLUMN())),OFFSET($BN$2,0,0,ROW()-1,60),ROW()-1,FALSE))</f>
        <v>63.13817246</v>
      </c>
      <c r="L396">
        <f ca="1">IF(AND(ISNUMBER($L$818),$B$419=1),$L$818,HLOOKUP(INDIRECT(ADDRESS(2,COLUMN())),OFFSET($BN$2,0,0,ROW()-1,60),ROW()-1,FALSE))</f>
        <v>172.32638539999999</v>
      </c>
      <c r="M396">
        <f ca="1">IF(AND(ISNUMBER($M$818),$B$419=1),$M$818,HLOOKUP(INDIRECT(ADDRESS(2,COLUMN())),OFFSET($BN$2,0,0,ROW()-1,60),ROW()-1,FALSE))</f>
        <v>61.26844509</v>
      </c>
      <c r="N396">
        <f ca="1">IF(AND(ISNUMBER($N$818),$B$419=1),$N$818,HLOOKUP(INDIRECT(ADDRESS(2,COLUMN())),OFFSET($BN$2,0,0,ROW()-1,60),ROW()-1,FALSE))</f>
        <v>57.916251959999997</v>
      </c>
      <c r="O396">
        <f ca="1">IF(AND(ISNUMBER($O$818),$B$419=1),$O$818,HLOOKUP(INDIRECT(ADDRESS(2,COLUMN())),OFFSET($BN$2,0,0,ROW()-1,60),ROW()-1,FALSE))</f>
        <v>72.513983839999995</v>
      </c>
      <c r="P396">
        <f ca="1">IF(AND(ISNUMBER($P$818),$B$419=1),$P$818,HLOOKUP(INDIRECT(ADDRESS(2,COLUMN())),OFFSET($BN$2,0,0,ROW()-1,60),ROW()-1,FALSE))</f>
        <v>63.757947639999998</v>
      </c>
      <c r="Q396">
        <f ca="1">IF(AND(ISNUMBER($Q$818),$B$419=1),$Q$818,HLOOKUP(INDIRECT(ADDRESS(2,COLUMN())),OFFSET($BN$2,0,0,ROW()-1,60),ROW()-1,FALSE))</f>
        <v>64.266152419999997</v>
      </c>
      <c r="R396">
        <f ca="1">IF(AND(ISNUMBER($R$818),$B$419=1),$R$818,HLOOKUP(INDIRECT(ADDRESS(2,COLUMN())),OFFSET($BN$2,0,0,ROW()-1,60),ROW()-1,FALSE))</f>
        <v>65.363659859999999</v>
      </c>
      <c r="S396">
        <f ca="1">IF(AND(ISNUMBER($S$818),$B$419=1),$S$818,HLOOKUP(INDIRECT(ADDRESS(2,COLUMN())),OFFSET($BN$2,0,0,ROW()-1,60),ROW()-1,FALSE))</f>
        <v>60.239618190000002</v>
      </c>
      <c r="T396">
        <f ca="1">IF(AND(ISNUMBER($T$818),$B$419=1),$T$818,HLOOKUP(INDIRECT(ADDRESS(2,COLUMN())),OFFSET($BN$2,0,0,ROW()-1,60),ROW()-1,FALSE))</f>
        <v>66.839218110000004</v>
      </c>
      <c r="U396">
        <f ca="1">IF(AND(ISNUMBER($U$818),$B$419=1),$U$818,HLOOKUP(INDIRECT(ADDRESS(2,COLUMN())),OFFSET($BN$2,0,0,ROW()-1,60),ROW()-1,FALSE))</f>
        <v>65.936506489999999</v>
      </c>
      <c r="V396">
        <f ca="1">IF(AND(ISNUMBER($V$818),$B$419=1),$V$818,HLOOKUP(INDIRECT(ADDRESS(2,COLUMN())),OFFSET($BN$2,0,0,ROW()-1,60),ROW()-1,FALSE))</f>
        <v>66.392952890000004</v>
      </c>
      <c r="W396">
        <f ca="1">IF(AND(ISNUMBER($W$818),$B$419=1),$W$818,HLOOKUP(INDIRECT(ADDRESS(2,COLUMN())),OFFSET($BN$2,0,0,ROW()-1,60),ROW()-1,FALSE))</f>
        <v>70.99966311</v>
      </c>
      <c r="X396">
        <f ca="1">IF(AND(ISNUMBER($X$818),$B$419=1),$X$818,HLOOKUP(INDIRECT(ADDRESS(2,COLUMN())),OFFSET($BN$2,0,0,ROW()-1,60),ROW()-1,FALSE))</f>
        <v>66.517908989999995</v>
      </c>
      <c r="Y396">
        <f ca="1">IF(AND(ISNUMBER($Y$818),$B$419=1),$Y$818,HLOOKUP(INDIRECT(ADDRESS(2,COLUMN())),OFFSET($BN$2,0,0,ROW()-1,60),ROW()-1,FALSE))</f>
        <v>68.218988440000004</v>
      </c>
      <c r="Z396">
        <f ca="1">IF(AND(ISNUMBER($Z$818),$B$419=1),$Z$818,HLOOKUP(INDIRECT(ADDRESS(2,COLUMN())),OFFSET($BN$2,0,0,ROW()-1,60),ROW()-1,FALSE))</f>
        <v>72.228963699999994</v>
      </c>
      <c r="AA396">
        <f ca="1">IF(AND(ISNUMBER($AA$818),$B$419=1),$AA$818,HLOOKUP(INDIRECT(ADDRESS(2,COLUMN())),OFFSET($BN$2,0,0,ROW()-1,60),ROW()-1,FALSE))</f>
        <v>70.431830829999996</v>
      </c>
      <c r="AB396">
        <f ca="1">IF(AND(ISNUMBER($AB$818),$B$419=1),$AB$818,HLOOKUP(INDIRECT(ADDRESS(2,COLUMN())),OFFSET($BN$2,0,0,ROW()-1,60),ROW()-1,FALSE))</f>
        <v>79.826848839999997</v>
      </c>
      <c r="AC396">
        <f ca="1">IF(AND(ISNUMBER($AC$818),$B$419=1),$AC$818,HLOOKUP(INDIRECT(ADDRESS(2,COLUMN())),OFFSET($BN$2,0,0,ROW()-1,60),ROW()-1,FALSE))</f>
        <v>67.713004479999995</v>
      </c>
      <c r="AD396">
        <f ca="1">IF(AND(ISNUMBER($AD$818),$B$419=1),$AD$818,HLOOKUP(INDIRECT(ADDRESS(2,COLUMN())),OFFSET($BN$2,0,0,ROW()-1,60),ROW()-1,FALSE))</f>
        <v>83.273627439999999</v>
      </c>
      <c r="AE396">
        <f ca="1">IF(AND(ISNUMBER($AE$818),$B$419=1),$AE$818,HLOOKUP(INDIRECT(ADDRESS(2,COLUMN())),OFFSET($BN$2,0,0,ROW()-1,60),ROW()-1,FALSE))</f>
        <v>73.504469869999994</v>
      </c>
      <c r="AF396">
        <f ca="1">IF(AND(ISNUMBER($AF$818),$B$419=1),$AF$818,HLOOKUP(INDIRECT(ADDRESS(2,COLUMN())),OFFSET($BN$2,0,0,ROW()-1,60),ROW()-1,FALSE))</f>
        <v>74.125576039999999</v>
      </c>
      <c r="AG396">
        <f ca="1">IF(AND(ISNUMBER($AG$818),$B$419=1),$AG$818,HLOOKUP(INDIRECT(ADDRESS(2,COLUMN())),OFFSET($BN$2,0,0,ROW()-1,60),ROW()-1,FALSE))</f>
        <v>75.181961580000007</v>
      </c>
      <c r="AH396">
        <f ca="1">IF(AND(ISNUMBER($AH$818),$B$419=1),$AH$818,HLOOKUP(INDIRECT(ADDRESS(2,COLUMN())),OFFSET($BN$2,0,0,ROW()-1,60),ROW()-1,FALSE))</f>
        <v>71.649897100000004</v>
      </c>
      <c r="AI396">
        <f ca="1">IF(AND(ISNUMBER($AI$818),$B$419=1),$AI$818,HLOOKUP(INDIRECT(ADDRESS(2,COLUMN())),OFFSET($BN$2,0,0,ROW()-1,60),ROW()-1,FALSE))</f>
        <v>184.9855823</v>
      </c>
      <c r="AJ396">
        <f ca="1">IF(AND(ISNUMBER($AJ$818),$B$419=1),$AJ$818,HLOOKUP(INDIRECT(ADDRESS(2,COLUMN())),OFFSET($BN$2,0,0,ROW()-1,60),ROW()-1,FALSE))</f>
        <v>72.665944539999998</v>
      </c>
      <c r="AK396">
        <f ca="1">IF(AND(ISNUMBER($AK$818),$B$419=1),$AK$818,HLOOKUP(INDIRECT(ADDRESS(2,COLUMN())),OFFSET($BN$2,0,0,ROW()-1,60),ROW()-1,FALSE))</f>
        <v>78.428389030000005</v>
      </c>
      <c r="AL396">
        <f ca="1">IF(AND(ISNUMBER($AL$818),$B$419=1),$AL$818,HLOOKUP(INDIRECT(ADDRESS(2,COLUMN())),OFFSET($BN$2,0,0,ROW()-1,60),ROW()-1,FALSE))</f>
        <v>78.338013040000007</v>
      </c>
      <c r="AM396">
        <f ca="1">IF(AND(ISNUMBER($AM$818),$B$419=1),$AM$818,HLOOKUP(INDIRECT(ADDRESS(2,COLUMN())),OFFSET($BN$2,0,0,ROW()-1,60),ROW()-1,FALSE))</f>
        <v>65.419183520000004</v>
      </c>
      <c r="AN396" t="str">
        <f ca="1">IF(AND(ISNUMBER($AN$818),$B$419=1),$AN$818,HLOOKUP(INDIRECT(ADDRESS(2,COLUMN())),OFFSET($BN$2,0,0,ROW()-1,60),ROW()-1,FALSE))</f>
        <v/>
      </c>
      <c r="AO396">
        <f ca="1">IF(AND(ISNUMBER($AO$818),$B$419=1),$AO$818,HLOOKUP(INDIRECT(ADDRESS(2,COLUMN())),OFFSET($BN$2,0,0,ROW()-1,60),ROW()-1,FALSE))</f>
        <v>371.88151850000003</v>
      </c>
      <c r="AP396">
        <f ca="1">IF(AND(ISNUMBER($AP$818),$B$419=1),$AP$818,HLOOKUP(INDIRECT(ADDRESS(2,COLUMN())),OFFSET($BN$2,0,0,ROW()-1,60),ROW()-1,FALSE))</f>
        <v>92.273887549999998</v>
      </c>
      <c r="AQ396">
        <f ca="1">IF(AND(ISNUMBER($AQ$818),$B$419=1),$AQ$818,HLOOKUP(INDIRECT(ADDRESS(2,COLUMN())),OFFSET($BN$2,0,0,ROW()-1,60),ROW()-1,FALSE))</f>
        <v>99.866891559999999</v>
      </c>
      <c r="AR396">
        <f ca="1">IF(AND(ISNUMBER($AR$818),$B$419=1),$AR$818,HLOOKUP(INDIRECT(ADDRESS(2,COLUMN())),OFFSET($BN$2,0,0,ROW()-1,60),ROW()-1,FALSE))</f>
        <v>60.926144899999997</v>
      </c>
      <c r="AS396">
        <f ca="1">IF(AND(ISNUMBER($AS$818),$B$419=1),$AS$818,HLOOKUP(INDIRECT(ADDRESS(2,COLUMN())),OFFSET($BN$2,0,0,ROW()-1,60),ROW()-1,FALSE))</f>
        <v>74.626124250000004</v>
      </c>
      <c r="AT396">
        <f ca="1">IF(AND(ISNUMBER($AT$818),$B$419=1),$AT$818,HLOOKUP(INDIRECT(ADDRESS(2,COLUMN())),OFFSET($BN$2,0,0,ROW()-1,60),ROW()-1,FALSE))</f>
        <v>83.028899249999995</v>
      </c>
      <c r="AU396">
        <f ca="1">IF(AND(ISNUMBER($AU$818),$B$419=1),$AU$818,HLOOKUP(INDIRECT(ADDRESS(2,COLUMN())),OFFSET($BN$2,0,0,ROW()-1,60),ROW()-1,FALSE))</f>
        <v>56.428975370000003</v>
      </c>
      <c r="AV396">
        <f ca="1">IF(AND(ISNUMBER($AV$818),$B$419=1),$AV$818,HLOOKUP(INDIRECT(ADDRESS(2,COLUMN())),OFFSET($BN$2,0,0,ROW()-1,60),ROW()-1,FALSE))</f>
        <v>203.60229169999999</v>
      </c>
      <c r="AW396">
        <f ca="1">IF(AND(ISNUMBER($AW$818),$B$419=1),$AW$818,HLOOKUP(INDIRECT(ADDRESS(2,COLUMN())),OFFSET($BN$2,0,0,ROW()-1,60),ROW()-1,FALSE))</f>
        <v>138.8831495</v>
      </c>
      <c r="AX396">
        <f ca="1">IF(AND(ISNUMBER($AX$818),$B$419=1),$AX$818,HLOOKUP(INDIRECT(ADDRESS(2,COLUMN())),OFFSET($BN$2,0,0,ROW()-1,60),ROW()-1,FALSE))</f>
        <v>57.970741709999999</v>
      </c>
      <c r="AY396">
        <f ca="1">IF(AND(ISNUMBER($AY$818),$B$419=1),$AY$818,HLOOKUP(INDIRECT(ADDRESS(2,COLUMN())),OFFSET($BN$2,0,0,ROW()-1,60),ROW()-1,FALSE))</f>
        <v>54.887880039999999</v>
      </c>
      <c r="AZ396">
        <f ca="1">IF(AND(ISNUMBER($AZ$818),$B$419=1),$AZ$818,HLOOKUP(INDIRECT(ADDRESS(2,COLUMN())),OFFSET($BN$2,0,0,ROW()-1,60),ROW()-1,FALSE))</f>
        <v>58.605034099999997</v>
      </c>
      <c r="BA396">
        <f ca="1">IF(AND(ISNUMBER($BA$818),$B$419=1),$BA$818,HLOOKUP(INDIRECT(ADDRESS(2,COLUMN())),OFFSET($BN$2,0,0,ROW()-1,60),ROW()-1,FALSE))</f>
        <v>62.819900310000001</v>
      </c>
      <c r="BB396">
        <f ca="1">IF(AND(ISNUMBER($BB$818),$B$419=1),$BB$818,HLOOKUP(INDIRECT(ADDRESS(2,COLUMN())),OFFSET($BN$2,0,0,ROW()-1,60),ROW()-1,FALSE))</f>
        <v>68.613036339999994</v>
      </c>
      <c r="BC396">
        <f ca="1">IF(AND(ISNUMBER($BC$818),$B$419=1),$BC$818,HLOOKUP(INDIRECT(ADDRESS(2,COLUMN())),OFFSET($BN$2,0,0,ROW()-1,60),ROW()-1,FALSE))</f>
        <v>57.173969100000001</v>
      </c>
      <c r="BD396">
        <f ca="1">IF(AND(ISNUMBER($BD$818),$B$419=1),$BD$818,HLOOKUP(INDIRECT(ADDRESS(2,COLUMN())),OFFSET($BN$2,0,0,ROW()-1,60),ROW()-1,FALSE))</f>
        <v>66.474538210000006</v>
      </c>
      <c r="BE396">
        <f ca="1">IF(AND(ISNUMBER($BE$818),$B$419=1),$BE$818,HLOOKUP(INDIRECT(ADDRESS(2,COLUMN())),OFFSET($BN$2,0,0,ROW()-1,60),ROW()-1,FALSE))</f>
        <v>52.091370169999998</v>
      </c>
      <c r="BF396">
        <f ca="1">IF(AND(ISNUMBER($BF$818),$B$419=1),$BF$818,HLOOKUP(INDIRECT(ADDRESS(2,COLUMN())),OFFSET($BN$2,0,0,ROW()-1,60),ROW()-1,FALSE))</f>
        <v>59.850381380000002</v>
      </c>
      <c r="BG396">
        <f ca="1">IF(AND(ISNUMBER($BG$818),$B$419=1),$BG$818,HLOOKUP(INDIRECT(ADDRESS(2,COLUMN())),OFFSET($BN$2,0,0,ROW()-1,60),ROW()-1,FALSE))</f>
        <v>54.417614800000003</v>
      </c>
      <c r="BH396">
        <f ca="1">IF(AND(ISNUMBER($BH$818),$B$419=1),$BH$818,HLOOKUP(INDIRECT(ADDRESS(2,COLUMN())),OFFSET($BN$2,0,0,ROW()-1,60),ROW()-1,FALSE))</f>
        <v>62.874389100000002</v>
      </c>
      <c r="BI396">
        <f ca="1">IF(AND(ISNUMBER($BI$818),$B$419=1),$BI$818,HLOOKUP(INDIRECT(ADDRESS(2,COLUMN())),OFFSET($BN$2,0,0,ROW()-1,60),ROW()-1,FALSE))</f>
        <v>70.314243759999997</v>
      </c>
      <c r="BJ396">
        <f ca="1">IF(AND(ISNUMBER($BJ$818),$B$419=1),$BJ$818,HLOOKUP(INDIRECT(ADDRESS(2,COLUMN())),OFFSET($BN$2,0,0,ROW()-1,60),ROW()-1,FALSE))</f>
        <v>78.019766970000006</v>
      </c>
      <c r="BK396">
        <f ca="1">IF(AND(ISNUMBER($BK$818),$B$419=1),$BK$818,HLOOKUP(INDIRECT(ADDRESS(2,COLUMN())),OFFSET($BN$2,0,0,ROW()-1,60),ROW()-1,FALSE))</f>
        <v>55.706644850000004</v>
      </c>
      <c r="BL396">
        <f ca="1">IF(AND(ISNUMBER($BL$818),$B$419=1),$BL$818,HLOOKUP(INDIRECT(ADDRESS(2,COLUMN())),OFFSET($BN$2,0,0,ROW()-1,60),ROW()-1,FALSE))</f>
        <v>65.670706069999994</v>
      </c>
      <c r="BM396">
        <f ca="1">IF(AND(ISNUMBER($BM$818),$B$419=1),$BM$818,HLOOKUP(INDIRECT(ADDRESS(2,COLUMN())),OFFSET($BN$2,0,0,ROW()-1,60),ROW()-1,FALSE))</f>
        <v>75.73168441</v>
      </c>
      <c r="BN396" t="str">
        <f>""</f>
        <v/>
      </c>
      <c r="BO396">
        <f>56.11975309</f>
        <v>56.119753090000003</v>
      </c>
      <c r="BP396">
        <f>57.89116629</f>
        <v>57.891166290000001</v>
      </c>
      <c r="BQ396">
        <f>62.79282819</f>
        <v>62.792828190000002</v>
      </c>
      <c r="BR396">
        <f>156.4125062</f>
        <v>156.4125062</v>
      </c>
      <c r="BS396">
        <f>63.13817246</f>
        <v>63.13817246</v>
      </c>
      <c r="BT396">
        <f>172.3263854</f>
        <v>172.32638539999999</v>
      </c>
      <c r="BU396">
        <f>61.26844509</f>
        <v>61.26844509</v>
      </c>
      <c r="BV396">
        <f>57.91625196</f>
        <v>57.916251959999997</v>
      </c>
      <c r="BW396">
        <f>72.51398384</f>
        <v>72.513983839999995</v>
      </c>
      <c r="BX396">
        <f>63.75794764</f>
        <v>63.757947639999998</v>
      </c>
      <c r="BY396">
        <f>64.26615242</f>
        <v>64.266152419999997</v>
      </c>
      <c r="BZ396">
        <f>65.36365986</f>
        <v>65.363659859999999</v>
      </c>
      <c r="CA396">
        <f>60.23961819</f>
        <v>60.239618190000002</v>
      </c>
      <c r="CB396">
        <f>66.83921811</f>
        <v>66.839218110000004</v>
      </c>
      <c r="CC396">
        <f>65.93650649</f>
        <v>65.936506489999999</v>
      </c>
      <c r="CD396">
        <f>66.39295289</f>
        <v>66.392952890000004</v>
      </c>
      <c r="CE396">
        <f>70.99966311</f>
        <v>70.99966311</v>
      </c>
      <c r="CF396">
        <f>66.51790899</f>
        <v>66.517908989999995</v>
      </c>
      <c r="CG396">
        <f>68.21898844</f>
        <v>68.218988440000004</v>
      </c>
      <c r="CH396">
        <f>72.2289637</f>
        <v>72.228963699999994</v>
      </c>
      <c r="CI396">
        <f>70.43183083</f>
        <v>70.431830829999996</v>
      </c>
      <c r="CJ396">
        <f>79.82684884</f>
        <v>79.826848839999997</v>
      </c>
      <c r="CK396">
        <f>67.71300448</f>
        <v>67.713004479999995</v>
      </c>
      <c r="CL396">
        <f>83.27362744</f>
        <v>83.273627439999999</v>
      </c>
      <c r="CM396">
        <f>73.50446987</f>
        <v>73.504469869999994</v>
      </c>
      <c r="CN396">
        <f>74.12557604</f>
        <v>74.125576039999999</v>
      </c>
      <c r="CO396">
        <f>75.18196158</f>
        <v>75.181961580000007</v>
      </c>
      <c r="CP396">
        <f>71.6498971</f>
        <v>71.649897100000004</v>
      </c>
      <c r="CQ396">
        <f>184.9855823</f>
        <v>184.9855823</v>
      </c>
      <c r="CR396">
        <f>72.66594454</f>
        <v>72.665944539999998</v>
      </c>
      <c r="CS396">
        <f>78.42838903</f>
        <v>78.428389030000005</v>
      </c>
      <c r="CT396">
        <f>78.33801304</f>
        <v>78.338013040000007</v>
      </c>
      <c r="CU396">
        <f>65.41918352</f>
        <v>65.419183520000004</v>
      </c>
      <c r="CV396" t="str">
        <f>""</f>
        <v/>
      </c>
      <c r="CW396">
        <f>371.8815185</f>
        <v>371.88151850000003</v>
      </c>
      <c r="CX396">
        <f>92.27388755</f>
        <v>92.273887549999998</v>
      </c>
      <c r="CY396">
        <f>99.86689156</f>
        <v>99.866891559999999</v>
      </c>
      <c r="CZ396">
        <f>60.9261449</f>
        <v>60.926144899999997</v>
      </c>
      <c r="DA396">
        <f>74.62612425</f>
        <v>74.626124250000004</v>
      </c>
      <c r="DB396">
        <f>83.02889925</f>
        <v>83.028899249999995</v>
      </c>
      <c r="DC396">
        <f>56.42897537</f>
        <v>56.428975370000003</v>
      </c>
      <c r="DD396">
        <f>203.6022917</f>
        <v>203.60229169999999</v>
      </c>
      <c r="DE396">
        <f>138.8831495</f>
        <v>138.8831495</v>
      </c>
      <c r="DF396">
        <f>57.97074171</f>
        <v>57.970741709999999</v>
      </c>
      <c r="DG396">
        <f>54.88788004</f>
        <v>54.887880039999999</v>
      </c>
      <c r="DH396">
        <f>58.6050341</f>
        <v>58.605034099999997</v>
      </c>
      <c r="DI396">
        <f>62.81990031</f>
        <v>62.819900310000001</v>
      </c>
      <c r="DJ396">
        <f>68.61303634</f>
        <v>68.613036339999994</v>
      </c>
      <c r="DK396">
        <f>57.1739691</f>
        <v>57.173969100000001</v>
      </c>
      <c r="DL396">
        <f>66.47453821</f>
        <v>66.474538210000006</v>
      </c>
      <c r="DM396">
        <f>52.09137017</f>
        <v>52.091370169999998</v>
      </c>
      <c r="DN396">
        <f>59.85038138</f>
        <v>59.850381380000002</v>
      </c>
      <c r="DO396">
        <f>54.4176148</f>
        <v>54.417614800000003</v>
      </c>
      <c r="DP396">
        <f>62.8743891</f>
        <v>62.874389100000002</v>
      </c>
      <c r="DQ396">
        <f>70.31424376</f>
        <v>70.314243759999997</v>
      </c>
      <c r="DR396">
        <f>78.01976697</f>
        <v>78.019766970000006</v>
      </c>
      <c r="DS396">
        <f>55.70664485</f>
        <v>55.706644850000004</v>
      </c>
      <c r="DT396">
        <f>65.67070607</f>
        <v>65.670706069999994</v>
      </c>
      <c r="DU396">
        <f>75.73168441</f>
        <v>75.73168441</v>
      </c>
    </row>
    <row r="397" spans="1:125">
      <c r="A397" t="str">
        <f>"    Retail Opportunity Investments"</f>
        <v xml:space="preserve">    Retail Opportunity Investments</v>
      </c>
      <c r="B397" t="str">
        <f>"ROIC US Equity"</f>
        <v>ROIC US Equity</v>
      </c>
      <c r="C397" t="str">
        <f t="shared" si="70"/>
        <v>RR106</v>
      </c>
      <c r="D397" t="str">
        <f t="shared" si="71"/>
        <v>FFO_PAYOUT_RATIO</v>
      </c>
      <c r="E397" t="str">
        <f t="shared" si="72"/>
        <v>动态</v>
      </c>
      <c r="F397" t="str">
        <f ca="1">IF(AND(ISNUMBER($F$819),$B$419=1),$F$819,HLOOKUP(INDIRECT(ADDRESS(2,COLUMN())),OFFSET($BN$2,0,0,ROW()-1,60),ROW()-1,FALSE))</f>
        <v/>
      </c>
      <c r="G397">
        <f ca="1">IF(AND(ISNUMBER($G$819),$B$419=1),$G$819,HLOOKUP(INDIRECT(ADDRESS(2,COLUMN())),OFFSET($BN$2,0,0,ROW()-1,60),ROW()-1,FALSE))</f>
        <v>55.60051567</v>
      </c>
      <c r="H397">
        <f ca="1">IF(AND(ISNUMBER($H$819),$B$419=1),$H$819,HLOOKUP(INDIRECT(ADDRESS(2,COLUMN())),OFFSET($BN$2,0,0,ROW()-1,60),ROW()-1,FALSE))</f>
        <v>58.950468290000003</v>
      </c>
      <c r="I397">
        <f ca="1">IF(AND(ISNUMBER($I$819),$B$419=1),$I$819,HLOOKUP(INDIRECT(ADDRESS(2,COLUMN())),OFFSET($BN$2,0,0,ROW()-1,60),ROW()-1,FALSE))</f>
        <v>62.382404389999998</v>
      </c>
      <c r="J397">
        <f ca="1">IF(AND(ISNUMBER($J$819),$B$419=1),$J$819,HLOOKUP(INDIRECT(ADDRESS(2,COLUMN())),OFFSET($BN$2,0,0,ROW()-1,60),ROW()-1,FALSE))</f>
        <v>59.692869760000001</v>
      </c>
      <c r="K397">
        <f ca="1">IF(AND(ISNUMBER($K$819),$B$419=1),$K$819,HLOOKUP(INDIRECT(ADDRESS(2,COLUMN())),OFFSET($BN$2,0,0,ROW()-1,60),ROW()-1,FALSE))</f>
        <v>59.107103000000002</v>
      </c>
      <c r="L397">
        <f ca="1">IF(AND(ISNUMBER($L$819),$B$419=1),$L$819,HLOOKUP(INDIRECT(ADDRESS(2,COLUMN())),OFFSET($BN$2,0,0,ROW()-1,60),ROW()-1,FALSE))</f>
        <v>61.92891522</v>
      </c>
      <c r="M397">
        <f ca="1">IF(AND(ISNUMBER($M$819),$B$419=1),$M$819,HLOOKUP(INDIRECT(ADDRESS(2,COLUMN())),OFFSET($BN$2,0,0,ROW()-1,60),ROW()-1,FALSE))</f>
        <v>59.194013200000001</v>
      </c>
      <c r="N397">
        <f ca="1">IF(AND(ISNUMBER($N$819),$B$419=1),$N$819,HLOOKUP(INDIRECT(ADDRESS(2,COLUMN())),OFFSET($BN$2,0,0,ROW()-1,60),ROW()-1,FALSE))</f>
        <v>59.930234980000002</v>
      </c>
      <c r="O397">
        <f ca="1">IF(AND(ISNUMBER($O$819),$B$419=1),$O$819,HLOOKUP(INDIRECT(ADDRESS(2,COLUMN())),OFFSET($BN$2,0,0,ROW()-1,60),ROW()-1,FALSE))</f>
        <v>65.172364450000003</v>
      </c>
      <c r="P397">
        <f ca="1">IF(AND(ISNUMBER($P$819),$B$419=1),$P$819,HLOOKUP(INDIRECT(ADDRESS(2,COLUMN())),OFFSET($BN$2,0,0,ROW()-1,60),ROW()-1,FALSE))</f>
        <v>63.495701109999999</v>
      </c>
      <c r="Q397">
        <f ca="1">IF(AND(ISNUMBER($Q$819),$B$419=1),$Q$819,HLOOKUP(INDIRECT(ADDRESS(2,COLUMN())),OFFSET($BN$2,0,0,ROW()-1,60),ROW()-1,FALSE))</f>
        <v>71.391912320000003</v>
      </c>
      <c r="R397">
        <f ca="1">IF(AND(ISNUMBER($R$819),$B$419=1),$R$819,HLOOKUP(INDIRECT(ADDRESS(2,COLUMN())),OFFSET($BN$2,0,0,ROW()-1,60),ROW()-1,FALSE))</f>
        <v>71.899858699999996</v>
      </c>
      <c r="S397">
        <f ca="1">IF(AND(ISNUMBER($S$819),$B$419=1),$S$819,HLOOKUP(INDIRECT(ADDRESS(2,COLUMN())),OFFSET($BN$2,0,0,ROW()-1,60),ROW()-1,FALSE))</f>
        <v>73.293765050000005</v>
      </c>
      <c r="T397">
        <f ca="1">IF(AND(ISNUMBER($T$819),$B$419=1),$T$819,HLOOKUP(INDIRECT(ADDRESS(2,COLUMN())),OFFSET($BN$2,0,0,ROW()-1,60),ROW()-1,FALSE))</f>
        <v>70.05786037</v>
      </c>
      <c r="U397">
        <f ca="1">IF(AND(ISNUMBER($U$819),$B$419=1),$U$819,HLOOKUP(INDIRECT(ADDRESS(2,COLUMN())),OFFSET($BN$2,0,0,ROW()-1,60),ROW()-1,FALSE))</f>
        <v>72.5135018</v>
      </c>
      <c r="V397">
        <f ca="1">IF(AND(ISNUMBER($V$819),$B$419=1),$V$819,HLOOKUP(INDIRECT(ADDRESS(2,COLUMN())),OFFSET($BN$2,0,0,ROW()-1,60),ROW()-1,FALSE))</f>
        <v>70.56823009</v>
      </c>
      <c r="W397">
        <f ca="1">IF(AND(ISNUMBER($W$819),$B$419=1),$W$819,HLOOKUP(INDIRECT(ADDRESS(2,COLUMN())),OFFSET($BN$2,0,0,ROW()-1,60),ROW()-1,FALSE))</f>
        <v>66.462448190000003</v>
      </c>
      <c r="X397">
        <f ca="1">IF(AND(ISNUMBER($X$819),$B$419=1),$X$819,HLOOKUP(INDIRECT(ADDRESS(2,COLUMN())),OFFSET($BN$2,0,0,ROW()-1,60),ROW()-1,FALSE))</f>
        <v>30.54319636</v>
      </c>
      <c r="Y397">
        <f ca="1">IF(AND(ISNUMBER($Y$819),$B$419=1),$Y$819,HLOOKUP(INDIRECT(ADDRESS(2,COLUMN())),OFFSET($BN$2,0,0,ROW()-1,60),ROW()-1,FALSE))</f>
        <v>85.336459529999999</v>
      </c>
      <c r="Z397">
        <f ca="1">IF(AND(ISNUMBER($Z$819),$B$419=1),$Z$819,HLOOKUP(INDIRECT(ADDRESS(2,COLUMN())),OFFSET($BN$2,0,0,ROW()-1,60),ROW()-1,FALSE))</f>
        <v>74.684924409999994</v>
      </c>
      <c r="AA397">
        <f ca="1">IF(AND(ISNUMBER($AA$819),$B$419=1),$AA$819,HLOOKUP(INDIRECT(ADDRESS(2,COLUMN())),OFFSET($BN$2,0,0,ROW()-1,60),ROW()-1,FALSE))</f>
        <v>86.807247619999998</v>
      </c>
      <c r="AB397">
        <f ca="1">IF(AND(ISNUMBER($AB$819),$B$419=1),$AB$819,HLOOKUP(INDIRECT(ADDRESS(2,COLUMN())),OFFSET($BN$2,0,0,ROW()-1,60),ROW()-1,FALSE))</f>
        <v>70.586890409999995</v>
      </c>
      <c r="AC397">
        <f ca="1">IF(AND(ISNUMBER($AC$819),$B$419=1),$AC$819,HLOOKUP(INDIRECT(ADDRESS(2,COLUMN())),OFFSET($BN$2,0,0,ROW()-1,60),ROW()-1,FALSE))</f>
        <v>54.375574540000002</v>
      </c>
      <c r="AD397">
        <f ca="1">IF(AND(ISNUMBER($AD$819),$B$419=1),$AD$819,HLOOKUP(INDIRECT(ADDRESS(2,COLUMN())),OFFSET($BN$2,0,0,ROW()-1,60),ROW()-1,FALSE))</f>
        <v>71.002091129999997</v>
      </c>
      <c r="AE397">
        <f ca="1">IF(AND(ISNUMBER($AE$819),$B$419=1),$AE$819,HLOOKUP(INDIRECT(ADDRESS(2,COLUMN())),OFFSET($BN$2,0,0,ROW()-1,60),ROW()-1,FALSE))</f>
        <v>68.168480130000006</v>
      </c>
      <c r="AF397">
        <f ca="1">IF(AND(ISNUMBER($AF$819),$B$419=1),$AF$819,HLOOKUP(INDIRECT(ADDRESS(2,COLUMN())),OFFSET($BN$2,0,0,ROW()-1,60),ROW()-1,FALSE))</f>
        <v>46.55370533</v>
      </c>
      <c r="AG397">
        <f ca="1">IF(AND(ISNUMBER($AG$819),$B$419=1),$AG$819,HLOOKUP(INDIRECT(ADDRESS(2,COLUMN())),OFFSET($BN$2,0,0,ROW()-1,60),ROW()-1,FALSE))</f>
        <v>66.531068250000004</v>
      </c>
      <c r="AH397">
        <f ca="1">IF(AND(ISNUMBER($AH$819),$B$419=1),$AH$819,HLOOKUP(INDIRECT(ADDRESS(2,COLUMN())),OFFSET($BN$2,0,0,ROW()-1,60),ROW()-1,FALSE))</f>
        <v>30.880886709999999</v>
      </c>
      <c r="AI397">
        <f ca="1">IF(AND(ISNUMBER($AI$819),$B$419=1),$AI$819,HLOOKUP(INDIRECT(ADDRESS(2,COLUMN())),OFFSET($BN$2,0,0,ROW()-1,60),ROW()-1,FALSE))</f>
        <v>44.457611800000002</v>
      </c>
      <c r="AJ397">
        <f ca="1">IF(AND(ISNUMBER($AJ$819),$B$419=1),$AJ$819,HLOOKUP(INDIRECT(ADDRESS(2,COLUMN())),OFFSET($BN$2,0,0,ROW()-1,60),ROW()-1,FALSE))</f>
        <v>162.43907350000001</v>
      </c>
      <c r="AK397" t="str">
        <f ca="1">IF(AND(ISNUMBER($AK$819),$B$419=1),$AK$819,HLOOKUP(INDIRECT(ADDRESS(2,COLUMN())),OFFSET($BN$2,0,0,ROW()-1,60),ROW()-1,FALSE))</f>
        <v/>
      </c>
      <c r="AL397">
        <f ca="1">IF(AND(ISNUMBER($AL$819),$B$419=1),$AL$819,HLOOKUP(INDIRECT(ADDRESS(2,COLUMN())),OFFSET($BN$2,0,0,ROW()-1,60),ROW()-1,FALSE))</f>
        <v>0</v>
      </c>
      <c r="AM397" t="str">
        <f ca="1">IF(AND(ISNUMBER($AM$819),$B$419=1),$AM$819,HLOOKUP(INDIRECT(ADDRESS(2,COLUMN())),OFFSET($BN$2,0,0,ROW()-1,60),ROW()-1,FALSE))</f>
        <v/>
      </c>
      <c r="AN397" t="str">
        <f ca="1">IF(AND(ISNUMBER($AN$819),$B$419=1),$AN$819,HLOOKUP(INDIRECT(ADDRESS(2,COLUMN())),OFFSET($BN$2,0,0,ROW()-1,60),ROW()-1,FALSE))</f>
        <v/>
      </c>
      <c r="AO397" t="str">
        <f ca="1">IF(AND(ISNUMBER($AO$819),$B$419=1),$AO$819,HLOOKUP(INDIRECT(ADDRESS(2,COLUMN())),OFFSET($BN$2,0,0,ROW()-1,60),ROW()-1,FALSE))</f>
        <v/>
      </c>
      <c r="AP397" t="str">
        <f ca="1">IF(AND(ISNUMBER($AP$819),$B$419=1),$AP$819,HLOOKUP(INDIRECT(ADDRESS(2,COLUMN())),OFFSET($BN$2,0,0,ROW()-1,60),ROW()-1,FALSE))</f>
        <v/>
      </c>
      <c r="AQ397" t="str">
        <f ca="1">IF(AND(ISNUMBER($AQ$819),$B$419=1),$AQ$819,HLOOKUP(INDIRECT(ADDRESS(2,COLUMN())),OFFSET($BN$2,0,0,ROW()-1,60),ROW()-1,FALSE))</f>
        <v/>
      </c>
      <c r="AR397" t="str">
        <f ca="1">IF(AND(ISNUMBER($AR$819),$B$419=1),$AR$819,HLOOKUP(INDIRECT(ADDRESS(2,COLUMN())),OFFSET($BN$2,0,0,ROW()-1,60),ROW()-1,FALSE))</f>
        <v/>
      </c>
      <c r="AS397" t="str">
        <f ca="1">IF(AND(ISNUMBER($AS$819),$B$419=1),$AS$819,HLOOKUP(INDIRECT(ADDRESS(2,COLUMN())),OFFSET($BN$2,0,0,ROW()-1,60),ROW()-1,FALSE))</f>
        <v/>
      </c>
      <c r="AT397" t="str">
        <f ca="1">IF(AND(ISNUMBER($AT$819),$B$419=1),$AT$819,HLOOKUP(INDIRECT(ADDRESS(2,COLUMN())),OFFSET($BN$2,0,0,ROW()-1,60),ROW()-1,FALSE))</f>
        <v/>
      </c>
      <c r="AU397" t="str">
        <f ca="1">IF(AND(ISNUMBER($AU$819),$B$419=1),$AU$819,HLOOKUP(INDIRECT(ADDRESS(2,COLUMN())),OFFSET($BN$2,0,0,ROW()-1,60),ROW()-1,FALSE))</f>
        <v/>
      </c>
      <c r="AV397" t="str">
        <f ca="1">IF(AND(ISNUMBER($AV$819),$B$419=1),$AV$819,HLOOKUP(INDIRECT(ADDRESS(2,COLUMN())),OFFSET($BN$2,0,0,ROW()-1,60),ROW()-1,FALSE))</f>
        <v/>
      </c>
      <c r="AW397" t="str">
        <f ca="1">IF(AND(ISNUMBER($AW$819),$B$419=1),$AW$819,HLOOKUP(INDIRECT(ADDRESS(2,COLUMN())),OFFSET($BN$2,0,0,ROW()-1,60),ROW()-1,FALSE))</f>
        <v/>
      </c>
      <c r="AX397" t="str">
        <f ca="1">IF(AND(ISNUMBER($AX$819),$B$419=1),$AX$819,HLOOKUP(INDIRECT(ADDRESS(2,COLUMN())),OFFSET($BN$2,0,0,ROW()-1,60),ROW()-1,FALSE))</f>
        <v/>
      </c>
      <c r="AY397" t="str">
        <f ca="1">IF(AND(ISNUMBER($AY$819),$B$419=1),$AY$819,HLOOKUP(INDIRECT(ADDRESS(2,COLUMN())),OFFSET($BN$2,0,0,ROW()-1,60),ROW()-1,FALSE))</f>
        <v/>
      </c>
      <c r="AZ397" t="str">
        <f ca="1">IF(AND(ISNUMBER($AZ$819),$B$419=1),$AZ$819,HLOOKUP(INDIRECT(ADDRESS(2,COLUMN())),OFFSET($BN$2,0,0,ROW()-1,60),ROW()-1,FALSE))</f>
        <v/>
      </c>
      <c r="BA397" t="str">
        <f ca="1">IF(AND(ISNUMBER($BA$819),$B$419=1),$BA$819,HLOOKUP(INDIRECT(ADDRESS(2,COLUMN())),OFFSET($BN$2,0,0,ROW()-1,60),ROW()-1,FALSE))</f>
        <v/>
      </c>
      <c r="BB397" t="str">
        <f ca="1">IF(AND(ISNUMBER($BB$819),$B$419=1),$BB$819,HLOOKUP(INDIRECT(ADDRESS(2,COLUMN())),OFFSET($BN$2,0,0,ROW()-1,60),ROW()-1,FALSE))</f>
        <v/>
      </c>
      <c r="BC397" t="str">
        <f ca="1">IF(AND(ISNUMBER($BC$819),$B$419=1),$BC$819,HLOOKUP(INDIRECT(ADDRESS(2,COLUMN())),OFFSET($BN$2,0,0,ROW()-1,60),ROW()-1,FALSE))</f>
        <v/>
      </c>
      <c r="BD397" t="str">
        <f ca="1">IF(AND(ISNUMBER($BD$819),$B$419=1),$BD$819,HLOOKUP(INDIRECT(ADDRESS(2,COLUMN())),OFFSET($BN$2,0,0,ROW()-1,60),ROW()-1,FALSE))</f>
        <v/>
      </c>
      <c r="BE397" t="str">
        <f ca="1">IF(AND(ISNUMBER($BE$819),$B$419=1),$BE$819,HLOOKUP(INDIRECT(ADDRESS(2,COLUMN())),OFFSET($BN$2,0,0,ROW()-1,60),ROW()-1,FALSE))</f>
        <v/>
      </c>
      <c r="BF397" t="str">
        <f ca="1">IF(AND(ISNUMBER($BF$819),$B$419=1),$BF$819,HLOOKUP(INDIRECT(ADDRESS(2,COLUMN())),OFFSET($BN$2,0,0,ROW()-1,60),ROW()-1,FALSE))</f>
        <v/>
      </c>
      <c r="BG397" t="str">
        <f ca="1">IF(AND(ISNUMBER($BG$819),$B$419=1),$BG$819,HLOOKUP(INDIRECT(ADDRESS(2,COLUMN())),OFFSET($BN$2,0,0,ROW()-1,60),ROW()-1,FALSE))</f>
        <v/>
      </c>
      <c r="BH397" t="str">
        <f ca="1">IF(AND(ISNUMBER($BH$819),$B$419=1),$BH$819,HLOOKUP(INDIRECT(ADDRESS(2,COLUMN())),OFFSET($BN$2,0,0,ROW()-1,60),ROW()-1,FALSE))</f>
        <v/>
      </c>
      <c r="BI397" t="str">
        <f ca="1">IF(AND(ISNUMBER($BI$819),$B$419=1),$BI$819,HLOOKUP(INDIRECT(ADDRESS(2,COLUMN())),OFFSET($BN$2,0,0,ROW()-1,60),ROW()-1,FALSE))</f>
        <v/>
      </c>
      <c r="BJ397" t="str">
        <f ca="1">IF(AND(ISNUMBER($BJ$819),$B$419=1),$BJ$819,HLOOKUP(INDIRECT(ADDRESS(2,COLUMN())),OFFSET($BN$2,0,0,ROW()-1,60),ROW()-1,FALSE))</f>
        <v/>
      </c>
      <c r="BK397" t="str">
        <f ca="1">IF(AND(ISNUMBER($BK$819),$B$419=1),$BK$819,HLOOKUP(INDIRECT(ADDRESS(2,COLUMN())),OFFSET($BN$2,0,0,ROW()-1,60),ROW()-1,FALSE))</f>
        <v/>
      </c>
      <c r="BL397" t="str">
        <f ca="1">IF(AND(ISNUMBER($BL$819),$B$419=1),$BL$819,HLOOKUP(INDIRECT(ADDRESS(2,COLUMN())),OFFSET($BN$2,0,0,ROW()-1,60),ROW()-1,FALSE))</f>
        <v/>
      </c>
      <c r="BM397" t="str">
        <f ca="1">IF(AND(ISNUMBER($BM$819),$B$419=1),$BM$819,HLOOKUP(INDIRECT(ADDRESS(2,COLUMN())),OFFSET($BN$2,0,0,ROW()-1,60),ROW()-1,FALSE))</f>
        <v/>
      </c>
      <c r="BN397" t="str">
        <f>""</f>
        <v/>
      </c>
      <c r="BO397">
        <f>55.60051567</f>
        <v>55.60051567</v>
      </c>
      <c r="BP397">
        <f>58.95046829</f>
        <v>58.950468290000003</v>
      </c>
      <c r="BQ397">
        <f>62.38240439</f>
        <v>62.382404389999998</v>
      </c>
      <c r="BR397">
        <f>59.69286976</f>
        <v>59.692869760000001</v>
      </c>
      <c r="BS397">
        <f>59.107103</f>
        <v>59.107103000000002</v>
      </c>
      <c r="BT397">
        <f>61.92891522</f>
        <v>61.92891522</v>
      </c>
      <c r="BU397">
        <f>59.1940132</f>
        <v>59.194013200000001</v>
      </c>
      <c r="BV397">
        <f>59.93023498</f>
        <v>59.930234980000002</v>
      </c>
      <c r="BW397">
        <f>65.17236445</f>
        <v>65.172364450000003</v>
      </c>
      <c r="BX397">
        <f>63.49570111</f>
        <v>63.495701109999999</v>
      </c>
      <c r="BY397">
        <f>71.39191232</f>
        <v>71.391912320000003</v>
      </c>
      <c r="BZ397">
        <f>71.8998587</f>
        <v>71.899858699999996</v>
      </c>
      <c r="CA397">
        <f>73.29376505</f>
        <v>73.293765050000005</v>
      </c>
      <c r="CB397">
        <f>70.05786037</f>
        <v>70.05786037</v>
      </c>
      <c r="CC397">
        <f>72.5135018</f>
        <v>72.5135018</v>
      </c>
      <c r="CD397">
        <f>70.56823009</f>
        <v>70.56823009</v>
      </c>
      <c r="CE397">
        <f>66.46244819</f>
        <v>66.462448190000003</v>
      </c>
      <c r="CF397">
        <f>30.54319636</f>
        <v>30.54319636</v>
      </c>
      <c r="CG397">
        <f>85.33645953</f>
        <v>85.336459529999999</v>
      </c>
      <c r="CH397">
        <f>74.68492441</f>
        <v>74.684924409999994</v>
      </c>
      <c r="CI397">
        <f>86.80724762</f>
        <v>86.807247619999998</v>
      </c>
      <c r="CJ397">
        <f>70.58689041</f>
        <v>70.586890409999995</v>
      </c>
      <c r="CK397">
        <f>54.37557454</f>
        <v>54.375574540000002</v>
      </c>
      <c r="CL397">
        <f>71.00209113</f>
        <v>71.002091129999997</v>
      </c>
      <c r="CM397">
        <f>68.16848013</f>
        <v>68.168480130000006</v>
      </c>
      <c r="CN397">
        <f>46.55370533</f>
        <v>46.55370533</v>
      </c>
      <c r="CO397">
        <f>66.53106825</f>
        <v>66.531068250000004</v>
      </c>
      <c r="CP397">
        <f>30.88088671</f>
        <v>30.880886709999999</v>
      </c>
      <c r="CQ397">
        <f>44.4576118</f>
        <v>44.457611800000002</v>
      </c>
      <c r="CR397">
        <f>162.4390735</f>
        <v>162.43907350000001</v>
      </c>
      <c r="CS397" t="str">
        <f>""</f>
        <v/>
      </c>
      <c r="CT397">
        <f>0</f>
        <v>0</v>
      </c>
      <c r="CU397" t="str">
        <f>""</f>
        <v/>
      </c>
      <c r="CV397" t="str">
        <f>""</f>
        <v/>
      </c>
      <c r="CW397" t="str">
        <f>""</f>
        <v/>
      </c>
      <c r="CX397" t="str">
        <f>""</f>
        <v/>
      </c>
      <c r="CY397" t="str">
        <f>""</f>
        <v/>
      </c>
      <c r="CZ397" t="str">
        <f>""</f>
        <v/>
      </c>
      <c r="DA397" t="str">
        <f>""</f>
        <v/>
      </c>
      <c r="DB397" t="str">
        <f>""</f>
        <v/>
      </c>
      <c r="DC397" t="str">
        <f>""</f>
        <v/>
      </c>
      <c r="DD397" t="str">
        <f>""</f>
        <v/>
      </c>
      <c r="DE397" t="str">
        <f>""</f>
        <v/>
      </c>
      <c r="DF397" t="str">
        <f>""</f>
        <v/>
      </c>
      <c r="DG397" t="str">
        <f>""</f>
        <v/>
      </c>
      <c r="DH397" t="str">
        <f>""</f>
        <v/>
      </c>
      <c r="DI397" t="str">
        <f>""</f>
        <v/>
      </c>
      <c r="DJ397" t="str">
        <f>""</f>
        <v/>
      </c>
      <c r="DK397" t="str">
        <f>""</f>
        <v/>
      </c>
      <c r="DL397" t="str">
        <f>""</f>
        <v/>
      </c>
      <c r="DM397" t="str">
        <f>""</f>
        <v/>
      </c>
      <c r="DN397" t="str">
        <f>""</f>
        <v/>
      </c>
      <c r="DO397" t="str">
        <f>""</f>
        <v/>
      </c>
      <c r="DP397" t="str">
        <f>""</f>
        <v/>
      </c>
      <c r="DQ397" t="str">
        <f>""</f>
        <v/>
      </c>
      <c r="DR397" t="str">
        <f>""</f>
        <v/>
      </c>
      <c r="DS397" t="str">
        <f>""</f>
        <v/>
      </c>
      <c r="DT397" t="str">
        <f>""</f>
        <v/>
      </c>
      <c r="DU397" t="str">
        <f>""</f>
        <v/>
      </c>
    </row>
    <row r="398" spans="1:125">
      <c r="A398" t="str">
        <f>"    Retail Properties of America I"</f>
        <v xml:space="preserve">    Retail Properties of America I</v>
      </c>
      <c r="B398" t="str">
        <f>"RPAI US Equity"</f>
        <v>RPAI US Equity</v>
      </c>
      <c r="C398" t="str">
        <f t="shared" si="70"/>
        <v>RR106</v>
      </c>
      <c r="D398" t="str">
        <f t="shared" si="71"/>
        <v>FFO_PAYOUT_RATIO</v>
      </c>
      <c r="E398" t="str">
        <f t="shared" si="72"/>
        <v>动态</v>
      </c>
      <c r="F398" t="str">
        <f ca="1">IF(AND(ISNUMBER($F$820),$B$419=1),$F$820,HLOOKUP(INDIRECT(ADDRESS(2,COLUMN())),OFFSET($BN$2,0,0,ROW()-1,60),ROW()-1,FALSE))</f>
        <v/>
      </c>
      <c r="G398">
        <f ca="1">IF(AND(ISNUMBER($G$820),$B$419=1),$G$820,HLOOKUP(INDIRECT(ADDRESS(2,COLUMN())),OFFSET($BN$2,0,0,ROW()-1,60),ROW()-1,FALSE))</f>
        <v>73.200976850000004</v>
      </c>
      <c r="H398">
        <f ca="1">IF(AND(ISNUMBER($H$820),$B$419=1),$H$820,HLOOKUP(INDIRECT(ADDRESS(2,COLUMN())),OFFSET($BN$2,0,0,ROW()-1,60),ROW()-1,FALSE))</f>
        <v>66.514309089999998</v>
      </c>
      <c r="I398">
        <f ca="1">IF(AND(ISNUMBER($I$820),$B$419=1),$I$820,HLOOKUP(INDIRECT(ADDRESS(2,COLUMN())),OFFSET($BN$2,0,0,ROW()-1,60),ROW()-1,FALSE))</f>
        <v>63.109178649999997</v>
      </c>
      <c r="J398">
        <f ca="1">IF(AND(ISNUMBER($J$820),$B$419=1),$J$820,HLOOKUP(INDIRECT(ADDRESS(2,COLUMN())),OFFSET($BN$2,0,0,ROW()-1,60),ROW()-1,FALSE))</f>
        <v>8661.1479029999991</v>
      </c>
      <c r="K398">
        <f ca="1">IF(AND(ISNUMBER($K$820),$B$419=1),$K$820,HLOOKUP(INDIRECT(ADDRESS(2,COLUMN())),OFFSET($BN$2,0,0,ROW()-1,60),ROW()-1,FALSE))</f>
        <v>74.071528509999993</v>
      </c>
      <c r="L398">
        <f ca="1">IF(AND(ISNUMBER($L$820),$B$419=1),$L$820,HLOOKUP(INDIRECT(ADDRESS(2,COLUMN())),OFFSET($BN$2,0,0,ROW()-1,60),ROW()-1,FALSE))</f>
        <v>60.453176059999997</v>
      </c>
      <c r="M398">
        <f ca="1">IF(AND(ISNUMBER($M$820),$B$419=1),$M$820,HLOOKUP(INDIRECT(ADDRESS(2,COLUMN())),OFFSET($BN$2,0,0,ROW()-1,60),ROW()-1,FALSE))</f>
        <v>53.230086100000001</v>
      </c>
      <c r="N398">
        <f ca="1">IF(AND(ISNUMBER($N$820),$B$419=1),$N$820,HLOOKUP(INDIRECT(ADDRESS(2,COLUMN())),OFFSET($BN$2,0,0,ROW()-1,60),ROW()-1,FALSE))</f>
        <v>51.441395460000003</v>
      </c>
      <c r="O398">
        <f ca="1">IF(AND(ISNUMBER($O$820),$B$419=1),$O$820,HLOOKUP(INDIRECT(ADDRESS(2,COLUMN())),OFFSET($BN$2,0,0,ROW()-1,60),ROW()-1,FALSE))</f>
        <v>65.826055670000002</v>
      </c>
      <c r="P398">
        <f ca="1">IF(AND(ISNUMBER($P$820),$B$419=1),$P$820,HLOOKUP(INDIRECT(ADDRESS(2,COLUMN())),OFFSET($BN$2,0,0,ROW()-1,60),ROW()-1,FALSE))</f>
        <v>72.881966419999998</v>
      </c>
      <c r="Q398">
        <f ca="1">IF(AND(ISNUMBER($Q$820),$B$419=1),$Q$820,HLOOKUP(INDIRECT(ADDRESS(2,COLUMN())),OFFSET($BN$2,0,0,ROW()-1,60),ROW()-1,FALSE))</f>
        <v>72.296029790000006</v>
      </c>
      <c r="R398">
        <f ca="1">IF(AND(ISNUMBER($R$820),$B$419=1),$R$820,HLOOKUP(INDIRECT(ADDRESS(2,COLUMN())),OFFSET($BN$2,0,0,ROW()-1,60),ROW()-1,FALSE))</f>
        <v>64.886114000000006</v>
      </c>
      <c r="S398">
        <f ca="1">IF(AND(ISNUMBER($S$820),$B$419=1),$S$820,HLOOKUP(INDIRECT(ADDRESS(2,COLUMN())),OFFSET($BN$2,0,0,ROW()-1,60),ROW()-1,FALSE))</f>
        <v>63.9121849</v>
      </c>
      <c r="T398">
        <f ca="1">IF(AND(ISNUMBER($T$820),$B$419=1),$T$820,HLOOKUP(INDIRECT(ADDRESS(2,COLUMN())),OFFSET($BN$2,0,0,ROW()-1,60),ROW()-1,FALSE))</f>
        <v>60.178009009999997</v>
      </c>
      <c r="U398">
        <f ca="1">IF(AND(ISNUMBER($U$820),$B$419=1),$U$820,HLOOKUP(INDIRECT(ADDRESS(2,COLUMN())),OFFSET($BN$2,0,0,ROW()-1,60),ROW()-1,FALSE))</f>
        <v>61.357526040000003</v>
      </c>
      <c r="V398">
        <f ca="1">IF(AND(ISNUMBER($V$820),$B$419=1),$V$820,HLOOKUP(INDIRECT(ADDRESS(2,COLUMN())),OFFSET($BN$2,0,0,ROW()-1,60),ROW()-1,FALSE))</f>
        <v>59.592687230000003</v>
      </c>
      <c r="W398">
        <f ca="1">IF(AND(ISNUMBER($W$820),$B$419=1),$W$820,HLOOKUP(INDIRECT(ADDRESS(2,COLUMN())),OFFSET($BN$2,0,0,ROW()-1,60),ROW()-1,FALSE))</f>
        <v>54.451495719999997</v>
      </c>
      <c r="X398">
        <f ca="1">IF(AND(ISNUMBER($X$820),$B$419=1),$X$820,HLOOKUP(INDIRECT(ADDRESS(2,COLUMN())),OFFSET($BN$2,0,0,ROW()-1,60),ROW()-1,FALSE))</f>
        <v>61.661505220000002</v>
      </c>
      <c r="Y398">
        <f ca="1">IF(AND(ISNUMBER($Y$820),$B$419=1),$Y$820,HLOOKUP(INDIRECT(ADDRESS(2,COLUMN())),OFFSET($BN$2,0,0,ROW()-1,60),ROW()-1,FALSE))</f>
        <v>44.372625730000003</v>
      </c>
      <c r="Z398">
        <f ca="1">IF(AND(ISNUMBER($Z$820),$B$419=1),$Z$820,HLOOKUP(INDIRECT(ADDRESS(2,COLUMN())),OFFSET($BN$2,0,0,ROW()-1,60),ROW()-1,FALSE))</f>
        <v>88.457354469999999</v>
      </c>
      <c r="AA398">
        <f ca="1">IF(AND(ISNUMBER($AA$820),$B$419=1),$AA$820,HLOOKUP(INDIRECT(ADDRESS(2,COLUMN())),OFFSET($BN$2,0,0,ROW()-1,60),ROW()-1,FALSE))</f>
        <v>63.666052319999999</v>
      </c>
      <c r="AB398">
        <f ca="1">IF(AND(ISNUMBER($AB$820),$B$419=1),$AB$820,HLOOKUP(INDIRECT(ADDRESS(2,COLUMN())),OFFSET($BN$2,0,0,ROW()-1,60),ROW()-1,FALSE))</f>
        <v>66.726000429999999</v>
      </c>
      <c r="AC398">
        <f ca="1">IF(AND(ISNUMBER($AC$820),$B$419=1),$AC$820,HLOOKUP(INDIRECT(ADDRESS(2,COLUMN())),OFFSET($BN$2,0,0,ROW()-1,60),ROW()-1,FALSE))</f>
        <v>54.446978340000001</v>
      </c>
      <c r="AD398">
        <f ca="1">IF(AND(ISNUMBER($AD$820),$B$419=1),$AD$820,HLOOKUP(INDIRECT(ADDRESS(2,COLUMN())),OFFSET($BN$2,0,0,ROW()-1,60),ROW()-1,FALSE))</f>
        <v>66.467622629999994</v>
      </c>
      <c r="AE398">
        <f ca="1">IF(AND(ISNUMBER($AE$820),$B$419=1),$AE$820,HLOOKUP(INDIRECT(ADDRESS(2,COLUMN())),OFFSET($BN$2,0,0,ROW()-1,60),ROW()-1,FALSE))</f>
        <v>64.808366320000005</v>
      </c>
      <c r="AF398">
        <f ca="1">IF(AND(ISNUMBER($AF$820),$B$419=1),$AF$820,HLOOKUP(INDIRECT(ADDRESS(2,COLUMN())),OFFSET($BN$2,0,0,ROW()-1,60),ROW()-1,FALSE))</f>
        <v>0</v>
      </c>
      <c r="AG398">
        <f ca="1">IF(AND(ISNUMBER($AG$820),$B$419=1),$AG$820,HLOOKUP(INDIRECT(ADDRESS(2,COLUMN())),OFFSET($BN$2,0,0,ROW()-1,60),ROW()-1,FALSE))</f>
        <v>0</v>
      </c>
      <c r="AH398">
        <f ca="1">IF(AND(ISNUMBER($AH$820),$B$419=1),$AH$820,HLOOKUP(INDIRECT(ADDRESS(2,COLUMN())),OFFSET($BN$2,0,0,ROW()-1,60),ROW()-1,FALSE))</f>
        <v>0</v>
      </c>
      <c r="AI398">
        <f ca="1">IF(AND(ISNUMBER($AI$820),$B$419=1),$AI$820,HLOOKUP(INDIRECT(ADDRESS(2,COLUMN())),OFFSET($BN$2,0,0,ROW()-1,60),ROW()-1,FALSE))</f>
        <v>0</v>
      </c>
      <c r="AJ398" t="str">
        <f ca="1">IF(AND(ISNUMBER($AJ$820),$B$419=1),$AJ$820,HLOOKUP(INDIRECT(ADDRESS(2,COLUMN())),OFFSET($BN$2,0,0,ROW()-1,60),ROW()-1,FALSE))</f>
        <v/>
      </c>
      <c r="AK398" t="str">
        <f ca="1">IF(AND(ISNUMBER($AK$820),$B$419=1),$AK$820,HLOOKUP(INDIRECT(ADDRESS(2,COLUMN())),OFFSET($BN$2,0,0,ROW()-1,60),ROW()-1,FALSE))</f>
        <v/>
      </c>
      <c r="AL398" t="str">
        <f ca="1">IF(AND(ISNUMBER($AL$820),$B$419=1),$AL$820,HLOOKUP(INDIRECT(ADDRESS(2,COLUMN())),OFFSET($BN$2,0,0,ROW()-1,60),ROW()-1,FALSE))</f>
        <v/>
      </c>
      <c r="AM398" t="str">
        <f ca="1">IF(AND(ISNUMBER($AM$820),$B$419=1),$AM$820,HLOOKUP(INDIRECT(ADDRESS(2,COLUMN())),OFFSET($BN$2,0,0,ROW()-1,60),ROW()-1,FALSE))</f>
        <v/>
      </c>
      <c r="AN398">
        <f ca="1">IF(AND(ISNUMBER($AN$820),$B$419=1),$AN$820,HLOOKUP(INDIRECT(ADDRESS(2,COLUMN())),OFFSET($BN$2,0,0,ROW()-1,60),ROW()-1,FALSE))</f>
        <v>0</v>
      </c>
      <c r="AO398" t="str">
        <f ca="1">IF(AND(ISNUMBER($AO$820),$B$419=1),$AO$820,HLOOKUP(INDIRECT(ADDRESS(2,COLUMN())),OFFSET($BN$2,0,0,ROW()-1,60),ROW()-1,FALSE))</f>
        <v/>
      </c>
      <c r="AP398" t="str">
        <f ca="1">IF(AND(ISNUMBER($AP$820),$B$419=1),$AP$820,HLOOKUP(INDIRECT(ADDRESS(2,COLUMN())),OFFSET($BN$2,0,0,ROW()-1,60),ROW()-1,FALSE))</f>
        <v/>
      </c>
      <c r="AQ398" t="str">
        <f ca="1">IF(AND(ISNUMBER($AQ$820),$B$419=1),$AQ$820,HLOOKUP(INDIRECT(ADDRESS(2,COLUMN())),OFFSET($BN$2,0,0,ROW()-1,60),ROW()-1,FALSE))</f>
        <v/>
      </c>
      <c r="AR398" t="str">
        <f ca="1">IF(AND(ISNUMBER($AR$820),$B$419=1),$AR$820,HLOOKUP(INDIRECT(ADDRESS(2,COLUMN())),OFFSET($BN$2,0,0,ROW()-1,60),ROW()-1,FALSE))</f>
        <v/>
      </c>
      <c r="AS398" t="str">
        <f ca="1">IF(AND(ISNUMBER($AS$820),$B$419=1),$AS$820,HLOOKUP(INDIRECT(ADDRESS(2,COLUMN())),OFFSET($BN$2,0,0,ROW()-1,60),ROW()-1,FALSE))</f>
        <v/>
      </c>
      <c r="AT398" t="str">
        <f ca="1">IF(AND(ISNUMBER($AT$820),$B$419=1),$AT$820,HLOOKUP(INDIRECT(ADDRESS(2,COLUMN())),OFFSET($BN$2,0,0,ROW()-1,60),ROW()-1,FALSE))</f>
        <v/>
      </c>
      <c r="AU398" t="str">
        <f ca="1">IF(AND(ISNUMBER($AU$820),$B$419=1),$AU$820,HLOOKUP(INDIRECT(ADDRESS(2,COLUMN())),OFFSET($BN$2,0,0,ROW()-1,60),ROW()-1,FALSE))</f>
        <v/>
      </c>
      <c r="AV398" t="str">
        <f ca="1">IF(AND(ISNUMBER($AV$820),$B$419=1),$AV$820,HLOOKUP(INDIRECT(ADDRESS(2,COLUMN())),OFFSET($BN$2,0,0,ROW()-1,60),ROW()-1,FALSE))</f>
        <v/>
      </c>
      <c r="AW398" t="str">
        <f ca="1">IF(AND(ISNUMBER($AW$820),$B$419=1),$AW$820,HLOOKUP(INDIRECT(ADDRESS(2,COLUMN())),OFFSET($BN$2,0,0,ROW()-1,60),ROW()-1,FALSE))</f>
        <v/>
      </c>
      <c r="AX398" t="str">
        <f ca="1">IF(AND(ISNUMBER($AX$820),$B$419=1),$AX$820,HLOOKUP(INDIRECT(ADDRESS(2,COLUMN())),OFFSET($BN$2,0,0,ROW()-1,60),ROW()-1,FALSE))</f>
        <v/>
      </c>
      <c r="AY398" t="str">
        <f ca="1">IF(AND(ISNUMBER($AY$820),$B$419=1),$AY$820,HLOOKUP(INDIRECT(ADDRESS(2,COLUMN())),OFFSET($BN$2,0,0,ROW()-1,60),ROW()-1,FALSE))</f>
        <v/>
      </c>
      <c r="AZ398" t="str">
        <f ca="1">IF(AND(ISNUMBER($AZ$820),$B$419=1),$AZ$820,HLOOKUP(INDIRECT(ADDRESS(2,COLUMN())),OFFSET($BN$2,0,0,ROW()-1,60),ROW()-1,FALSE))</f>
        <v/>
      </c>
      <c r="BA398" t="str">
        <f ca="1">IF(AND(ISNUMBER($BA$820),$B$419=1),$BA$820,HLOOKUP(INDIRECT(ADDRESS(2,COLUMN())),OFFSET($BN$2,0,0,ROW()-1,60),ROW()-1,FALSE))</f>
        <v/>
      </c>
      <c r="BB398" t="str">
        <f ca="1">IF(AND(ISNUMBER($BB$820),$B$419=1),$BB$820,HLOOKUP(INDIRECT(ADDRESS(2,COLUMN())),OFFSET($BN$2,0,0,ROW()-1,60),ROW()-1,FALSE))</f>
        <v/>
      </c>
      <c r="BC398" t="str">
        <f ca="1">IF(AND(ISNUMBER($BC$820),$B$419=1),$BC$820,HLOOKUP(INDIRECT(ADDRESS(2,COLUMN())),OFFSET($BN$2,0,0,ROW()-1,60),ROW()-1,FALSE))</f>
        <v/>
      </c>
      <c r="BD398" t="str">
        <f ca="1">IF(AND(ISNUMBER($BD$820),$B$419=1),$BD$820,HLOOKUP(INDIRECT(ADDRESS(2,COLUMN())),OFFSET($BN$2,0,0,ROW()-1,60),ROW()-1,FALSE))</f>
        <v/>
      </c>
      <c r="BE398" t="str">
        <f ca="1">IF(AND(ISNUMBER($BE$820),$B$419=1),$BE$820,HLOOKUP(INDIRECT(ADDRESS(2,COLUMN())),OFFSET($BN$2,0,0,ROW()-1,60),ROW()-1,FALSE))</f>
        <v/>
      </c>
      <c r="BF398" t="str">
        <f ca="1">IF(AND(ISNUMBER($BF$820),$B$419=1),$BF$820,HLOOKUP(INDIRECT(ADDRESS(2,COLUMN())),OFFSET($BN$2,0,0,ROW()-1,60),ROW()-1,FALSE))</f>
        <v/>
      </c>
      <c r="BG398" t="str">
        <f ca="1">IF(AND(ISNUMBER($BG$820),$B$419=1),$BG$820,HLOOKUP(INDIRECT(ADDRESS(2,COLUMN())),OFFSET($BN$2,0,0,ROW()-1,60),ROW()-1,FALSE))</f>
        <v/>
      </c>
      <c r="BH398" t="str">
        <f ca="1">IF(AND(ISNUMBER($BH$820),$B$419=1),$BH$820,HLOOKUP(INDIRECT(ADDRESS(2,COLUMN())),OFFSET($BN$2,0,0,ROW()-1,60),ROW()-1,FALSE))</f>
        <v/>
      </c>
      <c r="BI398" t="str">
        <f ca="1">IF(AND(ISNUMBER($BI$820),$B$419=1),$BI$820,HLOOKUP(INDIRECT(ADDRESS(2,COLUMN())),OFFSET($BN$2,0,0,ROW()-1,60),ROW()-1,FALSE))</f>
        <v/>
      </c>
      <c r="BJ398" t="str">
        <f ca="1">IF(AND(ISNUMBER($BJ$820),$B$419=1),$BJ$820,HLOOKUP(INDIRECT(ADDRESS(2,COLUMN())),OFFSET($BN$2,0,0,ROW()-1,60),ROW()-1,FALSE))</f>
        <v/>
      </c>
      <c r="BK398" t="str">
        <f ca="1">IF(AND(ISNUMBER($BK$820),$B$419=1),$BK$820,HLOOKUP(INDIRECT(ADDRESS(2,COLUMN())),OFFSET($BN$2,0,0,ROW()-1,60),ROW()-1,FALSE))</f>
        <v/>
      </c>
      <c r="BL398" t="str">
        <f ca="1">IF(AND(ISNUMBER($BL$820),$B$419=1),$BL$820,HLOOKUP(INDIRECT(ADDRESS(2,COLUMN())),OFFSET($BN$2,0,0,ROW()-1,60),ROW()-1,FALSE))</f>
        <v/>
      </c>
      <c r="BM398" t="str">
        <f ca="1">IF(AND(ISNUMBER($BM$820),$B$419=1),$BM$820,HLOOKUP(INDIRECT(ADDRESS(2,COLUMN())),OFFSET($BN$2,0,0,ROW()-1,60),ROW()-1,FALSE))</f>
        <v/>
      </c>
      <c r="BN398" t="str">
        <f>""</f>
        <v/>
      </c>
      <c r="BO398">
        <f>73.20097685</f>
        <v>73.200976850000004</v>
      </c>
      <c r="BP398">
        <f>66.51430909</f>
        <v>66.514309089999998</v>
      </c>
      <c r="BQ398">
        <f>63.10917865</f>
        <v>63.109178649999997</v>
      </c>
      <c r="BR398">
        <f>8661.147903</f>
        <v>8661.1479029999991</v>
      </c>
      <c r="BS398">
        <f>74.07152851</f>
        <v>74.071528509999993</v>
      </c>
      <c r="BT398">
        <f>60.45317606</f>
        <v>60.453176059999997</v>
      </c>
      <c r="BU398">
        <f>53.2300861</f>
        <v>53.230086100000001</v>
      </c>
      <c r="BV398">
        <f>51.44139546</f>
        <v>51.441395460000003</v>
      </c>
      <c r="BW398">
        <f>65.82605567</f>
        <v>65.826055670000002</v>
      </c>
      <c r="BX398">
        <f>72.88196642</f>
        <v>72.881966419999998</v>
      </c>
      <c r="BY398">
        <f>72.29602979</f>
        <v>72.296029790000006</v>
      </c>
      <c r="BZ398">
        <f>64.886114</f>
        <v>64.886114000000006</v>
      </c>
      <c r="CA398">
        <f>63.9121849</f>
        <v>63.9121849</v>
      </c>
      <c r="CB398">
        <f>60.17800901</f>
        <v>60.178009009999997</v>
      </c>
      <c r="CC398">
        <f>61.35752604</f>
        <v>61.357526040000003</v>
      </c>
      <c r="CD398">
        <f>59.59268723</f>
        <v>59.592687230000003</v>
      </c>
      <c r="CE398">
        <f>54.45149572</f>
        <v>54.451495719999997</v>
      </c>
      <c r="CF398">
        <f>61.66150522</f>
        <v>61.661505220000002</v>
      </c>
      <c r="CG398">
        <f>44.37262573</f>
        <v>44.372625730000003</v>
      </c>
      <c r="CH398">
        <f>88.45735447</f>
        <v>88.457354469999999</v>
      </c>
      <c r="CI398">
        <f>63.66605232</f>
        <v>63.666052319999999</v>
      </c>
      <c r="CJ398">
        <f>66.72600043</f>
        <v>66.726000429999999</v>
      </c>
      <c r="CK398">
        <f>54.44697834</f>
        <v>54.446978340000001</v>
      </c>
      <c r="CL398">
        <f>66.46762263</f>
        <v>66.467622629999994</v>
      </c>
      <c r="CM398">
        <f>64.80836632</f>
        <v>64.808366320000005</v>
      </c>
      <c r="CN398">
        <f>0</f>
        <v>0</v>
      </c>
      <c r="CO398">
        <f>0</f>
        <v>0</v>
      </c>
      <c r="CP398">
        <f>0</f>
        <v>0</v>
      </c>
      <c r="CQ398">
        <f>0</f>
        <v>0</v>
      </c>
      <c r="CR398" t="str">
        <f>""</f>
        <v/>
      </c>
      <c r="CS398" t="str">
        <f>""</f>
        <v/>
      </c>
      <c r="CT398" t="str">
        <f>""</f>
        <v/>
      </c>
      <c r="CU398" t="str">
        <f>""</f>
        <v/>
      </c>
      <c r="CV398">
        <f>0</f>
        <v>0</v>
      </c>
      <c r="CW398" t="str">
        <f>""</f>
        <v/>
      </c>
      <c r="CX398" t="str">
        <f>""</f>
        <v/>
      </c>
      <c r="CY398" t="str">
        <f>""</f>
        <v/>
      </c>
      <c r="CZ398" t="str">
        <f>""</f>
        <v/>
      </c>
      <c r="DA398" t="str">
        <f>""</f>
        <v/>
      </c>
      <c r="DB398" t="str">
        <f>""</f>
        <v/>
      </c>
      <c r="DC398" t="str">
        <f>""</f>
        <v/>
      </c>
      <c r="DD398" t="str">
        <f>""</f>
        <v/>
      </c>
      <c r="DE398" t="str">
        <f>""</f>
        <v/>
      </c>
      <c r="DF398" t="str">
        <f>""</f>
        <v/>
      </c>
      <c r="DG398" t="str">
        <f>""</f>
        <v/>
      </c>
      <c r="DH398" t="str">
        <f>""</f>
        <v/>
      </c>
      <c r="DI398" t="str">
        <f>""</f>
        <v/>
      </c>
      <c r="DJ398" t="str">
        <f>""</f>
        <v/>
      </c>
      <c r="DK398" t="str">
        <f>""</f>
        <v/>
      </c>
      <c r="DL398" t="str">
        <f>""</f>
        <v/>
      </c>
      <c r="DM398" t="str">
        <f>""</f>
        <v/>
      </c>
      <c r="DN398" t="str">
        <f>""</f>
        <v/>
      </c>
      <c r="DO398" t="str">
        <f>""</f>
        <v/>
      </c>
      <c r="DP398" t="str">
        <f>""</f>
        <v/>
      </c>
      <c r="DQ398" t="str">
        <f>""</f>
        <v/>
      </c>
      <c r="DR398" t="str">
        <f>""</f>
        <v/>
      </c>
      <c r="DS398" t="str">
        <f>""</f>
        <v/>
      </c>
      <c r="DT398" t="str">
        <f>""</f>
        <v/>
      </c>
      <c r="DU398" t="str">
        <f>""</f>
        <v/>
      </c>
    </row>
    <row r="399" spans="1:125">
      <c r="A399" t="str">
        <f>"    Simon Property Group Inc"</f>
        <v xml:space="preserve">    Simon Property Group Inc</v>
      </c>
      <c r="B399" t="str">
        <f>"SPG US Equity"</f>
        <v>SPG US Equity</v>
      </c>
      <c r="C399" t="str">
        <f t="shared" si="70"/>
        <v>RR106</v>
      </c>
      <c r="D399" t="str">
        <f t="shared" si="71"/>
        <v>FFO_PAYOUT_RATIO</v>
      </c>
      <c r="E399" t="str">
        <f t="shared" si="72"/>
        <v>动态</v>
      </c>
      <c r="F399" t="str">
        <f ca="1">IF(AND(ISNUMBER($F$821),$B$419=1),$F$821,HLOOKUP(INDIRECT(ADDRESS(2,COLUMN())),OFFSET($BN$2,0,0,ROW()-1,60),ROW()-1,FALSE))</f>
        <v/>
      </c>
      <c r="G399">
        <f ca="1">IF(AND(ISNUMBER($G$821),$B$419=1),$G$821,HLOOKUP(INDIRECT(ADDRESS(2,COLUMN())),OFFSET($BN$2,0,0,ROW()-1,60),ROW()-1,FALSE))</f>
        <v>51.284754769999999</v>
      </c>
      <c r="H399">
        <f ca="1">IF(AND(ISNUMBER($H$821),$B$419=1),$H$821,HLOOKUP(INDIRECT(ADDRESS(2,COLUMN())),OFFSET($BN$2,0,0,ROW()-1,60),ROW()-1,FALSE))</f>
        <v>54.037426879999998</v>
      </c>
      <c r="I399">
        <f ca="1">IF(AND(ISNUMBER($I$821),$B$419=1),$I$821,HLOOKUP(INDIRECT(ADDRESS(2,COLUMN())),OFFSET($BN$2,0,0,ROW()-1,60),ROW()-1,FALSE))</f>
        <v>61.62962315</v>
      </c>
      <c r="J399">
        <f ca="1">IF(AND(ISNUMBER($J$821),$B$419=1),$J$821,HLOOKUP(INDIRECT(ADDRESS(2,COLUMN())),OFFSET($BN$2,0,0,ROW()-1,60),ROW()-1,FALSE))</f>
        <v>55.574703659999997</v>
      </c>
      <c r="K399">
        <f ca="1">IF(AND(ISNUMBER($K$821),$B$419=1),$K$821,HLOOKUP(INDIRECT(ADDRESS(2,COLUMN())),OFFSET($BN$2,0,0,ROW()-1,60),ROW()-1,FALSE))</f>
        <v>56.73809808</v>
      </c>
      <c r="L399">
        <f ca="1">IF(AND(ISNUMBER($L$821),$B$419=1),$L$821,HLOOKUP(INDIRECT(ADDRESS(2,COLUMN())),OFFSET($BN$2,0,0,ROW()-1,60),ROW()-1,FALSE))</f>
        <v>53.122487239999998</v>
      </c>
      <c r="M399">
        <f ca="1">IF(AND(ISNUMBER($M$821),$B$419=1),$M$821,HLOOKUP(INDIRECT(ADDRESS(2,COLUMN())),OFFSET($BN$2,0,0,ROW()-1,60),ROW()-1,FALSE))</f>
        <v>52.624032759999999</v>
      </c>
      <c r="N399">
        <f ca="1">IF(AND(ISNUMBER($N$821),$B$419=1),$N$821,HLOOKUP(INDIRECT(ADDRESS(2,COLUMN())),OFFSET($BN$2,0,0,ROW()-1,60),ROW()-1,FALSE))</f>
        <v>52.011812999999997</v>
      </c>
      <c r="O399">
        <f ca="1">IF(AND(ISNUMBER($O$821),$B$419=1),$O$821,HLOOKUP(INDIRECT(ADDRESS(2,COLUMN())),OFFSET($BN$2,0,0,ROW()-1,60),ROW()-1,FALSE))</f>
        <v>45.352389709999997</v>
      </c>
      <c r="P399">
        <f ca="1">IF(AND(ISNUMBER($P$821),$B$419=1),$P$821,HLOOKUP(INDIRECT(ADDRESS(2,COLUMN())),OFFSET($BN$2,0,0,ROW()-1,60),ROW()-1,FALSE))</f>
        <v>52.204650110000003</v>
      </c>
      <c r="Q399">
        <f ca="1">IF(AND(ISNUMBER($Q$821),$B$419=1),$Q$821,HLOOKUP(INDIRECT(ADDRESS(2,COLUMN())),OFFSET($BN$2,0,0,ROW()-1,60),ROW()-1,FALSE))</f>
        <v>48.751303180000001</v>
      </c>
      <c r="R399">
        <f ca="1">IF(AND(ISNUMBER($R$821),$B$419=1),$R$821,HLOOKUP(INDIRECT(ADDRESS(2,COLUMN())),OFFSET($BN$2,0,0,ROW()-1,60),ROW()-1,FALSE))</f>
        <v>52.428742370000002</v>
      </c>
      <c r="S399">
        <f ca="1">IF(AND(ISNUMBER($S$821),$B$419=1),$S$821,HLOOKUP(INDIRECT(ADDRESS(2,COLUMN())),OFFSET($BN$2,0,0,ROW()-1,60),ROW()-1,FALSE))</f>
        <v>48.519494889999997</v>
      </c>
      <c r="T399">
        <f ca="1">IF(AND(ISNUMBER($T$821),$B$419=1),$T$821,HLOOKUP(INDIRECT(ADDRESS(2,COLUMN())),OFFSET($BN$2,0,0,ROW()-1,60),ROW()-1,FALSE))</f>
        <v>58.60382353</v>
      </c>
      <c r="U399">
        <f ca="1">IF(AND(ISNUMBER($U$821),$B$419=1),$U$821,HLOOKUP(INDIRECT(ADDRESS(2,COLUMN())),OFFSET($BN$2,0,0,ROW()-1,60),ROW()-1,FALSE))</f>
        <v>51.537280850000002</v>
      </c>
      <c r="V399">
        <f ca="1">IF(AND(ISNUMBER($V$821),$B$419=1),$V$821,HLOOKUP(INDIRECT(ADDRESS(2,COLUMN())),OFFSET($BN$2,0,0,ROW()-1,60),ROW()-1,FALSE))</f>
        <v>44.870380820000001</v>
      </c>
      <c r="W399">
        <f ca="1">IF(AND(ISNUMBER($W$821),$B$419=1),$W$821,HLOOKUP(INDIRECT(ADDRESS(2,COLUMN())),OFFSET($BN$2,0,0,ROW()-1,60),ROW()-1,FALSE))</f>
        <v>43.368188000000004</v>
      </c>
      <c r="X399">
        <f ca="1">IF(AND(ISNUMBER($X$821),$B$419=1),$X$821,HLOOKUP(INDIRECT(ADDRESS(2,COLUMN())),OFFSET($BN$2,0,0,ROW()-1,60),ROW()-1,FALSE))</f>
        <v>46.39044938</v>
      </c>
      <c r="Y399">
        <f ca="1">IF(AND(ISNUMBER($Y$821),$B$419=1),$Y$821,HLOOKUP(INDIRECT(ADDRESS(2,COLUMN())),OFFSET($BN$2,0,0,ROW()-1,60),ROW()-1,FALSE))</f>
        <v>46.56188556</v>
      </c>
      <c r="Z399">
        <f ca="1">IF(AND(ISNUMBER($Z$821),$B$419=1),$Z$821,HLOOKUP(INDIRECT(ADDRESS(2,COLUMN())),OFFSET($BN$2,0,0,ROW()-1,60),ROW()-1,FALSE))</f>
        <v>48.050983690000002</v>
      </c>
      <c r="AA399">
        <f ca="1">IF(AND(ISNUMBER($AA$821),$B$419=1),$AA$821,HLOOKUP(INDIRECT(ADDRESS(2,COLUMN())),OFFSET($BN$2,0,0,ROW()-1,60),ROW()-1,FALSE))</f>
        <v>41.133843820000003</v>
      </c>
      <c r="AB399">
        <f ca="1">IF(AND(ISNUMBER($AB$821),$B$419=1),$AB$821,HLOOKUP(INDIRECT(ADDRESS(2,COLUMN())),OFFSET($BN$2,0,0,ROW()-1,60),ROW()-1,FALSE))</f>
        <v>44.345806060000001</v>
      </c>
      <c r="AC399">
        <f ca="1">IF(AND(ISNUMBER($AC$821),$B$419=1),$AC$821,HLOOKUP(INDIRECT(ADDRESS(2,COLUMN())),OFFSET($BN$2,0,0,ROW()-1,60),ROW()-1,FALSE))</f>
        <v>46.229507230000003</v>
      </c>
      <c r="AD399">
        <f ca="1">IF(AND(ISNUMBER($AD$821),$B$419=1),$AD$821,HLOOKUP(INDIRECT(ADDRESS(2,COLUMN())),OFFSET($BN$2,0,0,ROW()-1,60),ROW()-1,FALSE))</f>
        <v>43.306540259999998</v>
      </c>
      <c r="AE399">
        <f ca="1">IF(AND(ISNUMBER($AE$821),$B$419=1),$AE$821,HLOOKUP(INDIRECT(ADDRESS(2,COLUMN())),OFFSET($BN$2,0,0,ROW()-1,60),ROW()-1,FALSE))</f>
        <v>47.607418629999998</v>
      </c>
      <c r="AF399">
        <f ca="1">IF(AND(ISNUMBER($AF$821),$B$419=1),$AF$821,HLOOKUP(INDIRECT(ADDRESS(2,COLUMN())),OFFSET($BN$2,0,0,ROW()-1,60),ROW()-1,FALSE))</f>
        <v>38.761953759999997</v>
      </c>
      <c r="AG399">
        <f ca="1">IF(AND(ISNUMBER($AG$821),$B$419=1),$AG$821,HLOOKUP(INDIRECT(ADDRESS(2,COLUMN())),OFFSET($BN$2,0,0,ROW()-1,60),ROW()-1,FALSE))</f>
        <v>40.258576689999998</v>
      </c>
      <c r="AH399">
        <f ca="1">IF(AND(ISNUMBER($AH$821),$B$419=1),$AH$821,HLOOKUP(INDIRECT(ADDRESS(2,COLUMN())),OFFSET($BN$2,0,0,ROW()-1,60),ROW()-1,FALSE))</f>
        <v>41.087714030000001</v>
      </c>
      <c r="AI399">
        <f ca="1">IF(AND(ISNUMBER($AI$821),$B$419=1),$AI$821,HLOOKUP(INDIRECT(ADDRESS(2,COLUMN())),OFFSET($BN$2,0,0,ROW()-1,60),ROW()-1,FALSE))</f>
        <v>37.163373399999998</v>
      </c>
      <c r="AJ399">
        <f ca="1">IF(AND(ISNUMBER($AJ$821),$B$419=1),$AJ$821,HLOOKUP(INDIRECT(ADDRESS(2,COLUMN())),OFFSET($BN$2,0,0,ROW()-1,60),ROW()-1,FALSE))</f>
        <v>55.160475820000002</v>
      </c>
      <c r="AK399">
        <f ca="1">IF(AND(ISNUMBER($AK$821),$B$419=1),$AK$821,HLOOKUP(INDIRECT(ADDRESS(2,COLUMN())),OFFSET($BN$2,0,0,ROW()-1,60),ROW()-1,FALSE))</f>
        <v>35.966362439999997</v>
      </c>
      <c r="AL399">
        <f ca="1">IF(AND(ISNUMBER($AL$821),$B$419=1),$AL$821,HLOOKUP(INDIRECT(ADDRESS(2,COLUMN())),OFFSET($BN$2,0,0,ROW()-1,60),ROW()-1,FALSE))</f>
        <v>52.732471199999999</v>
      </c>
      <c r="AM399">
        <f ca="1">IF(AND(ISNUMBER($AM$821),$B$419=1),$AM$821,HLOOKUP(INDIRECT(ADDRESS(2,COLUMN())),OFFSET($BN$2,0,0,ROW()-1,60),ROW()-1,FALSE))</f>
        <v>42.136439510000002</v>
      </c>
      <c r="AN399">
        <f ca="1">IF(AND(ISNUMBER($AN$821),$B$419=1),$AN$821,HLOOKUP(INDIRECT(ADDRESS(2,COLUMN())),OFFSET($BN$2,0,0,ROW()-1,60),ROW()-1,FALSE))</f>
        <v>35.69389984</v>
      </c>
      <c r="AO399">
        <f ca="1">IF(AND(ISNUMBER($AO$821),$B$419=1),$AO$821,HLOOKUP(INDIRECT(ADDRESS(2,COLUMN())),OFFSET($BN$2,0,0,ROW()-1,60),ROW()-1,FALSE))</f>
        <v>51.404835079999998</v>
      </c>
      <c r="AP399">
        <f ca="1">IF(AND(ISNUMBER($AP$821),$B$419=1),$AP$821,HLOOKUP(INDIRECT(ADDRESS(2,COLUMN())),OFFSET($BN$2,0,0,ROW()-1,60),ROW()-1,FALSE))</f>
        <v>4.4526729730000003</v>
      </c>
      <c r="AQ399">
        <f ca="1">IF(AND(ISNUMBER($AQ$821),$B$419=1),$AQ$821,HLOOKUP(INDIRECT(ADDRESS(2,COLUMN())),OFFSET($BN$2,0,0,ROW()-1,60),ROW()-1,FALSE))</f>
        <v>37.881696939999998</v>
      </c>
      <c r="AR399">
        <f ca="1">IF(AND(ISNUMBER($AR$821),$B$419=1),$AR$821,HLOOKUP(INDIRECT(ADDRESS(2,COLUMN())),OFFSET($BN$2,0,0,ROW()-1,60),ROW()-1,FALSE))</f>
        <v>87.442025540000003</v>
      </c>
      <c r="AS399">
        <f ca="1">IF(AND(ISNUMBER($AS$821),$B$419=1),$AS$821,HLOOKUP(INDIRECT(ADDRESS(2,COLUMN())),OFFSET($BN$2,0,0,ROW()-1,60),ROW()-1,FALSE))</f>
        <v>94.650891119999997</v>
      </c>
      <c r="AT399">
        <f ca="1">IF(AND(ISNUMBER($AT$821),$B$419=1),$AT$821,HLOOKUP(INDIRECT(ADDRESS(2,COLUMN())),OFFSET($BN$2,0,0,ROW()-1,60),ROW()-1,FALSE))</f>
        <v>47.877360539999998</v>
      </c>
      <c r="AU399">
        <f ca="1">IF(AND(ISNUMBER($AU$821),$B$419=1),$AU$821,HLOOKUP(INDIRECT(ADDRESS(2,COLUMN())),OFFSET($BN$2,0,0,ROW()-1,60),ROW()-1,FALSE))</f>
        <v>36.900564119999999</v>
      </c>
      <c r="AV399">
        <f ca="1">IF(AND(ISNUMBER($AV$821),$B$419=1),$AV$821,HLOOKUP(INDIRECT(ADDRESS(2,COLUMN())),OFFSET($BN$2,0,0,ROW()-1,60),ROW()-1,FALSE))</f>
        <v>44.758134210000001</v>
      </c>
      <c r="AW399">
        <f ca="1">IF(AND(ISNUMBER($AW$821),$B$419=1),$AW$821,HLOOKUP(INDIRECT(ADDRESS(2,COLUMN())),OFFSET($BN$2,0,0,ROW()-1,60),ROW()-1,FALSE))</f>
        <v>50.305173539999998</v>
      </c>
      <c r="AX399">
        <f ca="1">IF(AND(ISNUMBER($AX$821),$B$419=1),$AX$821,HLOOKUP(INDIRECT(ADDRESS(2,COLUMN())),OFFSET($BN$2,0,0,ROW()-1,60),ROW()-1,FALSE))</f>
        <v>47.617860489999998</v>
      </c>
      <c r="AY399">
        <f ca="1">IF(AND(ISNUMBER($AY$821),$B$419=1),$AY$821,HLOOKUP(INDIRECT(ADDRESS(2,COLUMN())),OFFSET($BN$2,0,0,ROW()-1,60),ROW()-1,FALSE))</f>
        <v>37.343128640000003</v>
      </c>
      <c r="AZ399">
        <f ca="1">IF(AND(ISNUMBER($AZ$821),$B$419=1),$AZ$821,HLOOKUP(INDIRECT(ADDRESS(2,COLUMN())),OFFSET($BN$2,0,0,ROW()-1,60),ROW()-1,FALSE))</f>
        <v>45.49601045</v>
      </c>
      <c r="BA399">
        <f ca="1">IF(AND(ISNUMBER($BA$821),$B$419=1),$BA$821,HLOOKUP(INDIRECT(ADDRESS(2,COLUMN())),OFFSET($BN$2,0,0,ROW()-1,60),ROW()-1,FALSE))</f>
        <v>46.856579340000003</v>
      </c>
      <c r="BB399">
        <f ca="1">IF(AND(ISNUMBER($BB$821),$B$419=1),$BB$821,HLOOKUP(INDIRECT(ADDRESS(2,COLUMN())),OFFSET($BN$2,0,0,ROW()-1,60),ROW()-1,FALSE))</f>
        <v>46.715307950000003</v>
      </c>
      <c r="BC399">
        <f ca="1">IF(AND(ISNUMBER($BC$821),$B$419=1),$BC$821,HLOOKUP(INDIRECT(ADDRESS(2,COLUMN())),OFFSET($BN$2,0,0,ROW()-1,60),ROW()-1,FALSE))</f>
        <v>36.734724569999997</v>
      </c>
      <c r="BD399">
        <f ca="1">IF(AND(ISNUMBER($BD$821),$B$419=1),$BD$821,HLOOKUP(INDIRECT(ADDRESS(2,COLUMN())),OFFSET($BN$2,0,0,ROW()-1,60),ROW()-1,FALSE))</f>
        <v>47.73098049</v>
      </c>
      <c r="BE399">
        <f ca="1">IF(AND(ISNUMBER($BE$821),$B$419=1),$BE$821,HLOOKUP(INDIRECT(ADDRESS(2,COLUMN())),OFFSET($BN$2,0,0,ROW()-1,60),ROW()-1,FALSE))</f>
        <v>45.994488179999998</v>
      </c>
      <c r="BF399">
        <f ca="1">IF(AND(ISNUMBER($BF$821),$B$419=1),$BF$821,HLOOKUP(INDIRECT(ADDRESS(2,COLUMN())),OFFSET($BN$2,0,0,ROW()-1,60),ROW()-1,FALSE))</f>
        <v>46.219051020000002</v>
      </c>
      <c r="BG399">
        <f ca="1">IF(AND(ISNUMBER($BG$821),$B$419=1),$BG$821,HLOOKUP(INDIRECT(ADDRESS(2,COLUMN())),OFFSET($BN$2,0,0,ROW()-1,60),ROW()-1,FALSE))</f>
        <v>37.0260818</v>
      </c>
      <c r="BH399">
        <f ca="1">IF(AND(ISNUMBER($BH$821),$B$419=1),$BH$821,HLOOKUP(INDIRECT(ADDRESS(2,COLUMN())),OFFSET($BN$2,0,0,ROW()-1,60),ROW()-1,FALSE))</f>
        <v>48.457888140000001</v>
      </c>
      <c r="BI399">
        <f ca="1">IF(AND(ISNUMBER($BI$821),$B$419=1),$BI$821,HLOOKUP(INDIRECT(ADDRESS(2,COLUMN())),OFFSET($BN$2,0,0,ROW()-1,60),ROW()-1,FALSE))</f>
        <v>64.063747179999993</v>
      </c>
      <c r="BJ399">
        <f ca="1">IF(AND(ISNUMBER($BJ$821),$B$419=1),$BJ$821,HLOOKUP(INDIRECT(ADDRESS(2,COLUMN())),OFFSET($BN$2,0,0,ROW()-1,60),ROW()-1,FALSE))</f>
        <v>67.554175369999996</v>
      </c>
      <c r="BK399">
        <f ca="1">IF(AND(ISNUMBER($BK$821),$B$419=1),$BK$821,HLOOKUP(INDIRECT(ADDRESS(2,COLUMN())),OFFSET($BN$2,0,0,ROW()-1,60),ROW()-1,FALSE))</f>
        <v>32.666055350000001</v>
      </c>
      <c r="BL399">
        <f ca="1">IF(AND(ISNUMBER($BL$821),$B$419=1),$BL$821,HLOOKUP(INDIRECT(ADDRESS(2,COLUMN())),OFFSET($BN$2,0,0,ROW()-1,60),ROW()-1,FALSE))</f>
        <v>63.285346680000004</v>
      </c>
      <c r="BM399">
        <f ca="1">IF(AND(ISNUMBER($BM$821),$B$419=1),$BM$821,HLOOKUP(INDIRECT(ADDRESS(2,COLUMN())),OFFSET($BN$2,0,0,ROW()-1,60),ROW()-1,FALSE))</f>
        <v>60.841684890000003</v>
      </c>
      <c r="BN399" t="str">
        <f>""</f>
        <v/>
      </c>
      <c r="BO399">
        <f>51.28475477</f>
        <v>51.284754769999999</v>
      </c>
      <c r="BP399">
        <f>54.03742688</f>
        <v>54.037426879999998</v>
      </c>
      <c r="BQ399">
        <f>61.62962315</f>
        <v>61.62962315</v>
      </c>
      <c r="BR399">
        <f>55.57470366</f>
        <v>55.574703659999997</v>
      </c>
      <c r="BS399">
        <f>56.73809808</f>
        <v>56.73809808</v>
      </c>
      <c r="BT399">
        <f>53.12248724</f>
        <v>53.122487239999998</v>
      </c>
      <c r="BU399">
        <f>52.62403276</f>
        <v>52.624032759999999</v>
      </c>
      <c r="BV399">
        <f>52.011813</f>
        <v>52.011812999999997</v>
      </c>
      <c r="BW399">
        <f>45.35238971</f>
        <v>45.352389709999997</v>
      </c>
      <c r="BX399">
        <f>52.20465011</f>
        <v>52.204650110000003</v>
      </c>
      <c r="BY399">
        <f>48.75130318</f>
        <v>48.751303180000001</v>
      </c>
      <c r="BZ399">
        <f>52.42874237</f>
        <v>52.428742370000002</v>
      </c>
      <c r="CA399">
        <f>48.51949489</f>
        <v>48.519494889999997</v>
      </c>
      <c r="CB399">
        <f>58.60382353</f>
        <v>58.60382353</v>
      </c>
      <c r="CC399">
        <f>51.53728085</f>
        <v>51.537280850000002</v>
      </c>
      <c r="CD399">
        <f>44.87038082</f>
        <v>44.870380820000001</v>
      </c>
      <c r="CE399">
        <f>43.368188</f>
        <v>43.368188000000004</v>
      </c>
      <c r="CF399">
        <f>46.39044938</f>
        <v>46.39044938</v>
      </c>
      <c r="CG399">
        <f>46.56188556</f>
        <v>46.56188556</v>
      </c>
      <c r="CH399">
        <f>48.05098369</f>
        <v>48.050983690000002</v>
      </c>
      <c r="CI399">
        <f>41.13384382</f>
        <v>41.133843820000003</v>
      </c>
      <c r="CJ399">
        <f>44.34580606</f>
        <v>44.345806060000001</v>
      </c>
      <c r="CK399">
        <f>46.22950723</f>
        <v>46.229507230000003</v>
      </c>
      <c r="CL399">
        <f>43.30654026</f>
        <v>43.306540259999998</v>
      </c>
      <c r="CM399">
        <f>47.60741863</f>
        <v>47.607418629999998</v>
      </c>
      <c r="CN399">
        <f>38.76195376</f>
        <v>38.761953759999997</v>
      </c>
      <c r="CO399">
        <f>40.25857669</f>
        <v>40.258576689999998</v>
      </c>
      <c r="CP399">
        <f>41.08771403</f>
        <v>41.087714030000001</v>
      </c>
      <c r="CQ399">
        <f>37.1633734</f>
        <v>37.163373399999998</v>
      </c>
      <c r="CR399">
        <f>55.16047582</f>
        <v>55.160475820000002</v>
      </c>
      <c r="CS399">
        <f>35.96636244</f>
        <v>35.966362439999997</v>
      </c>
      <c r="CT399">
        <f>52.7324712</f>
        <v>52.732471199999999</v>
      </c>
      <c r="CU399">
        <f>42.13643951</f>
        <v>42.136439510000002</v>
      </c>
      <c r="CV399">
        <f>35.69389984</f>
        <v>35.69389984</v>
      </c>
      <c r="CW399">
        <f>51.40483508</f>
        <v>51.404835079999998</v>
      </c>
      <c r="CX399">
        <f>4.452672973</f>
        <v>4.4526729730000003</v>
      </c>
      <c r="CY399">
        <f>37.88169694</f>
        <v>37.881696939999998</v>
      </c>
      <c r="CZ399">
        <f>87.44202554</f>
        <v>87.442025540000003</v>
      </c>
      <c r="DA399">
        <f>94.65089112</f>
        <v>94.650891119999997</v>
      </c>
      <c r="DB399">
        <f>47.87736054</f>
        <v>47.877360539999998</v>
      </c>
      <c r="DC399">
        <f>36.90056412</f>
        <v>36.900564119999999</v>
      </c>
      <c r="DD399">
        <f>44.75813421</f>
        <v>44.758134210000001</v>
      </c>
      <c r="DE399">
        <f>50.30517354</f>
        <v>50.305173539999998</v>
      </c>
      <c r="DF399">
        <f>47.61786049</f>
        <v>47.617860489999998</v>
      </c>
      <c r="DG399">
        <f>37.34312864</f>
        <v>37.343128640000003</v>
      </c>
      <c r="DH399">
        <f>45.49601045</f>
        <v>45.49601045</v>
      </c>
      <c r="DI399">
        <f>46.85657934</f>
        <v>46.856579340000003</v>
      </c>
      <c r="DJ399">
        <f>46.71530795</f>
        <v>46.715307950000003</v>
      </c>
      <c r="DK399">
        <f>36.73472457</f>
        <v>36.734724569999997</v>
      </c>
      <c r="DL399">
        <f>47.73098049</f>
        <v>47.73098049</v>
      </c>
      <c r="DM399">
        <f>45.99448818</f>
        <v>45.994488179999998</v>
      </c>
      <c r="DN399">
        <f>46.21905102</f>
        <v>46.219051020000002</v>
      </c>
      <c r="DO399">
        <f>37.0260818</f>
        <v>37.0260818</v>
      </c>
      <c r="DP399">
        <f>48.45788814</f>
        <v>48.457888140000001</v>
      </c>
      <c r="DQ399">
        <f>64.06374718</f>
        <v>64.063747179999993</v>
      </c>
      <c r="DR399">
        <f>67.55417537</f>
        <v>67.554175369999996</v>
      </c>
      <c r="DS399">
        <f>32.66605535</f>
        <v>32.666055350000001</v>
      </c>
      <c r="DT399">
        <f>63.28534668</f>
        <v>63.285346680000004</v>
      </c>
      <c r="DU399">
        <f>60.84168489</f>
        <v>60.841684890000003</v>
      </c>
    </row>
    <row r="400" spans="1:125">
      <c r="A400" t="str">
        <f>"    Tanger Factory Outlet Centers"</f>
        <v xml:space="preserve">    Tanger Factory Outlet Centers</v>
      </c>
      <c r="B400" t="str">
        <f>"SKT US Equity"</f>
        <v>SKT US Equity</v>
      </c>
      <c r="C400" t="str">
        <f t="shared" si="70"/>
        <v>RR106</v>
      </c>
      <c r="D400" t="str">
        <f t="shared" si="71"/>
        <v>FFO_PAYOUT_RATIO</v>
      </c>
      <c r="E400" t="str">
        <f t="shared" si="72"/>
        <v>动态</v>
      </c>
      <c r="F400" t="str">
        <f ca="1">IF(AND(ISNUMBER($F$822),$B$419=1),$F$822,HLOOKUP(INDIRECT(ADDRESS(2,COLUMN())),OFFSET($BN$2,0,0,ROW()-1,60),ROW()-1,FALSE))</f>
        <v/>
      </c>
      <c r="G400">
        <f ca="1">IF(AND(ISNUMBER($G$822),$B$419=1),$G$822,HLOOKUP(INDIRECT(ADDRESS(2,COLUMN())),OFFSET($BN$2,0,0,ROW()-1,60),ROW()-1,FALSE))</f>
        <v>47.567695669999999</v>
      </c>
      <c r="H400">
        <f ca="1">IF(AND(ISNUMBER($H$822),$B$419=1),$H$822,HLOOKUP(INDIRECT(ADDRESS(2,COLUMN())),OFFSET($BN$2,0,0,ROW()-1,60),ROW()-1,FALSE))</f>
        <v>120.6625188</v>
      </c>
      <c r="I400">
        <f ca="1">IF(AND(ISNUMBER($I$822),$B$419=1),$I$822,HLOOKUP(INDIRECT(ADDRESS(2,COLUMN())),OFFSET($BN$2,0,0,ROW()-1,60),ROW()-1,FALSE))</f>
        <v>54.783050549999999</v>
      </c>
      <c r="J400">
        <f ca="1">IF(AND(ISNUMBER($J$822),$B$419=1),$J$822,HLOOKUP(INDIRECT(ADDRESS(2,COLUMN())),OFFSET($BN$2,0,0,ROW()-1,60),ROW()-1,FALSE))</f>
        <v>53.65217956</v>
      </c>
      <c r="K400">
        <f ca="1">IF(AND(ISNUMBER($K$822),$B$419=1),$K$822,HLOOKUP(INDIRECT(ADDRESS(2,COLUMN())),OFFSET($BN$2,0,0,ROW()-1,60),ROW()-1,FALSE))</f>
        <v>50.779616220000001</v>
      </c>
      <c r="L400">
        <f ca="1">IF(AND(ISNUMBER($L$822),$B$419=1),$L$822,HLOOKUP(INDIRECT(ADDRESS(2,COLUMN())),OFFSET($BN$2,0,0,ROW()-1,60),ROW()-1,FALSE))</f>
        <v>49.825513950000001</v>
      </c>
      <c r="M400">
        <f ca="1">IF(AND(ISNUMBER($M$822),$B$419=1),$M$822,HLOOKUP(INDIRECT(ADDRESS(2,COLUMN())),OFFSET($BN$2,0,0,ROW()-1,60),ROW()-1,FALSE))</f>
        <v>52.738418930000002</v>
      </c>
      <c r="N400">
        <f ca="1">IF(AND(ISNUMBER($N$822),$B$419=1),$N$822,HLOOKUP(INDIRECT(ADDRESS(2,COLUMN())),OFFSET($BN$2,0,0,ROW()-1,60),ROW()-1,FALSE))</f>
        <v>49.979874860000002</v>
      </c>
      <c r="O400">
        <f ca="1">IF(AND(ISNUMBER($O$822),$B$419=1),$O$822,HLOOKUP(INDIRECT(ADDRESS(2,COLUMN())),OFFSET($BN$2,0,0,ROW()-1,60),ROW()-1,FALSE))</f>
        <v>45.906924570000001</v>
      </c>
      <c r="P400">
        <f ca="1">IF(AND(ISNUMBER($P$822),$B$419=1),$P$822,HLOOKUP(INDIRECT(ADDRESS(2,COLUMN())),OFFSET($BN$2,0,0,ROW()-1,60),ROW()-1,FALSE))</f>
        <v>45.972154410000002</v>
      </c>
      <c r="Q400">
        <f ca="1">IF(AND(ISNUMBER($Q$822),$B$419=1),$Q$822,HLOOKUP(INDIRECT(ADDRESS(2,COLUMN())),OFFSET($BN$2,0,0,ROW()-1,60),ROW()-1,FALSE))</f>
        <v>50.429402529999997</v>
      </c>
      <c r="R400">
        <f ca="1">IF(AND(ISNUMBER($R$822),$B$419=1),$R$822,HLOOKUP(INDIRECT(ADDRESS(2,COLUMN())),OFFSET($BN$2,0,0,ROW()-1,60),ROW()-1,FALSE))</f>
        <v>46.125253659999998</v>
      </c>
      <c r="S400">
        <f ca="1">IF(AND(ISNUMBER($S$822),$B$419=1),$S$822,HLOOKUP(INDIRECT(ADDRESS(2,COLUMN())),OFFSET($BN$2,0,0,ROW()-1,60),ROW()-1,FALSE))</f>
        <v>58.409933469999999</v>
      </c>
      <c r="T400">
        <f ca="1">IF(AND(ISNUMBER($T$822),$B$419=1),$T$822,HLOOKUP(INDIRECT(ADDRESS(2,COLUMN())),OFFSET($BN$2,0,0,ROW()-1,60),ROW()-1,FALSE))</f>
        <v>44.520375569999999</v>
      </c>
      <c r="U400">
        <f ca="1">IF(AND(ISNUMBER($U$822),$B$419=1),$U$822,HLOOKUP(INDIRECT(ADDRESS(2,COLUMN())),OFFSET($BN$2,0,0,ROW()-1,60),ROW()-1,FALSE))</f>
        <v>49.874170169999999</v>
      </c>
      <c r="V400">
        <f ca="1">IF(AND(ISNUMBER($V$822),$B$419=1),$V$822,HLOOKUP(INDIRECT(ADDRESS(2,COLUMN())),OFFSET($BN$2,0,0,ROW()-1,60),ROW()-1,FALSE))</f>
        <v>50.087528880000001</v>
      </c>
      <c r="W400">
        <f ca="1">IF(AND(ISNUMBER($W$822),$B$419=1),$W$822,HLOOKUP(INDIRECT(ADDRESS(2,COLUMN())),OFFSET($BN$2,0,0,ROW()-1,60),ROW()-1,FALSE))</f>
        <v>40.20738077</v>
      </c>
      <c r="X400">
        <f ca="1">IF(AND(ISNUMBER($X$822),$B$419=1),$X$822,HLOOKUP(INDIRECT(ADDRESS(2,COLUMN())),OFFSET($BN$2,0,0,ROW()-1,60),ROW()-1,FALSE))</f>
        <v>37.383087760000002</v>
      </c>
      <c r="Y400">
        <f ca="1">IF(AND(ISNUMBER($Y$822),$B$419=1),$Y$822,HLOOKUP(INDIRECT(ADDRESS(2,COLUMN())),OFFSET($BN$2,0,0,ROW()-1,60),ROW()-1,FALSE))</f>
        <v>49.355947540000003</v>
      </c>
      <c r="Z400">
        <f ca="1">IF(AND(ISNUMBER($Z$822),$B$419=1),$Z$822,HLOOKUP(INDIRECT(ADDRESS(2,COLUMN())),OFFSET($BN$2,0,0,ROW()-1,60),ROW()-1,FALSE))</f>
        <v>47.686635940000002</v>
      </c>
      <c r="AA400">
        <f ca="1">IF(AND(ISNUMBER($AA$822),$B$419=1),$AA$822,HLOOKUP(INDIRECT(ADDRESS(2,COLUMN())),OFFSET($BN$2,0,0,ROW()-1,60),ROW()-1,FALSE))</f>
        <v>43.579459100000001</v>
      </c>
      <c r="AB400">
        <f ca="1">IF(AND(ISNUMBER($AB$822),$B$419=1),$AB$822,HLOOKUP(INDIRECT(ADDRESS(2,COLUMN())),OFFSET($BN$2,0,0,ROW()-1,60),ROW()-1,FALSE))</f>
        <v>46.4320752</v>
      </c>
      <c r="AC400">
        <f ca="1">IF(AND(ISNUMBER($AC$822),$B$419=1),$AC$822,HLOOKUP(INDIRECT(ADDRESS(2,COLUMN())),OFFSET($BN$2,0,0,ROW()-1,60),ROW()-1,FALSE))</f>
        <v>49.915953969999997</v>
      </c>
      <c r="AD400">
        <f ca="1">IF(AND(ISNUMBER($AD$822),$B$419=1),$AD$822,HLOOKUP(INDIRECT(ADDRESS(2,COLUMN())),OFFSET($BN$2,0,0,ROW()-1,60),ROW()-1,FALSE))</f>
        <v>50.320426490000003</v>
      </c>
      <c r="AE400">
        <f ca="1">IF(AND(ISNUMBER($AE$822),$B$419=1),$AE$822,HLOOKUP(INDIRECT(ADDRESS(2,COLUMN())),OFFSET($BN$2,0,0,ROW()-1,60),ROW()-1,FALSE))</f>
        <v>41.546424170000002</v>
      </c>
      <c r="AF400">
        <f ca="1">IF(AND(ISNUMBER($AF$822),$B$419=1),$AF$822,HLOOKUP(INDIRECT(ADDRESS(2,COLUMN())),OFFSET($BN$2,0,0,ROW()-1,60),ROW()-1,FALSE))</f>
        <v>44.949862779999997</v>
      </c>
      <c r="AG400">
        <f ca="1">IF(AND(ISNUMBER($AG$822),$B$419=1),$AG$822,HLOOKUP(INDIRECT(ADDRESS(2,COLUMN())),OFFSET($BN$2,0,0,ROW()-1,60),ROW()-1,FALSE))</f>
        <v>54.376731300000003</v>
      </c>
      <c r="AH400">
        <f ca="1">IF(AND(ISNUMBER($AH$822),$B$419=1),$AH$822,HLOOKUP(INDIRECT(ADDRESS(2,COLUMN())),OFFSET($BN$2,0,0,ROW()-1,60),ROW()-1,FALSE))</f>
        <v>53.16002701</v>
      </c>
      <c r="AI400">
        <f ca="1">IF(AND(ISNUMBER($AI$822),$B$419=1),$AI$822,HLOOKUP(INDIRECT(ADDRESS(2,COLUMN())),OFFSET($BN$2,0,0,ROW()-1,60),ROW()-1,FALSE))</f>
        <v>51.066174269999998</v>
      </c>
      <c r="AJ400">
        <f ca="1">IF(AND(ISNUMBER($AJ$822),$B$419=1),$AJ$822,HLOOKUP(INDIRECT(ADDRESS(2,COLUMN())),OFFSET($BN$2,0,0,ROW()-1,60),ROW()-1,FALSE))</f>
        <v>50.036698430000001</v>
      </c>
      <c r="AK400">
        <f ca="1">IF(AND(ISNUMBER($AK$822),$B$419=1),$AK$822,HLOOKUP(INDIRECT(ADDRESS(2,COLUMN())),OFFSET($BN$2,0,0,ROW()-1,60),ROW()-1,FALSE))</f>
        <v>70.297260919999999</v>
      </c>
      <c r="AL400">
        <f ca="1">IF(AND(ISNUMBER($AL$822),$B$419=1),$AL$822,HLOOKUP(INDIRECT(ADDRESS(2,COLUMN())),OFFSET($BN$2,0,0,ROW()-1,60),ROW()-1,FALSE))</f>
        <v>52.801068739999998</v>
      </c>
      <c r="AM400">
        <f ca="1">IF(AND(ISNUMBER($AM$822),$B$419=1),$AM$822,HLOOKUP(INDIRECT(ADDRESS(2,COLUMN())),OFFSET($BN$2,0,0,ROW()-1,60),ROW()-1,FALSE))</f>
        <v>46.614416859999999</v>
      </c>
      <c r="AN400">
        <f ca="1">IF(AND(ISNUMBER($AN$822),$B$419=1),$AN$822,HLOOKUP(INDIRECT(ADDRESS(2,COLUMN())),OFFSET($BN$2,0,0,ROW()-1,60),ROW()-1,FALSE))</f>
        <v>60.70590627</v>
      </c>
      <c r="AO400">
        <f ca="1">IF(AND(ISNUMBER($AO$822),$B$419=1),$AO$822,HLOOKUP(INDIRECT(ADDRESS(2,COLUMN())),OFFSET($BN$2,0,0,ROW()-1,60),ROW()-1,FALSE))</f>
        <v>40.332017180000001</v>
      </c>
      <c r="AP400">
        <f ca="1">IF(AND(ISNUMBER($AP$822),$B$419=1),$AP$822,HLOOKUP(INDIRECT(ADDRESS(2,COLUMN())),OFFSET($BN$2,0,0,ROW()-1,60),ROW()-1,FALSE))</f>
        <v>48.714731</v>
      </c>
      <c r="AQ400">
        <f ca="1">IF(AND(ISNUMBER($AQ$822),$B$419=1),$AQ$822,HLOOKUP(INDIRECT(ADDRESS(2,COLUMN())),OFFSET($BN$2,0,0,ROW()-1,60),ROW()-1,FALSE))</f>
        <v>44.76842225</v>
      </c>
      <c r="AR400">
        <f ca="1">IF(AND(ISNUMBER($AR$822),$B$419=1),$AR$822,HLOOKUP(INDIRECT(ADDRESS(2,COLUMN())),OFFSET($BN$2,0,0,ROW()-1,60),ROW()-1,FALSE))</f>
        <v>46.49406493</v>
      </c>
      <c r="AS400">
        <f ca="1">IF(AND(ISNUMBER($AS$822),$B$419=1),$AS$822,HLOOKUP(INDIRECT(ADDRESS(2,COLUMN())),OFFSET($BN$2,0,0,ROW()-1,60),ROW()-1,FALSE))</f>
        <v>82.714495900000003</v>
      </c>
      <c r="AT400">
        <f ca="1">IF(AND(ISNUMBER($AT$822),$B$419=1),$AT$822,HLOOKUP(INDIRECT(ADDRESS(2,COLUMN())),OFFSET($BN$2,0,0,ROW()-1,60),ROW()-1,FALSE))</f>
        <v>50.910435499999998</v>
      </c>
      <c r="AU400">
        <f ca="1">IF(AND(ISNUMBER($AU$822),$B$419=1),$AU$822,HLOOKUP(INDIRECT(ADDRESS(2,COLUMN())),OFFSET($BN$2,0,0,ROW()-1,60),ROW()-1,FALSE))</f>
        <v>42.195253460000004</v>
      </c>
      <c r="AV400">
        <f ca="1">IF(AND(ISNUMBER($AV$822),$B$419=1),$AV$822,HLOOKUP(INDIRECT(ADDRESS(2,COLUMN())),OFFSET($BN$2,0,0,ROW()-1,60),ROW()-1,FALSE))</f>
        <v>46.407789710000003</v>
      </c>
      <c r="AW400">
        <f ca="1">IF(AND(ISNUMBER($AW$822),$B$419=1),$AW$822,HLOOKUP(INDIRECT(ADDRESS(2,COLUMN())),OFFSET($BN$2,0,0,ROW()-1,60),ROW()-1,FALSE))</f>
        <v>50.106746139999998</v>
      </c>
      <c r="AX400">
        <f ca="1">IF(AND(ISNUMBER($AX$822),$B$419=1),$AX$822,HLOOKUP(INDIRECT(ADDRESS(2,COLUMN())),OFFSET($BN$2,0,0,ROW()-1,60),ROW()-1,FALSE))</f>
        <v>49.048003379999997</v>
      </c>
      <c r="AY400">
        <f ca="1">IF(AND(ISNUMBER($AY$822),$B$419=1),$AY$822,HLOOKUP(INDIRECT(ADDRESS(2,COLUMN())),OFFSET($BN$2,0,0,ROW()-1,60),ROW()-1,FALSE))</f>
        <v>46.377516419999999</v>
      </c>
      <c r="AZ400">
        <f ca="1">IF(AND(ISNUMBER($AZ$822),$B$419=1),$AZ$822,HLOOKUP(INDIRECT(ADDRESS(2,COLUMN())),OFFSET($BN$2,0,0,ROW()-1,60),ROW()-1,FALSE))</f>
        <v>49.210399430000002</v>
      </c>
      <c r="BA400">
        <f ca="1">IF(AND(ISNUMBER($BA$822),$B$419=1),$BA$822,HLOOKUP(INDIRECT(ADDRESS(2,COLUMN())),OFFSET($BN$2,0,0,ROW()-1,60),ROW()-1,FALSE))</f>
        <v>52.64777041</v>
      </c>
      <c r="BB400">
        <f ca="1">IF(AND(ISNUMBER($BB$822),$B$419=1),$BB$822,HLOOKUP(INDIRECT(ADDRESS(2,COLUMN())),OFFSET($BN$2,0,0,ROW()-1,60),ROW()-1,FALSE))</f>
        <v>52.12964581</v>
      </c>
      <c r="BC400">
        <f ca="1">IF(AND(ISNUMBER($BC$822),$B$419=1),$BC$822,HLOOKUP(INDIRECT(ADDRESS(2,COLUMN())),OFFSET($BN$2,0,0,ROW()-1,60),ROW()-1,FALSE))</f>
        <v>78.635254770000003</v>
      </c>
      <c r="BD400">
        <f ca="1">IF(AND(ISNUMBER($BD$822),$B$419=1),$BD$822,HLOOKUP(INDIRECT(ADDRESS(2,COLUMN())),OFFSET($BN$2,0,0,ROW()-1,60),ROW()-1,FALSE))</f>
        <v>52.689670059999997</v>
      </c>
      <c r="BE400">
        <f ca="1">IF(AND(ISNUMBER($BE$822),$B$419=1),$BE$822,HLOOKUP(INDIRECT(ADDRESS(2,COLUMN())),OFFSET($BN$2,0,0,ROW()-1,60),ROW()-1,FALSE))</f>
        <v>56.184375600000003</v>
      </c>
      <c r="BF400">
        <f ca="1">IF(AND(ISNUMBER($BF$822),$B$419=1),$BF$822,HLOOKUP(INDIRECT(ADDRESS(2,COLUMN())),OFFSET($BN$2,0,0,ROW()-1,60),ROW()-1,FALSE))</f>
        <v>58.723331039999998</v>
      </c>
      <c r="BG400">
        <f ca="1">IF(AND(ISNUMBER($BG$822),$B$419=1),$BG$822,HLOOKUP(INDIRECT(ADDRESS(2,COLUMN())),OFFSET($BN$2,0,0,ROW()-1,60),ROW()-1,FALSE))</f>
        <v>49.00463748</v>
      </c>
      <c r="BH400">
        <f ca="1">IF(AND(ISNUMBER($BH$822),$B$419=1),$BH$822,HLOOKUP(INDIRECT(ADDRESS(2,COLUMN())),OFFSET($BN$2,0,0,ROW()-1,60),ROW()-1,FALSE))</f>
        <v>53.719138729999997</v>
      </c>
      <c r="BI400">
        <f ca="1">IF(AND(ISNUMBER($BI$822),$B$419=1),$BI$822,HLOOKUP(INDIRECT(ADDRESS(2,COLUMN())),OFFSET($BN$2,0,0,ROW()-1,60),ROW()-1,FALSE))</f>
        <v>54.081763420000001</v>
      </c>
      <c r="BJ400">
        <f ca="1">IF(AND(ISNUMBER($BJ$822),$B$419=1),$BJ$822,HLOOKUP(INDIRECT(ADDRESS(2,COLUMN())),OFFSET($BN$2,0,0,ROW()-1,60),ROW()-1,FALSE))</f>
        <v>59.038760529999998</v>
      </c>
      <c r="BK400">
        <f ca="1">IF(AND(ISNUMBER($BK$822),$B$419=1),$BK$822,HLOOKUP(INDIRECT(ADDRESS(2,COLUMN())),OFFSET($BN$2,0,0,ROW()-1,60),ROW()-1,FALSE))</f>
        <v>48.642045359999997</v>
      </c>
      <c r="BL400">
        <f ca="1">IF(AND(ISNUMBER($BL$822),$B$419=1),$BL$822,HLOOKUP(INDIRECT(ADDRESS(2,COLUMN())),OFFSET($BN$2,0,0,ROW()-1,60),ROW()-1,FALSE))</f>
        <v>1982.45318</v>
      </c>
      <c r="BM400">
        <f ca="1">IF(AND(ISNUMBER($BM$822),$B$419=1),$BM$822,HLOOKUP(INDIRECT(ADDRESS(2,COLUMN())),OFFSET($BN$2,0,0,ROW()-1,60),ROW()-1,FALSE))</f>
        <v>53.670488669999997</v>
      </c>
      <c r="BN400" t="str">
        <f>""</f>
        <v/>
      </c>
      <c r="BO400">
        <f>47.56769567</f>
        <v>47.567695669999999</v>
      </c>
      <c r="BP400">
        <f>120.6625188</f>
        <v>120.6625188</v>
      </c>
      <c r="BQ400">
        <f>54.78305055</f>
        <v>54.783050549999999</v>
      </c>
      <c r="BR400">
        <f>53.65217956</f>
        <v>53.65217956</v>
      </c>
      <c r="BS400">
        <f>50.77961622</f>
        <v>50.779616220000001</v>
      </c>
      <c r="BT400">
        <f>49.82551395</f>
        <v>49.825513950000001</v>
      </c>
      <c r="BU400">
        <f>52.73841893</f>
        <v>52.738418930000002</v>
      </c>
      <c r="BV400">
        <f>49.97987486</f>
        <v>49.979874860000002</v>
      </c>
      <c r="BW400">
        <f>45.90692457</f>
        <v>45.906924570000001</v>
      </c>
      <c r="BX400">
        <f>45.97215441</f>
        <v>45.972154410000002</v>
      </c>
      <c r="BY400">
        <f>50.42940253</f>
        <v>50.429402529999997</v>
      </c>
      <c r="BZ400">
        <f>46.12525366</f>
        <v>46.125253659999998</v>
      </c>
      <c r="CA400">
        <f>58.40993347</f>
        <v>58.409933469999999</v>
      </c>
      <c r="CB400">
        <f>44.52037557</f>
        <v>44.520375569999999</v>
      </c>
      <c r="CC400">
        <f>49.87417017</f>
        <v>49.874170169999999</v>
      </c>
      <c r="CD400">
        <f>50.08752888</f>
        <v>50.087528880000001</v>
      </c>
      <c r="CE400">
        <f>40.20738077</f>
        <v>40.20738077</v>
      </c>
      <c r="CF400">
        <f>37.38308776</f>
        <v>37.383087760000002</v>
      </c>
      <c r="CG400">
        <f>49.35594754</f>
        <v>49.355947540000003</v>
      </c>
      <c r="CH400">
        <f>47.68663594</f>
        <v>47.686635940000002</v>
      </c>
      <c r="CI400">
        <f>43.5794591</f>
        <v>43.579459100000001</v>
      </c>
      <c r="CJ400">
        <f>46.4320752</f>
        <v>46.4320752</v>
      </c>
      <c r="CK400">
        <f>49.91595397</f>
        <v>49.915953969999997</v>
      </c>
      <c r="CL400">
        <f>50.32042649</f>
        <v>50.320426490000003</v>
      </c>
      <c r="CM400">
        <f>41.54642417</f>
        <v>41.546424170000002</v>
      </c>
      <c r="CN400">
        <f>44.94986278</f>
        <v>44.949862779999997</v>
      </c>
      <c r="CO400">
        <f>54.3767313</f>
        <v>54.376731300000003</v>
      </c>
      <c r="CP400">
        <f>53.16002701</f>
        <v>53.16002701</v>
      </c>
      <c r="CQ400">
        <f>51.06617427</f>
        <v>51.066174269999998</v>
      </c>
      <c r="CR400">
        <f>50.03669843</f>
        <v>50.036698430000001</v>
      </c>
      <c r="CS400">
        <f>70.29726092</f>
        <v>70.297260919999999</v>
      </c>
      <c r="CT400">
        <f>52.80106874</f>
        <v>52.801068739999998</v>
      </c>
      <c r="CU400">
        <f>46.61441686</f>
        <v>46.614416859999999</v>
      </c>
      <c r="CV400">
        <f>60.70590627</f>
        <v>60.70590627</v>
      </c>
      <c r="CW400">
        <f>40.33201718</f>
        <v>40.332017180000001</v>
      </c>
      <c r="CX400">
        <f>48.714731</f>
        <v>48.714731</v>
      </c>
      <c r="CY400">
        <f>44.76842225</f>
        <v>44.76842225</v>
      </c>
      <c r="CZ400">
        <f>46.49406493</f>
        <v>46.49406493</v>
      </c>
      <c r="DA400">
        <f>82.7144959</f>
        <v>82.714495900000003</v>
      </c>
      <c r="DB400">
        <f>50.9104355</f>
        <v>50.910435499999998</v>
      </c>
      <c r="DC400">
        <f>42.19525346</f>
        <v>42.195253460000004</v>
      </c>
      <c r="DD400">
        <f>46.40778971</f>
        <v>46.407789710000003</v>
      </c>
      <c r="DE400">
        <f>50.10674614</f>
        <v>50.106746139999998</v>
      </c>
      <c r="DF400">
        <f>49.04800338</f>
        <v>49.048003379999997</v>
      </c>
      <c r="DG400">
        <f>46.37751642</f>
        <v>46.377516419999999</v>
      </c>
      <c r="DH400">
        <f>49.21039943</f>
        <v>49.210399430000002</v>
      </c>
      <c r="DI400">
        <f>52.64777041</f>
        <v>52.64777041</v>
      </c>
      <c r="DJ400">
        <f>52.12964581</f>
        <v>52.12964581</v>
      </c>
      <c r="DK400">
        <f>78.63525477</f>
        <v>78.635254770000003</v>
      </c>
      <c r="DL400">
        <f>52.68967006</f>
        <v>52.689670059999997</v>
      </c>
      <c r="DM400">
        <f>56.1843756</f>
        <v>56.184375600000003</v>
      </c>
      <c r="DN400">
        <f>58.72333104</f>
        <v>58.723331039999998</v>
      </c>
      <c r="DO400">
        <f>49.00463748</f>
        <v>49.00463748</v>
      </c>
      <c r="DP400">
        <f>53.71913873</f>
        <v>53.719138729999997</v>
      </c>
      <c r="DQ400">
        <f>54.08176342</f>
        <v>54.081763420000001</v>
      </c>
      <c r="DR400">
        <f>59.03876053</f>
        <v>59.038760529999998</v>
      </c>
      <c r="DS400">
        <f>48.64204536</f>
        <v>48.642045359999997</v>
      </c>
      <c r="DT400">
        <f>1982.45318</f>
        <v>1982.45318</v>
      </c>
      <c r="DU400">
        <f>53.67048867</f>
        <v>53.670488669999997</v>
      </c>
    </row>
    <row r="401" spans="1:125">
      <c r="A401" t="str">
        <f>"    VEREIT Inc"</f>
        <v xml:space="preserve">    VEREIT Inc</v>
      </c>
      <c r="B401" t="str">
        <f>"VER US Equity"</f>
        <v>VER US Equity</v>
      </c>
      <c r="C401" t="str">
        <f t="shared" si="70"/>
        <v>RR106</v>
      </c>
      <c r="D401" t="str">
        <f t="shared" si="71"/>
        <v>FFO_PAYOUT_RATIO</v>
      </c>
      <c r="E401" t="str">
        <f t="shared" si="72"/>
        <v>动态</v>
      </c>
      <c r="F401" t="str">
        <f ca="1">IF(AND(ISNUMBER($F$823),$B$419=1),$F$823,HLOOKUP(INDIRECT(ADDRESS(2,COLUMN())),OFFSET($BN$2,0,0,ROW()-1,60),ROW()-1,FALSE))</f>
        <v/>
      </c>
      <c r="G401">
        <f ca="1">IF(AND(ISNUMBER($G$823),$B$419=1),$G$823,HLOOKUP(INDIRECT(ADDRESS(2,COLUMN())),OFFSET($BN$2,0,0,ROW()-1,60),ROW()-1,FALSE))</f>
        <v>101.86933929999999</v>
      </c>
      <c r="H401">
        <f ca="1">IF(AND(ISNUMBER($H$823),$B$419=1),$H$823,HLOOKUP(INDIRECT(ADDRESS(2,COLUMN())),OFFSET($BN$2,0,0,ROW()-1,60),ROW()-1,FALSE))</f>
        <v>76.743621640000001</v>
      </c>
      <c r="I401">
        <f ca="1">IF(AND(ISNUMBER($I$823),$B$419=1),$I$823,HLOOKUP(INDIRECT(ADDRESS(2,COLUMN())),OFFSET($BN$2,0,0,ROW()-1,60),ROW()-1,FALSE))</f>
        <v>79.54972866</v>
      </c>
      <c r="J401">
        <f ca="1">IF(AND(ISNUMBER($J$823),$B$419=1),$J$823,HLOOKUP(INDIRECT(ADDRESS(2,COLUMN())),OFFSET($BN$2,0,0,ROW()-1,60),ROW()-1,FALSE))</f>
        <v>78.751653779999998</v>
      </c>
      <c r="K401">
        <f ca="1">IF(AND(ISNUMBER($K$823),$B$419=1),$K$823,HLOOKUP(INDIRECT(ADDRESS(2,COLUMN())),OFFSET($BN$2,0,0,ROW()-1,60),ROW()-1,FALSE))</f>
        <v>254.59997340000001</v>
      </c>
      <c r="L401">
        <f ca="1">IF(AND(ISNUMBER($L$823),$B$419=1),$L$823,HLOOKUP(INDIRECT(ADDRESS(2,COLUMN())),OFFSET($BN$2,0,0,ROW()-1,60),ROW()-1,FALSE))</f>
        <v>73.597677520000005</v>
      </c>
      <c r="M401">
        <f ca="1">IF(AND(ISNUMBER($M$823),$B$419=1),$M$823,HLOOKUP(INDIRECT(ADDRESS(2,COLUMN())),OFFSET($BN$2,0,0,ROW()-1,60),ROW()-1,FALSE))</f>
        <v>68.725788069999993</v>
      </c>
      <c r="N401">
        <f ca="1">IF(AND(ISNUMBER($N$823),$B$419=1),$N$823,HLOOKUP(INDIRECT(ADDRESS(2,COLUMN())),OFFSET($BN$2,0,0,ROW()-1,60),ROW()-1,FALSE))</f>
        <v>63.33671374</v>
      </c>
      <c r="O401">
        <f ca="1">IF(AND(ISNUMBER($O$823),$B$419=1),$O$823,HLOOKUP(INDIRECT(ADDRESS(2,COLUMN())),OFFSET($BN$2,0,0,ROW()-1,60),ROW()-1,FALSE))</f>
        <v>2736.5204899999999</v>
      </c>
      <c r="P401">
        <f ca="1">IF(AND(ISNUMBER($P$823),$B$419=1),$P$823,HLOOKUP(INDIRECT(ADDRESS(2,COLUMN())),OFFSET($BN$2,0,0,ROW()-1,60),ROW()-1,FALSE))</f>
        <v>66.028014540000001</v>
      </c>
      <c r="Q401">
        <f ca="1">IF(AND(ISNUMBER($Q$823),$B$419=1),$Q$823,HLOOKUP(INDIRECT(ADDRESS(2,COLUMN())),OFFSET($BN$2,0,0,ROW()-1,60),ROW()-1,FALSE))</f>
        <v>64.041501289999999</v>
      </c>
      <c r="R401">
        <f ca="1">IF(AND(ISNUMBER($R$823),$B$419=1),$R$823,HLOOKUP(INDIRECT(ADDRESS(2,COLUMN())),OFFSET($BN$2,0,0,ROW()-1,60),ROW()-1,FALSE))</f>
        <v>0</v>
      </c>
      <c r="S401" t="str">
        <f ca="1">IF(AND(ISNUMBER($S$823),$B$419=1),$S$823,HLOOKUP(INDIRECT(ADDRESS(2,COLUMN())),OFFSET($BN$2,0,0,ROW()-1,60),ROW()-1,FALSE))</f>
        <v/>
      </c>
      <c r="T401">
        <f ca="1">IF(AND(ISNUMBER($T$823),$B$419=1),$T$823,HLOOKUP(INDIRECT(ADDRESS(2,COLUMN())),OFFSET($BN$2,0,0,ROW()-1,60),ROW()-1,FALSE))</f>
        <v>115.18198630000001</v>
      </c>
      <c r="U401">
        <f ca="1">IF(AND(ISNUMBER($U$823),$B$419=1),$U$823,HLOOKUP(INDIRECT(ADDRESS(2,COLUMN())),OFFSET($BN$2,0,0,ROW()-1,60),ROW()-1,FALSE))</f>
        <v>129.86908199999999</v>
      </c>
      <c r="V401" t="str">
        <f ca="1">IF(AND(ISNUMBER($V$823),$B$419=1),$V$823,HLOOKUP(INDIRECT(ADDRESS(2,COLUMN())),OFFSET($BN$2,0,0,ROW()-1,60),ROW()-1,FALSE))</f>
        <v/>
      </c>
      <c r="W401" t="str">
        <f ca="1">IF(AND(ISNUMBER($W$823),$B$419=1),$W$823,HLOOKUP(INDIRECT(ADDRESS(2,COLUMN())),OFFSET($BN$2,0,0,ROW()-1,60),ROW()-1,FALSE))</f>
        <v/>
      </c>
      <c r="X401" t="str">
        <f ca="1">IF(AND(ISNUMBER($X$823),$B$419=1),$X$823,HLOOKUP(INDIRECT(ADDRESS(2,COLUMN())),OFFSET($BN$2,0,0,ROW()-1,60),ROW()-1,FALSE))</f>
        <v/>
      </c>
      <c r="Y401">
        <f ca="1">IF(AND(ISNUMBER($Y$823),$B$419=1),$Y$823,HLOOKUP(INDIRECT(ADDRESS(2,COLUMN())),OFFSET($BN$2,0,0,ROW()-1,60),ROW()-1,FALSE))</f>
        <v>330.35145269999998</v>
      </c>
      <c r="Z401" t="str">
        <f ca="1">IF(AND(ISNUMBER($Z$823),$B$419=1),$Z$823,HLOOKUP(INDIRECT(ADDRESS(2,COLUMN())),OFFSET($BN$2,0,0,ROW()-1,60),ROW()-1,FALSE))</f>
        <v/>
      </c>
      <c r="AA401" t="str">
        <f ca="1">IF(AND(ISNUMBER($AA$823),$B$419=1),$AA$823,HLOOKUP(INDIRECT(ADDRESS(2,COLUMN())),OFFSET($BN$2,0,0,ROW()-1,60),ROW()-1,FALSE))</f>
        <v/>
      </c>
      <c r="AB401">
        <f ca="1">IF(AND(ISNUMBER($AB$823),$B$419=1),$AB$823,HLOOKUP(INDIRECT(ADDRESS(2,COLUMN())),OFFSET($BN$2,0,0,ROW()-1,60),ROW()-1,FALSE))</f>
        <v>1659.658557</v>
      </c>
      <c r="AC401" t="str">
        <f ca="1">IF(AND(ISNUMBER($AC$823),$B$419=1),$AC$823,HLOOKUP(INDIRECT(ADDRESS(2,COLUMN())),OFFSET($BN$2,0,0,ROW()-1,60),ROW()-1,FALSE))</f>
        <v/>
      </c>
      <c r="AD401" t="str">
        <f ca="1">IF(AND(ISNUMBER($AD$823),$B$419=1),$AD$823,HLOOKUP(INDIRECT(ADDRESS(2,COLUMN())),OFFSET($BN$2,0,0,ROW()-1,60),ROW()-1,FALSE))</f>
        <v/>
      </c>
      <c r="AE401">
        <f ca="1">IF(AND(ISNUMBER($AE$823),$B$419=1),$AE$823,HLOOKUP(INDIRECT(ADDRESS(2,COLUMN())),OFFSET($BN$2,0,0,ROW()-1,60),ROW()-1,FALSE))</f>
        <v>166.41025640000001</v>
      </c>
      <c r="AF401" t="str">
        <f ca="1">IF(AND(ISNUMBER($AF$823),$B$419=1),$AF$823,HLOOKUP(INDIRECT(ADDRESS(2,COLUMN())),OFFSET($BN$2,0,0,ROW()-1,60),ROW()-1,FALSE))</f>
        <v/>
      </c>
      <c r="AG401" t="str">
        <f ca="1">IF(AND(ISNUMBER($AG$823),$B$419=1),$AG$823,HLOOKUP(INDIRECT(ADDRESS(2,COLUMN())),OFFSET($BN$2,0,0,ROW()-1,60),ROW()-1,FALSE))</f>
        <v/>
      </c>
      <c r="AH401">
        <f ca="1">IF(AND(ISNUMBER($AH$823),$B$419=1),$AH$823,HLOOKUP(INDIRECT(ADDRESS(2,COLUMN())),OFFSET($BN$2,0,0,ROW()-1,60),ROW()-1,FALSE))</f>
        <v>0</v>
      </c>
      <c r="AI401" t="str">
        <f ca="1">IF(AND(ISNUMBER($AI$823),$B$419=1),$AI$823,HLOOKUP(INDIRECT(ADDRESS(2,COLUMN())),OFFSET($BN$2,0,0,ROW()-1,60),ROW()-1,FALSE))</f>
        <v/>
      </c>
      <c r="AJ401" t="str">
        <f ca="1">IF(AND(ISNUMBER($AJ$823),$B$419=1),$AJ$823,HLOOKUP(INDIRECT(ADDRESS(2,COLUMN())),OFFSET($BN$2,0,0,ROW()-1,60),ROW()-1,FALSE))</f>
        <v/>
      </c>
      <c r="AK401" t="str">
        <f ca="1">IF(AND(ISNUMBER($AK$823),$B$419=1),$AK$823,HLOOKUP(INDIRECT(ADDRESS(2,COLUMN())),OFFSET($BN$2,0,0,ROW()-1,60),ROW()-1,FALSE))</f>
        <v/>
      </c>
      <c r="AL401" t="str">
        <f ca="1">IF(AND(ISNUMBER($AL$823),$B$419=1),$AL$823,HLOOKUP(INDIRECT(ADDRESS(2,COLUMN())),OFFSET($BN$2,0,0,ROW()-1,60),ROW()-1,FALSE))</f>
        <v/>
      </c>
      <c r="AM401" t="str">
        <f ca="1">IF(AND(ISNUMBER($AM$823),$B$419=1),$AM$823,HLOOKUP(INDIRECT(ADDRESS(2,COLUMN())),OFFSET($BN$2,0,0,ROW()-1,60),ROW()-1,FALSE))</f>
        <v/>
      </c>
      <c r="AN401" t="str">
        <f ca="1">IF(AND(ISNUMBER($AN$823),$B$419=1),$AN$823,HLOOKUP(INDIRECT(ADDRESS(2,COLUMN())),OFFSET($BN$2,0,0,ROW()-1,60),ROW()-1,FALSE))</f>
        <v/>
      </c>
      <c r="AO401" t="str">
        <f ca="1">IF(AND(ISNUMBER($AO$823),$B$419=1),$AO$823,HLOOKUP(INDIRECT(ADDRESS(2,COLUMN())),OFFSET($BN$2,0,0,ROW()-1,60),ROW()-1,FALSE))</f>
        <v/>
      </c>
      <c r="AP401" t="str">
        <f ca="1">IF(AND(ISNUMBER($AP$823),$B$419=1),$AP$823,HLOOKUP(INDIRECT(ADDRESS(2,COLUMN())),OFFSET($BN$2,0,0,ROW()-1,60),ROW()-1,FALSE))</f>
        <v/>
      </c>
      <c r="AQ401" t="str">
        <f ca="1">IF(AND(ISNUMBER($AQ$823),$B$419=1),$AQ$823,HLOOKUP(INDIRECT(ADDRESS(2,COLUMN())),OFFSET($BN$2,0,0,ROW()-1,60),ROW()-1,FALSE))</f>
        <v/>
      </c>
      <c r="AR401" t="str">
        <f ca="1">IF(AND(ISNUMBER($AR$823),$B$419=1),$AR$823,HLOOKUP(INDIRECT(ADDRESS(2,COLUMN())),OFFSET($BN$2,0,0,ROW()-1,60),ROW()-1,FALSE))</f>
        <v/>
      </c>
      <c r="AS401" t="str">
        <f ca="1">IF(AND(ISNUMBER($AS$823),$B$419=1),$AS$823,HLOOKUP(INDIRECT(ADDRESS(2,COLUMN())),OFFSET($BN$2,0,0,ROW()-1,60),ROW()-1,FALSE))</f>
        <v/>
      </c>
      <c r="AT401" t="str">
        <f ca="1">IF(AND(ISNUMBER($AT$823),$B$419=1),$AT$823,HLOOKUP(INDIRECT(ADDRESS(2,COLUMN())),OFFSET($BN$2,0,0,ROW()-1,60),ROW()-1,FALSE))</f>
        <v/>
      </c>
      <c r="AU401" t="str">
        <f ca="1">IF(AND(ISNUMBER($AU$823),$B$419=1),$AU$823,HLOOKUP(INDIRECT(ADDRESS(2,COLUMN())),OFFSET($BN$2,0,0,ROW()-1,60),ROW()-1,FALSE))</f>
        <v/>
      </c>
      <c r="AV401" t="str">
        <f ca="1">IF(AND(ISNUMBER($AV$823),$B$419=1),$AV$823,HLOOKUP(INDIRECT(ADDRESS(2,COLUMN())),OFFSET($BN$2,0,0,ROW()-1,60),ROW()-1,FALSE))</f>
        <v/>
      </c>
      <c r="AW401" t="str">
        <f ca="1">IF(AND(ISNUMBER($AW$823),$B$419=1),$AW$823,HLOOKUP(INDIRECT(ADDRESS(2,COLUMN())),OFFSET($BN$2,0,0,ROW()-1,60),ROW()-1,FALSE))</f>
        <v/>
      </c>
      <c r="AX401" t="str">
        <f ca="1">IF(AND(ISNUMBER($AX$823),$B$419=1),$AX$823,HLOOKUP(INDIRECT(ADDRESS(2,COLUMN())),OFFSET($BN$2,0,0,ROW()-1,60),ROW()-1,FALSE))</f>
        <v/>
      </c>
      <c r="AY401" t="str">
        <f ca="1">IF(AND(ISNUMBER($AY$823),$B$419=1),$AY$823,HLOOKUP(INDIRECT(ADDRESS(2,COLUMN())),OFFSET($BN$2,0,0,ROW()-1,60),ROW()-1,FALSE))</f>
        <v/>
      </c>
      <c r="AZ401" t="str">
        <f ca="1">IF(AND(ISNUMBER($AZ$823),$B$419=1),$AZ$823,HLOOKUP(INDIRECT(ADDRESS(2,COLUMN())),OFFSET($BN$2,0,0,ROW()-1,60),ROW()-1,FALSE))</f>
        <v/>
      </c>
      <c r="BA401" t="str">
        <f ca="1">IF(AND(ISNUMBER($BA$823),$B$419=1),$BA$823,HLOOKUP(INDIRECT(ADDRESS(2,COLUMN())),OFFSET($BN$2,0,0,ROW()-1,60),ROW()-1,FALSE))</f>
        <v/>
      </c>
      <c r="BB401" t="str">
        <f ca="1">IF(AND(ISNUMBER($BB$823),$B$419=1),$BB$823,HLOOKUP(INDIRECT(ADDRESS(2,COLUMN())),OFFSET($BN$2,0,0,ROW()-1,60),ROW()-1,FALSE))</f>
        <v/>
      </c>
      <c r="BC401" t="str">
        <f ca="1">IF(AND(ISNUMBER($BC$823),$B$419=1),$BC$823,HLOOKUP(INDIRECT(ADDRESS(2,COLUMN())),OFFSET($BN$2,0,0,ROW()-1,60),ROW()-1,FALSE))</f>
        <v/>
      </c>
      <c r="BD401" t="str">
        <f ca="1">IF(AND(ISNUMBER($BD$823),$B$419=1),$BD$823,HLOOKUP(INDIRECT(ADDRESS(2,COLUMN())),OFFSET($BN$2,0,0,ROW()-1,60),ROW()-1,FALSE))</f>
        <v/>
      </c>
      <c r="BE401" t="str">
        <f ca="1">IF(AND(ISNUMBER($BE$823),$B$419=1),$BE$823,HLOOKUP(INDIRECT(ADDRESS(2,COLUMN())),OFFSET($BN$2,0,0,ROW()-1,60),ROW()-1,FALSE))</f>
        <v/>
      </c>
      <c r="BF401" t="str">
        <f ca="1">IF(AND(ISNUMBER($BF$823),$B$419=1),$BF$823,HLOOKUP(INDIRECT(ADDRESS(2,COLUMN())),OFFSET($BN$2,0,0,ROW()-1,60),ROW()-1,FALSE))</f>
        <v/>
      </c>
      <c r="BG401" t="str">
        <f ca="1">IF(AND(ISNUMBER($BG$823),$B$419=1),$BG$823,HLOOKUP(INDIRECT(ADDRESS(2,COLUMN())),OFFSET($BN$2,0,0,ROW()-1,60),ROW()-1,FALSE))</f>
        <v/>
      </c>
      <c r="BH401" t="str">
        <f ca="1">IF(AND(ISNUMBER($BH$823),$B$419=1),$BH$823,HLOOKUP(INDIRECT(ADDRESS(2,COLUMN())),OFFSET($BN$2,0,0,ROW()-1,60),ROW()-1,FALSE))</f>
        <v/>
      </c>
      <c r="BI401" t="str">
        <f ca="1">IF(AND(ISNUMBER($BI$823),$B$419=1),$BI$823,HLOOKUP(INDIRECT(ADDRESS(2,COLUMN())),OFFSET($BN$2,0,0,ROW()-1,60),ROW()-1,FALSE))</f>
        <v/>
      </c>
      <c r="BJ401" t="str">
        <f ca="1">IF(AND(ISNUMBER($BJ$823),$B$419=1),$BJ$823,HLOOKUP(INDIRECT(ADDRESS(2,COLUMN())),OFFSET($BN$2,0,0,ROW()-1,60),ROW()-1,FALSE))</f>
        <v/>
      </c>
      <c r="BK401" t="str">
        <f ca="1">IF(AND(ISNUMBER($BK$823),$B$419=1),$BK$823,HLOOKUP(INDIRECT(ADDRESS(2,COLUMN())),OFFSET($BN$2,0,0,ROW()-1,60),ROW()-1,FALSE))</f>
        <v/>
      </c>
      <c r="BL401" t="str">
        <f ca="1">IF(AND(ISNUMBER($BL$823),$B$419=1),$BL$823,HLOOKUP(INDIRECT(ADDRESS(2,COLUMN())),OFFSET($BN$2,0,0,ROW()-1,60),ROW()-1,FALSE))</f>
        <v/>
      </c>
      <c r="BM401" t="str">
        <f ca="1">IF(AND(ISNUMBER($BM$823),$B$419=1),$BM$823,HLOOKUP(INDIRECT(ADDRESS(2,COLUMN())),OFFSET($BN$2,0,0,ROW()-1,60),ROW()-1,FALSE))</f>
        <v/>
      </c>
      <c r="BN401" t="str">
        <f>""</f>
        <v/>
      </c>
      <c r="BO401">
        <f>101.8693393</f>
        <v>101.86933929999999</v>
      </c>
      <c r="BP401">
        <f>76.74362164</f>
        <v>76.743621640000001</v>
      </c>
      <c r="BQ401">
        <f>79.54972866</f>
        <v>79.54972866</v>
      </c>
      <c r="BR401">
        <f>78.75165378</f>
        <v>78.751653779999998</v>
      </c>
      <c r="BS401">
        <f>254.5999734</f>
        <v>254.59997340000001</v>
      </c>
      <c r="BT401">
        <f>73.59767752</f>
        <v>73.597677520000005</v>
      </c>
      <c r="BU401">
        <f>68.72578807</f>
        <v>68.725788069999993</v>
      </c>
      <c r="BV401">
        <f>63.33671374</f>
        <v>63.33671374</v>
      </c>
      <c r="BW401">
        <f>2736.52049</f>
        <v>2736.5204899999999</v>
      </c>
      <c r="BX401">
        <f>66.02801454</f>
        <v>66.028014540000001</v>
      </c>
      <c r="BY401">
        <f>64.04150129</f>
        <v>64.041501289999999</v>
      </c>
      <c r="BZ401">
        <f>0</f>
        <v>0</v>
      </c>
      <c r="CA401" t="str">
        <f>""</f>
        <v/>
      </c>
      <c r="CB401">
        <f>115.1819863</f>
        <v>115.18198630000001</v>
      </c>
      <c r="CC401">
        <f>129.869082</f>
        <v>129.86908199999999</v>
      </c>
      <c r="CD401" t="str">
        <f>""</f>
        <v/>
      </c>
      <c r="CE401" t="str">
        <f>""</f>
        <v/>
      </c>
      <c r="CF401" t="str">
        <f>""</f>
        <v/>
      </c>
      <c r="CG401">
        <f>330.3514527</f>
        <v>330.35145269999998</v>
      </c>
      <c r="CH401" t="str">
        <f>""</f>
        <v/>
      </c>
      <c r="CI401" t="str">
        <f>""</f>
        <v/>
      </c>
      <c r="CJ401">
        <f>1659.658557</f>
        <v>1659.658557</v>
      </c>
      <c r="CK401" t="str">
        <f>""</f>
        <v/>
      </c>
      <c r="CL401" t="str">
        <f>""</f>
        <v/>
      </c>
      <c r="CM401">
        <f>166.4102564</f>
        <v>166.41025640000001</v>
      </c>
      <c r="CN401" t="str">
        <f>""</f>
        <v/>
      </c>
      <c r="CO401" t="str">
        <f>""</f>
        <v/>
      </c>
      <c r="CP401">
        <f>0</f>
        <v>0</v>
      </c>
      <c r="CQ401" t="str">
        <f>""</f>
        <v/>
      </c>
      <c r="CR401" t="str">
        <f>""</f>
        <v/>
      </c>
      <c r="CS401" t="str">
        <f>""</f>
        <v/>
      </c>
      <c r="CT401" t="str">
        <f>""</f>
        <v/>
      </c>
      <c r="CU401" t="str">
        <f>""</f>
        <v/>
      </c>
      <c r="CV401" t="str">
        <f>""</f>
        <v/>
      </c>
      <c r="CW401" t="str">
        <f>""</f>
        <v/>
      </c>
      <c r="CX401" t="str">
        <f>""</f>
        <v/>
      </c>
      <c r="CY401" t="str">
        <f>""</f>
        <v/>
      </c>
      <c r="CZ401" t="str">
        <f>""</f>
        <v/>
      </c>
      <c r="DA401" t="str">
        <f>""</f>
        <v/>
      </c>
      <c r="DB401" t="str">
        <f>""</f>
        <v/>
      </c>
      <c r="DC401" t="str">
        <f>""</f>
        <v/>
      </c>
      <c r="DD401" t="str">
        <f>""</f>
        <v/>
      </c>
      <c r="DE401" t="str">
        <f>""</f>
        <v/>
      </c>
      <c r="DF401" t="str">
        <f>""</f>
        <v/>
      </c>
      <c r="DG401" t="str">
        <f>""</f>
        <v/>
      </c>
      <c r="DH401" t="str">
        <f>""</f>
        <v/>
      </c>
      <c r="DI401" t="str">
        <f>""</f>
        <v/>
      </c>
      <c r="DJ401" t="str">
        <f>""</f>
        <v/>
      </c>
      <c r="DK401" t="str">
        <f>""</f>
        <v/>
      </c>
      <c r="DL401" t="str">
        <f>""</f>
        <v/>
      </c>
      <c r="DM401" t="str">
        <f>""</f>
        <v/>
      </c>
      <c r="DN401" t="str">
        <f>""</f>
        <v/>
      </c>
      <c r="DO401" t="str">
        <f>""</f>
        <v/>
      </c>
      <c r="DP401" t="str">
        <f>""</f>
        <v/>
      </c>
      <c r="DQ401" t="str">
        <f>""</f>
        <v/>
      </c>
      <c r="DR401" t="str">
        <f>""</f>
        <v/>
      </c>
      <c r="DS401" t="str">
        <f>""</f>
        <v/>
      </c>
      <c r="DT401" t="str">
        <f>""</f>
        <v/>
      </c>
      <c r="DU401" t="str">
        <f>""</f>
        <v/>
      </c>
    </row>
    <row r="402" spans="1:125">
      <c r="A402" t="str">
        <f>"    Washington Prime Group Inc"</f>
        <v xml:space="preserve">    Washington Prime Group Inc</v>
      </c>
      <c r="B402" t="str">
        <f>"WPG US Equity"</f>
        <v>WPG US Equity</v>
      </c>
      <c r="C402" t="str">
        <f t="shared" si="70"/>
        <v>RR106</v>
      </c>
      <c r="D402" t="str">
        <f t="shared" si="71"/>
        <v>FFO_PAYOUT_RATIO</v>
      </c>
      <c r="E402" t="str">
        <f t="shared" si="72"/>
        <v>动态</v>
      </c>
      <c r="F402" t="str">
        <f ca="1">IF(AND(ISNUMBER($F$824),$B$419=1),$F$824,HLOOKUP(INDIRECT(ADDRESS(2,COLUMN())),OFFSET($BN$2,0,0,ROW()-1,60),ROW()-1,FALSE))</f>
        <v/>
      </c>
      <c r="G402">
        <f ca="1">IF(AND(ISNUMBER($G$824),$B$419=1),$G$824,HLOOKUP(INDIRECT(ADDRESS(2,COLUMN())),OFFSET($BN$2,0,0,ROW()-1,60),ROW()-1,FALSE))</f>
        <v>27.985858799999999</v>
      </c>
      <c r="H402">
        <f ca="1">IF(AND(ISNUMBER($H$824),$B$419=1),$H$824,HLOOKUP(INDIRECT(ADDRESS(2,COLUMN())),OFFSET($BN$2,0,0,ROW()-1,60),ROW()-1,FALSE))</f>
        <v>68.014915169999995</v>
      </c>
      <c r="I402">
        <f ca="1">IF(AND(ISNUMBER($I$824),$B$419=1),$I$824,HLOOKUP(INDIRECT(ADDRESS(2,COLUMN())),OFFSET($BN$2,0,0,ROW()-1,60),ROW()-1,FALSE))</f>
        <v>42.224317290000002</v>
      </c>
      <c r="J402">
        <f ca="1">IF(AND(ISNUMBER($J$824),$B$419=1),$J$824,HLOOKUP(INDIRECT(ADDRESS(2,COLUMN())),OFFSET($BN$2,0,0,ROW()-1,60),ROW()-1,FALSE))</f>
        <v>49.523627640000001</v>
      </c>
      <c r="K402">
        <f ca="1">IF(AND(ISNUMBER($K$824),$B$419=1),$K$824,HLOOKUP(INDIRECT(ADDRESS(2,COLUMN())),OFFSET($BN$2,0,0,ROW()-1,60),ROW()-1,FALSE))</f>
        <v>42.246778599999999</v>
      </c>
      <c r="L402">
        <f ca="1">IF(AND(ISNUMBER($L$824),$B$419=1),$L$824,HLOOKUP(INDIRECT(ADDRESS(2,COLUMN())),OFFSET($BN$2,0,0,ROW()-1,60),ROW()-1,FALSE))</f>
        <v>54.488438850000001</v>
      </c>
      <c r="M402">
        <f ca="1">IF(AND(ISNUMBER($M$824),$B$419=1),$M$824,HLOOKUP(INDIRECT(ADDRESS(2,COLUMN())),OFFSET($BN$2,0,0,ROW()-1,60),ROW()-1,FALSE))</f>
        <v>47.213638979999999</v>
      </c>
      <c r="N402">
        <f ca="1">IF(AND(ISNUMBER($N$824),$B$419=1),$N$824,HLOOKUP(INDIRECT(ADDRESS(2,COLUMN())),OFFSET($BN$2,0,0,ROW()-1,60),ROW()-1,FALSE))</f>
        <v>50.519498419999998</v>
      </c>
      <c r="O402">
        <f ca="1">IF(AND(ISNUMBER($O$824),$B$419=1),$O$824,HLOOKUP(INDIRECT(ADDRESS(2,COLUMN())),OFFSET($BN$2,0,0,ROW()-1,60),ROW()-1,FALSE))</f>
        <v>43.7821243</v>
      </c>
      <c r="P402">
        <f ca="1">IF(AND(ISNUMBER($P$824),$B$419=1),$P$824,HLOOKUP(INDIRECT(ADDRESS(2,COLUMN())),OFFSET($BN$2,0,0,ROW()-1,60),ROW()-1,FALSE))</f>
        <v>55.751167520000003</v>
      </c>
      <c r="Q402">
        <f ca="1">IF(AND(ISNUMBER($Q$824),$B$419=1),$Q$824,HLOOKUP(INDIRECT(ADDRESS(2,COLUMN())),OFFSET($BN$2,0,0,ROW()-1,60),ROW()-1,FALSE))</f>
        <v>48.649997640000002</v>
      </c>
      <c r="R402">
        <f ca="1">IF(AND(ISNUMBER($R$824),$B$419=1),$R$824,HLOOKUP(INDIRECT(ADDRESS(2,COLUMN())),OFFSET($BN$2,0,0,ROW()-1,60),ROW()-1,FALSE))</f>
        <v>25.766973530000001</v>
      </c>
      <c r="S402">
        <f ca="1">IF(AND(ISNUMBER($S$824),$B$419=1),$S$824,HLOOKUP(INDIRECT(ADDRESS(2,COLUMN())),OFFSET($BN$2,0,0,ROW()-1,60),ROW()-1,FALSE))</f>
        <v>45.159084030000002</v>
      </c>
      <c r="T402">
        <f ca="1">IF(AND(ISNUMBER($T$824),$B$419=1),$T$824,HLOOKUP(INDIRECT(ADDRESS(2,COLUMN())),OFFSET($BN$2,0,0,ROW()-1,60),ROW()-1,FALSE))</f>
        <v>48.799407789999997</v>
      </c>
      <c r="U402">
        <f ca="1">IF(AND(ISNUMBER($U$824),$B$419=1),$U$824,HLOOKUP(INDIRECT(ADDRESS(2,COLUMN())),OFFSET($BN$2,0,0,ROW()-1,60),ROW()-1,FALSE))</f>
        <v>0</v>
      </c>
      <c r="V402">
        <f ca="1">IF(AND(ISNUMBER($V$824),$B$419=1),$V$824,HLOOKUP(INDIRECT(ADDRESS(2,COLUMN())),OFFSET($BN$2,0,0,ROW()-1,60),ROW()-1,FALSE))</f>
        <v>0</v>
      </c>
      <c r="W402" t="str">
        <f ca="1">IF(AND(ISNUMBER($W$824),$B$419=1),$W$824,HLOOKUP(INDIRECT(ADDRESS(2,COLUMN())),OFFSET($BN$2,0,0,ROW()-1,60),ROW()-1,FALSE))</f>
        <v/>
      </c>
      <c r="X402" t="str">
        <f ca="1">IF(AND(ISNUMBER($X$824),$B$419=1),$X$824,HLOOKUP(INDIRECT(ADDRESS(2,COLUMN())),OFFSET($BN$2,0,0,ROW()-1,60),ROW()-1,FALSE))</f>
        <v/>
      </c>
      <c r="Y402" t="str">
        <f ca="1">IF(AND(ISNUMBER($Y$824),$B$419=1),$Y$824,HLOOKUP(INDIRECT(ADDRESS(2,COLUMN())),OFFSET($BN$2,0,0,ROW()-1,60),ROW()-1,FALSE))</f>
        <v/>
      </c>
      <c r="Z402" t="str">
        <f ca="1">IF(AND(ISNUMBER($Z$824),$B$419=1),$Z$824,HLOOKUP(INDIRECT(ADDRESS(2,COLUMN())),OFFSET($BN$2,0,0,ROW()-1,60),ROW()-1,FALSE))</f>
        <v/>
      </c>
      <c r="AA402" t="str">
        <f ca="1">IF(AND(ISNUMBER($AA$824),$B$419=1),$AA$824,HLOOKUP(INDIRECT(ADDRESS(2,COLUMN())),OFFSET($BN$2,0,0,ROW()-1,60),ROW()-1,FALSE))</f>
        <v/>
      </c>
      <c r="AB402" t="str">
        <f ca="1">IF(AND(ISNUMBER($AB$824),$B$419=1),$AB$824,HLOOKUP(INDIRECT(ADDRESS(2,COLUMN())),OFFSET($BN$2,0,0,ROW()-1,60),ROW()-1,FALSE))</f>
        <v/>
      </c>
      <c r="AC402" t="str">
        <f ca="1">IF(AND(ISNUMBER($AC$824),$B$419=1),$AC$824,HLOOKUP(INDIRECT(ADDRESS(2,COLUMN())),OFFSET($BN$2,0,0,ROW()-1,60),ROW()-1,FALSE))</f>
        <v/>
      </c>
      <c r="AD402" t="str">
        <f ca="1">IF(AND(ISNUMBER($AD$824),$B$419=1),$AD$824,HLOOKUP(INDIRECT(ADDRESS(2,COLUMN())),OFFSET($BN$2,0,0,ROW()-1,60),ROW()-1,FALSE))</f>
        <v/>
      </c>
      <c r="AE402" t="str">
        <f ca="1">IF(AND(ISNUMBER($AE$824),$B$419=1),$AE$824,HLOOKUP(INDIRECT(ADDRESS(2,COLUMN())),OFFSET($BN$2,0,0,ROW()-1,60),ROW()-1,FALSE))</f>
        <v/>
      </c>
      <c r="AF402" t="str">
        <f ca="1">IF(AND(ISNUMBER($AF$824),$B$419=1),$AF$824,HLOOKUP(INDIRECT(ADDRESS(2,COLUMN())),OFFSET($BN$2,0,0,ROW()-1,60),ROW()-1,FALSE))</f>
        <v/>
      </c>
      <c r="AG402" t="str">
        <f ca="1">IF(AND(ISNUMBER($AG$824),$B$419=1),$AG$824,HLOOKUP(INDIRECT(ADDRESS(2,COLUMN())),OFFSET($BN$2,0,0,ROW()-1,60),ROW()-1,FALSE))</f>
        <v/>
      </c>
      <c r="AH402" t="str">
        <f ca="1">IF(AND(ISNUMBER($AH$824),$B$419=1),$AH$824,HLOOKUP(INDIRECT(ADDRESS(2,COLUMN())),OFFSET($BN$2,0,0,ROW()-1,60),ROW()-1,FALSE))</f>
        <v/>
      </c>
      <c r="AI402" t="str">
        <f ca="1">IF(AND(ISNUMBER($AI$824),$B$419=1),$AI$824,HLOOKUP(INDIRECT(ADDRESS(2,COLUMN())),OFFSET($BN$2,0,0,ROW()-1,60),ROW()-1,FALSE))</f>
        <v/>
      </c>
      <c r="AJ402" t="str">
        <f ca="1">IF(AND(ISNUMBER($AJ$824),$B$419=1),$AJ$824,HLOOKUP(INDIRECT(ADDRESS(2,COLUMN())),OFFSET($BN$2,0,0,ROW()-1,60),ROW()-1,FALSE))</f>
        <v/>
      </c>
      <c r="AK402" t="str">
        <f ca="1">IF(AND(ISNUMBER($AK$824),$B$419=1),$AK$824,HLOOKUP(INDIRECT(ADDRESS(2,COLUMN())),OFFSET($BN$2,0,0,ROW()-1,60),ROW()-1,FALSE))</f>
        <v/>
      </c>
      <c r="AL402" t="str">
        <f ca="1">IF(AND(ISNUMBER($AL$824),$B$419=1),$AL$824,HLOOKUP(INDIRECT(ADDRESS(2,COLUMN())),OFFSET($BN$2,0,0,ROW()-1,60),ROW()-1,FALSE))</f>
        <v/>
      </c>
      <c r="AM402" t="str">
        <f ca="1">IF(AND(ISNUMBER($AM$824),$B$419=1),$AM$824,HLOOKUP(INDIRECT(ADDRESS(2,COLUMN())),OFFSET($BN$2,0,0,ROW()-1,60),ROW()-1,FALSE))</f>
        <v/>
      </c>
      <c r="AN402" t="str">
        <f ca="1">IF(AND(ISNUMBER($AN$824),$B$419=1),$AN$824,HLOOKUP(INDIRECT(ADDRESS(2,COLUMN())),OFFSET($BN$2,0,0,ROW()-1,60),ROW()-1,FALSE))</f>
        <v/>
      </c>
      <c r="AO402" t="str">
        <f ca="1">IF(AND(ISNUMBER($AO$824),$B$419=1),$AO$824,HLOOKUP(INDIRECT(ADDRESS(2,COLUMN())),OFFSET($BN$2,0,0,ROW()-1,60),ROW()-1,FALSE))</f>
        <v/>
      </c>
      <c r="AP402" t="str">
        <f ca="1">IF(AND(ISNUMBER($AP$824),$B$419=1),$AP$824,HLOOKUP(INDIRECT(ADDRESS(2,COLUMN())),OFFSET($BN$2,0,0,ROW()-1,60),ROW()-1,FALSE))</f>
        <v/>
      </c>
      <c r="AQ402" t="str">
        <f ca="1">IF(AND(ISNUMBER($AQ$824),$B$419=1),$AQ$824,HLOOKUP(INDIRECT(ADDRESS(2,COLUMN())),OFFSET($BN$2,0,0,ROW()-1,60),ROW()-1,FALSE))</f>
        <v/>
      </c>
      <c r="AR402" t="str">
        <f ca="1">IF(AND(ISNUMBER($AR$824),$B$419=1),$AR$824,HLOOKUP(INDIRECT(ADDRESS(2,COLUMN())),OFFSET($BN$2,0,0,ROW()-1,60),ROW()-1,FALSE))</f>
        <v/>
      </c>
      <c r="AS402" t="str">
        <f ca="1">IF(AND(ISNUMBER($AS$824),$B$419=1),$AS$824,HLOOKUP(INDIRECT(ADDRESS(2,COLUMN())),OFFSET($BN$2,0,0,ROW()-1,60),ROW()-1,FALSE))</f>
        <v/>
      </c>
      <c r="AT402" t="str">
        <f ca="1">IF(AND(ISNUMBER($AT$824),$B$419=1),$AT$824,HLOOKUP(INDIRECT(ADDRESS(2,COLUMN())),OFFSET($BN$2,0,0,ROW()-1,60),ROW()-1,FALSE))</f>
        <v/>
      </c>
      <c r="AU402" t="str">
        <f ca="1">IF(AND(ISNUMBER($AU$824),$B$419=1),$AU$824,HLOOKUP(INDIRECT(ADDRESS(2,COLUMN())),OFFSET($BN$2,0,0,ROW()-1,60),ROW()-1,FALSE))</f>
        <v/>
      </c>
      <c r="AV402" t="str">
        <f ca="1">IF(AND(ISNUMBER($AV$824),$B$419=1),$AV$824,HLOOKUP(INDIRECT(ADDRESS(2,COLUMN())),OFFSET($BN$2,0,0,ROW()-1,60),ROW()-1,FALSE))</f>
        <v/>
      </c>
      <c r="AW402" t="str">
        <f ca="1">IF(AND(ISNUMBER($AW$824),$B$419=1),$AW$824,HLOOKUP(INDIRECT(ADDRESS(2,COLUMN())),OFFSET($BN$2,0,0,ROW()-1,60),ROW()-1,FALSE))</f>
        <v/>
      </c>
      <c r="AX402" t="str">
        <f ca="1">IF(AND(ISNUMBER($AX$824),$B$419=1),$AX$824,HLOOKUP(INDIRECT(ADDRESS(2,COLUMN())),OFFSET($BN$2,0,0,ROW()-1,60),ROW()-1,FALSE))</f>
        <v/>
      </c>
      <c r="AY402" t="str">
        <f ca="1">IF(AND(ISNUMBER($AY$824),$B$419=1),$AY$824,HLOOKUP(INDIRECT(ADDRESS(2,COLUMN())),OFFSET($BN$2,0,0,ROW()-1,60),ROW()-1,FALSE))</f>
        <v/>
      </c>
      <c r="AZ402" t="str">
        <f ca="1">IF(AND(ISNUMBER($AZ$824),$B$419=1),$AZ$824,HLOOKUP(INDIRECT(ADDRESS(2,COLUMN())),OFFSET($BN$2,0,0,ROW()-1,60),ROW()-1,FALSE))</f>
        <v/>
      </c>
      <c r="BA402" t="str">
        <f ca="1">IF(AND(ISNUMBER($BA$824),$B$419=1),$BA$824,HLOOKUP(INDIRECT(ADDRESS(2,COLUMN())),OFFSET($BN$2,0,0,ROW()-1,60),ROW()-1,FALSE))</f>
        <v/>
      </c>
      <c r="BB402" t="str">
        <f ca="1">IF(AND(ISNUMBER($BB$824),$B$419=1),$BB$824,HLOOKUP(INDIRECT(ADDRESS(2,COLUMN())),OFFSET($BN$2,0,0,ROW()-1,60),ROW()-1,FALSE))</f>
        <v/>
      </c>
      <c r="BC402" t="str">
        <f ca="1">IF(AND(ISNUMBER($BC$824),$B$419=1),$BC$824,HLOOKUP(INDIRECT(ADDRESS(2,COLUMN())),OFFSET($BN$2,0,0,ROW()-1,60),ROW()-1,FALSE))</f>
        <v/>
      </c>
      <c r="BD402" t="str">
        <f ca="1">IF(AND(ISNUMBER($BD$824),$B$419=1),$BD$824,HLOOKUP(INDIRECT(ADDRESS(2,COLUMN())),OFFSET($BN$2,0,0,ROW()-1,60),ROW()-1,FALSE))</f>
        <v/>
      </c>
      <c r="BE402" t="str">
        <f ca="1">IF(AND(ISNUMBER($BE$824),$B$419=1),$BE$824,HLOOKUP(INDIRECT(ADDRESS(2,COLUMN())),OFFSET($BN$2,0,0,ROW()-1,60),ROW()-1,FALSE))</f>
        <v/>
      </c>
      <c r="BF402" t="str">
        <f ca="1">IF(AND(ISNUMBER($BF$824),$B$419=1),$BF$824,HLOOKUP(INDIRECT(ADDRESS(2,COLUMN())),OFFSET($BN$2,0,0,ROW()-1,60),ROW()-1,FALSE))</f>
        <v/>
      </c>
      <c r="BG402" t="str">
        <f ca="1">IF(AND(ISNUMBER($BG$824),$B$419=1),$BG$824,HLOOKUP(INDIRECT(ADDRESS(2,COLUMN())),OFFSET($BN$2,0,0,ROW()-1,60),ROW()-1,FALSE))</f>
        <v/>
      </c>
      <c r="BH402" t="str">
        <f ca="1">IF(AND(ISNUMBER($BH$824),$B$419=1),$BH$824,HLOOKUP(INDIRECT(ADDRESS(2,COLUMN())),OFFSET($BN$2,0,0,ROW()-1,60),ROW()-1,FALSE))</f>
        <v/>
      </c>
      <c r="BI402" t="str">
        <f ca="1">IF(AND(ISNUMBER($BI$824),$B$419=1),$BI$824,HLOOKUP(INDIRECT(ADDRESS(2,COLUMN())),OFFSET($BN$2,0,0,ROW()-1,60),ROW()-1,FALSE))</f>
        <v/>
      </c>
      <c r="BJ402" t="str">
        <f ca="1">IF(AND(ISNUMBER($BJ$824),$B$419=1),$BJ$824,HLOOKUP(INDIRECT(ADDRESS(2,COLUMN())),OFFSET($BN$2,0,0,ROW()-1,60),ROW()-1,FALSE))</f>
        <v/>
      </c>
      <c r="BK402" t="str">
        <f ca="1">IF(AND(ISNUMBER($BK$824),$B$419=1),$BK$824,HLOOKUP(INDIRECT(ADDRESS(2,COLUMN())),OFFSET($BN$2,0,0,ROW()-1,60),ROW()-1,FALSE))</f>
        <v/>
      </c>
      <c r="BL402" t="str">
        <f ca="1">IF(AND(ISNUMBER($BL$824),$B$419=1),$BL$824,HLOOKUP(INDIRECT(ADDRESS(2,COLUMN())),OFFSET($BN$2,0,0,ROW()-1,60),ROW()-1,FALSE))</f>
        <v/>
      </c>
      <c r="BM402" t="str">
        <f ca="1">IF(AND(ISNUMBER($BM$824),$B$419=1),$BM$824,HLOOKUP(INDIRECT(ADDRESS(2,COLUMN())),OFFSET($BN$2,0,0,ROW()-1,60),ROW()-1,FALSE))</f>
        <v/>
      </c>
      <c r="BN402" t="str">
        <f>""</f>
        <v/>
      </c>
      <c r="BO402">
        <f>27.9858588</f>
        <v>27.985858799999999</v>
      </c>
      <c r="BP402">
        <f>68.01491517</f>
        <v>68.014915169999995</v>
      </c>
      <c r="BQ402">
        <f>42.22431729</f>
        <v>42.224317290000002</v>
      </c>
      <c r="BR402">
        <f>49.52362764</f>
        <v>49.523627640000001</v>
      </c>
      <c r="BS402">
        <f>42.2467786</f>
        <v>42.246778599999999</v>
      </c>
      <c r="BT402">
        <f>54.48843885</f>
        <v>54.488438850000001</v>
      </c>
      <c r="BU402">
        <f>47.21363898</f>
        <v>47.213638979999999</v>
      </c>
      <c r="BV402">
        <f>50.51949842</f>
        <v>50.519498419999998</v>
      </c>
      <c r="BW402">
        <f>43.7821243</f>
        <v>43.7821243</v>
      </c>
      <c r="BX402">
        <f>55.75116752</f>
        <v>55.751167520000003</v>
      </c>
      <c r="BY402">
        <f>48.64999764</f>
        <v>48.649997640000002</v>
      </c>
      <c r="BZ402">
        <f>25.76697353</f>
        <v>25.766973530000001</v>
      </c>
      <c r="CA402">
        <f>45.15908403</f>
        <v>45.159084030000002</v>
      </c>
      <c r="CB402">
        <f>48.79940779</f>
        <v>48.799407789999997</v>
      </c>
      <c r="CC402">
        <f>0</f>
        <v>0</v>
      </c>
      <c r="CD402">
        <f>0</f>
        <v>0</v>
      </c>
      <c r="CE402" t="str">
        <f>""</f>
        <v/>
      </c>
      <c r="CF402" t="str">
        <f>""</f>
        <v/>
      </c>
      <c r="CG402" t="str">
        <f>""</f>
        <v/>
      </c>
      <c r="CH402" t="str">
        <f>""</f>
        <v/>
      </c>
      <c r="CI402" t="str">
        <f>""</f>
        <v/>
      </c>
      <c r="CJ402" t="str">
        <f>""</f>
        <v/>
      </c>
      <c r="CK402" t="str">
        <f>""</f>
        <v/>
      </c>
      <c r="CL402" t="str">
        <f>""</f>
        <v/>
      </c>
      <c r="CM402" t="str">
        <f>""</f>
        <v/>
      </c>
      <c r="CN402" t="str">
        <f>""</f>
        <v/>
      </c>
      <c r="CO402" t="str">
        <f>""</f>
        <v/>
      </c>
      <c r="CP402" t="str">
        <f>""</f>
        <v/>
      </c>
      <c r="CQ402" t="str">
        <f>""</f>
        <v/>
      </c>
      <c r="CR402" t="str">
        <f>""</f>
        <v/>
      </c>
      <c r="CS402" t="str">
        <f>""</f>
        <v/>
      </c>
      <c r="CT402" t="str">
        <f>""</f>
        <v/>
      </c>
      <c r="CU402" t="str">
        <f>""</f>
        <v/>
      </c>
      <c r="CV402" t="str">
        <f>""</f>
        <v/>
      </c>
      <c r="CW402" t="str">
        <f>""</f>
        <v/>
      </c>
      <c r="CX402" t="str">
        <f>""</f>
        <v/>
      </c>
      <c r="CY402" t="str">
        <f>""</f>
        <v/>
      </c>
      <c r="CZ402" t="str">
        <f>""</f>
        <v/>
      </c>
      <c r="DA402" t="str">
        <f>""</f>
        <v/>
      </c>
      <c r="DB402" t="str">
        <f>""</f>
        <v/>
      </c>
      <c r="DC402" t="str">
        <f>""</f>
        <v/>
      </c>
      <c r="DD402" t="str">
        <f>""</f>
        <v/>
      </c>
      <c r="DE402" t="str">
        <f>""</f>
        <v/>
      </c>
      <c r="DF402" t="str">
        <f>""</f>
        <v/>
      </c>
      <c r="DG402" t="str">
        <f>""</f>
        <v/>
      </c>
      <c r="DH402" t="str">
        <f>""</f>
        <v/>
      </c>
      <c r="DI402" t="str">
        <f>""</f>
        <v/>
      </c>
      <c r="DJ402" t="str">
        <f>""</f>
        <v/>
      </c>
      <c r="DK402" t="str">
        <f>""</f>
        <v/>
      </c>
      <c r="DL402" t="str">
        <f>""</f>
        <v/>
      </c>
      <c r="DM402" t="str">
        <f>""</f>
        <v/>
      </c>
      <c r="DN402" t="str">
        <f>""</f>
        <v/>
      </c>
      <c r="DO402" t="str">
        <f>""</f>
        <v/>
      </c>
      <c r="DP402" t="str">
        <f>""</f>
        <v/>
      </c>
      <c r="DQ402" t="str">
        <f>""</f>
        <v/>
      </c>
      <c r="DR402" t="str">
        <f>""</f>
        <v/>
      </c>
      <c r="DS402" t="str">
        <f>""</f>
        <v/>
      </c>
      <c r="DT402" t="str">
        <f>""</f>
        <v/>
      </c>
      <c r="DU402" t="str">
        <f>""</f>
        <v/>
      </c>
    </row>
    <row r="403" spans="1:125">
      <c r="A403" t="str">
        <f>"    Weingarten Realty Investors"</f>
        <v xml:space="preserve">    Weingarten Realty Investors</v>
      </c>
      <c r="B403" t="str">
        <f>"WRI US Equity"</f>
        <v>WRI US Equity</v>
      </c>
      <c r="C403" t="str">
        <f t="shared" si="70"/>
        <v>RR106</v>
      </c>
      <c r="D403" t="str">
        <f t="shared" si="71"/>
        <v>FFO_PAYOUT_RATIO</v>
      </c>
      <c r="E403" t="str">
        <f t="shared" si="72"/>
        <v>动态</v>
      </c>
      <c r="F403" t="str">
        <f ca="1">IF(AND(ISNUMBER($F$825),$B$419=1),$F$825,HLOOKUP(INDIRECT(ADDRESS(2,COLUMN())),OFFSET($BN$2,0,0,ROW()-1,60),ROW()-1,FALSE))</f>
        <v/>
      </c>
      <c r="G403">
        <f ca="1">IF(AND(ISNUMBER($G$825),$B$419=1),$G$825,HLOOKUP(INDIRECT(ADDRESS(2,COLUMN())),OFFSET($BN$2,0,0,ROW()-1,60),ROW()-1,FALSE))</f>
        <v>65.215614340000002</v>
      </c>
      <c r="H403">
        <f ca="1">IF(AND(ISNUMBER($H$825),$B$419=1),$H$825,HLOOKUP(INDIRECT(ADDRESS(2,COLUMN())),OFFSET($BN$2,0,0,ROW()-1,60),ROW()-1,FALSE))</f>
        <v>62.376725700000001</v>
      </c>
      <c r="I403">
        <f ca="1">IF(AND(ISNUMBER($I$825),$B$419=1),$I$825,HLOOKUP(INDIRECT(ADDRESS(2,COLUMN())),OFFSET($BN$2,0,0,ROW()-1,60),ROW()-1,FALSE))</f>
        <v>61.982991910000003</v>
      </c>
      <c r="J403">
        <f ca="1">IF(AND(ISNUMBER($J$825),$B$419=1),$J$825,HLOOKUP(INDIRECT(ADDRESS(2,COLUMN())),OFFSET($BN$2,0,0,ROW()-1,60),ROW()-1,FALSE))</f>
        <v>66.39162512</v>
      </c>
      <c r="K403">
        <f ca="1">IF(AND(ISNUMBER($K$825),$B$419=1),$K$825,HLOOKUP(INDIRECT(ADDRESS(2,COLUMN())),OFFSET($BN$2,0,0,ROW()-1,60),ROW()-1,FALSE))</f>
        <v>58.944145329999998</v>
      </c>
      <c r="L403">
        <f ca="1">IF(AND(ISNUMBER($L$825),$B$419=1),$L$825,HLOOKUP(INDIRECT(ADDRESS(2,COLUMN())),OFFSET($BN$2,0,0,ROW()-1,60),ROW()-1,FALSE))</f>
        <v>63.550145659999998</v>
      </c>
      <c r="M403">
        <f ca="1">IF(AND(ISNUMBER($M$825),$B$419=1),$M$825,HLOOKUP(INDIRECT(ADDRESS(2,COLUMN())),OFFSET($BN$2,0,0,ROW()-1,60),ROW()-1,FALSE))</f>
        <v>60.964673619999999</v>
      </c>
      <c r="N403">
        <f ca="1">IF(AND(ISNUMBER($N$825),$B$419=1),$N$825,HLOOKUP(INDIRECT(ADDRESS(2,COLUMN())),OFFSET($BN$2,0,0,ROW()-1,60),ROW()-1,FALSE))</f>
        <v>68.457894580000001</v>
      </c>
      <c r="O403">
        <f ca="1">IF(AND(ISNUMBER($O$825),$B$419=1),$O$825,HLOOKUP(INDIRECT(ADDRESS(2,COLUMN())),OFFSET($BN$2,0,0,ROW()-1,60),ROW()-1,FALSE))</f>
        <v>60.025620590000003</v>
      </c>
      <c r="P403">
        <f ca="1">IF(AND(ISNUMBER($P$825),$B$419=1),$P$825,HLOOKUP(INDIRECT(ADDRESS(2,COLUMN())),OFFSET($BN$2,0,0,ROW()-1,60),ROW()-1,FALSE))</f>
        <v>61.232560650000003</v>
      </c>
      <c r="Q403">
        <f ca="1">IF(AND(ISNUMBER($Q$825),$B$419=1),$Q$825,HLOOKUP(INDIRECT(ADDRESS(2,COLUMN())),OFFSET($BN$2,0,0,ROW()-1,60),ROW()-1,FALSE))</f>
        <v>73.829710079999998</v>
      </c>
      <c r="R403">
        <f ca="1">IF(AND(ISNUMBER($R$825),$B$419=1),$R$825,HLOOKUP(INDIRECT(ADDRESS(2,COLUMN())),OFFSET($BN$2,0,0,ROW()-1,60),ROW()-1,FALSE))</f>
        <v>70.445800719999994</v>
      </c>
      <c r="S403">
        <f ca="1">IF(AND(ISNUMBER($S$825),$B$419=1),$S$825,HLOOKUP(INDIRECT(ADDRESS(2,COLUMN())),OFFSET($BN$2,0,0,ROW()-1,60),ROW()-1,FALSE))</f>
        <v>112.0412264</v>
      </c>
      <c r="T403">
        <f ca="1">IF(AND(ISNUMBER($T$825),$B$419=1),$T$825,HLOOKUP(INDIRECT(ADDRESS(2,COLUMN())),OFFSET($BN$2,0,0,ROW()-1,60),ROW()-1,FALSE))</f>
        <v>60.950661850000003</v>
      </c>
      <c r="U403">
        <f ca="1">IF(AND(ISNUMBER($U$825),$B$419=1),$U$825,HLOOKUP(INDIRECT(ADDRESS(2,COLUMN())),OFFSET($BN$2,0,0,ROW()-1,60),ROW()-1,FALSE))</f>
        <v>60.629740990000002</v>
      </c>
      <c r="V403">
        <f ca="1">IF(AND(ISNUMBER($V$825),$B$419=1),$V$825,HLOOKUP(INDIRECT(ADDRESS(2,COLUMN())),OFFSET($BN$2,0,0,ROW()-1,60),ROW()-1,FALSE))</f>
        <v>62.931731360000001</v>
      </c>
      <c r="W403">
        <f ca="1">IF(AND(ISNUMBER($W$825),$B$419=1),$W$825,HLOOKUP(INDIRECT(ADDRESS(2,COLUMN())),OFFSET($BN$2,0,0,ROW()-1,60),ROW()-1,FALSE))</f>
        <v>71.274524909999997</v>
      </c>
      <c r="X403">
        <f ca="1">IF(AND(ISNUMBER($X$825),$B$419=1),$X$825,HLOOKUP(INDIRECT(ADDRESS(2,COLUMN())),OFFSET($BN$2,0,0,ROW()-1,60),ROW()-1,FALSE))</f>
        <v>61.22247308</v>
      </c>
      <c r="Y403">
        <f ca="1">IF(AND(ISNUMBER($Y$825),$B$419=1),$Y$825,HLOOKUP(INDIRECT(ADDRESS(2,COLUMN())),OFFSET($BN$2,0,0,ROW()-1,60),ROW()-1,FALSE))</f>
        <v>81.506969400000003</v>
      </c>
      <c r="Z403">
        <f ca="1">IF(AND(ISNUMBER($Z$825),$B$419=1),$Z$825,HLOOKUP(INDIRECT(ADDRESS(2,COLUMN())),OFFSET($BN$2,0,0,ROW()-1,60),ROW()-1,FALSE))</f>
        <v>56.217255690000002</v>
      </c>
      <c r="AA403">
        <f ca="1">IF(AND(ISNUMBER($AA$825),$B$419=1),$AA$825,HLOOKUP(INDIRECT(ADDRESS(2,COLUMN())),OFFSET($BN$2,0,0,ROW()-1,60),ROW()-1,FALSE))</f>
        <v>61.808992310000001</v>
      </c>
      <c r="AB403">
        <f ca="1">IF(AND(ISNUMBER($AB$825),$B$419=1),$AB$825,HLOOKUP(INDIRECT(ADDRESS(2,COLUMN())),OFFSET($BN$2,0,0,ROW()-1,60),ROW()-1,FALSE))</f>
        <v>63.60838373</v>
      </c>
      <c r="AC403">
        <f ca="1">IF(AND(ISNUMBER($AC$825),$B$419=1),$AC$825,HLOOKUP(INDIRECT(ADDRESS(2,COLUMN())),OFFSET($BN$2,0,0,ROW()-1,60),ROW()-1,FALSE))</f>
        <v>64.25425371</v>
      </c>
      <c r="AD403">
        <f ca="1">IF(AND(ISNUMBER($AD$825),$B$419=1),$AD$825,HLOOKUP(INDIRECT(ADDRESS(2,COLUMN())),OFFSET($BN$2,0,0,ROW()-1,60),ROW()-1,FALSE))</f>
        <v>62.942452099999997</v>
      </c>
      <c r="AE403">
        <f ca="1">IF(AND(ISNUMBER($AE$825),$B$419=1),$AE$825,HLOOKUP(INDIRECT(ADDRESS(2,COLUMN())),OFFSET($BN$2,0,0,ROW()-1,60),ROW()-1,FALSE))</f>
        <v>56.986594850000003</v>
      </c>
      <c r="AF403">
        <f ca="1">IF(AND(ISNUMBER($AF$825),$B$419=1),$AF$825,HLOOKUP(INDIRECT(ADDRESS(2,COLUMN())),OFFSET($BN$2,0,0,ROW()-1,60),ROW()-1,FALSE))</f>
        <v>107.9145348</v>
      </c>
      <c r="AG403">
        <f ca="1">IF(AND(ISNUMBER($AG$825),$B$419=1),$AG$825,HLOOKUP(INDIRECT(ADDRESS(2,COLUMN())),OFFSET($BN$2,0,0,ROW()-1,60),ROW()-1,FALSE))</f>
        <v>96.917109019999998</v>
      </c>
      <c r="AH403">
        <f ca="1">IF(AND(ISNUMBER($AH$825),$B$419=1),$AH$825,HLOOKUP(INDIRECT(ADDRESS(2,COLUMN())),OFFSET($BN$2,0,0,ROW()-1,60),ROW()-1,FALSE))</f>
        <v>66.036383900000004</v>
      </c>
      <c r="AI403">
        <f ca="1">IF(AND(ISNUMBER($AI$825),$B$419=1),$AI$825,HLOOKUP(INDIRECT(ADDRESS(2,COLUMN())),OFFSET($BN$2,0,0,ROW()-1,60),ROW()-1,FALSE))</f>
        <v>79.96167346</v>
      </c>
      <c r="AJ403">
        <f ca="1">IF(AND(ISNUMBER($AJ$825),$B$419=1),$AJ$825,HLOOKUP(INDIRECT(ADDRESS(2,COLUMN())),OFFSET($BN$2,0,0,ROW()-1,60),ROW()-1,FALSE))</f>
        <v>64.33401155</v>
      </c>
      <c r="AK403">
        <f ca="1">IF(AND(ISNUMBER($AK$825),$B$419=1),$AK$825,HLOOKUP(INDIRECT(ADDRESS(2,COLUMN())),OFFSET($BN$2,0,0,ROW()-1,60),ROW()-1,FALSE))</f>
        <v>91.054683650000001</v>
      </c>
      <c r="AL403">
        <f ca="1">IF(AND(ISNUMBER($AL$825),$B$419=1),$AL$825,HLOOKUP(INDIRECT(ADDRESS(2,COLUMN())),OFFSET($BN$2,0,0,ROW()-1,60),ROW()-1,FALSE))</f>
        <v>63.897698210000001</v>
      </c>
      <c r="AM403">
        <f ca="1">IF(AND(ISNUMBER($AM$825),$B$419=1),$AM$825,HLOOKUP(INDIRECT(ADDRESS(2,COLUMN())),OFFSET($BN$2,0,0,ROW()-1,60),ROW()-1,FALSE))</f>
        <v>116.85308670000001</v>
      </c>
      <c r="AN403">
        <f ca="1">IF(AND(ISNUMBER($AN$825),$B$419=1),$AN$825,HLOOKUP(INDIRECT(ADDRESS(2,COLUMN())),OFFSET($BN$2,0,0,ROW()-1,60),ROW()-1,FALSE))</f>
        <v>100.7332907</v>
      </c>
      <c r="AO403">
        <f ca="1">IF(AND(ISNUMBER($AO$825),$B$419=1),$AO$825,HLOOKUP(INDIRECT(ADDRESS(2,COLUMN())),OFFSET($BN$2,0,0,ROW()-1,60),ROW()-1,FALSE))</f>
        <v>42.969927509999998</v>
      </c>
      <c r="AP403">
        <f ca="1">IF(AND(ISNUMBER($AP$825),$B$419=1),$AP$825,HLOOKUP(INDIRECT(ADDRESS(2,COLUMN())),OFFSET($BN$2,0,0,ROW()-1,60),ROW()-1,FALSE))</f>
        <v>68.269459650000002</v>
      </c>
      <c r="AQ403">
        <f ca="1">IF(AND(ISNUMBER($AQ$825),$B$419=1),$AQ$825,HLOOKUP(INDIRECT(ADDRESS(2,COLUMN())),OFFSET($BN$2,0,0,ROW()-1,60),ROW()-1,FALSE))</f>
        <v>716.56980859999999</v>
      </c>
      <c r="AR403">
        <f ca="1">IF(AND(ISNUMBER($AR$825),$B$419=1),$AR$825,HLOOKUP(INDIRECT(ADDRESS(2,COLUMN())),OFFSET($BN$2,0,0,ROW()-1,60),ROW()-1,FALSE))</f>
        <v>77.119104669999999</v>
      </c>
      <c r="AS403">
        <f ca="1">IF(AND(ISNUMBER($AS$825),$B$419=1),$AS$825,HLOOKUP(INDIRECT(ADDRESS(2,COLUMN())),OFFSET($BN$2,0,0,ROW()-1,60),ROW()-1,FALSE))</f>
        <v>65.851764459999998</v>
      </c>
      <c r="AT403">
        <f ca="1">IF(AND(ISNUMBER($AT$825),$B$419=1),$AT$825,HLOOKUP(INDIRECT(ADDRESS(2,COLUMN())),OFFSET($BN$2,0,0,ROW()-1,60),ROW()-1,FALSE))</f>
        <v>69.042469830000002</v>
      </c>
      <c r="AU403">
        <f ca="1">IF(AND(ISNUMBER($AU$825),$B$419=1),$AU$825,HLOOKUP(INDIRECT(ADDRESS(2,COLUMN())),OFFSET($BN$2,0,0,ROW()-1,60),ROW()-1,FALSE))</f>
        <v>57.05937729</v>
      </c>
      <c r="AV403">
        <f ca="1">IF(AND(ISNUMBER($AV$825),$B$419=1),$AV$825,HLOOKUP(INDIRECT(ADDRESS(2,COLUMN())),OFFSET($BN$2,0,0,ROW()-1,60),ROW()-1,FALSE))</f>
        <v>60.674396590000001</v>
      </c>
      <c r="AW403">
        <f ca="1">IF(AND(ISNUMBER($AW$825),$B$419=1),$AW$825,HLOOKUP(INDIRECT(ADDRESS(2,COLUMN())),OFFSET($BN$2,0,0,ROW()-1,60),ROW()-1,FALSE))</f>
        <v>67.311413290000004</v>
      </c>
      <c r="AX403">
        <f ca="1">IF(AND(ISNUMBER($AX$825),$B$419=1),$AX$825,HLOOKUP(INDIRECT(ADDRESS(2,COLUMN())),OFFSET($BN$2,0,0,ROW()-1,60),ROW()-1,FALSE))</f>
        <v>63.67977234</v>
      </c>
      <c r="AY403">
        <f ca="1">IF(AND(ISNUMBER($AY$825),$B$419=1),$AY$825,HLOOKUP(INDIRECT(ADDRESS(2,COLUMN())),OFFSET($BN$2,0,0,ROW()-1,60),ROW()-1,FALSE))</f>
        <v>60.901571820000001</v>
      </c>
      <c r="AZ403">
        <f ca="1">IF(AND(ISNUMBER($AZ$825),$B$419=1),$AZ$825,HLOOKUP(INDIRECT(ADDRESS(2,COLUMN())),OFFSET($BN$2,0,0,ROW()-1,60),ROW()-1,FALSE))</f>
        <v>61.931558379999998</v>
      </c>
      <c r="BA403">
        <f ca="1">IF(AND(ISNUMBER($BA$825),$B$419=1),$BA$825,HLOOKUP(INDIRECT(ADDRESS(2,COLUMN())),OFFSET($BN$2,0,0,ROW()-1,60),ROW()-1,FALSE))</f>
        <v>65.900949890000007</v>
      </c>
      <c r="BB403">
        <f ca="1">IF(AND(ISNUMBER($BB$825),$B$419=1),$BB$825,HLOOKUP(INDIRECT(ADDRESS(2,COLUMN())),OFFSET($BN$2,0,0,ROW()-1,60),ROW()-1,FALSE))</f>
        <v>61.910780420000002</v>
      </c>
      <c r="BC403">
        <f ca="1">IF(AND(ISNUMBER($BC$825),$B$419=1),$BC$825,HLOOKUP(INDIRECT(ADDRESS(2,COLUMN())),OFFSET($BN$2,0,0,ROW()-1,60),ROW()-1,FALSE))</f>
        <v>63.560514189999999</v>
      </c>
      <c r="BD403" t="str">
        <f ca="1">IF(AND(ISNUMBER($BD$825),$B$419=1),$BD$825,HLOOKUP(INDIRECT(ADDRESS(2,COLUMN())),OFFSET($BN$2,0,0,ROW()-1,60),ROW()-1,FALSE))</f>
        <v/>
      </c>
      <c r="BE403">
        <f ca="1">IF(AND(ISNUMBER($BE$825),$B$419=1),$BE$825,HLOOKUP(INDIRECT(ADDRESS(2,COLUMN())),OFFSET($BN$2,0,0,ROW()-1,60),ROW()-1,FALSE))</f>
        <v>60.733852370000001</v>
      </c>
      <c r="BF403">
        <f ca="1">IF(AND(ISNUMBER($BF$825),$B$419=1),$BF$825,HLOOKUP(INDIRECT(ADDRESS(2,COLUMN())),OFFSET($BN$2,0,0,ROW()-1,60),ROW()-1,FALSE))</f>
        <v>64.03801747</v>
      </c>
      <c r="BG403">
        <f ca="1">IF(AND(ISNUMBER($BG$825),$B$419=1),$BG$825,HLOOKUP(INDIRECT(ADDRESS(2,COLUMN())),OFFSET($BN$2,0,0,ROW()-1,60),ROW()-1,FALSE))</f>
        <v>62.9499262</v>
      </c>
      <c r="BH403" t="str">
        <f ca="1">IF(AND(ISNUMBER($BH$825),$B$419=1),$BH$825,HLOOKUP(INDIRECT(ADDRESS(2,COLUMN())),OFFSET($BN$2,0,0,ROW()-1,60),ROW()-1,FALSE))</f>
        <v/>
      </c>
      <c r="BI403">
        <f ca="1">IF(AND(ISNUMBER($BI$825),$B$419=1),$BI$825,HLOOKUP(INDIRECT(ADDRESS(2,COLUMN())),OFFSET($BN$2,0,0,ROW()-1,60),ROW()-1,FALSE))</f>
        <v>68.783035130000002</v>
      </c>
      <c r="BJ403">
        <f ca="1">IF(AND(ISNUMBER($BJ$825),$B$419=1),$BJ$825,HLOOKUP(INDIRECT(ADDRESS(2,COLUMN())),OFFSET($BN$2,0,0,ROW()-1,60),ROW()-1,FALSE))</f>
        <v>64.412793989999997</v>
      </c>
      <c r="BK403">
        <f ca="1">IF(AND(ISNUMBER($BK$825),$B$419=1),$BK$825,HLOOKUP(INDIRECT(ADDRESS(2,COLUMN())),OFFSET($BN$2,0,0,ROW()-1,60),ROW()-1,FALSE))</f>
        <v>65.613389290000001</v>
      </c>
      <c r="BL403">
        <f ca="1">IF(AND(ISNUMBER($BL$825),$B$419=1),$BL$825,HLOOKUP(INDIRECT(ADDRESS(2,COLUMN())),OFFSET($BN$2,0,0,ROW()-1,60),ROW()-1,FALSE))</f>
        <v>64.366020539999994</v>
      </c>
      <c r="BM403">
        <f ca="1">IF(AND(ISNUMBER($BM$825),$B$419=1),$BM$825,HLOOKUP(INDIRECT(ADDRESS(2,COLUMN())),OFFSET($BN$2,0,0,ROW()-1,60),ROW()-1,FALSE))</f>
        <v>70.079286909999993</v>
      </c>
      <c r="BN403" t="str">
        <f>""</f>
        <v/>
      </c>
      <c r="BO403">
        <f>65.21561434</f>
        <v>65.215614340000002</v>
      </c>
      <c r="BP403">
        <f>62.3767257</f>
        <v>62.376725700000001</v>
      </c>
      <c r="BQ403">
        <f>61.98299191</f>
        <v>61.982991910000003</v>
      </c>
      <c r="BR403">
        <f>66.39162512</f>
        <v>66.39162512</v>
      </c>
      <c r="BS403">
        <f>58.94414533</f>
        <v>58.944145329999998</v>
      </c>
      <c r="BT403">
        <f>63.55014566</f>
        <v>63.550145659999998</v>
      </c>
      <c r="BU403">
        <f>60.96467362</f>
        <v>60.964673619999999</v>
      </c>
      <c r="BV403">
        <f>68.45789458</f>
        <v>68.457894580000001</v>
      </c>
      <c r="BW403">
        <f>60.02562059</f>
        <v>60.025620590000003</v>
      </c>
      <c r="BX403">
        <f>61.23256065</f>
        <v>61.232560650000003</v>
      </c>
      <c r="BY403">
        <f>73.82971008</f>
        <v>73.829710079999998</v>
      </c>
      <c r="BZ403">
        <f>70.44580072</f>
        <v>70.445800719999994</v>
      </c>
      <c r="CA403">
        <f>112.0412264</f>
        <v>112.0412264</v>
      </c>
      <c r="CB403">
        <f>60.95066185</f>
        <v>60.950661850000003</v>
      </c>
      <c r="CC403">
        <f>60.62974099</f>
        <v>60.629740990000002</v>
      </c>
      <c r="CD403">
        <f>62.93173136</f>
        <v>62.931731360000001</v>
      </c>
      <c r="CE403">
        <f>71.27452491</f>
        <v>71.274524909999997</v>
      </c>
      <c r="CF403">
        <f>61.22247308</f>
        <v>61.22247308</v>
      </c>
      <c r="CG403">
        <f>81.5069694</f>
        <v>81.506969400000003</v>
      </c>
      <c r="CH403">
        <f>56.21725569</f>
        <v>56.217255690000002</v>
      </c>
      <c r="CI403">
        <f>61.80899231</f>
        <v>61.808992310000001</v>
      </c>
      <c r="CJ403">
        <f>63.60838373</f>
        <v>63.60838373</v>
      </c>
      <c r="CK403">
        <f>64.25425371</f>
        <v>64.25425371</v>
      </c>
      <c r="CL403">
        <f>62.9424521</f>
        <v>62.942452099999997</v>
      </c>
      <c r="CM403">
        <f>56.98659485</f>
        <v>56.986594850000003</v>
      </c>
      <c r="CN403">
        <f>107.9145348</f>
        <v>107.9145348</v>
      </c>
      <c r="CO403">
        <f>96.91710902</f>
        <v>96.917109019999998</v>
      </c>
      <c r="CP403">
        <f>66.0363839</f>
        <v>66.036383900000004</v>
      </c>
      <c r="CQ403">
        <f>79.96167346</f>
        <v>79.96167346</v>
      </c>
      <c r="CR403">
        <f>64.33401155</f>
        <v>64.33401155</v>
      </c>
      <c r="CS403">
        <f>91.05468365</f>
        <v>91.054683650000001</v>
      </c>
      <c r="CT403">
        <f>63.89769821</f>
        <v>63.897698210000001</v>
      </c>
      <c r="CU403">
        <f>116.8530867</f>
        <v>116.85308670000001</v>
      </c>
      <c r="CV403">
        <f>100.7332907</f>
        <v>100.7332907</v>
      </c>
      <c r="CW403">
        <f>42.96992751</f>
        <v>42.969927509999998</v>
      </c>
      <c r="CX403">
        <f>68.26945965</f>
        <v>68.269459650000002</v>
      </c>
      <c r="CY403">
        <f>716.5698086</f>
        <v>716.56980859999999</v>
      </c>
      <c r="CZ403">
        <f>77.11910467</f>
        <v>77.119104669999999</v>
      </c>
      <c r="DA403">
        <f>65.85176446</f>
        <v>65.851764459999998</v>
      </c>
      <c r="DB403">
        <f>69.04246983</f>
        <v>69.042469830000002</v>
      </c>
      <c r="DC403">
        <f>57.05937729</f>
        <v>57.05937729</v>
      </c>
      <c r="DD403">
        <f>60.67439659</f>
        <v>60.674396590000001</v>
      </c>
      <c r="DE403">
        <f>67.31141329</f>
        <v>67.311413290000004</v>
      </c>
      <c r="DF403">
        <f>63.67977234</f>
        <v>63.67977234</v>
      </c>
      <c r="DG403">
        <f>60.90157182</f>
        <v>60.901571820000001</v>
      </c>
      <c r="DH403">
        <f>61.93155838</f>
        <v>61.931558379999998</v>
      </c>
      <c r="DI403">
        <f>65.90094989</f>
        <v>65.900949890000007</v>
      </c>
      <c r="DJ403">
        <f>61.91078042</f>
        <v>61.910780420000002</v>
      </c>
      <c r="DK403">
        <f>63.56051419</f>
        <v>63.560514189999999</v>
      </c>
      <c r="DL403" t="str">
        <f>""</f>
        <v/>
      </c>
      <c r="DM403">
        <f>60.73385237</f>
        <v>60.733852370000001</v>
      </c>
      <c r="DN403">
        <f>64.03801747</f>
        <v>64.03801747</v>
      </c>
      <c r="DO403">
        <f>62.9499262</f>
        <v>62.9499262</v>
      </c>
      <c r="DP403" t="str">
        <f>""</f>
        <v/>
      </c>
      <c r="DQ403">
        <f>68.78303513</f>
        <v>68.783035130000002</v>
      </c>
      <c r="DR403">
        <f>64.41279399</f>
        <v>64.412793989999997</v>
      </c>
      <c r="DS403">
        <f>65.61338929</f>
        <v>65.613389290000001</v>
      </c>
      <c r="DT403">
        <f>64.36602054</f>
        <v>64.366020539999994</v>
      </c>
      <c r="DU403">
        <f>70.07928691</f>
        <v>70.079286909999993</v>
      </c>
    </row>
    <row r="404" spans="1:125">
      <c r="BN404" t="str">
        <f>""</f>
        <v/>
      </c>
      <c r="BO404" t="str">
        <f>""</f>
        <v/>
      </c>
      <c r="BP404" t="str">
        <f>""</f>
        <v/>
      </c>
      <c r="BQ404" t="str">
        <f>""</f>
        <v/>
      </c>
      <c r="BR404" t="str">
        <f>""</f>
        <v/>
      </c>
      <c r="BS404" t="str">
        <f>""</f>
        <v/>
      </c>
      <c r="BT404" t="str">
        <f>""</f>
        <v/>
      </c>
      <c r="BU404" t="str">
        <f>""</f>
        <v/>
      </c>
      <c r="BV404" t="str">
        <f>""</f>
        <v/>
      </c>
      <c r="BW404" t="str">
        <f>""</f>
        <v/>
      </c>
      <c r="BX404" t="str">
        <f>""</f>
        <v/>
      </c>
      <c r="BY404" t="str">
        <f>""</f>
        <v/>
      </c>
      <c r="BZ404" t="str">
        <f>""</f>
        <v/>
      </c>
      <c r="CA404" t="str">
        <f>""</f>
        <v/>
      </c>
      <c r="CB404" t="str">
        <f>""</f>
        <v/>
      </c>
      <c r="CC404" t="str">
        <f>""</f>
        <v/>
      </c>
      <c r="CD404" t="str">
        <f>""</f>
        <v/>
      </c>
      <c r="CE404" t="str">
        <f>""</f>
        <v/>
      </c>
      <c r="CF404" t="str">
        <f>""</f>
        <v/>
      </c>
      <c r="CG404" t="str">
        <f>""</f>
        <v/>
      </c>
      <c r="CH404" t="str">
        <f>""</f>
        <v/>
      </c>
      <c r="CI404" t="str">
        <f>""</f>
        <v/>
      </c>
      <c r="CJ404" t="str">
        <f>""</f>
        <v/>
      </c>
      <c r="CK404" t="str">
        <f>""</f>
        <v/>
      </c>
      <c r="CL404" t="str">
        <f>""</f>
        <v/>
      </c>
      <c r="CM404" t="str">
        <f>""</f>
        <v/>
      </c>
      <c r="CN404" t="str">
        <f>""</f>
        <v/>
      </c>
      <c r="CO404" t="str">
        <f>""</f>
        <v/>
      </c>
      <c r="CP404" t="str">
        <f>""</f>
        <v/>
      </c>
      <c r="CQ404" t="str">
        <f>""</f>
        <v/>
      </c>
      <c r="CR404" t="str">
        <f>""</f>
        <v/>
      </c>
      <c r="CS404" t="str">
        <f>""</f>
        <v/>
      </c>
      <c r="CT404" t="str">
        <f>""</f>
        <v/>
      </c>
      <c r="CU404" t="str">
        <f>""</f>
        <v/>
      </c>
      <c r="CV404" t="str">
        <f>""</f>
        <v/>
      </c>
      <c r="CW404" t="str">
        <f>""</f>
        <v/>
      </c>
      <c r="CX404" t="str">
        <f>""</f>
        <v/>
      </c>
      <c r="CY404" t="str">
        <f>""</f>
        <v/>
      </c>
      <c r="CZ404" t="str">
        <f>""</f>
        <v/>
      </c>
      <c r="DA404" t="str">
        <f>""</f>
        <v/>
      </c>
      <c r="DB404" t="str">
        <f>""</f>
        <v/>
      </c>
      <c r="DC404" t="str">
        <f>""</f>
        <v/>
      </c>
      <c r="DD404" t="str">
        <f>""</f>
        <v/>
      </c>
      <c r="DE404" t="str">
        <f>""</f>
        <v/>
      </c>
      <c r="DF404" t="str">
        <f>""</f>
        <v/>
      </c>
      <c r="DG404" t="str">
        <f>""</f>
        <v/>
      </c>
      <c r="DH404" t="str">
        <f>""</f>
        <v/>
      </c>
      <c r="DI404" t="str">
        <f>""</f>
        <v/>
      </c>
      <c r="DJ404" t="str">
        <f>""</f>
        <v/>
      </c>
      <c r="DK404" t="str">
        <f>""</f>
        <v/>
      </c>
      <c r="DL404" t="str">
        <f>""</f>
        <v/>
      </c>
      <c r="DM404" t="str">
        <f>""</f>
        <v/>
      </c>
      <c r="DN404" t="str">
        <f>""</f>
        <v/>
      </c>
      <c r="DO404" t="str">
        <f>""</f>
        <v/>
      </c>
      <c r="DP404" t="str">
        <f>""</f>
        <v/>
      </c>
      <c r="DQ404" t="str">
        <f>""</f>
        <v/>
      </c>
      <c r="DR404" t="str">
        <f>""</f>
        <v/>
      </c>
      <c r="DS404" t="str">
        <f>""</f>
        <v/>
      </c>
      <c r="DT404" t="str">
        <f>""</f>
        <v/>
      </c>
      <c r="DU404" t="str">
        <f>""</f>
        <v/>
      </c>
    </row>
    <row r="405" spans="1:125">
      <c r="BN405" t="str">
        <f>""</f>
        <v/>
      </c>
      <c r="BO405" t="str">
        <f>""</f>
        <v/>
      </c>
      <c r="BP405" t="str">
        <f>""</f>
        <v/>
      </c>
      <c r="BQ405" t="str">
        <f>""</f>
        <v/>
      </c>
      <c r="BR405" t="str">
        <f>""</f>
        <v/>
      </c>
      <c r="BS405" t="str">
        <f>""</f>
        <v/>
      </c>
      <c r="BT405" t="str">
        <f>""</f>
        <v/>
      </c>
      <c r="BU405" t="str">
        <f>""</f>
        <v/>
      </c>
      <c r="BV405" t="str">
        <f>""</f>
        <v/>
      </c>
      <c r="BW405" t="str">
        <f>""</f>
        <v/>
      </c>
      <c r="BX405" t="str">
        <f>""</f>
        <v/>
      </c>
      <c r="BY405" t="str">
        <f>""</f>
        <v/>
      </c>
      <c r="BZ405" t="str">
        <f>""</f>
        <v/>
      </c>
      <c r="CA405" t="str">
        <f>""</f>
        <v/>
      </c>
      <c r="CB405" t="str">
        <f>""</f>
        <v/>
      </c>
      <c r="CC405" t="str">
        <f>""</f>
        <v/>
      </c>
      <c r="CD405" t="str">
        <f>""</f>
        <v/>
      </c>
      <c r="CE405" t="str">
        <f>""</f>
        <v/>
      </c>
      <c r="CF405" t="str">
        <f>""</f>
        <v/>
      </c>
      <c r="CG405" t="str">
        <f>""</f>
        <v/>
      </c>
      <c r="CH405" t="str">
        <f>""</f>
        <v/>
      </c>
      <c r="CI405" t="str">
        <f>""</f>
        <v/>
      </c>
      <c r="CJ405" t="str">
        <f>""</f>
        <v/>
      </c>
      <c r="CK405" t="str">
        <f>""</f>
        <v/>
      </c>
      <c r="CL405" t="str">
        <f>""</f>
        <v/>
      </c>
      <c r="CM405" t="str">
        <f>""</f>
        <v/>
      </c>
      <c r="CN405" t="str">
        <f>""</f>
        <v/>
      </c>
      <c r="CO405" t="str">
        <f>""</f>
        <v/>
      </c>
      <c r="CP405" t="str">
        <f>""</f>
        <v/>
      </c>
      <c r="CQ405" t="str">
        <f>""</f>
        <v/>
      </c>
      <c r="CR405" t="str">
        <f>""</f>
        <v/>
      </c>
      <c r="CS405" t="str">
        <f>""</f>
        <v/>
      </c>
      <c r="CT405" t="str">
        <f>""</f>
        <v/>
      </c>
      <c r="CU405" t="str">
        <f>""</f>
        <v/>
      </c>
      <c r="CV405" t="str">
        <f>""</f>
        <v/>
      </c>
      <c r="CW405" t="str">
        <f>""</f>
        <v/>
      </c>
      <c r="CX405" t="str">
        <f>""</f>
        <v/>
      </c>
      <c r="CY405" t="str">
        <f>""</f>
        <v/>
      </c>
      <c r="CZ405" t="str">
        <f>""</f>
        <v/>
      </c>
      <c r="DA405" t="str">
        <f>""</f>
        <v/>
      </c>
      <c r="DB405" t="str">
        <f>""</f>
        <v/>
      </c>
      <c r="DC405" t="str">
        <f>""</f>
        <v/>
      </c>
      <c r="DD405" t="str">
        <f>""</f>
        <v/>
      </c>
      <c r="DE405" t="str">
        <f>""</f>
        <v/>
      </c>
      <c r="DF405" t="str">
        <f>""</f>
        <v/>
      </c>
      <c r="DG405" t="str">
        <f>""</f>
        <v/>
      </c>
      <c r="DH405" t="str">
        <f>""</f>
        <v/>
      </c>
      <c r="DI405" t="str">
        <f>""</f>
        <v/>
      </c>
      <c r="DJ405" t="str">
        <f>""</f>
        <v/>
      </c>
      <c r="DK405" t="str">
        <f>""</f>
        <v/>
      </c>
      <c r="DL405" t="str">
        <f>""</f>
        <v/>
      </c>
      <c r="DM405" t="str">
        <f>""</f>
        <v/>
      </c>
      <c r="DN405" t="str">
        <f>""</f>
        <v/>
      </c>
      <c r="DO405" t="str">
        <f>""</f>
        <v/>
      </c>
      <c r="DP405" t="str">
        <f>""</f>
        <v/>
      </c>
      <c r="DQ405" t="str">
        <f>""</f>
        <v/>
      </c>
      <c r="DR405" t="str">
        <f>""</f>
        <v/>
      </c>
      <c r="DS405" t="str">
        <f>""</f>
        <v/>
      </c>
      <c r="DT405" t="str">
        <f>""</f>
        <v/>
      </c>
      <c r="DU405" t="str">
        <f>""</f>
        <v/>
      </c>
    </row>
    <row r="406" spans="1:125">
      <c r="BN406" t="str">
        <f>""</f>
        <v/>
      </c>
      <c r="BO406" t="str">
        <f>""</f>
        <v/>
      </c>
      <c r="BP406" t="str">
        <f>""</f>
        <v/>
      </c>
      <c r="BQ406" t="str">
        <f>""</f>
        <v/>
      </c>
      <c r="BR406" t="str">
        <f>""</f>
        <v/>
      </c>
      <c r="BS406" t="str">
        <f>""</f>
        <v/>
      </c>
      <c r="BT406" t="str">
        <f>""</f>
        <v/>
      </c>
      <c r="BU406" t="str">
        <f>""</f>
        <v/>
      </c>
      <c r="BV406" t="str">
        <f>""</f>
        <v/>
      </c>
      <c r="BW406" t="str">
        <f>""</f>
        <v/>
      </c>
      <c r="BX406" t="str">
        <f>""</f>
        <v/>
      </c>
      <c r="BY406" t="str">
        <f>""</f>
        <v/>
      </c>
      <c r="BZ406" t="str">
        <f>""</f>
        <v/>
      </c>
      <c r="CA406" t="str">
        <f>""</f>
        <v/>
      </c>
      <c r="CB406" t="str">
        <f>""</f>
        <v/>
      </c>
      <c r="CC406" t="str">
        <f>""</f>
        <v/>
      </c>
      <c r="CD406" t="str">
        <f>""</f>
        <v/>
      </c>
      <c r="CE406" t="str">
        <f>""</f>
        <v/>
      </c>
      <c r="CF406" t="str">
        <f>""</f>
        <v/>
      </c>
      <c r="CG406" t="str">
        <f>""</f>
        <v/>
      </c>
      <c r="CH406" t="str">
        <f>""</f>
        <v/>
      </c>
      <c r="CI406" t="str">
        <f>""</f>
        <v/>
      </c>
      <c r="CJ406" t="str">
        <f>""</f>
        <v/>
      </c>
      <c r="CK406" t="str">
        <f>""</f>
        <v/>
      </c>
      <c r="CL406" t="str">
        <f>""</f>
        <v/>
      </c>
      <c r="CM406" t="str">
        <f>""</f>
        <v/>
      </c>
      <c r="CN406" t="str">
        <f>""</f>
        <v/>
      </c>
      <c r="CO406" t="str">
        <f>""</f>
        <v/>
      </c>
      <c r="CP406" t="str">
        <f>""</f>
        <v/>
      </c>
      <c r="CQ406" t="str">
        <f>""</f>
        <v/>
      </c>
      <c r="CR406" t="str">
        <f>""</f>
        <v/>
      </c>
      <c r="CS406" t="str">
        <f>""</f>
        <v/>
      </c>
      <c r="CT406" t="str">
        <f>""</f>
        <v/>
      </c>
      <c r="CU406" t="str">
        <f>""</f>
        <v/>
      </c>
      <c r="CV406" t="str">
        <f>""</f>
        <v/>
      </c>
      <c r="CW406" t="str">
        <f>""</f>
        <v/>
      </c>
      <c r="CX406" t="str">
        <f>""</f>
        <v/>
      </c>
      <c r="CY406" t="str">
        <f>""</f>
        <v/>
      </c>
      <c r="CZ406" t="str">
        <f>""</f>
        <v/>
      </c>
      <c r="DA406" t="str">
        <f>""</f>
        <v/>
      </c>
      <c r="DB406" t="str">
        <f>""</f>
        <v/>
      </c>
      <c r="DC406" t="str">
        <f>""</f>
        <v/>
      </c>
      <c r="DD406" t="str">
        <f>""</f>
        <v/>
      </c>
      <c r="DE406" t="str">
        <f>""</f>
        <v/>
      </c>
      <c r="DF406" t="str">
        <f>""</f>
        <v/>
      </c>
      <c r="DG406" t="str">
        <f>""</f>
        <v/>
      </c>
      <c r="DH406" t="str">
        <f>""</f>
        <v/>
      </c>
      <c r="DI406" t="str">
        <f>""</f>
        <v/>
      </c>
      <c r="DJ406" t="str">
        <f>""</f>
        <v/>
      </c>
      <c r="DK406" t="str">
        <f>""</f>
        <v/>
      </c>
      <c r="DL406" t="str">
        <f>""</f>
        <v/>
      </c>
      <c r="DM406" t="str">
        <f>""</f>
        <v/>
      </c>
      <c r="DN406" t="str">
        <f>""</f>
        <v/>
      </c>
      <c r="DO406" t="str">
        <f>""</f>
        <v/>
      </c>
      <c r="DP406" t="str">
        <f>""</f>
        <v/>
      </c>
      <c r="DQ406" t="str">
        <f>""</f>
        <v/>
      </c>
      <c r="DR406" t="str">
        <f>""</f>
        <v/>
      </c>
      <c r="DS406" t="str">
        <f>""</f>
        <v/>
      </c>
      <c r="DT406" t="str">
        <f>""</f>
        <v/>
      </c>
      <c r="DU406" t="str">
        <f>""</f>
        <v/>
      </c>
    </row>
    <row r="407" spans="1:125">
      <c r="BN407" t="str">
        <f>""</f>
        <v/>
      </c>
      <c r="BO407" t="str">
        <f>""</f>
        <v/>
      </c>
      <c r="BP407" t="str">
        <f>""</f>
        <v/>
      </c>
      <c r="BQ407" t="str">
        <f>""</f>
        <v/>
      </c>
      <c r="BR407" t="str">
        <f>""</f>
        <v/>
      </c>
      <c r="BS407" t="str">
        <f>""</f>
        <v/>
      </c>
      <c r="BT407" t="str">
        <f>""</f>
        <v/>
      </c>
      <c r="BU407" t="str">
        <f>""</f>
        <v/>
      </c>
      <c r="BV407" t="str">
        <f>""</f>
        <v/>
      </c>
      <c r="BW407" t="str">
        <f>""</f>
        <v/>
      </c>
      <c r="BX407" t="str">
        <f>""</f>
        <v/>
      </c>
      <c r="BY407" t="str">
        <f>""</f>
        <v/>
      </c>
      <c r="BZ407" t="str">
        <f>""</f>
        <v/>
      </c>
      <c r="CA407" t="str">
        <f>""</f>
        <v/>
      </c>
      <c r="CB407" t="str">
        <f>""</f>
        <v/>
      </c>
      <c r="CC407" t="str">
        <f>""</f>
        <v/>
      </c>
      <c r="CD407" t="str">
        <f>""</f>
        <v/>
      </c>
      <c r="CE407" t="str">
        <f>""</f>
        <v/>
      </c>
      <c r="CF407" t="str">
        <f>""</f>
        <v/>
      </c>
      <c r="CG407" t="str">
        <f>""</f>
        <v/>
      </c>
      <c r="CH407" t="str">
        <f>""</f>
        <v/>
      </c>
      <c r="CI407" t="str">
        <f>""</f>
        <v/>
      </c>
      <c r="CJ407" t="str">
        <f>""</f>
        <v/>
      </c>
      <c r="CK407" t="str">
        <f>""</f>
        <v/>
      </c>
      <c r="CL407" t="str">
        <f>""</f>
        <v/>
      </c>
      <c r="CM407" t="str">
        <f>""</f>
        <v/>
      </c>
      <c r="CN407" t="str">
        <f>""</f>
        <v/>
      </c>
      <c r="CO407" t="str">
        <f>""</f>
        <v/>
      </c>
      <c r="CP407" t="str">
        <f>""</f>
        <v/>
      </c>
      <c r="CQ407" t="str">
        <f>""</f>
        <v/>
      </c>
      <c r="CR407" t="str">
        <f>""</f>
        <v/>
      </c>
      <c r="CS407" t="str">
        <f>""</f>
        <v/>
      </c>
      <c r="CT407" t="str">
        <f>""</f>
        <v/>
      </c>
      <c r="CU407" t="str">
        <f>""</f>
        <v/>
      </c>
      <c r="CV407" t="str">
        <f>""</f>
        <v/>
      </c>
      <c r="CW407" t="str">
        <f>""</f>
        <v/>
      </c>
      <c r="CX407" t="str">
        <f>""</f>
        <v/>
      </c>
      <c r="CY407" t="str">
        <f>""</f>
        <v/>
      </c>
      <c r="CZ407" t="str">
        <f>""</f>
        <v/>
      </c>
      <c r="DA407" t="str">
        <f>""</f>
        <v/>
      </c>
      <c r="DB407" t="str">
        <f>""</f>
        <v/>
      </c>
      <c r="DC407" t="str">
        <f>""</f>
        <v/>
      </c>
      <c r="DD407" t="str">
        <f>""</f>
        <v/>
      </c>
      <c r="DE407" t="str">
        <f>""</f>
        <v/>
      </c>
      <c r="DF407" t="str">
        <f>""</f>
        <v/>
      </c>
      <c r="DG407" t="str">
        <f>""</f>
        <v/>
      </c>
      <c r="DH407" t="str">
        <f>""</f>
        <v/>
      </c>
      <c r="DI407" t="str">
        <f>""</f>
        <v/>
      </c>
      <c r="DJ407" t="str">
        <f>""</f>
        <v/>
      </c>
      <c r="DK407" t="str">
        <f>""</f>
        <v/>
      </c>
      <c r="DL407" t="str">
        <f>""</f>
        <v/>
      </c>
      <c r="DM407" t="str">
        <f>""</f>
        <v/>
      </c>
      <c r="DN407" t="str">
        <f>""</f>
        <v/>
      </c>
      <c r="DO407" t="str">
        <f>""</f>
        <v/>
      </c>
      <c r="DP407" t="str">
        <f>""</f>
        <v/>
      </c>
      <c r="DQ407" t="str">
        <f>""</f>
        <v/>
      </c>
      <c r="DR407" t="str">
        <f>""</f>
        <v/>
      </c>
      <c r="DS407" t="str">
        <f>""</f>
        <v/>
      </c>
      <c r="DT407" t="str">
        <f>""</f>
        <v/>
      </c>
      <c r="DU407" t="str">
        <f>""</f>
        <v/>
      </c>
    </row>
    <row r="408" spans="1:125">
      <c r="BN408" t="str">
        <f>""</f>
        <v/>
      </c>
      <c r="BO408" t="str">
        <f>""</f>
        <v/>
      </c>
      <c r="BP408" t="str">
        <f>""</f>
        <v/>
      </c>
      <c r="BQ408" t="str">
        <f>""</f>
        <v/>
      </c>
      <c r="BR408" t="str">
        <f>""</f>
        <v/>
      </c>
      <c r="BS408" t="str">
        <f>""</f>
        <v/>
      </c>
      <c r="BT408" t="str">
        <f>""</f>
        <v/>
      </c>
      <c r="BU408" t="str">
        <f>""</f>
        <v/>
      </c>
      <c r="BV408" t="str">
        <f>""</f>
        <v/>
      </c>
      <c r="BW408" t="str">
        <f>""</f>
        <v/>
      </c>
      <c r="BX408" t="str">
        <f>""</f>
        <v/>
      </c>
      <c r="BY408" t="str">
        <f>""</f>
        <v/>
      </c>
      <c r="BZ408" t="str">
        <f>""</f>
        <v/>
      </c>
      <c r="CA408" t="str">
        <f>""</f>
        <v/>
      </c>
      <c r="CB408" t="str">
        <f>""</f>
        <v/>
      </c>
      <c r="CC408" t="str">
        <f>""</f>
        <v/>
      </c>
      <c r="CD408" t="str">
        <f>""</f>
        <v/>
      </c>
      <c r="CE408" t="str">
        <f>""</f>
        <v/>
      </c>
      <c r="CF408" t="str">
        <f>""</f>
        <v/>
      </c>
      <c r="CG408" t="str">
        <f>""</f>
        <v/>
      </c>
      <c r="CH408" t="str">
        <f>""</f>
        <v/>
      </c>
      <c r="CI408" t="str">
        <f>""</f>
        <v/>
      </c>
      <c r="CJ408" t="str">
        <f>""</f>
        <v/>
      </c>
      <c r="CK408" t="str">
        <f>""</f>
        <v/>
      </c>
      <c r="CL408" t="str">
        <f>""</f>
        <v/>
      </c>
      <c r="CM408" t="str">
        <f>""</f>
        <v/>
      </c>
      <c r="CN408" t="str">
        <f>""</f>
        <v/>
      </c>
      <c r="CO408" t="str">
        <f>""</f>
        <v/>
      </c>
      <c r="CP408" t="str">
        <f>""</f>
        <v/>
      </c>
      <c r="CQ408" t="str">
        <f>""</f>
        <v/>
      </c>
      <c r="CR408" t="str">
        <f>""</f>
        <v/>
      </c>
      <c r="CS408" t="str">
        <f>""</f>
        <v/>
      </c>
      <c r="CT408" t="str">
        <f>""</f>
        <v/>
      </c>
      <c r="CU408" t="str">
        <f>""</f>
        <v/>
      </c>
      <c r="CV408" t="str">
        <f>""</f>
        <v/>
      </c>
      <c r="CW408" t="str">
        <f>""</f>
        <v/>
      </c>
      <c r="CX408" t="str">
        <f>""</f>
        <v/>
      </c>
      <c r="CY408" t="str">
        <f>""</f>
        <v/>
      </c>
      <c r="CZ408" t="str">
        <f>""</f>
        <v/>
      </c>
      <c r="DA408" t="str">
        <f>""</f>
        <v/>
      </c>
      <c r="DB408" t="str">
        <f>""</f>
        <v/>
      </c>
      <c r="DC408" t="str">
        <f>""</f>
        <v/>
      </c>
      <c r="DD408" t="str">
        <f>""</f>
        <v/>
      </c>
      <c r="DE408" t="str">
        <f>""</f>
        <v/>
      </c>
      <c r="DF408" t="str">
        <f>""</f>
        <v/>
      </c>
      <c r="DG408" t="str">
        <f>""</f>
        <v/>
      </c>
      <c r="DH408" t="str">
        <f>""</f>
        <v/>
      </c>
      <c r="DI408" t="str">
        <f>""</f>
        <v/>
      </c>
      <c r="DJ408" t="str">
        <f>""</f>
        <v/>
      </c>
      <c r="DK408" t="str">
        <f>""</f>
        <v/>
      </c>
      <c r="DL408" t="str">
        <f>""</f>
        <v/>
      </c>
      <c r="DM408" t="str">
        <f>""</f>
        <v/>
      </c>
      <c r="DN408" t="str">
        <f>""</f>
        <v/>
      </c>
      <c r="DO408" t="str">
        <f>""</f>
        <v/>
      </c>
      <c r="DP408" t="str">
        <f>""</f>
        <v/>
      </c>
      <c r="DQ408" t="str">
        <f>""</f>
        <v/>
      </c>
      <c r="DR408" t="str">
        <f>""</f>
        <v/>
      </c>
      <c r="DS408" t="str">
        <f>""</f>
        <v/>
      </c>
      <c r="DT408" t="str">
        <f>""</f>
        <v/>
      </c>
      <c r="DU408" t="str">
        <f>""</f>
        <v/>
      </c>
    </row>
    <row r="409" spans="1:125">
      <c r="BN409" t="str">
        <f>""</f>
        <v/>
      </c>
      <c r="BO409" t="str">
        <f>""</f>
        <v/>
      </c>
      <c r="BP409" t="str">
        <f>""</f>
        <v/>
      </c>
      <c r="BQ409" t="str">
        <f>""</f>
        <v/>
      </c>
      <c r="BR409" t="str">
        <f>""</f>
        <v/>
      </c>
      <c r="BS409" t="str">
        <f>""</f>
        <v/>
      </c>
      <c r="BT409" t="str">
        <f>""</f>
        <v/>
      </c>
      <c r="BU409" t="str">
        <f>""</f>
        <v/>
      </c>
      <c r="BV409" t="str">
        <f>""</f>
        <v/>
      </c>
      <c r="BW409" t="str">
        <f>""</f>
        <v/>
      </c>
      <c r="BX409" t="str">
        <f>""</f>
        <v/>
      </c>
      <c r="BY409" t="str">
        <f>""</f>
        <v/>
      </c>
      <c r="BZ409" t="str">
        <f>""</f>
        <v/>
      </c>
      <c r="CA409" t="str">
        <f>""</f>
        <v/>
      </c>
      <c r="CB409" t="str">
        <f>""</f>
        <v/>
      </c>
      <c r="CC409" t="str">
        <f>""</f>
        <v/>
      </c>
      <c r="CD409" t="str">
        <f>""</f>
        <v/>
      </c>
      <c r="CE409" t="str">
        <f>""</f>
        <v/>
      </c>
      <c r="CF409" t="str">
        <f>""</f>
        <v/>
      </c>
      <c r="CG409" t="str">
        <f>""</f>
        <v/>
      </c>
      <c r="CH409" t="str">
        <f>""</f>
        <v/>
      </c>
      <c r="CI409" t="str">
        <f>""</f>
        <v/>
      </c>
      <c r="CJ409" t="str">
        <f>""</f>
        <v/>
      </c>
      <c r="CK409" t="str">
        <f>""</f>
        <v/>
      </c>
      <c r="CL409" t="str">
        <f>""</f>
        <v/>
      </c>
      <c r="CM409" t="str">
        <f>""</f>
        <v/>
      </c>
      <c r="CN409" t="str">
        <f>""</f>
        <v/>
      </c>
      <c r="CO409" t="str">
        <f>""</f>
        <v/>
      </c>
      <c r="CP409" t="str">
        <f>""</f>
        <v/>
      </c>
      <c r="CQ409" t="str">
        <f>""</f>
        <v/>
      </c>
      <c r="CR409" t="str">
        <f>""</f>
        <v/>
      </c>
      <c r="CS409" t="str">
        <f>""</f>
        <v/>
      </c>
      <c r="CT409" t="str">
        <f>""</f>
        <v/>
      </c>
      <c r="CU409" t="str">
        <f>""</f>
        <v/>
      </c>
      <c r="CV409" t="str">
        <f>""</f>
        <v/>
      </c>
      <c r="CW409" t="str">
        <f>""</f>
        <v/>
      </c>
      <c r="CX409" t="str">
        <f>""</f>
        <v/>
      </c>
      <c r="CY409" t="str">
        <f>""</f>
        <v/>
      </c>
      <c r="CZ409" t="str">
        <f>""</f>
        <v/>
      </c>
      <c r="DA409" t="str">
        <f>""</f>
        <v/>
      </c>
      <c r="DB409" t="str">
        <f>""</f>
        <v/>
      </c>
      <c r="DC409" t="str">
        <f>""</f>
        <v/>
      </c>
      <c r="DD409" t="str">
        <f>""</f>
        <v/>
      </c>
      <c r="DE409" t="str">
        <f>""</f>
        <v/>
      </c>
      <c r="DF409" t="str">
        <f>""</f>
        <v/>
      </c>
      <c r="DG409" t="str">
        <f>""</f>
        <v/>
      </c>
      <c r="DH409" t="str">
        <f>""</f>
        <v/>
      </c>
      <c r="DI409" t="str">
        <f>""</f>
        <v/>
      </c>
      <c r="DJ409" t="str">
        <f>""</f>
        <v/>
      </c>
      <c r="DK409" t="str">
        <f>""</f>
        <v/>
      </c>
      <c r="DL409" t="str">
        <f>""</f>
        <v/>
      </c>
      <c r="DM409" t="str">
        <f>""</f>
        <v/>
      </c>
      <c r="DN409" t="str">
        <f>""</f>
        <v/>
      </c>
      <c r="DO409" t="str">
        <f>""</f>
        <v/>
      </c>
      <c r="DP409" t="str">
        <f>""</f>
        <v/>
      </c>
      <c r="DQ409" t="str">
        <f>""</f>
        <v/>
      </c>
      <c r="DR409" t="str">
        <f>""</f>
        <v/>
      </c>
      <c r="DS409" t="str">
        <f>""</f>
        <v/>
      </c>
      <c r="DT409" t="str">
        <f>""</f>
        <v/>
      </c>
      <c r="DU409" t="str">
        <f>""</f>
        <v/>
      </c>
    </row>
    <row r="410" spans="1:125">
      <c r="BN410" t="str">
        <f>""</f>
        <v/>
      </c>
      <c r="BO410" t="str">
        <f>""</f>
        <v/>
      </c>
      <c r="BP410" t="str">
        <f>""</f>
        <v/>
      </c>
      <c r="BQ410" t="str">
        <f>""</f>
        <v/>
      </c>
      <c r="BR410" t="str">
        <f>""</f>
        <v/>
      </c>
      <c r="BS410" t="str">
        <f>""</f>
        <v/>
      </c>
      <c r="BT410" t="str">
        <f>""</f>
        <v/>
      </c>
      <c r="BU410" t="str">
        <f>""</f>
        <v/>
      </c>
      <c r="BV410" t="str">
        <f>""</f>
        <v/>
      </c>
      <c r="BW410" t="str">
        <f>""</f>
        <v/>
      </c>
      <c r="BX410" t="str">
        <f>""</f>
        <v/>
      </c>
      <c r="BY410" t="str">
        <f>""</f>
        <v/>
      </c>
      <c r="BZ410" t="str">
        <f>""</f>
        <v/>
      </c>
      <c r="CA410" t="str">
        <f>""</f>
        <v/>
      </c>
      <c r="CB410" t="str">
        <f>""</f>
        <v/>
      </c>
      <c r="CC410" t="str">
        <f>""</f>
        <v/>
      </c>
      <c r="CD410" t="str">
        <f>""</f>
        <v/>
      </c>
      <c r="CE410" t="str">
        <f>""</f>
        <v/>
      </c>
      <c r="CF410" t="str">
        <f>""</f>
        <v/>
      </c>
      <c r="CG410" t="str">
        <f>""</f>
        <v/>
      </c>
      <c r="CH410" t="str">
        <f>""</f>
        <v/>
      </c>
      <c r="CI410" t="str">
        <f>""</f>
        <v/>
      </c>
      <c r="CJ410" t="str">
        <f>""</f>
        <v/>
      </c>
      <c r="CK410" t="str">
        <f>""</f>
        <v/>
      </c>
      <c r="CL410" t="str">
        <f>""</f>
        <v/>
      </c>
      <c r="CM410" t="str">
        <f>""</f>
        <v/>
      </c>
      <c r="CN410" t="str">
        <f>""</f>
        <v/>
      </c>
      <c r="CO410" t="str">
        <f>""</f>
        <v/>
      </c>
      <c r="CP410" t="str">
        <f>""</f>
        <v/>
      </c>
      <c r="CQ410" t="str">
        <f>""</f>
        <v/>
      </c>
      <c r="CR410" t="str">
        <f>""</f>
        <v/>
      </c>
      <c r="CS410" t="str">
        <f>""</f>
        <v/>
      </c>
      <c r="CT410" t="str">
        <f>""</f>
        <v/>
      </c>
      <c r="CU410" t="str">
        <f>""</f>
        <v/>
      </c>
      <c r="CV410" t="str">
        <f>""</f>
        <v/>
      </c>
      <c r="CW410" t="str">
        <f>""</f>
        <v/>
      </c>
      <c r="CX410" t="str">
        <f>""</f>
        <v/>
      </c>
      <c r="CY410" t="str">
        <f>""</f>
        <v/>
      </c>
      <c r="CZ410" t="str">
        <f>""</f>
        <v/>
      </c>
      <c r="DA410" t="str">
        <f>""</f>
        <v/>
      </c>
      <c r="DB410" t="str">
        <f>""</f>
        <v/>
      </c>
      <c r="DC410" t="str">
        <f>""</f>
        <v/>
      </c>
      <c r="DD410" t="str">
        <f>""</f>
        <v/>
      </c>
      <c r="DE410" t="str">
        <f>""</f>
        <v/>
      </c>
      <c r="DF410" t="str">
        <f>""</f>
        <v/>
      </c>
      <c r="DG410" t="str">
        <f>""</f>
        <v/>
      </c>
      <c r="DH410" t="str">
        <f>""</f>
        <v/>
      </c>
      <c r="DI410" t="str">
        <f>""</f>
        <v/>
      </c>
      <c r="DJ410" t="str">
        <f>""</f>
        <v/>
      </c>
      <c r="DK410" t="str">
        <f>""</f>
        <v/>
      </c>
      <c r="DL410" t="str">
        <f>""</f>
        <v/>
      </c>
      <c r="DM410" t="str">
        <f>""</f>
        <v/>
      </c>
      <c r="DN410" t="str">
        <f>""</f>
        <v/>
      </c>
      <c r="DO410" t="str">
        <f>""</f>
        <v/>
      </c>
      <c r="DP410" t="str">
        <f>""</f>
        <v/>
      </c>
      <c r="DQ410" t="str">
        <f>""</f>
        <v/>
      </c>
      <c r="DR410" t="str">
        <f>""</f>
        <v/>
      </c>
      <c r="DS410" t="str">
        <f>""</f>
        <v/>
      </c>
      <c r="DT410" t="str">
        <f>""</f>
        <v/>
      </c>
      <c r="DU410" t="str">
        <f>""</f>
        <v/>
      </c>
    </row>
    <row r="411" spans="1:125">
      <c r="A411" t="str">
        <f t="shared" ref="A411:AF411" si="73">"~~~~~~~~~~"</f>
        <v>~~~~~~~~~~</v>
      </c>
      <c r="B411" t="str">
        <f t="shared" si="73"/>
        <v>~~~~~~~~~~</v>
      </c>
      <c r="C411" t="str">
        <f t="shared" si="73"/>
        <v>~~~~~~~~~~</v>
      </c>
      <c r="D411" t="str">
        <f t="shared" si="73"/>
        <v>~~~~~~~~~~</v>
      </c>
      <c r="E411" t="str">
        <f t="shared" si="73"/>
        <v>~~~~~~~~~~</v>
      </c>
      <c r="F411" t="str">
        <f t="shared" si="73"/>
        <v>~~~~~~~~~~</v>
      </c>
      <c r="G411" t="str">
        <f t="shared" si="73"/>
        <v>~~~~~~~~~~</v>
      </c>
      <c r="H411" t="str">
        <f t="shared" si="73"/>
        <v>~~~~~~~~~~</v>
      </c>
      <c r="I411" t="str">
        <f t="shared" si="73"/>
        <v>~~~~~~~~~~</v>
      </c>
      <c r="J411" t="str">
        <f t="shared" si="73"/>
        <v>~~~~~~~~~~</v>
      </c>
      <c r="K411" t="str">
        <f t="shared" si="73"/>
        <v>~~~~~~~~~~</v>
      </c>
      <c r="L411" t="str">
        <f t="shared" si="73"/>
        <v>~~~~~~~~~~</v>
      </c>
      <c r="M411" t="str">
        <f t="shared" si="73"/>
        <v>~~~~~~~~~~</v>
      </c>
      <c r="N411" t="str">
        <f t="shared" si="73"/>
        <v>~~~~~~~~~~</v>
      </c>
      <c r="O411" t="str">
        <f t="shared" si="73"/>
        <v>~~~~~~~~~~</v>
      </c>
      <c r="P411" t="str">
        <f t="shared" si="73"/>
        <v>~~~~~~~~~~</v>
      </c>
      <c r="Q411" t="str">
        <f t="shared" si="73"/>
        <v>~~~~~~~~~~</v>
      </c>
      <c r="R411" t="str">
        <f t="shared" si="73"/>
        <v>~~~~~~~~~~</v>
      </c>
      <c r="S411" t="str">
        <f t="shared" si="73"/>
        <v>~~~~~~~~~~</v>
      </c>
      <c r="T411" t="str">
        <f t="shared" si="73"/>
        <v>~~~~~~~~~~</v>
      </c>
      <c r="U411" t="str">
        <f t="shared" si="73"/>
        <v>~~~~~~~~~~</v>
      </c>
      <c r="V411" t="str">
        <f t="shared" si="73"/>
        <v>~~~~~~~~~~</v>
      </c>
      <c r="W411" t="str">
        <f t="shared" si="73"/>
        <v>~~~~~~~~~~</v>
      </c>
      <c r="X411" t="str">
        <f t="shared" si="73"/>
        <v>~~~~~~~~~~</v>
      </c>
      <c r="Y411" t="str">
        <f t="shared" si="73"/>
        <v>~~~~~~~~~~</v>
      </c>
      <c r="Z411" t="str">
        <f t="shared" si="73"/>
        <v>~~~~~~~~~~</v>
      </c>
      <c r="AA411" t="str">
        <f t="shared" si="73"/>
        <v>~~~~~~~~~~</v>
      </c>
      <c r="AB411" t="str">
        <f t="shared" si="73"/>
        <v>~~~~~~~~~~</v>
      </c>
      <c r="AC411" t="str">
        <f t="shared" si="73"/>
        <v>~~~~~~~~~~</v>
      </c>
      <c r="AD411" t="str">
        <f t="shared" si="73"/>
        <v>~~~~~~~~~~</v>
      </c>
      <c r="AE411" t="str">
        <f t="shared" si="73"/>
        <v>~~~~~~~~~~</v>
      </c>
      <c r="AF411" t="str">
        <f t="shared" si="73"/>
        <v>~~~~~~~~~~</v>
      </c>
      <c r="AG411" t="str">
        <f t="shared" ref="AG411:BM411" si="74">"~~~~~~~~~~"</f>
        <v>~~~~~~~~~~</v>
      </c>
      <c r="AH411" t="str">
        <f t="shared" si="74"/>
        <v>~~~~~~~~~~</v>
      </c>
      <c r="AI411" t="str">
        <f t="shared" si="74"/>
        <v>~~~~~~~~~~</v>
      </c>
      <c r="AJ411" t="str">
        <f t="shared" si="74"/>
        <v>~~~~~~~~~~</v>
      </c>
      <c r="AK411" t="str">
        <f t="shared" si="74"/>
        <v>~~~~~~~~~~</v>
      </c>
      <c r="AL411" t="str">
        <f t="shared" si="74"/>
        <v>~~~~~~~~~~</v>
      </c>
      <c r="AM411" t="str">
        <f t="shared" si="74"/>
        <v>~~~~~~~~~~</v>
      </c>
      <c r="AN411" t="str">
        <f t="shared" si="74"/>
        <v>~~~~~~~~~~</v>
      </c>
      <c r="AO411" t="str">
        <f t="shared" si="74"/>
        <v>~~~~~~~~~~</v>
      </c>
      <c r="AP411" t="str">
        <f t="shared" si="74"/>
        <v>~~~~~~~~~~</v>
      </c>
      <c r="AQ411" t="str">
        <f t="shared" si="74"/>
        <v>~~~~~~~~~~</v>
      </c>
      <c r="AR411" t="str">
        <f t="shared" si="74"/>
        <v>~~~~~~~~~~</v>
      </c>
      <c r="AS411" t="str">
        <f t="shared" si="74"/>
        <v>~~~~~~~~~~</v>
      </c>
      <c r="AT411" t="str">
        <f t="shared" si="74"/>
        <v>~~~~~~~~~~</v>
      </c>
      <c r="AU411" t="str">
        <f t="shared" si="74"/>
        <v>~~~~~~~~~~</v>
      </c>
      <c r="AV411" t="str">
        <f t="shared" si="74"/>
        <v>~~~~~~~~~~</v>
      </c>
      <c r="AW411" t="str">
        <f t="shared" si="74"/>
        <v>~~~~~~~~~~</v>
      </c>
      <c r="AX411" t="str">
        <f t="shared" si="74"/>
        <v>~~~~~~~~~~</v>
      </c>
      <c r="AY411" t="str">
        <f t="shared" si="74"/>
        <v>~~~~~~~~~~</v>
      </c>
      <c r="AZ411" t="str">
        <f t="shared" si="74"/>
        <v>~~~~~~~~~~</v>
      </c>
      <c r="BA411" t="str">
        <f t="shared" si="74"/>
        <v>~~~~~~~~~~</v>
      </c>
      <c r="BB411" t="str">
        <f t="shared" si="74"/>
        <v>~~~~~~~~~~</v>
      </c>
      <c r="BC411" t="str">
        <f t="shared" si="74"/>
        <v>~~~~~~~~~~</v>
      </c>
      <c r="BD411" t="str">
        <f t="shared" si="74"/>
        <v>~~~~~~~~~~</v>
      </c>
      <c r="BE411" t="str">
        <f t="shared" si="74"/>
        <v>~~~~~~~~~~</v>
      </c>
      <c r="BF411" t="str">
        <f t="shared" si="74"/>
        <v>~~~~~~~~~~</v>
      </c>
      <c r="BG411" t="str">
        <f t="shared" si="74"/>
        <v>~~~~~~~~~~</v>
      </c>
      <c r="BH411" t="str">
        <f t="shared" si="74"/>
        <v>~~~~~~~~~~</v>
      </c>
      <c r="BI411" t="str">
        <f t="shared" si="74"/>
        <v>~~~~~~~~~~</v>
      </c>
      <c r="BJ411" t="str">
        <f t="shared" si="74"/>
        <v>~~~~~~~~~~</v>
      </c>
      <c r="BK411" t="str">
        <f t="shared" si="74"/>
        <v>~~~~~~~~~~</v>
      </c>
      <c r="BL411" t="str">
        <f t="shared" si="74"/>
        <v>~~~~~~~~~~</v>
      </c>
      <c r="BM411" t="str">
        <f t="shared" si="74"/>
        <v>~~~~~~~~~~</v>
      </c>
      <c r="BN411" t="str">
        <f>""</f>
        <v/>
      </c>
      <c r="BO411" t="str">
        <f>""</f>
        <v/>
      </c>
      <c r="BP411" t="str">
        <f>""</f>
        <v/>
      </c>
      <c r="BQ411" t="str">
        <f>""</f>
        <v/>
      </c>
      <c r="BR411" t="str">
        <f>""</f>
        <v/>
      </c>
      <c r="BS411" t="str">
        <f>""</f>
        <v/>
      </c>
      <c r="BT411" t="str">
        <f>""</f>
        <v/>
      </c>
      <c r="BU411" t="str">
        <f>""</f>
        <v/>
      </c>
      <c r="BV411" t="str">
        <f>""</f>
        <v/>
      </c>
      <c r="BW411" t="str">
        <f>""</f>
        <v/>
      </c>
      <c r="BX411" t="str">
        <f>""</f>
        <v/>
      </c>
      <c r="BY411" t="str">
        <f>""</f>
        <v/>
      </c>
      <c r="BZ411" t="str">
        <f>""</f>
        <v/>
      </c>
      <c r="CA411" t="str">
        <f>""</f>
        <v/>
      </c>
      <c r="CB411" t="str">
        <f>""</f>
        <v/>
      </c>
      <c r="CC411" t="str">
        <f>""</f>
        <v/>
      </c>
      <c r="CD411" t="str">
        <f>""</f>
        <v/>
      </c>
      <c r="CE411" t="str">
        <f>""</f>
        <v/>
      </c>
      <c r="CF411" t="str">
        <f>""</f>
        <v/>
      </c>
      <c r="CG411" t="str">
        <f>""</f>
        <v/>
      </c>
      <c r="CH411" t="str">
        <f>""</f>
        <v/>
      </c>
      <c r="CI411" t="str">
        <f>""</f>
        <v/>
      </c>
      <c r="CJ411" t="str">
        <f>""</f>
        <v/>
      </c>
      <c r="CK411" t="str">
        <f>""</f>
        <v/>
      </c>
      <c r="CL411" t="str">
        <f>""</f>
        <v/>
      </c>
      <c r="CM411" t="str">
        <f>""</f>
        <v/>
      </c>
      <c r="CN411" t="str">
        <f>""</f>
        <v/>
      </c>
      <c r="CO411" t="str">
        <f>""</f>
        <v/>
      </c>
      <c r="CP411" t="str">
        <f>""</f>
        <v/>
      </c>
      <c r="CQ411" t="str">
        <f>""</f>
        <v/>
      </c>
      <c r="CR411" t="str">
        <f>""</f>
        <v/>
      </c>
      <c r="CS411" t="str">
        <f>""</f>
        <v/>
      </c>
      <c r="CT411" t="str">
        <f>""</f>
        <v/>
      </c>
      <c r="CU411" t="str">
        <f>""</f>
        <v/>
      </c>
      <c r="CV411" t="str">
        <f>""</f>
        <v/>
      </c>
      <c r="CW411" t="str">
        <f>""</f>
        <v/>
      </c>
      <c r="CX411" t="str">
        <f>""</f>
        <v/>
      </c>
      <c r="CY411" t="str">
        <f>""</f>
        <v/>
      </c>
      <c r="CZ411" t="str">
        <f>""</f>
        <v/>
      </c>
      <c r="DA411" t="str">
        <f>""</f>
        <v/>
      </c>
      <c r="DB411" t="str">
        <f>""</f>
        <v/>
      </c>
      <c r="DC411" t="str">
        <f>""</f>
        <v/>
      </c>
      <c r="DD411" t="str">
        <f>""</f>
        <v/>
      </c>
      <c r="DE411" t="str">
        <f>""</f>
        <v/>
      </c>
      <c r="DF411" t="str">
        <f>""</f>
        <v/>
      </c>
      <c r="DG411" t="str">
        <f>""</f>
        <v/>
      </c>
      <c r="DH411" t="str">
        <f>""</f>
        <v/>
      </c>
      <c r="DI411" t="str">
        <f>""</f>
        <v/>
      </c>
      <c r="DJ411" t="str">
        <f>""</f>
        <v/>
      </c>
      <c r="DK411" t="str">
        <f>""</f>
        <v/>
      </c>
      <c r="DL411" t="str">
        <f>""</f>
        <v/>
      </c>
      <c r="DM411" t="str">
        <f>""</f>
        <v/>
      </c>
      <c r="DN411" t="str">
        <f>""</f>
        <v/>
      </c>
      <c r="DO411" t="str">
        <f>""</f>
        <v/>
      </c>
      <c r="DP411" t="str">
        <f>""</f>
        <v/>
      </c>
      <c r="DQ411" t="str">
        <f>""</f>
        <v/>
      </c>
      <c r="DR411" t="str">
        <f>""</f>
        <v/>
      </c>
      <c r="DS411" t="str">
        <f>""</f>
        <v/>
      </c>
      <c r="DT411" t="str">
        <f>""</f>
        <v/>
      </c>
      <c r="DU411" t="str">
        <f>""</f>
        <v/>
      </c>
    </row>
    <row r="412" spans="1:125">
      <c r="A412" t="str">
        <f>"通过上面公式行而添加下列所有数据行以供参考之用。"</f>
        <v>通过上面公式行而添加下列所有数据行以供参考之用。</v>
      </c>
      <c r="BN412" t="str">
        <f>""</f>
        <v/>
      </c>
      <c r="BO412" t="str">
        <f>""</f>
        <v/>
      </c>
      <c r="BP412" t="str">
        <f>""</f>
        <v/>
      </c>
      <c r="BQ412" t="str">
        <f>""</f>
        <v/>
      </c>
      <c r="BR412" t="str">
        <f>""</f>
        <v/>
      </c>
      <c r="BS412" t="str">
        <f>""</f>
        <v/>
      </c>
      <c r="BT412" t="str">
        <f>""</f>
        <v/>
      </c>
      <c r="BU412" t="str">
        <f>""</f>
        <v/>
      </c>
      <c r="BV412" t="str">
        <f>""</f>
        <v/>
      </c>
      <c r="BW412" t="str">
        <f>""</f>
        <v/>
      </c>
      <c r="BX412" t="str">
        <f>""</f>
        <v/>
      </c>
      <c r="BY412" t="str">
        <f>""</f>
        <v/>
      </c>
      <c r="BZ412" t="str">
        <f>""</f>
        <v/>
      </c>
      <c r="CA412" t="str">
        <f>""</f>
        <v/>
      </c>
      <c r="CB412" t="str">
        <f>""</f>
        <v/>
      </c>
      <c r="CC412" t="str">
        <f>""</f>
        <v/>
      </c>
      <c r="CD412" t="str">
        <f>""</f>
        <v/>
      </c>
      <c r="CE412" t="str">
        <f>""</f>
        <v/>
      </c>
      <c r="CF412" t="str">
        <f>""</f>
        <v/>
      </c>
      <c r="CG412" t="str">
        <f>""</f>
        <v/>
      </c>
      <c r="CH412" t="str">
        <f>""</f>
        <v/>
      </c>
      <c r="CI412" t="str">
        <f>""</f>
        <v/>
      </c>
      <c r="CJ412" t="str">
        <f>""</f>
        <v/>
      </c>
      <c r="CK412" t="str">
        <f>""</f>
        <v/>
      </c>
      <c r="CL412" t="str">
        <f>""</f>
        <v/>
      </c>
      <c r="CM412" t="str">
        <f>""</f>
        <v/>
      </c>
      <c r="CN412" t="str">
        <f>""</f>
        <v/>
      </c>
      <c r="CO412" t="str">
        <f>""</f>
        <v/>
      </c>
      <c r="CP412" t="str">
        <f>""</f>
        <v/>
      </c>
      <c r="CQ412" t="str">
        <f>""</f>
        <v/>
      </c>
      <c r="CR412" t="str">
        <f>""</f>
        <v/>
      </c>
      <c r="CS412" t="str">
        <f>""</f>
        <v/>
      </c>
      <c r="CT412" t="str">
        <f>""</f>
        <v/>
      </c>
      <c r="CU412" t="str">
        <f>""</f>
        <v/>
      </c>
      <c r="CV412" t="str">
        <f>""</f>
        <v/>
      </c>
      <c r="CW412" t="str">
        <f>""</f>
        <v/>
      </c>
      <c r="CX412" t="str">
        <f>""</f>
        <v/>
      </c>
      <c r="CY412" t="str">
        <f>""</f>
        <v/>
      </c>
      <c r="CZ412" t="str">
        <f>""</f>
        <v/>
      </c>
      <c r="DA412" t="str">
        <f>""</f>
        <v/>
      </c>
      <c r="DB412" t="str">
        <f>""</f>
        <v/>
      </c>
      <c r="DC412" t="str">
        <f>""</f>
        <v/>
      </c>
      <c r="DD412" t="str">
        <f>""</f>
        <v/>
      </c>
      <c r="DE412" t="str">
        <f>""</f>
        <v/>
      </c>
      <c r="DF412" t="str">
        <f>""</f>
        <v/>
      </c>
      <c r="DG412" t="str">
        <f>""</f>
        <v/>
      </c>
      <c r="DH412" t="str">
        <f>""</f>
        <v/>
      </c>
      <c r="DI412" t="str">
        <f>""</f>
        <v/>
      </c>
      <c r="DJ412" t="str">
        <f>""</f>
        <v/>
      </c>
      <c r="DK412" t="str">
        <f>""</f>
        <v/>
      </c>
      <c r="DL412" t="str">
        <f>""</f>
        <v/>
      </c>
      <c r="DM412" t="str">
        <f>""</f>
        <v/>
      </c>
      <c r="DN412" t="str">
        <f>""</f>
        <v/>
      </c>
      <c r="DO412" t="str">
        <f>""</f>
        <v/>
      </c>
      <c r="DP412" t="str">
        <f>""</f>
        <v/>
      </c>
      <c r="DQ412" t="str">
        <f>""</f>
        <v/>
      </c>
      <c r="DR412" t="str">
        <f>""</f>
        <v/>
      </c>
      <c r="DS412" t="str">
        <f>""</f>
        <v/>
      </c>
      <c r="DT412" t="str">
        <f>""</f>
        <v/>
      </c>
      <c r="DU412" t="str">
        <f>""</f>
        <v/>
      </c>
    </row>
    <row r="413" spans="1:125">
      <c r="A413">
        <f>RTD("bloomberg.ccyreader", "", "#track", "DBG", "BIHITX", "1.0","RepeatHit")</f>
        <v>0</v>
      </c>
      <c r="BN413" t="str">
        <f>""</f>
        <v/>
      </c>
      <c r="BO413" t="str">
        <f>""</f>
        <v/>
      </c>
      <c r="BP413" t="str">
        <f>""</f>
        <v/>
      </c>
      <c r="BQ413" t="str">
        <f>""</f>
        <v/>
      </c>
      <c r="BR413" t="str">
        <f>""</f>
        <v/>
      </c>
      <c r="BS413" t="str">
        <f>""</f>
        <v/>
      </c>
      <c r="BT413" t="str">
        <f>""</f>
        <v/>
      </c>
      <c r="BU413" t="str">
        <f>""</f>
        <v/>
      </c>
      <c r="BV413" t="str">
        <f>""</f>
        <v/>
      </c>
      <c r="BW413" t="str">
        <f>""</f>
        <v/>
      </c>
      <c r="BX413" t="str">
        <f>""</f>
        <v/>
      </c>
      <c r="BY413" t="str">
        <f>""</f>
        <v/>
      </c>
      <c r="BZ413" t="str">
        <f>""</f>
        <v/>
      </c>
      <c r="CA413" t="str">
        <f>""</f>
        <v/>
      </c>
      <c r="CB413" t="str">
        <f>""</f>
        <v/>
      </c>
      <c r="CC413" t="str">
        <f>""</f>
        <v/>
      </c>
      <c r="CD413" t="str">
        <f>""</f>
        <v/>
      </c>
      <c r="CE413" t="str">
        <f>""</f>
        <v/>
      </c>
      <c r="CF413" t="str">
        <f>""</f>
        <v/>
      </c>
      <c r="CG413" t="str">
        <f>""</f>
        <v/>
      </c>
      <c r="CH413" t="str">
        <f>""</f>
        <v/>
      </c>
      <c r="CI413" t="str">
        <f>""</f>
        <v/>
      </c>
      <c r="CJ413" t="str">
        <f>""</f>
        <v/>
      </c>
      <c r="CK413" t="str">
        <f>""</f>
        <v/>
      </c>
      <c r="CL413" t="str">
        <f>""</f>
        <v/>
      </c>
      <c r="CM413" t="str">
        <f>""</f>
        <v/>
      </c>
      <c r="CN413" t="str">
        <f>""</f>
        <v/>
      </c>
      <c r="CO413" t="str">
        <f>""</f>
        <v/>
      </c>
      <c r="CP413" t="str">
        <f>""</f>
        <v/>
      </c>
      <c r="CQ413" t="str">
        <f>""</f>
        <v/>
      </c>
      <c r="CR413" t="str">
        <f>""</f>
        <v/>
      </c>
      <c r="CS413" t="str">
        <f>""</f>
        <v/>
      </c>
      <c r="CT413" t="str">
        <f>""</f>
        <v/>
      </c>
      <c r="CU413" t="str">
        <f>""</f>
        <v/>
      </c>
      <c r="CV413" t="str">
        <f>""</f>
        <v/>
      </c>
      <c r="CW413" t="str">
        <f>""</f>
        <v/>
      </c>
      <c r="CX413" t="str">
        <f>""</f>
        <v/>
      </c>
      <c r="CY413" t="str">
        <f>""</f>
        <v/>
      </c>
      <c r="CZ413" t="str">
        <f>""</f>
        <v/>
      </c>
      <c r="DA413" t="str">
        <f>""</f>
        <v/>
      </c>
      <c r="DB413" t="str">
        <f>""</f>
        <v/>
      </c>
      <c r="DC413" t="str">
        <f>""</f>
        <v/>
      </c>
      <c r="DD413" t="str">
        <f>""</f>
        <v/>
      </c>
      <c r="DE413" t="str">
        <f>""</f>
        <v/>
      </c>
      <c r="DF413" t="str">
        <f>""</f>
        <v/>
      </c>
      <c r="DG413" t="str">
        <f>""</f>
        <v/>
      </c>
      <c r="DH413" t="str">
        <f>""</f>
        <v/>
      </c>
      <c r="DI413" t="str">
        <f>""</f>
        <v/>
      </c>
      <c r="DJ413" t="str">
        <f>""</f>
        <v/>
      </c>
      <c r="DK413" t="str">
        <f>""</f>
        <v/>
      </c>
      <c r="DL413" t="str">
        <f>""</f>
        <v/>
      </c>
      <c r="DM413" t="str">
        <f>""</f>
        <v/>
      </c>
      <c r="DN413" t="str">
        <f>""</f>
        <v/>
      </c>
      <c r="DO413" t="str">
        <f>""</f>
        <v/>
      </c>
      <c r="DP413" t="str">
        <f>""</f>
        <v/>
      </c>
      <c r="DQ413" t="str">
        <f>""</f>
        <v/>
      </c>
      <c r="DR413" t="str">
        <f>""</f>
        <v/>
      </c>
      <c r="DS413" t="str">
        <f>""</f>
        <v/>
      </c>
      <c r="DT413" t="str">
        <f>""</f>
        <v/>
      </c>
      <c r="DU413" t="str">
        <f>""</f>
        <v/>
      </c>
    </row>
    <row r="414" spans="1:125">
      <c r="A414" t="str">
        <f>"货币"</f>
        <v>货币</v>
      </c>
      <c r="B414" t="str">
        <f>"USD"</f>
        <v>USD</v>
      </c>
      <c r="BN414" t="str">
        <f>""</f>
        <v/>
      </c>
      <c r="BO414" t="str">
        <f>""</f>
        <v/>
      </c>
      <c r="BP414" t="str">
        <f>""</f>
        <v/>
      </c>
      <c r="BQ414" t="str">
        <f>""</f>
        <v/>
      </c>
      <c r="BR414" t="str">
        <f>""</f>
        <v/>
      </c>
      <c r="BS414" t="str">
        <f>""</f>
        <v/>
      </c>
      <c r="BT414" t="str">
        <f>""</f>
        <v/>
      </c>
      <c r="BU414" t="str">
        <f>""</f>
        <v/>
      </c>
      <c r="BV414" t="str">
        <f>""</f>
        <v/>
      </c>
      <c r="BW414" t="str">
        <f>""</f>
        <v/>
      </c>
      <c r="BX414" t="str">
        <f>""</f>
        <v/>
      </c>
      <c r="BY414" t="str">
        <f>""</f>
        <v/>
      </c>
      <c r="BZ414" t="str">
        <f>""</f>
        <v/>
      </c>
      <c r="CA414" t="str">
        <f>""</f>
        <v/>
      </c>
      <c r="CB414" t="str">
        <f>""</f>
        <v/>
      </c>
      <c r="CC414" t="str">
        <f>""</f>
        <v/>
      </c>
      <c r="CD414" t="str">
        <f>""</f>
        <v/>
      </c>
      <c r="CE414" t="str">
        <f>""</f>
        <v/>
      </c>
      <c r="CF414" t="str">
        <f>""</f>
        <v/>
      </c>
      <c r="CG414" t="str">
        <f>""</f>
        <v/>
      </c>
      <c r="CH414" t="str">
        <f>""</f>
        <v/>
      </c>
      <c r="CI414" t="str">
        <f>""</f>
        <v/>
      </c>
      <c r="CJ414" t="str">
        <f>""</f>
        <v/>
      </c>
      <c r="CK414" t="str">
        <f>""</f>
        <v/>
      </c>
      <c r="CL414" t="str">
        <f>""</f>
        <v/>
      </c>
      <c r="CM414" t="str">
        <f>""</f>
        <v/>
      </c>
      <c r="CN414" t="str">
        <f>""</f>
        <v/>
      </c>
      <c r="CO414" t="str">
        <f>""</f>
        <v/>
      </c>
      <c r="CP414" t="str">
        <f>""</f>
        <v/>
      </c>
      <c r="CQ414" t="str">
        <f>""</f>
        <v/>
      </c>
      <c r="CR414" t="str">
        <f>""</f>
        <v/>
      </c>
      <c r="CS414" t="str">
        <f>""</f>
        <v/>
      </c>
      <c r="CT414" t="str">
        <f>""</f>
        <v/>
      </c>
      <c r="CU414" t="str">
        <f>""</f>
        <v/>
      </c>
      <c r="CV414" t="str">
        <f>""</f>
        <v/>
      </c>
      <c r="CW414" t="str">
        <f>""</f>
        <v/>
      </c>
      <c r="CX414" t="str">
        <f>""</f>
        <v/>
      </c>
      <c r="CY414" t="str">
        <f>""</f>
        <v/>
      </c>
      <c r="CZ414" t="str">
        <f>""</f>
        <v/>
      </c>
      <c r="DA414" t="str">
        <f>""</f>
        <v/>
      </c>
      <c r="DB414" t="str">
        <f>""</f>
        <v/>
      </c>
      <c r="DC414" t="str">
        <f>""</f>
        <v/>
      </c>
      <c r="DD414" t="str">
        <f>""</f>
        <v/>
      </c>
      <c r="DE414" t="str">
        <f>""</f>
        <v/>
      </c>
      <c r="DF414" t="str">
        <f>""</f>
        <v/>
      </c>
      <c r="DG414" t="str">
        <f>""</f>
        <v/>
      </c>
      <c r="DH414" t="str">
        <f>""</f>
        <v/>
      </c>
      <c r="DI414" t="str">
        <f>""</f>
        <v/>
      </c>
      <c r="DJ414" t="str">
        <f>""</f>
        <v/>
      </c>
      <c r="DK414" t="str">
        <f>""</f>
        <v/>
      </c>
      <c r="DL414" t="str">
        <f>""</f>
        <v/>
      </c>
      <c r="DM414" t="str">
        <f>""</f>
        <v/>
      </c>
      <c r="DN414" t="str">
        <f>""</f>
        <v/>
      </c>
      <c r="DO414" t="str">
        <f>""</f>
        <v/>
      </c>
      <c r="DP414" t="str">
        <f>""</f>
        <v/>
      </c>
      <c r="DQ414" t="str">
        <f>""</f>
        <v/>
      </c>
      <c r="DR414" t="str">
        <f>""</f>
        <v/>
      </c>
      <c r="DS414" t="str">
        <f>""</f>
        <v/>
      </c>
      <c r="DT414" t="str">
        <f>""</f>
        <v/>
      </c>
      <c r="DU414" t="str">
        <f>""</f>
        <v/>
      </c>
    </row>
    <row r="415" spans="1:125">
      <c r="A415" t="str">
        <f>"周期"</f>
        <v>周期</v>
      </c>
      <c r="B415" t="str">
        <f>"CQ"</f>
        <v>CQ</v>
      </c>
      <c r="C415" t="str">
        <f>"AQ"</f>
        <v>AQ</v>
      </c>
      <c r="BN415" t="str">
        <f>""</f>
        <v/>
      </c>
      <c r="BO415" t="str">
        <f>""</f>
        <v/>
      </c>
      <c r="BP415" t="str">
        <f>""</f>
        <v/>
      </c>
      <c r="BQ415" t="str">
        <f>""</f>
        <v/>
      </c>
      <c r="BR415" t="str">
        <f>""</f>
        <v/>
      </c>
      <c r="BS415" t="str">
        <f>""</f>
        <v/>
      </c>
      <c r="BT415" t="str">
        <f>""</f>
        <v/>
      </c>
      <c r="BU415" t="str">
        <f>""</f>
        <v/>
      </c>
      <c r="BV415" t="str">
        <f>""</f>
        <v/>
      </c>
      <c r="BW415" t="str">
        <f>""</f>
        <v/>
      </c>
      <c r="BX415" t="str">
        <f>""</f>
        <v/>
      </c>
      <c r="BY415" t="str">
        <f>""</f>
        <v/>
      </c>
      <c r="BZ415" t="str">
        <f>""</f>
        <v/>
      </c>
      <c r="CA415" t="str">
        <f>""</f>
        <v/>
      </c>
      <c r="CB415" t="str">
        <f>""</f>
        <v/>
      </c>
      <c r="CC415" t="str">
        <f>""</f>
        <v/>
      </c>
      <c r="CD415" t="str">
        <f>""</f>
        <v/>
      </c>
      <c r="CE415" t="str">
        <f>""</f>
        <v/>
      </c>
      <c r="CF415" t="str">
        <f>""</f>
        <v/>
      </c>
      <c r="CG415" t="str">
        <f>""</f>
        <v/>
      </c>
      <c r="CH415" t="str">
        <f>""</f>
        <v/>
      </c>
      <c r="CI415" t="str">
        <f>""</f>
        <v/>
      </c>
      <c r="CJ415" t="str">
        <f>""</f>
        <v/>
      </c>
      <c r="CK415" t="str">
        <f>""</f>
        <v/>
      </c>
      <c r="CL415" t="str">
        <f>""</f>
        <v/>
      </c>
      <c r="CM415" t="str">
        <f>""</f>
        <v/>
      </c>
      <c r="CN415" t="str">
        <f>""</f>
        <v/>
      </c>
      <c r="CO415" t="str">
        <f>""</f>
        <v/>
      </c>
      <c r="CP415" t="str">
        <f>""</f>
        <v/>
      </c>
      <c r="CQ415" t="str">
        <f>""</f>
        <v/>
      </c>
      <c r="CR415" t="str">
        <f>""</f>
        <v/>
      </c>
      <c r="CS415" t="str">
        <f>""</f>
        <v/>
      </c>
      <c r="CT415" t="str">
        <f>""</f>
        <v/>
      </c>
      <c r="CU415" t="str">
        <f>""</f>
        <v/>
      </c>
      <c r="CV415" t="str">
        <f>""</f>
        <v/>
      </c>
      <c r="CW415" t="str">
        <f>""</f>
        <v/>
      </c>
      <c r="CX415" t="str">
        <f>""</f>
        <v/>
      </c>
      <c r="CY415" t="str">
        <f>""</f>
        <v/>
      </c>
      <c r="CZ415" t="str">
        <f>""</f>
        <v/>
      </c>
      <c r="DA415" t="str">
        <f>""</f>
        <v/>
      </c>
      <c r="DB415" t="str">
        <f>""</f>
        <v/>
      </c>
      <c r="DC415" t="str">
        <f>""</f>
        <v/>
      </c>
      <c r="DD415" t="str">
        <f>""</f>
        <v/>
      </c>
      <c r="DE415" t="str">
        <f>""</f>
        <v/>
      </c>
      <c r="DF415" t="str">
        <f>""</f>
        <v/>
      </c>
      <c r="DG415" t="str">
        <f>""</f>
        <v/>
      </c>
      <c r="DH415" t="str">
        <f>""</f>
        <v/>
      </c>
      <c r="DI415" t="str">
        <f>""</f>
        <v/>
      </c>
      <c r="DJ415" t="str">
        <f>""</f>
        <v/>
      </c>
      <c r="DK415" t="str">
        <f>""</f>
        <v/>
      </c>
      <c r="DL415" t="str">
        <f>""</f>
        <v/>
      </c>
      <c r="DM415" t="str">
        <f>""</f>
        <v/>
      </c>
      <c r="DN415" t="str">
        <f>""</f>
        <v/>
      </c>
      <c r="DO415" t="str">
        <f>""</f>
        <v/>
      </c>
      <c r="DP415" t="str">
        <f>""</f>
        <v/>
      </c>
      <c r="DQ415" t="str">
        <f>""</f>
        <v/>
      </c>
      <c r="DR415" t="str">
        <f>""</f>
        <v/>
      </c>
      <c r="DS415" t="str">
        <f>""</f>
        <v/>
      </c>
      <c r="DT415" t="str">
        <f>""</f>
        <v/>
      </c>
      <c r="DU415" t="str">
        <f>""</f>
        <v/>
      </c>
    </row>
    <row r="416" spans="1:125">
      <c r="A416" t="str">
        <f>"周期数"</f>
        <v>周期数</v>
      </c>
      <c r="B416">
        <f>60</f>
        <v>60</v>
      </c>
      <c r="BN416" t="str">
        <f>""</f>
        <v/>
      </c>
      <c r="BO416" t="str">
        <f>""</f>
        <v/>
      </c>
      <c r="BP416" t="str">
        <f>""</f>
        <v/>
      </c>
      <c r="BQ416" t="str">
        <f>""</f>
        <v/>
      </c>
      <c r="BR416" t="str">
        <f>""</f>
        <v/>
      </c>
      <c r="BS416" t="str">
        <f>""</f>
        <v/>
      </c>
      <c r="BT416" t="str">
        <f>""</f>
        <v/>
      </c>
      <c r="BU416" t="str">
        <f>""</f>
        <v/>
      </c>
      <c r="BV416" t="str">
        <f>""</f>
        <v/>
      </c>
      <c r="BW416" t="str">
        <f>""</f>
        <v/>
      </c>
      <c r="BX416" t="str">
        <f>""</f>
        <v/>
      </c>
      <c r="BY416" t="str">
        <f>""</f>
        <v/>
      </c>
      <c r="BZ416" t="str">
        <f>""</f>
        <v/>
      </c>
      <c r="CA416" t="str">
        <f>""</f>
        <v/>
      </c>
      <c r="CB416" t="str">
        <f>""</f>
        <v/>
      </c>
      <c r="CC416" t="str">
        <f>""</f>
        <v/>
      </c>
      <c r="CD416" t="str">
        <f>""</f>
        <v/>
      </c>
      <c r="CE416" t="str">
        <f>""</f>
        <v/>
      </c>
      <c r="CF416" t="str">
        <f>""</f>
        <v/>
      </c>
      <c r="CG416" t="str">
        <f>""</f>
        <v/>
      </c>
      <c r="CH416" t="str">
        <f>""</f>
        <v/>
      </c>
      <c r="CI416" t="str">
        <f>""</f>
        <v/>
      </c>
      <c r="CJ416" t="str">
        <f>""</f>
        <v/>
      </c>
      <c r="CK416" t="str">
        <f>""</f>
        <v/>
      </c>
      <c r="CL416" t="str">
        <f>""</f>
        <v/>
      </c>
      <c r="CM416" t="str">
        <f>""</f>
        <v/>
      </c>
      <c r="CN416" t="str">
        <f>""</f>
        <v/>
      </c>
      <c r="CO416" t="str">
        <f>""</f>
        <v/>
      </c>
      <c r="CP416" t="str">
        <f>""</f>
        <v/>
      </c>
      <c r="CQ416" t="str">
        <f>""</f>
        <v/>
      </c>
      <c r="CR416" t="str">
        <f>""</f>
        <v/>
      </c>
      <c r="CS416" t="str">
        <f>""</f>
        <v/>
      </c>
      <c r="CT416" t="str">
        <f>""</f>
        <v/>
      </c>
      <c r="CU416" t="str">
        <f>""</f>
        <v/>
      </c>
      <c r="CV416" t="str">
        <f>""</f>
        <v/>
      </c>
      <c r="CW416" t="str">
        <f>""</f>
        <v/>
      </c>
      <c r="CX416" t="str">
        <f>""</f>
        <v/>
      </c>
      <c r="CY416" t="str">
        <f>""</f>
        <v/>
      </c>
      <c r="CZ416" t="str">
        <f>""</f>
        <v/>
      </c>
      <c r="DA416" t="str">
        <f>""</f>
        <v/>
      </c>
      <c r="DB416" t="str">
        <f>""</f>
        <v/>
      </c>
      <c r="DC416" t="str">
        <f>""</f>
        <v/>
      </c>
      <c r="DD416" t="str">
        <f>""</f>
        <v/>
      </c>
      <c r="DE416" t="str">
        <f>""</f>
        <v/>
      </c>
      <c r="DF416" t="str">
        <f>""</f>
        <v/>
      </c>
      <c r="DG416" t="str">
        <f>""</f>
        <v/>
      </c>
      <c r="DH416" t="str">
        <f>""</f>
        <v/>
      </c>
      <c r="DI416" t="str">
        <f>""</f>
        <v/>
      </c>
      <c r="DJ416" t="str">
        <f>""</f>
        <v/>
      </c>
      <c r="DK416" t="str">
        <f>""</f>
        <v/>
      </c>
      <c r="DL416" t="str">
        <f>""</f>
        <v/>
      </c>
      <c r="DM416" t="str">
        <f>""</f>
        <v/>
      </c>
      <c r="DN416" t="str">
        <f>""</f>
        <v/>
      </c>
      <c r="DO416" t="str">
        <f>""</f>
        <v/>
      </c>
      <c r="DP416" t="str">
        <f>""</f>
        <v/>
      </c>
      <c r="DQ416" t="str">
        <f>""</f>
        <v/>
      </c>
      <c r="DR416" t="str">
        <f>""</f>
        <v/>
      </c>
      <c r="DS416" t="str">
        <f>""</f>
        <v/>
      </c>
      <c r="DT416" t="str">
        <f>""</f>
        <v/>
      </c>
      <c r="DU416" t="str">
        <f>""</f>
        <v/>
      </c>
    </row>
    <row r="417" spans="1:125">
      <c r="A417" t="str">
        <f>"起始日期"</f>
        <v>起始日期</v>
      </c>
      <c r="B417" t="str">
        <f>CONCATENATE("-",$B$416,$B$415)</f>
        <v>-60CQ</v>
      </c>
      <c r="C417" t="str">
        <f>CONCATENATE("-",$B$416,$C$415)</f>
        <v>-60AQ</v>
      </c>
      <c r="BN417" t="str">
        <f>""</f>
        <v/>
      </c>
      <c r="BO417" t="str">
        <f>""</f>
        <v/>
      </c>
      <c r="BP417" t="str">
        <f>""</f>
        <v/>
      </c>
      <c r="BQ417" t="str">
        <f>""</f>
        <v/>
      </c>
      <c r="BR417" t="str">
        <f>""</f>
        <v/>
      </c>
      <c r="BS417" t="str">
        <f>""</f>
        <v/>
      </c>
      <c r="BT417" t="str">
        <f>""</f>
        <v/>
      </c>
      <c r="BU417" t="str">
        <f>""</f>
        <v/>
      </c>
      <c r="BV417" t="str">
        <f>""</f>
        <v/>
      </c>
      <c r="BW417" t="str">
        <f>""</f>
        <v/>
      </c>
      <c r="BX417" t="str">
        <f>""</f>
        <v/>
      </c>
      <c r="BY417" t="str">
        <f>""</f>
        <v/>
      </c>
      <c r="BZ417" t="str">
        <f>""</f>
        <v/>
      </c>
      <c r="CA417" t="str">
        <f>""</f>
        <v/>
      </c>
      <c r="CB417" t="str">
        <f>""</f>
        <v/>
      </c>
      <c r="CC417" t="str">
        <f>""</f>
        <v/>
      </c>
      <c r="CD417" t="str">
        <f>""</f>
        <v/>
      </c>
      <c r="CE417" t="str">
        <f>""</f>
        <v/>
      </c>
      <c r="CF417" t="str">
        <f>""</f>
        <v/>
      </c>
      <c r="CG417" t="str">
        <f>""</f>
        <v/>
      </c>
      <c r="CH417" t="str">
        <f>""</f>
        <v/>
      </c>
      <c r="CI417" t="str">
        <f>""</f>
        <v/>
      </c>
      <c r="CJ417" t="str">
        <f>""</f>
        <v/>
      </c>
      <c r="CK417" t="str">
        <f>""</f>
        <v/>
      </c>
      <c r="CL417" t="str">
        <f>""</f>
        <v/>
      </c>
      <c r="CM417" t="str">
        <f>""</f>
        <v/>
      </c>
      <c r="CN417" t="str">
        <f>""</f>
        <v/>
      </c>
      <c r="CO417" t="str">
        <f>""</f>
        <v/>
      </c>
      <c r="CP417" t="str">
        <f>""</f>
        <v/>
      </c>
      <c r="CQ417" t="str">
        <f>""</f>
        <v/>
      </c>
      <c r="CR417" t="str">
        <f>""</f>
        <v/>
      </c>
      <c r="CS417" t="str">
        <f>""</f>
        <v/>
      </c>
      <c r="CT417" t="str">
        <f>""</f>
        <v/>
      </c>
      <c r="CU417" t="str">
        <f>""</f>
        <v/>
      </c>
      <c r="CV417" t="str">
        <f>""</f>
        <v/>
      </c>
      <c r="CW417" t="str">
        <f>""</f>
        <v/>
      </c>
      <c r="CX417" t="str">
        <f>""</f>
        <v/>
      </c>
      <c r="CY417" t="str">
        <f>""</f>
        <v/>
      </c>
      <c r="CZ417" t="str">
        <f>""</f>
        <v/>
      </c>
      <c r="DA417" t="str">
        <f>""</f>
        <v/>
      </c>
      <c r="DB417" t="str">
        <f>""</f>
        <v/>
      </c>
      <c r="DC417" t="str">
        <f>""</f>
        <v/>
      </c>
      <c r="DD417" t="str">
        <f>""</f>
        <v/>
      </c>
      <c r="DE417" t="str">
        <f>""</f>
        <v/>
      </c>
      <c r="DF417" t="str">
        <f>""</f>
        <v/>
      </c>
      <c r="DG417" t="str">
        <f>""</f>
        <v/>
      </c>
      <c r="DH417" t="str">
        <f>""</f>
        <v/>
      </c>
      <c r="DI417" t="str">
        <f>""</f>
        <v/>
      </c>
      <c r="DJ417" t="str">
        <f>""</f>
        <v/>
      </c>
      <c r="DK417" t="str">
        <f>""</f>
        <v/>
      </c>
      <c r="DL417" t="str">
        <f>""</f>
        <v/>
      </c>
      <c r="DM417" t="str">
        <f>""</f>
        <v/>
      </c>
      <c r="DN417" t="str">
        <f>""</f>
        <v/>
      </c>
      <c r="DO417" t="str">
        <f>""</f>
        <v/>
      </c>
      <c r="DP417" t="str">
        <f>""</f>
        <v/>
      </c>
      <c r="DQ417" t="str">
        <f>""</f>
        <v/>
      </c>
      <c r="DR417" t="str">
        <f>""</f>
        <v/>
      </c>
      <c r="DS417" t="str">
        <f>""</f>
        <v/>
      </c>
      <c r="DT417" t="str">
        <f>""</f>
        <v/>
      </c>
      <c r="DU417" t="str">
        <f>""</f>
        <v/>
      </c>
    </row>
    <row r="418" spans="1:125">
      <c r="A418" t="str">
        <f>"End Date"</f>
        <v>End Date</v>
      </c>
      <c r="B418">
        <f ca="1">IF(TODAY()&lt;DATE(2018, 3,31),DATE(2018, 3,31),TODAY())</f>
        <v>43190</v>
      </c>
      <c r="BN418" t="str">
        <f>""</f>
        <v/>
      </c>
      <c r="BO418" t="str">
        <f>""</f>
        <v/>
      </c>
      <c r="BP418" t="str">
        <f>""</f>
        <v/>
      </c>
      <c r="BQ418" t="str">
        <f>""</f>
        <v/>
      </c>
      <c r="BR418" t="str">
        <f>""</f>
        <v/>
      </c>
      <c r="BS418" t="str">
        <f>""</f>
        <v/>
      </c>
      <c r="BT418" t="str">
        <f>""</f>
        <v/>
      </c>
      <c r="BU418" t="str">
        <f>""</f>
        <v/>
      </c>
      <c r="BV418" t="str">
        <f>""</f>
        <v/>
      </c>
      <c r="BW418" t="str">
        <f>""</f>
        <v/>
      </c>
      <c r="BX418" t="str">
        <f>""</f>
        <v/>
      </c>
      <c r="BY418" t="str">
        <f>""</f>
        <v/>
      </c>
      <c r="BZ418" t="str">
        <f>""</f>
        <v/>
      </c>
      <c r="CA418" t="str">
        <f>""</f>
        <v/>
      </c>
      <c r="CB418" t="str">
        <f>""</f>
        <v/>
      </c>
      <c r="CC418" t="str">
        <f>""</f>
        <v/>
      </c>
      <c r="CD418" t="str">
        <f>""</f>
        <v/>
      </c>
      <c r="CE418" t="str">
        <f>""</f>
        <v/>
      </c>
      <c r="CF418" t="str">
        <f>""</f>
        <v/>
      </c>
      <c r="CG418" t="str">
        <f>""</f>
        <v/>
      </c>
      <c r="CH418" t="str">
        <f>""</f>
        <v/>
      </c>
      <c r="CI418" t="str">
        <f>""</f>
        <v/>
      </c>
      <c r="CJ418" t="str">
        <f>""</f>
        <v/>
      </c>
      <c r="CK418" t="str">
        <f>""</f>
        <v/>
      </c>
      <c r="CL418" t="str">
        <f>""</f>
        <v/>
      </c>
      <c r="CM418" t="str">
        <f>""</f>
        <v/>
      </c>
      <c r="CN418" t="str">
        <f>""</f>
        <v/>
      </c>
      <c r="CO418" t="str">
        <f>""</f>
        <v/>
      </c>
      <c r="CP418" t="str">
        <f>""</f>
        <v/>
      </c>
      <c r="CQ418" t="str">
        <f>""</f>
        <v/>
      </c>
      <c r="CR418" t="str">
        <f>""</f>
        <v/>
      </c>
      <c r="CS418" t="str">
        <f>""</f>
        <v/>
      </c>
      <c r="CT418" t="str">
        <f>""</f>
        <v/>
      </c>
      <c r="CU418" t="str">
        <f>""</f>
        <v/>
      </c>
      <c r="CV418" t="str">
        <f>""</f>
        <v/>
      </c>
      <c r="CW418" t="str">
        <f>""</f>
        <v/>
      </c>
      <c r="CX418" t="str">
        <f>""</f>
        <v/>
      </c>
      <c r="CY418" t="str">
        <f>""</f>
        <v/>
      </c>
      <c r="CZ418" t="str">
        <f>""</f>
        <v/>
      </c>
      <c r="DA418" t="str">
        <f>""</f>
        <v/>
      </c>
      <c r="DB418" t="str">
        <f>""</f>
        <v/>
      </c>
      <c r="DC418" t="str">
        <f>""</f>
        <v/>
      </c>
      <c r="DD418" t="str">
        <f>""</f>
        <v/>
      </c>
      <c r="DE418" t="str">
        <f>""</f>
        <v/>
      </c>
      <c r="DF418" t="str">
        <f>""</f>
        <v/>
      </c>
      <c r="DG418" t="str">
        <f>""</f>
        <v/>
      </c>
      <c r="DH418" t="str">
        <f>""</f>
        <v/>
      </c>
      <c r="DI418" t="str">
        <f>""</f>
        <v/>
      </c>
      <c r="DJ418" t="str">
        <f>""</f>
        <v/>
      </c>
      <c r="DK418" t="str">
        <f>""</f>
        <v/>
      </c>
      <c r="DL418" t="str">
        <f>""</f>
        <v/>
      </c>
      <c r="DM418" t="str">
        <f>""</f>
        <v/>
      </c>
      <c r="DN418" t="str">
        <f>""</f>
        <v/>
      </c>
      <c r="DO418" t="str">
        <f>""</f>
        <v/>
      </c>
      <c r="DP418" t="str">
        <f>""</f>
        <v/>
      </c>
      <c r="DQ418" t="str">
        <f>""</f>
        <v/>
      </c>
      <c r="DR418" t="str">
        <f>""</f>
        <v/>
      </c>
      <c r="DS418" t="str">
        <f>""</f>
        <v/>
      </c>
      <c r="DT418" t="str">
        <f>""</f>
        <v/>
      </c>
      <c r="DU418" t="str">
        <f>""</f>
        <v/>
      </c>
    </row>
    <row r="419" spans="1:125">
      <c r="A419" t="str">
        <f>"HeaderStatus(custom data)"</f>
        <v>HeaderStatus(custom data)</v>
      </c>
      <c r="BN419" t="str">
        <f>""</f>
        <v/>
      </c>
      <c r="BO419" t="str">
        <f>""</f>
        <v/>
      </c>
      <c r="BP419" t="str">
        <f>""</f>
        <v/>
      </c>
      <c r="BQ419" t="str">
        <f>""</f>
        <v/>
      </c>
      <c r="BR419" t="str">
        <f>""</f>
        <v/>
      </c>
      <c r="BS419" t="str">
        <f>""</f>
        <v/>
      </c>
      <c r="BT419" t="str">
        <f>""</f>
        <v/>
      </c>
      <c r="BU419" t="str">
        <f>""</f>
        <v/>
      </c>
      <c r="BV419" t="str">
        <f>""</f>
        <v/>
      </c>
      <c r="BW419" t="str">
        <f>""</f>
        <v/>
      </c>
      <c r="BX419" t="str">
        <f>""</f>
        <v/>
      </c>
      <c r="BY419" t="str">
        <f>""</f>
        <v/>
      </c>
      <c r="BZ419" t="str">
        <f>""</f>
        <v/>
      </c>
      <c r="CA419" t="str">
        <f>""</f>
        <v/>
      </c>
      <c r="CB419" t="str">
        <f>""</f>
        <v/>
      </c>
      <c r="CC419" t="str">
        <f>""</f>
        <v/>
      </c>
      <c r="CD419" t="str">
        <f>""</f>
        <v/>
      </c>
      <c r="CE419" t="str">
        <f>""</f>
        <v/>
      </c>
      <c r="CF419" t="str">
        <f>""</f>
        <v/>
      </c>
      <c r="CG419" t="str">
        <f>""</f>
        <v/>
      </c>
      <c r="CH419" t="str">
        <f>""</f>
        <v/>
      </c>
      <c r="CI419" t="str">
        <f>""</f>
        <v/>
      </c>
      <c r="CJ419" t="str">
        <f>""</f>
        <v/>
      </c>
      <c r="CK419" t="str">
        <f>""</f>
        <v/>
      </c>
      <c r="CL419" t="str">
        <f>""</f>
        <v/>
      </c>
      <c r="CM419" t="str">
        <f>""</f>
        <v/>
      </c>
      <c r="CN419" t="str">
        <f>""</f>
        <v/>
      </c>
      <c r="CO419" t="str">
        <f>""</f>
        <v/>
      </c>
      <c r="CP419" t="str">
        <f>""</f>
        <v/>
      </c>
      <c r="CQ419" t="str">
        <f>""</f>
        <v/>
      </c>
      <c r="CR419" t="str">
        <f>""</f>
        <v/>
      </c>
      <c r="CS419" t="str">
        <f>""</f>
        <v/>
      </c>
      <c r="CT419" t="str">
        <f>""</f>
        <v/>
      </c>
      <c r="CU419" t="str">
        <f>""</f>
        <v/>
      </c>
      <c r="CV419" t="str">
        <f>""</f>
        <v/>
      </c>
      <c r="CW419" t="str">
        <f>""</f>
        <v/>
      </c>
      <c r="CX419" t="str">
        <f>""</f>
        <v/>
      </c>
      <c r="CY419" t="str">
        <f>""</f>
        <v/>
      </c>
      <c r="CZ419" t="str">
        <f>""</f>
        <v/>
      </c>
      <c r="DA419" t="str">
        <f>""</f>
        <v/>
      </c>
      <c r="DB419" t="str">
        <f>""</f>
        <v/>
      </c>
      <c r="DC419" t="str">
        <f>""</f>
        <v/>
      </c>
      <c r="DD419" t="str">
        <f>""</f>
        <v/>
      </c>
      <c r="DE419" t="str">
        <f>""</f>
        <v/>
      </c>
      <c r="DF419" t="str">
        <f>""</f>
        <v/>
      </c>
      <c r="DG419" t="str">
        <f>""</f>
        <v/>
      </c>
      <c r="DH419" t="str">
        <f>""</f>
        <v/>
      </c>
      <c r="DI419" t="str">
        <f>""</f>
        <v/>
      </c>
      <c r="DJ419" t="str">
        <f>""</f>
        <v/>
      </c>
      <c r="DK419" t="str">
        <f>""</f>
        <v/>
      </c>
      <c r="DL419" t="str">
        <f>""</f>
        <v/>
      </c>
      <c r="DM419" t="str">
        <f>""</f>
        <v/>
      </c>
      <c r="DN419" t="str">
        <f>""</f>
        <v/>
      </c>
      <c r="DO419" t="str">
        <f>""</f>
        <v/>
      </c>
      <c r="DP419" t="str">
        <f>""</f>
        <v/>
      </c>
      <c r="DQ419" t="str">
        <f>""</f>
        <v/>
      </c>
      <c r="DR419" t="str">
        <f>""</f>
        <v/>
      </c>
      <c r="DS419" t="str">
        <f>""</f>
        <v/>
      </c>
      <c r="DT419" t="str">
        <f>""</f>
        <v/>
      </c>
      <c r="DU419" t="str">
        <f>""</f>
        <v/>
      </c>
    </row>
    <row r="420" spans="1:125">
      <c r="BN420" t="str">
        <f>""</f>
        <v/>
      </c>
      <c r="BO420" t="str">
        <f>""</f>
        <v/>
      </c>
      <c r="BP420" t="str">
        <f>""</f>
        <v/>
      </c>
      <c r="BQ420" t="str">
        <f>""</f>
        <v/>
      </c>
      <c r="BR420" t="str">
        <f>""</f>
        <v/>
      </c>
      <c r="BS420" t="str">
        <f>""</f>
        <v/>
      </c>
      <c r="BT420" t="str">
        <f>""</f>
        <v/>
      </c>
      <c r="BU420" t="str">
        <f>""</f>
        <v/>
      </c>
      <c r="BV420" t="str">
        <f>""</f>
        <v/>
      </c>
      <c r="BW420" t="str">
        <f>""</f>
        <v/>
      </c>
      <c r="BX420" t="str">
        <f>""</f>
        <v/>
      </c>
      <c r="BY420" t="str">
        <f>""</f>
        <v/>
      </c>
      <c r="BZ420" t="str">
        <f>""</f>
        <v/>
      </c>
      <c r="CA420" t="str">
        <f>""</f>
        <v/>
      </c>
      <c r="CB420" t="str">
        <f>""</f>
        <v/>
      </c>
      <c r="CC420" t="str">
        <f>""</f>
        <v/>
      </c>
      <c r="CD420" t="str">
        <f>""</f>
        <v/>
      </c>
      <c r="CE420" t="str">
        <f>""</f>
        <v/>
      </c>
      <c r="CF420" t="str">
        <f>""</f>
        <v/>
      </c>
      <c r="CG420" t="str">
        <f>""</f>
        <v/>
      </c>
      <c r="CH420" t="str">
        <f>""</f>
        <v/>
      </c>
      <c r="CI420" t="str">
        <f>""</f>
        <v/>
      </c>
      <c r="CJ420" t="str">
        <f>""</f>
        <v/>
      </c>
      <c r="CK420" t="str">
        <f>""</f>
        <v/>
      </c>
      <c r="CL420" t="str">
        <f>""</f>
        <v/>
      </c>
      <c r="CM420" t="str">
        <f>""</f>
        <v/>
      </c>
      <c r="CN420" t="str">
        <f>""</f>
        <v/>
      </c>
      <c r="CO420" t="str">
        <f>""</f>
        <v/>
      </c>
      <c r="CP420" t="str">
        <f>""</f>
        <v/>
      </c>
      <c r="CQ420" t="str">
        <f>""</f>
        <v/>
      </c>
      <c r="CR420" t="str">
        <f>""</f>
        <v/>
      </c>
      <c r="CS420" t="str">
        <f>""</f>
        <v/>
      </c>
      <c r="CT420" t="str">
        <f>""</f>
        <v/>
      </c>
      <c r="CU420" t="str">
        <f>""</f>
        <v/>
      </c>
      <c r="CV420" t="str">
        <f>""</f>
        <v/>
      </c>
      <c r="CW420" t="str">
        <f>""</f>
        <v/>
      </c>
      <c r="CX420" t="str">
        <f>""</f>
        <v/>
      </c>
      <c r="CY420" t="str">
        <f>""</f>
        <v/>
      </c>
      <c r="CZ420" t="str">
        <f>""</f>
        <v/>
      </c>
      <c r="DA420" t="str">
        <f>""</f>
        <v/>
      </c>
      <c r="DB420" t="str">
        <f>""</f>
        <v/>
      </c>
      <c r="DC420" t="str">
        <f>""</f>
        <v/>
      </c>
      <c r="DD420" t="str">
        <f>""</f>
        <v/>
      </c>
      <c r="DE420" t="str">
        <f>""</f>
        <v/>
      </c>
      <c r="DF420" t="str">
        <f>""</f>
        <v/>
      </c>
      <c r="DG420" t="str">
        <f>""</f>
        <v/>
      </c>
      <c r="DH420" t="str">
        <f>""</f>
        <v/>
      </c>
      <c r="DI420" t="str">
        <f>""</f>
        <v/>
      </c>
      <c r="DJ420" t="str">
        <f>""</f>
        <v/>
      </c>
      <c r="DK420" t="str">
        <f>""</f>
        <v/>
      </c>
      <c r="DL420" t="str">
        <f>""</f>
        <v/>
      </c>
      <c r="DM420" t="str">
        <f>""</f>
        <v/>
      </c>
      <c r="DN420" t="str">
        <f>""</f>
        <v/>
      </c>
      <c r="DO420" t="str">
        <f>""</f>
        <v/>
      </c>
      <c r="DP420" t="str">
        <f>""</f>
        <v/>
      </c>
      <c r="DQ420" t="str">
        <f>""</f>
        <v/>
      </c>
      <c r="DR420" t="str">
        <f>""</f>
        <v/>
      </c>
      <c r="DS420" t="str">
        <f>""</f>
        <v/>
      </c>
      <c r="DT420" t="str">
        <f>""</f>
        <v/>
      </c>
      <c r="DU420" t="str">
        <f>""</f>
        <v/>
      </c>
    </row>
    <row r="421" spans="1:125">
      <c r="B421" t="str">
        <f>"BRX US Equity"</f>
        <v>BRX US Equity</v>
      </c>
      <c r="C421" t="str">
        <f>"RR253"</f>
        <v>RR253</v>
      </c>
      <c r="D421" t="str">
        <f>"CASH_AND_MARKETABLE_SECURITIES"</f>
        <v>CASH_AND_MARKETABLE_SECURITIES</v>
      </c>
      <c r="E421" t="str">
        <f t="shared" ref="E421:E465" si="75">"动态"</f>
        <v>动态</v>
      </c>
      <c r="F421" t="str">
        <f ca="1">BDH($B$421,$C$421,$B$417,$B$418,CONCATENATE("Per=",$B$415),"Dts=H","Dir=H",CONCATENATE("Points=",$B$416),"Sort=R","Days=A","Fill=B",CONCATENATE("FX=", $B$414) )</f>
        <v>#N/A Authorization</v>
      </c>
      <c r="BN421" t="str">
        <f>""</f>
        <v/>
      </c>
      <c r="BO421" t="str">
        <f>""</f>
        <v/>
      </c>
      <c r="BP421" t="str">
        <f>""</f>
        <v/>
      </c>
      <c r="BQ421" t="str">
        <f>""</f>
        <v/>
      </c>
      <c r="BR421" t="str">
        <f>""</f>
        <v/>
      </c>
      <c r="BS421" t="str">
        <f>""</f>
        <v/>
      </c>
      <c r="BT421" t="str">
        <f>""</f>
        <v/>
      </c>
      <c r="BU421" t="str">
        <f>""</f>
        <v/>
      </c>
      <c r="BV421" t="str">
        <f>""</f>
        <v/>
      </c>
      <c r="BW421" t="str">
        <f>""</f>
        <v/>
      </c>
      <c r="BX421" t="str">
        <f>""</f>
        <v/>
      </c>
      <c r="BY421" t="str">
        <f>""</f>
        <v/>
      </c>
      <c r="BZ421" t="str">
        <f>""</f>
        <v/>
      </c>
      <c r="CA421" t="str">
        <f>""</f>
        <v/>
      </c>
      <c r="CB421" t="str">
        <f>""</f>
        <v/>
      </c>
      <c r="CC421" t="str">
        <f>""</f>
        <v/>
      </c>
      <c r="CD421" t="str">
        <f>""</f>
        <v/>
      </c>
      <c r="CE421" t="str">
        <f>""</f>
        <v/>
      </c>
      <c r="CF421" t="str">
        <f>""</f>
        <v/>
      </c>
      <c r="CG421" t="str">
        <f>""</f>
        <v/>
      </c>
      <c r="CH421" t="str">
        <f>""</f>
        <v/>
      </c>
      <c r="CI421" t="str">
        <f>""</f>
        <v/>
      </c>
      <c r="CJ421" t="str">
        <f>""</f>
        <v/>
      </c>
      <c r="CK421" t="str">
        <f>""</f>
        <v/>
      </c>
      <c r="CL421" t="str">
        <f>""</f>
        <v/>
      </c>
      <c r="CM421" t="str">
        <f>""</f>
        <v/>
      </c>
      <c r="CN421" t="str">
        <f>""</f>
        <v/>
      </c>
      <c r="CO421" t="str">
        <f>""</f>
        <v/>
      </c>
      <c r="CP421" t="str">
        <f>""</f>
        <v/>
      </c>
      <c r="CQ421" t="str">
        <f>""</f>
        <v/>
      </c>
      <c r="CR421" t="str">
        <f>""</f>
        <v/>
      </c>
      <c r="CS421" t="str">
        <f>""</f>
        <v/>
      </c>
      <c r="CT421" t="str">
        <f>""</f>
        <v/>
      </c>
      <c r="CU421" t="str">
        <f>""</f>
        <v/>
      </c>
      <c r="CV421" t="str">
        <f>""</f>
        <v/>
      </c>
      <c r="CW421" t="str">
        <f>""</f>
        <v/>
      </c>
      <c r="CX421" t="str">
        <f>""</f>
        <v/>
      </c>
      <c r="CY421" t="str">
        <f>""</f>
        <v/>
      </c>
      <c r="CZ421" t="str">
        <f>""</f>
        <v/>
      </c>
      <c r="DA421" t="str">
        <f>""</f>
        <v/>
      </c>
      <c r="DB421" t="str">
        <f>""</f>
        <v/>
      </c>
      <c r="DC421" t="str">
        <f>""</f>
        <v/>
      </c>
      <c r="DD421" t="str">
        <f>""</f>
        <v/>
      </c>
      <c r="DE421" t="str">
        <f>""</f>
        <v/>
      </c>
      <c r="DF421" t="str">
        <f>""</f>
        <v/>
      </c>
      <c r="DG421" t="str">
        <f>""</f>
        <v/>
      </c>
      <c r="DH421" t="str">
        <f>""</f>
        <v/>
      </c>
      <c r="DI421" t="str">
        <f>""</f>
        <v/>
      </c>
      <c r="DJ421" t="str">
        <f>""</f>
        <v/>
      </c>
      <c r="DK421" t="str">
        <f>""</f>
        <v/>
      </c>
      <c r="DL421" t="str">
        <f>""</f>
        <v/>
      </c>
      <c r="DM421" t="str">
        <f>""</f>
        <v/>
      </c>
      <c r="DN421" t="str">
        <f>""</f>
        <v/>
      </c>
      <c r="DO421" t="str">
        <f>""</f>
        <v/>
      </c>
      <c r="DP421" t="str">
        <f>""</f>
        <v/>
      </c>
      <c r="DQ421" t="str">
        <f>""</f>
        <v/>
      </c>
      <c r="DR421" t="str">
        <f>""</f>
        <v/>
      </c>
      <c r="DS421" t="str">
        <f>""</f>
        <v/>
      </c>
      <c r="DT421" t="str">
        <f>""</f>
        <v/>
      </c>
      <c r="DU421" t="str">
        <f>""</f>
        <v/>
      </c>
    </row>
    <row r="422" spans="1:125">
      <c r="B422" t="str">
        <f>"BRX US Equity"</f>
        <v>BRX US Equity</v>
      </c>
      <c r="C422" t="str">
        <f>"BS189"</f>
        <v>BS189</v>
      </c>
      <c r="D422" t="str">
        <f>"BS_TOTAL_AVAIL_LINE_OF_CREDIT"</f>
        <v>BS_TOTAL_AVAIL_LINE_OF_CREDIT</v>
      </c>
      <c r="E422" t="str">
        <f t="shared" si="75"/>
        <v>动态</v>
      </c>
      <c r="F422" t="str">
        <f ca="1">BDH($B$422,$C$422,$B$417,$B$418,CONCATENATE("Per=",$B$415),"Dts=H","Dir=H",CONCATENATE("Points=",$B$416),"Sort=R","Days=A","Fill=B",CONCATENATE("FX=", $B$414) )</f>
        <v>#N/A Authorization</v>
      </c>
      <c r="BN422" t="str">
        <f>""</f>
        <v/>
      </c>
      <c r="BO422" t="str">
        <f>""</f>
        <v/>
      </c>
      <c r="BP422" t="str">
        <f>""</f>
        <v/>
      </c>
      <c r="BQ422" t="str">
        <f>""</f>
        <v/>
      </c>
      <c r="BR422" t="str">
        <f>""</f>
        <v/>
      </c>
      <c r="BS422" t="str">
        <f>""</f>
        <v/>
      </c>
      <c r="BT422" t="str">
        <f>""</f>
        <v/>
      </c>
      <c r="BU422" t="str">
        <f>""</f>
        <v/>
      </c>
      <c r="BV422" t="str">
        <f>""</f>
        <v/>
      </c>
      <c r="BW422" t="str">
        <f>""</f>
        <v/>
      </c>
      <c r="BX422" t="str">
        <f>""</f>
        <v/>
      </c>
      <c r="BY422" t="str">
        <f>""</f>
        <v/>
      </c>
      <c r="BZ422" t="str">
        <f>""</f>
        <v/>
      </c>
      <c r="CA422" t="str">
        <f>""</f>
        <v/>
      </c>
      <c r="CB422" t="str">
        <f>""</f>
        <v/>
      </c>
      <c r="CC422" t="str">
        <f>""</f>
        <v/>
      </c>
      <c r="CD422" t="str">
        <f>""</f>
        <v/>
      </c>
      <c r="CE422" t="str">
        <f>""</f>
        <v/>
      </c>
      <c r="CF422" t="str">
        <f>""</f>
        <v/>
      </c>
      <c r="CG422" t="str">
        <f>""</f>
        <v/>
      </c>
      <c r="CH422" t="str">
        <f>""</f>
        <v/>
      </c>
      <c r="CI422" t="str">
        <f>""</f>
        <v/>
      </c>
      <c r="CJ422" t="str">
        <f>""</f>
        <v/>
      </c>
      <c r="CK422" t="str">
        <f>""</f>
        <v/>
      </c>
      <c r="CL422" t="str">
        <f>""</f>
        <v/>
      </c>
      <c r="CM422" t="str">
        <f>""</f>
        <v/>
      </c>
      <c r="CN422" t="str">
        <f>""</f>
        <v/>
      </c>
      <c r="CO422" t="str">
        <f>""</f>
        <v/>
      </c>
      <c r="CP422" t="str">
        <f>""</f>
        <v/>
      </c>
      <c r="CQ422" t="str">
        <f>""</f>
        <v/>
      </c>
      <c r="CR422" t="str">
        <f>""</f>
        <v/>
      </c>
      <c r="CS422" t="str">
        <f>""</f>
        <v/>
      </c>
      <c r="CT422" t="str">
        <f>""</f>
        <v/>
      </c>
      <c r="CU422" t="str">
        <f>""</f>
        <v/>
      </c>
      <c r="CV422" t="str">
        <f>""</f>
        <v/>
      </c>
      <c r="CW422" t="str">
        <f>""</f>
        <v/>
      </c>
      <c r="CX422" t="str">
        <f>""</f>
        <v/>
      </c>
      <c r="CY422" t="str">
        <f>""</f>
        <v/>
      </c>
      <c r="CZ422" t="str">
        <f>""</f>
        <v/>
      </c>
      <c r="DA422" t="str">
        <f>""</f>
        <v/>
      </c>
      <c r="DB422" t="str">
        <f>""</f>
        <v/>
      </c>
      <c r="DC422" t="str">
        <f>""</f>
        <v/>
      </c>
      <c r="DD422" t="str">
        <f>""</f>
        <v/>
      </c>
      <c r="DE422" t="str">
        <f>""</f>
        <v/>
      </c>
      <c r="DF422" t="str">
        <f>""</f>
        <v/>
      </c>
      <c r="DG422" t="str">
        <f>""</f>
        <v/>
      </c>
      <c r="DH422" t="str">
        <f>""</f>
        <v/>
      </c>
      <c r="DI422" t="str">
        <f>""</f>
        <v/>
      </c>
      <c r="DJ422" t="str">
        <f>""</f>
        <v/>
      </c>
      <c r="DK422" t="str">
        <f>""</f>
        <v/>
      </c>
      <c r="DL422" t="str">
        <f>""</f>
        <v/>
      </c>
      <c r="DM422" t="str">
        <f>""</f>
        <v/>
      </c>
      <c r="DN422" t="str">
        <f>""</f>
        <v/>
      </c>
      <c r="DO422" t="str">
        <f>""</f>
        <v/>
      </c>
      <c r="DP422" t="str">
        <f>""</f>
        <v/>
      </c>
      <c r="DQ422" t="str">
        <f>""</f>
        <v/>
      </c>
      <c r="DR422" t="str">
        <f>""</f>
        <v/>
      </c>
      <c r="DS422" t="str">
        <f>""</f>
        <v/>
      </c>
      <c r="DT422" t="str">
        <f>""</f>
        <v/>
      </c>
      <c r="DU422" t="str">
        <f>""</f>
        <v/>
      </c>
    </row>
    <row r="423" spans="1:125">
      <c r="B423" t="str">
        <f>"BRX US Equity"</f>
        <v>BRX US Equity</v>
      </c>
      <c r="C423" t="str">
        <f>"BS658"</f>
        <v>BS658</v>
      </c>
      <c r="D423" t="str">
        <f>"BS_YEAR_1_PRINCIPAL"</f>
        <v>BS_YEAR_1_PRINCIPAL</v>
      </c>
      <c r="E423" t="str">
        <f t="shared" si="75"/>
        <v>动态</v>
      </c>
      <c r="F423" t="str">
        <f ca="1">BDH($B$423,$C$423,$B$417,$B$418,CONCATENATE("Per=",$B$415),"Dts=H","Dir=H",CONCATENATE("Points=",$B$416),"Sort=R","Days=A","Fill=B",CONCATENATE("FX=", $B$414) )</f>
        <v>#N/A Authorization</v>
      </c>
      <c r="BN423" t="str">
        <f>""</f>
        <v/>
      </c>
      <c r="BO423" t="str">
        <f>""</f>
        <v/>
      </c>
      <c r="BP423" t="str">
        <f>""</f>
        <v/>
      </c>
      <c r="BQ423" t="str">
        <f>""</f>
        <v/>
      </c>
      <c r="BR423" t="str">
        <f>""</f>
        <v/>
      </c>
      <c r="BS423" t="str">
        <f>""</f>
        <v/>
      </c>
      <c r="BT423" t="str">
        <f>""</f>
        <v/>
      </c>
      <c r="BU423" t="str">
        <f>""</f>
        <v/>
      </c>
      <c r="BV423" t="str">
        <f>""</f>
        <v/>
      </c>
      <c r="BW423" t="str">
        <f>""</f>
        <v/>
      </c>
      <c r="BX423" t="str">
        <f>""</f>
        <v/>
      </c>
      <c r="BY423" t="str">
        <f>""</f>
        <v/>
      </c>
      <c r="BZ423" t="str">
        <f>""</f>
        <v/>
      </c>
      <c r="CA423" t="str">
        <f>""</f>
        <v/>
      </c>
      <c r="CB423" t="str">
        <f>""</f>
        <v/>
      </c>
      <c r="CC423" t="str">
        <f>""</f>
        <v/>
      </c>
      <c r="CD423" t="str">
        <f>""</f>
        <v/>
      </c>
      <c r="CE423" t="str">
        <f>""</f>
        <v/>
      </c>
      <c r="CF423" t="str">
        <f>""</f>
        <v/>
      </c>
      <c r="CG423" t="str">
        <f>""</f>
        <v/>
      </c>
      <c r="CH423" t="str">
        <f>""</f>
        <v/>
      </c>
      <c r="CI423" t="str">
        <f>""</f>
        <v/>
      </c>
      <c r="CJ423" t="str">
        <f>""</f>
        <v/>
      </c>
      <c r="CK423" t="str">
        <f>""</f>
        <v/>
      </c>
      <c r="CL423" t="str">
        <f>""</f>
        <v/>
      </c>
      <c r="CM423" t="str">
        <f>""</f>
        <v/>
      </c>
      <c r="CN423" t="str">
        <f>""</f>
        <v/>
      </c>
      <c r="CO423" t="str">
        <f>""</f>
        <v/>
      </c>
      <c r="CP423" t="str">
        <f>""</f>
        <v/>
      </c>
      <c r="CQ423" t="str">
        <f>""</f>
        <v/>
      </c>
      <c r="CR423" t="str">
        <f>""</f>
        <v/>
      </c>
      <c r="CS423" t="str">
        <f>""</f>
        <v/>
      </c>
      <c r="CT423" t="str">
        <f>""</f>
        <v/>
      </c>
      <c r="CU423" t="str">
        <f>""</f>
        <v/>
      </c>
      <c r="CV423" t="str">
        <f>""</f>
        <v/>
      </c>
      <c r="CW423" t="str">
        <f>""</f>
        <v/>
      </c>
      <c r="CX423" t="str">
        <f>""</f>
        <v/>
      </c>
      <c r="CY423" t="str">
        <f>""</f>
        <v/>
      </c>
      <c r="CZ423" t="str">
        <f>""</f>
        <v/>
      </c>
      <c r="DA423" t="str">
        <f>""</f>
        <v/>
      </c>
      <c r="DB423" t="str">
        <f>""</f>
        <v/>
      </c>
      <c r="DC423" t="str">
        <f>""</f>
        <v/>
      </c>
      <c r="DD423" t="str">
        <f>""</f>
        <v/>
      </c>
      <c r="DE423" t="str">
        <f>""</f>
        <v/>
      </c>
      <c r="DF423" t="str">
        <f>""</f>
        <v/>
      </c>
      <c r="DG423" t="str">
        <f>""</f>
        <v/>
      </c>
      <c r="DH423" t="str">
        <f>""</f>
        <v/>
      </c>
      <c r="DI423" t="str">
        <f>""</f>
        <v/>
      </c>
      <c r="DJ423" t="str">
        <f>""</f>
        <v/>
      </c>
      <c r="DK423" t="str">
        <f>""</f>
        <v/>
      </c>
      <c r="DL423" t="str">
        <f>""</f>
        <v/>
      </c>
      <c r="DM423" t="str">
        <f>""</f>
        <v/>
      </c>
      <c r="DN423" t="str">
        <f>""</f>
        <v/>
      </c>
      <c r="DO423" t="str">
        <f>""</f>
        <v/>
      </c>
      <c r="DP423" t="str">
        <f>""</f>
        <v/>
      </c>
      <c r="DQ423" t="str">
        <f>""</f>
        <v/>
      </c>
      <c r="DR423" t="str">
        <f>""</f>
        <v/>
      </c>
      <c r="DS423" t="str">
        <f>""</f>
        <v/>
      </c>
      <c r="DT423" t="str">
        <f>""</f>
        <v/>
      </c>
      <c r="DU423" t="str">
        <f>""</f>
        <v/>
      </c>
    </row>
    <row r="424" spans="1:125">
      <c r="B424" t="str">
        <f>"CBL US Equity"</f>
        <v>CBL US Equity</v>
      </c>
      <c r="C424" t="str">
        <f>"RR253"</f>
        <v>RR253</v>
      </c>
      <c r="D424" t="str">
        <f>"CASH_AND_MARKETABLE_SECURITIES"</f>
        <v>CASH_AND_MARKETABLE_SECURITIES</v>
      </c>
      <c r="E424" t="str">
        <f t="shared" si="75"/>
        <v>动态</v>
      </c>
      <c r="F424" t="str">
        <f ca="1">BDH($B$424,$C$424,$B$417,$B$418,CONCATENATE("Per=",$B$415),"Dts=H","Dir=H",CONCATENATE("Points=",$B$416),"Sort=R","Days=A","Fill=B",CONCATENATE("FX=", $B$414) )</f>
        <v>#N/A Authorization</v>
      </c>
      <c r="BN424" t="str">
        <f>""</f>
        <v/>
      </c>
      <c r="BO424" t="str">
        <f>""</f>
        <v/>
      </c>
      <c r="BP424" t="str">
        <f>""</f>
        <v/>
      </c>
      <c r="BQ424" t="str">
        <f>""</f>
        <v/>
      </c>
      <c r="BR424" t="str">
        <f>""</f>
        <v/>
      </c>
      <c r="BS424" t="str">
        <f>""</f>
        <v/>
      </c>
      <c r="BT424" t="str">
        <f>""</f>
        <v/>
      </c>
      <c r="BU424" t="str">
        <f>""</f>
        <v/>
      </c>
      <c r="BV424" t="str">
        <f>""</f>
        <v/>
      </c>
      <c r="BW424" t="str">
        <f>""</f>
        <v/>
      </c>
      <c r="BX424" t="str">
        <f>""</f>
        <v/>
      </c>
      <c r="BY424" t="str">
        <f>""</f>
        <v/>
      </c>
      <c r="BZ424" t="str">
        <f>""</f>
        <v/>
      </c>
      <c r="CA424" t="str">
        <f>""</f>
        <v/>
      </c>
      <c r="CB424" t="str">
        <f>""</f>
        <v/>
      </c>
      <c r="CC424" t="str">
        <f>""</f>
        <v/>
      </c>
      <c r="CD424" t="str">
        <f>""</f>
        <v/>
      </c>
      <c r="CE424" t="str">
        <f>""</f>
        <v/>
      </c>
      <c r="CF424" t="str">
        <f>""</f>
        <v/>
      </c>
      <c r="CG424" t="str">
        <f>""</f>
        <v/>
      </c>
      <c r="CH424" t="str">
        <f>""</f>
        <v/>
      </c>
      <c r="CI424" t="str">
        <f>""</f>
        <v/>
      </c>
      <c r="CJ424" t="str">
        <f>""</f>
        <v/>
      </c>
      <c r="CK424" t="str">
        <f>""</f>
        <v/>
      </c>
      <c r="CL424" t="str">
        <f>""</f>
        <v/>
      </c>
      <c r="CM424" t="str">
        <f>""</f>
        <v/>
      </c>
      <c r="CN424" t="str">
        <f>""</f>
        <v/>
      </c>
      <c r="CO424" t="str">
        <f>""</f>
        <v/>
      </c>
      <c r="CP424" t="str">
        <f>""</f>
        <v/>
      </c>
      <c r="CQ424" t="str">
        <f>""</f>
        <v/>
      </c>
      <c r="CR424" t="str">
        <f>""</f>
        <v/>
      </c>
      <c r="CS424" t="str">
        <f>""</f>
        <v/>
      </c>
      <c r="CT424" t="str">
        <f>""</f>
        <v/>
      </c>
      <c r="CU424" t="str">
        <f>""</f>
        <v/>
      </c>
      <c r="CV424" t="str">
        <f>""</f>
        <v/>
      </c>
      <c r="CW424" t="str">
        <f>""</f>
        <v/>
      </c>
      <c r="CX424" t="str">
        <f>""</f>
        <v/>
      </c>
      <c r="CY424" t="str">
        <f>""</f>
        <v/>
      </c>
      <c r="CZ424" t="str">
        <f>""</f>
        <v/>
      </c>
      <c r="DA424" t="str">
        <f>""</f>
        <v/>
      </c>
      <c r="DB424" t="str">
        <f>""</f>
        <v/>
      </c>
      <c r="DC424" t="str">
        <f>""</f>
        <v/>
      </c>
      <c r="DD424" t="str">
        <f>""</f>
        <v/>
      </c>
      <c r="DE424" t="str">
        <f>""</f>
        <v/>
      </c>
      <c r="DF424" t="str">
        <f>""</f>
        <v/>
      </c>
      <c r="DG424" t="str">
        <f>""</f>
        <v/>
      </c>
      <c r="DH424" t="str">
        <f>""</f>
        <v/>
      </c>
      <c r="DI424" t="str">
        <f>""</f>
        <v/>
      </c>
      <c r="DJ424" t="str">
        <f>""</f>
        <v/>
      </c>
      <c r="DK424" t="str">
        <f>""</f>
        <v/>
      </c>
      <c r="DL424" t="str">
        <f>""</f>
        <v/>
      </c>
      <c r="DM424" t="str">
        <f>""</f>
        <v/>
      </c>
      <c r="DN424" t="str">
        <f>""</f>
        <v/>
      </c>
      <c r="DO424" t="str">
        <f>""</f>
        <v/>
      </c>
      <c r="DP424" t="str">
        <f>""</f>
        <v/>
      </c>
      <c r="DQ424" t="str">
        <f>""</f>
        <v/>
      </c>
      <c r="DR424" t="str">
        <f>""</f>
        <v/>
      </c>
      <c r="DS424" t="str">
        <f>""</f>
        <v/>
      </c>
      <c r="DT424" t="str">
        <f>""</f>
        <v/>
      </c>
      <c r="DU424" t="str">
        <f>""</f>
        <v/>
      </c>
    </row>
    <row r="425" spans="1:125">
      <c r="B425" t="str">
        <f>"CBL US Equity"</f>
        <v>CBL US Equity</v>
      </c>
      <c r="C425" t="str">
        <f>"BS189"</f>
        <v>BS189</v>
      </c>
      <c r="D425" t="str">
        <f>"BS_TOTAL_AVAIL_LINE_OF_CREDIT"</f>
        <v>BS_TOTAL_AVAIL_LINE_OF_CREDIT</v>
      </c>
      <c r="E425" t="str">
        <f t="shared" si="75"/>
        <v>动态</v>
      </c>
      <c r="F425" t="str">
        <f ca="1">BDH($B$425,$C$425,$B$417,$B$418,CONCATENATE("Per=",$B$415),"Dts=H","Dir=H",CONCATENATE("Points=",$B$416),"Sort=R","Days=A","Fill=B",CONCATENATE("FX=", $B$414) )</f>
        <v>#N/A Authorization</v>
      </c>
      <c r="BN425" t="str">
        <f>""</f>
        <v/>
      </c>
      <c r="BO425" t="str">
        <f>""</f>
        <v/>
      </c>
      <c r="BP425" t="str">
        <f>""</f>
        <v/>
      </c>
      <c r="BQ425" t="str">
        <f>""</f>
        <v/>
      </c>
      <c r="BR425" t="str">
        <f>""</f>
        <v/>
      </c>
      <c r="BS425" t="str">
        <f>""</f>
        <v/>
      </c>
      <c r="BT425" t="str">
        <f>""</f>
        <v/>
      </c>
      <c r="BU425" t="str">
        <f>""</f>
        <v/>
      </c>
      <c r="BV425" t="str">
        <f>""</f>
        <v/>
      </c>
      <c r="BW425" t="str">
        <f>""</f>
        <v/>
      </c>
      <c r="BX425" t="str">
        <f>""</f>
        <v/>
      </c>
      <c r="BY425" t="str">
        <f>""</f>
        <v/>
      </c>
      <c r="BZ425" t="str">
        <f>""</f>
        <v/>
      </c>
      <c r="CA425" t="str">
        <f>""</f>
        <v/>
      </c>
      <c r="CB425" t="str">
        <f>""</f>
        <v/>
      </c>
      <c r="CC425" t="str">
        <f>""</f>
        <v/>
      </c>
      <c r="CD425" t="str">
        <f>""</f>
        <v/>
      </c>
      <c r="CE425" t="str">
        <f>""</f>
        <v/>
      </c>
      <c r="CF425" t="str">
        <f>""</f>
        <v/>
      </c>
      <c r="CG425" t="str">
        <f>""</f>
        <v/>
      </c>
      <c r="CH425" t="str">
        <f>""</f>
        <v/>
      </c>
      <c r="CI425" t="str">
        <f>""</f>
        <v/>
      </c>
      <c r="CJ425" t="str">
        <f>""</f>
        <v/>
      </c>
      <c r="CK425" t="str">
        <f>""</f>
        <v/>
      </c>
      <c r="CL425" t="str">
        <f>""</f>
        <v/>
      </c>
      <c r="CM425" t="str">
        <f>""</f>
        <v/>
      </c>
      <c r="CN425" t="str">
        <f>""</f>
        <v/>
      </c>
      <c r="CO425" t="str">
        <f>""</f>
        <v/>
      </c>
      <c r="CP425" t="str">
        <f>""</f>
        <v/>
      </c>
      <c r="CQ425" t="str">
        <f>""</f>
        <v/>
      </c>
      <c r="CR425" t="str">
        <f>""</f>
        <v/>
      </c>
      <c r="CS425" t="str">
        <f>""</f>
        <v/>
      </c>
      <c r="CT425" t="str">
        <f>""</f>
        <v/>
      </c>
      <c r="CU425" t="str">
        <f>""</f>
        <v/>
      </c>
      <c r="CV425" t="str">
        <f>""</f>
        <v/>
      </c>
      <c r="CW425" t="str">
        <f>""</f>
        <v/>
      </c>
      <c r="CX425" t="str">
        <f>""</f>
        <v/>
      </c>
      <c r="CY425" t="str">
        <f>""</f>
        <v/>
      </c>
      <c r="CZ425" t="str">
        <f>""</f>
        <v/>
      </c>
      <c r="DA425" t="str">
        <f>""</f>
        <v/>
      </c>
      <c r="DB425" t="str">
        <f>""</f>
        <v/>
      </c>
      <c r="DC425" t="str">
        <f>""</f>
        <v/>
      </c>
      <c r="DD425" t="str">
        <f>""</f>
        <v/>
      </c>
      <c r="DE425" t="str">
        <f>""</f>
        <v/>
      </c>
      <c r="DF425" t="str">
        <f>""</f>
        <v/>
      </c>
      <c r="DG425" t="str">
        <f>""</f>
        <v/>
      </c>
      <c r="DH425" t="str">
        <f>""</f>
        <v/>
      </c>
      <c r="DI425" t="str">
        <f>""</f>
        <v/>
      </c>
      <c r="DJ425" t="str">
        <f>""</f>
        <v/>
      </c>
      <c r="DK425" t="str">
        <f>""</f>
        <v/>
      </c>
      <c r="DL425" t="str">
        <f>""</f>
        <v/>
      </c>
      <c r="DM425" t="str">
        <f>""</f>
        <v/>
      </c>
      <c r="DN425" t="str">
        <f>""</f>
        <v/>
      </c>
      <c r="DO425" t="str">
        <f>""</f>
        <v/>
      </c>
      <c r="DP425" t="str">
        <f>""</f>
        <v/>
      </c>
      <c r="DQ425" t="str">
        <f>""</f>
        <v/>
      </c>
      <c r="DR425" t="str">
        <f>""</f>
        <v/>
      </c>
      <c r="DS425" t="str">
        <f>""</f>
        <v/>
      </c>
      <c r="DT425" t="str">
        <f>""</f>
        <v/>
      </c>
      <c r="DU425" t="str">
        <f>""</f>
        <v/>
      </c>
    </row>
    <row r="426" spans="1:125">
      <c r="B426" t="str">
        <f>"CBL US Equity"</f>
        <v>CBL US Equity</v>
      </c>
      <c r="C426" t="str">
        <f>"BS658"</f>
        <v>BS658</v>
      </c>
      <c r="D426" t="str">
        <f>"BS_YEAR_1_PRINCIPAL"</f>
        <v>BS_YEAR_1_PRINCIPAL</v>
      </c>
      <c r="E426" t="str">
        <f t="shared" si="75"/>
        <v>动态</v>
      </c>
      <c r="F426" t="str">
        <f ca="1">BDH($B$426,$C$426,$B$417,$B$418,CONCATENATE("Per=",$B$415),"Dts=H","Dir=H",CONCATENATE("Points=",$B$416),"Sort=R","Days=A","Fill=B",CONCATENATE("FX=", $B$414) )</f>
        <v>#N/A Authorization</v>
      </c>
      <c r="BN426" t="str">
        <f>""</f>
        <v/>
      </c>
      <c r="BO426" t="str">
        <f>""</f>
        <v/>
      </c>
      <c r="BP426" t="str">
        <f>""</f>
        <v/>
      </c>
      <c r="BQ426" t="str">
        <f>""</f>
        <v/>
      </c>
      <c r="BR426" t="str">
        <f>""</f>
        <v/>
      </c>
      <c r="BS426" t="str">
        <f>""</f>
        <v/>
      </c>
      <c r="BT426" t="str">
        <f>""</f>
        <v/>
      </c>
      <c r="BU426" t="str">
        <f>""</f>
        <v/>
      </c>
      <c r="BV426" t="str">
        <f>""</f>
        <v/>
      </c>
      <c r="BW426" t="str">
        <f>""</f>
        <v/>
      </c>
      <c r="BX426" t="str">
        <f>""</f>
        <v/>
      </c>
      <c r="BY426" t="str">
        <f>""</f>
        <v/>
      </c>
      <c r="BZ426" t="str">
        <f>""</f>
        <v/>
      </c>
      <c r="CA426" t="str">
        <f>""</f>
        <v/>
      </c>
      <c r="CB426" t="str">
        <f>""</f>
        <v/>
      </c>
      <c r="CC426" t="str">
        <f>""</f>
        <v/>
      </c>
      <c r="CD426" t="str">
        <f>""</f>
        <v/>
      </c>
      <c r="CE426" t="str">
        <f>""</f>
        <v/>
      </c>
      <c r="CF426" t="str">
        <f>""</f>
        <v/>
      </c>
      <c r="CG426" t="str">
        <f>""</f>
        <v/>
      </c>
      <c r="CH426" t="str">
        <f>""</f>
        <v/>
      </c>
      <c r="CI426" t="str">
        <f>""</f>
        <v/>
      </c>
      <c r="CJ426" t="str">
        <f>""</f>
        <v/>
      </c>
      <c r="CK426" t="str">
        <f>""</f>
        <v/>
      </c>
      <c r="CL426" t="str">
        <f>""</f>
        <v/>
      </c>
      <c r="CM426" t="str">
        <f>""</f>
        <v/>
      </c>
      <c r="CN426" t="str">
        <f>""</f>
        <v/>
      </c>
      <c r="CO426" t="str">
        <f>""</f>
        <v/>
      </c>
      <c r="CP426" t="str">
        <f>""</f>
        <v/>
      </c>
      <c r="CQ426" t="str">
        <f>""</f>
        <v/>
      </c>
      <c r="CR426" t="str">
        <f>""</f>
        <v/>
      </c>
      <c r="CS426" t="str">
        <f>""</f>
        <v/>
      </c>
      <c r="CT426" t="str">
        <f>""</f>
        <v/>
      </c>
      <c r="CU426" t="str">
        <f>""</f>
        <v/>
      </c>
      <c r="CV426" t="str">
        <f>""</f>
        <v/>
      </c>
      <c r="CW426" t="str">
        <f>""</f>
        <v/>
      </c>
      <c r="CX426" t="str">
        <f>""</f>
        <v/>
      </c>
      <c r="CY426" t="str">
        <f>""</f>
        <v/>
      </c>
      <c r="CZ426" t="str">
        <f>""</f>
        <v/>
      </c>
      <c r="DA426" t="str">
        <f>""</f>
        <v/>
      </c>
      <c r="DB426" t="str">
        <f>""</f>
        <v/>
      </c>
      <c r="DC426" t="str">
        <f>""</f>
        <v/>
      </c>
      <c r="DD426" t="str">
        <f>""</f>
        <v/>
      </c>
      <c r="DE426" t="str">
        <f>""</f>
        <v/>
      </c>
      <c r="DF426" t="str">
        <f>""</f>
        <v/>
      </c>
      <c r="DG426" t="str">
        <f>""</f>
        <v/>
      </c>
      <c r="DH426" t="str">
        <f>""</f>
        <v/>
      </c>
      <c r="DI426" t="str">
        <f>""</f>
        <v/>
      </c>
      <c r="DJ426" t="str">
        <f>""</f>
        <v/>
      </c>
      <c r="DK426" t="str">
        <f>""</f>
        <v/>
      </c>
      <c r="DL426" t="str">
        <f>""</f>
        <v/>
      </c>
      <c r="DM426" t="str">
        <f>""</f>
        <v/>
      </c>
      <c r="DN426" t="str">
        <f>""</f>
        <v/>
      </c>
      <c r="DO426" t="str">
        <f>""</f>
        <v/>
      </c>
      <c r="DP426" t="str">
        <f>""</f>
        <v/>
      </c>
      <c r="DQ426" t="str">
        <f>""</f>
        <v/>
      </c>
      <c r="DR426" t="str">
        <f>""</f>
        <v/>
      </c>
      <c r="DS426" t="str">
        <f>""</f>
        <v/>
      </c>
      <c r="DT426" t="str">
        <f>""</f>
        <v/>
      </c>
      <c r="DU426" t="str">
        <f>""</f>
        <v/>
      </c>
    </row>
    <row r="427" spans="1:125">
      <c r="B427" t="str">
        <f>"DDR US Equity"</f>
        <v>DDR US Equity</v>
      </c>
      <c r="C427" t="str">
        <f>"RR253"</f>
        <v>RR253</v>
      </c>
      <c r="D427" t="str">
        <f>"CASH_AND_MARKETABLE_SECURITIES"</f>
        <v>CASH_AND_MARKETABLE_SECURITIES</v>
      </c>
      <c r="E427" t="str">
        <f t="shared" si="75"/>
        <v>动态</v>
      </c>
      <c r="F427" t="str">
        <f ca="1">BDH($B$427,$C$427,$B$417,$B$418,CONCATENATE("Per=",$B$415),"Dts=H","Dir=H",CONCATENATE("Points=",$B$416),"Sort=R","Days=A","Fill=B",CONCATENATE("FX=", $B$414) )</f>
        <v>#N/A Authorization</v>
      </c>
      <c r="BN427" t="str">
        <f>""</f>
        <v/>
      </c>
      <c r="BO427" t="str">
        <f>""</f>
        <v/>
      </c>
      <c r="BP427" t="str">
        <f>""</f>
        <v/>
      </c>
      <c r="BQ427" t="str">
        <f>""</f>
        <v/>
      </c>
      <c r="BR427" t="str">
        <f>""</f>
        <v/>
      </c>
      <c r="BS427" t="str">
        <f>""</f>
        <v/>
      </c>
      <c r="BT427" t="str">
        <f>""</f>
        <v/>
      </c>
      <c r="BU427" t="str">
        <f>""</f>
        <v/>
      </c>
      <c r="BV427" t="str">
        <f>""</f>
        <v/>
      </c>
      <c r="BW427" t="str">
        <f>""</f>
        <v/>
      </c>
      <c r="BX427" t="str">
        <f>""</f>
        <v/>
      </c>
      <c r="BY427" t="str">
        <f>""</f>
        <v/>
      </c>
      <c r="BZ427" t="str">
        <f>""</f>
        <v/>
      </c>
      <c r="CA427" t="str">
        <f>""</f>
        <v/>
      </c>
      <c r="CB427" t="str">
        <f>""</f>
        <v/>
      </c>
      <c r="CC427" t="str">
        <f>""</f>
        <v/>
      </c>
      <c r="CD427" t="str">
        <f>""</f>
        <v/>
      </c>
      <c r="CE427" t="str">
        <f>""</f>
        <v/>
      </c>
      <c r="CF427" t="str">
        <f>""</f>
        <v/>
      </c>
      <c r="CG427" t="str">
        <f>""</f>
        <v/>
      </c>
      <c r="CH427" t="str">
        <f>""</f>
        <v/>
      </c>
      <c r="CI427" t="str">
        <f>""</f>
        <v/>
      </c>
      <c r="CJ427" t="str">
        <f>""</f>
        <v/>
      </c>
      <c r="CK427" t="str">
        <f>""</f>
        <v/>
      </c>
      <c r="CL427" t="str">
        <f>""</f>
        <v/>
      </c>
      <c r="CM427" t="str">
        <f>""</f>
        <v/>
      </c>
      <c r="CN427" t="str">
        <f>""</f>
        <v/>
      </c>
      <c r="CO427" t="str">
        <f>""</f>
        <v/>
      </c>
      <c r="CP427" t="str">
        <f>""</f>
        <v/>
      </c>
      <c r="CQ427" t="str">
        <f>""</f>
        <v/>
      </c>
      <c r="CR427" t="str">
        <f>""</f>
        <v/>
      </c>
      <c r="CS427" t="str">
        <f>""</f>
        <v/>
      </c>
      <c r="CT427" t="str">
        <f>""</f>
        <v/>
      </c>
      <c r="CU427" t="str">
        <f>""</f>
        <v/>
      </c>
      <c r="CV427" t="str">
        <f>""</f>
        <v/>
      </c>
      <c r="CW427" t="str">
        <f>""</f>
        <v/>
      </c>
      <c r="CX427" t="str">
        <f>""</f>
        <v/>
      </c>
      <c r="CY427" t="str">
        <f>""</f>
        <v/>
      </c>
      <c r="CZ427" t="str">
        <f>""</f>
        <v/>
      </c>
      <c r="DA427" t="str">
        <f>""</f>
        <v/>
      </c>
      <c r="DB427" t="str">
        <f>""</f>
        <v/>
      </c>
      <c r="DC427" t="str">
        <f>""</f>
        <v/>
      </c>
      <c r="DD427" t="str">
        <f>""</f>
        <v/>
      </c>
      <c r="DE427" t="str">
        <f>""</f>
        <v/>
      </c>
      <c r="DF427" t="str">
        <f>""</f>
        <v/>
      </c>
      <c r="DG427" t="str">
        <f>""</f>
        <v/>
      </c>
      <c r="DH427" t="str">
        <f>""</f>
        <v/>
      </c>
      <c r="DI427" t="str">
        <f>""</f>
        <v/>
      </c>
      <c r="DJ427" t="str">
        <f>""</f>
        <v/>
      </c>
      <c r="DK427" t="str">
        <f>""</f>
        <v/>
      </c>
      <c r="DL427" t="str">
        <f>""</f>
        <v/>
      </c>
      <c r="DM427" t="str">
        <f>""</f>
        <v/>
      </c>
      <c r="DN427" t="str">
        <f>""</f>
        <v/>
      </c>
      <c r="DO427" t="str">
        <f>""</f>
        <v/>
      </c>
      <c r="DP427" t="str">
        <f>""</f>
        <v/>
      </c>
      <c r="DQ427" t="str">
        <f>""</f>
        <v/>
      </c>
      <c r="DR427" t="str">
        <f>""</f>
        <v/>
      </c>
      <c r="DS427" t="str">
        <f>""</f>
        <v/>
      </c>
      <c r="DT427" t="str">
        <f>""</f>
        <v/>
      </c>
      <c r="DU427" t="str">
        <f>""</f>
        <v/>
      </c>
    </row>
    <row r="428" spans="1:125">
      <c r="B428" t="str">
        <f>"DDR US Equity"</f>
        <v>DDR US Equity</v>
      </c>
      <c r="C428" t="str">
        <f>"BS189"</f>
        <v>BS189</v>
      </c>
      <c r="D428" t="str">
        <f>"BS_TOTAL_AVAIL_LINE_OF_CREDIT"</f>
        <v>BS_TOTAL_AVAIL_LINE_OF_CREDIT</v>
      </c>
      <c r="E428" t="str">
        <f t="shared" si="75"/>
        <v>动态</v>
      </c>
      <c r="F428" t="str">
        <f ca="1">BDH($B$428,$C$428,$B$417,$B$418,CONCATENATE("Per=",$B$415),"Dts=H","Dir=H",CONCATENATE("Points=",$B$416),"Sort=R","Days=A","Fill=B",CONCATENATE("FX=", $B$414) )</f>
        <v>#N/A Authorization</v>
      </c>
      <c r="BN428" t="str">
        <f>""</f>
        <v/>
      </c>
      <c r="BO428" t="str">
        <f>""</f>
        <v/>
      </c>
      <c r="BP428" t="str">
        <f>""</f>
        <v/>
      </c>
      <c r="BQ428" t="str">
        <f>""</f>
        <v/>
      </c>
      <c r="BR428" t="str">
        <f>""</f>
        <v/>
      </c>
      <c r="BS428" t="str">
        <f>""</f>
        <v/>
      </c>
      <c r="BT428" t="str">
        <f>""</f>
        <v/>
      </c>
      <c r="BU428" t="str">
        <f>""</f>
        <v/>
      </c>
      <c r="BV428" t="str">
        <f>""</f>
        <v/>
      </c>
      <c r="BW428" t="str">
        <f>""</f>
        <v/>
      </c>
      <c r="BX428" t="str">
        <f>""</f>
        <v/>
      </c>
      <c r="BY428" t="str">
        <f>""</f>
        <v/>
      </c>
      <c r="BZ428" t="str">
        <f>""</f>
        <v/>
      </c>
      <c r="CA428" t="str">
        <f>""</f>
        <v/>
      </c>
      <c r="CB428" t="str">
        <f>""</f>
        <v/>
      </c>
      <c r="CC428" t="str">
        <f>""</f>
        <v/>
      </c>
      <c r="CD428" t="str">
        <f>""</f>
        <v/>
      </c>
      <c r="CE428" t="str">
        <f>""</f>
        <v/>
      </c>
      <c r="CF428" t="str">
        <f>""</f>
        <v/>
      </c>
      <c r="CG428" t="str">
        <f>""</f>
        <v/>
      </c>
      <c r="CH428" t="str">
        <f>""</f>
        <v/>
      </c>
      <c r="CI428" t="str">
        <f>""</f>
        <v/>
      </c>
      <c r="CJ428" t="str">
        <f>""</f>
        <v/>
      </c>
      <c r="CK428" t="str">
        <f>""</f>
        <v/>
      </c>
      <c r="CL428" t="str">
        <f>""</f>
        <v/>
      </c>
      <c r="CM428" t="str">
        <f>""</f>
        <v/>
      </c>
      <c r="CN428" t="str">
        <f>""</f>
        <v/>
      </c>
      <c r="CO428" t="str">
        <f>""</f>
        <v/>
      </c>
      <c r="CP428" t="str">
        <f>""</f>
        <v/>
      </c>
      <c r="CQ428" t="str">
        <f>""</f>
        <v/>
      </c>
      <c r="CR428" t="str">
        <f>""</f>
        <v/>
      </c>
      <c r="CS428" t="str">
        <f>""</f>
        <v/>
      </c>
      <c r="CT428" t="str">
        <f>""</f>
        <v/>
      </c>
      <c r="CU428" t="str">
        <f>""</f>
        <v/>
      </c>
      <c r="CV428" t="str">
        <f>""</f>
        <v/>
      </c>
      <c r="CW428" t="str">
        <f>""</f>
        <v/>
      </c>
      <c r="CX428" t="str">
        <f>""</f>
        <v/>
      </c>
      <c r="CY428" t="str">
        <f>""</f>
        <v/>
      </c>
      <c r="CZ428" t="str">
        <f>""</f>
        <v/>
      </c>
      <c r="DA428" t="str">
        <f>""</f>
        <v/>
      </c>
      <c r="DB428" t="str">
        <f>""</f>
        <v/>
      </c>
      <c r="DC428" t="str">
        <f>""</f>
        <v/>
      </c>
      <c r="DD428" t="str">
        <f>""</f>
        <v/>
      </c>
      <c r="DE428" t="str">
        <f>""</f>
        <v/>
      </c>
      <c r="DF428" t="str">
        <f>""</f>
        <v/>
      </c>
      <c r="DG428" t="str">
        <f>""</f>
        <v/>
      </c>
      <c r="DH428" t="str">
        <f>""</f>
        <v/>
      </c>
      <c r="DI428" t="str">
        <f>""</f>
        <v/>
      </c>
      <c r="DJ428" t="str">
        <f>""</f>
        <v/>
      </c>
      <c r="DK428" t="str">
        <f>""</f>
        <v/>
      </c>
      <c r="DL428" t="str">
        <f>""</f>
        <v/>
      </c>
      <c r="DM428" t="str">
        <f>""</f>
        <v/>
      </c>
      <c r="DN428" t="str">
        <f>""</f>
        <v/>
      </c>
      <c r="DO428" t="str">
        <f>""</f>
        <v/>
      </c>
      <c r="DP428" t="str">
        <f>""</f>
        <v/>
      </c>
      <c r="DQ428" t="str">
        <f>""</f>
        <v/>
      </c>
      <c r="DR428" t="str">
        <f>""</f>
        <v/>
      </c>
      <c r="DS428" t="str">
        <f>""</f>
        <v/>
      </c>
      <c r="DT428" t="str">
        <f>""</f>
        <v/>
      </c>
      <c r="DU428" t="str">
        <f>""</f>
        <v/>
      </c>
    </row>
    <row r="429" spans="1:125">
      <c r="B429" t="str">
        <f>"DDR US Equity"</f>
        <v>DDR US Equity</v>
      </c>
      <c r="C429" t="str">
        <f>"BS658"</f>
        <v>BS658</v>
      </c>
      <c r="D429" t="str">
        <f>"BS_YEAR_1_PRINCIPAL"</f>
        <v>BS_YEAR_1_PRINCIPAL</v>
      </c>
      <c r="E429" t="str">
        <f t="shared" si="75"/>
        <v>动态</v>
      </c>
      <c r="F429" t="str">
        <f ca="1">BDH($B$429,$C$429,$B$417,$B$418,CONCATENATE("Per=",$B$415),"Dts=H","Dir=H",CONCATENATE("Points=",$B$416),"Sort=R","Days=A","Fill=B",CONCATENATE("FX=", $B$414) )</f>
        <v>#N/A Authorization</v>
      </c>
      <c r="BN429" t="str">
        <f>""</f>
        <v/>
      </c>
      <c r="BO429" t="str">
        <f>""</f>
        <v/>
      </c>
      <c r="BP429" t="str">
        <f>""</f>
        <v/>
      </c>
      <c r="BQ429" t="str">
        <f>""</f>
        <v/>
      </c>
      <c r="BR429" t="str">
        <f>""</f>
        <v/>
      </c>
      <c r="BS429" t="str">
        <f>""</f>
        <v/>
      </c>
      <c r="BT429" t="str">
        <f>""</f>
        <v/>
      </c>
      <c r="BU429" t="str">
        <f>""</f>
        <v/>
      </c>
      <c r="BV429" t="str">
        <f>""</f>
        <v/>
      </c>
      <c r="BW429" t="str">
        <f>""</f>
        <v/>
      </c>
      <c r="BX429" t="str">
        <f>""</f>
        <v/>
      </c>
      <c r="BY429" t="str">
        <f>""</f>
        <v/>
      </c>
      <c r="BZ429" t="str">
        <f>""</f>
        <v/>
      </c>
      <c r="CA429" t="str">
        <f>""</f>
        <v/>
      </c>
      <c r="CB429" t="str">
        <f>""</f>
        <v/>
      </c>
      <c r="CC429" t="str">
        <f>""</f>
        <v/>
      </c>
      <c r="CD429" t="str">
        <f>""</f>
        <v/>
      </c>
      <c r="CE429" t="str">
        <f>""</f>
        <v/>
      </c>
      <c r="CF429" t="str">
        <f>""</f>
        <v/>
      </c>
      <c r="CG429" t="str">
        <f>""</f>
        <v/>
      </c>
      <c r="CH429" t="str">
        <f>""</f>
        <v/>
      </c>
      <c r="CI429" t="str">
        <f>""</f>
        <v/>
      </c>
      <c r="CJ429" t="str">
        <f>""</f>
        <v/>
      </c>
      <c r="CK429" t="str">
        <f>""</f>
        <v/>
      </c>
      <c r="CL429" t="str">
        <f>""</f>
        <v/>
      </c>
      <c r="CM429" t="str">
        <f>""</f>
        <v/>
      </c>
      <c r="CN429" t="str">
        <f>""</f>
        <v/>
      </c>
      <c r="CO429" t="str">
        <f>""</f>
        <v/>
      </c>
      <c r="CP429" t="str">
        <f>""</f>
        <v/>
      </c>
      <c r="CQ429" t="str">
        <f>""</f>
        <v/>
      </c>
      <c r="CR429" t="str">
        <f>""</f>
        <v/>
      </c>
      <c r="CS429" t="str">
        <f>""</f>
        <v/>
      </c>
      <c r="CT429" t="str">
        <f>""</f>
        <v/>
      </c>
      <c r="CU429" t="str">
        <f>""</f>
        <v/>
      </c>
      <c r="CV429" t="str">
        <f>""</f>
        <v/>
      </c>
      <c r="CW429" t="str">
        <f>""</f>
        <v/>
      </c>
      <c r="CX429" t="str">
        <f>""</f>
        <v/>
      </c>
      <c r="CY429" t="str">
        <f>""</f>
        <v/>
      </c>
      <c r="CZ429" t="str">
        <f>""</f>
        <v/>
      </c>
      <c r="DA429" t="str">
        <f>""</f>
        <v/>
      </c>
      <c r="DB429" t="str">
        <f>""</f>
        <v/>
      </c>
      <c r="DC429" t="str">
        <f>""</f>
        <v/>
      </c>
      <c r="DD429" t="str">
        <f>""</f>
        <v/>
      </c>
      <c r="DE429" t="str">
        <f>""</f>
        <v/>
      </c>
      <c r="DF429" t="str">
        <f>""</f>
        <v/>
      </c>
      <c r="DG429" t="str">
        <f>""</f>
        <v/>
      </c>
      <c r="DH429" t="str">
        <f>""</f>
        <v/>
      </c>
      <c r="DI429" t="str">
        <f>""</f>
        <v/>
      </c>
      <c r="DJ429" t="str">
        <f>""</f>
        <v/>
      </c>
      <c r="DK429" t="str">
        <f>""</f>
        <v/>
      </c>
      <c r="DL429" t="str">
        <f>""</f>
        <v/>
      </c>
      <c r="DM429" t="str">
        <f>""</f>
        <v/>
      </c>
      <c r="DN429" t="str">
        <f>""</f>
        <v/>
      </c>
      <c r="DO429" t="str">
        <f>""</f>
        <v/>
      </c>
      <c r="DP429" t="str">
        <f>""</f>
        <v/>
      </c>
      <c r="DQ429" t="str">
        <f>""</f>
        <v/>
      </c>
      <c r="DR429" t="str">
        <f>""</f>
        <v/>
      </c>
      <c r="DS429" t="str">
        <f>""</f>
        <v/>
      </c>
      <c r="DT429" t="str">
        <f>""</f>
        <v/>
      </c>
      <c r="DU429" t="str">
        <f>""</f>
        <v/>
      </c>
    </row>
    <row r="430" spans="1:125">
      <c r="B430" t="str">
        <f>"FRT US Equity"</f>
        <v>FRT US Equity</v>
      </c>
      <c r="C430" t="str">
        <f>"RR253"</f>
        <v>RR253</v>
      </c>
      <c r="D430" t="str">
        <f>"CASH_AND_MARKETABLE_SECURITIES"</f>
        <v>CASH_AND_MARKETABLE_SECURITIES</v>
      </c>
      <c r="E430" t="str">
        <f t="shared" si="75"/>
        <v>动态</v>
      </c>
      <c r="F430" t="str">
        <f ca="1">BDH($B$430,$C$430,$B$417,$B$418,CONCATENATE("Per=",$B$415),"Dts=H","Dir=H",CONCATENATE("Points=",$B$416),"Sort=R","Days=A","Fill=B",CONCATENATE("FX=", $B$414) )</f>
        <v>#N/A Authorization</v>
      </c>
      <c r="BN430" t="str">
        <f>""</f>
        <v/>
      </c>
      <c r="BO430" t="str">
        <f>""</f>
        <v/>
      </c>
      <c r="BP430" t="str">
        <f>""</f>
        <v/>
      </c>
      <c r="BQ430" t="str">
        <f>""</f>
        <v/>
      </c>
      <c r="BR430" t="str">
        <f>""</f>
        <v/>
      </c>
      <c r="BS430" t="str">
        <f>""</f>
        <v/>
      </c>
      <c r="BT430" t="str">
        <f>""</f>
        <v/>
      </c>
      <c r="BU430" t="str">
        <f>""</f>
        <v/>
      </c>
      <c r="BV430" t="str">
        <f>""</f>
        <v/>
      </c>
      <c r="BW430" t="str">
        <f>""</f>
        <v/>
      </c>
      <c r="BX430" t="str">
        <f>""</f>
        <v/>
      </c>
      <c r="BY430" t="str">
        <f>""</f>
        <v/>
      </c>
      <c r="BZ430" t="str">
        <f>""</f>
        <v/>
      </c>
      <c r="CA430" t="str">
        <f>""</f>
        <v/>
      </c>
      <c r="CB430" t="str">
        <f>""</f>
        <v/>
      </c>
      <c r="CC430" t="str">
        <f>""</f>
        <v/>
      </c>
      <c r="CD430" t="str">
        <f>""</f>
        <v/>
      </c>
      <c r="CE430" t="str">
        <f>""</f>
        <v/>
      </c>
      <c r="CF430" t="str">
        <f>""</f>
        <v/>
      </c>
      <c r="CG430" t="str">
        <f>""</f>
        <v/>
      </c>
      <c r="CH430" t="str">
        <f>""</f>
        <v/>
      </c>
      <c r="CI430" t="str">
        <f>""</f>
        <v/>
      </c>
      <c r="CJ430" t="str">
        <f>""</f>
        <v/>
      </c>
      <c r="CK430" t="str">
        <f>""</f>
        <v/>
      </c>
      <c r="CL430" t="str">
        <f>""</f>
        <v/>
      </c>
      <c r="CM430" t="str">
        <f>""</f>
        <v/>
      </c>
      <c r="CN430" t="str">
        <f>""</f>
        <v/>
      </c>
      <c r="CO430" t="str">
        <f>""</f>
        <v/>
      </c>
      <c r="CP430" t="str">
        <f>""</f>
        <v/>
      </c>
      <c r="CQ430" t="str">
        <f>""</f>
        <v/>
      </c>
      <c r="CR430" t="str">
        <f>""</f>
        <v/>
      </c>
      <c r="CS430" t="str">
        <f>""</f>
        <v/>
      </c>
      <c r="CT430" t="str">
        <f>""</f>
        <v/>
      </c>
      <c r="CU430" t="str">
        <f>""</f>
        <v/>
      </c>
      <c r="CV430" t="str">
        <f>""</f>
        <v/>
      </c>
      <c r="CW430" t="str">
        <f>""</f>
        <v/>
      </c>
      <c r="CX430" t="str">
        <f>""</f>
        <v/>
      </c>
      <c r="CY430" t="str">
        <f>""</f>
        <v/>
      </c>
      <c r="CZ430" t="str">
        <f>""</f>
        <v/>
      </c>
      <c r="DA430" t="str">
        <f>""</f>
        <v/>
      </c>
      <c r="DB430" t="str">
        <f>""</f>
        <v/>
      </c>
      <c r="DC430" t="str">
        <f>""</f>
        <v/>
      </c>
      <c r="DD430" t="str">
        <f>""</f>
        <v/>
      </c>
      <c r="DE430" t="str">
        <f>""</f>
        <v/>
      </c>
      <c r="DF430" t="str">
        <f>""</f>
        <v/>
      </c>
      <c r="DG430" t="str">
        <f>""</f>
        <v/>
      </c>
      <c r="DH430" t="str">
        <f>""</f>
        <v/>
      </c>
      <c r="DI430" t="str">
        <f>""</f>
        <v/>
      </c>
      <c r="DJ430" t="str">
        <f>""</f>
        <v/>
      </c>
      <c r="DK430" t="str">
        <f>""</f>
        <v/>
      </c>
      <c r="DL430" t="str">
        <f>""</f>
        <v/>
      </c>
      <c r="DM430" t="str">
        <f>""</f>
        <v/>
      </c>
      <c r="DN430" t="str">
        <f>""</f>
        <v/>
      </c>
      <c r="DO430" t="str">
        <f>""</f>
        <v/>
      </c>
      <c r="DP430" t="str">
        <f>""</f>
        <v/>
      </c>
      <c r="DQ430" t="str">
        <f>""</f>
        <v/>
      </c>
      <c r="DR430" t="str">
        <f>""</f>
        <v/>
      </c>
      <c r="DS430" t="str">
        <f>""</f>
        <v/>
      </c>
      <c r="DT430" t="str">
        <f>""</f>
        <v/>
      </c>
      <c r="DU430" t="str">
        <f>""</f>
        <v/>
      </c>
    </row>
    <row r="431" spans="1:125">
      <c r="B431" t="str">
        <f>"FRT US Equity"</f>
        <v>FRT US Equity</v>
      </c>
      <c r="C431" t="str">
        <f>"BS189"</f>
        <v>BS189</v>
      </c>
      <c r="D431" t="str">
        <f>"BS_TOTAL_AVAIL_LINE_OF_CREDIT"</f>
        <v>BS_TOTAL_AVAIL_LINE_OF_CREDIT</v>
      </c>
      <c r="E431" t="str">
        <f t="shared" si="75"/>
        <v>动态</v>
      </c>
      <c r="F431" t="str">
        <f ca="1">BDH($B$431,$C$431,$B$417,$B$418,CONCATENATE("Per=",$B$415),"Dts=H","Dir=H",CONCATENATE("Points=",$B$416),"Sort=R","Days=A","Fill=B",CONCATENATE("FX=", $B$414) )</f>
        <v>#N/A Authorization</v>
      </c>
      <c r="BN431" t="str">
        <f>""</f>
        <v/>
      </c>
      <c r="BO431" t="str">
        <f>""</f>
        <v/>
      </c>
      <c r="BP431" t="str">
        <f>""</f>
        <v/>
      </c>
      <c r="BQ431" t="str">
        <f>""</f>
        <v/>
      </c>
      <c r="BR431" t="str">
        <f>""</f>
        <v/>
      </c>
      <c r="BS431" t="str">
        <f>""</f>
        <v/>
      </c>
      <c r="BT431" t="str">
        <f>""</f>
        <v/>
      </c>
      <c r="BU431" t="str">
        <f>""</f>
        <v/>
      </c>
      <c r="BV431" t="str">
        <f>""</f>
        <v/>
      </c>
      <c r="BW431" t="str">
        <f>""</f>
        <v/>
      </c>
      <c r="BX431" t="str">
        <f>""</f>
        <v/>
      </c>
      <c r="BY431" t="str">
        <f>""</f>
        <v/>
      </c>
      <c r="BZ431" t="str">
        <f>""</f>
        <v/>
      </c>
      <c r="CA431" t="str">
        <f>""</f>
        <v/>
      </c>
      <c r="CB431" t="str">
        <f>""</f>
        <v/>
      </c>
      <c r="CC431" t="str">
        <f>""</f>
        <v/>
      </c>
      <c r="CD431" t="str">
        <f>""</f>
        <v/>
      </c>
      <c r="CE431" t="str">
        <f>""</f>
        <v/>
      </c>
      <c r="CF431" t="str">
        <f>""</f>
        <v/>
      </c>
      <c r="CG431" t="str">
        <f>""</f>
        <v/>
      </c>
      <c r="CH431" t="str">
        <f>""</f>
        <v/>
      </c>
      <c r="CI431" t="str">
        <f>""</f>
        <v/>
      </c>
      <c r="CJ431" t="str">
        <f>""</f>
        <v/>
      </c>
      <c r="CK431" t="str">
        <f>""</f>
        <v/>
      </c>
      <c r="CL431" t="str">
        <f>""</f>
        <v/>
      </c>
      <c r="CM431" t="str">
        <f>""</f>
        <v/>
      </c>
      <c r="CN431" t="str">
        <f>""</f>
        <v/>
      </c>
      <c r="CO431" t="str">
        <f>""</f>
        <v/>
      </c>
      <c r="CP431" t="str">
        <f>""</f>
        <v/>
      </c>
      <c r="CQ431" t="str">
        <f>""</f>
        <v/>
      </c>
      <c r="CR431" t="str">
        <f>""</f>
        <v/>
      </c>
      <c r="CS431" t="str">
        <f>""</f>
        <v/>
      </c>
      <c r="CT431" t="str">
        <f>""</f>
        <v/>
      </c>
      <c r="CU431" t="str">
        <f>""</f>
        <v/>
      </c>
      <c r="CV431" t="str">
        <f>""</f>
        <v/>
      </c>
      <c r="CW431" t="str">
        <f>""</f>
        <v/>
      </c>
      <c r="CX431" t="str">
        <f>""</f>
        <v/>
      </c>
      <c r="CY431" t="str">
        <f>""</f>
        <v/>
      </c>
      <c r="CZ431" t="str">
        <f>""</f>
        <v/>
      </c>
      <c r="DA431" t="str">
        <f>""</f>
        <v/>
      </c>
      <c r="DB431" t="str">
        <f>""</f>
        <v/>
      </c>
      <c r="DC431" t="str">
        <f>""</f>
        <v/>
      </c>
      <c r="DD431" t="str">
        <f>""</f>
        <v/>
      </c>
      <c r="DE431" t="str">
        <f>""</f>
        <v/>
      </c>
      <c r="DF431" t="str">
        <f>""</f>
        <v/>
      </c>
      <c r="DG431" t="str">
        <f>""</f>
        <v/>
      </c>
      <c r="DH431" t="str">
        <f>""</f>
        <v/>
      </c>
      <c r="DI431" t="str">
        <f>""</f>
        <v/>
      </c>
      <c r="DJ431" t="str">
        <f>""</f>
        <v/>
      </c>
      <c r="DK431" t="str">
        <f>""</f>
        <v/>
      </c>
      <c r="DL431" t="str">
        <f>""</f>
        <v/>
      </c>
      <c r="DM431" t="str">
        <f>""</f>
        <v/>
      </c>
      <c r="DN431" t="str">
        <f>""</f>
        <v/>
      </c>
      <c r="DO431" t="str">
        <f>""</f>
        <v/>
      </c>
      <c r="DP431" t="str">
        <f>""</f>
        <v/>
      </c>
      <c r="DQ431" t="str">
        <f>""</f>
        <v/>
      </c>
      <c r="DR431" t="str">
        <f>""</f>
        <v/>
      </c>
      <c r="DS431" t="str">
        <f>""</f>
        <v/>
      </c>
      <c r="DT431" t="str">
        <f>""</f>
        <v/>
      </c>
      <c r="DU431" t="str">
        <f>""</f>
        <v/>
      </c>
    </row>
    <row r="432" spans="1:125">
      <c r="B432" t="str">
        <f>"FRT US Equity"</f>
        <v>FRT US Equity</v>
      </c>
      <c r="C432" t="str">
        <f>"BS658"</f>
        <v>BS658</v>
      </c>
      <c r="D432" t="str">
        <f>"BS_YEAR_1_PRINCIPAL"</f>
        <v>BS_YEAR_1_PRINCIPAL</v>
      </c>
      <c r="E432" t="str">
        <f t="shared" si="75"/>
        <v>动态</v>
      </c>
      <c r="F432" t="str">
        <f ca="1">BDH($B$432,$C$432,$B$417,$B$418,CONCATENATE("Per=",$B$415),"Dts=H","Dir=H",CONCATENATE("Points=",$B$416),"Sort=R","Days=A","Fill=B",CONCATENATE("FX=", $B$414) )</f>
        <v>#N/A Authorization</v>
      </c>
      <c r="BN432" t="str">
        <f>""</f>
        <v/>
      </c>
      <c r="BO432" t="str">
        <f>""</f>
        <v/>
      </c>
      <c r="BP432" t="str">
        <f>""</f>
        <v/>
      </c>
      <c r="BQ432" t="str">
        <f>""</f>
        <v/>
      </c>
      <c r="BR432" t="str">
        <f>""</f>
        <v/>
      </c>
      <c r="BS432" t="str">
        <f>""</f>
        <v/>
      </c>
      <c r="BT432" t="str">
        <f>""</f>
        <v/>
      </c>
      <c r="BU432" t="str">
        <f>""</f>
        <v/>
      </c>
      <c r="BV432" t="str">
        <f>""</f>
        <v/>
      </c>
      <c r="BW432" t="str">
        <f>""</f>
        <v/>
      </c>
      <c r="BX432" t="str">
        <f>""</f>
        <v/>
      </c>
      <c r="BY432" t="str">
        <f>""</f>
        <v/>
      </c>
      <c r="BZ432" t="str">
        <f>""</f>
        <v/>
      </c>
      <c r="CA432" t="str">
        <f>""</f>
        <v/>
      </c>
      <c r="CB432" t="str">
        <f>""</f>
        <v/>
      </c>
      <c r="CC432" t="str">
        <f>""</f>
        <v/>
      </c>
      <c r="CD432" t="str">
        <f>""</f>
        <v/>
      </c>
      <c r="CE432" t="str">
        <f>""</f>
        <v/>
      </c>
      <c r="CF432" t="str">
        <f>""</f>
        <v/>
      </c>
      <c r="CG432" t="str">
        <f>""</f>
        <v/>
      </c>
      <c r="CH432" t="str">
        <f>""</f>
        <v/>
      </c>
      <c r="CI432" t="str">
        <f>""</f>
        <v/>
      </c>
      <c r="CJ432" t="str">
        <f>""</f>
        <v/>
      </c>
      <c r="CK432" t="str">
        <f>""</f>
        <v/>
      </c>
      <c r="CL432" t="str">
        <f>""</f>
        <v/>
      </c>
      <c r="CM432" t="str">
        <f>""</f>
        <v/>
      </c>
      <c r="CN432" t="str">
        <f>""</f>
        <v/>
      </c>
      <c r="CO432" t="str">
        <f>""</f>
        <v/>
      </c>
      <c r="CP432" t="str">
        <f>""</f>
        <v/>
      </c>
      <c r="CQ432" t="str">
        <f>""</f>
        <v/>
      </c>
      <c r="CR432" t="str">
        <f>""</f>
        <v/>
      </c>
      <c r="CS432" t="str">
        <f>""</f>
        <v/>
      </c>
      <c r="CT432" t="str">
        <f>""</f>
        <v/>
      </c>
      <c r="CU432" t="str">
        <f>""</f>
        <v/>
      </c>
      <c r="CV432" t="str">
        <f>""</f>
        <v/>
      </c>
      <c r="CW432" t="str">
        <f>""</f>
        <v/>
      </c>
      <c r="CX432" t="str">
        <f>""</f>
        <v/>
      </c>
      <c r="CY432" t="str">
        <f>""</f>
        <v/>
      </c>
      <c r="CZ432" t="str">
        <f>""</f>
        <v/>
      </c>
      <c r="DA432" t="str">
        <f>""</f>
        <v/>
      </c>
      <c r="DB432" t="str">
        <f>""</f>
        <v/>
      </c>
      <c r="DC432" t="str">
        <f>""</f>
        <v/>
      </c>
      <c r="DD432" t="str">
        <f>""</f>
        <v/>
      </c>
      <c r="DE432" t="str">
        <f>""</f>
        <v/>
      </c>
      <c r="DF432" t="str">
        <f>""</f>
        <v/>
      </c>
      <c r="DG432" t="str">
        <f>""</f>
        <v/>
      </c>
      <c r="DH432" t="str">
        <f>""</f>
        <v/>
      </c>
      <c r="DI432" t="str">
        <f>""</f>
        <v/>
      </c>
      <c r="DJ432" t="str">
        <f>""</f>
        <v/>
      </c>
      <c r="DK432" t="str">
        <f>""</f>
        <v/>
      </c>
      <c r="DL432" t="str">
        <f>""</f>
        <v/>
      </c>
      <c r="DM432" t="str">
        <f>""</f>
        <v/>
      </c>
      <c r="DN432" t="str">
        <f>""</f>
        <v/>
      </c>
      <c r="DO432" t="str">
        <f>""</f>
        <v/>
      </c>
      <c r="DP432" t="str">
        <f>""</f>
        <v/>
      </c>
      <c r="DQ432" t="str">
        <f>""</f>
        <v/>
      </c>
      <c r="DR432" t="str">
        <f>""</f>
        <v/>
      </c>
      <c r="DS432" t="str">
        <f>""</f>
        <v/>
      </c>
      <c r="DT432" t="str">
        <f>""</f>
        <v/>
      </c>
      <c r="DU432" t="str">
        <f>""</f>
        <v/>
      </c>
    </row>
    <row r="433" spans="2:125">
      <c r="B433" t="str">
        <f>"KIM US Equity"</f>
        <v>KIM US Equity</v>
      </c>
      <c r="C433" t="str">
        <f>"RR253"</f>
        <v>RR253</v>
      </c>
      <c r="D433" t="str">
        <f>"CASH_AND_MARKETABLE_SECURITIES"</f>
        <v>CASH_AND_MARKETABLE_SECURITIES</v>
      </c>
      <c r="E433" t="str">
        <f t="shared" si="75"/>
        <v>动态</v>
      </c>
      <c r="F433" t="str">
        <f ca="1">BDH($B$433,$C$433,$B$417,$B$418,CONCATENATE("Per=",$B$415),"Dts=H","Dir=H",CONCATENATE("Points=",$B$416),"Sort=R","Days=A","Fill=B",CONCATENATE("FX=", $B$414) )</f>
        <v>#N/A Authorization</v>
      </c>
      <c r="BN433" t="str">
        <f>""</f>
        <v/>
      </c>
      <c r="BO433" t="str">
        <f>""</f>
        <v/>
      </c>
      <c r="BP433" t="str">
        <f>""</f>
        <v/>
      </c>
      <c r="BQ433" t="str">
        <f>""</f>
        <v/>
      </c>
      <c r="BR433" t="str">
        <f>""</f>
        <v/>
      </c>
      <c r="BS433" t="str">
        <f>""</f>
        <v/>
      </c>
      <c r="BT433" t="str">
        <f>""</f>
        <v/>
      </c>
      <c r="BU433" t="str">
        <f>""</f>
        <v/>
      </c>
      <c r="BV433" t="str">
        <f>""</f>
        <v/>
      </c>
      <c r="BW433" t="str">
        <f>""</f>
        <v/>
      </c>
      <c r="BX433" t="str">
        <f>""</f>
        <v/>
      </c>
      <c r="BY433" t="str">
        <f>""</f>
        <v/>
      </c>
      <c r="BZ433" t="str">
        <f>""</f>
        <v/>
      </c>
      <c r="CA433" t="str">
        <f>""</f>
        <v/>
      </c>
      <c r="CB433" t="str">
        <f>""</f>
        <v/>
      </c>
      <c r="CC433" t="str">
        <f>""</f>
        <v/>
      </c>
      <c r="CD433" t="str">
        <f>""</f>
        <v/>
      </c>
      <c r="CE433" t="str">
        <f>""</f>
        <v/>
      </c>
      <c r="CF433" t="str">
        <f>""</f>
        <v/>
      </c>
      <c r="CG433" t="str">
        <f>""</f>
        <v/>
      </c>
      <c r="CH433" t="str">
        <f>""</f>
        <v/>
      </c>
      <c r="CI433" t="str">
        <f>""</f>
        <v/>
      </c>
      <c r="CJ433" t="str">
        <f>""</f>
        <v/>
      </c>
      <c r="CK433" t="str">
        <f>""</f>
        <v/>
      </c>
      <c r="CL433" t="str">
        <f>""</f>
        <v/>
      </c>
      <c r="CM433" t="str">
        <f>""</f>
        <v/>
      </c>
      <c r="CN433" t="str">
        <f>""</f>
        <v/>
      </c>
      <c r="CO433" t="str">
        <f>""</f>
        <v/>
      </c>
      <c r="CP433" t="str">
        <f>""</f>
        <v/>
      </c>
      <c r="CQ433" t="str">
        <f>""</f>
        <v/>
      </c>
      <c r="CR433" t="str">
        <f>""</f>
        <v/>
      </c>
      <c r="CS433" t="str">
        <f>""</f>
        <v/>
      </c>
      <c r="CT433" t="str">
        <f>""</f>
        <v/>
      </c>
      <c r="CU433" t="str">
        <f>""</f>
        <v/>
      </c>
      <c r="CV433" t="str">
        <f>""</f>
        <v/>
      </c>
      <c r="CW433" t="str">
        <f>""</f>
        <v/>
      </c>
      <c r="CX433" t="str">
        <f>""</f>
        <v/>
      </c>
      <c r="CY433" t="str">
        <f>""</f>
        <v/>
      </c>
      <c r="CZ433" t="str">
        <f>""</f>
        <v/>
      </c>
      <c r="DA433" t="str">
        <f>""</f>
        <v/>
      </c>
      <c r="DB433" t="str">
        <f>""</f>
        <v/>
      </c>
      <c r="DC433" t="str">
        <f>""</f>
        <v/>
      </c>
      <c r="DD433" t="str">
        <f>""</f>
        <v/>
      </c>
      <c r="DE433" t="str">
        <f>""</f>
        <v/>
      </c>
      <c r="DF433" t="str">
        <f>""</f>
        <v/>
      </c>
      <c r="DG433" t="str">
        <f>""</f>
        <v/>
      </c>
      <c r="DH433" t="str">
        <f>""</f>
        <v/>
      </c>
      <c r="DI433" t="str">
        <f>""</f>
        <v/>
      </c>
      <c r="DJ433" t="str">
        <f>""</f>
        <v/>
      </c>
      <c r="DK433" t="str">
        <f>""</f>
        <v/>
      </c>
      <c r="DL433" t="str">
        <f>""</f>
        <v/>
      </c>
      <c r="DM433" t="str">
        <f>""</f>
        <v/>
      </c>
      <c r="DN433" t="str">
        <f>""</f>
        <v/>
      </c>
      <c r="DO433" t="str">
        <f>""</f>
        <v/>
      </c>
      <c r="DP433" t="str">
        <f>""</f>
        <v/>
      </c>
      <c r="DQ433" t="str">
        <f>""</f>
        <v/>
      </c>
      <c r="DR433" t="str">
        <f>""</f>
        <v/>
      </c>
      <c r="DS433" t="str">
        <f>""</f>
        <v/>
      </c>
      <c r="DT433" t="str">
        <f>""</f>
        <v/>
      </c>
      <c r="DU433" t="str">
        <f>""</f>
        <v/>
      </c>
    </row>
    <row r="434" spans="2:125">
      <c r="B434" t="str">
        <f>"KIM US Equity"</f>
        <v>KIM US Equity</v>
      </c>
      <c r="C434" t="str">
        <f>"BS189"</f>
        <v>BS189</v>
      </c>
      <c r="D434" t="str">
        <f>"BS_TOTAL_AVAIL_LINE_OF_CREDIT"</f>
        <v>BS_TOTAL_AVAIL_LINE_OF_CREDIT</v>
      </c>
      <c r="E434" t="str">
        <f t="shared" si="75"/>
        <v>动态</v>
      </c>
      <c r="F434" t="str">
        <f ca="1">BDH($B$434,$C$434,$B$417,$B$418,CONCATENATE("Per=",$B$415),"Dts=H","Dir=H",CONCATENATE("Points=",$B$416),"Sort=R","Days=A","Fill=B",CONCATENATE("FX=", $B$414) )</f>
        <v>#N/A Authorization</v>
      </c>
      <c r="BN434" t="str">
        <f>""</f>
        <v/>
      </c>
      <c r="BO434" t="str">
        <f>""</f>
        <v/>
      </c>
      <c r="BP434" t="str">
        <f>""</f>
        <v/>
      </c>
      <c r="BQ434" t="str">
        <f>""</f>
        <v/>
      </c>
      <c r="BR434" t="str">
        <f>""</f>
        <v/>
      </c>
      <c r="BS434" t="str">
        <f>""</f>
        <v/>
      </c>
      <c r="BT434" t="str">
        <f>""</f>
        <v/>
      </c>
      <c r="BU434" t="str">
        <f>""</f>
        <v/>
      </c>
      <c r="BV434" t="str">
        <f>""</f>
        <v/>
      </c>
      <c r="BW434" t="str">
        <f>""</f>
        <v/>
      </c>
      <c r="BX434" t="str">
        <f>""</f>
        <v/>
      </c>
      <c r="BY434" t="str">
        <f>""</f>
        <v/>
      </c>
      <c r="BZ434" t="str">
        <f>""</f>
        <v/>
      </c>
      <c r="CA434" t="str">
        <f>""</f>
        <v/>
      </c>
      <c r="CB434" t="str">
        <f>""</f>
        <v/>
      </c>
      <c r="CC434" t="str">
        <f>""</f>
        <v/>
      </c>
      <c r="CD434" t="str">
        <f>""</f>
        <v/>
      </c>
      <c r="CE434" t="str">
        <f>""</f>
        <v/>
      </c>
      <c r="CF434" t="str">
        <f>""</f>
        <v/>
      </c>
      <c r="CG434" t="str">
        <f>""</f>
        <v/>
      </c>
      <c r="CH434" t="str">
        <f>""</f>
        <v/>
      </c>
      <c r="CI434" t="str">
        <f>""</f>
        <v/>
      </c>
      <c r="CJ434" t="str">
        <f>""</f>
        <v/>
      </c>
      <c r="CK434" t="str">
        <f>""</f>
        <v/>
      </c>
      <c r="CL434" t="str">
        <f>""</f>
        <v/>
      </c>
      <c r="CM434" t="str">
        <f>""</f>
        <v/>
      </c>
      <c r="CN434" t="str">
        <f>""</f>
        <v/>
      </c>
      <c r="CO434" t="str">
        <f>""</f>
        <v/>
      </c>
      <c r="CP434" t="str">
        <f>""</f>
        <v/>
      </c>
      <c r="CQ434" t="str">
        <f>""</f>
        <v/>
      </c>
      <c r="CR434" t="str">
        <f>""</f>
        <v/>
      </c>
      <c r="CS434" t="str">
        <f>""</f>
        <v/>
      </c>
      <c r="CT434" t="str">
        <f>""</f>
        <v/>
      </c>
      <c r="CU434" t="str">
        <f>""</f>
        <v/>
      </c>
      <c r="CV434" t="str">
        <f>""</f>
        <v/>
      </c>
      <c r="CW434" t="str">
        <f>""</f>
        <v/>
      </c>
      <c r="CX434" t="str">
        <f>""</f>
        <v/>
      </c>
      <c r="CY434" t="str">
        <f>""</f>
        <v/>
      </c>
      <c r="CZ434" t="str">
        <f>""</f>
        <v/>
      </c>
      <c r="DA434" t="str">
        <f>""</f>
        <v/>
      </c>
      <c r="DB434" t="str">
        <f>""</f>
        <v/>
      </c>
      <c r="DC434" t="str">
        <f>""</f>
        <v/>
      </c>
      <c r="DD434" t="str">
        <f>""</f>
        <v/>
      </c>
      <c r="DE434" t="str">
        <f>""</f>
        <v/>
      </c>
      <c r="DF434" t="str">
        <f>""</f>
        <v/>
      </c>
      <c r="DG434" t="str">
        <f>""</f>
        <v/>
      </c>
      <c r="DH434" t="str">
        <f>""</f>
        <v/>
      </c>
      <c r="DI434" t="str">
        <f>""</f>
        <v/>
      </c>
      <c r="DJ434" t="str">
        <f>""</f>
        <v/>
      </c>
      <c r="DK434" t="str">
        <f>""</f>
        <v/>
      </c>
      <c r="DL434" t="str">
        <f>""</f>
        <v/>
      </c>
      <c r="DM434" t="str">
        <f>""</f>
        <v/>
      </c>
      <c r="DN434" t="str">
        <f>""</f>
        <v/>
      </c>
      <c r="DO434" t="str">
        <f>""</f>
        <v/>
      </c>
      <c r="DP434" t="str">
        <f>""</f>
        <v/>
      </c>
      <c r="DQ434" t="str">
        <f>""</f>
        <v/>
      </c>
      <c r="DR434" t="str">
        <f>""</f>
        <v/>
      </c>
      <c r="DS434" t="str">
        <f>""</f>
        <v/>
      </c>
      <c r="DT434" t="str">
        <f>""</f>
        <v/>
      </c>
      <c r="DU434" t="str">
        <f>""</f>
        <v/>
      </c>
    </row>
    <row r="435" spans="2:125">
      <c r="B435" t="str">
        <f>"KIM US Equity"</f>
        <v>KIM US Equity</v>
      </c>
      <c r="C435" t="str">
        <f>"BS658"</f>
        <v>BS658</v>
      </c>
      <c r="D435" t="str">
        <f>"BS_YEAR_1_PRINCIPAL"</f>
        <v>BS_YEAR_1_PRINCIPAL</v>
      </c>
      <c r="E435" t="str">
        <f t="shared" si="75"/>
        <v>动态</v>
      </c>
      <c r="F435" t="str">
        <f ca="1">BDH($B$435,$C$435,$B$417,$B$418,CONCATENATE("Per=",$B$415),"Dts=H","Dir=H",CONCATENATE("Points=",$B$416),"Sort=R","Days=A","Fill=B",CONCATENATE("FX=", $B$414) )</f>
        <v>#N/A Authorization</v>
      </c>
      <c r="BN435" t="str">
        <f>""</f>
        <v/>
      </c>
      <c r="BO435" t="str">
        <f>""</f>
        <v/>
      </c>
      <c r="BP435" t="str">
        <f>""</f>
        <v/>
      </c>
      <c r="BQ435" t="str">
        <f>""</f>
        <v/>
      </c>
      <c r="BR435" t="str">
        <f>""</f>
        <v/>
      </c>
      <c r="BS435" t="str">
        <f>""</f>
        <v/>
      </c>
      <c r="BT435" t="str">
        <f>""</f>
        <v/>
      </c>
      <c r="BU435" t="str">
        <f>""</f>
        <v/>
      </c>
      <c r="BV435" t="str">
        <f>""</f>
        <v/>
      </c>
      <c r="BW435" t="str">
        <f>""</f>
        <v/>
      </c>
      <c r="BX435" t="str">
        <f>""</f>
        <v/>
      </c>
      <c r="BY435" t="str">
        <f>""</f>
        <v/>
      </c>
      <c r="BZ435" t="str">
        <f>""</f>
        <v/>
      </c>
      <c r="CA435" t="str">
        <f>""</f>
        <v/>
      </c>
      <c r="CB435" t="str">
        <f>""</f>
        <v/>
      </c>
      <c r="CC435" t="str">
        <f>""</f>
        <v/>
      </c>
      <c r="CD435" t="str">
        <f>""</f>
        <v/>
      </c>
      <c r="CE435" t="str">
        <f>""</f>
        <v/>
      </c>
      <c r="CF435" t="str">
        <f>""</f>
        <v/>
      </c>
      <c r="CG435" t="str">
        <f>""</f>
        <v/>
      </c>
      <c r="CH435" t="str">
        <f>""</f>
        <v/>
      </c>
      <c r="CI435" t="str">
        <f>""</f>
        <v/>
      </c>
      <c r="CJ435" t="str">
        <f>""</f>
        <v/>
      </c>
      <c r="CK435" t="str">
        <f>""</f>
        <v/>
      </c>
      <c r="CL435" t="str">
        <f>""</f>
        <v/>
      </c>
      <c r="CM435" t="str">
        <f>""</f>
        <v/>
      </c>
      <c r="CN435" t="str">
        <f>""</f>
        <v/>
      </c>
      <c r="CO435" t="str">
        <f>""</f>
        <v/>
      </c>
      <c r="CP435" t="str">
        <f>""</f>
        <v/>
      </c>
      <c r="CQ435" t="str">
        <f>""</f>
        <v/>
      </c>
      <c r="CR435" t="str">
        <f>""</f>
        <v/>
      </c>
      <c r="CS435" t="str">
        <f>""</f>
        <v/>
      </c>
      <c r="CT435" t="str">
        <f>""</f>
        <v/>
      </c>
      <c r="CU435" t="str">
        <f>""</f>
        <v/>
      </c>
      <c r="CV435" t="str">
        <f>""</f>
        <v/>
      </c>
      <c r="CW435" t="str">
        <f>""</f>
        <v/>
      </c>
      <c r="CX435" t="str">
        <f>""</f>
        <v/>
      </c>
      <c r="CY435" t="str">
        <f>""</f>
        <v/>
      </c>
      <c r="CZ435" t="str">
        <f>""</f>
        <v/>
      </c>
      <c r="DA435" t="str">
        <f>""</f>
        <v/>
      </c>
      <c r="DB435" t="str">
        <f>""</f>
        <v/>
      </c>
      <c r="DC435" t="str">
        <f>""</f>
        <v/>
      </c>
      <c r="DD435" t="str">
        <f>""</f>
        <v/>
      </c>
      <c r="DE435" t="str">
        <f>""</f>
        <v/>
      </c>
      <c r="DF435" t="str">
        <f>""</f>
        <v/>
      </c>
      <c r="DG435" t="str">
        <f>""</f>
        <v/>
      </c>
      <c r="DH435" t="str">
        <f>""</f>
        <v/>
      </c>
      <c r="DI435" t="str">
        <f>""</f>
        <v/>
      </c>
      <c r="DJ435" t="str">
        <f>""</f>
        <v/>
      </c>
      <c r="DK435" t="str">
        <f>""</f>
        <v/>
      </c>
      <c r="DL435" t="str">
        <f>""</f>
        <v/>
      </c>
      <c r="DM435" t="str">
        <f>""</f>
        <v/>
      </c>
      <c r="DN435" t="str">
        <f>""</f>
        <v/>
      </c>
      <c r="DO435" t="str">
        <f>""</f>
        <v/>
      </c>
      <c r="DP435" t="str">
        <f>""</f>
        <v/>
      </c>
      <c r="DQ435" t="str">
        <f>""</f>
        <v/>
      </c>
      <c r="DR435" t="str">
        <f>""</f>
        <v/>
      </c>
      <c r="DS435" t="str">
        <f>""</f>
        <v/>
      </c>
      <c r="DT435" t="str">
        <f>""</f>
        <v/>
      </c>
      <c r="DU435" t="str">
        <f>""</f>
        <v/>
      </c>
    </row>
    <row r="436" spans="2:125">
      <c r="B436" t="str">
        <f>"NNN US Equity"</f>
        <v>NNN US Equity</v>
      </c>
      <c r="C436" t="str">
        <f>"RR253"</f>
        <v>RR253</v>
      </c>
      <c r="D436" t="str">
        <f>"CASH_AND_MARKETABLE_SECURITIES"</f>
        <v>CASH_AND_MARKETABLE_SECURITIES</v>
      </c>
      <c r="E436" t="str">
        <f t="shared" si="75"/>
        <v>动态</v>
      </c>
      <c r="F436" t="str">
        <f ca="1">BDH($B$436,$C$436,$B$417,$B$418,CONCATENATE("Per=",$B$415),"Dts=H","Dir=H",CONCATENATE("Points=",$B$416),"Sort=R","Days=A","Fill=B",CONCATENATE("FX=", $B$414) )</f>
        <v>#N/A Authorization</v>
      </c>
      <c r="BN436" t="str">
        <f>""</f>
        <v/>
      </c>
      <c r="BO436" t="str">
        <f>""</f>
        <v/>
      </c>
      <c r="BP436" t="str">
        <f>""</f>
        <v/>
      </c>
      <c r="BQ436" t="str">
        <f>""</f>
        <v/>
      </c>
      <c r="BR436" t="str">
        <f>""</f>
        <v/>
      </c>
      <c r="BS436" t="str">
        <f>""</f>
        <v/>
      </c>
      <c r="BT436" t="str">
        <f>""</f>
        <v/>
      </c>
      <c r="BU436" t="str">
        <f>""</f>
        <v/>
      </c>
      <c r="BV436" t="str">
        <f>""</f>
        <v/>
      </c>
      <c r="BW436" t="str">
        <f>""</f>
        <v/>
      </c>
      <c r="BX436" t="str">
        <f>""</f>
        <v/>
      </c>
      <c r="BY436" t="str">
        <f>""</f>
        <v/>
      </c>
      <c r="BZ436" t="str">
        <f>""</f>
        <v/>
      </c>
      <c r="CA436" t="str">
        <f>""</f>
        <v/>
      </c>
      <c r="CB436" t="str">
        <f>""</f>
        <v/>
      </c>
      <c r="CC436" t="str">
        <f>""</f>
        <v/>
      </c>
      <c r="CD436" t="str">
        <f>""</f>
        <v/>
      </c>
      <c r="CE436" t="str">
        <f>""</f>
        <v/>
      </c>
      <c r="CF436" t="str">
        <f>""</f>
        <v/>
      </c>
      <c r="CG436" t="str">
        <f>""</f>
        <v/>
      </c>
      <c r="CH436" t="str">
        <f>""</f>
        <v/>
      </c>
      <c r="CI436" t="str">
        <f>""</f>
        <v/>
      </c>
      <c r="CJ436" t="str">
        <f>""</f>
        <v/>
      </c>
      <c r="CK436" t="str">
        <f>""</f>
        <v/>
      </c>
      <c r="CL436" t="str">
        <f>""</f>
        <v/>
      </c>
      <c r="CM436" t="str">
        <f>""</f>
        <v/>
      </c>
      <c r="CN436" t="str">
        <f>""</f>
        <v/>
      </c>
      <c r="CO436" t="str">
        <f>""</f>
        <v/>
      </c>
      <c r="CP436" t="str">
        <f>""</f>
        <v/>
      </c>
      <c r="CQ436" t="str">
        <f>""</f>
        <v/>
      </c>
      <c r="CR436" t="str">
        <f>""</f>
        <v/>
      </c>
      <c r="CS436" t="str">
        <f>""</f>
        <v/>
      </c>
      <c r="CT436" t="str">
        <f>""</f>
        <v/>
      </c>
      <c r="CU436" t="str">
        <f>""</f>
        <v/>
      </c>
      <c r="CV436" t="str">
        <f>""</f>
        <v/>
      </c>
      <c r="CW436" t="str">
        <f>""</f>
        <v/>
      </c>
      <c r="CX436" t="str">
        <f>""</f>
        <v/>
      </c>
      <c r="CY436" t="str">
        <f>""</f>
        <v/>
      </c>
      <c r="CZ436" t="str">
        <f>""</f>
        <v/>
      </c>
      <c r="DA436" t="str">
        <f>""</f>
        <v/>
      </c>
      <c r="DB436" t="str">
        <f>""</f>
        <v/>
      </c>
      <c r="DC436" t="str">
        <f>""</f>
        <v/>
      </c>
      <c r="DD436" t="str">
        <f>""</f>
        <v/>
      </c>
      <c r="DE436" t="str">
        <f>""</f>
        <v/>
      </c>
      <c r="DF436" t="str">
        <f>""</f>
        <v/>
      </c>
      <c r="DG436" t="str">
        <f>""</f>
        <v/>
      </c>
      <c r="DH436" t="str">
        <f>""</f>
        <v/>
      </c>
      <c r="DI436" t="str">
        <f>""</f>
        <v/>
      </c>
      <c r="DJ436" t="str">
        <f>""</f>
        <v/>
      </c>
      <c r="DK436" t="str">
        <f>""</f>
        <v/>
      </c>
      <c r="DL436" t="str">
        <f>""</f>
        <v/>
      </c>
      <c r="DM436" t="str">
        <f>""</f>
        <v/>
      </c>
      <c r="DN436" t="str">
        <f>""</f>
        <v/>
      </c>
      <c r="DO436" t="str">
        <f>""</f>
        <v/>
      </c>
      <c r="DP436" t="str">
        <f>""</f>
        <v/>
      </c>
      <c r="DQ436" t="str">
        <f>""</f>
        <v/>
      </c>
      <c r="DR436" t="str">
        <f>""</f>
        <v/>
      </c>
      <c r="DS436" t="str">
        <f>""</f>
        <v/>
      </c>
      <c r="DT436" t="str">
        <f>""</f>
        <v/>
      </c>
      <c r="DU436" t="str">
        <f>""</f>
        <v/>
      </c>
    </row>
    <row r="437" spans="2:125">
      <c r="B437" t="str">
        <f>"NNN US Equity"</f>
        <v>NNN US Equity</v>
      </c>
      <c r="C437" t="str">
        <f>"BS189"</f>
        <v>BS189</v>
      </c>
      <c r="D437" t="str">
        <f>"BS_TOTAL_AVAIL_LINE_OF_CREDIT"</f>
        <v>BS_TOTAL_AVAIL_LINE_OF_CREDIT</v>
      </c>
      <c r="E437" t="str">
        <f t="shared" si="75"/>
        <v>动态</v>
      </c>
      <c r="F437" t="str">
        <f ca="1">BDH($B$437,$C$437,$B$417,$B$418,CONCATENATE("Per=",$B$415),"Dts=H","Dir=H",CONCATENATE("Points=",$B$416),"Sort=R","Days=A","Fill=B",CONCATENATE("FX=", $B$414) )</f>
        <v>#N/A Authorization</v>
      </c>
      <c r="BN437" t="str">
        <f>""</f>
        <v/>
      </c>
      <c r="BO437" t="str">
        <f>""</f>
        <v/>
      </c>
      <c r="BP437" t="str">
        <f>""</f>
        <v/>
      </c>
      <c r="BQ437" t="str">
        <f>""</f>
        <v/>
      </c>
      <c r="BR437" t="str">
        <f>""</f>
        <v/>
      </c>
      <c r="BS437" t="str">
        <f>""</f>
        <v/>
      </c>
      <c r="BT437" t="str">
        <f>""</f>
        <v/>
      </c>
      <c r="BU437" t="str">
        <f>""</f>
        <v/>
      </c>
      <c r="BV437" t="str">
        <f>""</f>
        <v/>
      </c>
      <c r="BW437" t="str">
        <f>""</f>
        <v/>
      </c>
      <c r="BX437" t="str">
        <f>""</f>
        <v/>
      </c>
      <c r="BY437" t="str">
        <f>""</f>
        <v/>
      </c>
      <c r="BZ437" t="str">
        <f>""</f>
        <v/>
      </c>
      <c r="CA437" t="str">
        <f>""</f>
        <v/>
      </c>
      <c r="CB437" t="str">
        <f>""</f>
        <v/>
      </c>
      <c r="CC437" t="str">
        <f>""</f>
        <v/>
      </c>
      <c r="CD437" t="str">
        <f>""</f>
        <v/>
      </c>
      <c r="CE437" t="str">
        <f>""</f>
        <v/>
      </c>
      <c r="CF437" t="str">
        <f>""</f>
        <v/>
      </c>
      <c r="CG437" t="str">
        <f>""</f>
        <v/>
      </c>
      <c r="CH437" t="str">
        <f>""</f>
        <v/>
      </c>
      <c r="CI437" t="str">
        <f>""</f>
        <v/>
      </c>
      <c r="CJ437" t="str">
        <f>""</f>
        <v/>
      </c>
      <c r="CK437" t="str">
        <f>""</f>
        <v/>
      </c>
      <c r="CL437" t="str">
        <f>""</f>
        <v/>
      </c>
      <c r="CM437" t="str">
        <f>""</f>
        <v/>
      </c>
      <c r="CN437" t="str">
        <f>""</f>
        <v/>
      </c>
      <c r="CO437" t="str">
        <f>""</f>
        <v/>
      </c>
      <c r="CP437" t="str">
        <f>""</f>
        <v/>
      </c>
      <c r="CQ437" t="str">
        <f>""</f>
        <v/>
      </c>
      <c r="CR437" t="str">
        <f>""</f>
        <v/>
      </c>
      <c r="CS437" t="str">
        <f>""</f>
        <v/>
      </c>
      <c r="CT437" t="str">
        <f>""</f>
        <v/>
      </c>
      <c r="CU437" t="str">
        <f>""</f>
        <v/>
      </c>
      <c r="CV437" t="str">
        <f>""</f>
        <v/>
      </c>
      <c r="CW437" t="str">
        <f>""</f>
        <v/>
      </c>
      <c r="CX437" t="str">
        <f>""</f>
        <v/>
      </c>
      <c r="CY437" t="str">
        <f>""</f>
        <v/>
      </c>
      <c r="CZ437" t="str">
        <f>""</f>
        <v/>
      </c>
      <c r="DA437" t="str">
        <f>""</f>
        <v/>
      </c>
      <c r="DB437" t="str">
        <f>""</f>
        <v/>
      </c>
      <c r="DC437" t="str">
        <f>""</f>
        <v/>
      </c>
      <c r="DD437" t="str">
        <f>""</f>
        <v/>
      </c>
      <c r="DE437" t="str">
        <f>""</f>
        <v/>
      </c>
      <c r="DF437" t="str">
        <f>""</f>
        <v/>
      </c>
      <c r="DG437" t="str">
        <f>""</f>
        <v/>
      </c>
      <c r="DH437" t="str">
        <f>""</f>
        <v/>
      </c>
      <c r="DI437" t="str">
        <f>""</f>
        <v/>
      </c>
      <c r="DJ437" t="str">
        <f>""</f>
        <v/>
      </c>
      <c r="DK437" t="str">
        <f>""</f>
        <v/>
      </c>
      <c r="DL437" t="str">
        <f>""</f>
        <v/>
      </c>
      <c r="DM437" t="str">
        <f>""</f>
        <v/>
      </c>
      <c r="DN437" t="str">
        <f>""</f>
        <v/>
      </c>
      <c r="DO437" t="str">
        <f>""</f>
        <v/>
      </c>
      <c r="DP437" t="str">
        <f>""</f>
        <v/>
      </c>
      <c r="DQ437" t="str">
        <f>""</f>
        <v/>
      </c>
      <c r="DR437" t="str">
        <f>""</f>
        <v/>
      </c>
      <c r="DS437" t="str">
        <f>""</f>
        <v/>
      </c>
      <c r="DT437" t="str">
        <f>""</f>
        <v/>
      </c>
      <c r="DU437" t="str">
        <f>""</f>
        <v/>
      </c>
    </row>
    <row r="438" spans="2:125">
      <c r="B438" t="str">
        <f>"NNN US Equity"</f>
        <v>NNN US Equity</v>
      </c>
      <c r="C438" t="str">
        <f>"BS658"</f>
        <v>BS658</v>
      </c>
      <c r="D438" t="str">
        <f>"BS_YEAR_1_PRINCIPAL"</f>
        <v>BS_YEAR_1_PRINCIPAL</v>
      </c>
      <c r="E438" t="str">
        <f t="shared" si="75"/>
        <v>动态</v>
      </c>
      <c r="F438" t="str">
        <f ca="1">BDH($B$438,$C$438,$B$417,$B$418,CONCATENATE("Per=",$B$415),"Dts=H","Dir=H",CONCATENATE("Points=",$B$416),"Sort=R","Days=A","Fill=B",CONCATENATE("FX=", $B$414) )</f>
        <v>#N/A Authorization</v>
      </c>
      <c r="BN438" t="str">
        <f>""</f>
        <v/>
      </c>
      <c r="BO438" t="str">
        <f>""</f>
        <v/>
      </c>
      <c r="BP438" t="str">
        <f>""</f>
        <v/>
      </c>
      <c r="BQ438" t="str">
        <f>""</f>
        <v/>
      </c>
      <c r="BR438" t="str">
        <f>""</f>
        <v/>
      </c>
      <c r="BS438" t="str">
        <f>""</f>
        <v/>
      </c>
      <c r="BT438" t="str">
        <f>""</f>
        <v/>
      </c>
      <c r="BU438" t="str">
        <f>""</f>
        <v/>
      </c>
      <c r="BV438" t="str">
        <f>""</f>
        <v/>
      </c>
      <c r="BW438" t="str">
        <f>""</f>
        <v/>
      </c>
      <c r="BX438" t="str">
        <f>""</f>
        <v/>
      </c>
      <c r="BY438" t="str">
        <f>""</f>
        <v/>
      </c>
      <c r="BZ438" t="str">
        <f>""</f>
        <v/>
      </c>
      <c r="CA438" t="str">
        <f>""</f>
        <v/>
      </c>
      <c r="CB438" t="str">
        <f>""</f>
        <v/>
      </c>
      <c r="CC438" t="str">
        <f>""</f>
        <v/>
      </c>
      <c r="CD438" t="str">
        <f>""</f>
        <v/>
      </c>
      <c r="CE438" t="str">
        <f>""</f>
        <v/>
      </c>
      <c r="CF438" t="str">
        <f>""</f>
        <v/>
      </c>
      <c r="CG438" t="str">
        <f>""</f>
        <v/>
      </c>
      <c r="CH438" t="str">
        <f>""</f>
        <v/>
      </c>
      <c r="CI438" t="str">
        <f>""</f>
        <v/>
      </c>
      <c r="CJ438" t="str">
        <f>""</f>
        <v/>
      </c>
      <c r="CK438" t="str">
        <f>""</f>
        <v/>
      </c>
      <c r="CL438" t="str">
        <f>""</f>
        <v/>
      </c>
      <c r="CM438" t="str">
        <f>""</f>
        <v/>
      </c>
      <c r="CN438" t="str">
        <f>""</f>
        <v/>
      </c>
      <c r="CO438" t="str">
        <f>""</f>
        <v/>
      </c>
      <c r="CP438" t="str">
        <f>""</f>
        <v/>
      </c>
      <c r="CQ438" t="str">
        <f>""</f>
        <v/>
      </c>
      <c r="CR438" t="str">
        <f>""</f>
        <v/>
      </c>
      <c r="CS438" t="str">
        <f>""</f>
        <v/>
      </c>
      <c r="CT438" t="str">
        <f>""</f>
        <v/>
      </c>
      <c r="CU438" t="str">
        <f>""</f>
        <v/>
      </c>
      <c r="CV438" t="str">
        <f>""</f>
        <v/>
      </c>
      <c r="CW438" t="str">
        <f>""</f>
        <v/>
      </c>
      <c r="CX438" t="str">
        <f>""</f>
        <v/>
      </c>
      <c r="CY438" t="str">
        <f>""</f>
        <v/>
      </c>
      <c r="CZ438" t="str">
        <f>""</f>
        <v/>
      </c>
      <c r="DA438" t="str">
        <f>""</f>
        <v/>
      </c>
      <c r="DB438" t="str">
        <f>""</f>
        <v/>
      </c>
      <c r="DC438" t="str">
        <f>""</f>
        <v/>
      </c>
      <c r="DD438" t="str">
        <f>""</f>
        <v/>
      </c>
      <c r="DE438" t="str">
        <f>""</f>
        <v/>
      </c>
      <c r="DF438" t="str">
        <f>""</f>
        <v/>
      </c>
      <c r="DG438" t="str">
        <f>""</f>
        <v/>
      </c>
      <c r="DH438" t="str">
        <f>""</f>
        <v/>
      </c>
      <c r="DI438" t="str">
        <f>""</f>
        <v/>
      </c>
      <c r="DJ438" t="str">
        <f>""</f>
        <v/>
      </c>
      <c r="DK438" t="str">
        <f>""</f>
        <v/>
      </c>
      <c r="DL438" t="str">
        <f>""</f>
        <v/>
      </c>
      <c r="DM438" t="str">
        <f>""</f>
        <v/>
      </c>
      <c r="DN438" t="str">
        <f>""</f>
        <v/>
      </c>
      <c r="DO438" t="str">
        <f>""</f>
        <v/>
      </c>
      <c r="DP438" t="str">
        <f>""</f>
        <v/>
      </c>
      <c r="DQ438" t="str">
        <f>""</f>
        <v/>
      </c>
      <c r="DR438" t="str">
        <f>""</f>
        <v/>
      </c>
      <c r="DS438" t="str">
        <f>""</f>
        <v/>
      </c>
      <c r="DT438" t="str">
        <f>""</f>
        <v/>
      </c>
      <c r="DU438" t="str">
        <f>""</f>
        <v/>
      </c>
    </row>
    <row r="439" spans="2:125">
      <c r="B439" t="str">
        <f>"O US Equity"</f>
        <v>O US Equity</v>
      </c>
      <c r="C439" t="str">
        <f>"RR253"</f>
        <v>RR253</v>
      </c>
      <c r="D439" t="str">
        <f>"CASH_AND_MARKETABLE_SECURITIES"</f>
        <v>CASH_AND_MARKETABLE_SECURITIES</v>
      </c>
      <c r="E439" t="str">
        <f t="shared" si="75"/>
        <v>动态</v>
      </c>
      <c r="F439" t="str">
        <f ca="1">BDH($B$439,$C$439,$B$417,$B$418,CONCATENATE("Per=",$B$415),"Dts=H","Dir=H",CONCATENATE("Points=",$B$416),"Sort=R","Days=A","Fill=B",CONCATENATE("FX=", $B$414) )</f>
        <v>#N/A Authorization</v>
      </c>
      <c r="BN439" t="str">
        <f>""</f>
        <v/>
      </c>
      <c r="BO439" t="str">
        <f>""</f>
        <v/>
      </c>
      <c r="BP439" t="str">
        <f>""</f>
        <v/>
      </c>
      <c r="BQ439" t="str">
        <f>""</f>
        <v/>
      </c>
      <c r="BR439" t="str">
        <f>""</f>
        <v/>
      </c>
      <c r="BS439" t="str">
        <f>""</f>
        <v/>
      </c>
      <c r="BT439" t="str">
        <f>""</f>
        <v/>
      </c>
      <c r="BU439" t="str">
        <f>""</f>
        <v/>
      </c>
      <c r="BV439" t="str">
        <f>""</f>
        <v/>
      </c>
      <c r="BW439" t="str">
        <f>""</f>
        <v/>
      </c>
      <c r="BX439" t="str">
        <f>""</f>
        <v/>
      </c>
      <c r="BY439" t="str">
        <f>""</f>
        <v/>
      </c>
      <c r="BZ439" t="str">
        <f>""</f>
        <v/>
      </c>
      <c r="CA439" t="str">
        <f>""</f>
        <v/>
      </c>
      <c r="CB439" t="str">
        <f>""</f>
        <v/>
      </c>
      <c r="CC439" t="str">
        <f>""</f>
        <v/>
      </c>
      <c r="CD439" t="str">
        <f>""</f>
        <v/>
      </c>
      <c r="CE439" t="str">
        <f>""</f>
        <v/>
      </c>
      <c r="CF439" t="str">
        <f>""</f>
        <v/>
      </c>
      <c r="CG439" t="str">
        <f>""</f>
        <v/>
      </c>
      <c r="CH439" t="str">
        <f>""</f>
        <v/>
      </c>
      <c r="CI439" t="str">
        <f>""</f>
        <v/>
      </c>
      <c r="CJ439" t="str">
        <f>""</f>
        <v/>
      </c>
      <c r="CK439" t="str">
        <f>""</f>
        <v/>
      </c>
      <c r="CL439" t="str">
        <f>""</f>
        <v/>
      </c>
      <c r="CM439" t="str">
        <f>""</f>
        <v/>
      </c>
      <c r="CN439" t="str">
        <f>""</f>
        <v/>
      </c>
      <c r="CO439" t="str">
        <f>""</f>
        <v/>
      </c>
      <c r="CP439" t="str">
        <f>""</f>
        <v/>
      </c>
      <c r="CQ439" t="str">
        <f>""</f>
        <v/>
      </c>
      <c r="CR439" t="str">
        <f>""</f>
        <v/>
      </c>
      <c r="CS439" t="str">
        <f>""</f>
        <v/>
      </c>
      <c r="CT439" t="str">
        <f>""</f>
        <v/>
      </c>
      <c r="CU439" t="str">
        <f>""</f>
        <v/>
      </c>
      <c r="CV439" t="str">
        <f>""</f>
        <v/>
      </c>
      <c r="CW439" t="str">
        <f>""</f>
        <v/>
      </c>
      <c r="CX439" t="str">
        <f>""</f>
        <v/>
      </c>
      <c r="CY439" t="str">
        <f>""</f>
        <v/>
      </c>
      <c r="CZ439" t="str">
        <f>""</f>
        <v/>
      </c>
      <c r="DA439" t="str">
        <f>""</f>
        <v/>
      </c>
      <c r="DB439" t="str">
        <f>""</f>
        <v/>
      </c>
      <c r="DC439" t="str">
        <f>""</f>
        <v/>
      </c>
      <c r="DD439" t="str">
        <f>""</f>
        <v/>
      </c>
      <c r="DE439" t="str">
        <f>""</f>
        <v/>
      </c>
      <c r="DF439" t="str">
        <f>""</f>
        <v/>
      </c>
      <c r="DG439" t="str">
        <f>""</f>
        <v/>
      </c>
      <c r="DH439" t="str">
        <f>""</f>
        <v/>
      </c>
      <c r="DI439" t="str">
        <f>""</f>
        <v/>
      </c>
      <c r="DJ439" t="str">
        <f>""</f>
        <v/>
      </c>
      <c r="DK439" t="str">
        <f>""</f>
        <v/>
      </c>
      <c r="DL439" t="str">
        <f>""</f>
        <v/>
      </c>
      <c r="DM439" t="str">
        <f>""</f>
        <v/>
      </c>
      <c r="DN439" t="str">
        <f>""</f>
        <v/>
      </c>
      <c r="DO439" t="str">
        <f>""</f>
        <v/>
      </c>
      <c r="DP439" t="str">
        <f>""</f>
        <v/>
      </c>
      <c r="DQ439" t="str">
        <f>""</f>
        <v/>
      </c>
      <c r="DR439" t="str">
        <f>""</f>
        <v/>
      </c>
      <c r="DS439" t="str">
        <f>""</f>
        <v/>
      </c>
      <c r="DT439" t="str">
        <f>""</f>
        <v/>
      </c>
      <c r="DU439" t="str">
        <f>""</f>
        <v/>
      </c>
    </row>
    <row r="440" spans="2:125">
      <c r="B440" t="str">
        <f>"O US Equity"</f>
        <v>O US Equity</v>
      </c>
      <c r="C440" t="str">
        <f>"BS189"</f>
        <v>BS189</v>
      </c>
      <c r="D440" t="str">
        <f>"BS_TOTAL_AVAIL_LINE_OF_CREDIT"</f>
        <v>BS_TOTAL_AVAIL_LINE_OF_CREDIT</v>
      </c>
      <c r="E440" t="str">
        <f t="shared" si="75"/>
        <v>动态</v>
      </c>
      <c r="F440" t="str">
        <f ca="1">BDH($B$440,$C$440,$B$417,$B$418,CONCATENATE("Per=",$B$415),"Dts=H","Dir=H",CONCATENATE("Points=",$B$416),"Sort=R","Days=A","Fill=B",CONCATENATE("FX=", $B$414) )</f>
        <v>#N/A Authorization</v>
      </c>
      <c r="BN440" t="str">
        <f>""</f>
        <v/>
      </c>
      <c r="BO440" t="str">
        <f>""</f>
        <v/>
      </c>
      <c r="BP440" t="str">
        <f>""</f>
        <v/>
      </c>
      <c r="BQ440" t="str">
        <f>""</f>
        <v/>
      </c>
      <c r="BR440" t="str">
        <f>""</f>
        <v/>
      </c>
      <c r="BS440" t="str">
        <f>""</f>
        <v/>
      </c>
      <c r="BT440" t="str">
        <f>""</f>
        <v/>
      </c>
      <c r="BU440" t="str">
        <f>""</f>
        <v/>
      </c>
      <c r="BV440" t="str">
        <f>""</f>
        <v/>
      </c>
      <c r="BW440" t="str">
        <f>""</f>
        <v/>
      </c>
      <c r="BX440" t="str">
        <f>""</f>
        <v/>
      </c>
      <c r="BY440" t="str">
        <f>""</f>
        <v/>
      </c>
      <c r="BZ440" t="str">
        <f>""</f>
        <v/>
      </c>
      <c r="CA440" t="str">
        <f>""</f>
        <v/>
      </c>
      <c r="CB440" t="str">
        <f>""</f>
        <v/>
      </c>
      <c r="CC440" t="str">
        <f>""</f>
        <v/>
      </c>
      <c r="CD440" t="str">
        <f>""</f>
        <v/>
      </c>
      <c r="CE440" t="str">
        <f>""</f>
        <v/>
      </c>
      <c r="CF440" t="str">
        <f>""</f>
        <v/>
      </c>
      <c r="CG440" t="str">
        <f>""</f>
        <v/>
      </c>
      <c r="CH440" t="str">
        <f>""</f>
        <v/>
      </c>
      <c r="CI440" t="str">
        <f>""</f>
        <v/>
      </c>
      <c r="CJ440" t="str">
        <f>""</f>
        <v/>
      </c>
      <c r="CK440" t="str">
        <f>""</f>
        <v/>
      </c>
      <c r="CL440" t="str">
        <f>""</f>
        <v/>
      </c>
      <c r="CM440" t="str">
        <f>""</f>
        <v/>
      </c>
      <c r="CN440" t="str">
        <f>""</f>
        <v/>
      </c>
      <c r="CO440" t="str">
        <f>""</f>
        <v/>
      </c>
      <c r="CP440" t="str">
        <f>""</f>
        <v/>
      </c>
      <c r="CQ440" t="str">
        <f>""</f>
        <v/>
      </c>
      <c r="CR440" t="str">
        <f>""</f>
        <v/>
      </c>
      <c r="CS440" t="str">
        <f>""</f>
        <v/>
      </c>
      <c r="CT440" t="str">
        <f>""</f>
        <v/>
      </c>
      <c r="CU440" t="str">
        <f>""</f>
        <v/>
      </c>
      <c r="CV440" t="str">
        <f>""</f>
        <v/>
      </c>
      <c r="CW440" t="str">
        <f>""</f>
        <v/>
      </c>
      <c r="CX440" t="str">
        <f>""</f>
        <v/>
      </c>
      <c r="CY440" t="str">
        <f>""</f>
        <v/>
      </c>
      <c r="CZ440" t="str">
        <f>""</f>
        <v/>
      </c>
      <c r="DA440" t="str">
        <f>""</f>
        <v/>
      </c>
      <c r="DB440" t="str">
        <f>""</f>
        <v/>
      </c>
      <c r="DC440" t="str">
        <f>""</f>
        <v/>
      </c>
      <c r="DD440" t="str">
        <f>""</f>
        <v/>
      </c>
      <c r="DE440" t="str">
        <f>""</f>
        <v/>
      </c>
      <c r="DF440" t="str">
        <f>""</f>
        <v/>
      </c>
      <c r="DG440" t="str">
        <f>""</f>
        <v/>
      </c>
      <c r="DH440" t="str">
        <f>""</f>
        <v/>
      </c>
      <c r="DI440" t="str">
        <f>""</f>
        <v/>
      </c>
      <c r="DJ440" t="str">
        <f>""</f>
        <v/>
      </c>
      <c r="DK440" t="str">
        <f>""</f>
        <v/>
      </c>
      <c r="DL440" t="str">
        <f>""</f>
        <v/>
      </c>
      <c r="DM440" t="str">
        <f>""</f>
        <v/>
      </c>
      <c r="DN440" t="str">
        <f>""</f>
        <v/>
      </c>
      <c r="DO440" t="str">
        <f>""</f>
        <v/>
      </c>
      <c r="DP440" t="str">
        <f>""</f>
        <v/>
      </c>
      <c r="DQ440" t="str">
        <f>""</f>
        <v/>
      </c>
      <c r="DR440" t="str">
        <f>""</f>
        <v/>
      </c>
      <c r="DS440" t="str">
        <f>""</f>
        <v/>
      </c>
      <c r="DT440" t="str">
        <f>""</f>
        <v/>
      </c>
      <c r="DU440" t="str">
        <f>""</f>
        <v/>
      </c>
    </row>
    <row r="441" spans="2:125">
      <c r="B441" t="str">
        <f>"O US Equity"</f>
        <v>O US Equity</v>
      </c>
      <c r="C441" t="str">
        <f>"BS658"</f>
        <v>BS658</v>
      </c>
      <c r="D441" t="str">
        <f>"BS_YEAR_1_PRINCIPAL"</f>
        <v>BS_YEAR_1_PRINCIPAL</v>
      </c>
      <c r="E441" t="str">
        <f t="shared" si="75"/>
        <v>动态</v>
      </c>
      <c r="F441" t="str">
        <f ca="1">BDH($B$441,$C$441,$B$417,$B$418,CONCATENATE("Per=",$B$415),"Dts=H","Dir=H",CONCATENATE("Points=",$B$416),"Sort=R","Days=A","Fill=B",CONCATENATE("FX=", $B$414) )</f>
        <v>#N/A Authorization</v>
      </c>
      <c r="BN441" t="str">
        <f>""</f>
        <v/>
      </c>
      <c r="BO441" t="str">
        <f>""</f>
        <v/>
      </c>
      <c r="BP441" t="str">
        <f>""</f>
        <v/>
      </c>
      <c r="BQ441" t="str">
        <f>""</f>
        <v/>
      </c>
      <c r="BR441" t="str">
        <f>""</f>
        <v/>
      </c>
      <c r="BS441" t="str">
        <f>""</f>
        <v/>
      </c>
      <c r="BT441" t="str">
        <f>""</f>
        <v/>
      </c>
      <c r="BU441" t="str">
        <f>""</f>
        <v/>
      </c>
      <c r="BV441" t="str">
        <f>""</f>
        <v/>
      </c>
      <c r="BW441" t="str">
        <f>""</f>
        <v/>
      </c>
      <c r="BX441" t="str">
        <f>""</f>
        <v/>
      </c>
      <c r="BY441" t="str">
        <f>""</f>
        <v/>
      </c>
      <c r="BZ441" t="str">
        <f>""</f>
        <v/>
      </c>
      <c r="CA441" t="str">
        <f>""</f>
        <v/>
      </c>
      <c r="CB441" t="str">
        <f>""</f>
        <v/>
      </c>
      <c r="CC441" t="str">
        <f>""</f>
        <v/>
      </c>
      <c r="CD441" t="str">
        <f>""</f>
        <v/>
      </c>
      <c r="CE441" t="str">
        <f>""</f>
        <v/>
      </c>
      <c r="CF441" t="str">
        <f>""</f>
        <v/>
      </c>
      <c r="CG441" t="str">
        <f>""</f>
        <v/>
      </c>
      <c r="CH441" t="str">
        <f>""</f>
        <v/>
      </c>
      <c r="CI441" t="str">
        <f>""</f>
        <v/>
      </c>
      <c r="CJ441" t="str">
        <f>""</f>
        <v/>
      </c>
      <c r="CK441" t="str">
        <f>""</f>
        <v/>
      </c>
      <c r="CL441" t="str">
        <f>""</f>
        <v/>
      </c>
      <c r="CM441" t="str">
        <f>""</f>
        <v/>
      </c>
      <c r="CN441" t="str">
        <f>""</f>
        <v/>
      </c>
      <c r="CO441" t="str">
        <f>""</f>
        <v/>
      </c>
      <c r="CP441" t="str">
        <f>""</f>
        <v/>
      </c>
      <c r="CQ441" t="str">
        <f>""</f>
        <v/>
      </c>
      <c r="CR441" t="str">
        <f>""</f>
        <v/>
      </c>
      <c r="CS441" t="str">
        <f>""</f>
        <v/>
      </c>
      <c r="CT441" t="str">
        <f>""</f>
        <v/>
      </c>
      <c r="CU441" t="str">
        <f>""</f>
        <v/>
      </c>
      <c r="CV441" t="str">
        <f>""</f>
        <v/>
      </c>
      <c r="CW441" t="str">
        <f>""</f>
        <v/>
      </c>
      <c r="CX441" t="str">
        <f>""</f>
        <v/>
      </c>
      <c r="CY441" t="str">
        <f>""</f>
        <v/>
      </c>
      <c r="CZ441" t="str">
        <f>""</f>
        <v/>
      </c>
      <c r="DA441" t="str">
        <f>""</f>
        <v/>
      </c>
      <c r="DB441" t="str">
        <f>""</f>
        <v/>
      </c>
      <c r="DC441" t="str">
        <f>""</f>
        <v/>
      </c>
      <c r="DD441" t="str">
        <f>""</f>
        <v/>
      </c>
      <c r="DE441" t="str">
        <f>""</f>
        <v/>
      </c>
      <c r="DF441" t="str">
        <f>""</f>
        <v/>
      </c>
      <c r="DG441" t="str">
        <f>""</f>
        <v/>
      </c>
      <c r="DH441" t="str">
        <f>""</f>
        <v/>
      </c>
      <c r="DI441" t="str">
        <f>""</f>
        <v/>
      </c>
      <c r="DJ441" t="str">
        <f>""</f>
        <v/>
      </c>
      <c r="DK441" t="str">
        <f>""</f>
        <v/>
      </c>
      <c r="DL441" t="str">
        <f>""</f>
        <v/>
      </c>
      <c r="DM441" t="str">
        <f>""</f>
        <v/>
      </c>
      <c r="DN441" t="str">
        <f>""</f>
        <v/>
      </c>
      <c r="DO441" t="str">
        <f>""</f>
        <v/>
      </c>
      <c r="DP441" t="str">
        <f>""</f>
        <v/>
      </c>
      <c r="DQ441" t="str">
        <f>""</f>
        <v/>
      </c>
      <c r="DR441" t="str">
        <f>""</f>
        <v/>
      </c>
      <c r="DS441" t="str">
        <f>""</f>
        <v/>
      </c>
      <c r="DT441" t="str">
        <f>""</f>
        <v/>
      </c>
      <c r="DU441" t="str">
        <f>""</f>
        <v/>
      </c>
    </row>
    <row r="442" spans="2:125">
      <c r="B442" t="str">
        <f>"REG US Equity"</f>
        <v>REG US Equity</v>
      </c>
      <c r="C442" t="str">
        <f>"RR253"</f>
        <v>RR253</v>
      </c>
      <c r="D442" t="str">
        <f>"CASH_AND_MARKETABLE_SECURITIES"</f>
        <v>CASH_AND_MARKETABLE_SECURITIES</v>
      </c>
      <c r="E442" t="str">
        <f t="shared" si="75"/>
        <v>动态</v>
      </c>
      <c r="F442" t="str">
        <f ca="1">BDH($B$442,$C$442,$B$417,$B$418,CONCATENATE("Per=",$B$415),"Dts=H","Dir=H",CONCATENATE("Points=",$B$416),"Sort=R","Days=A","Fill=B",CONCATENATE("FX=", $B$414) )</f>
        <v>#N/A Authorization</v>
      </c>
      <c r="BN442" t="str">
        <f>""</f>
        <v/>
      </c>
      <c r="BO442" t="str">
        <f>""</f>
        <v/>
      </c>
      <c r="BP442" t="str">
        <f>""</f>
        <v/>
      </c>
      <c r="BQ442" t="str">
        <f>""</f>
        <v/>
      </c>
      <c r="BR442" t="str">
        <f>""</f>
        <v/>
      </c>
      <c r="BS442" t="str">
        <f>""</f>
        <v/>
      </c>
      <c r="BT442" t="str">
        <f>""</f>
        <v/>
      </c>
      <c r="BU442" t="str">
        <f>""</f>
        <v/>
      </c>
      <c r="BV442" t="str">
        <f>""</f>
        <v/>
      </c>
      <c r="BW442" t="str">
        <f>""</f>
        <v/>
      </c>
      <c r="BX442" t="str">
        <f>""</f>
        <v/>
      </c>
      <c r="BY442" t="str">
        <f>""</f>
        <v/>
      </c>
      <c r="BZ442" t="str">
        <f>""</f>
        <v/>
      </c>
      <c r="CA442" t="str">
        <f>""</f>
        <v/>
      </c>
      <c r="CB442" t="str">
        <f>""</f>
        <v/>
      </c>
      <c r="CC442" t="str">
        <f>""</f>
        <v/>
      </c>
      <c r="CD442" t="str">
        <f>""</f>
        <v/>
      </c>
      <c r="CE442" t="str">
        <f>""</f>
        <v/>
      </c>
      <c r="CF442" t="str">
        <f>""</f>
        <v/>
      </c>
      <c r="CG442" t="str">
        <f>""</f>
        <v/>
      </c>
      <c r="CH442" t="str">
        <f>""</f>
        <v/>
      </c>
      <c r="CI442" t="str">
        <f>""</f>
        <v/>
      </c>
      <c r="CJ442" t="str">
        <f>""</f>
        <v/>
      </c>
      <c r="CK442" t="str">
        <f>""</f>
        <v/>
      </c>
      <c r="CL442" t="str">
        <f>""</f>
        <v/>
      </c>
      <c r="CM442" t="str">
        <f>""</f>
        <v/>
      </c>
      <c r="CN442" t="str">
        <f>""</f>
        <v/>
      </c>
      <c r="CO442" t="str">
        <f>""</f>
        <v/>
      </c>
      <c r="CP442" t="str">
        <f>""</f>
        <v/>
      </c>
      <c r="CQ442" t="str">
        <f>""</f>
        <v/>
      </c>
      <c r="CR442" t="str">
        <f>""</f>
        <v/>
      </c>
      <c r="CS442" t="str">
        <f>""</f>
        <v/>
      </c>
      <c r="CT442" t="str">
        <f>""</f>
        <v/>
      </c>
      <c r="CU442" t="str">
        <f>""</f>
        <v/>
      </c>
      <c r="CV442" t="str">
        <f>""</f>
        <v/>
      </c>
      <c r="CW442" t="str">
        <f>""</f>
        <v/>
      </c>
      <c r="CX442" t="str">
        <f>""</f>
        <v/>
      </c>
      <c r="CY442" t="str">
        <f>""</f>
        <v/>
      </c>
      <c r="CZ442" t="str">
        <f>""</f>
        <v/>
      </c>
      <c r="DA442" t="str">
        <f>""</f>
        <v/>
      </c>
      <c r="DB442" t="str">
        <f>""</f>
        <v/>
      </c>
      <c r="DC442" t="str">
        <f>""</f>
        <v/>
      </c>
      <c r="DD442" t="str">
        <f>""</f>
        <v/>
      </c>
      <c r="DE442" t="str">
        <f>""</f>
        <v/>
      </c>
      <c r="DF442" t="str">
        <f>""</f>
        <v/>
      </c>
      <c r="DG442" t="str">
        <f>""</f>
        <v/>
      </c>
      <c r="DH442" t="str">
        <f>""</f>
        <v/>
      </c>
      <c r="DI442" t="str">
        <f>""</f>
        <v/>
      </c>
      <c r="DJ442" t="str">
        <f>""</f>
        <v/>
      </c>
      <c r="DK442" t="str">
        <f>""</f>
        <v/>
      </c>
      <c r="DL442" t="str">
        <f>""</f>
        <v/>
      </c>
      <c r="DM442" t="str">
        <f>""</f>
        <v/>
      </c>
      <c r="DN442" t="str">
        <f>""</f>
        <v/>
      </c>
      <c r="DO442" t="str">
        <f>""</f>
        <v/>
      </c>
      <c r="DP442" t="str">
        <f>""</f>
        <v/>
      </c>
      <c r="DQ442" t="str">
        <f>""</f>
        <v/>
      </c>
      <c r="DR442" t="str">
        <f>""</f>
        <v/>
      </c>
      <c r="DS442" t="str">
        <f>""</f>
        <v/>
      </c>
      <c r="DT442" t="str">
        <f>""</f>
        <v/>
      </c>
      <c r="DU442" t="str">
        <f>""</f>
        <v/>
      </c>
    </row>
    <row r="443" spans="2:125">
      <c r="B443" t="str">
        <f>"REG US Equity"</f>
        <v>REG US Equity</v>
      </c>
      <c r="C443" t="str">
        <f>"BS189"</f>
        <v>BS189</v>
      </c>
      <c r="D443" t="str">
        <f>"BS_TOTAL_AVAIL_LINE_OF_CREDIT"</f>
        <v>BS_TOTAL_AVAIL_LINE_OF_CREDIT</v>
      </c>
      <c r="E443" t="str">
        <f t="shared" si="75"/>
        <v>动态</v>
      </c>
      <c r="F443" t="str">
        <f ca="1">BDH($B$443,$C$443,$B$417,$B$418,CONCATENATE("Per=",$B$415),"Dts=H","Dir=H",CONCATENATE("Points=",$B$416),"Sort=R","Days=A","Fill=B",CONCATENATE("FX=", $B$414) )</f>
        <v>#N/A Authorization</v>
      </c>
      <c r="BN443" t="str">
        <f>""</f>
        <v/>
      </c>
      <c r="BO443" t="str">
        <f>""</f>
        <v/>
      </c>
      <c r="BP443" t="str">
        <f>""</f>
        <v/>
      </c>
      <c r="BQ443" t="str">
        <f>""</f>
        <v/>
      </c>
      <c r="BR443" t="str">
        <f>""</f>
        <v/>
      </c>
      <c r="BS443" t="str">
        <f>""</f>
        <v/>
      </c>
      <c r="BT443" t="str">
        <f>""</f>
        <v/>
      </c>
      <c r="BU443" t="str">
        <f>""</f>
        <v/>
      </c>
      <c r="BV443" t="str">
        <f>""</f>
        <v/>
      </c>
      <c r="BW443" t="str">
        <f>""</f>
        <v/>
      </c>
      <c r="BX443" t="str">
        <f>""</f>
        <v/>
      </c>
      <c r="BY443" t="str">
        <f>""</f>
        <v/>
      </c>
      <c r="BZ443" t="str">
        <f>""</f>
        <v/>
      </c>
      <c r="CA443" t="str">
        <f>""</f>
        <v/>
      </c>
      <c r="CB443" t="str">
        <f>""</f>
        <v/>
      </c>
      <c r="CC443" t="str">
        <f>""</f>
        <v/>
      </c>
      <c r="CD443" t="str">
        <f>""</f>
        <v/>
      </c>
      <c r="CE443" t="str">
        <f>""</f>
        <v/>
      </c>
      <c r="CF443" t="str">
        <f>""</f>
        <v/>
      </c>
      <c r="CG443" t="str">
        <f>""</f>
        <v/>
      </c>
      <c r="CH443" t="str">
        <f>""</f>
        <v/>
      </c>
      <c r="CI443" t="str">
        <f>""</f>
        <v/>
      </c>
      <c r="CJ443" t="str">
        <f>""</f>
        <v/>
      </c>
      <c r="CK443" t="str">
        <f>""</f>
        <v/>
      </c>
      <c r="CL443" t="str">
        <f>""</f>
        <v/>
      </c>
      <c r="CM443" t="str">
        <f>""</f>
        <v/>
      </c>
      <c r="CN443" t="str">
        <f>""</f>
        <v/>
      </c>
      <c r="CO443" t="str">
        <f>""</f>
        <v/>
      </c>
      <c r="CP443" t="str">
        <f>""</f>
        <v/>
      </c>
      <c r="CQ443" t="str">
        <f>""</f>
        <v/>
      </c>
      <c r="CR443" t="str">
        <f>""</f>
        <v/>
      </c>
      <c r="CS443" t="str">
        <f>""</f>
        <v/>
      </c>
      <c r="CT443" t="str">
        <f>""</f>
        <v/>
      </c>
      <c r="CU443" t="str">
        <f>""</f>
        <v/>
      </c>
      <c r="CV443" t="str">
        <f>""</f>
        <v/>
      </c>
      <c r="CW443" t="str">
        <f>""</f>
        <v/>
      </c>
      <c r="CX443" t="str">
        <f>""</f>
        <v/>
      </c>
      <c r="CY443" t="str">
        <f>""</f>
        <v/>
      </c>
      <c r="CZ443" t="str">
        <f>""</f>
        <v/>
      </c>
      <c r="DA443" t="str">
        <f>""</f>
        <v/>
      </c>
      <c r="DB443" t="str">
        <f>""</f>
        <v/>
      </c>
      <c r="DC443" t="str">
        <f>""</f>
        <v/>
      </c>
      <c r="DD443" t="str">
        <f>""</f>
        <v/>
      </c>
      <c r="DE443" t="str">
        <f>""</f>
        <v/>
      </c>
      <c r="DF443" t="str">
        <f>""</f>
        <v/>
      </c>
      <c r="DG443" t="str">
        <f>""</f>
        <v/>
      </c>
      <c r="DH443" t="str">
        <f>""</f>
        <v/>
      </c>
      <c r="DI443" t="str">
        <f>""</f>
        <v/>
      </c>
      <c r="DJ443" t="str">
        <f>""</f>
        <v/>
      </c>
      <c r="DK443" t="str">
        <f>""</f>
        <v/>
      </c>
      <c r="DL443" t="str">
        <f>""</f>
        <v/>
      </c>
      <c r="DM443" t="str">
        <f>""</f>
        <v/>
      </c>
      <c r="DN443" t="str">
        <f>""</f>
        <v/>
      </c>
      <c r="DO443" t="str">
        <f>""</f>
        <v/>
      </c>
      <c r="DP443" t="str">
        <f>""</f>
        <v/>
      </c>
      <c r="DQ443" t="str">
        <f>""</f>
        <v/>
      </c>
      <c r="DR443" t="str">
        <f>""</f>
        <v/>
      </c>
      <c r="DS443" t="str">
        <f>""</f>
        <v/>
      </c>
      <c r="DT443" t="str">
        <f>""</f>
        <v/>
      </c>
      <c r="DU443" t="str">
        <f>""</f>
        <v/>
      </c>
    </row>
    <row r="444" spans="2:125">
      <c r="B444" t="str">
        <f>"REG US Equity"</f>
        <v>REG US Equity</v>
      </c>
      <c r="C444" t="str">
        <f>"BS658"</f>
        <v>BS658</v>
      </c>
      <c r="D444" t="str">
        <f>"BS_YEAR_1_PRINCIPAL"</f>
        <v>BS_YEAR_1_PRINCIPAL</v>
      </c>
      <c r="E444" t="str">
        <f t="shared" si="75"/>
        <v>动态</v>
      </c>
      <c r="F444" t="str">
        <f ca="1">BDH($B$444,$C$444,$B$417,$B$418,CONCATENATE("Per=",$B$415),"Dts=H","Dir=H",CONCATENATE("Points=",$B$416),"Sort=R","Days=A","Fill=B",CONCATENATE("FX=", $B$414) )</f>
        <v>#N/A Authorization</v>
      </c>
      <c r="BN444" t="str">
        <f>""</f>
        <v/>
      </c>
      <c r="BO444" t="str">
        <f>""</f>
        <v/>
      </c>
      <c r="BP444" t="str">
        <f>""</f>
        <v/>
      </c>
      <c r="BQ444" t="str">
        <f>""</f>
        <v/>
      </c>
      <c r="BR444" t="str">
        <f>""</f>
        <v/>
      </c>
      <c r="BS444" t="str">
        <f>""</f>
        <v/>
      </c>
      <c r="BT444" t="str">
        <f>""</f>
        <v/>
      </c>
      <c r="BU444" t="str">
        <f>""</f>
        <v/>
      </c>
      <c r="BV444" t="str">
        <f>""</f>
        <v/>
      </c>
      <c r="BW444" t="str">
        <f>""</f>
        <v/>
      </c>
      <c r="BX444" t="str">
        <f>""</f>
        <v/>
      </c>
      <c r="BY444" t="str">
        <f>""</f>
        <v/>
      </c>
      <c r="BZ444" t="str">
        <f>""</f>
        <v/>
      </c>
      <c r="CA444" t="str">
        <f>""</f>
        <v/>
      </c>
      <c r="CB444" t="str">
        <f>""</f>
        <v/>
      </c>
      <c r="CC444" t="str">
        <f>""</f>
        <v/>
      </c>
      <c r="CD444" t="str">
        <f>""</f>
        <v/>
      </c>
      <c r="CE444" t="str">
        <f>""</f>
        <v/>
      </c>
      <c r="CF444" t="str">
        <f>""</f>
        <v/>
      </c>
      <c r="CG444" t="str">
        <f>""</f>
        <v/>
      </c>
      <c r="CH444" t="str">
        <f>""</f>
        <v/>
      </c>
      <c r="CI444" t="str">
        <f>""</f>
        <v/>
      </c>
      <c r="CJ444" t="str">
        <f>""</f>
        <v/>
      </c>
      <c r="CK444" t="str">
        <f>""</f>
        <v/>
      </c>
      <c r="CL444" t="str">
        <f>""</f>
        <v/>
      </c>
      <c r="CM444" t="str">
        <f>""</f>
        <v/>
      </c>
      <c r="CN444" t="str">
        <f>""</f>
        <v/>
      </c>
      <c r="CO444" t="str">
        <f>""</f>
        <v/>
      </c>
      <c r="CP444" t="str">
        <f>""</f>
        <v/>
      </c>
      <c r="CQ444" t="str">
        <f>""</f>
        <v/>
      </c>
      <c r="CR444" t="str">
        <f>""</f>
        <v/>
      </c>
      <c r="CS444" t="str">
        <f>""</f>
        <v/>
      </c>
      <c r="CT444" t="str">
        <f>""</f>
        <v/>
      </c>
      <c r="CU444" t="str">
        <f>""</f>
        <v/>
      </c>
      <c r="CV444" t="str">
        <f>""</f>
        <v/>
      </c>
      <c r="CW444" t="str">
        <f>""</f>
        <v/>
      </c>
      <c r="CX444" t="str">
        <f>""</f>
        <v/>
      </c>
      <c r="CY444" t="str">
        <f>""</f>
        <v/>
      </c>
      <c r="CZ444" t="str">
        <f>""</f>
        <v/>
      </c>
      <c r="DA444" t="str">
        <f>""</f>
        <v/>
      </c>
      <c r="DB444" t="str">
        <f>""</f>
        <v/>
      </c>
      <c r="DC444" t="str">
        <f>""</f>
        <v/>
      </c>
      <c r="DD444" t="str">
        <f>""</f>
        <v/>
      </c>
      <c r="DE444" t="str">
        <f>""</f>
        <v/>
      </c>
      <c r="DF444" t="str">
        <f>""</f>
        <v/>
      </c>
      <c r="DG444" t="str">
        <f>""</f>
        <v/>
      </c>
      <c r="DH444" t="str">
        <f>""</f>
        <v/>
      </c>
      <c r="DI444" t="str">
        <f>""</f>
        <v/>
      </c>
      <c r="DJ444" t="str">
        <f>""</f>
        <v/>
      </c>
      <c r="DK444" t="str">
        <f>""</f>
        <v/>
      </c>
      <c r="DL444" t="str">
        <f>""</f>
        <v/>
      </c>
      <c r="DM444" t="str">
        <f>""</f>
        <v/>
      </c>
      <c r="DN444" t="str">
        <f>""</f>
        <v/>
      </c>
      <c r="DO444" t="str">
        <f>""</f>
        <v/>
      </c>
      <c r="DP444" t="str">
        <f>""</f>
        <v/>
      </c>
      <c r="DQ444" t="str">
        <f>""</f>
        <v/>
      </c>
      <c r="DR444" t="str">
        <f>""</f>
        <v/>
      </c>
      <c r="DS444" t="str">
        <f>""</f>
        <v/>
      </c>
      <c r="DT444" t="str">
        <f>""</f>
        <v/>
      </c>
      <c r="DU444" t="str">
        <f>""</f>
        <v/>
      </c>
    </row>
    <row r="445" spans="2:125">
      <c r="B445" t="str">
        <f>"ROIC US Equity"</f>
        <v>ROIC US Equity</v>
      </c>
      <c r="C445" t="str">
        <f>"RR253"</f>
        <v>RR253</v>
      </c>
      <c r="D445" t="str">
        <f>"CASH_AND_MARKETABLE_SECURITIES"</f>
        <v>CASH_AND_MARKETABLE_SECURITIES</v>
      </c>
      <c r="E445" t="str">
        <f t="shared" si="75"/>
        <v>动态</v>
      </c>
      <c r="F445" t="str">
        <f ca="1">BDH($B$445,$C$445,$B$417,$B$418,CONCATENATE("Per=",$B$415),"Dts=H","Dir=H",CONCATENATE("Points=",$B$416),"Sort=R","Days=A","Fill=B",CONCATENATE("FX=", $B$414) )</f>
        <v>#N/A Authorization</v>
      </c>
      <c r="BN445" t="str">
        <f>""</f>
        <v/>
      </c>
      <c r="BO445" t="str">
        <f>""</f>
        <v/>
      </c>
      <c r="BP445" t="str">
        <f>""</f>
        <v/>
      </c>
      <c r="BQ445" t="str">
        <f>""</f>
        <v/>
      </c>
      <c r="BR445" t="str">
        <f>""</f>
        <v/>
      </c>
      <c r="BS445" t="str">
        <f>""</f>
        <v/>
      </c>
      <c r="BT445" t="str">
        <f>""</f>
        <v/>
      </c>
      <c r="BU445" t="str">
        <f>""</f>
        <v/>
      </c>
      <c r="BV445" t="str">
        <f>""</f>
        <v/>
      </c>
      <c r="BW445" t="str">
        <f>""</f>
        <v/>
      </c>
      <c r="BX445" t="str">
        <f>""</f>
        <v/>
      </c>
      <c r="BY445" t="str">
        <f>""</f>
        <v/>
      </c>
      <c r="BZ445" t="str">
        <f>""</f>
        <v/>
      </c>
      <c r="CA445" t="str">
        <f>""</f>
        <v/>
      </c>
      <c r="CB445" t="str">
        <f>""</f>
        <v/>
      </c>
      <c r="CC445" t="str">
        <f>""</f>
        <v/>
      </c>
      <c r="CD445" t="str">
        <f>""</f>
        <v/>
      </c>
      <c r="CE445" t="str">
        <f>""</f>
        <v/>
      </c>
      <c r="CF445" t="str">
        <f>""</f>
        <v/>
      </c>
      <c r="CG445" t="str">
        <f>""</f>
        <v/>
      </c>
      <c r="CH445" t="str">
        <f>""</f>
        <v/>
      </c>
      <c r="CI445" t="str">
        <f>""</f>
        <v/>
      </c>
      <c r="CJ445" t="str">
        <f>""</f>
        <v/>
      </c>
      <c r="CK445" t="str">
        <f>""</f>
        <v/>
      </c>
      <c r="CL445" t="str">
        <f>""</f>
        <v/>
      </c>
      <c r="CM445" t="str">
        <f>""</f>
        <v/>
      </c>
      <c r="CN445" t="str">
        <f>""</f>
        <v/>
      </c>
      <c r="CO445" t="str">
        <f>""</f>
        <v/>
      </c>
      <c r="CP445" t="str">
        <f>""</f>
        <v/>
      </c>
      <c r="CQ445" t="str">
        <f>""</f>
        <v/>
      </c>
      <c r="CR445" t="str">
        <f>""</f>
        <v/>
      </c>
      <c r="CS445" t="str">
        <f>""</f>
        <v/>
      </c>
      <c r="CT445" t="str">
        <f>""</f>
        <v/>
      </c>
      <c r="CU445" t="str">
        <f>""</f>
        <v/>
      </c>
      <c r="CV445" t="str">
        <f>""</f>
        <v/>
      </c>
      <c r="CW445" t="str">
        <f>""</f>
        <v/>
      </c>
      <c r="CX445" t="str">
        <f>""</f>
        <v/>
      </c>
      <c r="CY445" t="str">
        <f>""</f>
        <v/>
      </c>
      <c r="CZ445" t="str">
        <f>""</f>
        <v/>
      </c>
      <c r="DA445" t="str">
        <f>""</f>
        <v/>
      </c>
      <c r="DB445" t="str">
        <f>""</f>
        <v/>
      </c>
      <c r="DC445" t="str">
        <f>""</f>
        <v/>
      </c>
      <c r="DD445" t="str">
        <f>""</f>
        <v/>
      </c>
      <c r="DE445" t="str">
        <f>""</f>
        <v/>
      </c>
      <c r="DF445" t="str">
        <f>""</f>
        <v/>
      </c>
      <c r="DG445" t="str">
        <f>""</f>
        <v/>
      </c>
      <c r="DH445" t="str">
        <f>""</f>
        <v/>
      </c>
      <c r="DI445" t="str">
        <f>""</f>
        <v/>
      </c>
      <c r="DJ445" t="str">
        <f>""</f>
        <v/>
      </c>
      <c r="DK445" t="str">
        <f>""</f>
        <v/>
      </c>
      <c r="DL445" t="str">
        <f>""</f>
        <v/>
      </c>
      <c r="DM445" t="str">
        <f>""</f>
        <v/>
      </c>
      <c r="DN445" t="str">
        <f>""</f>
        <v/>
      </c>
      <c r="DO445" t="str">
        <f>""</f>
        <v/>
      </c>
      <c r="DP445" t="str">
        <f>""</f>
        <v/>
      </c>
      <c r="DQ445" t="str">
        <f>""</f>
        <v/>
      </c>
      <c r="DR445" t="str">
        <f>""</f>
        <v/>
      </c>
      <c r="DS445" t="str">
        <f>""</f>
        <v/>
      </c>
      <c r="DT445" t="str">
        <f>""</f>
        <v/>
      </c>
      <c r="DU445" t="str">
        <f>""</f>
        <v/>
      </c>
    </row>
    <row r="446" spans="2:125">
      <c r="B446" t="str">
        <f>"ROIC US Equity"</f>
        <v>ROIC US Equity</v>
      </c>
      <c r="C446" t="str">
        <f>"BS189"</f>
        <v>BS189</v>
      </c>
      <c r="D446" t="str">
        <f>"BS_TOTAL_AVAIL_LINE_OF_CREDIT"</f>
        <v>BS_TOTAL_AVAIL_LINE_OF_CREDIT</v>
      </c>
      <c r="E446" t="str">
        <f t="shared" si="75"/>
        <v>动态</v>
      </c>
      <c r="F446" t="str">
        <f ca="1">BDH($B$446,$C$446,$B$417,$B$418,CONCATENATE("Per=",$B$415),"Dts=H","Dir=H",CONCATENATE("Points=",$B$416),"Sort=R","Days=A","Fill=B",CONCATENATE("FX=", $B$414) )</f>
        <v>#N/A Authorization</v>
      </c>
      <c r="BN446" t="str">
        <f>""</f>
        <v/>
      </c>
      <c r="BO446" t="str">
        <f>""</f>
        <v/>
      </c>
      <c r="BP446" t="str">
        <f>""</f>
        <v/>
      </c>
      <c r="BQ446" t="str">
        <f>""</f>
        <v/>
      </c>
      <c r="BR446" t="str">
        <f>""</f>
        <v/>
      </c>
      <c r="BS446" t="str">
        <f>""</f>
        <v/>
      </c>
      <c r="BT446" t="str">
        <f>""</f>
        <v/>
      </c>
      <c r="BU446" t="str">
        <f>""</f>
        <v/>
      </c>
      <c r="BV446" t="str">
        <f>""</f>
        <v/>
      </c>
      <c r="BW446" t="str">
        <f>""</f>
        <v/>
      </c>
      <c r="BX446" t="str">
        <f>""</f>
        <v/>
      </c>
      <c r="BY446" t="str">
        <f>""</f>
        <v/>
      </c>
      <c r="BZ446" t="str">
        <f>""</f>
        <v/>
      </c>
      <c r="CA446" t="str">
        <f>""</f>
        <v/>
      </c>
      <c r="CB446" t="str">
        <f>""</f>
        <v/>
      </c>
      <c r="CC446" t="str">
        <f>""</f>
        <v/>
      </c>
      <c r="CD446" t="str">
        <f>""</f>
        <v/>
      </c>
      <c r="CE446" t="str">
        <f>""</f>
        <v/>
      </c>
      <c r="CF446" t="str">
        <f>""</f>
        <v/>
      </c>
      <c r="CG446" t="str">
        <f>""</f>
        <v/>
      </c>
      <c r="CH446" t="str">
        <f>""</f>
        <v/>
      </c>
      <c r="CI446" t="str">
        <f>""</f>
        <v/>
      </c>
      <c r="CJ446" t="str">
        <f>""</f>
        <v/>
      </c>
      <c r="CK446" t="str">
        <f>""</f>
        <v/>
      </c>
      <c r="CL446" t="str">
        <f>""</f>
        <v/>
      </c>
      <c r="CM446" t="str">
        <f>""</f>
        <v/>
      </c>
      <c r="CN446" t="str">
        <f>""</f>
        <v/>
      </c>
      <c r="CO446" t="str">
        <f>""</f>
        <v/>
      </c>
      <c r="CP446" t="str">
        <f>""</f>
        <v/>
      </c>
      <c r="CQ446" t="str">
        <f>""</f>
        <v/>
      </c>
      <c r="CR446" t="str">
        <f>""</f>
        <v/>
      </c>
      <c r="CS446" t="str">
        <f>""</f>
        <v/>
      </c>
      <c r="CT446" t="str">
        <f>""</f>
        <v/>
      </c>
      <c r="CU446" t="str">
        <f>""</f>
        <v/>
      </c>
      <c r="CV446" t="str">
        <f>""</f>
        <v/>
      </c>
      <c r="CW446" t="str">
        <f>""</f>
        <v/>
      </c>
      <c r="CX446" t="str">
        <f>""</f>
        <v/>
      </c>
      <c r="CY446" t="str">
        <f>""</f>
        <v/>
      </c>
      <c r="CZ446" t="str">
        <f>""</f>
        <v/>
      </c>
      <c r="DA446" t="str">
        <f>""</f>
        <v/>
      </c>
      <c r="DB446" t="str">
        <f>""</f>
        <v/>
      </c>
      <c r="DC446" t="str">
        <f>""</f>
        <v/>
      </c>
      <c r="DD446" t="str">
        <f>""</f>
        <v/>
      </c>
      <c r="DE446" t="str">
        <f>""</f>
        <v/>
      </c>
      <c r="DF446" t="str">
        <f>""</f>
        <v/>
      </c>
      <c r="DG446" t="str">
        <f>""</f>
        <v/>
      </c>
      <c r="DH446" t="str">
        <f>""</f>
        <v/>
      </c>
      <c r="DI446" t="str">
        <f>""</f>
        <v/>
      </c>
      <c r="DJ446" t="str">
        <f>""</f>
        <v/>
      </c>
      <c r="DK446" t="str">
        <f>""</f>
        <v/>
      </c>
      <c r="DL446" t="str">
        <f>""</f>
        <v/>
      </c>
      <c r="DM446" t="str">
        <f>""</f>
        <v/>
      </c>
      <c r="DN446" t="str">
        <f>""</f>
        <v/>
      </c>
      <c r="DO446" t="str">
        <f>""</f>
        <v/>
      </c>
      <c r="DP446" t="str">
        <f>""</f>
        <v/>
      </c>
      <c r="DQ446" t="str">
        <f>""</f>
        <v/>
      </c>
      <c r="DR446" t="str">
        <f>""</f>
        <v/>
      </c>
      <c r="DS446" t="str">
        <f>""</f>
        <v/>
      </c>
      <c r="DT446" t="str">
        <f>""</f>
        <v/>
      </c>
      <c r="DU446" t="str">
        <f>""</f>
        <v/>
      </c>
    </row>
    <row r="447" spans="2:125">
      <c r="B447" t="str">
        <f>"ROIC US Equity"</f>
        <v>ROIC US Equity</v>
      </c>
      <c r="C447" t="str">
        <f>"BS658"</f>
        <v>BS658</v>
      </c>
      <c r="D447" t="str">
        <f>"BS_YEAR_1_PRINCIPAL"</f>
        <v>BS_YEAR_1_PRINCIPAL</v>
      </c>
      <c r="E447" t="str">
        <f t="shared" si="75"/>
        <v>动态</v>
      </c>
      <c r="F447" t="str">
        <f ca="1">BDH($B$447,$C$447,$B$417,$B$418,CONCATENATE("Per=",$B$415),"Dts=H","Dir=H",CONCATENATE("Points=",$B$416),"Sort=R","Days=A","Fill=B",CONCATENATE("FX=", $B$414) )</f>
        <v>#N/A Authorization</v>
      </c>
      <c r="BN447" t="str">
        <f>""</f>
        <v/>
      </c>
      <c r="BO447" t="str">
        <f>""</f>
        <v/>
      </c>
      <c r="BP447" t="str">
        <f>""</f>
        <v/>
      </c>
      <c r="BQ447" t="str">
        <f>""</f>
        <v/>
      </c>
      <c r="BR447" t="str">
        <f>""</f>
        <v/>
      </c>
      <c r="BS447" t="str">
        <f>""</f>
        <v/>
      </c>
      <c r="BT447" t="str">
        <f>""</f>
        <v/>
      </c>
      <c r="BU447" t="str">
        <f>""</f>
        <v/>
      </c>
      <c r="BV447" t="str">
        <f>""</f>
        <v/>
      </c>
      <c r="BW447" t="str">
        <f>""</f>
        <v/>
      </c>
      <c r="BX447" t="str">
        <f>""</f>
        <v/>
      </c>
      <c r="BY447" t="str">
        <f>""</f>
        <v/>
      </c>
      <c r="BZ447" t="str">
        <f>""</f>
        <v/>
      </c>
      <c r="CA447" t="str">
        <f>""</f>
        <v/>
      </c>
      <c r="CB447" t="str">
        <f>""</f>
        <v/>
      </c>
      <c r="CC447" t="str">
        <f>""</f>
        <v/>
      </c>
      <c r="CD447" t="str">
        <f>""</f>
        <v/>
      </c>
      <c r="CE447" t="str">
        <f>""</f>
        <v/>
      </c>
      <c r="CF447" t="str">
        <f>""</f>
        <v/>
      </c>
      <c r="CG447" t="str">
        <f>""</f>
        <v/>
      </c>
      <c r="CH447" t="str">
        <f>""</f>
        <v/>
      </c>
      <c r="CI447" t="str">
        <f>""</f>
        <v/>
      </c>
      <c r="CJ447" t="str">
        <f>""</f>
        <v/>
      </c>
      <c r="CK447" t="str">
        <f>""</f>
        <v/>
      </c>
      <c r="CL447" t="str">
        <f>""</f>
        <v/>
      </c>
      <c r="CM447" t="str">
        <f>""</f>
        <v/>
      </c>
      <c r="CN447" t="str">
        <f>""</f>
        <v/>
      </c>
      <c r="CO447" t="str">
        <f>""</f>
        <v/>
      </c>
      <c r="CP447" t="str">
        <f>""</f>
        <v/>
      </c>
      <c r="CQ447" t="str">
        <f>""</f>
        <v/>
      </c>
      <c r="CR447" t="str">
        <f>""</f>
        <v/>
      </c>
      <c r="CS447" t="str">
        <f>""</f>
        <v/>
      </c>
      <c r="CT447" t="str">
        <f>""</f>
        <v/>
      </c>
      <c r="CU447" t="str">
        <f>""</f>
        <v/>
      </c>
      <c r="CV447" t="str">
        <f>""</f>
        <v/>
      </c>
      <c r="CW447" t="str">
        <f>""</f>
        <v/>
      </c>
      <c r="CX447" t="str">
        <f>""</f>
        <v/>
      </c>
      <c r="CY447" t="str">
        <f>""</f>
        <v/>
      </c>
      <c r="CZ447" t="str">
        <f>""</f>
        <v/>
      </c>
      <c r="DA447" t="str">
        <f>""</f>
        <v/>
      </c>
      <c r="DB447" t="str">
        <f>""</f>
        <v/>
      </c>
      <c r="DC447" t="str">
        <f>""</f>
        <v/>
      </c>
      <c r="DD447" t="str">
        <f>""</f>
        <v/>
      </c>
      <c r="DE447" t="str">
        <f>""</f>
        <v/>
      </c>
      <c r="DF447" t="str">
        <f>""</f>
        <v/>
      </c>
      <c r="DG447" t="str">
        <f>""</f>
        <v/>
      </c>
      <c r="DH447" t="str">
        <f>""</f>
        <v/>
      </c>
      <c r="DI447" t="str">
        <f>""</f>
        <v/>
      </c>
      <c r="DJ447" t="str">
        <f>""</f>
        <v/>
      </c>
      <c r="DK447" t="str">
        <f>""</f>
        <v/>
      </c>
      <c r="DL447" t="str">
        <f>""</f>
        <v/>
      </c>
      <c r="DM447" t="str">
        <f>""</f>
        <v/>
      </c>
      <c r="DN447" t="str">
        <f>""</f>
        <v/>
      </c>
      <c r="DO447" t="str">
        <f>""</f>
        <v/>
      </c>
      <c r="DP447" t="str">
        <f>""</f>
        <v/>
      </c>
      <c r="DQ447" t="str">
        <f>""</f>
        <v/>
      </c>
      <c r="DR447" t="str">
        <f>""</f>
        <v/>
      </c>
      <c r="DS447" t="str">
        <f>""</f>
        <v/>
      </c>
      <c r="DT447" t="str">
        <f>""</f>
        <v/>
      </c>
      <c r="DU447" t="str">
        <f>""</f>
        <v/>
      </c>
    </row>
    <row r="448" spans="2:125">
      <c r="B448" t="str">
        <f>"RPAI US Equity"</f>
        <v>RPAI US Equity</v>
      </c>
      <c r="C448" t="str">
        <f>"RR253"</f>
        <v>RR253</v>
      </c>
      <c r="D448" t="str">
        <f>"CASH_AND_MARKETABLE_SECURITIES"</f>
        <v>CASH_AND_MARKETABLE_SECURITIES</v>
      </c>
      <c r="E448" t="str">
        <f t="shared" si="75"/>
        <v>动态</v>
      </c>
      <c r="F448" t="str">
        <f ca="1">BDH($B$448,$C$448,$B$417,$B$418,CONCATENATE("Per=",$B$415),"Dts=H","Dir=H",CONCATENATE("Points=",$B$416),"Sort=R","Days=A","Fill=B",CONCATENATE("FX=", $B$414) )</f>
        <v>#N/A Authorization</v>
      </c>
      <c r="BN448" t="str">
        <f>""</f>
        <v/>
      </c>
      <c r="BO448" t="str">
        <f>""</f>
        <v/>
      </c>
      <c r="BP448" t="str">
        <f>""</f>
        <v/>
      </c>
      <c r="BQ448" t="str">
        <f>""</f>
        <v/>
      </c>
      <c r="BR448" t="str">
        <f>""</f>
        <v/>
      </c>
      <c r="BS448" t="str">
        <f>""</f>
        <v/>
      </c>
      <c r="BT448" t="str">
        <f>""</f>
        <v/>
      </c>
      <c r="BU448" t="str">
        <f>""</f>
        <v/>
      </c>
      <c r="BV448" t="str">
        <f>""</f>
        <v/>
      </c>
      <c r="BW448" t="str">
        <f>""</f>
        <v/>
      </c>
      <c r="BX448" t="str">
        <f>""</f>
        <v/>
      </c>
      <c r="BY448" t="str">
        <f>""</f>
        <v/>
      </c>
      <c r="BZ448" t="str">
        <f>""</f>
        <v/>
      </c>
      <c r="CA448" t="str">
        <f>""</f>
        <v/>
      </c>
      <c r="CB448" t="str">
        <f>""</f>
        <v/>
      </c>
      <c r="CC448" t="str">
        <f>""</f>
        <v/>
      </c>
      <c r="CD448" t="str">
        <f>""</f>
        <v/>
      </c>
      <c r="CE448" t="str">
        <f>""</f>
        <v/>
      </c>
      <c r="CF448" t="str">
        <f>""</f>
        <v/>
      </c>
      <c r="CG448" t="str">
        <f>""</f>
        <v/>
      </c>
      <c r="CH448" t="str">
        <f>""</f>
        <v/>
      </c>
      <c r="CI448" t="str">
        <f>""</f>
        <v/>
      </c>
      <c r="CJ448" t="str">
        <f>""</f>
        <v/>
      </c>
      <c r="CK448" t="str">
        <f>""</f>
        <v/>
      </c>
      <c r="CL448" t="str">
        <f>""</f>
        <v/>
      </c>
      <c r="CM448" t="str">
        <f>""</f>
        <v/>
      </c>
      <c r="CN448" t="str">
        <f>""</f>
        <v/>
      </c>
      <c r="CO448" t="str">
        <f>""</f>
        <v/>
      </c>
      <c r="CP448" t="str">
        <f>""</f>
        <v/>
      </c>
      <c r="CQ448" t="str">
        <f>""</f>
        <v/>
      </c>
      <c r="CR448" t="str">
        <f>""</f>
        <v/>
      </c>
      <c r="CS448" t="str">
        <f>""</f>
        <v/>
      </c>
      <c r="CT448" t="str">
        <f>""</f>
        <v/>
      </c>
      <c r="CU448" t="str">
        <f>""</f>
        <v/>
      </c>
      <c r="CV448" t="str">
        <f>""</f>
        <v/>
      </c>
      <c r="CW448" t="str">
        <f>""</f>
        <v/>
      </c>
      <c r="CX448" t="str">
        <f>""</f>
        <v/>
      </c>
      <c r="CY448" t="str">
        <f>""</f>
        <v/>
      </c>
      <c r="CZ448" t="str">
        <f>""</f>
        <v/>
      </c>
      <c r="DA448" t="str">
        <f>""</f>
        <v/>
      </c>
      <c r="DB448" t="str">
        <f>""</f>
        <v/>
      </c>
      <c r="DC448" t="str">
        <f>""</f>
        <v/>
      </c>
      <c r="DD448" t="str">
        <f>""</f>
        <v/>
      </c>
      <c r="DE448" t="str">
        <f>""</f>
        <v/>
      </c>
      <c r="DF448" t="str">
        <f>""</f>
        <v/>
      </c>
      <c r="DG448" t="str">
        <f>""</f>
        <v/>
      </c>
      <c r="DH448" t="str">
        <f>""</f>
        <v/>
      </c>
      <c r="DI448" t="str">
        <f>""</f>
        <v/>
      </c>
      <c r="DJ448" t="str">
        <f>""</f>
        <v/>
      </c>
      <c r="DK448" t="str">
        <f>""</f>
        <v/>
      </c>
      <c r="DL448" t="str">
        <f>""</f>
        <v/>
      </c>
      <c r="DM448" t="str">
        <f>""</f>
        <v/>
      </c>
      <c r="DN448" t="str">
        <f>""</f>
        <v/>
      </c>
      <c r="DO448" t="str">
        <f>""</f>
        <v/>
      </c>
      <c r="DP448" t="str">
        <f>""</f>
        <v/>
      </c>
      <c r="DQ448" t="str">
        <f>""</f>
        <v/>
      </c>
      <c r="DR448" t="str">
        <f>""</f>
        <v/>
      </c>
      <c r="DS448" t="str">
        <f>""</f>
        <v/>
      </c>
      <c r="DT448" t="str">
        <f>""</f>
        <v/>
      </c>
      <c r="DU448" t="str">
        <f>""</f>
        <v/>
      </c>
    </row>
    <row r="449" spans="2:125">
      <c r="B449" t="str">
        <f>"RPAI US Equity"</f>
        <v>RPAI US Equity</v>
      </c>
      <c r="C449" t="str">
        <f>"BS189"</f>
        <v>BS189</v>
      </c>
      <c r="D449" t="str">
        <f>"BS_TOTAL_AVAIL_LINE_OF_CREDIT"</f>
        <v>BS_TOTAL_AVAIL_LINE_OF_CREDIT</v>
      </c>
      <c r="E449" t="str">
        <f t="shared" si="75"/>
        <v>动态</v>
      </c>
      <c r="F449" t="str">
        <f ca="1">BDH($B$449,$C$449,$B$417,$B$418,CONCATENATE("Per=",$B$415),"Dts=H","Dir=H",CONCATENATE("Points=",$B$416),"Sort=R","Days=A","Fill=B",CONCATENATE("FX=", $B$414) )</f>
        <v>#N/A Authorization</v>
      </c>
      <c r="BN449" t="str">
        <f>""</f>
        <v/>
      </c>
      <c r="BO449" t="str">
        <f>""</f>
        <v/>
      </c>
      <c r="BP449" t="str">
        <f>""</f>
        <v/>
      </c>
      <c r="BQ449" t="str">
        <f>""</f>
        <v/>
      </c>
      <c r="BR449" t="str">
        <f>""</f>
        <v/>
      </c>
      <c r="BS449" t="str">
        <f>""</f>
        <v/>
      </c>
      <c r="BT449" t="str">
        <f>""</f>
        <v/>
      </c>
      <c r="BU449" t="str">
        <f>""</f>
        <v/>
      </c>
      <c r="BV449" t="str">
        <f>""</f>
        <v/>
      </c>
      <c r="BW449" t="str">
        <f>""</f>
        <v/>
      </c>
      <c r="BX449" t="str">
        <f>""</f>
        <v/>
      </c>
      <c r="BY449" t="str">
        <f>""</f>
        <v/>
      </c>
      <c r="BZ449" t="str">
        <f>""</f>
        <v/>
      </c>
      <c r="CA449" t="str">
        <f>""</f>
        <v/>
      </c>
      <c r="CB449" t="str">
        <f>""</f>
        <v/>
      </c>
      <c r="CC449" t="str">
        <f>""</f>
        <v/>
      </c>
      <c r="CD449" t="str">
        <f>""</f>
        <v/>
      </c>
      <c r="CE449" t="str">
        <f>""</f>
        <v/>
      </c>
      <c r="CF449" t="str">
        <f>""</f>
        <v/>
      </c>
      <c r="CG449" t="str">
        <f>""</f>
        <v/>
      </c>
      <c r="CH449" t="str">
        <f>""</f>
        <v/>
      </c>
      <c r="CI449" t="str">
        <f>""</f>
        <v/>
      </c>
      <c r="CJ449" t="str">
        <f>""</f>
        <v/>
      </c>
      <c r="CK449" t="str">
        <f>""</f>
        <v/>
      </c>
      <c r="CL449" t="str">
        <f>""</f>
        <v/>
      </c>
      <c r="CM449" t="str">
        <f>""</f>
        <v/>
      </c>
      <c r="CN449" t="str">
        <f>""</f>
        <v/>
      </c>
      <c r="CO449" t="str">
        <f>""</f>
        <v/>
      </c>
      <c r="CP449" t="str">
        <f>""</f>
        <v/>
      </c>
      <c r="CQ449" t="str">
        <f>""</f>
        <v/>
      </c>
      <c r="CR449" t="str">
        <f>""</f>
        <v/>
      </c>
      <c r="CS449" t="str">
        <f>""</f>
        <v/>
      </c>
      <c r="CT449" t="str">
        <f>""</f>
        <v/>
      </c>
      <c r="CU449" t="str">
        <f>""</f>
        <v/>
      </c>
      <c r="CV449" t="str">
        <f>""</f>
        <v/>
      </c>
      <c r="CW449" t="str">
        <f>""</f>
        <v/>
      </c>
      <c r="CX449" t="str">
        <f>""</f>
        <v/>
      </c>
      <c r="CY449" t="str">
        <f>""</f>
        <v/>
      </c>
      <c r="CZ449" t="str">
        <f>""</f>
        <v/>
      </c>
      <c r="DA449" t="str">
        <f>""</f>
        <v/>
      </c>
      <c r="DB449" t="str">
        <f>""</f>
        <v/>
      </c>
      <c r="DC449" t="str">
        <f>""</f>
        <v/>
      </c>
      <c r="DD449" t="str">
        <f>""</f>
        <v/>
      </c>
      <c r="DE449" t="str">
        <f>""</f>
        <v/>
      </c>
      <c r="DF449" t="str">
        <f>""</f>
        <v/>
      </c>
      <c r="DG449" t="str">
        <f>""</f>
        <v/>
      </c>
      <c r="DH449" t="str">
        <f>""</f>
        <v/>
      </c>
      <c r="DI449" t="str">
        <f>""</f>
        <v/>
      </c>
      <c r="DJ449" t="str">
        <f>""</f>
        <v/>
      </c>
      <c r="DK449" t="str">
        <f>""</f>
        <v/>
      </c>
      <c r="DL449" t="str">
        <f>""</f>
        <v/>
      </c>
      <c r="DM449" t="str">
        <f>""</f>
        <v/>
      </c>
      <c r="DN449" t="str">
        <f>""</f>
        <v/>
      </c>
      <c r="DO449" t="str">
        <f>""</f>
        <v/>
      </c>
      <c r="DP449" t="str">
        <f>""</f>
        <v/>
      </c>
      <c r="DQ449" t="str">
        <f>""</f>
        <v/>
      </c>
      <c r="DR449" t="str">
        <f>""</f>
        <v/>
      </c>
      <c r="DS449" t="str">
        <f>""</f>
        <v/>
      </c>
      <c r="DT449" t="str">
        <f>""</f>
        <v/>
      </c>
      <c r="DU449" t="str">
        <f>""</f>
        <v/>
      </c>
    </row>
    <row r="450" spans="2:125">
      <c r="B450" t="str">
        <f>"RPAI US Equity"</f>
        <v>RPAI US Equity</v>
      </c>
      <c r="C450" t="str">
        <f>"BS658"</f>
        <v>BS658</v>
      </c>
      <c r="D450" t="str">
        <f>"BS_YEAR_1_PRINCIPAL"</f>
        <v>BS_YEAR_1_PRINCIPAL</v>
      </c>
      <c r="E450" t="str">
        <f t="shared" si="75"/>
        <v>动态</v>
      </c>
      <c r="F450" t="str">
        <f ca="1">BDH($B$450,$C$450,$B$417,$B$418,CONCATENATE("Per=",$B$415),"Dts=H","Dir=H",CONCATENATE("Points=",$B$416),"Sort=R","Days=A","Fill=B",CONCATENATE("FX=", $B$414) )</f>
        <v>#N/A Authorization</v>
      </c>
      <c r="BN450" t="str">
        <f>""</f>
        <v/>
      </c>
      <c r="BO450" t="str">
        <f>""</f>
        <v/>
      </c>
      <c r="BP450" t="str">
        <f>""</f>
        <v/>
      </c>
      <c r="BQ450" t="str">
        <f>""</f>
        <v/>
      </c>
      <c r="BR450" t="str">
        <f>""</f>
        <v/>
      </c>
      <c r="BS450" t="str">
        <f>""</f>
        <v/>
      </c>
      <c r="BT450" t="str">
        <f>""</f>
        <v/>
      </c>
      <c r="BU450" t="str">
        <f>""</f>
        <v/>
      </c>
      <c r="BV450" t="str">
        <f>""</f>
        <v/>
      </c>
      <c r="BW450" t="str">
        <f>""</f>
        <v/>
      </c>
      <c r="BX450" t="str">
        <f>""</f>
        <v/>
      </c>
      <c r="BY450" t="str">
        <f>""</f>
        <v/>
      </c>
      <c r="BZ450" t="str">
        <f>""</f>
        <v/>
      </c>
      <c r="CA450" t="str">
        <f>""</f>
        <v/>
      </c>
      <c r="CB450" t="str">
        <f>""</f>
        <v/>
      </c>
      <c r="CC450" t="str">
        <f>""</f>
        <v/>
      </c>
      <c r="CD450" t="str">
        <f>""</f>
        <v/>
      </c>
      <c r="CE450" t="str">
        <f>""</f>
        <v/>
      </c>
      <c r="CF450" t="str">
        <f>""</f>
        <v/>
      </c>
      <c r="CG450" t="str">
        <f>""</f>
        <v/>
      </c>
      <c r="CH450" t="str">
        <f>""</f>
        <v/>
      </c>
      <c r="CI450" t="str">
        <f>""</f>
        <v/>
      </c>
      <c r="CJ450" t="str">
        <f>""</f>
        <v/>
      </c>
      <c r="CK450" t="str">
        <f>""</f>
        <v/>
      </c>
      <c r="CL450" t="str">
        <f>""</f>
        <v/>
      </c>
      <c r="CM450" t="str">
        <f>""</f>
        <v/>
      </c>
      <c r="CN450" t="str">
        <f>""</f>
        <v/>
      </c>
      <c r="CO450" t="str">
        <f>""</f>
        <v/>
      </c>
      <c r="CP450" t="str">
        <f>""</f>
        <v/>
      </c>
      <c r="CQ450" t="str">
        <f>""</f>
        <v/>
      </c>
      <c r="CR450" t="str">
        <f>""</f>
        <v/>
      </c>
      <c r="CS450" t="str">
        <f>""</f>
        <v/>
      </c>
      <c r="CT450" t="str">
        <f>""</f>
        <v/>
      </c>
      <c r="CU450" t="str">
        <f>""</f>
        <v/>
      </c>
      <c r="CV450" t="str">
        <f>""</f>
        <v/>
      </c>
      <c r="CW450" t="str">
        <f>""</f>
        <v/>
      </c>
      <c r="CX450" t="str">
        <f>""</f>
        <v/>
      </c>
      <c r="CY450" t="str">
        <f>""</f>
        <v/>
      </c>
      <c r="CZ450" t="str">
        <f>""</f>
        <v/>
      </c>
      <c r="DA450" t="str">
        <f>""</f>
        <v/>
      </c>
      <c r="DB450" t="str">
        <f>""</f>
        <v/>
      </c>
      <c r="DC450" t="str">
        <f>""</f>
        <v/>
      </c>
      <c r="DD450" t="str">
        <f>""</f>
        <v/>
      </c>
      <c r="DE450" t="str">
        <f>""</f>
        <v/>
      </c>
      <c r="DF450" t="str">
        <f>""</f>
        <v/>
      </c>
      <c r="DG450" t="str">
        <f>""</f>
        <v/>
      </c>
      <c r="DH450" t="str">
        <f>""</f>
        <v/>
      </c>
      <c r="DI450" t="str">
        <f>""</f>
        <v/>
      </c>
      <c r="DJ450" t="str">
        <f>""</f>
        <v/>
      </c>
      <c r="DK450" t="str">
        <f>""</f>
        <v/>
      </c>
      <c r="DL450" t="str">
        <f>""</f>
        <v/>
      </c>
      <c r="DM450" t="str">
        <f>""</f>
        <v/>
      </c>
      <c r="DN450" t="str">
        <f>""</f>
        <v/>
      </c>
      <c r="DO450" t="str">
        <f>""</f>
        <v/>
      </c>
      <c r="DP450" t="str">
        <f>""</f>
        <v/>
      </c>
      <c r="DQ450" t="str">
        <f>""</f>
        <v/>
      </c>
      <c r="DR450" t="str">
        <f>""</f>
        <v/>
      </c>
      <c r="DS450" t="str">
        <f>""</f>
        <v/>
      </c>
      <c r="DT450" t="str">
        <f>""</f>
        <v/>
      </c>
      <c r="DU450" t="str">
        <f>""</f>
        <v/>
      </c>
    </row>
    <row r="451" spans="2:125">
      <c r="B451" t="str">
        <f>"SPG US Equity"</f>
        <v>SPG US Equity</v>
      </c>
      <c r="C451" t="str">
        <f>"RR253"</f>
        <v>RR253</v>
      </c>
      <c r="D451" t="str">
        <f>"CASH_AND_MARKETABLE_SECURITIES"</f>
        <v>CASH_AND_MARKETABLE_SECURITIES</v>
      </c>
      <c r="E451" t="str">
        <f t="shared" si="75"/>
        <v>动态</v>
      </c>
      <c r="F451" t="str">
        <f ca="1">BDH($B$451,$C$451,$B$417,$B$418,CONCATENATE("Per=",$B$415),"Dts=H","Dir=H",CONCATENATE("Points=",$B$416),"Sort=R","Days=A","Fill=B",CONCATENATE("FX=", $B$414) )</f>
        <v>#N/A Authorization</v>
      </c>
      <c r="BN451" t="str">
        <f>""</f>
        <v/>
      </c>
      <c r="BO451" t="str">
        <f>""</f>
        <v/>
      </c>
      <c r="BP451" t="str">
        <f>""</f>
        <v/>
      </c>
      <c r="BQ451" t="str">
        <f>""</f>
        <v/>
      </c>
      <c r="BR451" t="str">
        <f>""</f>
        <v/>
      </c>
      <c r="BS451" t="str">
        <f>""</f>
        <v/>
      </c>
      <c r="BT451" t="str">
        <f>""</f>
        <v/>
      </c>
      <c r="BU451" t="str">
        <f>""</f>
        <v/>
      </c>
      <c r="BV451" t="str">
        <f>""</f>
        <v/>
      </c>
      <c r="BW451" t="str">
        <f>""</f>
        <v/>
      </c>
      <c r="BX451" t="str">
        <f>""</f>
        <v/>
      </c>
      <c r="BY451" t="str">
        <f>""</f>
        <v/>
      </c>
      <c r="BZ451" t="str">
        <f>""</f>
        <v/>
      </c>
      <c r="CA451" t="str">
        <f>""</f>
        <v/>
      </c>
      <c r="CB451" t="str">
        <f>""</f>
        <v/>
      </c>
      <c r="CC451" t="str">
        <f>""</f>
        <v/>
      </c>
      <c r="CD451" t="str">
        <f>""</f>
        <v/>
      </c>
      <c r="CE451" t="str">
        <f>""</f>
        <v/>
      </c>
      <c r="CF451" t="str">
        <f>""</f>
        <v/>
      </c>
      <c r="CG451" t="str">
        <f>""</f>
        <v/>
      </c>
      <c r="CH451" t="str">
        <f>""</f>
        <v/>
      </c>
      <c r="CI451" t="str">
        <f>""</f>
        <v/>
      </c>
      <c r="CJ451" t="str">
        <f>""</f>
        <v/>
      </c>
      <c r="CK451" t="str">
        <f>""</f>
        <v/>
      </c>
      <c r="CL451" t="str">
        <f>""</f>
        <v/>
      </c>
      <c r="CM451" t="str">
        <f>""</f>
        <v/>
      </c>
      <c r="CN451" t="str">
        <f>""</f>
        <v/>
      </c>
      <c r="CO451" t="str">
        <f>""</f>
        <v/>
      </c>
      <c r="CP451" t="str">
        <f>""</f>
        <v/>
      </c>
      <c r="CQ451" t="str">
        <f>""</f>
        <v/>
      </c>
      <c r="CR451" t="str">
        <f>""</f>
        <v/>
      </c>
      <c r="CS451" t="str">
        <f>""</f>
        <v/>
      </c>
      <c r="CT451" t="str">
        <f>""</f>
        <v/>
      </c>
      <c r="CU451" t="str">
        <f>""</f>
        <v/>
      </c>
      <c r="CV451" t="str">
        <f>""</f>
        <v/>
      </c>
      <c r="CW451" t="str">
        <f>""</f>
        <v/>
      </c>
      <c r="CX451" t="str">
        <f>""</f>
        <v/>
      </c>
      <c r="CY451" t="str">
        <f>""</f>
        <v/>
      </c>
      <c r="CZ451" t="str">
        <f>""</f>
        <v/>
      </c>
      <c r="DA451" t="str">
        <f>""</f>
        <v/>
      </c>
      <c r="DB451" t="str">
        <f>""</f>
        <v/>
      </c>
      <c r="DC451" t="str">
        <f>""</f>
        <v/>
      </c>
      <c r="DD451" t="str">
        <f>""</f>
        <v/>
      </c>
      <c r="DE451" t="str">
        <f>""</f>
        <v/>
      </c>
      <c r="DF451" t="str">
        <f>""</f>
        <v/>
      </c>
      <c r="DG451" t="str">
        <f>""</f>
        <v/>
      </c>
      <c r="DH451" t="str">
        <f>""</f>
        <v/>
      </c>
      <c r="DI451" t="str">
        <f>""</f>
        <v/>
      </c>
      <c r="DJ451" t="str">
        <f>""</f>
        <v/>
      </c>
      <c r="DK451" t="str">
        <f>""</f>
        <v/>
      </c>
      <c r="DL451" t="str">
        <f>""</f>
        <v/>
      </c>
      <c r="DM451" t="str">
        <f>""</f>
        <v/>
      </c>
      <c r="DN451" t="str">
        <f>""</f>
        <v/>
      </c>
      <c r="DO451" t="str">
        <f>""</f>
        <v/>
      </c>
      <c r="DP451" t="str">
        <f>""</f>
        <v/>
      </c>
      <c r="DQ451" t="str">
        <f>""</f>
        <v/>
      </c>
      <c r="DR451" t="str">
        <f>""</f>
        <v/>
      </c>
      <c r="DS451" t="str">
        <f>""</f>
        <v/>
      </c>
      <c r="DT451" t="str">
        <f>""</f>
        <v/>
      </c>
      <c r="DU451" t="str">
        <f>""</f>
        <v/>
      </c>
    </row>
    <row r="452" spans="2:125">
      <c r="B452" t="str">
        <f>"SPG US Equity"</f>
        <v>SPG US Equity</v>
      </c>
      <c r="C452" t="str">
        <f>"BS189"</f>
        <v>BS189</v>
      </c>
      <c r="D452" t="str">
        <f>"BS_TOTAL_AVAIL_LINE_OF_CREDIT"</f>
        <v>BS_TOTAL_AVAIL_LINE_OF_CREDIT</v>
      </c>
      <c r="E452" t="str">
        <f t="shared" si="75"/>
        <v>动态</v>
      </c>
      <c r="F452" t="str">
        <f ca="1">BDH($B$452,$C$452,$B$417,$B$418,CONCATENATE("Per=",$B$415),"Dts=H","Dir=H",CONCATENATE("Points=",$B$416),"Sort=R","Days=A","Fill=B",CONCATENATE("FX=", $B$414) )</f>
        <v>#N/A Authorization</v>
      </c>
      <c r="BN452" t="str">
        <f>""</f>
        <v/>
      </c>
      <c r="BO452" t="str">
        <f>""</f>
        <v/>
      </c>
      <c r="BP452" t="str">
        <f>""</f>
        <v/>
      </c>
      <c r="BQ452" t="str">
        <f>""</f>
        <v/>
      </c>
      <c r="BR452" t="str">
        <f>""</f>
        <v/>
      </c>
      <c r="BS452" t="str">
        <f>""</f>
        <v/>
      </c>
      <c r="BT452" t="str">
        <f>""</f>
        <v/>
      </c>
      <c r="BU452" t="str">
        <f>""</f>
        <v/>
      </c>
      <c r="BV452" t="str">
        <f>""</f>
        <v/>
      </c>
      <c r="BW452" t="str">
        <f>""</f>
        <v/>
      </c>
      <c r="BX452" t="str">
        <f>""</f>
        <v/>
      </c>
      <c r="BY452" t="str">
        <f>""</f>
        <v/>
      </c>
      <c r="BZ452" t="str">
        <f>""</f>
        <v/>
      </c>
      <c r="CA452" t="str">
        <f>""</f>
        <v/>
      </c>
      <c r="CB452" t="str">
        <f>""</f>
        <v/>
      </c>
      <c r="CC452" t="str">
        <f>""</f>
        <v/>
      </c>
      <c r="CD452" t="str">
        <f>""</f>
        <v/>
      </c>
      <c r="CE452" t="str">
        <f>""</f>
        <v/>
      </c>
      <c r="CF452" t="str">
        <f>""</f>
        <v/>
      </c>
      <c r="CG452" t="str">
        <f>""</f>
        <v/>
      </c>
      <c r="CH452" t="str">
        <f>""</f>
        <v/>
      </c>
      <c r="CI452" t="str">
        <f>""</f>
        <v/>
      </c>
      <c r="CJ452" t="str">
        <f>""</f>
        <v/>
      </c>
      <c r="CK452" t="str">
        <f>""</f>
        <v/>
      </c>
      <c r="CL452" t="str">
        <f>""</f>
        <v/>
      </c>
      <c r="CM452" t="str">
        <f>""</f>
        <v/>
      </c>
      <c r="CN452" t="str">
        <f>""</f>
        <v/>
      </c>
      <c r="CO452" t="str">
        <f>""</f>
        <v/>
      </c>
      <c r="CP452" t="str">
        <f>""</f>
        <v/>
      </c>
      <c r="CQ452" t="str">
        <f>""</f>
        <v/>
      </c>
      <c r="CR452" t="str">
        <f>""</f>
        <v/>
      </c>
      <c r="CS452" t="str">
        <f>""</f>
        <v/>
      </c>
      <c r="CT452" t="str">
        <f>""</f>
        <v/>
      </c>
      <c r="CU452" t="str">
        <f>""</f>
        <v/>
      </c>
      <c r="CV452" t="str">
        <f>""</f>
        <v/>
      </c>
      <c r="CW452" t="str">
        <f>""</f>
        <v/>
      </c>
      <c r="CX452" t="str">
        <f>""</f>
        <v/>
      </c>
      <c r="CY452" t="str">
        <f>""</f>
        <v/>
      </c>
      <c r="CZ452" t="str">
        <f>""</f>
        <v/>
      </c>
      <c r="DA452" t="str">
        <f>""</f>
        <v/>
      </c>
      <c r="DB452" t="str">
        <f>""</f>
        <v/>
      </c>
      <c r="DC452" t="str">
        <f>""</f>
        <v/>
      </c>
      <c r="DD452" t="str">
        <f>""</f>
        <v/>
      </c>
      <c r="DE452" t="str">
        <f>""</f>
        <v/>
      </c>
      <c r="DF452" t="str">
        <f>""</f>
        <v/>
      </c>
      <c r="DG452" t="str">
        <f>""</f>
        <v/>
      </c>
      <c r="DH452" t="str">
        <f>""</f>
        <v/>
      </c>
      <c r="DI452" t="str">
        <f>""</f>
        <v/>
      </c>
      <c r="DJ452" t="str">
        <f>""</f>
        <v/>
      </c>
      <c r="DK452" t="str">
        <f>""</f>
        <v/>
      </c>
      <c r="DL452" t="str">
        <f>""</f>
        <v/>
      </c>
      <c r="DM452" t="str">
        <f>""</f>
        <v/>
      </c>
      <c r="DN452" t="str">
        <f>""</f>
        <v/>
      </c>
      <c r="DO452" t="str">
        <f>""</f>
        <v/>
      </c>
      <c r="DP452" t="str">
        <f>""</f>
        <v/>
      </c>
      <c r="DQ452" t="str">
        <f>""</f>
        <v/>
      </c>
      <c r="DR452" t="str">
        <f>""</f>
        <v/>
      </c>
      <c r="DS452" t="str">
        <f>""</f>
        <v/>
      </c>
      <c r="DT452" t="str">
        <f>""</f>
        <v/>
      </c>
      <c r="DU452" t="str">
        <f>""</f>
        <v/>
      </c>
    </row>
    <row r="453" spans="2:125">
      <c r="B453" t="str">
        <f>"SPG US Equity"</f>
        <v>SPG US Equity</v>
      </c>
      <c r="C453" t="str">
        <f>"BS658"</f>
        <v>BS658</v>
      </c>
      <c r="D453" t="str">
        <f>"BS_YEAR_1_PRINCIPAL"</f>
        <v>BS_YEAR_1_PRINCIPAL</v>
      </c>
      <c r="E453" t="str">
        <f t="shared" si="75"/>
        <v>动态</v>
      </c>
      <c r="F453" t="str">
        <f ca="1">BDH($B$453,$C$453,$B$417,$B$418,CONCATENATE("Per=",$B$415),"Dts=H","Dir=H",CONCATENATE("Points=",$B$416),"Sort=R","Days=A","Fill=B",CONCATENATE("FX=", $B$414) )</f>
        <v>#N/A Authorization</v>
      </c>
      <c r="BN453" t="str">
        <f>""</f>
        <v/>
      </c>
      <c r="BO453" t="str">
        <f>""</f>
        <v/>
      </c>
      <c r="BP453" t="str">
        <f>""</f>
        <v/>
      </c>
      <c r="BQ453" t="str">
        <f>""</f>
        <v/>
      </c>
      <c r="BR453" t="str">
        <f>""</f>
        <v/>
      </c>
      <c r="BS453" t="str">
        <f>""</f>
        <v/>
      </c>
      <c r="BT453" t="str">
        <f>""</f>
        <v/>
      </c>
      <c r="BU453" t="str">
        <f>""</f>
        <v/>
      </c>
      <c r="BV453" t="str">
        <f>""</f>
        <v/>
      </c>
      <c r="BW453" t="str">
        <f>""</f>
        <v/>
      </c>
      <c r="BX453" t="str">
        <f>""</f>
        <v/>
      </c>
      <c r="BY453" t="str">
        <f>""</f>
        <v/>
      </c>
      <c r="BZ453" t="str">
        <f>""</f>
        <v/>
      </c>
      <c r="CA453" t="str">
        <f>""</f>
        <v/>
      </c>
      <c r="CB453" t="str">
        <f>""</f>
        <v/>
      </c>
      <c r="CC453" t="str">
        <f>""</f>
        <v/>
      </c>
      <c r="CD453" t="str">
        <f>""</f>
        <v/>
      </c>
      <c r="CE453" t="str">
        <f>""</f>
        <v/>
      </c>
      <c r="CF453" t="str">
        <f>""</f>
        <v/>
      </c>
      <c r="CG453" t="str">
        <f>""</f>
        <v/>
      </c>
      <c r="CH453" t="str">
        <f>""</f>
        <v/>
      </c>
      <c r="CI453" t="str">
        <f>""</f>
        <v/>
      </c>
      <c r="CJ453" t="str">
        <f>""</f>
        <v/>
      </c>
      <c r="CK453" t="str">
        <f>""</f>
        <v/>
      </c>
      <c r="CL453" t="str">
        <f>""</f>
        <v/>
      </c>
      <c r="CM453" t="str">
        <f>""</f>
        <v/>
      </c>
      <c r="CN453" t="str">
        <f>""</f>
        <v/>
      </c>
      <c r="CO453" t="str">
        <f>""</f>
        <v/>
      </c>
      <c r="CP453" t="str">
        <f>""</f>
        <v/>
      </c>
      <c r="CQ453" t="str">
        <f>""</f>
        <v/>
      </c>
      <c r="CR453" t="str">
        <f>""</f>
        <v/>
      </c>
      <c r="CS453" t="str">
        <f>""</f>
        <v/>
      </c>
      <c r="CT453" t="str">
        <f>""</f>
        <v/>
      </c>
      <c r="CU453" t="str">
        <f>""</f>
        <v/>
      </c>
      <c r="CV453" t="str">
        <f>""</f>
        <v/>
      </c>
      <c r="CW453" t="str">
        <f>""</f>
        <v/>
      </c>
      <c r="CX453" t="str">
        <f>""</f>
        <v/>
      </c>
      <c r="CY453" t="str">
        <f>""</f>
        <v/>
      </c>
      <c r="CZ453" t="str">
        <f>""</f>
        <v/>
      </c>
      <c r="DA453" t="str">
        <f>""</f>
        <v/>
      </c>
      <c r="DB453" t="str">
        <f>""</f>
        <v/>
      </c>
      <c r="DC453" t="str">
        <f>""</f>
        <v/>
      </c>
      <c r="DD453" t="str">
        <f>""</f>
        <v/>
      </c>
      <c r="DE453" t="str">
        <f>""</f>
        <v/>
      </c>
      <c r="DF453" t="str">
        <f>""</f>
        <v/>
      </c>
      <c r="DG453" t="str">
        <f>""</f>
        <v/>
      </c>
      <c r="DH453" t="str">
        <f>""</f>
        <v/>
      </c>
      <c r="DI453" t="str">
        <f>""</f>
        <v/>
      </c>
      <c r="DJ453" t="str">
        <f>""</f>
        <v/>
      </c>
      <c r="DK453" t="str">
        <f>""</f>
        <v/>
      </c>
      <c r="DL453" t="str">
        <f>""</f>
        <v/>
      </c>
      <c r="DM453" t="str">
        <f>""</f>
        <v/>
      </c>
      <c r="DN453" t="str">
        <f>""</f>
        <v/>
      </c>
      <c r="DO453" t="str">
        <f>""</f>
        <v/>
      </c>
      <c r="DP453" t="str">
        <f>""</f>
        <v/>
      </c>
      <c r="DQ453" t="str">
        <f>""</f>
        <v/>
      </c>
      <c r="DR453" t="str">
        <f>""</f>
        <v/>
      </c>
      <c r="DS453" t="str">
        <f>""</f>
        <v/>
      </c>
      <c r="DT453" t="str">
        <f>""</f>
        <v/>
      </c>
      <c r="DU453" t="str">
        <f>""</f>
        <v/>
      </c>
    </row>
    <row r="454" spans="2:125">
      <c r="B454" t="str">
        <f>"SKT US Equity"</f>
        <v>SKT US Equity</v>
      </c>
      <c r="C454" t="str">
        <f>"RR253"</f>
        <v>RR253</v>
      </c>
      <c r="D454" t="str">
        <f>"CASH_AND_MARKETABLE_SECURITIES"</f>
        <v>CASH_AND_MARKETABLE_SECURITIES</v>
      </c>
      <c r="E454" t="str">
        <f t="shared" si="75"/>
        <v>动态</v>
      </c>
      <c r="F454" t="str">
        <f ca="1">BDH($B$454,$C$454,$B$417,$B$418,CONCATENATE("Per=",$B$415),"Dts=H","Dir=H",CONCATENATE("Points=",$B$416),"Sort=R","Days=A","Fill=B",CONCATENATE("FX=", $B$414) )</f>
        <v>#N/A Authorization</v>
      </c>
      <c r="BN454" t="str">
        <f>""</f>
        <v/>
      </c>
      <c r="BO454" t="str">
        <f>""</f>
        <v/>
      </c>
      <c r="BP454" t="str">
        <f>""</f>
        <v/>
      </c>
      <c r="BQ454" t="str">
        <f>""</f>
        <v/>
      </c>
      <c r="BR454" t="str">
        <f>""</f>
        <v/>
      </c>
      <c r="BS454" t="str">
        <f>""</f>
        <v/>
      </c>
      <c r="BT454" t="str">
        <f>""</f>
        <v/>
      </c>
      <c r="BU454" t="str">
        <f>""</f>
        <v/>
      </c>
      <c r="BV454" t="str">
        <f>""</f>
        <v/>
      </c>
      <c r="BW454" t="str">
        <f>""</f>
        <v/>
      </c>
      <c r="BX454" t="str">
        <f>""</f>
        <v/>
      </c>
      <c r="BY454" t="str">
        <f>""</f>
        <v/>
      </c>
      <c r="BZ454" t="str">
        <f>""</f>
        <v/>
      </c>
      <c r="CA454" t="str">
        <f>""</f>
        <v/>
      </c>
      <c r="CB454" t="str">
        <f>""</f>
        <v/>
      </c>
      <c r="CC454" t="str">
        <f>""</f>
        <v/>
      </c>
      <c r="CD454" t="str">
        <f>""</f>
        <v/>
      </c>
      <c r="CE454" t="str">
        <f>""</f>
        <v/>
      </c>
      <c r="CF454" t="str">
        <f>""</f>
        <v/>
      </c>
      <c r="CG454" t="str">
        <f>""</f>
        <v/>
      </c>
      <c r="CH454" t="str">
        <f>""</f>
        <v/>
      </c>
      <c r="CI454" t="str">
        <f>""</f>
        <v/>
      </c>
      <c r="CJ454" t="str">
        <f>""</f>
        <v/>
      </c>
      <c r="CK454" t="str">
        <f>""</f>
        <v/>
      </c>
      <c r="CL454" t="str">
        <f>""</f>
        <v/>
      </c>
      <c r="CM454" t="str">
        <f>""</f>
        <v/>
      </c>
      <c r="CN454" t="str">
        <f>""</f>
        <v/>
      </c>
      <c r="CO454" t="str">
        <f>""</f>
        <v/>
      </c>
      <c r="CP454" t="str">
        <f>""</f>
        <v/>
      </c>
      <c r="CQ454" t="str">
        <f>""</f>
        <v/>
      </c>
      <c r="CR454" t="str">
        <f>""</f>
        <v/>
      </c>
      <c r="CS454" t="str">
        <f>""</f>
        <v/>
      </c>
      <c r="CT454" t="str">
        <f>""</f>
        <v/>
      </c>
      <c r="CU454" t="str">
        <f>""</f>
        <v/>
      </c>
      <c r="CV454" t="str">
        <f>""</f>
        <v/>
      </c>
      <c r="CW454" t="str">
        <f>""</f>
        <v/>
      </c>
      <c r="CX454" t="str">
        <f>""</f>
        <v/>
      </c>
      <c r="CY454" t="str">
        <f>""</f>
        <v/>
      </c>
      <c r="CZ454" t="str">
        <f>""</f>
        <v/>
      </c>
      <c r="DA454" t="str">
        <f>""</f>
        <v/>
      </c>
      <c r="DB454" t="str">
        <f>""</f>
        <v/>
      </c>
      <c r="DC454" t="str">
        <f>""</f>
        <v/>
      </c>
      <c r="DD454" t="str">
        <f>""</f>
        <v/>
      </c>
      <c r="DE454" t="str">
        <f>""</f>
        <v/>
      </c>
      <c r="DF454" t="str">
        <f>""</f>
        <v/>
      </c>
      <c r="DG454" t="str">
        <f>""</f>
        <v/>
      </c>
      <c r="DH454" t="str">
        <f>""</f>
        <v/>
      </c>
      <c r="DI454" t="str">
        <f>""</f>
        <v/>
      </c>
      <c r="DJ454" t="str">
        <f>""</f>
        <v/>
      </c>
      <c r="DK454" t="str">
        <f>""</f>
        <v/>
      </c>
      <c r="DL454" t="str">
        <f>""</f>
        <v/>
      </c>
      <c r="DM454" t="str">
        <f>""</f>
        <v/>
      </c>
      <c r="DN454" t="str">
        <f>""</f>
        <v/>
      </c>
      <c r="DO454" t="str">
        <f>""</f>
        <v/>
      </c>
      <c r="DP454" t="str">
        <f>""</f>
        <v/>
      </c>
      <c r="DQ454" t="str">
        <f>""</f>
        <v/>
      </c>
      <c r="DR454" t="str">
        <f>""</f>
        <v/>
      </c>
      <c r="DS454" t="str">
        <f>""</f>
        <v/>
      </c>
      <c r="DT454" t="str">
        <f>""</f>
        <v/>
      </c>
      <c r="DU454" t="str">
        <f>""</f>
        <v/>
      </c>
    </row>
    <row r="455" spans="2:125">
      <c r="B455" t="str">
        <f>"SKT US Equity"</f>
        <v>SKT US Equity</v>
      </c>
      <c r="C455" t="str">
        <f>"BS189"</f>
        <v>BS189</v>
      </c>
      <c r="D455" t="str">
        <f>"BS_TOTAL_AVAIL_LINE_OF_CREDIT"</f>
        <v>BS_TOTAL_AVAIL_LINE_OF_CREDIT</v>
      </c>
      <c r="E455" t="str">
        <f t="shared" si="75"/>
        <v>动态</v>
      </c>
      <c r="F455" t="str">
        <f ca="1">BDH($B$455,$C$455,$B$417,$B$418,CONCATENATE("Per=",$B$415),"Dts=H","Dir=H",CONCATENATE("Points=",$B$416),"Sort=R","Days=A","Fill=B",CONCATENATE("FX=", $B$414) )</f>
        <v>#N/A Authorization</v>
      </c>
      <c r="BN455" t="str">
        <f>""</f>
        <v/>
      </c>
      <c r="BO455" t="str">
        <f>""</f>
        <v/>
      </c>
      <c r="BP455" t="str">
        <f>""</f>
        <v/>
      </c>
      <c r="BQ455" t="str">
        <f>""</f>
        <v/>
      </c>
      <c r="BR455" t="str">
        <f>""</f>
        <v/>
      </c>
      <c r="BS455" t="str">
        <f>""</f>
        <v/>
      </c>
      <c r="BT455" t="str">
        <f>""</f>
        <v/>
      </c>
      <c r="BU455" t="str">
        <f>""</f>
        <v/>
      </c>
      <c r="BV455" t="str">
        <f>""</f>
        <v/>
      </c>
      <c r="BW455" t="str">
        <f>""</f>
        <v/>
      </c>
      <c r="BX455" t="str">
        <f>""</f>
        <v/>
      </c>
      <c r="BY455" t="str">
        <f>""</f>
        <v/>
      </c>
      <c r="BZ455" t="str">
        <f>""</f>
        <v/>
      </c>
      <c r="CA455" t="str">
        <f>""</f>
        <v/>
      </c>
      <c r="CB455" t="str">
        <f>""</f>
        <v/>
      </c>
      <c r="CC455" t="str">
        <f>""</f>
        <v/>
      </c>
      <c r="CD455" t="str">
        <f>""</f>
        <v/>
      </c>
      <c r="CE455" t="str">
        <f>""</f>
        <v/>
      </c>
      <c r="CF455" t="str">
        <f>""</f>
        <v/>
      </c>
      <c r="CG455" t="str">
        <f>""</f>
        <v/>
      </c>
      <c r="CH455" t="str">
        <f>""</f>
        <v/>
      </c>
      <c r="CI455" t="str">
        <f>""</f>
        <v/>
      </c>
      <c r="CJ455" t="str">
        <f>""</f>
        <v/>
      </c>
      <c r="CK455" t="str">
        <f>""</f>
        <v/>
      </c>
      <c r="CL455" t="str">
        <f>""</f>
        <v/>
      </c>
      <c r="CM455" t="str">
        <f>""</f>
        <v/>
      </c>
      <c r="CN455" t="str">
        <f>""</f>
        <v/>
      </c>
      <c r="CO455" t="str">
        <f>""</f>
        <v/>
      </c>
      <c r="CP455" t="str">
        <f>""</f>
        <v/>
      </c>
      <c r="CQ455" t="str">
        <f>""</f>
        <v/>
      </c>
      <c r="CR455" t="str">
        <f>""</f>
        <v/>
      </c>
      <c r="CS455" t="str">
        <f>""</f>
        <v/>
      </c>
      <c r="CT455" t="str">
        <f>""</f>
        <v/>
      </c>
      <c r="CU455" t="str">
        <f>""</f>
        <v/>
      </c>
      <c r="CV455" t="str">
        <f>""</f>
        <v/>
      </c>
      <c r="CW455" t="str">
        <f>""</f>
        <v/>
      </c>
      <c r="CX455" t="str">
        <f>""</f>
        <v/>
      </c>
      <c r="CY455" t="str">
        <f>""</f>
        <v/>
      </c>
      <c r="CZ455" t="str">
        <f>""</f>
        <v/>
      </c>
      <c r="DA455" t="str">
        <f>""</f>
        <v/>
      </c>
      <c r="DB455" t="str">
        <f>""</f>
        <v/>
      </c>
      <c r="DC455" t="str">
        <f>""</f>
        <v/>
      </c>
      <c r="DD455" t="str">
        <f>""</f>
        <v/>
      </c>
      <c r="DE455" t="str">
        <f>""</f>
        <v/>
      </c>
      <c r="DF455" t="str">
        <f>""</f>
        <v/>
      </c>
      <c r="DG455" t="str">
        <f>""</f>
        <v/>
      </c>
      <c r="DH455" t="str">
        <f>""</f>
        <v/>
      </c>
      <c r="DI455" t="str">
        <f>""</f>
        <v/>
      </c>
      <c r="DJ455" t="str">
        <f>""</f>
        <v/>
      </c>
      <c r="DK455" t="str">
        <f>""</f>
        <v/>
      </c>
      <c r="DL455" t="str">
        <f>""</f>
        <v/>
      </c>
      <c r="DM455" t="str">
        <f>""</f>
        <v/>
      </c>
      <c r="DN455" t="str">
        <f>""</f>
        <v/>
      </c>
      <c r="DO455" t="str">
        <f>""</f>
        <v/>
      </c>
      <c r="DP455" t="str">
        <f>""</f>
        <v/>
      </c>
      <c r="DQ455" t="str">
        <f>""</f>
        <v/>
      </c>
      <c r="DR455" t="str">
        <f>""</f>
        <v/>
      </c>
      <c r="DS455" t="str">
        <f>""</f>
        <v/>
      </c>
      <c r="DT455" t="str">
        <f>""</f>
        <v/>
      </c>
      <c r="DU455" t="str">
        <f>""</f>
        <v/>
      </c>
    </row>
    <row r="456" spans="2:125">
      <c r="B456" t="str">
        <f>"SKT US Equity"</f>
        <v>SKT US Equity</v>
      </c>
      <c r="C456" t="str">
        <f>"BS658"</f>
        <v>BS658</v>
      </c>
      <c r="D456" t="str">
        <f>"BS_YEAR_1_PRINCIPAL"</f>
        <v>BS_YEAR_1_PRINCIPAL</v>
      </c>
      <c r="E456" t="str">
        <f t="shared" si="75"/>
        <v>动态</v>
      </c>
      <c r="F456" t="str">
        <f ca="1">BDH($B$456,$C$456,$B$417,$B$418,CONCATENATE("Per=",$B$415),"Dts=H","Dir=H",CONCATENATE("Points=",$B$416),"Sort=R","Days=A","Fill=B",CONCATENATE("FX=", $B$414) )</f>
        <v>#N/A Authorization</v>
      </c>
      <c r="BN456" t="str">
        <f>""</f>
        <v/>
      </c>
      <c r="BO456" t="str">
        <f>""</f>
        <v/>
      </c>
      <c r="BP456" t="str">
        <f>""</f>
        <v/>
      </c>
      <c r="BQ456" t="str">
        <f>""</f>
        <v/>
      </c>
      <c r="BR456" t="str">
        <f>""</f>
        <v/>
      </c>
      <c r="BS456" t="str">
        <f>""</f>
        <v/>
      </c>
      <c r="BT456" t="str">
        <f>""</f>
        <v/>
      </c>
      <c r="BU456" t="str">
        <f>""</f>
        <v/>
      </c>
      <c r="BV456" t="str">
        <f>""</f>
        <v/>
      </c>
      <c r="BW456" t="str">
        <f>""</f>
        <v/>
      </c>
      <c r="BX456" t="str">
        <f>""</f>
        <v/>
      </c>
      <c r="BY456" t="str">
        <f>""</f>
        <v/>
      </c>
      <c r="BZ456" t="str">
        <f>""</f>
        <v/>
      </c>
      <c r="CA456" t="str">
        <f>""</f>
        <v/>
      </c>
      <c r="CB456" t="str">
        <f>""</f>
        <v/>
      </c>
      <c r="CC456" t="str">
        <f>""</f>
        <v/>
      </c>
      <c r="CD456" t="str">
        <f>""</f>
        <v/>
      </c>
      <c r="CE456" t="str">
        <f>""</f>
        <v/>
      </c>
      <c r="CF456" t="str">
        <f>""</f>
        <v/>
      </c>
      <c r="CG456" t="str">
        <f>""</f>
        <v/>
      </c>
      <c r="CH456" t="str">
        <f>""</f>
        <v/>
      </c>
      <c r="CI456" t="str">
        <f>""</f>
        <v/>
      </c>
      <c r="CJ456" t="str">
        <f>""</f>
        <v/>
      </c>
      <c r="CK456" t="str">
        <f>""</f>
        <v/>
      </c>
      <c r="CL456" t="str">
        <f>""</f>
        <v/>
      </c>
      <c r="CM456" t="str">
        <f>""</f>
        <v/>
      </c>
      <c r="CN456" t="str">
        <f>""</f>
        <v/>
      </c>
      <c r="CO456" t="str">
        <f>""</f>
        <v/>
      </c>
      <c r="CP456" t="str">
        <f>""</f>
        <v/>
      </c>
      <c r="CQ456" t="str">
        <f>""</f>
        <v/>
      </c>
      <c r="CR456" t="str">
        <f>""</f>
        <v/>
      </c>
      <c r="CS456" t="str">
        <f>""</f>
        <v/>
      </c>
      <c r="CT456" t="str">
        <f>""</f>
        <v/>
      </c>
      <c r="CU456" t="str">
        <f>""</f>
        <v/>
      </c>
      <c r="CV456" t="str">
        <f>""</f>
        <v/>
      </c>
      <c r="CW456" t="str">
        <f>""</f>
        <v/>
      </c>
      <c r="CX456" t="str">
        <f>""</f>
        <v/>
      </c>
      <c r="CY456" t="str">
        <f>""</f>
        <v/>
      </c>
      <c r="CZ456" t="str">
        <f>""</f>
        <v/>
      </c>
      <c r="DA456" t="str">
        <f>""</f>
        <v/>
      </c>
      <c r="DB456" t="str">
        <f>""</f>
        <v/>
      </c>
      <c r="DC456" t="str">
        <f>""</f>
        <v/>
      </c>
      <c r="DD456" t="str">
        <f>""</f>
        <v/>
      </c>
      <c r="DE456" t="str">
        <f>""</f>
        <v/>
      </c>
      <c r="DF456" t="str">
        <f>""</f>
        <v/>
      </c>
      <c r="DG456" t="str">
        <f>""</f>
        <v/>
      </c>
      <c r="DH456" t="str">
        <f>""</f>
        <v/>
      </c>
      <c r="DI456" t="str">
        <f>""</f>
        <v/>
      </c>
      <c r="DJ456" t="str">
        <f>""</f>
        <v/>
      </c>
      <c r="DK456" t="str">
        <f>""</f>
        <v/>
      </c>
      <c r="DL456" t="str">
        <f>""</f>
        <v/>
      </c>
      <c r="DM456" t="str">
        <f>""</f>
        <v/>
      </c>
      <c r="DN456" t="str">
        <f>""</f>
        <v/>
      </c>
      <c r="DO456" t="str">
        <f>""</f>
        <v/>
      </c>
      <c r="DP456" t="str">
        <f>""</f>
        <v/>
      </c>
      <c r="DQ456" t="str">
        <f>""</f>
        <v/>
      </c>
      <c r="DR456" t="str">
        <f>""</f>
        <v/>
      </c>
      <c r="DS456" t="str">
        <f>""</f>
        <v/>
      </c>
      <c r="DT456" t="str">
        <f>""</f>
        <v/>
      </c>
      <c r="DU456" t="str">
        <f>""</f>
        <v/>
      </c>
    </row>
    <row r="457" spans="2:125">
      <c r="B457" t="str">
        <f>"VER US Equity"</f>
        <v>VER US Equity</v>
      </c>
      <c r="C457" t="str">
        <f>"RR253"</f>
        <v>RR253</v>
      </c>
      <c r="D457" t="str">
        <f>"CASH_AND_MARKETABLE_SECURITIES"</f>
        <v>CASH_AND_MARKETABLE_SECURITIES</v>
      </c>
      <c r="E457" t="str">
        <f t="shared" si="75"/>
        <v>动态</v>
      </c>
      <c r="F457" t="str">
        <f ca="1">BDH($B$457,$C$457,$B$417,$B$418,CONCATENATE("Per=",$B$415),"Dts=H","Dir=H",CONCATENATE("Points=",$B$416),"Sort=R","Days=A","Fill=B",CONCATENATE("FX=", $B$414) )</f>
        <v>#N/A Authorization</v>
      </c>
      <c r="BN457" t="str">
        <f>""</f>
        <v/>
      </c>
      <c r="BO457" t="str">
        <f>""</f>
        <v/>
      </c>
      <c r="BP457" t="str">
        <f>""</f>
        <v/>
      </c>
      <c r="BQ457" t="str">
        <f>""</f>
        <v/>
      </c>
      <c r="BR457" t="str">
        <f>""</f>
        <v/>
      </c>
      <c r="BS457" t="str">
        <f>""</f>
        <v/>
      </c>
      <c r="BT457" t="str">
        <f>""</f>
        <v/>
      </c>
      <c r="BU457" t="str">
        <f>""</f>
        <v/>
      </c>
      <c r="BV457" t="str">
        <f>""</f>
        <v/>
      </c>
      <c r="BW457" t="str">
        <f>""</f>
        <v/>
      </c>
      <c r="BX457" t="str">
        <f>""</f>
        <v/>
      </c>
      <c r="BY457" t="str">
        <f>""</f>
        <v/>
      </c>
      <c r="BZ457" t="str">
        <f>""</f>
        <v/>
      </c>
      <c r="CA457" t="str">
        <f>""</f>
        <v/>
      </c>
      <c r="CB457" t="str">
        <f>""</f>
        <v/>
      </c>
      <c r="CC457" t="str">
        <f>""</f>
        <v/>
      </c>
      <c r="CD457" t="str">
        <f>""</f>
        <v/>
      </c>
      <c r="CE457" t="str">
        <f>""</f>
        <v/>
      </c>
      <c r="CF457" t="str">
        <f>""</f>
        <v/>
      </c>
      <c r="CG457" t="str">
        <f>""</f>
        <v/>
      </c>
      <c r="CH457" t="str">
        <f>""</f>
        <v/>
      </c>
      <c r="CI457" t="str">
        <f>""</f>
        <v/>
      </c>
      <c r="CJ457" t="str">
        <f>""</f>
        <v/>
      </c>
      <c r="CK457" t="str">
        <f>""</f>
        <v/>
      </c>
      <c r="CL457" t="str">
        <f>""</f>
        <v/>
      </c>
      <c r="CM457" t="str">
        <f>""</f>
        <v/>
      </c>
      <c r="CN457" t="str">
        <f>""</f>
        <v/>
      </c>
      <c r="CO457" t="str">
        <f>""</f>
        <v/>
      </c>
      <c r="CP457" t="str">
        <f>""</f>
        <v/>
      </c>
      <c r="CQ457" t="str">
        <f>""</f>
        <v/>
      </c>
      <c r="CR457" t="str">
        <f>""</f>
        <v/>
      </c>
      <c r="CS457" t="str">
        <f>""</f>
        <v/>
      </c>
      <c r="CT457" t="str">
        <f>""</f>
        <v/>
      </c>
      <c r="CU457" t="str">
        <f>""</f>
        <v/>
      </c>
      <c r="CV457" t="str">
        <f>""</f>
        <v/>
      </c>
      <c r="CW457" t="str">
        <f>""</f>
        <v/>
      </c>
      <c r="CX457" t="str">
        <f>""</f>
        <v/>
      </c>
      <c r="CY457" t="str">
        <f>""</f>
        <v/>
      </c>
      <c r="CZ457" t="str">
        <f>""</f>
        <v/>
      </c>
      <c r="DA457" t="str">
        <f>""</f>
        <v/>
      </c>
      <c r="DB457" t="str">
        <f>""</f>
        <v/>
      </c>
      <c r="DC457" t="str">
        <f>""</f>
        <v/>
      </c>
      <c r="DD457" t="str">
        <f>""</f>
        <v/>
      </c>
      <c r="DE457" t="str">
        <f>""</f>
        <v/>
      </c>
      <c r="DF457" t="str">
        <f>""</f>
        <v/>
      </c>
      <c r="DG457" t="str">
        <f>""</f>
        <v/>
      </c>
      <c r="DH457" t="str">
        <f>""</f>
        <v/>
      </c>
      <c r="DI457" t="str">
        <f>""</f>
        <v/>
      </c>
      <c r="DJ457" t="str">
        <f>""</f>
        <v/>
      </c>
      <c r="DK457" t="str">
        <f>""</f>
        <v/>
      </c>
      <c r="DL457" t="str">
        <f>""</f>
        <v/>
      </c>
      <c r="DM457" t="str">
        <f>""</f>
        <v/>
      </c>
      <c r="DN457" t="str">
        <f>""</f>
        <v/>
      </c>
      <c r="DO457" t="str">
        <f>""</f>
        <v/>
      </c>
      <c r="DP457" t="str">
        <f>""</f>
        <v/>
      </c>
      <c r="DQ457" t="str">
        <f>""</f>
        <v/>
      </c>
      <c r="DR457" t="str">
        <f>""</f>
        <v/>
      </c>
      <c r="DS457" t="str">
        <f>""</f>
        <v/>
      </c>
      <c r="DT457" t="str">
        <f>""</f>
        <v/>
      </c>
      <c r="DU457" t="str">
        <f>""</f>
        <v/>
      </c>
    </row>
    <row r="458" spans="2:125">
      <c r="B458" t="str">
        <f>"VER US Equity"</f>
        <v>VER US Equity</v>
      </c>
      <c r="C458" t="str">
        <f>"BS189"</f>
        <v>BS189</v>
      </c>
      <c r="D458" t="str">
        <f>"BS_TOTAL_AVAIL_LINE_OF_CREDIT"</f>
        <v>BS_TOTAL_AVAIL_LINE_OF_CREDIT</v>
      </c>
      <c r="E458" t="str">
        <f t="shared" si="75"/>
        <v>动态</v>
      </c>
      <c r="F458" t="str">
        <f ca="1">BDH($B$458,$C$458,$B$417,$B$418,CONCATENATE("Per=",$B$415),"Dts=H","Dir=H",CONCATENATE("Points=",$B$416),"Sort=R","Days=A","Fill=B",CONCATENATE("FX=", $B$414) )</f>
        <v>#N/A Authorization</v>
      </c>
      <c r="BN458" t="str">
        <f>""</f>
        <v/>
      </c>
      <c r="BO458" t="str">
        <f>""</f>
        <v/>
      </c>
      <c r="BP458" t="str">
        <f>""</f>
        <v/>
      </c>
      <c r="BQ458" t="str">
        <f>""</f>
        <v/>
      </c>
      <c r="BR458" t="str">
        <f>""</f>
        <v/>
      </c>
      <c r="BS458" t="str">
        <f>""</f>
        <v/>
      </c>
      <c r="BT458" t="str">
        <f>""</f>
        <v/>
      </c>
      <c r="BU458" t="str">
        <f>""</f>
        <v/>
      </c>
      <c r="BV458" t="str">
        <f>""</f>
        <v/>
      </c>
      <c r="BW458" t="str">
        <f>""</f>
        <v/>
      </c>
      <c r="BX458" t="str">
        <f>""</f>
        <v/>
      </c>
      <c r="BY458" t="str">
        <f>""</f>
        <v/>
      </c>
      <c r="BZ458" t="str">
        <f>""</f>
        <v/>
      </c>
      <c r="CA458" t="str">
        <f>""</f>
        <v/>
      </c>
      <c r="CB458" t="str">
        <f>""</f>
        <v/>
      </c>
      <c r="CC458" t="str">
        <f>""</f>
        <v/>
      </c>
      <c r="CD458" t="str">
        <f>""</f>
        <v/>
      </c>
      <c r="CE458" t="str">
        <f>""</f>
        <v/>
      </c>
      <c r="CF458" t="str">
        <f>""</f>
        <v/>
      </c>
      <c r="CG458" t="str">
        <f>""</f>
        <v/>
      </c>
      <c r="CH458" t="str">
        <f>""</f>
        <v/>
      </c>
      <c r="CI458" t="str">
        <f>""</f>
        <v/>
      </c>
      <c r="CJ458" t="str">
        <f>""</f>
        <v/>
      </c>
      <c r="CK458" t="str">
        <f>""</f>
        <v/>
      </c>
      <c r="CL458" t="str">
        <f>""</f>
        <v/>
      </c>
      <c r="CM458" t="str">
        <f>""</f>
        <v/>
      </c>
      <c r="CN458" t="str">
        <f>""</f>
        <v/>
      </c>
      <c r="CO458" t="str">
        <f>""</f>
        <v/>
      </c>
      <c r="CP458" t="str">
        <f>""</f>
        <v/>
      </c>
      <c r="CQ458" t="str">
        <f>""</f>
        <v/>
      </c>
      <c r="CR458" t="str">
        <f>""</f>
        <v/>
      </c>
      <c r="CS458" t="str">
        <f>""</f>
        <v/>
      </c>
      <c r="CT458" t="str">
        <f>""</f>
        <v/>
      </c>
      <c r="CU458" t="str">
        <f>""</f>
        <v/>
      </c>
      <c r="CV458" t="str">
        <f>""</f>
        <v/>
      </c>
      <c r="CW458" t="str">
        <f>""</f>
        <v/>
      </c>
      <c r="CX458" t="str">
        <f>""</f>
        <v/>
      </c>
      <c r="CY458" t="str">
        <f>""</f>
        <v/>
      </c>
      <c r="CZ458" t="str">
        <f>""</f>
        <v/>
      </c>
      <c r="DA458" t="str">
        <f>""</f>
        <v/>
      </c>
      <c r="DB458" t="str">
        <f>""</f>
        <v/>
      </c>
      <c r="DC458" t="str">
        <f>""</f>
        <v/>
      </c>
      <c r="DD458" t="str">
        <f>""</f>
        <v/>
      </c>
      <c r="DE458" t="str">
        <f>""</f>
        <v/>
      </c>
      <c r="DF458" t="str">
        <f>""</f>
        <v/>
      </c>
      <c r="DG458" t="str">
        <f>""</f>
        <v/>
      </c>
      <c r="DH458" t="str">
        <f>""</f>
        <v/>
      </c>
      <c r="DI458" t="str">
        <f>""</f>
        <v/>
      </c>
      <c r="DJ458" t="str">
        <f>""</f>
        <v/>
      </c>
      <c r="DK458" t="str">
        <f>""</f>
        <v/>
      </c>
      <c r="DL458" t="str">
        <f>""</f>
        <v/>
      </c>
      <c r="DM458" t="str">
        <f>""</f>
        <v/>
      </c>
      <c r="DN458" t="str">
        <f>""</f>
        <v/>
      </c>
      <c r="DO458" t="str">
        <f>""</f>
        <v/>
      </c>
      <c r="DP458" t="str">
        <f>""</f>
        <v/>
      </c>
      <c r="DQ458" t="str">
        <f>""</f>
        <v/>
      </c>
      <c r="DR458" t="str">
        <f>""</f>
        <v/>
      </c>
      <c r="DS458" t="str">
        <f>""</f>
        <v/>
      </c>
      <c r="DT458" t="str">
        <f>""</f>
        <v/>
      </c>
      <c r="DU458" t="str">
        <f>""</f>
        <v/>
      </c>
    </row>
    <row r="459" spans="2:125">
      <c r="B459" t="str">
        <f>"VER US Equity"</f>
        <v>VER US Equity</v>
      </c>
      <c r="C459" t="str">
        <f>"BS658"</f>
        <v>BS658</v>
      </c>
      <c r="D459" t="str">
        <f>"BS_YEAR_1_PRINCIPAL"</f>
        <v>BS_YEAR_1_PRINCIPAL</v>
      </c>
      <c r="E459" t="str">
        <f t="shared" si="75"/>
        <v>动态</v>
      </c>
      <c r="F459" t="str">
        <f ca="1">BDH($B$459,$C$459,$B$417,$B$418,CONCATENATE("Per=",$B$415),"Dts=H","Dir=H",CONCATENATE("Points=",$B$416),"Sort=R","Days=A","Fill=B",CONCATENATE("FX=", $B$414) )</f>
        <v>#N/A Authorization</v>
      </c>
      <c r="BN459" t="str">
        <f>""</f>
        <v/>
      </c>
      <c r="BO459" t="str">
        <f>""</f>
        <v/>
      </c>
      <c r="BP459" t="str">
        <f>""</f>
        <v/>
      </c>
      <c r="BQ459" t="str">
        <f>""</f>
        <v/>
      </c>
      <c r="BR459" t="str">
        <f>""</f>
        <v/>
      </c>
      <c r="BS459" t="str">
        <f>""</f>
        <v/>
      </c>
      <c r="BT459" t="str">
        <f>""</f>
        <v/>
      </c>
      <c r="BU459" t="str">
        <f>""</f>
        <v/>
      </c>
      <c r="BV459" t="str">
        <f>""</f>
        <v/>
      </c>
      <c r="BW459" t="str">
        <f>""</f>
        <v/>
      </c>
      <c r="BX459" t="str">
        <f>""</f>
        <v/>
      </c>
      <c r="BY459" t="str">
        <f>""</f>
        <v/>
      </c>
      <c r="BZ459" t="str">
        <f>""</f>
        <v/>
      </c>
      <c r="CA459" t="str">
        <f>""</f>
        <v/>
      </c>
      <c r="CB459" t="str">
        <f>""</f>
        <v/>
      </c>
      <c r="CC459" t="str">
        <f>""</f>
        <v/>
      </c>
      <c r="CD459" t="str">
        <f>""</f>
        <v/>
      </c>
      <c r="CE459" t="str">
        <f>""</f>
        <v/>
      </c>
      <c r="CF459" t="str">
        <f>""</f>
        <v/>
      </c>
      <c r="CG459" t="str">
        <f>""</f>
        <v/>
      </c>
      <c r="CH459" t="str">
        <f>""</f>
        <v/>
      </c>
      <c r="CI459" t="str">
        <f>""</f>
        <v/>
      </c>
      <c r="CJ459" t="str">
        <f>""</f>
        <v/>
      </c>
      <c r="CK459" t="str">
        <f>""</f>
        <v/>
      </c>
      <c r="CL459" t="str">
        <f>""</f>
        <v/>
      </c>
      <c r="CM459" t="str">
        <f>""</f>
        <v/>
      </c>
      <c r="CN459" t="str">
        <f>""</f>
        <v/>
      </c>
      <c r="CO459" t="str">
        <f>""</f>
        <v/>
      </c>
      <c r="CP459" t="str">
        <f>""</f>
        <v/>
      </c>
      <c r="CQ459" t="str">
        <f>""</f>
        <v/>
      </c>
      <c r="CR459" t="str">
        <f>""</f>
        <v/>
      </c>
      <c r="CS459" t="str">
        <f>""</f>
        <v/>
      </c>
      <c r="CT459" t="str">
        <f>""</f>
        <v/>
      </c>
      <c r="CU459" t="str">
        <f>""</f>
        <v/>
      </c>
      <c r="CV459" t="str">
        <f>""</f>
        <v/>
      </c>
      <c r="CW459" t="str">
        <f>""</f>
        <v/>
      </c>
      <c r="CX459" t="str">
        <f>""</f>
        <v/>
      </c>
      <c r="CY459" t="str">
        <f>""</f>
        <v/>
      </c>
      <c r="CZ459" t="str">
        <f>""</f>
        <v/>
      </c>
      <c r="DA459" t="str">
        <f>""</f>
        <v/>
      </c>
      <c r="DB459" t="str">
        <f>""</f>
        <v/>
      </c>
      <c r="DC459" t="str">
        <f>""</f>
        <v/>
      </c>
      <c r="DD459" t="str">
        <f>""</f>
        <v/>
      </c>
      <c r="DE459" t="str">
        <f>""</f>
        <v/>
      </c>
      <c r="DF459" t="str">
        <f>""</f>
        <v/>
      </c>
      <c r="DG459" t="str">
        <f>""</f>
        <v/>
      </c>
      <c r="DH459" t="str">
        <f>""</f>
        <v/>
      </c>
      <c r="DI459" t="str">
        <f>""</f>
        <v/>
      </c>
      <c r="DJ459" t="str">
        <f>""</f>
        <v/>
      </c>
      <c r="DK459" t="str">
        <f>""</f>
        <v/>
      </c>
      <c r="DL459" t="str">
        <f>""</f>
        <v/>
      </c>
      <c r="DM459" t="str">
        <f>""</f>
        <v/>
      </c>
      <c r="DN459" t="str">
        <f>""</f>
        <v/>
      </c>
      <c r="DO459" t="str">
        <f>""</f>
        <v/>
      </c>
      <c r="DP459" t="str">
        <f>""</f>
        <v/>
      </c>
      <c r="DQ459" t="str">
        <f>""</f>
        <v/>
      </c>
      <c r="DR459" t="str">
        <f>""</f>
        <v/>
      </c>
      <c r="DS459" t="str">
        <f>""</f>
        <v/>
      </c>
      <c r="DT459" t="str">
        <f>""</f>
        <v/>
      </c>
      <c r="DU459" t="str">
        <f>""</f>
        <v/>
      </c>
    </row>
    <row r="460" spans="2:125">
      <c r="B460" t="str">
        <f>"WPG US Equity"</f>
        <v>WPG US Equity</v>
      </c>
      <c r="C460" t="str">
        <f>"RR253"</f>
        <v>RR253</v>
      </c>
      <c r="D460" t="str">
        <f>"CASH_AND_MARKETABLE_SECURITIES"</f>
        <v>CASH_AND_MARKETABLE_SECURITIES</v>
      </c>
      <c r="E460" t="str">
        <f t="shared" si="75"/>
        <v>动态</v>
      </c>
      <c r="F460" t="str">
        <f ca="1">BDH($B$460,$C$460,$B$417,$B$418,CONCATENATE("Per=",$B$415),"Dts=H","Dir=H",CONCATENATE("Points=",$B$416),"Sort=R","Days=A","Fill=B",CONCATENATE("FX=", $B$414) )</f>
        <v>#N/A Authorization</v>
      </c>
      <c r="BN460" t="str">
        <f>""</f>
        <v/>
      </c>
      <c r="BO460" t="str">
        <f>""</f>
        <v/>
      </c>
      <c r="BP460" t="str">
        <f>""</f>
        <v/>
      </c>
      <c r="BQ460" t="str">
        <f>""</f>
        <v/>
      </c>
      <c r="BR460" t="str">
        <f>""</f>
        <v/>
      </c>
      <c r="BS460" t="str">
        <f>""</f>
        <v/>
      </c>
      <c r="BT460" t="str">
        <f>""</f>
        <v/>
      </c>
      <c r="BU460" t="str">
        <f>""</f>
        <v/>
      </c>
      <c r="BV460" t="str">
        <f>""</f>
        <v/>
      </c>
      <c r="BW460" t="str">
        <f>""</f>
        <v/>
      </c>
      <c r="BX460" t="str">
        <f>""</f>
        <v/>
      </c>
      <c r="BY460" t="str">
        <f>""</f>
        <v/>
      </c>
      <c r="BZ460" t="str">
        <f>""</f>
        <v/>
      </c>
      <c r="CA460" t="str">
        <f>""</f>
        <v/>
      </c>
      <c r="CB460" t="str">
        <f>""</f>
        <v/>
      </c>
      <c r="CC460" t="str">
        <f>""</f>
        <v/>
      </c>
      <c r="CD460" t="str">
        <f>""</f>
        <v/>
      </c>
      <c r="CE460" t="str">
        <f>""</f>
        <v/>
      </c>
      <c r="CF460" t="str">
        <f>""</f>
        <v/>
      </c>
      <c r="CG460" t="str">
        <f>""</f>
        <v/>
      </c>
      <c r="CH460" t="str">
        <f>""</f>
        <v/>
      </c>
      <c r="CI460" t="str">
        <f>""</f>
        <v/>
      </c>
      <c r="CJ460" t="str">
        <f>""</f>
        <v/>
      </c>
      <c r="CK460" t="str">
        <f>""</f>
        <v/>
      </c>
      <c r="CL460" t="str">
        <f>""</f>
        <v/>
      </c>
      <c r="CM460" t="str">
        <f>""</f>
        <v/>
      </c>
      <c r="CN460" t="str">
        <f>""</f>
        <v/>
      </c>
      <c r="CO460" t="str">
        <f>""</f>
        <v/>
      </c>
      <c r="CP460" t="str">
        <f>""</f>
        <v/>
      </c>
      <c r="CQ460" t="str">
        <f>""</f>
        <v/>
      </c>
      <c r="CR460" t="str">
        <f>""</f>
        <v/>
      </c>
      <c r="CS460" t="str">
        <f>""</f>
        <v/>
      </c>
      <c r="CT460" t="str">
        <f>""</f>
        <v/>
      </c>
      <c r="CU460" t="str">
        <f>""</f>
        <v/>
      </c>
      <c r="CV460" t="str">
        <f>""</f>
        <v/>
      </c>
      <c r="CW460" t="str">
        <f>""</f>
        <v/>
      </c>
      <c r="CX460" t="str">
        <f>""</f>
        <v/>
      </c>
      <c r="CY460" t="str">
        <f>""</f>
        <v/>
      </c>
      <c r="CZ460" t="str">
        <f>""</f>
        <v/>
      </c>
      <c r="DA460" t="str">
        <f>""</f>
        <v/>
      </c>
      <c r="DB460" t="str">
        <f>""</f>
        <v/>
      </c>
      <c r="DC460" t="str">
        <f>""</f>
        <v/>
      </c>
      <c r="DD460" t="str">
        <f>""</f>
        <v/>
      </c>
      <c r="DE460" t="str">
        <f>""</f>
        <v/>
      </c>
      <c r="DF460" t="str">
        <f>""</f>
        <v/>
      </c>
      <c r="DG460" t="str">
        <f>""</f>
        <v/>
      </c>
      <c r="DH460" t="str">
        <f>""</f>
        <v/>
      </c>
      <c r="DI460" t="str">
        <f>""</f>
        <v/>
      </c>
      <c r="DJ460" t="str">
        <f>""</f>
        <v/>
      </c>
      <c r="DK460" t="str">
        <f>""</f>
        <v/>
      </c>
      <c r="DL460" t="str">
        <f>""</f>
        <v/>
      </c>
      <c r="DM460" t="str">
        <f>""</f>
        <v/>
      </c>
      <c r="DN460" t="str">
        <f>""</f>
        <v/>
      </c>
      <c r="DO460" t="str">
        <f>""</f>
        <v/>
      </c>
      <c r="DP460" t="str">
        <f>""</f>
        <v/>
      </c>
      <c r="DQ460" t="str">
        <f>""</f>
        <v/>
      </c>
      <c r="DR460" t="str">
        <f>""</f>
        <v/>
      </c>
      <c r="DS460" t="str">
        <f>""</f>
        <v/>
      </c>
      <c r="DT460" t="str">
        <f>""</f>
        <v/>
      </c>
      <c r="DU460" t="str">
        <f>""</f>
        <v/>
      </c>
    </row>
    <row r="461" spans="2:125">
      <c r="B461" t="str">
        <f>"WPG US Equity"</f>
        <v>WPG US Equity</v>
      </c>
      <c r="C461" t="str">
        <f>"BS189"</f>
        <v>BS189</v>
      </c>
      <c r="D461" t="str">
        <f>"BS_TOTAL_AVAIL_LINE_OF_CREDIT"</f>
        <v>BS_TOTAL_AVAIL_LINE_OF_CREDIT</v>
      </c>
      <c r="E461" t="str">
        <f t="shared" si="75"/>
        <v>动态</v>
      </c>
      <c r="F461" t="str">
        <f ca="1">BDH($B$461,$C$461,$B$417,$B$418,CONCATENATE("Per=",$B$415),"Dts=H","Dir=H",CONCATENATE("Points=",$B$416),"Sort=R","Days=A","Fill=B",CONCATENATE("FX=", $B$414) )</f>
        <v>#N/A Authorization</v>
      </c>
      <c r="BN461" t="str">
        <f>""</f>
        <v/>
      </c>
      <c r="BO461" t="str">
        <f>""</f>
        <v/>
      </c>
      <c r="BP461" t="str">
        <f>""</f>
        <v/>
      </c>
      <c r="BQ461" t="str">
        <f>""</f>
        <v/>
      </c>
      <c r="BR461" t="str">
        <f>""</f>
        <v/>
      </c>
      <c r="BS461" t="str">
        <f>""</f>
        <v/>
      </c>
      <c r="BT461" t="str">
        <f>""</f>
        <v/>
      </c>
      <c r="BU461" t="str">
        <f>""</f>
        <v/>
      </c>
      <c r="BV461" t="str">
        <f>""</f>
        <v/>
      </c>
      <c r="BW461" t="str">
        <f>""</f>
        <v/>
      </c>
      <c r="BX461" t="str">
        <f>""</f>
        <v/>
      </c>
      <c r="BY461" t="str">
        <f>""</f>
        <v/>
      </c>
      <c r="BZ461" t="str">
        <f>""</f>
        <v/>
      </c>
      <c r="CA461" t="str">
        <f>""</f>
        <v/>
      </c>
      <c r="CB461" t="str">
        <f>""</f>
        <v/>
      </c>
      <c r="CC461" t="str">
        <f>""</f>
        <v/>
      </c>
      <c r="CD461" t="str">
        <f>""</f>
        <v/>
      </c>
      <c r="CE461" t="str">
        <f>""</f>
        <v/>
      </c>
      <c r="CF461" t="str">
        <f>""</f>
        <v/>
      </c>
      <c r="CG461" t="str">
        <f>""</f>
        <v/>
      </c>
      <c r="CH461" t="str">
        <f>""</f>
        <v/>
      </c>
      <c r="CI461" t="str">
        <f>""</f>
        <v/>
      </c>
      <c r="CJ461" t="str">
        <f>""</f>
        <v/>
      </c>
      <c r="CK461" t="str">
        <f>""</f>
        <v/>
      </c>
      <c r="CL461" t="str">
        <f>""</f>
        <v/>
      </c>
      <c r="CM461" t="str">
        <f>""</f>
        <v/>
      </c>
      <c r="CN461" t="str">
        <f>""</f>
        <v/>
      </c>
      <c r="CO461" t="str">
        <f>""</f>
        <v/>
      </c>
      <c r="CP461" t="str">
        <f>""</f>
        <v/>
      </c>
      <c r="CQ461" t="str">
        <f>""</f>
        <v/>
      </c>
      <c r="CR461" t="str">
        <f>""</f>
        <v/>
      </c>
      <c r="CS461" t="str">
        <f>""</f>
        <v/>
      </c>
      <c r="CT461" t="str">
        <f>""</f>
        <v/>
      </c>
      <c r="CU461" t="str">
        <f>""</f>
        <v/>
      </c>
      <c r="CV461" t="str">
        <f>""</f>
        <v/>
      </c>
      <c r="CW461" t="str">
        <f>""</f>
        <v/>
      </c>
      <c r="CX461" t="str">
        <f>""</f>
        <v/>
      </c>
      <c r="CY461" t="str">
        <f>""</f>
        <v/>
      </c>
      <c r="CZ461" t="str">
        <f>""</f>
        <v/>
      </c>
      <c r="DA461" t="str">
        <f>""</f>
        <v/>
      </c>
      <c r="DB461" t="str">
        <f>""</f>
        <v/>
      </c>
      <c r="DC461" t="str">
        <f>""</f>
        <v/>
      </c>
      <c r="DD461" t="str">
        <f>""</f>
        <v/>
      </c>
      <c r="DE461" t="str">
        <f>""</f>
        <v/>
      </c>
      <c r="DF461" t="str">
        <f>""</f>
        <v/>
      </c>
      <c r="DG461" t="str">
        <f>""</f>
        <v/>
      </c>
      <c r="DH461" t="str">
        <f>""</f>
        <v/>
      </c>
      <c r="DI461" t="str">
        <f>""</f>
        <v/>
      </c>
      <c r="DJ461" t="str">
        <f>""</f>
        <v/>
      </c>
      <c r="DK461" t="str">
        <f>""</f>
        <v/>
      </c>
      <c r="DL461" t="str">
        <f>""</f>
        <v/>
      </c>
      <c r="DM461" t="str">
        <f>""</f>
        <v/>
      </c>
      <c r="DN461" t="str">
        <f>""</f>
        <v/>
      </c>
      <c r="DO461" t="str">
        <f>""</f>
        <v/>
      </c>
      <c r="DP461" t="str">
        <f>""</f>
        <v/>
      </c>
      <c r="DQ461" t="str">
        <f>""</f>
        <v/>
      </c>
      <c r="DR461" t="str">
        <f>""</f>
        <v/>
      </c>
      <c r="DS461" t="str">
        <f>""</f>
        <v/>
      </c>
      <c r="DT461" t="str">
        <f>""</f>
        <v/>
      </c>
      <c r="DU461" t="str">
        <f>""</f>
        <v/>
      </c>
    </row>
    <row r="462" spans="2:125">
      <c r="B462" t="str">
        <f>"WPG US Equity"</f>
        <v>WPG US Equity</v>
      </c>
      <c r="C462" t="str">
        <f>"BS658"</f>
        <v>BS658</v>
      </c>
      <c r="D462" t="str">
        <f>"BS_YEAR_1_PRINCIPAL"</f>
        <v>BS_YEAR_1_PRINCIPAL</v>
      </c>
      <c r="E462" t="str">
        <f t="shared" si="75"/>
        <v>动态</v>
      </c>
      <c r="F462" t="str">
        <f ca="1">BDH($B$462,$C$462,$B$417,$B$418,CONCATENATE("Per=",$B$415),"Dts=H","Dir=H",CONCATENATE("Points=",$B$416),"Sort=R","Days=A","Fill=B",CONCATENATE("FX=", $B$414) )</f>
        <v>#N/A Authorization</v>
      </c>
      <c r="BN462" t="str">
        <f>""</f>
        <v/>
      </c>
      <c r="BO462" t="str">
        <f>""</f>
        <v/>
      </c>
      <c r="BP462" t="str">
        <f>""</f>
        <v/>
      </c>
      <c r="BQ462" t="str">
        <f>""</f>
        <v/>
      </c>
      <c r="BR462" t="str">
        <f>""</f>
        <v/>
      </c>
      <c r="BS462" t="str">
        <f>""</f>
        <v/>
      </c>
      <c r="BT462" t="str">
        <f>""</f>
        <v/>
      </c>
      <c r="BU462" t="str">
        <f>""</f>
        <v/>
      </c>
      <c r="BV462" t="str">
        <f>""</f>
        <v/>
      </c>
      <c r="BW462" t="str">
        <f>""</f>
        <v/>
      </c>
      <c r="BX462" t="str">
        <f>""</f>
        <v/>
      </c>
      <c r="BY462" t="str">
        <f>""</f>
        <v/>
      </c>
      <c r="BZ462" t="str">
        <f>""</f>
        <v/>
      </c>
      <c r="CA462" t="str">
        <f>""</f>
        <v/>
      </c>
      <c r="CB462" t="str">
        <f>""</f>
        <v/>
      </c>
      <c r="CC462" t="str">
        <f>""</f>
        <v/>
      </c>
      <c r="CD462" t="str">
        <f>""</f>
        <v/>
      </c>
      <c r="CE462" t="str">
        <f>""</f>
        <v/>
      </c>
      <c r="CF462" t="str">
        <f>""</f>
        <v/>
      </c>
      <c r="CG462" t="str">
        <f>""</f>
        <v/>
      </c>
      <c r="CH462" t="str">
        <f>""</f>
        <v/>
      </c>
      <c r="CI462" t="str">
        <f>""</f>
        <v/>
      </c>
      <c r="CJ462" t="str">
        <f>""</f>
        <v/>
      </c>
      <c r="CK462" t="str">
        <f>""</f>
        <v/>
      </c>
      <c r="CL462" t="str">
        <f>""</f>
        <v/>
      </c>
      <c r="CM462" t="str">
        <f>""</f>
        <v/>
      </c>
      <c r="CN462" t="str">
        <f>""</f>
        <v/>
      </c>
      <c r="CO462" t="str">
        <f>""</f>
        <v/>
      </c>
      <c r="CP462" t="str">
        <f>""</f>
        <v/>
      </c>
      <c r="CQ462" t="str">
        <f>""</f>
        <v/>
      </c>
      <c r="CR462" t="str">
        <f>""</f>
        <v/>
      </c>
      <c r="CS462" t="str">
        <f>""</f>
        <v/>
      </c>
      <c r="CT462" t="str">
        <f>""</f>
        <v/>
      </c>
      <c r="CU462" t="str">
        <f>""</f>
        <v/>
      </c>
      <c r="CV462" t="str">
        <f>""</f>
        <v/>
      </c>
      <c r="CW462" t="str">
        <f>""</f>
        <v/>
      </c>
      <c r="CX462" t="str">
        <f>""</f>
        <v/>
      </c>
      <c r="CY462" t="str">
        <f>""</f>
        <v/>
      </c>
      <c r="CZ462" t="str">
        <f>""</f>
        <v/>
      </c>
      <c r="DA462" t="str">
        <f>""</f>
        <v/>
      </c>
      <c r="DB462" t="str">
        <f>""</f>
        <v/>
      </c>
      <c r="DC462" t="str">
        <f>""</f>
        <v/>
      </c>
      <c r="DD462" t="str">
        <f>""</f>
        <v/>
      </c>
      <c r="DE462" t="str">
        <f>""</f>
        <v/>
      </c>
      <c r="DF462" t="str">
        <f>""</f>
        <v/>
      </c>
      <c r="DG462" t="str">
        <f>""</f>
        <v/>
      </c>
      <c r="DH462" t="str">
        <f>""</f>
        <v/>
      </c>
      <c r="DI462" t="str">
        <f>""</f>
        <v/>
      </c>
      <c r="DJ462" t="str">
        <f>""</f>
        <v/>
      </c>
      <c r="DK462" t="str">
        <f>""</f>
        <v/>
      </c>
      <c r="DL462" t="str">
        <f>""</f>
        <v/>
      </c>
      <c r="DM462" t="str">
        <f>""</f>
        <v/>
      </c>
      <c r="DN462" t="str">
        <f>""</f>
        <v/>
      </c>
      <c r="DO462" t="str">
        <f>""</f>
        <v/>
      </c>
      <c r="DP462" t="str">
        <f>""</f>
        <v/>
      </c>
      <c r="DQ462" t="str">
        <f>""</f>
        <v/>
      </c>
      <c r="DR462" t="str">
        <f>""</f>
        <v/>
      </c>
      <c r="DS462" t="str">
        <f>""</f>
        <v/>
      </c>
      <c r="DT462" t="str">
        <f>""</f>
        <v/>
      </c>
      <c r="DU462" t="str">
        <f>""</f>
        <v/>
      </c>
    </row>
    <row r="463" spans="2:125">
      <c r="B463" t="str">
        <f>"WRI US Equity"</f>
        <v>WRI US Equity</v>
      </c>
      <c r="C463" t="str">
        <f>"RR253"</f>
        <v>RR253</v>
      </c>
      <c r="D463" t="str">
        <f>"CASH_AND_MARKETABLE_SECURITIES"</f>
        <v>CASH_AND_MARKETABLE_SECURITIES</v>
      </c>
      <c r="E463" t="str">
        <f t="shared" si="75"/>
        <v>动态</v>
      </c>
      <c r="F463" t="str">
        <f ca="1">BDH($B$463,$C$463,$B$417,$B$418,CONCATENATE("Per=",$B$415),"Dts=H","Dir=H",CONCATENATE("Points=",$B$416),"Sort=R","Days=A","Fill=B",CONCATENATE("FX=", $B$414) )</f>
        <v>#N/A Authorization</v>
      </c>
      <c r="BN463" t="str">
        <f>""</f>
        <v/>
      </c>
      <c r="BO463" t="str">
        <f>""</f>
        <v/>
      </c>
      <c r="BP463" t="str">
        <f>""</f>
        <v/>
      </c>
      <c r="BQ463" t="str">
        <f>""</f>
        <v/>
      </c>
      <c r="BR463" t="str">
        <f>""</f>
        <v/>
      </c>
      <c r="BS463" t="str">
        <f>""</f>
        <v/>
      </c>
      <c r="BT463" t="str">
        <f>""</f>
        <v/>
      </c>
      <c r="BU463" t="str">
        <f>""</f>
        <v/>
      </c>
      <c r="BV463" t="str">
        <f>""</f>
        <v/>
      </c>
      <c r="BW463" t="str">
        <f>""</f>
        <v/>
      </c>
      <c r="BX463" t="str">
        <f>""</f>
        <v/>
      </c>
      <c r="BY463" t="str">
        <f>""</f>
        <v/>
      </c>
      <c r="BZ463" t="str">
        <f>""</f>
        <v/>
      </c>
      <c r="CA463" t="str">
        <f>""</f>
        <v/>
      </c>
      <c r="CB463" t="str">
        <f>""</f>
        <v/>
      </c>
      <c r="CC463" t="str">
        <f>""</f>
        <v/>
      </c>
      <c r="CD463" t="str">
        <f>""</f>
        <v/>
      </c>
      <c r="CE463" t="str">
        <f>""</f>
        <v/>
      </c>
      <c r="CF463" t="str">
        <f>""</f>
        <v/>
      </c>
      <c r="CG463" t="str">
        <f>""</f>
        <v/>
      </c>
      <c r="CH463" t="str">
        <f>""</f>
        <v/>
      </c>
      <c r="CI463" t="str">
        <f>""</f>
        <v/>
      </c>
      <c r="CJ463" t="str">
        <f>""</f>
        <v/>
      </c>
      <c r="CK463" t="str">
        <f>""</f>
        <v/>
      </c>
      <c r="CL463" t="str">
        <f>""</f>
        <v/>
      </c>
      <c r="CM463" t="str">
        <f>""</f>
        <v/>
      </c>
      <c r="CN463" t="str">
        <f>""</f>
        <v/>
      </c>
      <c r="CO463" t="str">
        <f>""</f>
        <v/>
      </c>
      <c r="CP463" t="str">
        <f>""</f>
        <v/>
      </c>
      <c r="CQ463" t="str">
        <f>""</f>
        <v/>
      </c>
      <c r="CR463" t="str">
        <f>""</f>
        <v/>
      </c>
      <c r="CS463" t="str">
        <f>""</f>
        <v/>
      </c>
      <c r="CT463" t="str">
        <f>""</f>
        <v/>
      </c>
      <c r="CU463" t="str">
        <f>""</f>
        <v/>
      </c>
      <c r="CV463" t="str">
        <f>""</f>
        <v/>
      </c>
      <c r="CW463" t="str">
        <f>""</f>
        <v/>
      </c>
      <c r="CX463" t="str">
        <f>""</f>
        <v/>
      </c>
      <c r="CY463" t="str">
        <f>""</f>
        <v/>
      </c>
      <c r="CZ463" t="str">
        <f>""</f>
        <v/>
      </c>
      <c r="DA463" t="str">
        <f>""</f>
        <v/>
      </c>
      <c r="DB463" t="str">
        <f>""</f>
        <v/>
      </c>
      <c r="DC463" t="str">
        <f>""</f>
        <v/>
      </c>
      <c r="DD463" t="str">
        <f>""</f>
        <v/>
      </c>
      <c r="DE463" t="str">
        <f>""</f>
        <v/>
      </c>
      <c r="DF463" t="str">
        <f>""</f>
        <v/>
      </c>
      <c r="DG463" t="str">
        <f>""</f>
        <v/>
      </c>
      <c r="DH463" t="str">
        <f>""</f>
        <v/>
      </c>
      <c r="DI463" t="str">
        <f>""</f>
        <v/>
      </c>
      <c r="DJ463" t="str">
        <f>""</f>
        <v/>
      </c>
      <c r="DK463" t="str">
        <f>""</f>
        <v/>
      </c>
      <c r="DL463" t="str">
        <f>""</f>
        <v/>
      </c>
      <c r="DM463" t="str">
        <f>""</f>
        <v/>
      </c>
      <c r="DN463" t="str">
        <f>""</f>
        <v/>
      </c>
      <c r="DO463" t="str">
        <f>""</f>
        <v/>
      </c>
      <c r="DP463" t="str">
        <f>""</f>
        <v/>
      </c>
      <c r="DQ463" t="str">
        <f>""</f>
        <v/>
      </c>
      <c r="DR463" t="str">
        <f>""</f>
        <v/>
      </c>
      <c r="DS463" t="str">
        <f>""</f>
        <v/>
      </c>
      <c r="DT463" t="str">
        <f>""</f>
        <v/>
      </c>
      <c r="DU463" t="str">
        <f>""</f>
        <v/>
      </c>
    </row>
    <row r="464" spans="2:125">
      <c r="B464" t="str">
        <f>"WRI US Equity"</f>
        <v>WRI US Equity</v>
      </c>
      <c r="C464" t="str">
        <f>"BS189"</f>
        <v>BS189</v>
      </c>
      <c r="D464" t="str">
        <f>"BS_TOTAL_AVAIL_LINE_OF_CREDIT"</f>
        <v>BS_TOTAL_AVAIL_LINE_OF_CREDIT</v>
      </c>
      <c r="E464" t="str">
        <f t="shared" si="75"/>
        <v>动态</v>
      </c>
      <c r="F464" t="str">
        <f ca="1">BDH($B$464,$C$464,$B$417,$B$418,CONCATENATE("Per=",$B$415),"Dts=H","Dir=H",CONCATENATE("Points=",$B$416),"Sort=R","Days=A","Fill=B",CONCATENATE("FX=", $B$414) )</f>
        <v>#N/A Authorization</v>
      </c>
      <c r="BN464" t="str">
        <f>""</f>
        <v/>
      </c>
      <c r="BO464" t="str">
        <f>""</f>
        <v/>
      </c>
      <c r="BP464" t="str">
        <f>""</f>
        <v/>
      </c>
      <c r="BQ464" t="str">
        <f>""</f>
        <v/>
      </c>
      <c r="BR464" t="str">
        <f>""</f>
        <v/>
      </c>
      <c r="BS464" t="str">
        <f>""</f>
        <v/>
      </c>
      <c r="BT464" t="str">
        <f>""</f>
        <v/>
      </c>
      <c r="BU464" t="str">
        <f>""</f>
        <v/>
      </c>
      <c r="BV464" t="str">
        <f>""</f>
        <v/>
      </c>
      <c r="BW464" t="str">
        <f>""</f>
        <v/>
      </c>
      <c r="BX464" t="str">
        <f>""</f>
        <v/>
      </c>
      <c r="BY464" t="str">
        <f>""</f>
        <v/>
      </c>
      <c r="BZ464" t="str">
        <f>""</f>
        <v/>
      </c>
      <c r="CA464" t="str">
        <f>""</f>
        <v/>
      </c>
      <c r="CB464" t="str">
        <f>""</f>
        <v/>
      </c>
      <c r="CC464" t="str">
        <f>""</f>
        <v/>
      </c>
      <c r="CD464" t="str">
        <f>""</f>
        <v/>
      </c>
      <c r="CE464" t="str">
        <f>""</f>
        <v/>
      </c>
      <c r="CF464" t="str">
        <f>""</f>
        <v/>
      </c>
      <c r="CG464" t="str">
        <f>""</f>
        <v/>
      </c>
      <c r="CH464" t="str">
        <f>""</f>
        <v/>
      </c>
      <c r="CI464" t="str">
        <f>""</f>
        <v/>
      </c>
      <c r="CJ464" t="str">
        <f>""</f>
        <v/>
      </c>
      <c r="CK464" t="str">
        <f>""</f>
        <v/>
      </c>
      <c r="CL464" t="str">
        <f>""</f>
        <v/>
      </c>
      <c r="CM464" t="str">
        <f>""</f>
        <v/>
      </c>
      <c r="CN464" t="str">
        <f>""</f>
        <v/>
      </c>
      <c r="CO464" t="str">
        <f>""</f>
        <v/>
      </c>
      <c r="CP464" t="str">
        <f>""</f>
        <v/>
      </c>
      <c r="CQ464" t="str">
        <f>""</f>
        <v/>
      </c>
      <c r="CR464" t="str">
        <f>""</f>
        <v/>
      </c>
      <c r="CS464" t="str">
        <f>""</f>
        <v/>
      </c>
      <c r="CT464" t="str">
        <f>""</f>
        <v/>
      </c>
      <c r="CU464" t="str">
        <f>""</f>
        <v/>
      </c>
      <c r="CV464" t="str">
        <f>""</f>
        <v/>
      </c>
      <c r="CW464" t="str">
        <f>""</f>
        <v/>
      </c>
      <c r="CX464" t="str">
        <f>""</f>
        <v/>
      </c>
      <c r="CY464" t="str">
        <f>""</f>
        <v/>
      </c>
      <c r="CZ464" t="str">
        <f>""</f>
        <v/>
      </c>
      <c r="DA464" t="str">
        <f>""</f>
        <v/>
      </c>
      <c r="DB464" t="str">
        <f>""</f>
        <v/>
      </c>
      <c r="DC464" t="str">
        <f>""</f>
        <v/>
      </c>
      <c r="DD464" t="str">
        <f>""</f>
        <v/>
      </c>
      <c r="DE464" t="str">
        <f>""</f>
        <v/>
      </c>
      <c r="DF464" t="str">
        <f>""</f>
        <v/>
      </c>
      <c r="DG464" t="str">
        <f>""</f>
        <v/>
      </c>
      <c r="DH464" t="str">
        <f>""</f>
        <v/>
      </c>
      <c r="DI464" t="str">
        <f>""</f>
        <v/>
      </c>
      <c r="DJ464" t="str">
        <f>""</f>
        <v/>
      </c>
      <c r="DK464" t="str">
        <f>""</f>
        <v/>
      </c>
      <c r="DL464" t="str">
        <f>""</f>
        <v/>
      </c>
      <c r="DM464" t="str">
        <f>""</f>
        <v/>
      </c>
      <c r="DN464" t="str">
        <f>""</f>
        <v/>
      </c>
      <c r="DO464" t="str">
        <f>""</f>
        <v/>
      </c>
      <c r="DP464" t="str">
        <f>""</f>
        <v/>
      </c>
      <c r="DQ464" t="str">
        <f>""</f>
        <v/>
      </c>
      <c r="DR464" t="str">
        <f>""</f>
        <v/>
      </c>
      <c r="DS464" t="str">
        <f>""</f>
        <v/>
      </c>
      <c r="DT464" t="str">
        <f>""</f>
        <v/>
      </c>
      <c r="DU464" t="str">
        <f>""</f>
        <v/>
      </c>
    </row>
    <row r="465" spans="1:125">
      <c r="B465" t="str">
        <f>"WRI US Equity"</f>
        <v>WRI US Equity</v>
      </c>
      <c r="C465" t="str">
        <f>"BS658"</f>
        <v>BS658</v>
      </c>
      <c r="D465" t="str">
        <f>"BS_YEAR_1_PRINCIPAL"</f>
        <v>BS_YEAR_1_PRINCIPAL</v>
      </c>
      <c r="E465" t="str">
        <f t="shared" si="75"/>
        <v>动态</v>
      </c>
      <c r="F465" t="str">
        <f ca="1">BDH($B$465,$C$465,$B$417,$B$418,CONCATENATE("Per=",$B$415),"Dts=H","Dir=H",CONCATENATE("Points=",$B$416),"Sort=R","Days=A","Fill=B",CONCATENATE("FX=", $B$414) )</f>
        <v>#N/A Authorization</v>
      </c>
      <c r="BN465" t="str">
        <f>""</f>
        <v/>
      </c>
      <c r="BO465" t="str">
        <f>""</f>
        <v/>
      </c>
      <c r="BP465" t="str">
        <f>""</f>
        <v/>
      </c>
      <c r="BQ465" t="str">
        <f>""</f>
        <v/>
      </c>
      <c r="BR465" t="str">
        <f>""</f>
        <v/>
      </c>
      <c r="BS465" t="str">
        <f>""</f>
        <v/>
      </c>
      <c r="BT465" t="str">
        <f>""</f>
        <v/>
      </c>
      <c r="BU465" t="str">
        <f>""</f>
        <v/>
      </c>
      <c r="BV465" t="str">
        <f>""</f>
        <v/>
      </c>
      <c r="BW465" t="str">
        <f>""</f>
        <v/>
      </c>
      <c r="BX465" t="str">
        <f>""</f>
        <v/>
      </c>
      <c r="BY465" t="str">
        <f>""</f>
        <v/>
      </c>
      <c r="BZ465" t="str">
        <f>""</f>
        <v/>
      </c>
      <c r="CA465" t="str">
        <f>""</f>
        <v/>
      </c>
      <c r="CB465" t="str">
        <f>""</f>
        <v/>
      </c>
      <c r="CC465" t="str">
        <f>""</f>
        <v/>
      </c>
      <c r="CD465" t="str">
        <f>""</f>
        <v/>
      </c>
      <c r="CE465" t="str">
        <f>""</f>
        <v/>
      </c>
      <c r="CF465" t="str">
        <f>""</f>
        <v/>
      </c>
      <c r="CG465" t="str">
        <f>""</f>
        <v/>
      </c>
      <c r="CH465" t="str">
        <f>""</f>
        <v/>
      </c>
      <c r="CI465" t="str">
        <f>""</f>
        <v/>
      </c>
      <c r="CJ465" t="str">
        <f>""</f>
        <v/>
      </c>
      <c r="CK465" t="str">
        <f>""</f>
        <v/>
      </c>
      <c r="CL465" t="str">
        <f>""</f>
        <v/>
      </c>
      <c r="CM465" t="str">
        <f>""</f>
        <v/>
      </c>
      <c r="CN465" t="str">
        <f>""</f>
        <v/>
      </c>
      <c r="CO465" t="str">
        <f>""</f>
        <v/>
      </c>
      <c r="CP465" t="str">
        <f>""</f>
        <v/>
      </c>
      <c r="CQ465" t="str">
        <f>""</f>
        <v/>
      </c>
      <c r="CR465" t="str">
        <f>""</f>
        <v/>
      </c>
      <c r="CS465" t="str">
        <f>""</f>
        <v/>
      </c>
      <c r="CT465" t="str">
        <f>""</f>
        <v/>
      </c>
      <c r="CU465" t="str">
        <f>""</f>
        <v/>
      </c>
      <c r="CV465" t="str">
        <f>""</f>
        <v/>
      </c>
      <c r="CW465" t="str">
        <f>""</f>
        <v/>
      </c>
      <c r="CX465" t="str">
        <f>""</f>
        <v/>
      </c>
      <c r="CY465" t="str">
        <f>""</f>
        <v/>
      </c>
      <c r="CZ465" t="str">
        <f>""</f>
        <v/>
      </c>
      <c r="DA465" t="str">
        <f>""</f>
        <v/>
      </c>
      <c r="DB465" t="str">
        <f>""</f>
        <v/>
      </c>
      <c r="DC465" t="str">
        <f>""</f>
        <v/>
      </c>
      <c r="DD465" t="str">
        <f>""</f>
        <v/>
      </c>
      <c r="DE465" t="str">
        <f>""</f>
        <v/>
      </c>
      <c r="DF465" t="str">
        <f>""</f>
        <v/>
      </c>
      <c r="DG465" t="str">
        <f>""</f>
        <v/>
      </c>
      <c r="DH465" t="str">
        <f>""</f>
        <v/>
      </c>
      <c r="DI465" t="str">
        <f>""</f>
        <v/>
      </c>
      <c r="DJ465" t="str">
        <f>""</f>
        <v/>
      </c>
      <c r="DK465" t="str">
        <f>""</f>
        <v/>
      </c>
      <c r="DL465" t="str">
        <f>""</f>
        <v/>
      </c>
      <c r="DM465" t="str">
        <f>""</f>
        <v/>
      </c>
      <c r="DN465" t="str">
        <f>""</f>
        <v/>
      </c>
      <c r="DO465" t="str">
        <f>""</f>
        <v/>
      </c>
      <c r="DP465" t="str">
        <f>""</f>
        <v/>
      </c>
      <c r="DQ465" t="str">
        <f>""</f>
        <v/>
      </c>
      <c r="DR465" t="str">
        <f>""</f>
        <v/>
      </c>
      <c r="DS465" t="str">
        <f>""</f>
        <v/>
      </c>
      <c r="DT465" t="str">
        <f>""</f>
        <v/>
      </c>
      <c r="DU465" t="str">
        <f>""</f>
        <v/>
      </c>
    </row>
    <row r="466" spans="1:125">
      <c r="A466" t="str">
        <f>$A$5</f>
        <v xml:space="preserve">    Brixmor Property Group Inc</v>
      </c>
      <c r="B466" t="str">
        <f>$B$5</f>
        <v>BRX US Equity</v>
      </c>
      <c r="C466" t="str">
        <f>$C$5</f>
        <v>IS030</v>
      </c>
      <c r="D466" t="str">
        <f>$D$5</f>
        <v>IS_RENT_INC</v>
      </c>
      <c r="E466" t="str">
        <f>$E$5</f>
        <v>动态</v>
      </c>
      <c r="F466" t="str">
        <f ca="1">BDH($B$5,$C$5,$B$417,$B$418,CONCATENATE("Per=",$B$415),"Dts=H","Dir=H",CONCATENATE("Points=",$B$416),"Sort=R","Days=A","Fill=B",CONCATENATE("FX=", $B$414) )</f>
        <v>#N/A Authorization</v>
      </c>
      <c r="BN466" t="str">
        <f>""</f>
        <v/>
      </c>
      <c r="BO466" t="str">
        <f>""</f>
        <v/>
      </c>
      <c r="BP466" t="str">
        <f>""</f>
        <v/>
      </c>
      <c r="BQ466" t="str">
        <f>""</f>
        <v/>
      </c>
      <c r="BR466" t="str">
        <f>""</f>
        <v/>
      </c>
      <c r="BS466" t="str">
        <f>""</f>
        <v/>
      </c>
      <c r="BT466" t="str">
        <f>""</f>
        <v/>
      </c>
      <c r="BU466" t="str">
        <f>""</f>
        <v/>
      </c>
      <c r="BV466" t="str">
        <f>""</f>
        <v/>
      </c>
      <c r="BW466" t="str">
        <f>""</f>
        <v/>
      </c>
      <c r="BX466" t="str">
        <f>""</f>
        <v/>
      </c>
      <c r="BY466" t="str">
        <f>""</f>
        <v/>
      </c>
      <c r="BZ466" t="str">
        <f>""</f>
        <v/>
      </c>
      <c r="CA466" t="str">
        <f>""</f>
        <v/>
      </c>
      <c r="CB466" t="str">
        <f>""</f>
        <v/>
      </c>
      <c r="CC466" t="str">
        <f>""</f>
        <v/>
      </c>
      <c r="CD466" t="str">
        <f>""</f>
        <v/>
      </c>
      <c r="CE466" t="str">
        <f>""</f>
        <v/>
      </c>
      <c r="CF466" t="str">
        <f>""</f>
        <v/>
      </c>
      <c r="CG466" t="str">
        <f>""</f>
        <v/>
      </c>
      <c r="CH466" t="str">
        <f>""</f>
        <v/>
      </c>
      <c r="CI466" t="str">
        <f>""</f>
        <v/>
      </c>
      <c r="CJ466" t="str">
        <f>""</f>
        <v/>
      </c>
      <c r="CK466" t="str">
        <f>""</f>
        <v/>
      </c>
      <c r="CL466" t="str">
        <f>""</f>
        <v/>
      </c>
      <c r="CM466" t="str">
        <f>""</f>
        <v/>
      </c>
      <c r="CN466" t="str">
        <f>""</f>
        <v/>
      </c>
      <c r="CO466" t="str">
        <f>""</f>
        <v/>
      </c>
      <c r="CP466" t="str">
        <f>""</f>
        <v/>
      </c>
      <c r="CQ466" t="str">
        <f>""</f>
        <v/>
      </c>
      <c r="CR466" t="str">
        <f>""</f>
        <v/>
      </c>
      <c r="CS466" t="str">
        <f>""</f>
        <v/>
      </c>
      <c r="CT466" t="str">
        <f>""</f>
        <v/>
      </c>
      <c r="CU466" t="str">
        <f>""</f>
        <v/>
      </c>
      <c r="CV466" t="str">
        <f>""</f>
        <v/>
      </c>
      <c r="CW466" t="str">
        <f>""</f>
        <v/>
      </c>
      <c r="CX466" t="str">
        <f>""</f>
        <v/>
      </c>
      <c r="CY466" t="str">
        <f>""</f>
        <v/>
      </c>
      <c r="CZ466" t="str">
        <f>""</f>
        <v/>
      </c>
      <c r="DA466" t="str">
        <f>""</f>
        <v/>
      </c>
      <c r="DB466" t="str">
        <f>""</f>
        <v/>
      </c>
      <c r="DC466" t="str">
        <f>""</f>
        <v/>
      </c>
      <c r="DD466" t="str">
        <f>""</f>
        <v/>
      </c>
      <c r="DE466" t="str">
        <f>""</f>
        <v/>
      </c>
      <c r="DF466" t="str">
        <f>""</f>
        <v/>
      </c>
      <c r="DG466" t="str">
        <f>""</f>
        <v/>
      </c>
      <c r="DH466" t="str">
        <f>""</f>
        <v/>
      </c>
      <c r="DI466" t="str">
        <f>""</f>
        <v/>
      </c>
      <c r="DJ466" t="str">
        <f>""</f>
        <v/>
      </c>
      <c r="DK466" t="str">
        <f>""</f>
        <v/>
      </c>
      <c r="DL466" t="str">
        <f>""</f>
        <v/>
      </c>
      <c r="DM466" t="str">
        <f>""</f>
        <v/>
      </c>
      <c r="DN466" t="str">
        <f>""</f>
        <v/>
      </c>
      <c r="DO466" t="str">
        <f>""</f>
        <v/>
      </c>
      <c r="DP466" t="str">
        <f>""</f>
        <v/>
      </c>
      <c r="DQ466" t="str">
        <f>""</f>
        <v/>
      </c>
      <c r="DR466" t="str">
        <f>""</f>
        <v/>
      </c>
      <c r="DS466" t="str">
        <f>""</f>
        <v/>
      </c>
      <c r="DT466" t="str">
        <f>""</f>
        <v/>
      </c>
      <c r="DU466" t="str">
        <f>""</f>
        <v/>
      </c>
    </row>
    <row r="467" spans="1:125">
      <c r="A467" t="str">
        <f>$A$6</f>
        <v xml:space="preserve">    CBL &amp; Associates Properties In</v>
      </c>
      <c r="B467" t="str">
        <f>$B$6</f>
        <v>CBL US Equity</v>
      </c>
      <c r="C467" t="str">
        <f>$C$6</f>
        <v>IS030</v>
      </c>
      <c r="D467" t="str">
        <f>$D$6</f>
        <v>IS_RENT_INC</v>
      </c>
      <c r="E467" t="str">
        <f>$E$6</f>
        <v>动态</v>
      </c>
      <c r="F467" t="str">
        <f ca="1">BDH($B$6,$C$6,$B$417,$B$418,CONCATENATE("Per=",$B$415),"Dts=H","Dir=H",CONCATENATE("Points=",$B$416),"Sort=R","Days=A","Fill=B",CONCATENATE("FX=", $B$414) )</f>
        <v>#N/A Authorization</v>
      </c>
      <c r="BN467" t="str">
        <f>""</f>
        <v/>
      </c>
      <c r="BO467" t="str">
        <f>""</f>
        <v/>
      </c>
      <c r="BP467" t="str">
        <f>""</f>
        <v/>
      </c>
      <c r="BQ467" t="str">
        <f>""</f>
        <v/>
      </c>
      <c r="BR467" t="str">
        <f>""</f>
        <v/>
      </c>
      <c r="BS467" t="str">
        <f>""</f>
        <v/>
      </c>
      <c r="BT467" t="str">
        <f>""</f>
        <v/>
      </c>
      <c r="BU467" t="str">
        <f>""</f>
        <v/>
      </c>
      <c r="BV467" t="str">
        <f>""</f>
        <v/>
      </c>
      <c r="BW467" t="str">
        <f>""</f>
        <v/>
      </c>
      <c r="BX467" t="str">
        <f>""</f>
        <v/>
      </c>
      <c r="BY467" t="str">
        <f>""</f>
        <v/>
      </c>
      <c r="BZ467" t="str">
        <f>""</f>
        <v/>
      </c>
      <c r="CA467" t="str">
        <f>""</f>
        <v/>
      </c>
      <c r="CB467" t="str">
        <f>""</f>
        <v/>
      </c>
      <c r="CC467" t="str">
        <f>""</f>
        <v/>
      </c>
      <c r="CD467" t="str">
        <f>""</f>
        <v/>
      </c>
      <c r="CE467" t="str">
        <f>""</f>
        <v/>
      </c>
      <c r="CF467" t="str">
        <f>""</f>
        <v/>
      </c>
      <c r="CG467" t="str">
        <f>""</f>
        <v/>
      </c>
      <c r="CH467" t="str">
        <f>""</f>
        <v/>
      </c>
      <c r="CI467" t="str">
        <f>""</f>
        <v/>
      </c>
      <c r="CJ467" t="str">
        <f>""</f>
        <v/>
      </c>
      <c r="CK467" t="str">
        <f>""</f>
        <v/>
      </c>
      <c r="CL467" t="str">
        <f>""</f>
        <v/>
      </c>
      <c r="CM467" t="str">
        <f>""</f>
        <v/>
      </c>
      <c r="CN467" t="str">
        <f>""</f>
        <v/>
      </c>
      <c r="CO467" t="str">
        <f>""</f>
        <v/>
      </c>
      <c r="CP467" t="str">
        <f>""</f>
        <v/>
      </c>
      <c r="CQ467" t="str">
        <f>""</f>
        <v/>
      </c>
      <c r="CR467" t="str">
        <f>""</f>
        <v/>
      </c>
      <c r="CS467" t="str">
        <f>""</f>
        <v/>
      </c>
      <c r="CT467" t="str">
        <f>""</f>
        <v/>
      </c>
      <c r="CU467" t="str">
        <f>""</f>
        <v/>
      </c>
      <c r="CV467" t="str">
        <f>""</f>
        <v/>
      </c>
      <c r="CW467" t="str">
        <f>""</f>
        <v/>
      </c>
      <c r="CX467" t="str">
        <f>""</f>
        <v/>
      </c>
      <c r="CY467" t="str">
        <f>""</f>
        <v/>
      </c>
      <c r="CZ467" t="str">
        <f>""</f>
        <v/>
      </c>
      <c r="DA467" t="str">
        <f>""</f>
        <v/>
      </c>
      <c r="DB467" t="str">
        <f>""</f>
        <v/>
      </c>
      <c r="DC467" t="str">
        <f>""</f>
        <v/>
      </c>
      <c r="DD467" t="str">
        <f>""</f>
        <v/>
      </c>
      <c r="DE467" t="str">
        <f>""</f>
        <v/>
      </c>
      <c r="DF467" t="str">
        <f>""</f>
        <v/>
      </c>
      <c r="DG467" t="str">
        <f>""</f>
        <v/>
      </c>
      <c r="DH467" t="str">
        <f>""</f>
        <v/>
      </c>
      <c r="DI467" t="str">
        <f>""</f>
        <v/>
      </c>
      <c r="DJ467" t="str">
        <f>""</f>
        <v/>
      </c>
      <c r="DK467" t="str">
        <f>""</f>
        <v/>
      </c>
      <c r="DL467" t="str">
        <f>""</f>
        <v/>
      </c>
      <c r="DM467" t="str">
        <f>""</f>
        <v/>
      </c>
      <c r="DN467" t="str">
        <f>""</f>
        <v/>
      </c>
      <c r="DO467" t="str">
        <f>""</f>
        <v/>
      </c>
      <c r="DP467" t="str">
        <f>""</f>
        <v/>
      </c>
      <c r="DQ467" t="str">
        <f>""</f>
        <v/>
      </c>
      <c r="DR467" t="str">
        <f>""</f>
        <v/>
      </c>
      <c r="DS467" t="str">
        <f>""</f>
        <v/>
      </c>
      <c r="DT467" t="str">
        <f>""</f>
        <v/>
      </c>
      <c r="DU467" t="str">
        <f>""</f>
        <v/>
      </c>
    </row>
    <row r="468" spans="1:125">
      <c r="A468" t="str">
        <f>$A$7</f>
        <v xml:space="preserve">    DDR Corp</v>
      </c>
      <c r="B468" t="str">
        <f>$B$7</f>
        <v>DDR US Equity</v>
      </c>
      <c r="C468" t="str">
        <f>$C$7</f>
        <v>IS030</v>
      </c>
      <c r="D468" t="str">
        <f>$D$7</f>
        <v>IS_RENT_INC</v>
      </c>
      <c r="E468" t="str">
        <f>$E$7</f>
        <v>动态</v>
      </c>
      <c r="F468" t="str">
        <f ca="1">BDH($B$7,$C$7,$B$417,$B$418,CONCATENATE("Per=",$B$415),"Dts=H","Dir=H",CONCATENATE("Points=",$B$416),"Sort=R","Days=A","Fill=B",CONCATENATE("FX=", $B$414) )</f>
        <v>#N/A Authorization</v>
      </c>
      <c r="BN468" t="str">
        <f>""</f>
        <v/>
      </c>
      <c r="BO468" t="str">
        <f>""</f>
        <v/>
      </c>
      <c r="BP468" t="str">
        <f>""</f>
        <v/>
      </c>
      <c r="BQ468" t="str">
        <f>""</f>
        <v/>
      </c>
      <c r="BR468" t="str">
        <f>""</f>
        <v/>
      </c>
      <c r="BS468" t="str">
        <f>""</f>
        <v/>
      </c>
      <c r="BT468" t="str">
        <f>""</f>
        <v/>
      </c>
      <c r="BU468" t="str">
        <f>""</f>
        <v/>
      </c>
      <c r="BV468" t="str">
        <f>""</f>
        <v/>
      </c>
      <c r="BW468" t="str">
        <f>""</f>
        <v/>
      </c>
      <c r="BX468" t="str">
        <f>""</f>
        <v/>
      </c>
      <c r="BY468" t="str">
        <f>""</f>
        <v/>
      </c>
      <c r="BZ468" t="str">
        <f>""</f>
        <v/>
      </c>
      <c r="CA468" t="str">
        <f>""</f>
        <v/>
      </c>
      <c r="CB468" t="str">
        <f>""</f>
        <v/>
      </c>
      <c r="CC468" t="str">
        <f>""</f>
        <v/>
      </c>
      <c r="CD468" t="str">
        <f>""</f>
        <v/>
      </c>
      <c r="CE468" t="str">
        <f>""</f>
        <v/>
      </c>
      <c r="CF468" t="str">
        <f>""</f>
        <v/>
      </c>
      <c r="CG468" t="str">
        <f>""</f>
        <v/>
      </c>
      <c r="CH468" t="str">
        <f>""</f>
        <v/>
      </c>
      <c r="CI468" t="str">
        <f>""</f>
        <v/>
      </c>
      <c r="CJ468" t="str">
        <f>""</f>
        <v/>
      </c>
      <c r="CK468" t="str">
        <f>""</f>
        <v/>
      </c>
      <c r="CL468" t="str">
        <f>""</f>
        <v/>
      </c>
      <c r="CM468" t="str">
        <f>""</f>
        <v/>
      </c>
      <c r="CN468" t="str">
        <f>""</f>
        <v/>
      </c>
      <c r="CO468" t="str">
        <f>""</f>
        <v/>
      </c>
      <c r="CP468" t="str">
        <f>""</f>
        <v/>
      </c>
      <c r="CQ468" t="str">
        <f>""</f>
        <v/>
      </c>
      <c r="CR468" t="str">
        <f>""</f>
        <v/>
      </c>
      <c r="CS468" t="str">
        <f>""</f>
        <v/>
      </c>
      <c r="CT468" t="str">
        <f>""</f>
        <v/>
      </c>
      <c r="CU468" t="str">
        <f>""</f>
        <v/>
      </c>
      <c r="CV468" t="str">
        <f>""</f>
        <v/>
      </c>
      <c r="CW468" t="str">
        <f>""</f>
        <v/>
      </c>
      <c r="CX468" t="str">
        <f>""</f>
        <v/>
      </c>
      <c r="CY468" t="str">
        <f>""</f>
        <v/>
      </c>
      <c r="CZ468" t="str">
        <f>""</f>
        <v/>
      </c>
      <c r="DA468" t="str">
        <f>""</f>
        <v/>
      </c>
      <c r="DB468" t="str">
        <f>""</f>
        <v/>
      </c>
      <c r="DC468" t="str">
        <f>""</f>
        <v/>
      </c>
      <c r="DD468" t="str">
        <f>""</f>
        <v/>
      </c>
      <c r="DE468" t="str">
        <f>""</f>
        <v/>
      </c>
      <c r="DF468" t="str">
        <f>""</f>
        <v/>
      </c>
      <c r="DG468" t="str">
        <f>""</f>
        <v/>
      </c>
      <c r="DH468" t="str">
        <f>""</f>
        <v/>
      </c>
      <c r="DI468" t="str">
        <f>""</f>
        <v/>
      </c>
      <c r="DJ468" t="str">
        <f>""</f>
        <v/>
      </c>
      <c r="DK468" t="str">
        <f>""</f>
        <v/>
      </c>
      <c r="DL468" t="str">
        <f>""</f>
        <v/>
      </c>
      <c r="DM468" t="str">
        <f>""</f>
        <v/>
      </c>
      <c r="DN468" t="str">
        <f>""</f>
        <v/>
      </c>
      <c r="DO468" t="str">
        <f>""</f>
        <v/>
      </c>
      <c r="DP468" t="str">
        <f>""</f>
        <v/>
      </c>
      <c r="DQ468" t="str">
        <f>""</f>
        <v/>
      </c>
      <c r="DR468" t="str">
        <f>""</f>
        <v/>
      </c>
      <c r="DS468" t="str">
        <f>""</f>
        <v/>
      </c>
      <c r="DT468" t="str">
        <f>""</f>
        <v/>
      </c>
      <c r="DU468" t="str">
        <f>""</f>
        <v/>
      </c>
    </row>
    <row r="469" spans="1:125">
      <c r="A469" t="str">
        <f>$A$8</f>
        <v xml:space="preserve">    Federal Realty Investment Trus</v>
      </c>
      <c r="B469" t="str">
        <f>$B$8</f>
        <v>FRT US Equity</v>
      </c>
      <c r="C469" t="str">
        <f>$C$8</f>
        <v>IS030</v>
      </c>
      <c r="D469" t="str">
        <f>$D$8</f>
        <v>IS_RENT_INC</v>
      </c>
      <c r="E469" t="str">
        <f>$E$8</f>
        <v>动态</v>
      </c>
      <c r="F469" t="str">
        <f ca="1">BDH($B$8,$C$8,$B$417,$B$418,CONCATENATE("Per=",$B$415),"Dts=H","Dir=H",CONCATENATE("Points=",$B$416),"Sort=R","Days=A","Fill=B",CONCATENATE("FX=", $B$414) )</f>
        <v>#N/A Authorization</v>
      </c>
      <c r="BN469" t="str">
        <f>""</f>
        <v/>
      </c>
      <c r="BO469" t="str">
        <f>""</f>
        <v/>
      </c>
      <c r="BP469" t="str">
        <f>""</f>
        <v/>
      </c>
      <c r="BQ469" t="str">
        <f>""</f>
        <v/>
      </c>
      <c r="BR469" t="str">
        <f>""</f>
        <v/>
      </c>
      <c r="BS469" t="str">
        <f>""</f>
        <v/>
      </c>
      <c r="BT469" t="str">
        <f>""</f>
        <v/>
      </c>
      <c r="BU469" t="str">
        <f>""</f>
        <v/>
      </c>
      <c r="BV469" t="str">
        <f>""</f>
        <v/>
      </c>
      <c r="BW469" t="str">
        <f>""</f>
        <v/>
      </c>
      <c r="BX469" t="str">
        <f>""</f>
        <v/>
      </c>
      <c r="BY469" t="str">
        <f>""</f>
        <v/>
      </c>
      <c r="BZ469" t="str">
        <f>""</f>
        <v/>
      </c>
      <c r="CA469" t="str">
        <f>""</f>
        <v/>
      </c>
      <c r="CB469" t="str">
        <f>""</f>
        <v/>
      </c>
      <c r="CC469" t="str">
        <f>""</f>
        <v/>
      </c>
      <c r="CD469" t="str">
        <f>""</f>
        <v/>
      </c>
      <c r="CE469" t="str">
        <f>""</f>
        <v/>
      </c>
      <c r="CF469" t="str">
        <f>""</f>
        <v/>
      </c>
      <c r="CG469" t="str">
        <f>""</f>
        <v/>
      </c>
      <c r="CH469" t="str">
        <f>""</f>
        <v/>
      </c>
      <c r="CI469" t="str">
        <f>""</f>
        <v/>
      </c>
      <c r="CJ469" t="str">
        <f>""</f>
        <v/>
      </c>
      <c r="CK469" t="str">
        <f>""</f>
        <v/>
      </c>
      <c r="CL469" t="str">
        <f>""</f>
        <v/>
      </c>
      <c r="CM469" t="str">
        <f>""</f>
        <v/>
      </c>
      <c r="CN469" t="str">
        <f>""</f>
        <v/>
      </c>
      <c r="CO469" t="str">
        <f>""</f>
        <v/>
      </c>
      <c r="CP469" t="str">
        <f>""</f>
        <v/>
      </c>
      <c r="CQ469" t="str">
        <f>""</f>
        <v/>
      </c>
      <c r="CR469" t="str">
        <f>""</f>
        <v/>
      </c>
      <c r="CS469" t="str">
        <f>""</f>
        <v/>
      </c>
      <c r="CT469" t="str">
        <f>""</f>
        <v/>
      </c>
      <c r="CU469" t="str">
        <f>""</f>
        <v/>
      </c>
      <c r="CV469" t="str">
        <f>""</f>
        <v/>
      </c>
      <c r="CW469" t="str">
        <f>""</f>
        <v/>
      </c>
      <c r="CX469" t="str">
        <f>""</f>
        <v/>
      </c>
      <c r="CY469" t="str">
        <f>""</f>
        <v/>
      </c>
      <c r="CZ469" t="str">
        <f>""</f>
        <v/>
      </c>
      <c r="DA469" t="str">
        <f>""</f>
        <v/>
      </c>
      <c r="DB469" t="str">
        <f>""</f>
        <v/>
      </c>
      <c r="DC469" t="str">
        <f>""</f>
        <v/>
      </c>
      <c r="DD469" t="str">
        <f>""</f>
        <v/>
      </c>
      <c r="DE469" t="str">
        <f>""</f>
        <v/>
      </c>
      <c r="DF469" t="str">
        <f>""</f>
        <v/>
      </c>
      <c r="DG469" t="str">
        <f>""</f>
        <v/>
      </c>
      <c r="DH469" t="str">
        <f>""</f>
        <v/>
      </c>
      <c r="DI469" t="str">
        <f>""</f>
        <v/>
      </c>
      <c r="DJ469" t="str">
        <f>""</f>
        <v/>
      </c>
      <c r="DK469" t="str">
        <f>""</f>
        <v/>
      </c>
      <c r="DL469" t="str">
        <f>""</f>
        <v/>
      </c>
      <c r="DM469" t="str">
        <f>""</f>
        <v/>
      </c>
      <c r="DN469" t="str">
        <f>""</f>
        <v/>
      </c>
      <c r="DO469" t="str">
        <f>""</f>
        <v/>
      </c>
      <c r="DP469" t="str">
        <f>""</f>
        <v/>
      </c>
      <c r="DQ469" t="str">
        <f>""</f>
        <v/>
      </c>
      <c r="DR469" t="str">
        <f>""</f>
        <v/>
      </c>
      <c r="DS469" t="str">
        <f>""</f>
        <v/>
      </c>
      <c r="DT469" t="str">
        <f>""</f>
        <v/>
      </c>
      <c r="DU469" t="str">
        <f>""</f>
        <v/>
      </c>
    </row>
    <row r="470" spans="1:125">
      <c r="A470" t="str">
        <f>$A$9</f>
        <v xml:space="preserve">    Kimco Realty Corp</v>
      </c>
      <c r="B470" t="str">
        <f>$B$9</f>
        <v>KIM US Equity</v>
      </c>
      <c r="C470" t="str">
        <f>$C$9</f>
        <v>IS030</v>
      </c>
      <c r="D470" t="str">
        <f>$D$9</f>
        <v>IS_RENT_INC</v>
      </c>
      <c r="E470" t="str">
        <f>$E$9</f>
        <v>动态</v>
      </c>
      <c r="F470" t="str">
        <f ca="1">BDH($B$9,$C$9,$B$417,$B$418,CONCATENATE("Per=",$B$415),"Dts=H","Dir=H",CONCATENATE("Points=",$B$416),"Sort=R","Days=A","Fill=B",CONCATENATE("FX=", $B$414) )</f>
        <v>#N/A Authorization</v>
      </c>
      <c r="BN470" t="str">
        <f>""</f>
        <v/>
      </c>
      <c r="BO470" t="str">
        <f>""</f>
        <v/>
      </c>
      <c r="BP470" t="str">
        <f>""</f>
        <v/>
      </c>
      <c r="BQ470" t="str">
        <f>""</f>
        <v/>
      </c>
      <c r="BR470" t="str">
        <f>""</f>
        <v/>
      </c>
      <c r="BS470" t="str">
        <f>""</f>
        <v/>
      </c>
      <c r="BT470" t="str">
        <f>""</f>
        <v/>
      </c>
      <c r="BU470" t="str">
        <f>""</f>
        <v/>
      </c>
      <c r="BV470" t="str">
        <f>""</f>
        <v/>
      </c>
      <c r="BW470" t="str">
        <f>""</f>
        <v/>
      </c>
      <c r="BX470" t="str">
        <f>""</f>
        <v/>
      </c>
      <c r="BY470" t="str">
        <f>""</f>
        <v/>
      </c>
      <c r="BZ470" t="str">
        <f>""</f>
        <v/>
      </c>
      <c r="CA470" t="str">
        <f>""</f>
        <v/>
      </c>
      <c r="CB470" t="str">
        <f>""</f>
        <v/>
      </c>
      <c r="CC470" t="str">
        <f>""</f>
        <v/>
      </c>
      <c r="CD470" t="str">
        <f>""</f>
        <v/>
      </c>
      <c r="CE470" t="str">
        <f>""</f>
        <v/>
      </c>
      <c r="CF470" t="str">
        <f>""</f>
        <v/>
      </c>
      <c r="CG470" t="str">
        <f>""</f>
        <v/>
      </c>
      <c r="CH470" t="str">
        <f>""</f>
        <v/>
      </c>
      <c r="CI470" t="str">
        <f>""</f>
        <v/>
      </c>
      <c r="CJ470" t="str">
        <f>""</f>
        <v/>
      </c>
      <c r="CK470" t="str">
        <f>""</f>
        <v/>
      </c>
      <c r="CL470" t="str">
        <f>""</f>
        <v/>
      </c>
      <c r="CM470" t="str">
        <f>""</f>
        <v/>
      </c>
      <c r="CN470" t="str">
        <f>""</f>
        <v/>
      </c>
      <c r="CO470" t="str">
        <f>""</f>
        <v/>
      </c>
      <c r="CP470" t="str">
        <f>""</f>
        <v/>
      </c>
      <c r="CQ470" t="str">
        <f>""</f>
        <v/>
      </c>
      <c r="CR470" t="str">
        <f>""</f>
        <v/>
      </c>
      <c r="CS470" t="str">
        <f>""</f>
        <v/>
      </c>
      <c r="CT470" t="str">
        <f>""</f>
        <v/>
      </c>
      <c r="CU470" t="str">
        <f>""</f>
        <v/>
      </c>
      <c r="CV470" t="str">
        <f>""</f>
        <v/>
      </c>
      <c r="CW470" t="str">
        <f>""</f>
        <v/>
      </c>
      <c r="CX470" t="str">
        <f>""</f>
        <v/>
      </c>
      <c r="CY470" t="str">
        <f>""</f>
        <v/>
      </c>
      <c r="CZ470" t="str">
        <f>""</f>
        <v/>
      </c>
      <c r="DA470" t="str">
        <f>""</f>
        <v/>
      </c>
      <c r="DB470" t="str">
        <f>""</f>
        <v/>
      </c>
      <c r="DC470" t="str">
        <f>""</f>
        <v/>
      </c>
      <c r="DD470" t="str">
        <f>""</f>
        <v/>
      </c>
      <c r="DE470" t="str">
        <f>""</f>
        <v/>
      </c>
      <c r="DF470" t="str">
        <f>""</f>
        <v/>
      </c>
      <c r="DG470" t="str">
        <f>""</f>
        <v/>
      </c>
      <c r="DH470" t="str">
        <f>""</f>
        <v/>
      </c>
      <c r="DI470" t="str">
        <f>""</f>
        <v/>
      </c>
      <c r="DJ470" t="str">
        <f>""</f>
        <v/>
      </c>
      <c r="DK470" t="str">
        <f>""</f>
        <v/>
      </c>
      <c r="DL470" t="str">
        <f>""</f>
        <v/>
      </c>
      <c r="DM470" t="str">
        <f>""</f>
        <v/>
      </c>
      <c r="DN470" t="str">
        <f>""</f>
        <v/>
      </c>
      <c r="DO470" t="str">
        <f>""</f>
        <v/>
      </c>
      <c r="DP470" t="str">
        <f>""</f>
        <v/>
      </c>
      <c r="DQ470" t="str">
        <f>""</f>
        <v/>
      </c>
      <c r="DR470" t="str">
        <f>""</f>
        <v/>
      </c>
      <c r="DS470" t="str">
        <f>""</f>
        <v/>
      </c>
      <c r="DT470" t="str">
        <f>""</f>
        <v/>
      </c>
      <c r="DU470" t="str">
        <f>""</f>
        <v/>
      </c>
    </row>
    <row r="471" spans="1:125">
      <c r="A471" t="str">
        <f>$A$10</f>
        <v xml:space="preserve">    National Retail Properties Inc</v>
      </c>
      <c r="B471" t="str">
        <f>$B$10</f>
        <v>NNN US Equity</v>
      </c>
      <c r="C471" t="str">
        <f>$C$10</f>
        <v>IS030</v>
      </c>
      <c r="D471" t="str">
        <f>$D$10</f>
        <v>IS_RENT_INC</v>
      </c>
      <c r="E471" t="str">
        <f>$E$10</f>
        <v>动态</v>
      </c>
      <c r="F471" t="str">
        <f ca="1">BDH($B$10,$C$10,$B$417,$B$418,CONCATENATE("Per=",$B$415),"Dts=H","Dir=H",CONCATENATE("Points=",$B$416),"Sort=R","Days=A","Fill=B",CONCATENATE("FX=", $B$414) )</f>
        <v>#N/A Authorization</v>
      </c>
      <c r="BN471" t="str">
        <f>""</f>
        <v/>
      </c>
      <c r="BO471" t="str">
        <f>""</f>
        <v/>
      </c>
      <c r="BP471" t="str">
        <f>""</f>
        <v/>
      </c>
      <c r="BQ471" t="str">
        <f>""</f>
        <v/>
      </c>
      <c r="BR471" t="str">
        <f>""</f>
        <v/>
      </c>
      <c r="BS471" t="str">
        <f>""</f>
        <v/>
      </c>
      <c r="BT471" t="str">
        <f>""</f>
        <v/>
      </c>
      <c r="BU471" t="str">
        <f>""</f>
        <v/>
      </c>
      <c r="BV471" t="str">
        <f>""</f>
        <v/>
      </c>
      <c r="BW471" t="str">
        <f>""</f>
        <v/>
      </c>
      <c r="BX471" t="str">
        <f>""</f>
        <v/>
      </c>
      <c r="BY471" t="str">
        <f>""</f>
        <v/>
      </c>
      <c r="BZ471" t="str">
        <f>""</f>
        <v/>
      </c>
      <c r="CA471" t="str">
        <f>""</f>
        <v/>
      </c>
      <c r="CB471" t="str">
        <f>""</f>
        <v/>
      </c>
      <c r="CC471" t="str">
        <f>""</f>
        <v/>
      </c>
      <c r="CD471" t="str">
        <f>""</f>
        <v/>
      </c>
      <c r="CE471" t="str">
        <f>""</f>
        <v/>
      </c>
      <c r="CF471" t="str">
        <f>""</f>
        <v/>
      </c>
      <c r="CG471" t="str">
        <f>""</f>
        <v/>
      </c>
      <c r="CH471" t="str">
        <f>""</f>
        <v/>
      </c>
      <c r="CI471" t="str">
        <f>""</f>
        <v/>
      </c>
      <c r="CJ471" t="str">
        <f>""</f>
        <v/>
      </c>
      <c r="CK471" t="str">
        <f>""</f>
        <v/>
      </c>
      <c r="CL471" t="str">
        <f>""</f>
        <v/>
      </c>
      <c r="CM471" t="str">
        <f>""</f>
        <v/>
      </c>
      <c r="CN471" t="str">
        <f>""</f>
        <v/>
      </c>
      <c r="CO471" t="str">
        <f>""</f>
        <v/>
      </c>
      <c r="CP471" t="str">
        <f>""</f>
        <v/>
      </c>
      <c r="CQ471" t="str">
        <f>""</f>
        <v/>
      </c>
      <c r="CR471" t="str">
        <f>""</f>
        <v/>
      </c>
      <c r="CS471" t="str">
        <f>""</f>
        <v/>
      </c>
      <c r="CT471" t="str">
        <f>""</f>
        <v/>
      </c>
      <c r="CU471" t="str">
        <f>""</f>
        <v/>
      </c>
      <c r="CV471" t="str">
        <f>""</f>
        <v/>
      </c>
      <c r="CW471" t="str">
        <f>""</f>
        <v/>
      </c>
      <c r="CX471" t="str">
        <f>""</f>
        <v/>
      </c>
      <c r="CY471" t="str">
        <f>""</f>
        <v/>
      </c>
      <c r="CZ471" t="str">
        <f>""</f>
        <v/>
      </c>
      <c r="DA471" t="str">
        <f>""</f>
        <v/>
      </c>
      <c r="DB471" t="str">
        <f>""</f>
        <v/>
      </c>
      <c r="DC471" t="str">
        <f>""</f>
        <v/>
      </c>
      <c r="DD471" t="str">
        <f>""</f>
        <v/>
      </c>
      <c r="DE471" t="str">
        <f>""</f>
        <v/>
      </c>
      <c r="DF471" t="str">
        <f>""</f>
        <v/>
      </c>
      <c r="DG471" t="str">
        <f>""</f>
        <v/>
      </c>
      <c r="DH471" t="str">
        <f>""</f>
        <v/>
      </c>
      <c r="DI471" t="str">
        <f>""</f>
        <v/>
      </c>
      <c r="DJ471" t="str">
        <f>""</f>
        <v/>
      </c>
      <c r="DK471" t="str">
        <f>""</f>
        <v/>
      </c>
      <c r="DL471" t="str">
        <f>""</f>
        <v/>
      </c>
      <c r="DM471" t="str">
        <f>""</f>
        <v/>
      </c>
      <c r="DN471" t="str">
        <f>""</f>
        <v/>
      </c>
      <c r="DO471" t="str">
        <f>""</f>
        <v/>
      </c>
      <c r="DP471" t="str">
        <f>""</f>
        <v/>
      </c>
      <c r="DQ471" t="str">
        <f>""</f>
        <v/>
      </c>
      <c r="DR471" t="str">
        <f>""</f>
        <v/>
      </c>
      <c r="DS471" t="str">
        <f>""</f>
        <v/>
      </c>
      <c r="DT471" t="str">
        <f>""</f>
        <v/>
      </c>
      <c r="DU471" t="str">
        <f>""</f>
        <v/>
      </c>
    </row>
    <row r="472" spans="1:125">
      <c r="A472" t="str">
        <f>$A$11</f>
        <v xml:space="preserve">    Realty Income Corp</v>
      </c>
      <c r="B472" t="str">
        <f>$B$11</f>
        <v>O US Equity</v>
      </c>
      <c r="C472" t="str">
        <f>$C$11</f>
        <v>IS030</v>
      </c>
      <c r="D472" t="str">
        <f>$D$11</f>
        <v>IS_RENT_INC</v>
      </c>
      <c r="E472" t="str">
        <f>$E$11</f>
        <v>动态</v>
      </c>
      <c r="F472" t="str">
        <f ca="1">BDH($B$11,$C$11,$B$417,$B$418,CONCATENATE("Per=",$B$415),"Dts=H","Dir=H",CONCATENATE("Points=",$B$416),"Sort=R","Days=A","Fill=B",CONCATENATE("FX=", $B$414) )</f>
        <v>#N/A Authorization</v>
      </c>
      <c r="BN472" t="str">
        <f>""</f>
        <v/>
      </c>
      <c r="BO472" t="str">
        <f>""</f>
        <v/>
      </c>
      <c r="BP472" t="str">
        <f>""</f>
        <v/>
      </c>
      <c r="BQ472" t="str">
        <f>""</f>
        <v/>
      </c>
      <c r="BR472" t="str">
        <f>""</f>
        <v/>
      </c>
      <c r="BS472" t="str">
        <f>""</f>
        <v/>
      </c>
      <c r="BT472" t="str">
        <f>""</f>
        <v/>
      </c>
      <c r="BU472" t="str">
        <f>""</f>
        <v/>
      </c>
      <c r="BV472" t="str">
        <f>""</f>
        <v/>
      </c>
      <c r="BW472" t="str">
        <f>""</f>
        <v/>
      </c>
      <c r="BX472" t="str">
        <f>""</f>
        <v/>
      </c>
      <c r="BY472" t="str">
        <f>""</f>
        <v/>
      </c>
      <c r="BZ472" t="str">
        <f>""</f>
        <v/>
      </c>
      <c r="CA472" t="str">
        <f>""</f>
        <v/>
      </c>
      <c r="CB472" t="str">
        <f>""</f>
        <v/>
      </c>
      <c r="CC472" t="str">
        <f>""</f>
        <v/>
      </c>
      <c r="CD472" t="str">
        <f>""</f>
        <v/>
      </c>
      <c r="CE472" t="str">
        <f>""</f>
        <v/>
      </c>
      <c r="CF472" t="str">
        <f>""</f>
        <v/>
      </c>
      <c r="CG472" t="str">
        <f>""</f>
        <v/>
      </c>
      <c r="CH472" t="str">
        <f>""</f>
        <v/>
      </c>
      <c r="CI472" t="str">
        <f>""</f>
        <v/>
      </c>
      <c r="CJ472" t="str">
        <f>""</f>
        <v/>
      </c>
      <c r="CK472" t="str">
        <f>""</f>
        <v/>
      </c>
      <c r="CL472" t="str">
        <f>""</f>
        <v/>
      </c>
      <c r="CM472" t="str">
        <f>""</f>
        <v/>
      </c>
      <c r="CN472" t="str">
        <f>""</f>
        <v/>
      </c>
      <c r="CO472" t="str">
        <f>""</f>
        <v/>
      </c>
      <c r="CP472" t="str">
        <f>""</f>
        <v/>
      </c>
      <c r="CQ472" t="str">
        <f>""</f>
        <v/>
      </c>
      <c r="CR472" t="str">
        <f>""</f>
        <v/>
      </c>
      <c r="CS472" t="str">
        <f>""</f>
        <v/>
      </c>
      <c r="CT472" t="str">
        <f>""</f>
        <v/>
      </c>
      <c r="CU472" t="str">
        <f>""</f>
        <v/>
      </c>
      <c r="CV472" t="str">
        <f>""</f>
        <v/>
      </c>
      <c r="CW472" t="str">
        <f>""</f>
        <v/>
      </c>
      <c r="CX472" t="str">
        <f>""</f>
        <v/>
      </c>
      <c r="CY472" t="str">
        <f>""</f>
        <v/>
      </c>
      <c r="CZ472" t="str">
        <f>""</f>
        <v/>
      </c>
      <c r="DA472" t="str">
        <f>""</f>
        <v/>
      </c>
      <c r="DB472" t="str">
        <f>""</f>
        <v/>
      </c>
      <c r="DC472" t="str">
        <f>""</f>
        <v/>
      </c>
      <c r="DD472" t="str">
        <f>""</f>
        <v/>
      </c>
      <c r="DE472" t="str">
        <f>""</f>
        <v/>
      </c>
      <c r="DF472" t="str">
        <f>""</f>
        <v/>
      </c>
      <c r="DG472" t="str">
        <f>""</f>
        <v/>
      </c>
      <c r="DH472" t="str">
        <f>""</f>
        <v/>
      </c>
      <c r="DI472" t="str">
        <f>""</f>
        <v/>
      </c>
      <c r="DJ472" t="str">
        <f>""</f>
        <v/>
      </c>
      <c r="DK472" t="str">
        <f>""</f>
        <v/>
      </c>
      <c r="DL472" t="str">
        <f>""</f>
        <v/>
      </c>
      <c r="DM472" t="str">
        <f>""</f>
        <v/>
      </c>
      <c r="DN472" t="str">
        <f>""</f>
        <v/>
      </c>
      <c r="DO472" t="str">
        <f>""</f>
        <v/>
      </c>
      <c r="DP472" t="str">
        <f>""</f>
        <v/>
      </c>
      <c r="DQ472" t="str">
        <f>""</f>
        <v/>
      </c>
      <c r="DR472" t="str">
        <f>""</f>
        <v/>
      </c>
      <c r="DS472" t="str">
        <f>""</f>
        <v/>
      </c>
      <c r="DT472" t="str">
        <f>""</f>
        <v/>
      </c>
      <c r="DU472" t="str">
        <f>""</f>
        <v/>
      </c>
    </row>
    <row r="473" spans="1:125">
      <c r="A473" t="str">
        <f>$A$12</f>
        <v xml:space="preserve">    Regency Centers Corp</v>
      </c>
      <c r="B473" t="str">
        <f>$B$12</f>
        <v>REG US Equity</v>
      </c>
      <c r="C473" t="str">
        <f>$C$12</f>
        <v>IS030</v>
      </c>
      <c r="D473" t="str">
        <f>$D$12</f>
        <v>IS_RENT_INC</v>
      </c>
      <c r="E473" t="str">
        <f>$E$12</f>
        <v>动态</v>
      </c>
      <c r="F473" t="str">
        <f ca="1">BDH($B$12,$C$12,$B$417,$B$418,CONCATENATE("Per=",$B$415),"Dts=H","Dir=H",CONCATENATE("Points=",$B$416),"Sort=R","Days=A","Fill=B",CONCATENATE("FX=", $B$414) )</f>
        <v>#N/A Authorization</v>
      </c>
      <c r="BN473" t="str">
        <f>""</f>
        <v/>
      </c>
      <c r="BO473" t="str">
        <f>""</f>
        <v/>
      </c>
      <c r="BP473" t="str">
        <f>""</f>
        <v/>
      </c>
      <c r="BQ473" t="str">
        <f>""</f>
        <v/>
      </c>
      <c r="BR473" t="str">
        <f>""</f>
        <v/>
      </c>
      <c r="BS473" t="str">
        <f>""</f>
        <v/>
      </c>
      <c r="BT473" t="str">
        <f>""</f>
        <v/>
      </c>
      <c r="BU473" t="str">
        <f>""</f>
        <v/>
      </c>
      <c r="BV473" t="str">
        <f>""</f>
        <v/>
      </c>
      <c r="BW473" t="str">
        <f>""</f>
        <v/>
      </c>
      <c r="BX473" t="str">
        <f>""</f>
        <v/>
      </c>
      <c r="BY473" t="str">
        <f>""</f>
        <v/>
      </c>
      <c r="BZ473" t="str">
        <f>""</f>
        <v/>
      </c>
      <c r="CA473" t="str">
        <f>""</f>
        <v/>
      </c>
      <c r="CB473" t="str">
        <f>""</f>
        <v/>
      </c>
      <c r="CC473" t="str">
        <f>""</f>
        <v/>
      </c>
      <c r="CD473" t="str">
        <f>""</f>
        <v/>
      </c>
      <c r="CE473" t="str">
        <f>""</f>
        <v/>
      </c>
      <c r="CF473" t="str">
        <f>""</f>
        <v/>
      </c>
      <c r="CG473" t="str">
        <f>""</f>
        <v/>
      </c>
      <c r="CH473" t="str">
        <f>""</f>
        <v/>
      </c>
      <c r="CI473" t="str">
        <f>""</f>
        <v/>
      </c>
      <c r="CJ473" t="str">
        <f>""</f>
        <v/>
      </c>
      <c r="CK473" t="str">
        <f>""</f>
        <v/>
      </c>
      <c r="CL473" t="str">
        <f>""</f>
        <v/>
      </c>
      <c r="CM473" t="str">
        <f>""</f>
        <v/>
      </c>
      <c r="CN473" t="str">
        <f>""</f>
        <v/>
      </c>
      <c r="CO473" t="str">
        <f>""</f>
        <v/>
      </c>
      <c r="CP473" t="str">
        <f>""</f>
        <v/>
      </c>
      <c r="CQ473" t="str">
        <f>""</f>
        <v/>
      </c>
      <c r="CR473" t="str">
        <f>""</f>
        <v/>
      </c>
      <c r="CS473" t="str">
        <f>""</f>
        <v/>
      </c>
      <c r="CT473" t="str">
        <f>""</f>
        <v/>
      </c>
      <c r="CU473" t="str">
        <f>""</f>
        <v/>
      </c>
      <c r="CV473" t="str">
        <f>""</f>
        <v/>
      </c>
      <c r="CW473" t="str">
        <f>""</f>
        <v/>
      </c>
      <c r="CX473" t="str">
        <f>""</f>
        <v/>
      </c>
      <c r="CY473" t="str">
        <f>""</f>
        <v/>
      </c>
      <c r="CZ473" t="str">
        <f>""</f>
        <v/>
      </c>
      <c r="DA473" t="str">
        <f>""</f>
        <v/>
      </c>
      <c r="DB473" t="str">
        <f>""</f>
        <v/>
      </c>
      <c r="DC473" t="str">
        <f>""</f>
        <v/>
      </c>
      <c r="DD473" t="str">
        <f>""</f>
        <v/>
      </c>
      <c r="DE473" t="str">
        <f>""</f>
        <v/>
      </c>
      <c r="DF473" t="str">
        <f>""</f>
        <v/>
      </c>
      <c r="DG473" t="str">
        <f>""</f>
        <v/>
      </c>
      <c r="DH473" t="str">
        <f>""</f>
        <v/>
      </c>
      <c r="DI473" t="str">
        <f>""</f>
        <v/>
      </c>
      <c r="DJ473" t="str">
        <f>""</f>
        <v/>
      </c>
      <c r="DK473" t="str">
        <f>""</f>
        <v/>
      </c>
      <c r="DL473" t="str">
        <f>""</f>
        <v/>
      </c>
      <c r="DM473" t="str">
        <f>""</f>
        <v/>
      </c>
      <c r="DN473" t="str">
        <f>""</f>
        <v/>
      </c>
      <c r="DO473" t="str">
        <f>""</f>
        <v/>
      </c>
      <c r="DP473" t="str">
        <f>""</f>
        <v/>
      </c>
      <c r="DQ473" t="str">
        <f>""</f>
        <v/>
      </c>
      <c r="DR473" t="str">
        <f>""</f>
        <v/>
      </c>
      <c r="DS473" t="str">
        <f>""</f>
        <v/>
      </c>
      <c r="DT473" t="str">
        <f>""</f>
        <v/>
      </c>
      <c r="DU473" t="str">
        <f>""</f>
        <v/>
      </c>
    </row>
    <row r="474" spans="1:125">
      <c r="A474" t="str">
        <f>$A$13</f>
        <v xml:space="preserve">    Retail Opportunity Investments</v>
      </c>
      <c r="B474" t="str">
        <f>$B$13</f>
        <v>ROIC US Equity</v>
      </c>
      <c r="C474" t="str">
        <f>$C$13</f>
        <v>IS030</v>
      </c>
      <c r="D474" t="str">
        <f>$D$13</f>
        <v>IS_RENT_INC</v>
      </c>
      <c r="E474" t="str">
        <f>$E$13</f>
        <v>动态</v>
      </c>
      <c r="F474" t="str">
        <f ca="1">BDH($B$13,$C$13,$B$417,$B$418,CONCATENATE("Per=",$B$415),"Dts=H","Dir=H",CONCATENATE("Points=",$B$416),"Sort=R","Days=A","Fill=B",CONCATENATE("FX=", $B$414) )</f>
        <v>#N/A Authorization</v>
      </c>
      <c r="BN474" t="str">
        <f>""</f>
        <v/>
      </c>
      <c r="BO474" t="str">
        <f>""</f>
        <v/>
      </c>
      <c r="BP474" t="str">
        <f>""</f>
        <v/>
      </c>
      <c r="BQ474" t="str">
        <f>""</f>
        <v/>
      </c>
      <c r="BR474" t="str">
        <f>""</f>
        <v/>
      </c>
      <c r="BS474" t="str">
        <f>""</f>
        <v/>
      </c>
      <c r="BT474" t="str">
        <f>""</f>
        <v/>
      </c>
      <c r="BU474" t="str">
        <f>""</f>
        <v/>
      </c>
      <c r="BV474" t="str">
        <f>""</f>
        <v/>
      </c>
      <c r="BW474" t="str">
        <f>""</f>
        <v/>
      </c>
      <c r="BX474" t="str">
        <f>""</f>
        <v/>
      </c>
      <c r="BY474" t="str">
        <f>""</f>
        <v/>
      </c>
      <c r="BZ474" t="str">
        <f>""</f>
        <v/>
      </c>
      <c r="CA474" t="str">
        <f>""</f>
        <v/>
      </c>
      <c r="CB474" t="str">
        <f>""</f>
        <v/>
      </c>
      <c r="CC474" t="str">
        <f>""</f>
        <v/>
      </c>
      <c r="CD474" t="str">
        <f>""</f>
        <v/>
      </c>
      <c r="CE474" t="str">
        <f>""</f>
        <v/>
      </c>
      <c r="CF474" t="str">
        <f>""</f>
        <v/>
      </c>
      <c r="CG474" t="str">
        <f>""</f>
        <v/>
      </c>
      <c r="CH474" t="str">
        <f>""</f>
        <v/>
      </c>
      <c r="CI474" t="str">
        <f>""</f>
        <v/>
      </c>
      <c r="CJ474" t="str">
        <f>""</f>
        <v/>
      </c>
      <c r="CK474" t="str">
        <f>""</f>
        <v/>
      </c>
      <c r="CL474" t="str">
        <f>""</f>
        <v/>
      </c>
      <c r="CM474" t="str">
        <f>""</f>
        <v/>
      </c>
      <c r="CN474" t="str">
        <f>""</f>
        <v/>
      </c>
      <c r="CO474" t="str">
        <f>""</f>
        <v/>
      </c>
      <c r="CP474" t="str">
        <f>""</f>
        <v/>
      </c>
      <c r="CQ474" t="str">
        <f>""</f>
        <v/>
      </c>
      <c r="CR474" t="str">
        <f>""</f>
        <v/>
      </c>
      <c r="CS474" t="str">
        <f>""</f>
        <v/>
      </c>
      <c r="CT474" t="str">
        <f>""</f>
        <v/>
      </c>
      <c r="CU474" t="str">
        <f>""</f>
        <v/>
      </c>
      <c r="CV474" t="str">
        <f>""</f>
        <v/>
      </c>
      <c r="CW474" t="str">
        <f>""</f>
        <v/>
      </c>
      <c r="CX474" t="str">
        <f>""</f>
        <v/>
      </c>
      <c r="CY474" t="str">
        <f>""</f>
        <v/>
      </c>
      <c r="CZ474" t="str">
        <f>""</f>
        <v/>
      </c>
      <c r="DA474" t="str">
        <f>""</f>
        <v/>
      </c>
      <c r="DB474" t="str">
        <f>""</f>
        <v/>
      </c>
      <c r="DC474" t="str">
        <f>""</f>
        <v/>
      </c>
      <c r="DD474" t="str">
        <f>""</f>
        <v/>
      </c>
      <c r="DE474" t="str">
        <f>""</f>
        <v/>
      </c>
      <c r="DF474" t="str">
        <f>""</f>
        <v/>
      </c>
      <c r="DG474" t="str">
        <f>""</f>
        <v/>
      </c>
      <c r="DH474" t="str">
        <f>""</f>
        <v/>
      </c>
      <c r="DI474" t="str">
        <f>""</f>
        <v/>
      </c>
      <c r="DJ474" t="str">
        <f>""</f>
        <v/>
      </c>
      <c r="DK474" t="str">
        <f>""</f>
        <v/>
      </c>
      <c r="DL474" t="str">
        <f>""</f>
        <v/>
      </c>
      <c r="DM474" t="str">
        <f>""</f>
        <v/>
      </c>
      <c r="DN474" t="str">
        <f>""</f>
        <v/>
      </c>
      <c r="DO474" t="str">
        <f>""</f>
        <v/>
      </c>
      <c r="DP474" t="str">
        <f>""</f>
        <v/>
      </c>
      <c r="DQ474" t="str">
        <f>""</f>
        <v/>
      </c>
      <c r="DR474" t="str">
        <f>""</f>
        <v/>
      </c>
      <c r="DS474" t="str">
        <f>""</f>
        <v/>
      </c>
      <c r="DT474" t="str">
        <f>""</f>
        <v/>
      </c>
      <c r="DU474" t="str">
        <f>""</f>
        <v/>
      </c>
    </row>
    <row r="475" spans="1:125">
      <c r="A475" t="str">
        <f>$A$14</f>
        <v xml:space="preserve">    Retail Properties of America I</v>
      </c>
      <c r="B475" t="str">
        <f>$B$14</f>
        <v>RPAI US Equity</v>
      </c>
      <c r="C475" t="str">
        <f>$C$14</f>
        <v>IS030</v>
      </c>
      <c r="D475" t="str">
        <f>$D$14</f>
        <v>IS_RENT_INC</v>
      </c>
      <c r="E475" t="str">
        <f>$E$14</f>
        <v>动态</v>
      </c>
      <c r="F475" t="str">
        <f ca="1">BDH($B$14,$C$14,$B$417,$B$418,CONCATENATE("Per=",$B$415),"Dts=H","Dir=H",CONCATENATE("Points=",$B$416),"Sort=R","Days=A","Fill=B",CONCATENATE("FX=", $B$414) )</f>
        <v>#N/A Authorization</v>
      </c>
      <c r="BN475" t="str">
        <f>""</f>
        <v/>
      </c>
      <c r="BO475" t="str">
        <f>""</f>
        <v/>
      </c>
      <c r="BP475" t="str">
        <f>""</f>
        <v/>
      </c>
      <c r="BQ475" t="str">
        <f>""</f>
        <v/>
      </c>
      <c r="BR475" t="str">
        <f>""</f>
        <v/>
      </c>
      <c r="BS475" t="str">
        <f>""</f>
        <v/>
      </c>
      <c r="BT475" t="str">
        <f>""</f>
        <v/>
      </c>
      <c r="BU475" t="str">
        <f>""</f>
        <v/>
      </c>
      <c r="BV475" t="str">
        <f>""</f>
        <v/>
      </c>
      <c r="BW475" t="str">
        <f>""</f>
        <v/>
      </c>
      <c r="BX475" t="str">
        <f>""</f>
        <v/>
      </c>
      <c r="BY475" t="str">
        <f>""</f>
        <v/>
      </c>
      <c r="BZ475" t="str">
        <f>""</f>
        <v/>
      </c>
      <c r="CA475" t="str">
        <f>""</f>
        <v/>
      </c>
      <c r="CB475" t="str">
        <f>""</f>
        <v/>
      </c>
      <c r="CC475" t="str">
        <f>""</f>
        <v/>
      </c>
      <c r="CD475" t="str">
        <f>""</f>
        <v/>
      </c>
      <c r="CE475" t="str">
        <f>""</f>
        <v/>
      </c>
      <c r="CF475" t="str">
        <f>""</f>
        <v/>
      </c>
      <c r="CG475" t="str">
        <f>""</f>
        <v/>
      </c>
      <c r="CH475" t="str">
        <f>""</f>
        <v/>
      </c>
      <c r="CI475" t="str">
        <f>""</f>
        <v/>
      </c>
      <c r="CJ475" t="str">
        <f>""</f>
        <v/>
      </c>
      <c r="CK475" t="str">
        <f>""</f>
        <v/>
      </c>
      <c r="CL475" t="str">
        <f>""</f>
        <v/>
      </c>
      <c r="CM475" t="str">
        <f>""</f>
        <v/>
      </c>
      <c r="CN475" t="str">
        <f>""</f>
        <v/>
      </c>
      <c r="CO475" t="str">
        <f>""</f>
        <v/>
      </c>
      <c r="CP475" t="str">
        <f>""</f>
        <v/>
      </c>
      <c r="CQ475" t="str">
        <f>""</f>
        <v/>
      </c>
      <c r="CR475" t="str">
        <f>""</f>
        <v/>
      </c>
      <c r="CS475" t="str">
        <f>""</f>
        <v/>
      </c>
      <c r="CT475" t="str">
        <f>""</f>
        <v/>
      </c>
      <c r="CU475" t="str">
        <f>""</f>
        <v/>
      </c>
      <c r="CV475" t="str">
        <f>""</f>
        <v/>
      </c>
      <c r="CW475" t="str">
        <f>""</f>
        <v/>
      </c>
      <c r="CX475" t="str">
        <f>""</f>
        <v/>
      </c>
      <c r="CY475" t="str">
        <f>""</f>
        <v/>
      </c>
      <c r="CZ475" t="str">
        <f>""</f>
        <v/>
      </c>
      <c r="DA475" t="str">
        <f>""</f>
        <v/>
      </c>
      <c r="DB475" t="str">
        <f>""</f>
        <v/>
      </c>
      <c r="DC475" t="str">
        <f>""</f>
        <v/>
      </c>
      <c r="DD475" t="str">
        <f>""</f>
        <v/>
      </c>
      <c r="DE475" t="str">
        <f>""</f>
        <v/>
      </c>
      <c r="DF475" t="str">
        <f>""</f>
        <v/>
      </c>
      <c r="DG475" t="str">
        <f>""</f>
        <v/>
      </c>
      <c r="DH475" t="str">
        <f>""</f>
        <v/>
      </c>
      <c r="DI475" t="str">
        <f>""</f>
        <v/>
      </c>
      <c r="DJ475" t="str">
        <f>""</f>
        <v/>
      </c>
      <c r="DK475" t="str">
        <f>""</f>
        <v/>
      </c>
      <c r="DL475" t="str">
        <f>""</f>
        <v/>
      </c>
      <c r="DM475" t="str">
        <f>""</f>
        <v/>
      </c>
      <c r="DN475" t="str">
        <f>""</f>
        <v/>
      </c>
      <c r="DO475" t="str">
        <f>""</f>
        <v/>
      </c>
      <c r="DP475" t="str">
        <f>""</f>
        <v/>
      </c>
      <c r="DQ475" t="str">
        <f>""</f>
        <v/>
      </c>
      <c r="DR475" t="str">
        <f>""</f>
        <v/>
      </c>
      <c r="DS475" t="str">
        <f>""</f>
        <v/>
      </c>
      <c r="DT475" t="str">
        <f>""</f>
        <v/>
      </c>
      <c r="DU475" t="str">
        <f>""</f>
        <v/>
      </c>
    </row>
    <row r="476" spans="1:125">
      <c r="A476" t="str">
        <f>$A$15</f>
        <v xml:space="preserve">    Simon Property Group Inc</v>
      </c>
      <c r="B476" t="str">
        <f>$B$15</f>
        <v>SPG US Equity</v>
      </c>
      <c r="C476" t="str">
        <f>$C$15</f>
        <v>IS030</v>
      </c>
      <c r="D476" t="str">
        <f>$D$15</f>
        <v>IS_RENT_INC</v>
      </c>
      <c r="E476" t="str">
        <f>$E$15</f>
        <v>动态</v>
      </c>
      <c r="F476" t="str">
        <f ca="1">BDH($B$15,$C$15,$B$417,$B$418,CONCATENATE("Per=",$B$415),"Dts=H","Dir=H",CONCATENATE("Points=",$B$416),"Sort=R","Days=A","Fill=B",CONCATENATE("FX=", $B$414) )</f>
        <v>#N/A Authorization</v>
      </c>
      <c r="BN476" t="str">
        <f>""</f>
        <v/>
      </c>
      <c r="BO476" t="str">
        <f>""</f>
        <v/>
      </c>
      <c r="BP476" t="str">
        <f>""</f>
        <v/>
      </c>
      <c r="BQ476" t="str">
        <f>""</f>
        <v/>
      </c>
      <c r="BR476" t="str">
        <f>""</f>
        <v/>
      </c>
      <c r="BS476" t="str">
        <f>""</f>
        <v/>
      </c>
      <c r="BT476" t="str">
        <f>""</f>
        <v/>
      </c>
      <c r="BU476" t="str">
        <f>""</f>
        <v/>
      </c>
      <c r="BV476" t="str">
        <f>""</f>
        <v/>
      </c>
      <c r="BW476" t="str">
        <f>""</f>
        <v/>
      </c>
      <c r="BX476" t="str">
        <f>""</f>
        <v/>
      </c>
      <c r="BY476" t="str">
        <f>""</f>
        <v/>
      </c>
      <c r="BZ476" t="str">
        <f>""</f>
        <v/>
      </c>
      <c r="CA476" t="str">
        <f>""</f>
        <v/>
      </c>
      <c r="CB476" t="str">
        <f>""</f>
        <v/>
      </c>
      <c r="CC476" t="str">
        <f>""</f>
        <v/>
      </c>
      <c r="CD476" t="str">
        <f>""</f>
        <v/>
      </c>
      <c r="CE476" t="str">
        <f>""</f>
        <v/>
      </c>
      <c r="CF476" t="str">
        <f>""</f>
        <v/>
      </c>
      <c r="CG476" t="str">
        <f>""</f>
        <v/>
      </c>
      <c r="CH476" t="str">
        <f>""</f>
        <v/>
      </c>
      <c r="CI476" t="str">
        <f>""</f>
        <v/>
      </c>
      <c r="CJ476" t="str">
        <f>""</f>
        <v/>
      </c>
      <c r="CK476" t="str">
        <f>""</f>
        <v/>
      </c>
      <c r="CL476" t="str">
        <f>""</f>
        <v/>
      </c>
      <c r="CM476" t="str">
        <f>""</f>
        <v/>
      </c>
      <c r="CN476" t="str">
        <f>""</f>
        <v/>
      </c>
      <c r="CO476" t="str">
        <f>""</f>
        <v/>
      </c>
      <c r="CP476" t="str">
        <f>""</f>
        <v/>
      </c>
      <c r="CQ476" t="str">
        <f>""</f>
        <v/>
      </c>
      <c r="CR476" t="str">
        <f>""</f>
        <v/>
      </c>
      <c r="CS476" t="str">
        <f>""</f>
        <v/>
      </c>
      <c r="CT476" t="str">
        <f>""</f>
        <v/>
      </c>
      <c r="CU476" t="str">
        <f>""</f>
        <v/>
      </c>
      <c r="CV476" t="str">
        <f>""</f>
        <v/>
      </c>
      <c r="CW476" t="str">
        <f>""</f>
        <v/>
      </c>
      <c r="CX476" t="str">
        <f>""</f>
        <v/>
      </c>
      <c r="CY476" t="str">
        <f>""</f>
        <v/>
      </c>
      <c r="CZ476" t="str">
        <f>""</f>
        <v/>
      </c>
      <c r="DA476" t="str">
        <f>""</f>
        <v/>
      </c>
      <c r="DB476" t="str">
        <f>""</f>
        <v/>
      </c>
      <c r="DC476" t="str">
        <f>""</f>
        <v/>
      </c>
      <c r="DD476" t="str">
        <f>""</f>
        <v/>
      </c>
      <c r="DE476" t="str">
        <f>""</f>
        <v/>
      </c>
      <c r="DF476" t="str">
        <f>""</f>
        <v/>
      </c>
      <c r="DG476" t="str">
        <f>""</f>
        <v/>
      </c>
      <c r="DH476" t="str">
        <f>""</f>
        <v/>
      </c>
      <c r="DI476" t="str">
        <f>""</f>
        <v/>
      </c>
      <c r="DJ476" t="str">
        <f>""</f>
        <v/>
      </c>
      <c r="DK476" t="str">
        <f>""</f>
        <v/>
      </c>
      <c r="DL476" t="str">
        <f>""</f>
        <v/>
      </c>
      <c r="DM476" t="str">
        <f>""</f>
        <v/>
      </c>
      <c r="DN476" t="str">
        <f>""</f>
        <v/>
      </c>
      <c r="DO476" t="str">
        <f>""</f>
        <v/>
      </c>
      <c r="DP476" t="str">
        <f>""</f>
        <v/>
      </c>
      <c r="DQ476" t="str">
        <f>""</f>
        <v/>
      </c>
      <c r="DR476" t="str">
        <f>""</f>
        <v/>
      </c>
      <c r="DS476" t="str">
        <f>""</f>
        <v/>
      </c>
      <c r="DT476" t="str">
        <f>""</f>
        <v/>
      </c>
      <c r="DU476" t="str">
        <f>""</f>
        <v/>
      </c>
    </row>
    <row r="477" spans="1:125">
      <c r="A477" t="str">
        <f>$A$16</f>
        <v xml:space="preserve">    Tanger Factory Outlet Centers</v>
      </c>
      <c r="B477" t="str">
        <f>$B$16</f>
        <v>SKT US Equity</v>
      </c>
      <c r="C477" t="str">
        <f>$C$16</f>
        <v>IS030</v>
      </c>
      <c r="D477" t="str">
        <f>$D$16</f>
        <v>IS_RENT_INC</v>
      </c>
      <c r="E477" t="str">
        <f>$E$16</f>
        <v>动态</v>
      </c>
      <c r="F477" t="str">
        <f ca="1">BDH($B$16,$C$16,$B$417,$B$418,CONCATENATE("Per=",$B$415),"Dts=H","Dir=H",CONCATENATE("Points=",$B$416),"Sort=R","Days=A","Fill=B",CONCATENATE("FX=", $B$414) )</f>
        <v>#N/A Authorization</v>
      </c>
      <c r="BN477" t="str">
        <f>""</f>
        <v/>
      </c>
      <c r="BO477" t="str">
        <f>""</f>
        <v/>
      </c>
      <c r="BP477" t="str">
        <f>""</f>
        <v/>
      </c>
      <c r="BQ477" t="str">
        <f>""</f>
        <v/>
      </c>
      <c r="BR477" t="str">
        <f>""</f>
        <v/>
      </c>
      <c r="BS477" t="str">
        <f>""</f>
        <v/>
      </c>
      <c r="BT477" t="str">
        <f>""</f>
        <v/>
      </c>
      <c r="BU477" t="str">
        <f>""</f>
        <v/>
      </c>
      <c r="BV477" t="str">
        <f>""</f>
        <v/>
      </c>
      <c r="BW477" t="str">
        <f>""</f>
        <v/>
      </c>
      <c r="BX477" t="str">
        <f>""</f>
        <v/>
      </c>
      <c r="BY477" t="str">
        <f>""</f>
        <v/>
      </c>
      <c r="BZ477" t="str">
        <f>""</f>
        <v/>
      </c>
      <c r="CA477" t="str">
        <f>""</f>
        <v/>
      </c>
      <c r="CB477" t="str">
        <f>""</f>
        <v/>
      </c>
      <c r="CC477" t="str">
        <f>""</f>
        <v/>
      </c>
      <c r="CD477" t="str">
        <f>""</f>
        <v/>
      </c>
      <c r="CE477" t="str">
        <f>""</f>
        <v/>
      </c>
      <c r="CF477" t="str">
        <f>""</f>
        <v/>
      </c>
      <c r="CG477" t="str">
        <f>""</f>
        <v/>
      </c>
      <c r="CH477" t="str">
        <f>""</f>
        <v/>
      </c>
      <c r="CI477" t="str">
        <f>""</f>
        <v/>
      </c>
      <c r="CJ477" t="str">
        <f>""</f>
        <v/>
      </c>
      <c r="CK477" t="str">
        <f>""</f>
        <v/>
      </c>
      <c r="CL477" t="str">
        <f>""</f>
        <v/>
      </c>
      <c r="CM477" t="str">
        <f>""</f>
        <v/>
      </c>
      <c r="CN477" t="str">
        <f>""</f>
        <v/>
      </c>
      <c r="CO477" t="str">
        <f>""</f>
        <v/>
      </c>
      <c r="CP477" t="str">
        <f>""</f>
        <v/>
      </c>
      <c r="CQ477" t="str">
        <f>""</f>
        <v/>
      </c>
      <c r="CR477" t="str">
        <f>""</f>
        <v/>
      </c>
      <c r="CS477" t="str">
        <f>""</f>
        <v/>
      </c>
      <c r="CT477" t="str">
        <f>""</f>
        <v/>
      </c>
      <c r="CU477" t="str">
        <f>""</f>
        <v/>
      </c>
      <c r="CV477" t="str">
        <f>""</f>
        <v/>
      </c>
      <c r="CW477" t="str">
        <f>""</f>
        <v/>
      </c>
      <c r="CX477" t="str">
        <f>""</f>
        <v/>
      </c>
      <c r="CY477" t="str">
        <f>""</f>
        <v/>
      </c>
      <c r="CZ477" t="str">
        <f>""</f>
        <v/>
      </c>
      <c r="DA477" t="str">
        <f>""</f>
        <v/>
      </c>
      <c r="DB477" t="str">
        <f>""</f>
        <v/>
      </c>
      <c r="DC477" t="str">
        <f>""</f>
        <v/>
      </c>
      <c r="DD477" t="str">
        <f>""</f>
        <v/>
      </c>
      <c r="DE477" t="str">
        <f>""</f>
        <v/>
      </c>
      <c r="DF477" t="str">
        <f>""</f>
        <v/>
      </c>
      <c r="DG477" t="str">
        <f>""</f>
        <v/>
      </c>
      <c r="DH477" t="str">
        <f>""</f>
        <v/>
      </c>
      <c r="DI477" t="str">
        <f>""</f>
        <v/>
      </c>
      <c r="DJ477" t="str">
        <f>""</f>
        <v/>
      </c>
      <c r="DK477" t="str">
        <f>""</f>
        <v/>
      </c>
      <c r="DL477" t="str">
        <f>""</f>
        <v/>
      </c>
      <c r="DM477" t="str">
        <f>""</f>
        <v/>
      </c>
      <c r="DN477" t="str">
        <f>""</f>
        <v/>
      </c>
      <c r="DO477" t="str">
        <f>""</f>
        <v/>
      </c>
      <c r="DP477" t="str">
        <f>""</f>
        <v/>
      </c>
      <c r="DQ477" t="str">
        <f>""</f>
        <v/>
      </c>
      <c r="DR477" t="str">
        <f>""</f>
        <v/>
      </c>
      <c r="DS477" t="str">
        <f>""</f>
        <v/>
      </c>
      <c r="DT477" t="str">
        <f>""</f>
        <v/>
      </c>
      <c r="DU477" t="str">
        <f>""</f>
        <v/>
      </c>
    </row>
    <row r="478" spans="1:125">
      <c r="A478" t="str">
        <f>$A$17</f>
        <v xml:space="preserve">    VEREIT Inc</v>
      </c>
      <c r="B478" t="str">
        <f>$B$17</f>
        <v>VER US Equity</v>
      </c>
      <c r="C478" t="str">
        <f>$C$17</f>
        <v>IS030</v>
      </c>
      <c r="D478" t="str">
        <f>$D$17</f>
        <v>IS_RENT_INC</v>
      </c>
      <c r="E478" t="str">
        <f>$E$17</f>
        <v>动态</v>
      </c>
      <c r="F478" t="str">
        <f ca="1">BDH($B$17,$C$17,$B$417,$B$418,CONCATENATE("Per=",$B$415),"Dts=H","Dir=H",CONCATENATE("Points=",$B$416),"Sort=R","Days=A","Fill=B",CONCATENATE("FX=", $B$414) )</f>
        <v>#N/A Authorization</v>
      </c>
      <c r="BN478" t="str">
        <f>""</f>
        <v/>
      </c>
      <c r="BO478" t="str">
        <f>""</f>
        <v/>
      </c>
      <c r="BP478" t="str">
        <f>""</f>
        <v/>
      </c>
      <c r="BQ478" t="str">
        <f>""</f>
        <v/>
      </c>
      <c r="BR478" t="str">
        <f>""</f>
        <v/>
      </c>
      <c r="BS478" t="str">
        <f>""</f>
        <v/>
      </c>
      <c r="BT478" t="str">
        <f>""</f>
        <v/>
      </c>
      <c r="BU478" t="str">
        <f>""</f>
        <v/>
      </c>
      <c r="BV478" t="str">
        <f>""</f>
        <v/>
      </c>
      <c r="BW478" t="str">
        <f>""</f>
        <v/>
      </c>
      <c r="BX478" t="str">
        <f>""</f>
        <v/>
      </c>
      <c r="BY478" t="str">
        <f>""</f>
        <v/>
      </c>
      <c r="BZ478" t="str">
        <f>""</f>
        <v/>
      </c>
      <c r="CA478" t="str">
        <f>""</f>
        <v/>
      </c>
      <c r="CB478" t="str">
        <f>""</f>
        <v/>
      </c>
      <c r="CC478" t="str">
        <f>""</f>
        <v/>
      </c>
      <c r="CD478" t="str">
        <f>""</f>
        <v/>
      </c>
      <c r="CE478" t="str">
        <f>""</f>
        <v/>
      </c>
      <c r="CF478" t="str">
        <f>""</f>
        <v/>
      </c>
      <c r="CG478" t="str">
        <f>""</f>
        <v/>
      </c>
      <c r="CH478" t="str">
        <f>""</f>
        <v/>
      </c>
      <c r="CI478" t="str">
        <f>""</f>
        <v/>
      </c>
      <c r="CJ478" t="str">
        <f>""</f>
        <v/>
      </c>
      <c r="CK478" t="str">
        <f>""</f>
        <v/>
      </c>
      <c r="CL478" t="str">
        <f>""</f>
        <v/>
      </c>
      <c r="CM478" t="str">
        <f>""</f>
        <v/>
      </c>
      <c r="CN478" t="str">
        <f>""</f>
        <v/>
      </c>
      <c r="CO478" t="str">
        <f>""</f>
        <v/>
      </c>
      <c r="CP478" t="str">
        <f>""</f>
        <v/>
      </c>
      <c r="CQ478" t="str">
        <f>""</f>
        <v/>
      </c>
      <c r="CR478" t="str">
        <f>""</f>
        <v/>
      </c>
      <c r="CS478" t="str">
        <f>""</f>
        <v/>
      </c>
      <c r="CT478" t="str">
        <f>""</f>
        <v/>
      </c>
      <c r="CU478" t="str">
        <f>""</f>
        <v/>
      </c>
      <c r="CV478" t="str">
        <f>""</f>
        <v/>
      </c>
      <c r="CW478" t="str">
        <f>""</f>
        <v/>
      </c>
      <c r="CX478" t="str">
        <f>""</f>
        <v/>
      </c>
      <c r="CY478" t="str">
        <f>""</f>
        <v/>
      </c>
      <c r="CZ478" t="str">
        <f>""</f>
        <v/>
      </c>
      <c r="DA478" t="str">
        <f>""</f>
        <v/>
      </c>
      <c r="DB478" t="str">
        <f>""</f>
        <v/>
      </c>
      <c r="DC478" t="str">
        <f>""</f>
        <v/>
      </c>
      <c r="DD478" t="str">
        <f>""</f>
        <v/>
      </c>
      <c r="DE478" t="str">
        <f>""</f>
        <v/>
      </c>
      <c r="DF478" t="str">
        <f>""</f>
        <v/>
      </c>
      <c r="DG478" t="str">
        <f>""</f>
        <v/>
      </c>
      <c r="DH478" t="str">
        <f>""</f>
        <v/>
      </c>
      <c r="DI478" t="str">
        <f>""</f>
        <v/>
      </c>
      <c r="DJ478" t="str">
        <f>""</f>
        <v/>
      </c>
      <c r="DK478" t="str">
        <f>""</f>
        <v/>
      </c>
      <c r="DL478" t="str">
        <f>""</f>
        <v/>
      </c>
      <c r="DM478" t="str">
        <f>""</f>
        <v/>
      </c>
      <c r="DN478" t="str">
        <f>""</f>
        <v/>
      </c>
      <c r="DO478" t="str">
        <f>""</f>
        <v/>
      </c>
      <c r="DP478" t="str">
        <f>""</f>
        <v/>
      </c>
      <c r="DQ478" t="str">
        <f>""</f>
        <v/>
      </c>
      <c r="DR478" t="str">
        <f>""</f>
        <v/>
      </c>
      <c r="DS478" t="str">
        <f>""</f>
        <v/>
      </c>
      <c r="DT478" t="str">
        <f>""</f>
        <v/>
      </c>
      <c r="DU478" t="str">
        <f>""</f>
        <v/>
      </c>
    </row>
    <row r="479" spans="1:125">
      <c r="A479" t="str">
        <f>$A$18</f>
        <v xml:space="preserve">    Washington Prime Group Inc</v>
      </c>
      <c r="B479" t="str">
        <f>$B$18</f>
        <v>WPG US Equity</v>
      </c>
      <c r="C479" t="str">
        <f>$C$18</f>
        <v>IS030</v>
      </c>
      <c r="D479" t="str">
        <f>$D$18</f>
        <v>IS_RENT_INC</v>
      </c>
      <c r="E479" t="str">
        <f>$E$18</f>
        <v>动态</v>
      </c>
      <c r="F479" t="str">
        <f ca="1">BDH($B$18,$C$18,$B$417,$B$418,CONCATENATE("Per=",$B$415),"Dts=H","Dir=H",CONCATENATE("Points=",$B$416),"Sort=R","Days=A","Fill=B",CONCATENATE("FX=", $B$414) )</f>
        <v>#N/A Authorization</v>
      </c>
      <c r="BN479" t="str">
        <f>""</f>
        <v/>
      </c>
      <c r="BO479" t="str">
        <f>""</f>
        <v/>
      </c>
      <c r="BP479" t="str">
        <f>""</f>
        <v/>
      </c>
      <c r="BQ479" t="str">
        <f>""</f>
        <v/>
      </c>
      <c r="BR479" t="str">
        <f>""</f>
        <v/>
      </c>
      <c r="BS479" t="str">
        <f>""</f>
        <v/>
      </c>
      <c r="BT479" t="str">
        <f>""</f>
        <v/>
      </c>
      <c r="BU479" t="str">
        <f>""</f>
        <v/>
      </c>
      <c r="BV479" t="str">
        <f>""</f>
        <v/>
      </c>
      <c r="BW479" t="str">
        <f>""</f>
        <v/>
      </c>
      <c r="BX479" t="str">
        <f>""</f>
        <v/>
      </c>
      <c r="BY479" t="str">
        <f>""</f>
        <v/>
      </c>
      <c r="BZ479" t="str">
        <f>""</f>
        <v/>
      </c>
      <c r="CA479" t="str">
        <f>""</f>
        <v/>
      </c>
      <c r="CB479" t="str">
        <f>""</f>
        <v/>
      </c>
      <c r="CC479" t="str">
        <f>""</f>
        <v/>
      </c>
      <c r="CD479" t="str">
        <f>""</f>
        <v/>
      </c>
      <c r="CE479" t="str">
        <f>""</f>
        <v/>
      </c>
      <c r="CF479" t="str">
        <f>""</f>
        <v/>
      </c>
      <c r="CG479" t="str">
        <f>""</f>
        <v/>
      </c>
      <c r="CH479" t="str">
        <f>""</f>
        <v/>
      </c>
      <c r="CI479" t="str">
        <f>""</f>
        <v/>
      </c>
      <c r="CJ479" t="str">
        <f>""</f>
        <v/>
      </c>
      <c r="CK479" t="str">
        <f>""</f>
        <v/>
      </c>
      <c r="CL479" t="str">
        <f>""</f>
        <v/>
      </c>
      <c r="CM479" t="str">
        <f>""</f>
        <v/>
      </c>
      <c r="CN479" t="str">
        <f>""</f>
        <v/>
      </c>
      <c r="CO479" t="str">
        <f>""</f>
        <v/>
      </c>
      <c r="CP479" t="str">
        <f>""</f>
        <v/>
      </c>
      <c r="CQ479" t="str">
        <f>""</f>
        <v/>
      </c>
      <c r="CR479" t="str">
        <f>""</f>
        <v/>
      </c>
      <c r="CS479" t="str">
        <f>""</f>
        <v/>
      </c>
      <c r="CT479" t="str">
        <f>""</f>
        <v/>
      </c>
      <c r="CU479" t="str">
        <f>""</f>
        <v/>
      </c>
      <c r="CV479" t="str">
        <f>""</f>
        <v/>
      </c>
      <c r="CW479" t="str">
        <f>""</f>
        <v/>
      </c>
      <c r="CX479" t="str">
        <f>""</f>
        <v/>
      </c>
      <c r="CY479" t="str">
        <f>""</f>
        <v/>
      </c>
      <c r="CZ479" t="str">
        <f>""</f>
        <v/>
      </c>
      <c r="DA479" t="str">
        <f>""</f>
        <v/>
      </c>
      <c r="DB479" t="str">
        <f>""</f>
        <v/>
      </c>
      <c r="DC479" t="str">
        <f>""</f>
        <v/>
      </c>
      <c r="DD479" t="str">
        <f>""</f>
        <v/>
      </c>
      <c r="DE479" t="str">
        <f>""</f>
        <v/>
      </c>
      <c r="DF479" t="str">
        <f>""</f>
        <v/>
      </c>
      <c r="DG479" t="str">
        <f>""</f>
        <v/>
      </c>
      <c r="DH479" t="str">
        <f>""</f>
        <v/>
      </c>
      <c r="DI479" t="str">
        <f>""</f>
        <v/>
      </c>
      <c r="DJ479" t="str">
        <f>""</f>
        <v/>
      </c>
      <c r="DK479" t="str">
        <f>""</f>
        <v/>
      </c>
      <c r="DL479" t="str">
        <f>""</f>
        <v/>
      </c>
      <c r="DM479" t="str">
        <f>""</f>
        <v/>
      </c>
      <c r="DN479" t="str">
        <f>""</f>
        <v/>
      </c>
      <c r="DO479" t="str">
        <f>""</f>
        <v/>
      </c>
      <c r="DP479" t="str">
        <f>""</f>
        <v/>
      </c>
      <c r="DQ479" t="str">
        <f>""</f>
        <v/>
      </c>
      <c r="DR479" t="str">
        <f>""</f>
        <v/>
      </c>
      <c r="DS479" t="str">
        <f>""</f>
        <v/>
      </c>
      <c r="DT479" t="str">
        <f>""</f>
        <v/>
      </c>
      <c r="DU479" t="str">
        <f>""</f>
        <v/>
      </c>
    </row>
    <row r="480" spans="1:125">
      <c r="A480" t="str">
        <f>$A$19</f>
        <v xml:space="preserve">    Weingarten Realty Investors</v>
      </c>
      <c r="B480" t="str">
        <f>$B$19</f>
        <v>WRI US Equity</v>
      </c>
      <c r="C480" t="str">
        <f>$C$19</f>
        <v>IS030</v>
      </c>
      <c r="D480" t="str">
        <f>$D$19</f>
        <v>IS_RENT_INC</v>
      </c>
      <c r="E480" t="str">
        <f>$E$19</f>
        <v>动态</v>
      </c>
      <c r="F480" t="str">
        <f ca="1">BDH($B$19,$C$19,$B$417,$B$418,CONCATENATE("Per=",$B$415),"Dts=H","Dir=H",CONCATENATE("Points=",$B$416),"Sort=R","Days=A","Fill=B",CONCATENATE("FX=", $B$414) )</f>
        <v>#N/A Authorization</v>
      </c>
      <c r="BN480" t="str">
        <f>""</f>
        <v/>
      </c>
      <c r="BO480" t="str">
        <f>""</f>
        <v/>
      </c>
      <c r="BP480" t="str">
        <f>""</f>
        <v/>
      </c>
      <c r="BQ480" t="str">
        <f>""</f>
        <v/>
      </c>
      <c r="BR480" t="str">
        <f>""</f>
        <v/>
      </c>
      <c r="BS480" t="str">
        <f>""</f>
        <v/>
      </c>
      <c r="BT480" t="str">
        <f>""</f>
        <v/>
      </c>
      <c r="BU480" t="str">
        <f>""</f>
        <v/>
      </c>
      <c r="BV480" t="str">
        <f>""</f>
        <v/>
      </c>
      <c r="BW480" t="str">
        <f>""</f>
        <v/>
      </c>
      <c r="BX480" t="str">
        <f>""</f>
        <v/>
      </c>
      <c r="BY480" t="str">
        <f>""</f>
        <v/>
      </c>
      <c r="BZ480" t="str">
        <f>""</f>
        <v/>
      </c>
      <c r="CA480" t="str">
        <f>""</f>
        <v/>
      </c>
      <c r="CB480" t="str">
        <f>""</f>
        <v/>
      </c>
      <c r="CC480" t="str">
        <f>""</f>
        <v/>
      </c>
      <c r="CD480" t="str">
        <f>""</f>
        <v/>
      </c>
      <c r="CE480" t="str">
        <f>""</f>
        <v/>
      </c>
      <c r="CF480" t="str">
        <f>""</f>
        <v/>
      </c>
      <c r="CG480" t="str">
        <f>""</f>
        <v/>
      </c>
      <c r="CH480" t="str">
        <f>""</f>
        <v/>
      </c>
      <c r="CI480" t="str">
        <f>""</f>
        <v/>
      </c>
      <c r="CJ480" t="str">
        <f>""</f>
        <v/>
      </c>
      <c r="CK480" t="str">
        <f>""</f>
        <v/>
      </c>
      <c r="CL480" t="str">
        <f>""</f>
        <v/>
      </c>
      <c r="CM480" t="str">
        <f>""</f>
        <v/>
      </c>
      <c r="CN480" t="str">
        <f>""</f>
        <v/>
      </c>
      <c r="CO480" t="str">
        <f>""</f>
        <v/>
      </c>
      <c r="CP480" t="str">
        <f>""</f>
        <v/>
      </c>
      <c r="CQ480" t="str">
        <f>""</f>
        <v/>
      </c>
      <c r="CR480" t="str">
        <f>""</f>
        <v/>
      </c>
      <c r="CS480" t="str">
        <f>""</f>
        <v/>
      </c>
      <c r="CT480" t="str">
        <f>""</f>
        <v/>
      </c>
      <c r="CU480" t="str">
        <f>""</f>
        <v/>
      </c>
      <c r="CV480" t="str">
        <f>""</f>
        <v/>
      </c>
      <c r="CW480" t="str">
        <f>""</f>
        <v/>
      </c>
      <c r="CX480" t="str">
        <f>""</f>
        <v/>
      </c>
      <c r="CY480" t="str">
        <f>""</f>
        <v/>
      </c>
      <c r="CZ480" t="str">
        <f>""</f>
        <v/>
      </c>
      <c r="DA480" t="str">
        <f>""</f>
        <v/>
      </c>
      <c r="DB480" t="str">
        <f>""</f>
        <v/>
      </c>
      <c r="DC480" t="str">
        <f>""</f>
        <v/>
      </c>
      <c r="DD480" t="str">
        <f>""</f>
        <v/>
      </c>
      <c r="DE480" t="str">
        <f>""</f>
        <v/>
      </c>
      <c r="DF480" t="str">
        <f>""</f>
        <v/>
      </c>
      <c r="DG480" t="str">
        <f>""</f>
        <v/>
      </c>
      <c r="DH480" t="str">
        <f>""</f>
        <v/>
      </c>
      <c r="DI480" t="str">
        <f>""</f>
        <v/>
      </c>
      <c r="DJ480" t="str">
        <f>""</f>
        <v/>
      </c>
      <c r="DK480" t="str">
        <f>""</f>
        <v/>
      </c>
      <c r="DL480" t="str">
        <f>""</f>
        <v/>
      </c>
      <c r="DM480" t="str">
        <f>""</f>
        <v/>
      </c>
      <c r="DN480" t="str">
        <f>""</f>
        <v/>
      </c>
      <c r="DO480" t="str">
        <f>""</f>
        <v/>
      </c>
      <c r="DP480" t="str">
        <f>""</f>
        <v/>
      </c>
      <c r="DQ480" t="str">
        <f>""</f>
        <v/>
      </c>
      <c r="DR480" t="str">
        <f>""</f>
        <v/>
      </c>
      <c r="DS480" t="str">
        <f>""</f>
        <v/>
      </c>
      <c r="DT480" t="str">
        <f>""</f>
        <v/>
      </c>
      <c r="DU480" t="str">
        <f>""</f>
        <v/>
      </c>
    </row>
    <row r="481" spans="1:125">
      <c r="A481" t="str">
        <f>$A$21</f>
        <v xml:space="preserve">    Brixmor Property Group Inc</v>
      </c>
      <c r="B481" t="str">
        <f>$B$21</f>
        <v>BRX US Equity</v>
      </c>
      <c r="C481" t="str">
        <f>$C$21</f>
        <v>IM275</v>
      </c>
      <c r="D481" t="str">
        <f>$D$21</f>
        <v>IS_OTHER_RENTAL_INCOME</v>
      </c>
      <c r="E481" t="str">
        <f>$E$21</f>
        <v>动态</v>
      </c>
      <c r="F481" t="str">
        <f ca="1">BDH($B$21,$C$21,$B$417,$B$418,CONCATENATE("Per=",$B$415),"Dts=H","Dir=H",CONCATENATE("Points=",$B$416),"Sort=R","Days=A","Fill=B",CONCATENATE("FX=", $B$414) )</f>
        <v>#N/A Authorization</v>
      </c>
      <c r="BN481" t="str">
        <f>""</f>
        <v/>
      </c>
      <c r="BO481" t="str">
        <f>""</f>
        <v/>
      </c>
      <c r="BP481" t="str">
        <f>""</f>
        <v/>
      </c>
      <c r="BQ481" t="str">
        <f>""</f>
        <v/>
      </c>
      <c r="BR481" t="str">
        <f>""</f>
        <v/>
      </c>
      <c r="BS481" t="str">
        <f>""</f>
        <v/>
      </c>
      <c r="BT481" t="str">
        <f>""</f>
        <v/>
      </c>
      <c r="BU481" t="str">
        <f>""</f>
        <v/>
      </c>
      <c r="BV481" t="str">
        <f>""</f>
        <v/>
      </c>
      <c r="BW481" t="str">
        <f>""</f>
        <v/>
      </c>
      <c r="BX481" t="str">
        <f>""</f>
        <v/>
      </c>
      <c r="BY481" t="str">
        <f>""</f>
        <v/>
      </c>
      <c r="BZ481" t="str">
        <f>""</f>
        <v/>
      </c>
      <c r="CA481" t="str">
        <f>""</f>
        <v/>
      </c>
      <c r="CB481" t="str">
        <f>""</f>
        <v/>
      </c>
      <c r="CC481" t="str">
        <f>""</f>
        <v/>
      </c>
      <c r="CD481" t="str">
        <f>""</f>
        <v/>
      </c>
      <c r="CE481" t="str">
        <f>""</f>
        <v/>
      </c>
      <c r="CF481" t="str">
        <f>""</f>
        <v/>
      </c>
      <c r="CG481" t="str">
        <f>""</f>
        <v/>
      </c>
      <c r="CH481" t="str">
        <f>""</f>
        <v/>
      </c>
      <c r="CI481" t="str">
        <f>""</f>
        <v/>
      </c>
      <c r="CJ481" t="str">
        <f>""</f>
        <v/>
      </c>
      <c r="CK481" t="str">
        <f>""</f>
        <v/>
      </c>
      <c r="CL481" t="str">
        <f>""</f>
        <v/>
      </c>
      <c r="CM481" t="str">
        <f>""</f>
        <v/>
      </c>
      <c r="CN481" t="str">
        <f>""</f>
        <v/>
      </c>
      <c r="CO481" t="str">
        <f>""</f>
        <v/>
      </c>
      <c r="CP481" t="str">
        <f>""</f>
        <v/>
      </c>
      <c r="CQ481" t="str">
        <f>""</f>
        <v/>
      </c>
      <c r="CR481" t="str">
        <f>""</f>
        <v/>
      </c>
      <c r="CS481" t="str">
        <f>""</f>
        <v/>
      </c>
      <c r="CT481" t="str">
        <f>""</f>
        <v/>
      </c>
      <c r="CU481" t="str">
        <f>""</f>
        <v/>
      </c>
      <c r="CV481" t="str">
        <f>""</f>
        <v/>
      </c>
      <c r="CW481" t="str">
        <f>""</f>
        <v/>
      </c>
      <c r="CX481" t="str">
        <f>""</f>
        <v/>
      </c>
      <c r="CY481" t="str">
        <f>""</f>
        <v/>
      </c>
      <c r="CZ481" t="str">
        <f>""</f>
        <v/>
      </c>
      <c r="DA481" t="str">
        <f>""</f>
        <v/>
      </c>
      <c r="DB481" t="str">
        <f>""</f>
        <v/>
      </c>
      <c r="DC481" t="str">
        <f>""</f>
        <v/>
      </c>
      <c r="DD481" t="str">
        <f>""</f>
        <v/>
      </c>
      <c r="DE481" t="str">
        <f>""</f>
        <v/>
      </c>
      <c r="DF481" t="str">
        <f>""</f>
        <v/>
      </c>
      <c r="DG481" t="str">
        <f>""</f>
        <v/>
      </c>
      <c r="DH481" t="str">
        <f>""</f>
        <v/>
      </c>
      <c r="DI481" t="str">
        <f>""</f>
        <v/>
      </c>
      <c r="DJ481" t="str">
        <f>""</f>
        <v/>
      </c>
      <c r="DK481" t="str">
        <f>""</f>
        <v/>
      </c>
      <c r="DL481" t="str">
        <f>""</f>
        <v/>
      </c>
      <c r="DM481" t="str">
        <f>""</f>
        <v/>
      </c>
      <c r="DN481" t="str">
        <f>""</f>
        <v/>
      </c>
      <c r="DO481" t="str">
        <f>""</f>
        <v/>
      </c>
      <c r="DP481" t="str">
        <f>""</f>
        <v/>
      </c>
      <c r="DQ481" t="str">
        <f>""</f>
        <v/>
      </c>
      <c r="DR481" t="str">
        <f>""</f>
        <v/>
      </c>
      <c r="DS481" t="str">
        <f>""</f>
        <v/>
      </c>
      <c r="DT481" t="str">
        <f>""</f>
        <v/>
      </c>
      <c r="DU481" t="str">
        <f>""</f>
        <v/>
      </c>
    </row>
    <row r="482" spans="1:125">
      <c r="A482" t="str">
        <f>$A$22</f>
        <v xml:space="preserve">    CBL &amp; Associates Properties In</v>
      </c>
      <c r="B482" t="str">
        <f>$B$22</f>
        <v>CBL US Equity</v>
      </c>
      <c r="C482" t="str">
        <f>$C$22</f>
        <v>IM275</v>
      </c>
      <c r="D482" t="str">
        <f>$D$22</f>
        <v>IS_OTHER_RENTAL_INCOME</v>
      </c>
      <c r="E482" t="str">
        <f>$E$22</f>
        <v>动态</v>
      </c>
      <c r="F482" t="str">
        <f ca="1">BDH($B$22,$C$22,$B$417,$B$418,CONCATENATE("Per=",$B$415),"Dts=H","Dir=H",CONCATENATE("Points=",$B$416),"Sort=R","Days=A","Fill=B",CONCATENATE("FX=", $B$414) )</f>
        <v>#N/A Authorization</v>
      </c>
      <c r="BN482" t="str">
        <f>""</f>
        <v/>
      </c>
      <c r="BO482" t="str">
        <f>""</f>
        <v/>
      </c>
      <c r="BP482" t="str">
        <f>""</f>
        <v/>
      </c>
      <c r="BQ482" t="str">
        <f>""</f>
        <v/>
      </c>
      <c r="BR482" t="str">
        <f>""</f>
        <v/>
      </c>
      <c r="BS482" t="str">
        <f>""</f>
        <v/>
      </c>
      <c r="BT482" t="str">
        <f>""</f>
        <v/>
      </c>
      <c r="BU482" t="str">
        <f>""</f>
        <v/>
      </c>
      <c r="BV482" t="str">
        <f>""</f>
        <v/>
      </c>
      <c r="BW482" t="str">
        <f>""</f>
        <v/>
      </c>
      <c r="BX482" t="str">
        <f>""</f>
        <v/>
      </c>
      <c r="BY482" t="str">
        <f>""</f>
        <v/>
      </c>
      <c r="BZ482" t="str">
        <f>""</f>
        <v/>
      </c>
      <c r="CA482" t="str">
        <f>""</f>
        <v/>
      </c>
      <c r="CB482" t="str">
        <f>""</f>
        <v/>
      </c>
      <c r="CC482" t="str">
        <f>""</f>
        <v/>
      </c>
      <c r="CD482" t="str">
        <f>""</f>
        <v/>
      </c>
      <c r="CE482" t="str">
        <f>""</f>
        <v/>
      </c>
      <c r="CF482" t="str">
        <f>""</f>
        <v/>
      </c>
      <c r="CG482" t="str">
        <f>""</f>
        <v/>
      </c>
      <c r="CH482" t="str">
        <f>""</f>
        <v/>
      </c>
      <c r="CI482" t="str">
        <f>""</f>
        <v/>
      </c>
      <c r="CJ482" t="str">
        <f>""</f>
        <v/>
      </c>
      <c r="CK482" t="str">
        <f>""</f>
        <v/>
      </c>
      <c r="CL482" t="str">
        <f>""</f>
        <v/>
      </c>
      <c r="CM482" t="str">
        <f>""</f>
        <v/>
      </c>
      <c r="CN482" t="str">
        <f>""</f>
        <v/>
      </c>
      <c r="CO482" t="str">
        <f>""</f>
        <v/>
      </c>
      <c r="CP482" t="str">
        <f>""</f>
        <v/>
      </c>
      <c r="CQ482" t="str">
        <f>""</f>
        <v/>
      </c>
      <c r="CR482" t="str">
        <f>""</f>
        <v/>
      </c>
      <c r="CS482" t="str">
        <f>""</f>
        <v/>
      </c>
      <c r="CT482" t="str">
        <f>""</f>
        <v/>
      </c>
      <c r="CU482" t="str">
        <f>""</f>
        <v/>
      </c>
      <c r="CV482" t="str">
        <f>""</f>
        <v/>
      </c>
      <c r="CW482" t="str">
        <f>""</f>
        <v/>
      </c>
      <c r="CX482" t="str">
        <f>""</f>
        <v/>
      </c>
      <c r="CY482" t="str">
        <f>""</f>
        <v/>
      </c>
      <c r="CZ482" t="str">
        <f>""</f>
        <v/>
      </c>
      <c r="DA482" t="str">
        <f>""</f>
        <v/>
      </c>
      <c r="DB482" t="str">
        <f>""</f>
        <v/>
      </c>
      <c r="DC482" t="str">
        <f>""</f>
        <v/>
      </c>
      <c r="DD482" t="str">
        <f>""</f>
        <v/>
      </c>
      <c r="DE482" t="str">
        <f>""</f>
        <v/>
      </c>
      <c r="DF482" t="str">
        <f>""</f>
        <v/>
      </c>
      <c r="DG482" t="str">
        <f>""</f>
        <v/>
      </c>
      <c r="DH482" t="str">
        <f>""</f>
        <v/>
      </c>
      <c r="DI482" t="str">
        <f>""</f>
        <v/>
      </c>
      <c r="DJ482" t="str">
        <f>""</f>
        <v/>
      </c>
      <c r="DK482" t="str">
        <f>""</f>
        <v/>
      </c>
      <c r="DL482" t="str">
        <f>""</f>
        <v/>
      </c>
      <c r="DM482" t="str">
        <f>""</f>
        <v/>
      </c>
      <c r="DN482" t="str">
        <f>""</f>
        <v/>
      </c>
      <c r="DO482" t="str">
        <f>""</f>
        <v/>
      </c>
      <c r="DP482" t="str">
        <f>""</f>
        <v/>
      </c>
      <c r="DQ482" t="str">
        <f>""</f>
        <v/>
      </c>
      <c r="DR482" t="str">
        <f>""</f>
        <v/>
      </c>
      <c r="DS482" t="str">
        <f>""</f>
        <v/>
      </c>
      <c r="DT482" t="str">
        <f>""</f>
        <v/>
      </c>
      <c r="DU482" t="str">
        <f>""</f>
        <v/>
      </c>
    </row>
    <row r="483" spans="1:125">
      <c r="A483" t="str">
        <f>$A$23</f>
        <v xml:space="preserve">    DDR Corp</v>
      </c>
      <c r="B483" t="str">
        <f>$B$23</f>
        <v>DDR US Equity</v>
      </c>
      <c r="C483" t="str">
        <f>$C$23</f>
        <v>IM275</v>
      </c>
      <c r="D483" t="str">
        <f>$D$23</f>
        <v>IS_OTHER_RENTAL_INCOME</v>
      </c>
      <c r="E483" t="str">
        <f>$E$23</f>
        <v>动态</v>
      </c>
      <c r="F483" t="str">
        <f ca="1">BDH($B$23,$C$23,$B$417,$B$418,CONCATENATE("Per=",$B$415),"Dts=H","Dir=H",CONCATENATE("Points=",$B$416),"Sort=R","Days=A","Fill=B",CONCATENATE("FX=", $B$414) )</f>
        <v>#N/A Authorization</v>
      </c>
      <c r="BN483" t="str">
        <f>""</f>
        <v/>
      </c>
      <c r="BO483" t="str">
        <f>""</f>
        <v/>
      </c>
      <c r="BP483" t="str">
        <f>""</f>
        <v/>
      </c>
      <c r="BQ483" t="str">
        <f>""</f>
        <v/>
      </c>
      <c r="BR483" t="str">
        <f>""</f>
        <v/>
      </c>
      <c r="BS483" t="str">
        <f>""</f>
        <v/>
      </c>
      <c r="BT483" t="str">
        <f>""</f>
        <v/>
      </c>
      <c r="BU483" t="str">
        <f>""</f>
        <v/>
      </c>
      <c r="BV483" t="str">
        <f>""</f>
        <v/>
      </c>
      <c r="BW483" t="str">
        <f>""</f>
        <v/>
      </c>
      <c r="BX483" t="str">
        <f>""</f>
        <v/>
      </c>
      <c r="BY483" t="str">
        <f>""</f>
        <v/>
      </c>
      <c r="BZ483" t="str">
        <f>""</f>
        <v/>
      </c>
      <c r="CA483" t="str">
        <f>""</f>
        <v/>
      </c>
      <c r="CB483" t="str">
        <f>""</f>
        <v/>
      </c>
      <c r="CC483" t="str">
        <f>""</f>
        <v/>
      </c>
      <c r="CD483" t="str">
        <f>""</f>
        <v/>
      </c>
      <c r="CE483" t="str">
        <f>""</f>
        <v/>
      </c>
      <c r="CF483" t="str">
        <f>""</f>
        <v/>
      </c>
      <c r="CG483" t="str">
        <f>""</f>
        <v/>
      </c>
      <c r="CH483" t="str">
        <f>""</f>
        <v/>
      </c>
      <c r="CI483" t="str">
        <f>""</f>
        <v/>
      </c>
      <c r="CJ483" t="str">
        <f>""</f>
        <v/>
      </c>
      <c r="CK483" t="str">
        <f>""</f>
        <v/>
      </c>
      <c r="CL483" t="str">
        <f>""</f>
        <v/>
      </c>
      <c r="CM483" t="str">
        <f>""</f>
        <v/>
      </c>
      <c r="CN483" t="str">
        <f>""</f>
        <v/>
      </c>
      <c r="CO483" t="str">
        <f>""</f>
        <v/>
      </c>
      <c r="CP483" t="str">
        <f>""</f>
        <v/>
      </c>
      <c r="CQ483" t="str">
        <f>""</f>
        <v/>
      </c>
      <c r="CR483" t="str">
        <f>""</f>
        <v/>
      </c>
      <c r="CS483" t="str">
        <f>""</f>
        <v/>
      </c>
      <c r="CT483" t="str">
        <f>""</f>
        <v/>
      </c>
      <c r="CU483" t="str">
        <f>""</f>
        <v/>
      </c>
      <c r="CV483" t="str">
        <f>""</f>
        <v/>
      </c>
      <c r="CW483" t="str">
        <f>""</f>
        <v/>
      </c>
      <c r="CX483" t="str">
        <f>""</f>
        <v/>
      </c>
      <c r="CY483" t="str">
        <f>""</f>
        <v/>
      </c>
      <c r="CZ483" t="str">
        <f>""</f>
        <v/>
      </c>
      <c r="DA483" t="str">
        <f>""</f>
        <v/>
      </c>
      <c r="DB483" t="str">
        <f>""</f>
        <v/>
      </c>
      <c r="DC483" t="str">
        <f>""</f>
        <v/>
      </c>
      <c r="DD483" t="str">
        <f>""</f>
        <v/>
      </c>
      <c r="DE483" t="str">
        <f>""</f>
        <v/>
      </c>
      <c r="DF483" t="str">
        <f>""</f>
        <v/>
      </c>
      <c r="DG483" t="str">
        <f>""</f>
        <v/>
      </c>
      <c r="DH483" t="str">
        <f>""</f>
        <v/>
      </c>
      <c r="DI483" t="str">
        <f>""</f>
        <v/>
      </c>
      <c r="DJ483" t="str">
        <f>""</f>
        <v/>
      </c>
      <c r="DK483" t="str">
        <f>""</f>
        <v/>
      </c>
      <c r="DL483" t="str">
        <f>""</f>
        <v/>
      </c>
      <c r="DM483" t="str">
        <f>""</f>
        <v/>
      </c>
      <c r="DN483" t="str">
        <f>""</f>
        <v/>
      </c>
      <c r="DO483" t="str">
        <f>""</f>
        <v/>
      </c>
      <c r="DP483" t="str">
        <f>""</f>
        <v/>
      </c>
      <c r="DQ483" t="str">
        <f>""</f>
        <v/>
      </c>
      <c r="DR483" t="str">
        <f>""</f>
        <v/>
      </c>
      <c r="DS483" t="str">
        <f>""</f>
        <v/>
      </c>
      <c r="DT483" t="str">
        <f>""</f>
        <v/>
      </c>
      <c r="DU483" t="str">
        <f>""</f>
        <v/>
      </c>
    </row>
    <row r="484" spans="1:125">
      <c r="A484" t="str">
        <f>$A$24</f>
        <v xml:space="preserve">    Federal Realty Investment Trus</v>
      </c>
      <c r="B484" t="str">
        <f>$B$24</f>
        <v>FRT US Equity</v>
      </c>
      <c r="C484" t="str">
        <f>$C$24</f>
        <v>IM275</v>
      </c>
      <c r="D484" t="str">
        <f>$D$24</f>
        <v>IS_OTHER_RENTAL_INCOME</v>
      </c>
      <c r="E484" t="str">
        <f>$E$24</f>
        <v>动态</v>
      </c>
      <c r="F484" t="str">
        <f ca="1">BDH($B$24,$C$24,$B$417,$B$418,CONCATENATE("Per=",$B$415),"Dts=H","Dir=H",CONCATENATE("Points=",$B$416),"Sort=R","Days=A","Fill=B",CONCATENATE("FX=", $B$414) )</f>
        <v>#N/A Authorization</v>
      </c>
      <c r="BN484" t="str">
        <f>""</f>
        <v/>
      </c>
      <c r="BO484" t="str">
        <f>""</f>
        <v/>
      </c>
      <c r="BP484" t="str">
        <f>""</f>
        <v/>
      </c>
      <c r="BQ484" t="str">
        <f>""</f>
        <v/>
      </c>
      <c r="BR484" t="str">
        <f>""</f>
        <v/>
      </c>
      <c r="BS484" t="str">
        <f>""</f>
        <v/>
      </c>
      <c r="BT484" t="str">
        <f>""</f>
        <v/>
      </c>
      <c r="BU484" t="str">
        <f>""</f>
        <v/>
      </c>
      <c r="BV484" t="str">
        <f>""</f>
        <v/>
      </c>
      <c r="BW484" t="str">
        <f>""</f>
        <v/>
      </c>
      <c r="BX484" t="str">
        <f>""</f>
        <v/>
      </c>
      <c r="BY484" t="str">
        <f>""</f>
        <v/>
      </c>
      <c r="BZ484" t="str">
        <f>""</f>
        <v/>
      </c>
      <c r="CA484" t="str">
        <f>""</f>
        <v/>
      </c>
      <c r="CB484" t="str">
        <f>""</f>
        <v/>
      </c>
      <c r="CC484" t="str">
        <f>""</f>
        <v/>
      </c>
      <c r="CD484" t="str">
        <f>""</f>
        <v/>
      </c>
      <c r="CE484" t="str">
        <f>""</f>
        <v/>
      </c>
      <c r="CF484" t="str">
        <f>""</f>
        <v/>
      </c>
      <c r="CG484" t="str">
        <f>""</f>
        <v/>
      </c>
      <c r="CH484" t="str">
        <f>""</f>
        <v/>
      </c>
      <c r="CI484" t="str">
        <f>""</f>
        <v/>
      </c>
      <c r="CJ484" t="str">
        <f>""</f>
        <v/>
      </c>
      <c r="CK484" t="str">
        <f>""</f>
        <v/>
      </c>
      <c r="CL484" t="str">
        <f>""</f>
        <v/>
      </c>
      <c r="CM484" t="str">
        <f>""</f>
        <v/>
      </c>
      <c r="CN484" t="str">
        <f>""</f>
        <v/>
      </c>
      <c r="CO484" t="str">
        <f>""</f>
        <v/>
      </c>
      <c r="CP484" t="str">
        <f>""</f>
        <v/>
      </c>
      <c r="CQ484" t="str">
        <f>""</f>
        <v/>
      </c>
      <c r="CR484" t="str">
        <f>""</f>
        <v/>
      </c>
      <c r="CS484" t="str">
        <f>""</f>
        <v/>
      </c>
      <c r="CT484" t="str">
        <f>""</f>
        <v/>
      </c>
      <c r="CU484" t="str">
        <f>""</f>
        <v/>
      </c>
      <c r="CV484" t="str">
        <f>""</f>
        <v/>
      </c>
      <c r="CW484" t="str">
        <f>""</f>
        <v/>
      </c>
      <c r="CX484" t="str">
        <f>""</f>
        <v/>
      </c>
      <c r="CY484" t="str">
        <f>""</f>
        <v/>
      </c>
      <c r="CZ484" t="str">
        <f>""</f>
        <v/>
      </c>
      <c r="DA484" t="str">
        <f>""</f>
        <v/>
      </c>
      <c r="DB484" t="str">
        <f>""</f>
        <v/>
      </c>
      <c r="DC484" t="str">
        <f>""</f>
        <v/>
      </c>
      <c r="DD484" t="str">
        <f>""</f>
        <v/>
      </c>
      <c r="DE484" t="str">
        <f>""</f>
        <v/>
      </c>
      <c r="DF484" t="str">
        <f>""</f>
        <v/>
      </c>
      <c r="DG484" t="str">
        <f>""</f>
        <v/>
      </c>
      <c r="DH484" t="str">
        <f>""</f>
        <v/>
      </c>
      <c r="DI484" t="str">
        <f>""</f>
        <v/>
      </c>
      <c r="DJ484" t="str">
        <f>""</f>
        <v/>
      </c>
      <c r="DK484" t="str">
        <f>""</f>
        <v/>
      </c>
      <c r="DL484" t="str">
        <f>""</f>
        <v/>
      </c>
      <c r="DM484" t="str">
        <f>""</f>
        <v/>
      </c>
      <c r="DN484" t="str">
        <f>""</f>
        <v/>
      </c>
      <c r="DO484" t="str">
        <f>""</f>
        <v/>
      </c>
      <c r="DP484" t="str">
        <f>""</f>
        <v/>
      </c>
      <c r="DQ484" t="str">
        <f>""</f>
        <v/>
      </c>
      <c r="DR484" t="str">
        <f>""</f>
        <v/>
      </c>
      <c r="DS484" t="str">
        <f>""</f>
        <v/>
      </c>
      <c r="DT484" t="str">
        <f>""</f>
        <v/>
      </c>
      <c r="DU484" t="str">
        <f>""</f>
        <v/>
      </c>
    </row>
    <row r="485" spans="1:125">
      <c r="A485" t="str">
        <f>$A$25</f>
        <v xml:space="preserve">    Kimco Realty Corp</v>
      </c>
      <c r="B485" t="str">
        <f>$B$25</f>
        <v>KIM US Equity</v>
      </c>
      <c r="C485" t="str">
        <f>$C$25</f>
        <v>IM275</v>
      </c>
      <c r="D485" t="str">
        <f>$D$25</f>
        <v>IS_OTHER_RENTAL_INCOME</v>
      </c>
      <c r="E485" t="str">
        <f>$E$25</f>
        <v>动态</v>
      </c>
      <c r="F485" t="str">
        <f ca="1">BDH($B$25,$C$25,$B$417,$B$418,CONCATENATE("Per=",$B$415),"Dts=H","Dir=H",CONCATENATE("Points=",$B$416),"Sort=R","Days=A","Fill=B",CONCATENATE("FX=", $B$414) )</f>
        <v>#N/A Authorization</v>
      </c>
      <c r="BN485" t="str">
        <f>""</f>
        <v/>
      </c>
      <c r="BO485" t="str">
        <f>""</f>
        <v/>
      </c>
      <c r="BP485" t="str">
        <f>""</f>
        <v/>
      </c>
      <c r="BQ485" t="str">
        <f>""</f>
        <v/>
      </c>
      <c r="BR485" t="str">
        <f>""</f>
        <v/>
      </c>
      <c r="BS485" t="str">
        <f>""</f>
        <v/>
      </c>
      <c r="BT485" t="str">
        <f>""</f>
        <v/>
      </c>
      <c r="BU485" t="str">
        <f>""</f>
        <v/>
      </c>
      <c r="BV485" t="str">
        <f>""</f>
        <v/>
      </c>
      <c r="BW485" t="str">
        <f>""</f>
        <v/>
      </c>
      <c r="BX485" t="str">
        <f>""</f>
        <v/>
      </c>
      <c r="BY485" t="str">
        <f>""</f>
        <v/>
      </c>
      <c r="BZ485" t="str">
        <f>""</f>
        <v/>
      </c>
      <c r="CA485" t="str">
        <f>""</f>
        <v/>
      </c>
      <c r="CB485" t="str">
        <f>""</f>
        <v/>
      </c>
      <c r="CC485" t="str">
        <f>""</f>
        <v/>
      </c>
      <c r="CD485" t="str">
        <f>""</f>
        <v/>
      </c>
      <c r="CE485" t="str">
        <f>""</f>
        <v/>
      </c>
      <c r="CF485" t="str">
        <f>""</f>
        <v/>
      </c>
      <c r="CG485" t="str">
        <f>""</f>
        <v/>
      </c>
      <c r="CH485" t="str">
        <f>""</f>
        <v/>
      </c>
      <c r="CI485" t="str">
        <f>""</f>
        <v/>
      </c>
      <c r="CJ485" t="str">
        <f>""</f>
        <v/>
      </c>
      <c r="CK485" t="str">
        <f>""</f>
        <v/>
      </c>
      <c r="CL485" t="str">
        <f>""</f>
        <v/>
      </c>
      <c r="CM485" t="str">
        <f>""</f>
        <v/>
      </c>
      <c r="CN485" t="str">
        <f>""</f>
        <v/>
      </c>
      <c r="CO485" t="str">
        <f>""</f>
        <v/>
      </c>
      <c r="CP485" t="str">
        <f>""</f>
        <v/>
      </c>
      <c r="CQ485" t="str">
        <f>""</f>
        <v/>
      </c>
      <c r="CR485" t="str">
        <f>""</f>
        <v/>
      </c>
      <c r="CS485" t="str">
        <f>""</f>
        <v/>
      </c>
      <c r="CT485" t="str">
        <f>""</f>
        <v/>
      </c>
      <c r="CU485" t="str">
        <f>""</f>
        <v/>
      </c>
      <c r="CV485" t="str">
        <f>""</f>
        <v/>
      </c>
      <c r="CW485" t="str">
        <f>""</f>
        <v/>
      </c>
      <c r="CX485" t="str">
        <f>""</f>
        <v/>
      </c>
      <c r="CY485" t="str">
        <f>""</f>
        <v/>
      </c>
      <c r="CZ485" t="str">
        <f>""</f>
        <v/>
      </c>
      <c r="DA485" t="str">
        <f>""</f>
        <v/>
      </c>
      <c r="DB485" t="str">
        <f>""</f>
        <v/>
      </c>
      <c r="DC485" t="str">
        <f>""</f>
        <v/>
      </c>
      <c r="DD485" t="str">
        <f>""</f>
        <v/>
      </c>
      <c r="DE485" t="str">
        <f>""</f>
        <v/>
      </c>
      <c r="DF485" t="str">
        <f>""</f>
        <v/>
      </c>
      <c r="DG485" t="str">
        <f>""</f>
        <v/>
      </c>
      <c r="DH485" t="str">
        <f>""</f>
        <v/>
      </c>
      <c r="DI485" t="str">
        <f>""</f>
        <v/>
      </c>
      <c r="DJ485" t="str">
        <f>""</f>
        <v/>
      </c>
      <c r="DK485" t="str">
        <f>""</f>
        <v/>
      </c>
      <c r="DL485" t="str">
        <f>""</f>
        <v/>
      </c>
      <c r="DM485" t="str">
        <f>""</f>
        <v/>
      </c>
      <c r="DN485" t="str">
        <f>""</f>
        <v/>
      </c>
      <c r="DO485" t="str">
        <f>""</f>
        <v/>
      </c>
      <c r="DP485" t="str">
        <f>""</f>
        <v/>
      </c>
      <c r="DQ485" t="str">
        <f>""</f>
        <v/>
      </c>
      <c r="DR485" t="str">
        <f>""</f>
        <v/>
      </c>
      <c r="DS485" t="str">
        <f>""</f>
        <v/>
      </c>
      <c r="DT485" t="str">
        <f>""</f>
        <v/>
      </c>
      <c r="DU485" t="str">
        <f>""</f>
        <v/>
      </c>
    </row>
    <row r="486" spans="1:125">
      <c r="A486" t="str">
        <f>$A$26</f>
        <v xml:space="preserve">    National Retail Properties Inc</v>
      </c>
      <c r="B486" t="str">
        <f>$B$26</f>
        <v>NNN US Equity</v>
      </c>
      <c r="C486" t="str">
        <f>$C$26</f>
        <v>IM275</v>
      </c>
      <c r="D486" t="str">
        <f>$D$26</f>
        <v>IS_OTHER_RENTAL_INCOME</v>
      </c>
      <c r="E486" t="str">
        <f>$E$26</f>
        <v>动态</v>
      </c>
      <c r="F486" t="str">
        <f ca="1">BDH($B$26,$C$26,$B$417,$B$418,CONCATENATE("Per=",$B$415),"Dts=H","Dir=H",CONCATENATE("Points=",$B$416),"Sort=R","Days=A","Fill=B",CONCATENATE("FX=", $B$414) )</f>
        <v>#N/A Authorization</v>
      </c>
      <c r="BN486" t="str">
        <f>""</f>
        <v/>
      </c>
      <c r="BO486" t="str">
        <f>""</f>
        <v/>
      </c>
      <c r="BP486" t="str">
        <f>""</f>
        <v/>
      </c>
      <c r="BQ486" t="str">
        <f>""</f>
        <v/>
      </c>
      <c r="BR486" t="str">
        <f>""</f>
        <v/>
      </c>
      <c r="BS486" t="str">
        <f>""</f>
        <v/>
      </c>
      <c r="BT486" t="str">
        <f>""</f>
        <v/>
      </c>
      <c r="BU486" t="str">
        <f>""</f>
        <v/>
      </c>
      <c r="BV486" t="str">
        <f>""</f>
        <v/>
      </c>
      <c r="BW486" t="str">
        <f>""</f>
        <v/>
      </c>
      <c r="BX486" t="str">
        <f>""</f>
        <v/>
      </c>
      <c r="BY486" t="str">
        <f>""</f>
        <v/>
      </c>
      <c r="BZ486" t="str">
        <f>""</f>
        <v/>
      </c>
      <c r="CA486" t="str">
        <f>""</f>
        <v/>
      </c>
      <c r="CB486" t="str">
        <f>""</f>
        <v/>
      </c>
      <c r="CC486" t="str">
        <f>""</f>
        <v/>
      </c>
      <c r="CD486" t="str">
        <f>""</f>
        <v/>
      </c>
      <c r="CE486" t="str">
        <f>""</f>
        <v/>
      </c>
      <c r="CF486" t="str">
        <f>""</f>
        <v/>
      </c>
      <c r="CG486" t="str">
        <f>""</f>
        <v/>
      </c>
      <c r="CH486" t="str">
        <f>""</f>
        <v/>
      </c>
      <c r="CI486" t="str">
        <f>""</f>
        <v/>
      </c>
      <c r="CJ486" t="str">
        <f>""</f>
        <v/>
      </c>
      <c r="CK486" t="str">
        <f>""</f>
        <v/>
      </c>
      <c r="CL486" t="str">
        <f>""</f>
        <v/>
      </c>
      <c r="CM486" t="str">
        <f>""</f>
        <v/>
      </c>
      <c r="CN486" t="str">
        <f>""</f>
        <v/>
      </c>
      <c r="CO486" t="str">
        <f>""</f>
        <v/>
      </c>
      <c r="CP486" t="str">
        <f>""</f>
        <v/>
      </c>
      <c r="CQ486" t="str">
        <f>""</f>
        <v/>
      </c>
      <c r="CR486" t="str">
        <f>""</f>
        <v/>
      </c>
      <c r="CS486" t="str">
        <f>""</f>
        <v/>
      </c>
      <c r="CT486" t="str">
        <f>""</f>
        <v/>
      </c>
      <c r="CU486" t="str">
        <f>""</f>
        <v/>
      </c>
      <c r="CV486" t="str">
        <f>""</f>
        <v/>
      </c>
      <c r="CW486" t="str">
        <f>""</f>
        <v/>
      </c>
      <c r="CX486" t="str">
        <f>""</f>
        <v/>
      </c>
      <c r="CY486" t="str">
        <f>""</f>
        <v/>
      </c>
      <c r="CZ486" t="str">
        <f>""</f>
        <v/>
      </c>
      <c r="DA486" t="str">
        <f>""</f>
        <v/>
      </c>
      <c r="DB486" t="str">
        <f>""</f>
        <v/>
      </c>
      <c r="DC486" t="str">
        <f>""</f>
        <v/>
      </c>
      <c r="DD486" t="str">
        <f>""</f>
        <v/>
      </c>
      <c r="DE486" t="str">
        <f>""</f>
        <v/>
      </c>
      <c r="DF486" t="str">
        <f>""</f>
        <v/>
      </c>
      <c r="DG486" t="str">
        <f>""</f>
        <v/>
      </c>
      <c r="DH486" t="str">
        <f>""</f>
        <v/>
      </c>
      <c r="DI486" t="str">
        <f>""</f>
        <v/>
      </c>
      <c r="DJ486" t="str">
        <f>""</f>
        <v/>
      </c>
      <c r="DK486" t="str">
        <f>""</f>
        <v/>
      </c>
      <c r="DL486" t="str">
        <f>""</f>
        <v/>
      </c>
      <c r="DM486" t="str">
        <f>""</f>
        <v/>
      </c>
      <c r="DN486" t="str">
        <f>""</f>
        <v/>
      </c>
      <c r="DO486" t="str">
        <f>""</f>
        <v/>
      </c>
      <c r="DP486" t="str">
        <f>""</f>
        <v/>
      </c>
      <c r="DQ486" t="str">
        <f>""</f>
        <v/>
      </c>
      <c r="DR486" t="str">
        <f>""</f>
        <v/>
      </c>
      <c r="DS486" t="str">
        <f>""</f>
        <v/>
      </c>
      <c r="DT486" t="str">
        <f>""</f>
        <v/>
      </c>
      <c r="DU486" t="str">
        <f>""</f>
        <v/>
      </c>
    </row>
    <row r="487" spans="1:125">
      <c r="A487" t="str">
        <f>$A$27</f>
        <v xml:space="preserve">    Realty Income Corp</v>
      </c>
      <c r="B487" t="str">
        <f>$B$27</f>
        <v>O US Equity</v>
      </c>
      <c r="C487" t="str">
        <f>$C$27</f>
        <v>IM275</v>
      </c>
      <c r="D487" t="str">
        <f>$D$27</f>
        <v>IS_OTHER_RENTAL_INCOME</v>
      </c>
      <c r="E487" t="str">
        <f>$E$27</f>
        <v>动态</v>
      </c>
      <c r="F487" t="str">
        <f ca="1">BDH($B$27,$C$27,$B$417,$B$418,CONCATENATE("Per=",$B$415),"Dts=H","Dir=H",CONCATENATE("Points=",$B$416),"Sort=R","Days=A","Fill=B",CONCATENATE("FX=", $B$414) )</f>
        <v>#N/A Authorization</v>
      </c>
      <c r="BN487" t="str">
        <f>""</f>
        <v/>
      </c>
      <c r="BO487" t="str">
        <f>""</f>
        <v/>
      </c>
      <c r="BP487" t="str">
        <f>""</f>
        <v/>
      </c>
      <c r="BQ487" t="str">
        <f>""</f>
        <v/>
      </c>
      <c r="BR487" t="str">
        <f>""</f>
        <v/>
      </c>
      <c r="BS487" t="str">
        <f>""</f>
        <v/>
      </c>
      <c r="BT487" t="str">
        <f>""</f>
        <v/>
      </c>
      <c r="BU487" t="str">
        <f>""</f>
        <v/>
      </c>
      <c r="BV487" t="str">
        <f>""</f>
        <v/>
      </c>
      <c r="BW487" t="str">
        <f>""</f>
        <v/>
      </c>
      <c r="BX487" t="str">
        <f>""</f>
        <v/>
      </c>
      <c r="BY487" t="str">
        <f>""</f>
        <v/>
      </c>
      <c r="BZ487" t="str">
        <f>""</f>
        <v/>
      </c>
      <c r="CA487" t="str">
        <f>""</f>
        <v/>
      </c>
      <c r="CB487" t="str">
        <f>""</f>
        <v/>
      </c>
      <c r="CC487" t="str">
        <f>""</f>
        <v/>
      </c>
      <c r="CD487" t="str">
        <f>""</f>
        <v/>
      </c>
      <c r="CE487" t="str">
        <f>""</f>
        <v/>
      </c>
      <c r="CF487" t="str">
        <f>""</f>
        <v/>
      </c>
      <c r="CG487" t="str">
        <f>""</f>
        <v/>
      </c>
      <c r="CH487" t="str">
        <f>""</f>
        <v/>
      </c>
      <c r="CI487" t="str">
        <f>""</f>
        <v/>
      </c>
      <c r="CJ487" t="str">
        <f>""</f>
        <v/>
      </c>
      <c r="CK487" t="str">
        <f>""</f>
        <v/>
      </c>
      <c r="CL487" t="str">
        <f>""</f>
        <v/>
      </c>
      <c r="CM487" t="str">
        <f>""</f>
        <v/>
      </c>
      <c r="CN487" t="str">
        <f>""</f>
        <v/>
      </c>
      <c r="CO487" t="str">
        <f>""</f>
        <v/>
      </c>
      <c r="CP487" t="str">
        <f>""</f>
        <v/>
      </c>
      <c r="CQ487" t="str">
        <f>""</f>
        <v/>
      </c>
      <c r="CR487" t="str">
        <f>""</f>
        <v/>
      </c>
      <c r="CS487" t="str">
        <f>""</f>
        <v/>
      </c>
      <c r="CT487" t="str">
        <f>""</f>
        <v/>
      </c>
      <c r="CU487" t="str">
        <f>""</f>
        <v/>
      </c>
      <c r="CV487" t="str">
        <f>""</f>
        <v/>
      </c>
      <c r="CW487" t="str">
        <f>""</f>
        <v/>
      </c>
      <c r="CX487" t="str">
        <f>""</f>
        <v/>
      </c>
      <c r="CY487" t="str">
        <f>""</f>
        <v/>
      </c>
      <c r="CZ487" t="str">
        <f>""</f>
        <v/>
      </c>
      <c r="DA487" t="str">
        <f>""</f>
        <v/>
      </c>
      <c r="DB487" t="str">
        <f>""</f>
        <v/>
      </c>
      <c r="DC487" t="str">
        <f>""</f>
        <v/>
      </c>
      <c r="DD487" t="str">
        <f>""</f>
        <v/>
      </c>
      <c r="DE487" t="str">
        <f>""</f>
        <v/>
      </c>
      <c r="DF487" t="str">
        <f>""</f>
        <v/>
      </c>
      <c r="DG487" t="str">
        <f>""</f>
        <v/>
      </c>
      <c r="DH487" t="str">
        <f>""</f>
        <v/>
      </c>
      <c r="DI487" t="str">
        <f>""</f>
        <v/>
      </c>
      <c r="DJ487" t="str">
        <f>""</f>
        <v/>
      </c>
      <c r="DK487" t="str">
        <f>""</f>
        <v/>
      </c>
      <c r="DL487" t="str">
        <f>""</f>
        <v/>
      </c>
      <c r="DM487" t="str">
        <f>""</f>
        <v/>
      </c>
      <c r="DN487" t="str">
        <f>""</f>
        <v/>
      </c>
      <c r="DO487" t="str">
        <f>""</f>
        <v/>
      </c>
      <c r="DP487" t="str">
        <f>""</f>
        <v/>
      </c>
      <c r="DQ487" t="str">
        <f>""</f>
        <v/>
      </c>
      <c r="DR487" t="str">
        <f>""</f>
        <v/>
      </c>
      <c r="DS487" t="str">
        <f>""</f>
        <v/>
      </c>
      <c r="DT487" t="str">
        <f>""</f>
        <v/>
      </c>
      <c r="DU487" t="str">
        <f>""</f>
        <v/>
      </c>
    </row>
    <row r="488" spans="1:125">
      <c r="A488" t="str">
        <f>$A$28</f>
        <v xml:space="preserve">    Regency Centers Corp</v>
      </c>
      <c r="B488" t="str">
        <f>$B$28</f>
        <v>REG US Equity</v>
      </c>
      <c r="C488" t="str">
        <f>$C$28</f>
        <v>IM275</v>
      </c>
      <c r="D488" t="str">
        <f>$D$28</f>
        <v>IS_OTHER_RENTAL_INCOME</v>
      </c>
      <c r="E488" t="str">
        <f>$E$28</f>
        <v>动态</v>
      </c>
      <c r="F488" t="str">
        <f ca="1">BDH($B$28,$C$28,$B$417,$B$418,CONCATENATE("Per=",$B$415),"Dts=H","Dir=H",CONCATENATE("Points=",$B$416),"Sort=R","Days=A","Fill=B",CONCATENATE("FX=", $B$414) )</f>
        <v>#N/A Authorization</v>
      </c>
      <c r="BN488" t="str">
        <f>""</f>
        <v/>
      </c>
      <c r="BO488" t="str">
        <f>""</f>
        <v/>
      </c>
      <c r="BP488" t="str">
        <f>""</f>
        <v/>
      </c>
      <c r="BQ488" t="str">
        <f>""</f>
        <v/>
      </c>
      <c r="BR488" t="str">
        <f>""</f>
        <v/>
      </c>
      <c r="BS488" t="str">
        <f>""</f>
        <v/>
      </c>
      <c r="BT488" t="str">
        <f>""</f>
        <v/>
      </c>
      <c r="BU488" t="str">
        <f>""</f>
        <v/>
      </c>
      <c r="BV488" t="str">
        <f>""</f>
        <v/>
      </c>
      <c r="BW488" t="str">
        <f>""</f>
        <v/>
      </c>
      <c r="BX488" t="str">
        <f>""</f>
        <v/>
      </c>
      <c r="BY488" t="str">
        <f>""</f>
        <v/>
      </c>
      <c r="BZ488" t="str">
        <f>""</f>
        <v/>
      </c>
      <c r="CA488" t="str">
        <f>""</f>
        <v/>
      </c>
      <c r="CB488" t="str">
        <f>""</f>
        <v/>
      </c>
      <c r="CC488" t="str">
        <f>""</f>
        <v/>
      </c>
      <c r="CD488" t="str">
        <f>""</f>
        <v/>
      </c>
      <c r="CE488" t="str">
        <f>""</f>
        <v/>
      </c>
      <c r="CF488" t="str">
        <f>""</f>
        <v/>
      </c>
      <c r="CG488" t="str">
        <f>""</f>
        <v/>
      </c>
      <c r="CH488" t="str">
        <f>""</f>
        <v/>
      </c>
      <c r="CI488" t="str">
        <f>""</f>
        <v/>
      </c>
      <c r="CJ488" t="str">
        <f>""</f>
        <v/>
      </c>
      <c r="CK488" t="str">
        <f>""</f>
        <v/>
      </c>
      <c r="CL488" t="str">
        <f>""</f>
        <v/>
      </c>
      <c r="CM488" t="str">
        <f>""</f>
        <v/>
      </c>
      <c r="CN488" t="str">
        <f>""</f>
        <v/>
      </c>
      <c r="CO488" t="str">
        <f>""</f>
        <v/>
      </c>
      <c r="CP488" t="str">
        <f>""</f>
        <v/>
      </c>
      <c r="CQ488" t="str">
        <f>""</f>
        <v/>
      </c>
      <c r="CR488" t="str">
        <f>""</f>
        <v/>
      </c>
      <c r="CS488" t="str">
        <f>""</f>
        <v/>
      </c>
      <c r="CT488" t="str">
        <f>""</f>
        <v/>
      </c>
      <c r="CU488" t="str">
        <f>""</f>
        <v/>
      </c>
      <c r="CV488" t="str">
        <f>""</f>
        <v/>
      </c>
      <c r="CW488" t="str">
        <f>""</f>
        <v/>
      </c>
      <c r="CX488" t="str">
        <f>""</f>
        <v/>
      </c>
      <c r="CY488" t="str">
        <f>""</f>
        <v/>
      </c>
      <c r="CZ488" t="str">
        <f>""</f>
        <v/>
      </c>
      <c r="DA488" t="str">
        <f>""</f>
        <v/>
      </c>
      <c r="DB488" t="str">
        <f>""</f>
        <v/>
      </c>
      <c r="DC488" t="str">
        <f>""</f>
        <v/>
      </c>
      <c r="DD488" t="str">
        <f>""</f>
        <v/>
      </c>
      <c r="DE488" t="str">
        <f>""</f>
        <v/>
      </c>
      <c r="DF488" t="str">
        <f>""</f>
        <v/>
      </c>
      <c r="DG488" t="str">
        <f>""</f>
        <v/>
      </c>
      <c r="DH488" t="str">
        <f>""</f>
        <v/>
      </c>
      <c r="DI488" t="str">
        <f>""</f>
        <v/>
      </c>
      <c r="DJ488" t="str">
        <f>""</f>
        <v/>
      </c>
      <c r="DK488" t="str">
        <f>""</f>
        <v/>
      </c>
      <c r="DL488" t="str">
        <f>""</f>
        <v/>
      </c>
      <c r="DM488" t="str">
        <f>""</f>
        <v/>
      </c>
      <c r="DN488" t="str">
        <f>""</f>
        <v/>
      </c>
      <c r="DO488" t="str">
        <f>""</f>
        <v/>
      </c>
      <c r="DP488" t="str">
        <f>""</f>
        <v/>
      </c>
      <c r="DQ488" t="str">
        <f>""</f>
        <v/>
      </c>
      <c r="DR488" t="str">
        <f>""</f>
        <v/>
      </c>
      <c r="DS488" t="str">
        <f>""</f>
        <v/>
      </c>
      <c r="DT488" t="str">
        <f>""</f>
        <v/>
      </c>
      <c r="DU488" t="str">
        <f>""</f>
        <v/>
      </c>
    </row>
    <row r="489" spans="1:125">
      <c r="A489" t="str">
        <f>$A$29</f>
        <v xml:space="preserve">    Retail Opportunity Investments</v>
      </c>
      <c r="B489" t="str">
        <f>$B$29</f>
        <v>ROIC US Equity</v>
      </c>
      <c r="C489" t="str">
        <f>$C$29</f>
        <v>IM275</v>
      </c>
      <c r="D489" t="str">
        <f>$D$29</f>
        <v>IS_OTHER_RENTAL_INCOME</v>
      </c>
      <c r="E489" t="str">
        <f>$E$29</f>
        <v>动态</v>
      </c>
      <c r="F489" t="str">
        <f ca="1">BDH($B$29,$C$29,$B$417,$B$418,CONCATENATE("Per=",$B$415),"Dts=H","Dir=H",CONCATENATE("Points=",$B$416),"Sort=R","Days=A","Fill=B",CONCATENATE("FX=", $B$414) )</f>
        <v>#N/A Authorization</v>
      </c>
      <c r="BN489" t="str">
        <f>""</f>
        <v/>
      </c>
      <c r="BO489" t="str">
        <f>""</f>
        <v/>
      </c>
      <c r="BP489" t="str">
        <f>""</f>
        <v/>
      </c>
      <c r="BQ489" t="str">
        <f>""</f>
        <v/>
      </c>
      <c r="BR489" t="str">
        <f>""</f>
        <v/>
      </c>
      <c r="BS489" t="str">
        <f>""</f>
        <v/>
      </c>
      <c r="BT489" t="str">
        <f>""</f>
        <v/>
      </c>
      <c r="BU489" t="str">
        <f>""</f>
        <v/>
      </c>
      <c r="BV489" t="str">
        <f>""</f>
        <v/>
      </c>
      <c r="BW489" t="str">
        <f>""</f>
        <v/>
      </c>
      <c r="BX489" t="str">
        <f>""</f>
        <v/>
      </c>
      <c r="BY489" t="str">
        <f>""</f>
        <v/>
      </c>
      <c r="BZ489" t="str">
        <f>""</f>
        <v/>
      </c>
      <c r="CA489" t="str">
        <f>""</f>
        <v/>
      </c>
      <c r="CB489" t="str">
        <f>""</f>
        <v/>
      </c>
      <c r="CC489" t="str">
        <f>""</f>
        <v/>
      </c>
      <c r="CD489" t="str">
        <f>""</f>
        <v/>
      </c>
      <c r="CE489" t="str">
        <f>""</f>
        <v/>
      </c>
      <c r="CF489" t="str">
        <f>""</f>
        <v/>
      </c>
      <c r="CG489" t="str">
        <f>""</f>
        <v/>
      </c>
      <c r="CH489" t="str">
        <f>""</f>
        <v/>
      </c>
      <c r="CI489" t="str">
        <f>""</f>
        <v/>
      </c>
      <c r="CJ489" t="str">
        <f>""</f>
        <v/>
      </c>
      <c r="CK489" t="str">
        <f>""</f>
        <v/>
      </c>
      <c r="CL489" t="str">
        <f>""</f>
        <v/>
      </c>
      <c r="CM489" t="str">
        <f>""</f>
        <v/>
      </c>
      <c r="CN489" t="str">
        <f>""</f>
        <v/>
      </c>
      <c r="CO489" t="str">
        <f>""</f>
        <v/>
      </c>
      <c r="CP489" t="str">
        <f>""</f>
        <v/>
      </c>
      <c r="CQ489" t="str">
        <f>""</f>
        <v/>
      </c>
      <c r="CR489" t="str">
        <f>""</f>
        <v/>
      </c>
      <c r="CS489" t="str">
        <f>""</f>
        <v/>
      </c>
      <c r="CT489" t="str">
        <f>""</f>
        <v/>
      </c>
      <c r="CU489" t="str">
        <f>""</f>
        <v/>
      </c>
      <c r="CV489" t="str">
        <f>""</f>
        <v/>
      </c>
      <c r="CW489" t="str">
        <f>""</f>
        <v/>
      </c>
      <c r="CX489" t="str">
        <f>""</f>
        <v/>
      </c>
      <c r="CY489" t="str">
        <f>""</f>
        <v/>
      </c>
      <c r="CZ489" t="str">
        <f>""</f>
        <v/>
      </c>
      <c r="DA489" t="str">
        <f>""</f>
        <v/>
      </c>
      <c r="DB489" t="str">
        <f>""</f>
        <v/>
      </c>
      <c r="DC489" t="str">
        <f>""</f>
        <v/>
      </c>
      <c r="DD489" t="str">
        <f>""</f>
        <v/>
      </c>
      <c r="DE489" t="str">
        <f>""</f>
        <v/>
      </c>
      <c r="DF489" t="str">
        <f>""</f>
        <v/>
      </c>
      <c r="DG489" t="str">
        <f>""</f>
        <v/>
      </c>
      <c r="DH489" t="str">
        <f>""</f>
        <v/>
      </c>
      <c r="DI489" t="str">
        <f>""</f>
        <v/>
      </c>
      <c r="DJ489" t="str">
        <f>""</f>
        <v/>
      </c>
      <c r="DK489" t="str">
        <f>""</f>
        <v/>
      </c>
      <c r="DL489" t="str">
        <f>""</f>
        <v/>
      </c>
      <c r="DM489" t="str">
        <f>""</f>
        <v/>
      </c>
      <c r="DN489" t="str">
        <f>""</f>
        <v/>
      </c>
      <c r="DO489" t="str">
        <f>""</f>
        <v/>
      </c>
      <c r="DP489" t="str">
        <f>""</f>
        <v/>
      </c>
      <c r="DQ489" t="str">
        <f>""</f>
        <v/>
      </c>
      <c r="DR489" t="str">
        <f>""</f>
        <v/>
      </c>
      <c r="DS489" t="str">
        <f>""</f>
        <v/>
      </c>
      <c r="DT489" t="str">
        <f>""</f>
        <v/>
      </c>
      <c r="DU489" t="str">
        <f>""</f>
        <v/>
      </c>
    </row>
    <row r="490" spans="1:125">
      <c r="A490" t="str">
        <f>$A$30</f>
        <v xml:space="preserve">    Retail Properties of America I</v>
      </c>
      <c r="B490" t="str">
        <f>$B$30</f>
        <v>RPAI US Equity</v>
      </c>
      <c r="C490" t="str">
        <f>$C$30</f>
        <v>IM275</v>
      </c>
      <c r="D490" t="str">
        <f>$D$30</f>
        <v>IS_OTHER_RENTAL_INCOME</v>
      </c>
      <c r="E490" t="str">
        <f>$E$30</f>
        <v>动态</v>
      </c>
      <c r="F490" t="str">
        <f ca="1">BDH($B$30,$C$30,$B$417,$B$418,CONCATENATE("Per=",$B$415),"Dts=H","Dir=H",CONCATENATE("Points=",$B$416),"Sort=R","Days=A","Fill=B",CONCATENATE("FX=", $B$414) )</f>
        <v>#N/A Authorization</v>
      </c>
      <c r="BN490" t="str">
        <f>""</f>
        <v/>
      </c>
      <c r="BO490" t="str">
        <f>""</f>
        <v/>
      </c>
      <c r="BP490" t="str">
        <f>""</f>
        <v/>
      </c>
      <c r="BQ490" t="str">
        <f>""</f>
        <v/>
      </c>
      <c r="BR490" t="str">
        <f>""</f>
        <v/>
      </c>
      <c r="BS490" t="str">
        <f>""</f>
        <v/>
      </c>
      <c r="BT490" t="str">
        <f>""</f>
        <v/>
      </c>
      <c r="BU490" t="str">
        <f>""</f>
        <v/>
      </c>
      <c r="BV490" t="str">
        <f>""</f>
        <v/>
      </c>
      <c r="BW490" t="str">
        <f>""</f>
        <v/>
      </c>
      <c r="BX490" t="str">
        <f>""</f>
        <v/>
      </c>
      <c r="BY490" t="str">
        <f>""</f>
        <v/>
      </c>
      <c r="BZ490" t="str">
        <f>""</f>
        <v/>
      </c>
      <c r="CA490" t="str">
        <f>""</f>
        <v/>
      </c>
      <c r="CB490" t="str">
        <f>""</f>
        <v/>
      </c>
      <c r="CC490" t="str">
        <f>""</f>
        <v/>
      </c>
      <c r="CD490" t="str">
        <f>""</f>
        <v/>
      </c>
      <c r="CE490" t="str">
        <f>""</f>
        <v/>
      </c>
      <c r="CF490" t="str">
        <f>""</f>
        <v/>
      </c>
      <c r="CG490" t="str">
        <f>""</f>
        <v/>
      </c>
      <c r="CH490" t="str">
        <f>""</f>
        <v/>
      </c>
      <c r="CI490" t="str">
        <f>""</f>
        <v/>
      </c>
      <c r="CJ490" t="str">
        <f>""</f>
        <v/>
      </c>
      <c r="CK490" t="str">
        <f>""</f>
        <v/>
      </c>
      <c r="CL490" t="str">
        <f>""</f>
        <v/>
      </c>
      <c r="CM490" t="str">
        <f>""</f>
        <v/>
      </c>
      <c r="CN490" t="str">
        <f>""</f>
        <v/>
      </c>
      <c r="CO490" t="str">
        <f>""</f>
        <v/>
      </c>
      <c r="CP490" t="str">
        <f>""</f>
        <v/>
      </c>
      <c r="CQ490" t="str">
        <f>""</f>
        <v/>
      </c>
      <c r="CR490" t="str">
        <f>""</f>
        <v/>
      </c>
      <c r="CS490" t="str">
        <f>""</f>
        <v/>
      </c>
      <c r="CT490" t="str">
        <f>""</f>
        <v/>
      </c>
      <c r="CU490" t="str">
        <f>""</f>
        <v/>
      </c>
      <c r="CV490" t="str">
        <f>""</f>
        <v/>
      </c>
      <c r="CW490" t="str">
        <f>""</f>
        <v/>
      </c>
      <c r="CX490" t="str">
        <f>""</f>
        <v/>
      </c>
      <c r="CY490" t="str">
        <f>""</f>
        <v/>
      </c>
      <c r="CZ490" t="str">
        <f>""</f>
        <v/>
      </c>
      <c r="DA490" t="str">
        <f>""</f>
        <v/>
      </c>
      <c r="DB490" t="str">
        <f>""</f>
        <v/>
      </c>
      <c r="DC490" t="str">
        <f>""</f>
        <v/>
      </c>
      <c r="DD490" t="str">
        <f>""</f>
        <v/>
      </c>
      <c r="DE490" t="str">
        <f>""</f>
        <v/>
      </c>
      <c r="DF490" t="str">
        <f>""</f>
        <v/>
      </c>
      <c r="DG490" t="str">
        <f>""</f>
        <v/>
      </c>
      <c r="DH490" t="str">
        <f>""</f>
        <v/>
      </c>
      <c r="DI490" t="str">
        <f>""</f>
        <v/>
      </c>
      <c r="DJ490" t="str">
        <f>""</f>
        <v/>
      </c>
      <c r="DK490" t="str">
        <f>""</f>
        <v/>
      </c>
      <c r="DL490" t="str">
        <f>""</f>
        <v/>
      </c>
      <c r="DM490" t="str">
        <f>""</f>
        <v/>
      </c>
      <c r="DN490" t="str">
        <f>""</f>
        <v/>
      </c>
      <c r="DO490" t="str">
        <f>""</f>
        <v/>
      </c>
      <c r="DP490" t="str">
        <f>""</f>
        <v/>
      </c>
      <c r="DQ490" t="str">
        <f>""</f>
        <v/>
      </c>
      <c r="DR490" t="str">
        <f>""</f>
        <v/>
      </c>
      <c r="DS490" t="str">
        <f>""</f>
        <v/>
      </c>
      <c r="DT490" t="str">
        <f>""</f>
        <v/>
      </c>
      <c r="DU490" t="str">
        <f>""</f>
        <v/>
      </c>
    </row>
    <row r="491" spans="1:125">
      <c r="A491" t="str">
        <f>$A$31</f>
        <v xml:space="preserve">    Simon Property Group Inc</v>
      </c>
      <c r="B491" t="str">
        <f>$B$31</f>
        <v>SPG US Equity</v>
      </c>
      <c r="C491" t="str">
        <f>$C$31</f>
        <v>IM275</v>
      </c>
      <c r="D491" t="str">
        <f>$D$31</f>
        <v>IS_OTHER_RENTAL_INCOME</v>
      </c>
      <c r="E491" t="str">
        <f>$E$31</f>
        <v>动态</v>
      </c>
      <c r="F491" t="str">
        <f ca="1">BDH($B$31,$C$31,$B$417,$B$418,CONCATENATE("Per=",$B$415),"Dts=H","Dir=H",CONCATENATE("Points=",$B$416),"Sort=R","Days=A","Fill=B",CONCATENATE("FX=", $B$414) )</f>
        <v>#N/A Authorization</v>
      </c>
      <c r="BN491" t="str">
        <f>""</f>
        <v/>
      </c>
      <c r="BO491" t="str">
        <f>""</f>
        <v/>
      </c>
      <c r="BP491" t="str">
        <f>""</f>
        <v/>
      </c>
      <c r="BQ491" t="str">
        <f>""</f>
        <v/>
      </c>
      <c r="BR491" t="str">
        <f>""</f>
        <v/>
      </c>
      <c r="BS491" t="str">
        <f>""</f>
        <v/>
      </c>
      <c r="BT491" t="str">
        <f>""</f>
        <v/>
      </c>
      <c r="BU491" t="str">
        <f>""</f>
        <v/>
      </c>
      <c r="BV491" t="str">
        <f>""</f>
        <v/>
      </c>
      <c r="BW491" t="str">
        <f>""</f>
        <v/>
      </c>
      <c r="BX491" t="str">
        <f>""</f>
        <v/>
      </c>
      <c r="BY491" t="str">
        <f>""</f>
        <v/>
      </c>
      <c r="BZ491" t="str">
        <f>""</f>
        <v/>
      </c>
      <c r="CA491" t="str">
        <f>""</f>
        <v/>
      </c>
      <c r="CB491" t="str">
        <f>""</f>
        <v/>
      </c>
      <c r="CC491" t="str">
        <f>""</f>
        <v/>
      </c>
      <c r="CD491" t="str">
        <f>""</f>
        <v/>
      </c>
      <c r="CE491" t="str">
        <f>""</f>
        <v/>
      </c>
      <c r="CF491" t="str">
        <f>""</f>
        <v/>
      </c>
      <c r="CG491" t="str">
        <f>""</f>
        <v/>
      </c>
      <c r="CH491" t="str">
        <f>""</f>
        <v/>
      </c>
      <c r="CI491" t="str">
        <f>""</f>
        <v/>
      </c>
      <c r="CJ491" t="str">
        <f>""</f>
        <v/>
      </c>
      <c r="CK491" t="str">
        <f>""</f>
        <v/>
      </c>
      <c r="CL491" t="str">
        <f>""</f>
        <v/>
      </c>
      <c r="CM491" t="str">
        <f>""</f>
        <v/>
      </c>
      <c r="CN491" t="str">
        <f>""</f>
        <v/>
      </c>
      <c r="CO491" t="str">
        <f>""</f>
        <v/>
      </c>
      <c r="CP491" t="str">
        <f>""</f>
        <v/>
      </c>
      <c r="CQ491" t="str">
        <f>""</f>
        <v/>
      </c>
      <c r="CR491" t="str">
        <f>""</f>
        <v/>
      </c>
      <c r="CS491" t="str">
        <f>""</f>
        <v/>
      </c>
      <c r="CT491" t="str">
        <f>""</f>
        <v/>
      </c>
      <c r="CU491" t="str">
        <f>""</f>
        <v/>
      </c>
      <c r="CV491" t="str">
        <f>""</f>
        <v/>
      </c>
      <c r="CW491" t="str">
        <f>""</f>
        <v/>
      </c>
      <c r="CX491" t="str">
        <f>""</f>
        <v/>
      </c>
      <c r="CY491" t="str">
        <f>""</f>
        <v/>
      </c>
      <c r="CZ491" t="str">
        <f>""</f>
        <v/>
      </c>
      <c r="DA491" t="str">
        <f>""</f>
        <v/>
      </c>
      <c r="DB491" t="str">
        <f>""</f>
        <v/>
      </c>
      <c r="DC491" t="str">
        <f>""</f>
        <v/>
      </c>
      <c r="DD491" t="str">
        <f>""</f>
        <v/>
      </c>
      <c r="DE491" t="str">
        <f>""</f>
        <v/>
      </c>
      <c r="DF491" t="str">
        <f>""</f>
        <v/>
      </c>
      <c r="DG491" t="str">
        <f>""</f>
        <v/>
      </c>
      <c r="DH491" t="str">
        <f>""</f>
        <v/>
      </c>
      <c r="DI491" t="str">
        <f>""</f>
        <v/>
      </c>
      <c r="DJ491" t="str">
        <f>""</f>
        <v/>
      </c>
      <c r="DK491" t="str">
        <f>""</f>
        <v/>
      </c>
      <c r="DL491" t="str">
        <f>""</f>
        <v/>
      </c>
      <c r="DM491" t="str">
        <f>""</f>
        <v/>
      </c>
      <c r="DN491" t="str">
        <f>""</f>
        <v/>
      </c>
      <c r="DO491" t="str">
        <f>""</f>
        <v/>
      </c>
      <c r="DP491" t="str">
        <f>""</f>
        <v/>
      </c>
      <c r="DQ491" t="str">
        <f>""</f>
        <v/>
      </c>
      <c r="DR491" t="str">
        <f>""</f>
        <v/>
      </c>
      <c r="DS491" t="str">
        <f>""</f>
        <v/>
      </c>
      <c r="DT491" t="str">
        <f>""</f>
        <v/>
      </c>
      <c r="DU491" t="str">
        <f>""</f>
        <v/>
      </c>
    </row>
    <row r="492" spans="1:125">
      <c r="A492" t="str">
        <f>$A$32</f>
        <v xml:space="preserve">    Tanger Factory Outlet Centers</v>
      </c>
      <c r="B492" t="str">
        <f>$B$32</f>
        <v>SKT US Equity</v>
      </c>
      <c r="C492" t="str">
        <f>$C$32</f>
        <v>IM275</v>
      </c>
      <c r="D492" t="str">
        <f>$D$32</f>
        <v>IS_OTHER_RENTAL_INCOME</v>
      </c>
      <c r="E492" t="str">
        <f>$E$32</f>
        <v>动态</v>
      </c>
      <c r="F492" t="str">
        <f ca="1">BDH($B$32,$C$32,$B$417,$B$418,CONCATENATE("Per=",$B$415),"Dts=H","Dir=H",CONCATENATE("Points=",$B$416),"Sort=R","Days=A","Fill=B",CONCATENATE("FX=", $B$414) )</f>
        <v>#N/A Authorization</v>
      </c>
      <c r="BN492" t="str">
        <f>""</f>
        <v/>
      </c>
      <c r="BO492" t="str">
        <f>""</f>
        <v/>
      </c>
      <c r="BP492" t="str">
        <f>""</f>
        <v/>
      </c>
      <c r="BQ492" t="str">
        <f>""</f>
        <v/>
      </c>
      <c r="BR492" t="str">
        <f>""</f>
        <v/>
      </c>
      <c r="BS492" t="str">
        <f>""</f>
        <v/>
      </c>
      <c r="BT492" t="str">
        <f>""</f>
        <v/>
      </c>
      <c r="BU492" t="str">
        <f>""</f>
        <v/>
      </c>
      <c r="BV492" t="str">
        <f>""</f>
        <v/>
      </c>
      <c r="BW492" t="str">
        <f>""</f>
        <v/>
      </c>
      <c r="BX492" t="str">
        <f>""</f>
        <v/>
      </c>
      <c r="BY492" t="str">
        <f>""</f>
        <v/>
      </c>
      <c r="BZ492" t="str">
        <f>""</f>
        <v/>
      </c>
      <c r="CA492" t="str">
        <f>""</f>
        <v/>
      </c>
      <c r="CB492" t="str">
        <f>""</f>
        <v/>
      </c>
      <c r="CC492" t="str">
        <f>""</f>
        <v/>
      </c>
      <c r="CD492" t="str">
        <f>""</f>
        <v/>
      </c>
      <c r="CE492" t="str">
        <f>""</f>
        <v/>
      </c>
      <c r="CF492" t="str">
        <f>""</f>
        <v/>
      </c>
      <c r="CG492" t="str">
        <f>""</f>
        <v/>
      </c>
      <c r="CH492" t="str">
        <f>""</f>
        <v/>
      </c>
      <c r="CI492" t="str">
        <f>""</f>
        <v/>
      </c>
      <c r="CJ492" t="str">
        <f>""</f>
        <v/>
      </c>
      <c r="CK492" t="str">
        <f>""</f>
        <v/>
      </c>
      <c r="CL492" t="str">
        <f>""</f>
        <v/>
      </c>
      <c r="CM492" t="str">
        <f>""</f>
        <v/>
      </c>
      <c r="CN492" t="str">
        <f>""</f>
        <v/>
      </c>
      <c r="CO492" t="str">
        <f>""</f>
        <v/>
      </c>
      <c r="CP492" t="str">
        <f>""</f>
        <v/>
      </c>
      <c r="CQ492" t="str">
        <f>""</f>
        <v/>
      </c>
      <c r="CR492" t="str">
        <f>""</f>
        <v/>
      </c>
      <c r="CS492" t="str">
        <f>""</f>
        <v/>
      </c>
      <c r="CT492" t="str">
        <f>""</f>
        <v/>
      </c>
      <c r="CU492" t="str">
        <f>""</f>
        <v/>
      </c>
      <c r="CV492" t="str">
        <f>""</f>
        <v/>
      </c>
      <c r="CW492" t="str">
        <f>""</f>
        <v/>
      </c>
      <c r="CX492" t="str">
        <f>""</f>
        <v/>
      </c>
      <c r="CY492" t="str">
        <f>""</f>
        <v/>
      </c>
      <c r="CZ492" t="str">
        <f>""</f>
        <v/>
      </c>
      <c r="DA492" t="str">
        <f>""</f>
        <v/>
      </c>
      <c r="DB492" t="str">
        <f>""</f>
        <v/>
      </c>
      <c r="DC492" t="str">
        <f>""</f>
        <v/>
      </c>
      <c r="DD492" t="str">
        <f>""</f>
        <v/>
      </c>
      <c r="DE492" t="str">
        <f>""</f>
        <v/>
      </c>
      <c r="DF492" t="str">
        <f>""</f>
        <v/>
      </c>
      <c r="DG492" t="str">
        <f>""</f>
        <v/>
      </c>
      <c r="DH492" t="str">
        <f>""</f>
        <v/>
      </c>
      <c r="DI492" t="str">
        <f>""</f>
        <v/>
      </c>
      <c r="DJ492" t="str">
        <f>""</f>
        <v/>
      </c>
      <c r="DK492" t="str">
        <f>""</f>
        <v/>
      </c>
      <c r="DL492" t="str">
        <f>""</f>
        <v/>
      </c>
      <c r="DM492" t="str">
        <f>""</f>
        <v/>
      </c>
      <c r="DN492" t="str">
        <f>""</f>
        <v/>
      </c>
      <c r="DO492" t="str">
        <f>""</f>
        <v/>
      </c>
      <c r="DP492" t="str">
        <f>""</f>
        <v/>
      </c>
      <c r="DQ492" t="str">
        <f>""</f>
        <v/>
      </c>
      <c r="DR492" t="str">
        <f>""</f>
        <v/>
      </c>
      <c r="DS492" t="str">
        <f>""</f>
        <v/>
      </c>
      <c r="DT492" t="str">
        <f>""</f>
        <v/>
      </c>
      <c r="DU492" t="str">
        <f>""</f>
        <v/>
      </c>
    </row>
    <row r="493" spans="1:125">
      <c r="A493" t="str">
        <f>$A$33</f>
        <v xml:space="preserve">    VEREIT Inc</v>
      </c>
      <c r="B493" t="str">
        <f>$B$33</f>
        <v>VER US Equity</v>
      </c>
      <c r="C493" t="str">
        <f>$C$33</f>
        <v>IM275</v>
      </c>
      <c r="D493" t="str">
        <f>$D$33</f>
        <v>IS_OTHER_RENTAL_INCOME</v>
      </c>
      <c r="E493" t="str">
        <f>$E$33</f>
        <v>动态</v>
      </c>
      <c r="F493" t="str">
        <f ca="1">BDH($B$33,$C$33,$B$417,$B$418,CONCATENATE("Per=",$B$415),"Dts=H","Dir=H",CONCATENATE("Points=",$B$416),"Sort=R","Days=A","Fill=B",CONCATENATE("FX=", $B$414) )</f>
        <v>#N/A Authorization</v>
      </c>
      <c r="BN493" t="str">
        <f>""</f>
        <v/>
      </c>
      <c r="BO493" t="str">
        <f>""</f>
        <v/>
      </c>
      <c r="BP493" t="str">
        <f>""</f>
        <v/>
      </c>
      <c r="BQ493" t="str">
        <f>""</f>
        <v/>
      </c>
      <c r="BR493" t="str">
        <f>""</f>
        <v/>
      </c>
      <c r="BS493" t="str">
        <f>""</f>
        <v/>
      </c>
      <c r="BT493" t="str">
        <f>""</f>
        <v/>
      </c>
      <c r="BU493" t="str">
        <f>""</f>
        <v/>
      </c>
      <c r="BV493" t="str">
        <f>""</f>
        <v/>
      </c>
      <c r="BW493" t="str">
        <f>""</f>
        <v/>
      </c>
      <c r="BX493" t="str">
        <f>""</f>
        <v/>
      </c>
      <c r="BY493" t="str">
        <f>""</f>
        <v/>
      </c>
      <c r="BZ493" t="str">
        <f>""</f>
        <v/>
      </c>
      <c r="CA493" t="str">
        <f>""</f>
        <v/>
      </c>
      <c r="CB493" t="str">
        <f>""</f>
        <v/>
      </c>
      <c r="CC493" t="str">
        <f>""</f>
        <v/>
      </c>
      <c r="CD493" t="str">
        <f>""</f>
        <v/>
      </c>
      <c r="CE493" t="str">
        <f>""</f>
        <v/>
      </c>
      <c r="CF493" t="str">
        <f>""</f>
        <v/>
      </c>
      <c r="CG493" t="str">
        <f>""</f>
        <v/>
      </c>
      <c r="CH493" t="str">
        <f>""</f>
        <v/>
      </c>
      <c r="CI493" t="str">
        <f>""</f>
        <v/>
      </c>
      <c r="CJ493" t="str">
        <f>""</f>
        <v/>
      </c>
      <c r="CK493" t="str">
        <f>""</f>
        <v/>
      </c>
      <c r="CL493" t="str">
        <f>""</f>
        <v/>
      </c>
      <c r="CM493" t="str">
        <f>""</f>
        <v/>
      </c>
      <c r="CN493" t="str">
        <f>""</f>
        <v/>
      </c>
      <c r="CO493" t="str">
        <f>""</f>
        <v/>
      </c>
      <c r="CP493" t="str">
        <f>""</f>
        <v/>
      </c>
      <c r="CQ493" t="str">
        <f>""</f>
        <v/>
      </c>
      <c r="CR493" t="str">
        <f>""</f>
        <v/>
      </c>
      <c r="CS493" t="str">
        <f>""</f>
        <v/>
      </c>
      <c r="CT493" t="str">
        <f>""</f>
        <v/>
      </c>
      <c r="CU493" t="str">
        <f>""</f>
        <v/>
      </c>
      <c r="CV493" t="str">
        <f>""</f>
        <v/>
      </c>
      <c r="CW493" t="str">
        <f>""</f>
        <v/>
      </c>
      <c r="CX493" t="str">
        <f>""</f>
        <v/>
      </c>
      <c r="CY493" t="str">
        <f>""</f>
        <v/>
      </c>
      <c r="CZ493" t="str">
        <f>""</f>
        <v/>
      </c>
      <c r="DA493" t="str">
        <f>""</f>
        <v/>
      </c>
      <c r="DB493" t="str">
        <f>""</f>
        <v/>
      </c>
      <c r="DC493" t="str">
        <f>""</f>
        <v/>
      </c>
      <c r="DD493" t="str">
        <f>""</f>
        <v/>
      </c>
      <c r="DE493" t="str">
        <f>""</f>
        <v/>
      </c>
      <c r="DF493" t="str">
        <f>""</f>
        <v/>
      </c>
      <c r="DG493" t="str">
        <f>""</f>
        <v/>
      </c>
      <c r="DH493" t="str">
        <f>""</f>
        <v/>
      </c>
      <c r="DI493" t="str">
        <f>""</f>
        <v/>
      </c>
      <c r="DJ493" t="str">
        <f>""</f>
        <v/>
      </c>
      <c r="DK493" t="str">
        <f>""</f>
        <v/>
      </c>
      <c r="DL493" t="str">
        <f>""</f>
        <v/>
      </c>
      <c r="DM493" t="str">
        <f>""</f>
        <v/>
      </c>
      <c r="DN493" t="str">
        <f>""</f>
        <v/>
      </c>
      <c r="DO493" t="str">
        <f>""</f>
        <v/>
      </c>
      <c r="DP493" t="str">
        <f>""</f>
        <v/>
      </c>
      <c r="DQ493" t="str">
        <f>""</f>
        <v/>
      </c>
      <c r="DR493" t="str">
        <f>""</f>
        <v/>
      </c>
      <c r="DS493" t="str">
        <f>""</f>
        <v/>
      </c>
      <c r="DT493" t="str">
        <f>""</f>
        <v/>
      </c>
      <c r="DU493" t="str">
        <f>""</f>
        <v/>
      </c>
    </row>
    <row r="494" spans="1:125">
      <c r="A494" t="str">
        <f>$A$34</f>
        <v xml:space="preserve">    Washington Prime Group Inc</v>
      </c>
      <c r="B494" t="str">
        <f>$B$34</f>
        <v>WPG US Equity</v>
      </c>
      <c r="C494" t="str">
        <f>$C$34</f>
        <v>IM275</v>
      </c>
      <c r="D494" t="str">
        <f>$D$34</f>
        <v>IS_OTHER_RENTAL_INCOME</v>
      </c>
      <c r="E494" t="str">
        <f>$E$34</f>
        <v>动态</v>
      </c>
      <c r="F494" t="str">
        <f ca="1">BDH($B$34,$C$34,$B$417,$B$418,CONCATENATE("Per=",$B$415),"Dts=H","Dir=H",CONCATENATE("Points=",$B$416),"Sort=R","Days=A","Fill=B",CONCATENATE("FX=", $B$414) )</f>
        <v>#N/A Authorization</v>
      </c>
      <c r="BN494" t="str">
        <f>""</f>
        <v/>
      </c>
      <c r="BO494" t="str">
        <f>""</f>
        <v/>
      </c>
      <c r="BP494" t="str">
        <f>""</f>
        <v/>
      </c>
      <c r="BQ494" t="str">
        <f>""</f>
        <v/>
      </c>
      <c r="BR494" t="str">
        <f>""</f>
        <v/>
      </c>
      <c r="BS494" t="str">
        <f>""</f>
        <v/>
      </c>
      <c r="BT494" t="str">
        <f>""</f>
        <v/>
      </c>
      <c r="BU494" t="str">
        <f>""</f>
        <v/>
      </c>
      <c r="BV494" t="str">
        <f>""</f>
        <v/>
      </c>
      <c r="BW494" t="str">
        <f>""</f>
        <v/>
      </c>
      <c r="BX494" t="str">
        <f>""</f>
        <v/>
      </c>
      <c r="BY494" t="str">
        <f>""</f>
        <v/>
      </c>
      <c r="BZ494" t="str">
        <f>""</f>
        <v/>
      </c>
      <c r="CA494" t="str">
        <f>""</f>
        <v/>
      </c>
      <c r="CB494" t="str">
        <f>""</f>
        <v/>
      </c>
      <c r="CC494" t="str">
        <f>""</f>
        <v/>
      </c>
      <c r="CD494" t="str">
        <f>""</f>
        <v/>
      </c>
      <c r="CE494" t="str">
        <f>""</f>
        <v/>
      </c>
      <c r="CF494" t="str">
        <f>""</f>
        <v/>
      </c>
      <c r="CG494" t="str">
        <f>""</f>
        <v/>
      </c>
      <c r="CH494" t="str">
        <f>""</f>
        <v/>
      </c>
      <c r="CI494" t="str">
        <f>""</f>
        <v/>
      </c>
      <c r="CJ494" t="str">
        <f>""</f>
        <v/>
      </c>
      <c r="CK494" t="str">
        <f>""</f>
        <v/>
      </c>
      <c r="CL494" t="str">
        <f>""</f>
        <v/>
      </c>
      <c r="CM494" t="str">
        <f>""</f>
        <v/>
      </c>
      <c r="CN494" t="str">
        <f>""</f>
        <v/>
      </c>
      <c r="CO494" t="str">
        <f>""</f>
        <v/>
      </c>
      <c r="CP494" t="str">
        <f>""</f>
        <v/>
      </c>
      <c r="CQ494" t="str">
        <f>""</f>
        <v/>
      </c>
      <c r="CR494" t="str">
        <f>""</f>
        <v/>
      </c>
      <c r="CS494" t="str">
        <f>""</f>
        <v/>
      </c>
      <c r="CT494" t="str">
        <f>""</f>
        <v/>
      </c>
      <c r="CU494" t="str">
        <f>""</f>
        <v/>
      </c>
      <c r="CV494" t="str">
        <f>""</f>
        <v/>
      </c>
      <c r="CW494" t="str">
        <f>""</f>
        <v/>
      </c>
      <c r="CX494" t="str">
        <f>""</f>
        <v/>
      </c>
      <c r="CY494" t="str">
        <f>""</f>
        <v/>
      </c>
      <c r="CZ494" t="str">
        <f>""</f>
        <v/>
      </c>
      <c r="DA494" t="str">
        <f>""</f>
        <v/>
      </c>
      <c r="DB494" t="str">
        <f>""</f>
        <v/>
      </c>
      <c r="DC494" t="str">
        <f>""</f>
        <v/>
      </c>
      <c r="DD494" t="str">
        <f>""</f>
        <v/>
      </c>
      <c r="DE494" t="str">
        <f>""</f>
        <v/>
      </c>
      <c r="DF494" t="str">
        <f>""</f>
        <v/>
      </c>
      <c r="DG494" t="str">
        <f>""</f>
        <v/>
      </c>
      <c r="DH494" t="str">
        <f>""</f>
        <v/>
      </c>
      <c r="DI494" t="str">
        <f>""</f>
        <v/>
      </c>
      <c r="DJ494" t="str">
        <f>""</f>
        <v/>
      </c>
      <c r="DK494" t="str">
        <f>""</f>
        <v/>
      </c>
      <c r="DL494" t="str">
        <f>""</f>
        <v/>
      </c>
      <c r="DM494" t="str">
        <f>""</f>
        <v/>
      </c>
      <c r="DN494" t="str">
        <f>""</f>
        <v/>
      </c>
      <c r="DO494" t="str">
        <f>""</f>
        <v/>
      </c>
      <c r="DP494" t="str">
        <f>""</f>
        <v/>
      </c>
      <c r="DQ494" t="str">
        <f>""</f>
        <v/>
      </c>
      <c r="DR494" t="str">
        <f>""</f>
        <v/>
      </c>
      <c r="DS494" t="str">
        <f>""</f>
        <v/>
      </c>
      <c r="DT494" t="str">
        <f>""</f>
        <v/>
      </c>
      <c r="DU494" t="str">
        <f>""</f>
        <v/>
      </c>
    </row>
    <row r="495" spans="1:125">
      <c r="A495" t="str">
        <f>$A$35</f>
        <v xml:space="preserve">    Weingarten Realty Investors</v>
      </c>
      <c r="B495" t="str">
        <f>$B$35</f>
        <v>WRI US Equity</v>
      </c>
      <c r="C495" t="str">
        <f>$C$35</f>
        <v>IM275</v>
      </c>
      <c r="D495" t="str">
        <f>$D$35</f>
        <v>IS_OTHER_RENTAL_INCOME</v>
      </c>
      <c r="E495" t="str">
        <f>$E$35</f>
        <v>动态</v>
      </c>
      <c r="F495" t="str">
        <f ca="1">BDH($B$35,$C$35,$B$417,$B$418,CONCATENATE("Per=",$B$415),"Dts=H","Dir=H",CONCATENATE("Points=",$B$416),"Sort=R","Days=A","Fill=B",CONCATENATE("FX=", $B$414) )</f>
        <v>#N/A Authorization</v>
      </c>
      <c r="BN495" t="str">
        <f>""</f>
        <v/>
      </c>
      <c r="BO495" t="str">
        <f>""</f>
        <v/>
      </c>
      <c r="BP495" t="str">
        <f>""</f>
        <v/>
      </c>
      <c r="BQ495" t="str">
        <f>""</f>
        <v/>
      </c>
      <c r="BR495" t="str">
        <f>""</f>
        <v/>
      </c>
      <c r="BS495" t="str">
        <f>""</f>
        <v/>
      </c>
      <c r="BT495" t="str">
        <f>""</f>
        <v/>
      </c>
      <c r="BU495" t="str">
        <f>""</f>
        <v/>
      </c>
      <c r="BV495" t="str">
        <f>""</f>
        <v/>
      </c>
      <c r="BW495" t="str">
        <f>""</f>
        <v/>
      </c>
      <c r="BX495" t="str">
        <f>""</f>
        <v/>
      </c>
      <c r="BY495" t="str">
        <f>""</f>
        <v/>
      </c>
      <c r="BZ495" t="str">
        <f>""</f>
        <v/>
      </c>
      <c r="CA495" t="str">
        <f>""</f>
        <v/>
      </c>
      <c r="CB495" t="str">
        <f>""</f>
        <v/>
      </c>
      <c r="CC495" t="str">
        <f>""</f>
        <v/>
      </c>
      <c r="CD495" t="str">
        <f>""</f>
        <v/>
      </c>
      <c r="CE495" t="str">
        <f>""</f>
        <v/>
      </c>
      <c r="CF495" t="str">
        <f>""</f>
        <v/>
      </c>
      <c r="CG495" t="str">
        <f>""</f>
        <v/>
      </c>
      <c r="CH495" t="str">
        <f>""</f>
        <v/>
      </c>
      <c r="CI495" t="str">
        <f>""</f>
        <v/>
      </c>
      <c r="CJ495" t="str">
        <f>""</f>
        <v/>
      </c>
      <c r="CK495" t="str">
        <f>""</f>
        <v/>
      </c>
      <c r="CL495" t="str">
        <f>""</f>
        <v/>
      </c>
      <c r="CM495" t="str">
        <f>""</f>
        <v/>
      </c>
      <c r="CN495" t="str">
        <f>""</f>
        <v/>
      </c>
      <c r="CO495" t="str">
        <f>""</f>
        <v/>
      </c>
      <c r="CP495" t="str">
        <f>""</f>
        <v/>
      </c>
      <c r="CQ495" t="str">
        <f>""</f>
        <v/>
      </c>
      <c r="CR495" t="str">
        <f>""</f>
        <v/>
      </c>
      <c r="CS495" t="str">
        <f>""</f>
        <v/>
      </c>
      <c r="CT495" t="str">
        <f>""</f>
        <v/>
      </c>
      <c r="CU495" t="str">
        <f>""</f>
        <v/>
      </c>
      <c r="CV495" t="str">
        <f>""</f>
        <v/>
      </c>
      <c r="CW495" t="str">
        <f>""</f>
        <v/>
      </c>
      <c r="CX495" t="str">
        <f>""</f>
        <v/>
      </c>
      <c r="CY495" t="str">
        <f>""</f>
        <v/>
      </c>
      <c r="CZ495" t="str">
        <f>""</f>
        <v/>
      </c>
      <c r="DA495" t="str">
        <f>""</f>
        <v/>
      </c>
      <c r="DB495" t="str">
        <f>""</f>
        <v/>
      </c>
      <c r="DC495" t="str">
        <f>""</f>
        <v/>
      </c>
      <c r="DD495" t="str">
        <f>""</f>
        <v/>
      </c>
      <c r="DE495" t="str">
        <f>""</f>
        <v/>
      </c>
      <c r="DF495" t="str">
        <f>""</f>
        <v/>
      </c>
      <c r="DG495" t="str">
        <f>""</f>
        <v/>
      </c>
      <c r="DH495" t="str">
        <f>""</f>
        <v/>
      </c>
      <c r="DI495" t="str">
        <f>""</f>
        <v/>
      </c>
      <c r="DJ495" t="str">
        <f>""</f>
        <v/>
      </c>
      <c r="DK495" t="str">
        <f>""</f>
        <v/>
      </c>
      <c r="DL495" t="str">
        <f>""</f>
        <v/>
      </c>
      <c r="DM495" t="str">
        <f>""</f>
        <v/>
      </c>
      <c r="DN495" t="str">
        <f>""</f>
        <v/>
      </c>
      <c r="DO495" t="str">
        <f>""</f>
        <v/>
      </c>
      <c r="DP495" t="str">
        <f>""</f>
        <v/>
      </c>
      <c r="DQ495" t="str">
        <f>""</f>
        <v/>
      </c>
      <c r="DR495" t="str">
        <f>""</f>
        <v/>
      </c>
      <c r="DS495" t="str">
        <f>""</f>
        <v/>
      </c>
      <c r="DT495" t="str">
        <f>""</f>
        <v/>
      </c>
      <c r="DU495" t="str">
        <f>""</f>
        <v/>
      </c>
    </row>
    <row r="496" spans="1:125">
      <c r="A496" t="str">
        <f>$A$37</f>
        <v xml:space="preserve">    Brixmor Property Group Inc</v>
      </c>
      <c r="B496" t="str">
        <f>$B$37</f>
        <v>BRX US Equity</v>
      </c>
      <c r="C496" t="str">
        <f>$C$37</f>
        <v>IM281</v>
      </c>
      <c r="D496" t="str">
        <f>$D$37</f>
        <v>IS_NON_REAL_ESTATE_INCOME</v>
      </c>
      <c r="E496" t="str">
        <f>$E$37</f>
        <v>动态</v>
      </c>
      <c r="F496" t="str">
        <f ca="1">BDH($B$37,$C$37,$B$417,$B$418,CONCATENATE("Per=",$B$415),"Dts=H","Dir=H",CONCATENATE("Points=",$B$416),"Sort=R","Days=A","Fill=B",CONCATENATE("FX=", $B$414) )</f>
        <v>#N/A Authorization</v>
      </c>
      <c r="BN496" t="str">
        <f>""</f>
        <v/>
      </c>
      <c r="BO496" t="str">
        <f>""</f>
        <v/>
      </c>
      <c r="BP496" t="str">
        <f>""</f>
        <v/>
      </c>
      <c r="BQ496" t="str">
        <f>""</f>
        <v/>
      </c>
      <c r="BR496" t="str">
        <f>""</f>
        <v/>
      </c>
      <c r="BS496" t="str">
        <f>""</f>
        <v/>
      </c>
      <c r="BT496" t="str">
        <f>""</f>
        <v/>
      </c>
      <c r="BU496" t="str">
        <f>""</f>
        <v/>
      </c>
      <c r="BV496" t="str">
        <f>""</f>
        <v/>
      </c>
      <c r="BW496" t="str">
        <f>""</f>
        <v/>
      </c>
      <c r="BX496" t="str">
        <f>""</f>
        <v/>
      </c>
      <c r="BY496" t="str">
        <f>""</f>
        <v/>
      </c>
      <c r="BZ496" t="str">
        <f>""</f>
        <v/>
      </c>
      <c r="CA496" t="str">
        <f>""</f>
        <v/>
      </c>
      <c r="CB496" t="str">
        <f>""</f>
        <v/>
      </c>
      <c r="CC496" t="str">
        <f>""</f>
        <v/>
      </c>
      <c r="CD496" t="str">
        <f>""</f>
        <v/>
      </c>
      <c r="CE496" t="str">
        <f>""</f>
        <v/>
      </c>
      <c r="CF496" t="str">
        <f>""</f>
        <v/>
      </c>
      <c r="CG496" t="str">
        <f>""</f>
        <v/>
      </c>
      <c r="CH496" t="str">
        <f>""</f>
        <v/>
      </c>
      <c r="CI496" t="str">
        <f>""</f>
        <v/>
      </c>
      <c r="CJ496" t="str">
        <f>""</f>
        <v/>
      </c>
      <c r="CK496" t="str">
        <f>""</f>
        <v/>
      </c>
      <c r="CL496" t="str">
        <f>""</f>
        <v/>
      </c>
      <c r="CM496" t="str">
        <f>""</f>
        <v/>
      </c>
      <c r="CN496" t="str">
        <f>""</f>
        <v/>
      </c>
      <c r="CO496" t="str">
        <f>""</f>
        <v/>
      </c>
      <c r="CP496" t="str">
        <f>""</f>
        <v/>
      </c>
      <c r="CQ496" t="str">
        <f>""</f>
        <v/>
      </c>
      <c r="CR496" t="str">
        <f>""</f>
        <v/>
      </c>
      <c r="CS496" t="str">
        <f>""</f>
        <v/>
      </c>
      <c r="CT496" t="str">
        <f>""</f>
        <v/>
      </c>
      <c r="CU496" t="str">
        <f>""</f>
        <v/>
      </c>
      <c r="CV496" t="str">
        <f>""</f>
        <v/>
      </c>
      <c r="CW496" t="str">
        <f>""</f>
        <v/>
      </c>
      <c r="CX496" t="str">
        <f>""</f>
        <v/>
      </c>
      <c r="CY496" t="str">
        <f>""</f>
        <v/>
      </c>
      <c r="CZ496" t="str">
        <f>""</f>
        <v/>
      </c>
      <c r="DA496" t="str">
        <f>""</f>
        <v/>
      </c>
      <c r="DB496" t="str">
        <f>""</f>
        <v/>
      </c>
      <c r="DC496" t="str">
        <f>""</f>
        <v/>
      </c>
      <c r="DD496" t="str">
        <f>""</f>
        <v/>
      </c>
      <c r="DE496" t="str">
        <f>""</f>
        <v/>
      </c>
      <c r="DF496" t="str">
        <f>""</f>
        <v/>
      </c>
      <c r="DG496" t="str">
        <f>""</f>
        <v/>
      </c>
      <c r="DH496" t="str">
        <f>""</f>
        <v/>
      </c>
      <c r="DI496" t="str">
        <f>""</f>
        <v/>
      </c>
      <c r="DJ496" t="str">
        <f>""</f>
        <v/>
      </c>
      <c r="DK496" t="str">
        <f>""</f>
        <v/>
      </c>
      <c r="DL496" t="str">
        <f>""</f>
        <v/>
      </c>
      <c r="DM496" t="str">
        <f>""</f>
        <v/>
      </c>
      <c r="DN496" t="str">
        <f>""</f>
        <v/>
      </c>
      <c r="DO496" t="str">
        <f>""</f>
        <v/>
      </c>
      <c r="DP496" t="str">
        <f>""</f>
        <v/>
      </c>
      <c r="DQ496" t="str">
        <f>""</f>
        <v/>
      </c>
      <c r="DR496" t="str">
        <f>""</f>
        <v/>
      </c>
      <c r="DS496" t="str">
        <f>""</f>
        <v/>
      </c>
      <c r="DT496" t="str">
        <f>""</f>
        <v/>
      </c>
      <c r="DU496" t="str">
        <f>""</f>
        <v/>
      </c>
    </row>
    <row r="497" spans="1:125">
      <c r="A497" t="str">
        <f>$A$38</f>
        <v xml:space="preserve">    CBL &amp; Associates Properties In</v>
      </c>
      <c r="B497" t="str">
        <f>$B$38</f>
        <v>CBL US Equity</v>
      </c>
      <c r="C497" t="str">
        <f>$C$38</f>
        <v>IM281</v>
      </c>
      <c r="D497" t="str">
        <f>$D$38</f>
        <v>IS_NON_REAL_ESTATE_INCOME</v>
      </c>
      <c r="E497" t="str">
        <f>$E$38</f>
        <v>动态</v>
      </c>
      <c r="F497" t="str">
        <f ca="1">BDH($B$38,$C$38,$B$417,$B$418,CONCATENATE("Per=",$B$415),"Dts=H","Dir=H",CONCATENATE("Points=",$B$416),"Sort=R","Days=A","Fill=B",CONCATENATE("FX=", $B$414) )</f>
        <v>#N/A Authorization</v>
      </c>
      <c r="BN497" t="str">
        <f>""</f>
        <v/>
      </c>
      <c r="BO497" t="str">
        <f>""</f>
        <v/>
      </c>
      <c r="BP497" t="str">
        <f>""</f>
        <v/>
      </c>
      <c r="BQ497" t="str">
        <f>""</f>
        <v/>
      </c>
      <c r="BR497" t="str">
        <f>""</f>
        <v/>
      </c>
      <c r="BS497" t="str">
        <f>""</f>
        <v/>
      </c>
      <c r="BT497" t="str">
        <f>""</f>
        <v/>
      </c>
      <c r="BU497" t="str">
        <f>""</f>
        <v/>
      </c>
      <c r="BV497" t="str">
        <f>""</f>
        <v/>
      </c>
      <c r="BW497" t="str">
        <f>""</f>
        <v/>
      </c>
      <c r="BX497" t="str">
        <f>""</f>
        <v/>
      </c>
      <c r="BY497" t="str">
        <f>""</f>
        <v/>
      </c>
      <c r="BZ497" t="str">
        <f>""</f>
        <v/>
      </c>
      <c r="CA497" t="str">
        <f>""</f>
        <v/>
      </c>
      <c r="CB497" t="str">
        <f>""</f>
        <v/>
      </c>
      <c r="CC497" t="str">
        <f>""</f>
        <v/>
      </c>
      <c r="CD497" t="str">
        <f>""</f>
        <v/>
      </c>
      <c r="CE497" t="str">
        <f>""</f>
        <v/>
      </c>
      <c r="CF497" t="str">
        <f>""</f>
        <v/>
      </c>
      <c r="CG497" t="str">
        <f>""</f>
        <v/>
      </c>
      <c r="CH497" t="str">
        <f>""</f>
        <v/>
      </c>
      <c r="CI497" t="str">
        <f>""</f>
        <v/>
      </c>
      <c r="CJ497" t="str">
        <f>""</f>
        <v/>
      </c>
      <c r="CK497" t="str">
        <f>""</f>
        <v/>
      </c>
      <c r="CL497" t="str">
        <f>""</f>
        <v/>
      </c>
      <c r="CM497" t="str">
        <f>""</f>
        <v/>
      </c>
      <c r="CN497" t="str">
        <f>""</f>
        <v/>
      </c>
      <c r="CO497" t="str">
        <f>""</f>
        <v/>
      </c>
      <c r="CP497" t="str">
        <f>""</f>
        <v/>
      </c>
      <c r="CQ497" t="str">
        <f>""</f>
        <v/>
      </c>
      <c r="CR497" t="str">
        <f>""</f>
        <v/>
      </c>
      <c r="CS497" t="str">
        <f>""</f>
        <v/>
      </c>
      <c r="CT497" t="str">
        <f>""</f>
        <v/>
      </c>
      <c r="CU497" t="str">
        <f>""</f>
        <v/>
      </c>
      <c r="CV497" t="str">
        <f>""</f>
        <v/>
      </c>
      <c r="CW497" t="str">
        <f>""</f>
        <v/>
      </c>
      <c r="CX497" t="str">
        <f>""</f>
        <v/>
      </c>
      <c r="CY497" t="str">
        <f>""</f>
        <v/>
      </c>
      <c r="CZ497" t="str">
        <f>""</f>
        <v/>
      </c>
      <c r="DA497" t="str">
        <f>""</f>
        <v/>
      </c>
      <c r="DB497" t="str">
        <f>""</f>
        <v/>
      </c>
      <c r="DC497" t="str">
        <f>""</f>
        <v/>
      </c>
      <c r="DD497" t="str">
        <f>""</f>
        <v/>
      </c>
      <c r="DE497" t="str">
        <f>""</f>
        <v/>
      </c>
      <c r="DF497" t="str">
        <f>""</f>
        <v/>
      </c>
      <c r="DG497" t="str">
        <f>""</f>
        <v/>
      </c>
      <c r="DH497" t="str">
        <f>""</f>
        <v/>
      </c>
      <c r="DI497" t="str">
        <f>""</f>
        <v/>
      </c>
      <c r="DJ497" t="str">
        <f>""</f>
        <v/>
      </c>
      <c r="DK497" t="str">
        <f>""</f>
        <v/>
      </c>
      <c r="DL497" t="str">
        <f>""</f>
        <v/>
      </c>
      <c r="DM497" t="str">
        <f>""</f>
        <v/>
      </c>
      <c r="DN497" t="str">
        <f>""</f>
        <v/>
      </c>
      <c r="DO497" t="str">
        <f>""</f>
        <v/>
      </c>
      <c r="DP497" t="str">
        <f>""</f>
        <v/>
      </c>
      <c r="DQ497" t="str">
        <f>""</f>
        <v/>
      </c>
      <c r="DR497" t="str">
        <f>""</f>
        <v/>
      </c>
      <c r="DS497" t="str">
        <f>""</f>
        <v/>
      </c>
      <c r="DT497" t="str">
        <f>""</f>
        <v/>
      </c>
      <c r="DU497" t="str">
        <f>""</f>
        <v/>
      </c>
    </row>
    <row r="498" spans="1:125">
      <c r="A498" t="str">
        <f>$A$39</f>
        <v xml:space="preserve">    DDR Corp</v>
      </c>
      <c r="B498" t="str">
        <f>$B$39</f>
        <v>DDR US Equity</v>
      </c>
      <c r="C498" t="str">
        <f>$C$39</f>
        <v>IM281</v>
      </c>
      <c r="D498" t="str">
        <f>$D$39</f>
        <v>IS_NON_REAL_ESTATE_INCOME</v>
      </c>
      <c r="E498" t="str">
        <f>$E$39</f>
        <v>动态</v>
      </c>
      <c r="F498" t="str">
        <f ca="1">BDH($B$39,$C$39,$B$417,$B$418,CONCATENATE("Per=",$B$415),"Dts=H","Dir=H",CONCATENATE("Points=",$B$416),"Sort=R","Days=A","Fill=B",CONCATENATE("FX=", $B$414) )</f>
        <v>#N/A Authorization</v>
      </c>
      <c r="BN498" t="str">
        <f>""</f>
        <v/>
      </c>
      <c r="BO498" t="str">
        <f>""</f>
        <v/>
      </c>
      <c r="BP498" t="str">
        <f>""</f>
        <v/>
      </c>
      <c r="BQ498" t="str">
        <f>""</f>
        <v/>
      </c>
      <c r="BR498" t="str">
        <f>""</f>
        <v/>
      </c>
      <c r="BS498" t="str">
        <f>""</f>
        <v/>
      </c>
      <c r="BT498" t="str">
        <f>""</f>
        <v/>
      </c>
      <c r="BU498" t="str">
        <f>""</f>
        <v/>
      </c>
      <c r="BV498" t="str">
        <f>""</f>
        <v/>
      </c>
      <c r="BW498" t="str">
        <f>""</f>
        <v/>
      </c>
      <c r="BX498" t="str">
        <f>""</f>
        <v/>
      </c>
      <c r="BY498" t="str">
        <f>""</f>
        <v/>
      </c>
      <c r="BZ498" t="str">
        <f>""</f>
        <v/>
      </c>
      <c r="CA498" t="str">
        <f>""</f>
        <v/>
      </c>
      <c r="CB498" t="str">
        <f>""</f>
        <v/>
      </c>
      <c r="CC498" t="str">
        <f>""</f>
        <v/>
      </c>
      <c r="CD498" t="str">
        <f>""</f>
        <v/>
      </c>
      <c r="CE498" t="str">
        <f>""</f>
        <v/>
      </c>
      <c r="CF498" t="str">
        <f>""</f>
        <v/>
      </c>
      <c r="CG498" t="str">
        <f>""</f>
        <v/>
      </c>
      <c r="CH498" t="str">
        <f>""</f>
        <v/>
      </c>
      <c r="CI498" t="str">
        <f>""</f>
        <v/>
      </c>
      <c r="CJ498" t="str">
        <f>""</f>
        <v/>
      </c>
      <c r="CK498" t="str">
        <f>""</f>
        <v/>
      </c>
      <c r="CL498" t="str">
        <f>""</f>
        <v/>
      </c>
      <c r="CM498" t="str">
        <f>""</f>
        <v/>
      </c>
      <c r="CN498" t="str">
        <f>""</f>
        <v/>
      </c>
      <c r="CO498" t="str">
        <f>""</f>
        <v/>
      </c>
      <c r="CP498" t="str">
        <f>""</f>
        <v/>
      </c>
      <c r="CQ498" t="str">
        <f>""</f>
        <v/>
      </c>
      <c r="CR498" t="str">
        <f>""</f>
        <v/>
      </c>
      <c r="CS498" t="str">
        <f>""</f>
        <v/>
      </c>
      <c r="CT498" t="str">
        <f>""</f>
        <v/>
      </c>
      <c r="CU498" t="str">
        <f>""</f>
        <v/>
      </c>
      <c r="CV498" t="str">
        <f>""</f>
        <v/>
      </c>
      <c r="CW498" t="str">
        <f>""</f>
        <v/>
      </c>
      <c r="CX498" t="str">
        <f>""</f>
        <v/>
      </c>
      <c r="CY498" t="str">
        <f>""</f>
        <v/>
      </c>
      <c r="CZ498" t="str">
        <f>""</f>
        <v/>
      </c>
      <c r="DA498" t="str">
        <f>""</f>
        <v/>
      </c>
      <c r="DB498" t="str">
        <f>""</f>
        <v/>
      </c>
      <c r="DC498" t="str">
        <f>""</f>
        <v/>
      </c>
      <c r="DD498" t="str">
        <f>""</f>
        <v/>
      </c>
      <c r="DE498" t="str">
        <f>""</f>
        <v/>
      </c>
      <c r="DF498" t="str">
        <f>""</f>
        <v/>
      </c>
      <c r="DG498" t="str">
        <f>""</f>
        <v/>
      </c>
      <c r="DH498" t="str">
        <f>""</f>
        <v/>
      </c>
      <c r="DI498" t="str">
        <f>""</f>
        <v/>
      </c>
      <c r="DJ498" t="str">
        <f>""</f>
        <v/>
      </c>
      <c r="DK498" t="str">
        <f>""</f>
        <v/>
      </c>
      <c r="DL498" t="str">
        <f>""</f>
        <v/>
      </c>
      <c r="DM498" t="str">
        <f>""</f>
        <v/>
      </c>
      <c r="DN498" t="str">
        <f>""</f>
        <v/>
      </c>
      <c r="DO498" t="str">
        <f>""</f>
        <v/>
      </c>
      <c r="DP498" t="str">
        <f>""</f>
        <v/>
      </c>
      <c r="DQ498" t="str">
        <f>""</f>
        <v/>
      </c>
      <c r="DR498" t="str">
        <f>""</f>
        <v/>
      </c>
      <c r="DS498" t="str">
        <f>""</f>
        <v/>
      </c>
      <c r="DT498" t="str">
        <f>""</f>
        <v/>
      </c>
      <c r="DU498" t="str">
        <f>""</f>
        <v/>
      </c>
    </row>
    <row r="499" spans="1:125">
      <c r="A499" t="str">
        <f>$A$40</f>
        <v xml:space="preserve">    Federal Realty Investment Trus</v>
      </c>
      <c r="B499" t="str">
        <f>$B$40</f>
        <v>FRT US Equity</v>
      </c>
      <c r="C499" t="str">
        <f>$C$40</f>
        <v>IM281</v>
      </c>
      <c r="D499" t="str">
        <f>$D$40</f>
        <v>IS_NON_REAL_ESTATE_INCOME</v>
      </c>
      <c r="E499" t="str">
        <f>$E$40</f>
        <v>动态</v>
      </c>
      <c r="F499" t="str">
        <f ca="1">BDH($B$40,$C$40,$B$417,$B$418,CONCATENATE("Per=",$B$415),"Dts=H","Dir=H",CONCATENATE("Points=",$B$416),"Sort=R","Days=A","Fill=B",CONCATENATE("FX=", $B$414) )</f>
        <v>#N/A Authorization</v>
      </c>
      <c r="BN499" t="str">
        <f>""</f>
        <v/>
      </c>
      <c r="BO499" t="str">
        <f>""</f>
        <v/>
      </c>
      <c r="BP499" t="str">
        <f>""</f>
        <v/>
      </c>
      <c r="BQ499" t="str">
        <f>""</f>
        <v/>
      </c>
      <c r="BR499" t="str">
        <f>""</f>
        <v/>
      </c>
      <c r="BS499" t="str">
        <f>""</f>
        <v/>
      </c>
      <c r="BT499" t="str">
        <f>""</f>
        <v/>
      </c>
      <c r="BU499" t="str">
        <f>""</f>
        <v/>
      </c>
      <c r="BV499" t="str">
        <f>""</f>
        <v/>
      </c>
      <c r="BW499" t="str">
        <f>""</f>
        <v/>
      </c>
      <c r="BX499" t="str">
        <f>""</f>
        <v/>
      </c>
      <c r="BY499" t="str">
        <f>""</f>
        <v/>
      </c>
      <c r="BZ499" t="str">
        <f>""</f>
        <v/>
      </c>
      <c r="CA499" t="str">
        <f>""</f>
        <v/>
      </c>
      <c r="CB499" t="str">
        <f>""</f>
        <v/>
      </c>
      <c r="CC499" t="str">
        <f>""</f>
        <v/>
      </c>
      <c r="CD499" t="str">
        <f>""</f>
        <v/>
      </c>
      <c r="CE499" t="str">
        <f>""</f>
        <v/>
      </c>
      <c r="CF499" t="str">
        <f>""</f>
        <v/>
      </c>
      <c r="CG499" t="str">
        <f>""</f>
        <v/>
      </c>
      <c r="CH499" t="str">
        <f>""</f>
        <v/>
      </c>
      <c r="CI499" t="str">
        <f>""</f>
        <v/>
      </c>
      <c r="CJ499" t="str">
        <f>""</f>
        <v/>
      </c>
      <c r="CK499" t="str">
        <f>""</f>
        <v/>
      </c>
      <c r="CL499" t="str">
        <f>""</f>
        <v/>
      </c>
      <c r="CM499" t="str">
        <f>""</f>
        <v/>
      </c>
      <c r="CN499" t="str">
        <f>""</f>
        <v/>
      </c>
      <c r="CO499" t="str">
        <f>""</f>
        <v/>
      </c>
      <c r="CP499" t="str">
        <f>""</f>
        <v/>
      </c>
      <c r="CQ499" t="str">
        <f>""</f>
        <v/>
      </c>
      <c r="CR499" t="str">
        <f>""</f>
        <v/>
      </c>
      <c r="CS499" t="str">
        <f>""</f>
        <v/>
      </c>
      <c r="CT499" t="str">
        <f>""</f>
        <v/>
      </c>
      <c r="CU499" t="str">
        <f>""</f>
        <v/>
      </c>
      <c r="CV499" t="str">
        <f>""</f>
        <v/>
      </c>
      <c r="CW499" t="str">
        <f>""</f>
        <v/>
      </c>
      <c r="CX499" t="str">
        <f>""</f>
        <v/>
      </c>
      <c r="CY499" t="str">
        <f>""</f>
        <v/>
      </c>
      <c r="CZ499" t="str">
        <f>""</f>
        <v/>
      </c>
      <c r="DA499" t="str">
        <f>""</f>
        <v/>
      </c>
      <c r="DB499" t="str">
        <f>""</f>
        <v/>
      </c>
      <c r="DC499" t="str">
        <f>""</f>
        <v/>
      </c>
      <c r="DD499" t="str">
        <f>""</f>
        <v/>
      </c>
      <c r="DE499" t="str">
        <f>""</f>
        <v/>
      </c>
      <c r="DF499" t="str">
        <f>""</f>
        <v/>
      </c>
      <c r="DG499" t="str">
        <f>""</f>
        <v/>
      </c>
      <c r="DH499" t="str">
        <f>""</f>
        <v/>
      </c>
      <c r="DI499" t="str">
        <f>""</f>
        <v/>
      </c>
      <c r="DJ499" t="str">
        <f>""</f>
        <v/>
      </c>
      <c r="DK499" t="str">
        <f>""</f>
        <v/>
      </c>
      <c r="DL499" t="str">
        <f>""</f>
        <v/>
      </c>
      <c r="DM499" t="str">
        <f>""</f>
        <v/>
      </c>
      <c r="DN499" t="str">
        <f>""</f>
        <v/>
      </c>
      <c r="DO499" t="str">
        <f>""</f>
        <v/>
      </c>
      <c r="DP499" t="str">
        <f>""</f>
        <v/>
      </c>
      <c r="DQ499" t="str">
        <f>""</f>
        <v/>
      </c>
      <c r="DR499" t="str">
        <f>""</f>
        <v/>
      </c>
      <c r="DS499" t="str">
        <f>""</f>
        <v/>
      </c>
      <c r="DT499" t="str">
        <f>""</f>
        <v/>
      </c>
      <c r="DU499" t="str">
        <f>""</f>
        <v/>
      </c>
    </row>
    <row r="500" spans="1:125">
      <c r="A500" t="str">
        <f>$A$41</f>
        <v xml:space="preserve">    Kimco Realty Corp</v>
      </c>
      <c r="B500" t="str">
        <f>$B$41</f>
        <v>KIM US Equity</v>
      </c>
      <c r="C500" t="str">
        <f>$C$41</f>
        <v>IM281</v>
      </c>
      <c r="D500" t="str">
        <f>$D$41</f>
        <v>IS_NON_REAL_ESTATE_INCOME</v>
      </c>
      <c r="E500" t="str">
        <f>$E$41</f>
        <v>动态</v>
      </c>
      <c r="F500" t="str">
        <f ca="1">BDH($B$41,$C$41,$B$417,$B$418,CONCATENATE("Per=",$B$415),"Dts=H","Dir=H",CONCATENATE("Points=",$B$416),"Sort=R","Days=A","Fill=B",CONCATENATE("FX=", $B$414) )</f>
        <v>#N/A Authorization</v>
      </c>
      <c r="BN500" t="str">
        <f>""</f>
        <v/>
      </c>
      <c r="BO500" t="str">
        <f>""</f>
        <v/>
      </c>
      <c r="BP500" t="str">
        <f>""</f>
        <v/>
      </c>
      <c r="BQ500" t="str">
        <f>""</f>
        <v/>
      </c>
      <c r="BR500" t="str">
        <f>""</f>
        <v/>
      </c>
      <c r="BS500" t="str">
        <f>""</f>
        <v/>
      </c>
      <c r="BT500" t="str">
        <f>""</f>
        <v/>
      </c>
      <c r="BU500" t="str">
        <f>""</f>
        <v/>
      </c>
      <c r="BV500" t="str">
        <f>""</f>
        <v/>
      </c>
      <c r="BW500" t="str">
        <f>""</f>
        <v/>
      </c>
      <c r="BX500" t="str">
        <f>""</f>
        <v/>
      </c>
      <c r="BY500" t="str">
        <f>""</f>
        <v/>
      </c>
      <c r="BZ500" t="str">
        <f>""</f>
        <v/>
      </c>
      <c r="CA500" t="str">
        <f>""</f>
        <v/>
      </c>
      <c r="CB500" t="str">
        <f>""</f>
        <v/>
      </c>
      <c r="CC500" t="str">
        <f>""</f>
        <v/>
      </c>
      <c r="CD500" t="str">
        <f>""</f>
        <v/>
      </c>
      <c r="CE500" t="str">
        <f>""</f>
        <v/>
      </c>
      <c r="CF500" t="str">
        <f>""</f>
        <v/>
      </c>
      <c r="CG500" t="str">
        <f>""</f>
        <v/>
      </c>
      <c r="CH500" t="str">
        <f>""</f>
        <v/>
      </c>
      <c r="CI500" t="str">
        <f>""</f>
        <v/>
      </c>
      <c r="CJ500" t="str">
        <f>""</f>
        <v/>
      </c>
      <c r="CK500" t="str">
        <f>""</f>
        <v/>
      </c>
      <c r="CL500" t="str">
        <f>""</f>
        <v/>
      </c>
      <c r="CM500" t="str">
        <f>""</f>
        <v/>
      </c>
      <c r="CN500" t="str">
        <f>""</f>
        <v/>
      </c>
      <c r="CO500" t="str">
        <f>""</f>
        <v/>
      </c>
      <c r="CP500" t="str">
        <f>""</f>
        <v/>
      </c>
      <c r="CQ500" t="str">
        <f>""</f>
        <v/>
      </c>
      <c r="CR500" t="str">
        <f>""</f>
        <v/>
      </c>
      <c r="CS500" t="str">
        <f>""</f>
        <v/>
      </c>
      <c r="CT500" t="str">
        <f>""</f>
        <v/>
      </c>
      <c r="CU500" t="str">
        <f>""</f>
        <v/>
      </c>
      <c r="CV500" t="str">
        <f>""</f>
        <v/>
      </c>
      <c r="CW500" t="str">
        <f>""</f>
        <v/>
      </c>
      <c r="CX500" t="str">
        <f>""</f>
        <v/>
      </c>
      <c r="CY500" t="str">
        <f>""</f>
        <v/>
      </c>
      <c r="CZ500" t="str">
        <f>""</f>
        <v/>
      </c>
      <c r="DA500" t="str">
        <f>""</f>
        <v/>
      </c>
      <c r="DB500" t="str">
        <f>""</f>
        <v/>
      </c>
      <c r="DC500" t="str">
        <f>""</f>
        <v/>
      </c>
      <c r="DD500" t="str">
        <f>""</f>
        <v/>
      </c>
      <c r="DE500" t="str">
        <f>""</f>
        <v/>
      </c>
      <c r="DF500" t="str">
        <f>""</f>
        <v/>
      </c>
      <c r="DG500" t="str">
        <f>""</f>
        <v/>
      </c>
      <c r="DH500" t="str">
        <f>""</f>
        <v/>
      </c>
      <c r="DI500" t="str">
        <f>""</f>
        <v/>
      </c>
      <c r="DJ500" t="str">
        <f>""</f>
        <v/>
      </c>
      <c r="DK500" t="str">
        <f>""</f>
        <v/>
      </c>
      <c r="DL500" t="str">
        <f>""</f>
        <v/>
      </c>
      <c r="DM500" t="str">
        <f>""</f>
        <v/>
      </c>
      <c r="DN500" t="str">
        <f>""</f>
        <v/>
      </c>
      <c r="DO500" t="str">
        <f>""</f>
        <v/>
      </c>
      <c r="DP500" t="str">
        <f>""</f>
        <v/>
      </c>
      <c r="DQ500" t="str">
        <f>""</f>
        <v/>
      </c>
      <c r="DR500" t="str">
        <f>""</f>
        <v/>
      </c>
      <c r="DS500" t="str">
        <f>""</f>
        <v/>
      </c>
      <c r="DT500" t="str">
        <f>""</f>
        <v/>
      </c>
      <c r="DU500" t="str">
        <f>""</f>
        <v/>
      </c>
    </row>
    <row r="501" spans="1:125">
      <c r="A501" t="str">
        <f>$A$42</f>
        <v xml:space="preserve">    National Retail Properties Inc</v>
      </c>
      <c r="B501" t="str">
        <f>$B$42</f>
        <v>NNN US Equity</v>
      </c>
      <c r="C501" t="str">
        <f>$C$42</f>
        <v>IM281</v>
      </c>
      <c r="D501" t="str">
        <f>$D$42</f>
        <v>IS_NON_REAL_ESTATE_INCOME</v>
      </c>
      <c r="E501" t="str">
        <f>$E$42</f>
        <v>动态</v>
      </c>
      <c r="F501" t="str">
        <f ca="1">BDH($B$42,$C$42,$B$417,$B$418,CONCATENATE("Per=",$B$415),"Dts=H","Dir=H",CONCATENATE("Points=",$B$416),"Sort=R","Days=A","Fill=B",CONCATENATE("FX=", $B$414) )</f>
        <v>#N/A Authorization</v>
      </c>
      <c r="BN501" t="str">
        <f>""</f>
        <v/>
      </c>
      <c r="BO501" t="str">
        <f>""</f>
        <v/>
      </c>
      <c r="BP501" t="str">
        <f>""</f>
        <v/>
      </c>
      <c r="BQ501" t="str">
        <f>""</f>
        <v/>
      </c>
      <c r="BR501" t="str">
        <f>""</f>
        <v/>
      </c>
      <c r="BS501" t="str">
        <f>""</f>
        <v/>
      </c>
      <c r="BT501" t="str">
        <f>""</f>
        <v/>
      </c>
      <c r="BU501" t="str">
        <f>""</f>
        <v/>
      </c>
      <c r="BV501" t="str">
        <f>""</f>
        <v/>
      </c>
      <c r="BW501" t="str">
        <f>""</f>
        <v/>
      </c>
      <c r="BX501" t="str">
        <f>""</f>
        <v/>
      </c>
      <c r="BY501" t="str">
        <f>""</f>
        <v/>
      </c>
      <c r="BZ501" t="str">
        <f>""</f>
        <v/>
      </c>
      <c r="CA501" t="str">
        <f>""</f>
        <v/>
      </c>
      <c r="CB501" t="str">
        <f>""</f>
        <v/>
      </c>
      <c r="CC501" t="str">
        <f>""</f>
        <v/>
      </c>
      <c r="CD501" t="str">
        <f>""</f>
        <v/>
      </c>
      <c r="CE501" t="str">
        <f>""</f>
        <v/>
      </c>
      <c r="CF501" t="str">
        <f>""</f>
        <v/>
      </c>
      <c r="CG501" t="str">
        <f>""</f>
        <v/>
      </c>
      <c r="CH501" t="str">
        <f>""</f>
        <v/>
      </c>
      <c r="CI501" t="str">
        <f>""</f>
        <v/>
      </c>
      <c r="CJ501" t="str">
        <f>""</f>
        <v/>
      </c>
      <c r="CK501" t="str">
        <f>""</f>
        <v/>
      </c>
      <c r="CL501" t="str">
        <f>""</f>
        <v/>
      </c>
      <c r="CM501" t="str">
        <f>""</f>
        <v/>
      </c>
      <c r="CN501" t="str">
        <f>""</f>
        <v/>
      </c>
      <c r="CO501" t="str">
        <f>""</f>
        <v/>
      </c>
      <c r="CP501" t="str">
        <f>""</f>
        <v/>
      </c>
      <c r="CQ501" t="str">
        <f>""</f>
        <v/>
      </c>
      <c r="CR501" t="str">
        <f>""</f>
        <v/>
      </c>
      <c r="CS501" t="str">
        <f>""</f>
        <v/>
      </c>
      <c r="CT501" t="str">
        <f>""</f>
        <v/>
      </c>
      <c r="CU501" t="str">
        <f>""</f>
        <v/>
      </c>
      <c r="CV501" t="str">
        <f>""</f>
        <v/>
      </c>
      <c r="CW501" t="str">
        <f>""</f>
        <v/>
      </c>
      <c r="CX501" t="str">
        <f>""</f>
        <v/>
      </c>
      <c r="CY501" t="str">
        <f>""</f>
        <v/>
      </c>
      <c r="CZ501" t="str">
        <f>""</f>
        <v/>
      </c>
      <c r="DA501" t="str">
        <f>""</f>
        <v/>
      </c>
      <c r="DB501" t="str">
        <f>""</f>
        <v/>
      </c>
      <c r="DC501" t="str">
        <f>""</f>
        <v/>
      </c>
      <c r="DD501" t="str">
        <f>""</f>
        <v/>
      </c>
      <c r="DE501" t="str">
        <f>""</f>
        <v/>
      </c>
      <c r="DF501" t="str">
        <f>""</f>
        <v/>
      </c>
      <c r="DG501" t="str">
        <f>""</f>
        <v/>
      </c>
      <c r="DH501" t="str">
        <f>""</f>
        <v/>
      </c>
      <c r="DI501" t="str">
        <f>""</f>
        <v/>
      </c>
      <c r="DJ501" t="str">
        <f>""</f>
        <v/>
      </c>
      <c r="DK501" t="str">
        <f>""</f>
        <v/>
      </c>
      <c r="DL501" t="str">
        <f>""</f>
        <v/>
      </c>
      <c r="DM501" t="str">
        <f>""</f>
        <v/>
      </c>
      <c r="DN501" t="str">
        <f>""</f>
        <v/>
      </c>
      <c r="DO501" t="str">
        <f>""</f>
        <v/>
      </c>
      <c r="DP501" t="str">
        <f>""</f>
        <v/>
      </c>
      <c r="DQ501" t="str">
        <f>""</f>
        <v/>
      </c>
      <c r="DR501" t="str">
        <f>""</f>
        <v/>
      </c>
      <c r="DS501" t="str">
        <f>""</f>
        <v/>
      </c>
      <c r="DT501" t="str">
        <f>""</f>
        <v/>
      </c>
      <c r="DU501" t="str">
        <f>""</f>
        <v/>
      </c>
    </row>
    <row r="502" spans="1:125">
      <c r="A502" t="str">
        <f>$A$43</f>
        <v xml:space="preserve">    Realty Income Corp</v>
      </c>
      <c r="B502" t="str">
        <f>$B$43</f>
        <v>O US Equity</v>
      </c>
      <c r="C502" t="str">
        <f>$C$43</f>
        <v>IM281</v>
      </c>
      <c r="D502" t="str">
        <f>$D$43</f>
        <v>IS_NON_REAL_ESTATE_INCOME</v>
      </c>
      <c r="E502" t="str">
        <f>$E$43</f>
        <v>动态</v>
      </c>
      <c r="F502" t="str">
        <f ca="1">BDH($B$43,$C$43,$B$417,$B$418,CONCATENATE("Per=",$B$415),"Dts=H","Dir=H",CONCATENATE("Points=",$B$416),"Sort=R","Days=A","Fill=B",CONCATENATE("FX=", $B$414) )</f>
        <v>#N/A Authorization</v>
      </c>
      <c r="BN502" t="str">
        <f>""</f>
        <v/>
      </c>
      <c r="BO502" t="str">
        <f>""</f>
        <v/>
      </c>
      <c r="BP502" t="str">
        <f>""</f>
        <v/>
      </c>
      <c r="BQ502" t="str">
        <f>""</f>
        <v/>
      </c>
      <c r="BR502" t="str">
        <f>""</f>
        <v/>
      </c>
      <c r="BS502" t="str">
        <f>""</f>
        <v/>
      </c>
      <c r="BT502" t="str">
        <f>""</f>
        <v/>
      </c>
      <c r="BU502" t="str">
        <f>""</f>
        <v/>
      </c>
      <c r="BV502" t="str">
        <f>""</f>
        <v/>
      </c>
      <c r="BW502" t="str">
        <f>""</f>
        <v/>
      </c>
      <c r="BX502" t="str">
        <f>""</f>
        <v/>
      </c>
      <c r="BY502" t="str">
        <f>""</f>
        <v/>
      </c>
      <c r="BZ502" t="str">
        <f>""</f>
        <v/>
      </c>
      <c r="CA502" t="str">
        <f>""</f>
        <v/>
      </c>
      <c r="CB502" t="str">
        <f>""</f>
        <v/>
      </c>
      <c r="CC502" t="str">
        <f>""</f>
        <v/>
      </c>
      <c r="CD502" t="str">
        <f>""</f>
        <v/>
      </c>
      <c r="CE502" t="str">
        <f>""</f>
        <v/>
      </c>
      <c r="CF502" t="str">
        <f>""</f>
        <v/>
      </c>
      <c r="CG502" t="str">
        <f>""</f>
        <v/>
      </c>
      <c r="CH502" t="str">
        <f>""</f>
        <v/>
      </c>
      <c r="CI502" t="str">
        <f>""</f>
        <v/>
      </c>
      <c r="CJ502" t="str">
        <f>""</f>
        <v/>
      </c>
      <c r="CK502" t="str">
        <f>""</f>
        <v/>
      </c>
      <c r="CL502" t="str">
        <f>""</f>
        <v/>
      </c>
      <c r="CM502" t="str">
        <f>""</f>
        <v/>
      </c>
      <c r="CN502" t="str">
        <f>""</f>
        <v/>
      </c>
      <c r="CO502" t="str">
        <f>""</f>
        <v/>
      </c>
      <c r="CP502" t="str">
        <f>""</f>
        <v/>
      </c>
      <c r="CQ502" t="str">
        <f>""</f>
        <v/>
      </c>
      <c r="CR502" t="str">
        <f>""</f>
        <v/>
      </c>
      <c r="CS502" t="str">
        <f>""</f>
        <v/>
      </c>
      <c r="CT502" t="str">
        <f>""</f>
        <v/>
      </c>
      <c r="CU502" t="str">
        <f>""</f>
        <v/>
      </c>
      <c r="CV502" t="str">
        <f>""</f>
        <v/>
      </c>
      <c r="CW502" t="str">
        <f>""</f>
        <v/>
      </c>
      <c r="CX502" t="str">
        <f>""</f>
        <v/>
      </c>
      <c r="CY502" t="str">
        <f>""</f>
        <v/>
      </c>
      <c r="CZ502" t="str">
        <f>""</f>
        <v/>
      </c>
      <c r="DA502" t="str">
        <f>""</f>
        <v/>
      </c>
      <c r="DB502" t="str">
        <f>""</f>
        <v/>
      </c>
      <c r="DC502" t="str">
        <f>""</f>
        <v/>
      </c>
      <c r="DD502" t="str">
        <f>""</f>
        <v/>
      </c>
      <c r="DE502" t="str">
        <f>""</f>
        <v/>
      </c>
      <c r="DF502" t="str">
        <f>""</f>
        <v/>
      </c>
      <c r="DG502" t="str">
        <f>""</f>
        <v/>
      </c>
      <c r="DH502" t="str">
        <f>""</f>
        <v/>
      </c>
      <c r="DI502" t="str">
        <f>""</f>
        <v/>
      </c>
      <c r="DJ502" t="str">
        <f>""</f>
        <v/>
      </c>
      <c r="DK502" t="str">
        <f>""</f>
        <v/>
      </c>
      <c r="DL502" t="str">
        <f>""</f>
        <v/>
      </c>
      <c r="DM502" t="str">
        <f>""</f>
        <v/>
      </c>
      <c r="DN502" t="str">
        <f>""</f>
        <v/>
      </c>
      <c r="DO502" t="str">
        <f>""</f>
        <v/>
      </c>
      <c r="DP502" t="str">
        <f>""</f>
        <v/>
      </c>
      <c r="DQ502" t="str">
        <f>""</f>
        <v/>
      </c>
      <c r="DR502" t="str">
        <f>""</f>
        <v/>
      </c>
      <c r="DS502" t="str">
        <f>""</f>
        <v/>
      </c>
      <c r="DT502" t="str">
        <f>""</f>
        <v/>
      </c>
      <c r="DU502" t="str">
        <f>""</f>
        <v/>
      </c>
    </row>
    <row r="503" spans="1:125">
      <c r="A503" t="str">
        <f>$A$44</f>
        <v xml:space="preserve">    Regency Centers Corp</v>
      </c>
      <c r="B503" t="str">
        <f>$B$44</f>
        <v>REG US Equity</v>
      </c>
      <c r="C503" t="str">
        <f>$C$44</f>
        <v>IM281</v>
      </c>
      <c r="D503" t="str">
        <f>$D$44</f>
        <v>IS_NON_REAL_ESTATE_INCOME</v>
      </c>
      <c r="E503" t="str">
        <f>$E$44</f>
        <v>动态</v>
      </c>
      <c r="F503" t="str">
        <f ca="1">BDH($B$44,$C$44,$B$417,$B$418,CONCATENATE("Per=",$B$415),"Dts=H","Dir=H",CONCATENATE("Points=",$B$416),"Sort=R","Days=A","Fill=B",CONCATENATE("FX=", $B$414) )</f>
        <v>#N/A Authorization</v>
      </c>
      <c r="BN503" t="str">
        <f>""</f>
        <v/>
      </c>
      <c r="BO503" t="str">
        <f>""</f>
        <v/>
      </c>
      <c r="BP503" t="str">
        <f>""</f>
        <v/>
      </c>
      <c r="BQ503" t="str">
        <f>""</f>
        <v/>
      </c>
      <c r="BR503" t="str">
        <f>""</f>
        <v/>
      </c>
      <c r="BS503" t="str">
        <f>""</f>
        <v/>
      </c>
      <c r="BT503" t="str">
        <f>""</f>
        <v/>
      </c>
      <c r="BU503" t="str">
        <f>""</f>
        <v/>
      </c>
      <c r="BV503" t="str">
        <f>""</f>
        <v/>
      </c>
      <c r="BW503" t="str">
        <f>""</f>
        <v/>
      </c>
      <c r="BX503" t="str">
        <f>""</f>
        <v/>
      </c>
      <c r="BY503" t="str">
        <f>""</f>
        <v/>
      </c>
      <c r="BZ503" t="str">
        <f>""</f>
        <v/>
      </c>
      <c r="CA503" t="str">
        <f>""</f>
        <v/>
      </c>
      <c r="CB503" t="str">
        <f>""</f>
        <v/>
      </c>
      <c r="CC503" t="str">
        <f>""</f>
        <v/>
      </c>
      <c r="CD503" t="str">
        <f>""</f>
        <v/>
      </c>
      <c r="CE503" t="str">
        <f>""</f>
        <v/>
      </c>
      <c r="CF503" t="str">
        <f>""</f>
        <v/>
      </c>
      <c r="CG503" t="str">
        <f>""</f>
        <v/>
      </c>
      <c r="CH503" t="str">
        <f>""</f>
        <v/>
      </c>
      <c r="CI503" t="str">
        <f>""</f>
        <v/>
      </c>
      <c r="CJ503" t="str">
        <f>""</f>
        <v/>
      </c>
      <c r="CK503" t="str">
        <f>""</f>
        <v/>
      </c>
      <c r="CL503" t="str">
        <f>""</f>
        <v/>
      </c>
      <c r="CM503" t="str">
        <f>""</f>
        <v/>
      </c>
      <c r="CN503" t="str">
        <f>""</f>
        <v/>
      </c>
      <c r="CO503" t="str">
        <f>""</f>
        <v/>
      </c>
      <c r="CP503" t="str">
        <f>""</f>
        <v/>
      </c>
      <c r="CQ503" t="str">
        <f>""</f>
        <v/>
      </c>
      <c r="CR503" t="str">
        <f>""</f>
        <v/>
      </c>
      <c r="CS503" t="str">
        <f>""</f>
        <v/>
      </c>
      <c r="CT503" t="str">
        <f>""</f>
        <v/>
      </c>
      <c r="CU503" t="str">
        <f>""</f>
        <v/>
      </c>
      <c r="CV503" t="str">
        <f>""</f>
        <v/>
      </c>
      <c r="CW503" t="str">
        <f>""</f>
        <v/>
      </c>
      <c r="CX503" t="str">
        <f>""</f>
        <v/>
      </c>
      <c r="CY503" t="str">
        <f>""</f>
        <v/>
      </c>
      <c r="CZ503" t="str">
        <f>""</f>
        <v/>
      </c>
      <c r="DA503" t="str">
        <f>""</f>
        <v/>
      </c>
      <c r="DB503" t="str">
        <f>""</f>
        <v/>
      </c>
      <c r="DC503" t="str">
        <f>""</f>
        <v/>
      </c>
      <c r="DD503" t="str">
        <f>""</f>
        <v/>
      </c>
      <c r="DE503" t="str">
        <f>""</f>
        <v/>
      </c>
      <c r="DF503" t="str">
        <f>""</f>
        <v/>
      </c>
      <c r="DG503" t="str">
        <f>""</f>
        <v/>
      </c>
      <c r="DH503" t="str">
        <f>""</f>
        <v/>
      </c>
      <c r="DI503" t="str">
        <f>""</f>
        <v/>
      </c>
      <c r="DJ503" t="str">
        <f>""</f>
        <v/>
      </c>
      <c r="DK503" t="str">
        <f>""</f>
        <v/>
      </c>
      <c r="DL503" t="str">
        <f>""</f>
        <v/>
      </c>
      <c r="DM503" t="str">
        <f>""</f>
        <v/>
      </c>
      <c r="DN503" t="str">
        <f>""</f>
        <v/>
      </c>
      <c r="DO503" t="str">
        <f>""</f>
        <v/>
      </c>
      <c r="DP503" t="str">
        <f>""</f>
        <v/>
      </c>
      <c r="DQ503" t="str">
        <f>""</f>
        <v/>
      </c>
      <c r="DR503" t="str">
        <f>""</f>
        <v/>
      </c>
      <c r="DS503" t="str">
        <f>""</f>
        <v/>
      </c>
      <c r="DT503" t="str">
        <f>""</f>
        <v/>
      </c>
      <c r="DU503" t="str">
        <f>""</f>
        <v/>
      </c>
    </row>
    <row r="504" spans="1:125">
      <c r="A504" t="str">
        <f>$A$45</f>
        <v xml:space="preserve">    Retail Opportunity Investments</v>
      </c>
      <c r="B504" t="str">
        <f>$B$45</f>
        <v>ROIC US Equity</v>
      </c>
      <c r="C504" t="str">
        <f>$C$45</f>
        <v>IM281</v>
      </c>
      <c r="D504" t="str">
        <f>$D$45</f>
        <v>IS_NON_REAL_ESTATE_INCOME</v>
      </c>
      <c r="E504" t="str">
        <f>$E$45</f>
        <v>动态</v>
      </c>
      <c r="F504" t="str">
        <f ca="1">BDH($B$45,$C$45,$B$417,$B$418,CONCATENATE("Per=",$B$415),"Dts=H","Dir=H",CONCATENATE("Points=",$B$416),"Sort=R","Days=A","Fill=B",CONCATENATE("FX=", $B$414) )</f>
        <v>#N/A Authorization</v>
      </c>
      <c r="BN504" t="str">
        <f>""</f>
        <v/>
      </c>
      <c r="BO504" t="str">
        <f>""</f>
        <v/>
      </c>
      <c r="BP504" t="str">
        <f>""</f>
        <v/>
      </c>
      <c r="BQ504" t="str">
        <f>""</f>
        <v/>
      </c>
      <c r="BR504" t="str">
        <f>""</f>
        <v/>
      </c>
      <c r="BS504" t="str">
        <f>""</f>
        <v/>
      </c>
      <c r="BT504" t="str">
        <f>""</f>
        <v/>
      </c>
      <c r="BU504" t="str">
        <f>""</f>
        <v/>
      </c>
      <c r="BV504" t="str">
        <f>""</f>
        <v/>
      </c>
      <c r="BW504" t="str">
        <f>""</f>
        <v/>
      </c>
      <c r="BX504" t="str">
        <f>""</f>
        <v/>
      </c>
      <c r="BY504" t="str">
        <f>""</f>
        <v/>
      </c>
      <c r="BZ504" t="str">
        <f>""</f>
        <v/>
      </c>
      <c r="CA504" t="str">
        <f>""</f>
        <v/>
      </c>
      <c r="CB504" t="str">
        <f>""</f>
        <v/>
      </c>
      <c r="CC504" t="str">
        <f>""</f>
        <v/>
      </c>
      <c r="CD504" t="str">
        <f>""</f>
        <v/>
      </c>
      <c r="CE504" t="str">
        <f>""</f>
        <v/>
      </c>
      <c r="CF504" t="str">
        <f>""</f>
        <v/>
      </c>
      <c r="CG504" t="str">
        <f>""</f>
        <v/>
      </c>
      <c r="CH504" t="str">
        <f>""</f>
        <v/>
      </c>
      <c r="CI504" t="str">
        <f>""</f>
        <v/>
      </c>
      <c r="CJ504" t="str">
        <f>""</f>
        <v/>
      </c>
      <c r="CK504" t="str">
        <f>""</f>
        <v/>
      </c>
      <c r="CL504" t="str">
        <f>""</f>
        <v/>
      </c>
      <c r="CM504" t="str">
        <f>""</f>
        <v/>
      </c>
      <c r="CN504" t="str">
        <f>""</f>
        <v/>
      </c>
      <c r="CO504" t="str">
        <f>""</f>
        <v/>
      </c>
      <c r="CP504" t="str">
        <f>""</f>
        <v/>
      </c>
      <c r="CQ504" t="str">
        <f>""</f>
        <v/>
      </c>
      <c r="CR504" t="str">
        <f>""</f>
        <v/>
      </c>
      <c r="CS504" t="str">
        <f>""</f>
        <v/>
      </c>
      <c r="CT504" t="str">
        <f>""</f>
        <v/>
      </c>
      <c r="CU504" t="str">
        <f>""</f>
        <v/>
      </c>
      <c r="CV504" t="str">
        <f>""</f>
        <v/>
      </c>
      <c r="CW504" t="str">
        <f>""</f>
        <v/>
      </c>
      <c r="CX504" t="str">
        <f>""</f>
        <v/>
      </c>
      <c r="CY504" t="str">
        <f>""</f>
        <v/>
      </c>
      <c r="CZ504" t="str">
        <f>""</f>
        <v/>
      </c>
      <c r="DA504" t="str">
        <f>""</f>
        <v/>
      </c>
      <c r="DB504" t="str">
        <f>""</f>
        <v/>
      </c>
      <c r="DC504" t="str">
        <f>""</f>
        <v/>
      </c>
      <c r="DD504" t="str">
        <f>""</f>
        <v/>
      </c>
      <c r="DE504" t="str">
        <f>""</f>
        <v/>
      </c>
      <c r="DF504" t="str">
        <f>""</f>
        <v/>
      </c>
      <c r="DG504" t="str">
        <f>""</f>
        <v/>
      </c>
      <c r="DH504" t="str">
        <f>""</f>
        <v/>
      </c>
      <c r="DI504" t="str">
        <f>""</f>
        <v/>
      </c>
      <c r="DJ504" t="str">
        <f>""</f>
        <v/>
      </c>
      <c r="DK504" t="str">
        <f>""</f>
        <v/>
      </c>
      <c r="DL504" t="str">
        <f>""</f>
        <v/>
      </c>
      <c r="DM504" t="str">
        <f>""</f>
        <v/>
      </c>
      <c r="DN504" t="str">
        <f>""</f>
        <v/>
      </c>
      <c r="DO504" t="str">
        <f>""</f>
        <v/>
      </c>
      <c r="DP504" t="str">
        <f>""</f>
        <v/>
      </c>
      <c r="DQ504" t="str">
        <f>""</f>
        <v/>
      </c>
      <c r="DR504" t="str">
        <f>""</f>
        <v/>
      </c>
      <c r="DS504" t="str">
        <f>""</f>
        <v/>
      </c>
      <c r="DT504" t="str">
        <f>""</f>
        <v/>
      </c>
      <c r="DU504" t="str">
        <f>""</f>
        <v/>
      </c>
    </row>
    <row r="505" spans="1:125">
      <c r="A505" t="str">
        <f>$A$46</f>
        <v xml:space="preserve">    Retail Properties of America I</v>
      </c>
      <c r="B505" t="str">
        <f>$B$46</f>
        <v>RPAI US Equity</v>
      </c>
      <c r="C505" t="str">
        <f>$C$46</f>
        <v>IM281</v>
      </c>
      <c r="D505" t="str">
        <f>$D$46</f>
        <v>IS_NON_REAL_ESTATE_INCOME</v>
      </c>
      <c r="E505" t="str">
        <f>$E$46</f>
        <v>动态</v>
      </c>
      <c r="F505" t="str">
        <f ca="1">BDH($B$46,$C$46,$B$417,$B$418,CONCATENATE("Per=",$B$415),"Dts=H","Dir=H",CONCATENATE("Points=",$B$416),"Sort=R","Days=A","Fill=B",CONCATENATE("FX=", $B$414) )</f>
        <v>#N/A Authorization</v>
      </c>
      <c r="BN505" t="str">
        <f>""</f>
        <v/>
      </c>
      <c r="BO505" t="str">
        <f>""</f>
        <v/>
      </c>
      <c r="BP505" t="str">
        <f>""</f>
        <v/>
      </c>
      <c r="BQ505" t="str">
        <f>""</f>
        <v/>
      </c>
      <c r="BR505" t="str">
        <f>""</f>
        <v/>
      </c>
      <c r="BS505" t="str">
        <f>""</f>
        <v/>
      </c>
      <c r="BT505" t="str">
        <f>""</f>
        <v/>
      </c>
      <c r="BU505" t="str">
        <f>""</f>
        <v/>
      </c>
      <c r="BV505" t="str">
        <f>""</f>
        <v/>
      </c>
      <c r="BW505" t="str">
        <f>""</f>
        <v/>
      </c>
      <c r="BX505" t="str">
        <f>""</f>
        <v/>
      </c>
      <c r="BY505" t="str">
        <f>""</f>
        <v/>
      </c>
      <c r="BZ505" t="str">
        <f>""</f>
        <v/>
      </c>
      <c r="CA505" t="str">
        <f>""</f>
        <v/>
      </c>
      <c r="CB505" t="str">
        <f>""</f>
        <v/>
      </c>
      <c r="CC505" t="str">
        <f>""</f>
        <v/>
      </c>
      <c r="CD505" t="str">
        <f>""</f>
        <v/>
      </c>
      <c r="CE505" t="str">
        <f>""</f>
        <v/>
      </c>
      <c r="CF505" t="str">
        <f>""</f>
        <v/>
      </c>
      <c r="CG505" t="str">
        <f>""</f>
        <v/>
      </c>
      <c r="CH505" t="str">
        <f>""</f>
        <v/>
      </c>
      <c r="CI505" t="str">
        <f>""</f>
        <v/>
      </c>
      <c r="CJ505" t="str">
        <f>""</f>
        <v/>
      </c>
      <c r="CK505" t="str">
        <f>""</f>
        <v/>
      </c>
      <c r="CL505" t="str">
        <f>""</f>
        <v/>
      </c>
      <c r="CM505" t="str">
        <f>""</f>
        <v/>
      </c>
      <c r="CN505" t="str">
        <f>""</f>
        <v/>
      </c>
      <c r="CO505" t="str">
        <f>""</f>
        <v/>
      </c>
      <c r="CP505" t="str">
        <f>""</f>
        <v/>
      </c>
      <c r="CQ505" t="str">
        <f>""</f>
        <v/>
      </c>
      <c r="CR505" t="str">
        <f>""</f>
        <v/>
      </c>
      <c r="CS505" t="str">
        <f>""</f>
        <v/>
      </c>
      <c r="CT505" t="str">
        <f>""</f>
        <v/>
      </c>
      <c r="CU505" t="str">
        <f>""</f>
        <v/>
      </c>
      <c r="CV505" t="str">
        <f>""</f>
        <v/>
      </c>
      <c r="CW505" t="str">
        <f>""</f>
        <v/>
      </c>
      <c r="CX505" t="str">
        <f>""</f>
        <v/>
      </c>
      <c r="CY505" t="str">
        <f>""</f>
        <v/>
      </c>
      <c r="CZ505" t="str">
        <f>""</f>
        <v/>
      </c>
      <c r="DA505" t="str">
        <f>""</f>
        <v/>
      </c>
      <c r="DB505" t="str">
        <f>""</f>
        <v/>
      </c>
      <c r="DC505" t="str">
        <f>""</f>
        <v/>
      </c>
      <c r="DD505" t="str">
        <f>""</f>
        <v/>
      </c>
      <c r="DE505" t="str">
        <f>""</f>
        <v/>
      </c>
      <c r="DF505" t="str">
        <f>""</f>
        <v/>
      </c>
      <c r="DG505" t="str">
        <f>""</f>
        <v/>
      </c>
      <c r="DH505" t="str">
        <f>""</f>
        <v/>
      </c>
      <c r="DI505" t="str">
        <f>""</f>
        <v/>
      </c>
      <c r="DJ505" t="str">
        <f>""</f>
        <v/>
      </c>
      <c r="DK505" t="str">
        <f>""</f>
        <v/>
      </c>
      <c r="DL505" t="str">
        <f>""</f>
        <v/>
      </c>
      <c r="DM505" t="str">
        <f>""</f>
        <v/>
      </c>
      <c r="DN505" t="str">
        <f>""</f>
        <v/>
      </c>
      <c r="DO505" t="str">
        <f>""</f>
        <v/>
      </c>
      <c r="DP505" t="str">
        <f>""</f>
        <v/>
      </c>
      <c r="DQ505" t="str">
        <f>""</f>
        <v/>
      </c>
      <c r="DR505" t="str">
        <f>""</f>
        <v/>
      </c>
      <c r="DS505" t="str">
        <f>""</f>
        <v/>
      </c>
      <c r="DT505" t="str">
        <f>""</f>
        <v/>
      </c>
      <c r="DU505" t="str">
        <f>""</f>
        <v/>
      </c>
    </row>
    <row r="506" spans="1:125">
      <c r="A506" t="str">
        <f>$A$47</f>
        <v xml:space="preserve">    Simon Property Group Inc</v>
      </c>
      <c r="B506" t="str">
        <f>$B$47</f>
        <v>SPG US Equity</v>
      </c>
      <c r="C506" t="str">
        <f>$C$47</f>
        <v>IM281</v>
      </c>
      <c r="D506" t="str">
        <f>$D$47</f>
        <v>IS_NON_REAL_ESTATE_INCOME</v>
      </c>
      <c r="E506" t="str">
        <f>$E$47</f>
        <v>动态</v>
      </c>
      <c r="F506" t="str">
        <f ca="1">BDH($B$47,$C$47,$B$417,$B$418,CONCATENATE("Per=",$B$415),"Dts=H","Dir=H",CONCATENATE("Points=",$B$416),"Sort=R","Days=A","Fill=B",CONCATENATE("FX=", $B$414) )</f>
        <v>#N/A Authorization</v>
      </c>
      <c r="BN506" t="str">
        <f>""</f>
        <v/>
      </c>
      <c r="BO506" t="str">
        <f>""</f>
        <v/>
      </c>
      <c r="BP506" t="str">
        <f>""</f>
        <v/>
      </c>
      <c r="BQ506" t="str">
        <f>""</f>
        <v/>
      </c>
      <c r="BR506" t="str">
        <f>""</f>
        <v/>
      </c>
      <c r="BS506" t="str">
        <f>""</f>
        <v/>
      </c>
      <c r="BT506" t="str">
        <f>""</f>
        <v/>
      </c>
      <c r="BU506" t="str">
        <f>""</f>
        <v/>
      </c>
      <c r="BV506" t="str">
        <f>""</f>
        <v/>
      </c>
      <c r="BW506" t="str">
        <f>""</f>
        <v/>
      </c>
      <c r="BX506" t="str">
        <f>""</f>
        <v/>
      </c>
      <c r="BY506" t="str">
        <f>""</f>
        <v/>
      </c>
      <c r="BZ506" t="str">
        <f>""</f>
        <v/>
      </c>
      <c r="CA506" t="str">
        <f>""</f>
        <v/>
      </c>
      <c r="CB506" t="str">
        <f>""</f>
        <v/>
      </c>
      <c r="CC506" t="str">
        <f>""</f>
        <v/>
      </c>
      <c r="CD506" t="str">
        <f>""</f>
        <v/>
      </c>
      <c r="CE506" t="str">
        <f>""</f>
        <v/>
      </c>
      <c r="CF506" t="str">
        <f>""</f>
        <v/>
      </c>
      <c r="CG506" t="str">
        <f>""</f>
        <v/>
      </c>
      <c r="CH506" t="str">
        <f>""</f>
        <v/>
      </c>
      <c r="CI506" t="str">
        <f>""</f>
        <v/>
      </c>
      <c r="CJ506" t="str">
        <f>""</f>
        <v/>
      </c>
      <c r="CK506" t="str">
        <f>""</f>
        <v/>
      </c>
      <c r="CL506" t="str">
        <f>""</f>
        <v/>
      </c>
      <c r="CM506" t="str">
        <f>""</f>
        <v/>
      </c>
      <c r="CN506" t="str">
        <f>""</f>
        <v/>
      </c>
      <c r="CO506" t="str">
        <f>""</f>
        <v/>
      </c>
      <c r="CP506" t="str">
        <f>""</f>
        <v/>
      </c>
      <c r="CQ506" t="str">
        <f>""</f>
        <v/>
      </c>
      <c r="CR506" t="str">
        <f>""</f>
        <v/>
      </c>
      <c r="CS506" t="str">
        <f>""</f>
        <v/>
      </c>
      <c r="CT506" t="str">
        <f>""</f>
        <v/>
      </c>
      <c r="CU506" t="str">
        <f>""</f>
        <v/>
      </c>
      <c r="CV506" t="str">
        <f>""</f>
        <v/>
      </c>
      <c r="CW506" t="str">
        <f>""</f>
        <v/>
      </c>
      <c r="CX506" t="str">
        <f>""</f>
        <v/>
      </c>
      <c r="CY506" t="str">
        <f>""</f>
        <v/>
      </c>
      <c r="CZ506" t="str">
        <f>""</f>
        <v/>
      </c>
      <c r="DA506" t="str">
        <f>""</f>
        <v/>
      </c>
      <c r="DB506" t="str">
        <f>""</f>
        <v/>
      </c>
      <c r="DC506" t="str">
        <f>""</f>
        <v/>
      </c>
      <c r="DD506" t="str">
        <f>""</f>
        <v/>
      </c>
      <c r="DE506" t="str">
        <f>""</f>
        <v/>
      </c>
      <c r="DF506" t="str">
        <f>""</f>
        <v/>
      </c>
      <c r="DG506" t="str">
        <f>""</f>
        <v/>
      </c>
      <c r="DH506" t="str">
        <f>""</f>
        <v/>
      </c>
      <c r="DI506" t="str">
        <f>""</f>
        <v/>
      </c>
      <c r="DJ506" t="str">
        <f>""</f>
        <v/>
      </c>
      <c r="DK506" t="str">
        <f>""</f>
        <v/>
      </c>
      <c r="DL506" t="str">
        <f>""</f>
        <v/>
      </c>
      <c r="DM506" t="str">
        <f>""</f>
        <v/>
      </c>
      <c r="DN506" t="str">
        <f>""</f>
        <v/>
      </c>
      <c r="DO506" t="str">
        <f>""</f>
        <v/>
      </c>
      <c r="DP506" t="str">
        <f>""</f>
        <v/>
      </c>
      <c r="DQ506" t="str">
        <f>""</f>
        <v/>
      </c>
      <c r="DR506" t="str">
        <f>""</f>
        <v/>
      </c>
      <c r="DS506" t="str">
        <f>""</f>
        <v/>
      </c>
      <c r="DT506" t="str">
        <f>""</f>
        <v/>
      </c>
      <c r="DU506" t="str">
        <f>""</f>
        <v/>
      </c>
    </row>
    <row r="507" spans="1:125">
      <c r="A507" t="str">
        <f>$A$48</f>
        <v xml:space="preserve">    Tanger Factory Outlet Centers</v>
      </c>
      <c r="B507" t="str">
        <f>$B$48</f>
        <v>SKT US Equity</v>
      </c>
      <c r="C507" t="str">
        <f>$C$48</f>
        <v>IM281</v>
      </c>
      <c r="D507" t="str">
        <f>$D$48</f>
        <v>IS_NON_REAL_ESTATE_INCOME</v>
      </c>
      <c r="E507" t="str">
        <f>$E$48</f>
        <v>动态</v>
      </c>
      <c r="F507" t="str">
        <f ca="1">BDH($B$48,$C$48,$B$417,$B$418,CONCATENATE("Per=",$B$415),"Dts=H","Dir=H",CONCATENATE("Points=",$B$416),"Sort=R","Days=A","Fill=B",CONCATENATE("FX=", $B$414) )</f>
        <v>#N/A Authorization</v>
      </c>
      <c r="BN507" t="str">
        <f>""</f>
        <v/>
      </c>
      <c r="BO507" t="str">
        <f>""</f>
        <v/>
      </c>
      <c r="BP507" t="str">
        <f>""</f>
        <v/>
      </c>
      <c r="BQ507" t="str">
        <f>""</f>
        <v/>
      </c>
      <c r="BR507" t="str">
        <f>""</f>
        <v/>
      </c>
      <c r="BS507" t="str">
        <f>""</f>
        <v/>
      </c>
      <c r="BT507" t="str">
        <f>""</f>
        <v/>
      </c>
      <c r="BU507" t="str">
        <f>""</f>
        <v/>
      </c>
      <c r="BV507" t="str">
        <f>""</f>
        <v/>
      </c>
      <c r="BW507" t="str">
        <f>""</f>
        <v/>
      </c>
      <c r="BX507" t="str">
        <f>""</f>
        <v/>
      </c>
      <c r="BY507" t="str">
        <f>""</f>
        <v/>
      </c>
      <c r="BZ507" t="str">
        <f>""</f>
        <v/>
      </c>
      <c r="CA507" t="str">
        <f>""</f>
        <v/>
      </c>
      <c r="CB507" t="str">
        <f>""</f>
        <v/>
      </c>
      <c r="CC507" t="str">
        <f>""</f>
        <v/>
      </c>
      <c r="CD507" t="str">
        <f>""</f>
        <v/>
      </c>
      <c r="CE507" t="str">
        <f>""</f>
        <v/>
      </c>
      <c r="CF507" t="str">
        <f>""</f>
        <v/>
      </c>
      <c r="CG507" t="str">
        <f>""</f>
        <v/>
      </c>
      <c r="CH507" t="str">
        <f>""</f>
        <v/>
      </c>
      <c r="CI507" t="str">
        <f>""</f>
        <v/>
      </c>
      <c r="CJ507" t="str">
        <f>""</f>
        <v/>
      </c>
      <c r="CK507" t="str">
        <f>""</f>
        <v/>
      </c>
      <c r="CL507" t="str">
        <f>""</f>
        <v/>
      </c>
      <c r="CM507" t="str">
        <f>""</f>
        <v/>
      </c>
      <c r="CN507" t="str">
        <f>""</f>
        <v/>
      </c>
      <c r="CO507" t="str">
        <f>""</f>
        <v/>
      </c>
      <c r="CP507" t="str">
        <f>""</f>
        <v/>
      </c>
      <c r="CQ507" t="str">
        <f>""</f>
        <v/>
      </c>
      <c r="CR507" t="str">
        <f>""</f>
        <v/>
      </c>
      <c r="CS507" t="str">
        <f>""</f>
        <v/>
      </c>
      <c r="CT507" t="str">
        <f>""</f>
        <v/>
      </c>
      <c r="CU507" t="str">
        <f>""</f>
        <v/>
      </c>
      <c r="CV507" t="str">
        <f>""</f>
        <v/>
      </c>
      <c r="CW507" t="str">
        <f>""</f>
        <v/>
      </c>
      <c r="CX507" t="str">
        <f>""</f>
        <v/>
      </c>
      <c r="CY507" t="str">
        <f>""</f>
        <v/>
      </c>
      <c r="CZ507" t="str">
        <f>""</f>
        <v/>
      </c>
      <c r="DA507" t="str">
        <f>""</f>
        <v/>
      </c>
      <c r="DB507" t="str">
        <f>""</f>
        <v/>
      </c>
      <c r="DC507" t="str">
        <f>""</f>
        <v/>
      </c>
      <c r="DD507" t="str">
        <f>""</f>
        <v/>
      </c>
      <c r="DE507" t="str">
        <f>""</f>
        <v/>
      </c>
      <c r="DF507" t="str">
        <f>""</f>
        <v/>
      </c>
      <c r="DG507" t="str">
        <f>""</f>
        <v/>
      </c>
      <c r="DH507" t="str">
        <f>""</f>
        <v/>
      </c>
      <c r="DI507" t="str">
        <f>""</f>
        <v/>
      </c>
      <c r="DJ507" t="str">
        <f>""</f>
        <v/>
      </c>
      <c r="DK507" t="str">
        <f>""</f>
        <v/>
      </c>
      <c r="DL507" t="str">
        <f>""</f>
        <v/>
      </c>
      <c r="DM507" t="str">
        <f>""</f>
        <v/>
      </c>
      <c r="DN507" t="str">
        <f>""</f>
        <v/>
      </c>
      <c r="DO507" t="str">
        <f>""</f>
        <v/>
      </c>
      <c r="DP507" t="str">
        <f>""</f>
        <v/>
      </c>
      <c r="DQ507" t="str">
        <f>""</f>
        <v/>
      </c>
      <c r="DR507" t="str">
        <f>""</f>
        <v/>
      </c>
      <c r="DS507" t="str">
        <f>""</f>
        <v/>
      </c>
      <c r="DT507" t="str">
        <f>""</f>
        <v/>
      </c>
      <c r="DU507" t="str">
        <f>""</f>
        <v/>
      </c>
    </row>
    <row r="508" spans="1:125">
      <c r="A508" t="str">
        <f>$A$49</f>
        <v xml:space="preserve">    VEREIT Inc</v>
      </c>
      <c r="B508" t="str">
        <f>$B$49</f>
        <v>VER US Equity</v>
      </c>
      <c r="C508" t="str">
        <f>$C$49</f>
        <v>IM281</v>
      </c>
      <c r="D508" t="str">
        <f>$D$49</f>
        <v>IS_NON_REAL_ESTATE_INCOME</v>
      </c>
      <c r="E508" t="str">
        <f>$E$49</f>
        <v>动态</v>
      </c>
      <c r="F508" t="str">
        <f ca="1">BDH($B$49,$C$49,$B$417,$B$418,CONCATENATE("Per=",$B$415),"Dts=H","Dir=H",CONCATENATE("Points=",$B$416),"Sort=R","Days=A","Fill=B",CONCATENATE("FX=", $B$414) )</f>
        <v>#N/A Authorization</v>
      </c>
      <c r="BN508" t="str">
        <f>""</f>
        <v/>
      </c>
      <c r="BO508" t="str">
        <f>""</f>
        <v/>
      </c>
      <c r="BP508" t="str">
        <f>""</f>
        <v/>
      </c>
      <c r="BQ508" t="str">
        <f>""</f>
        <v/>
      </c>
      <c r="BR508" t="str">
        <f>""</f>
        <v/>
      </c>
      <c r="BS508" t="str">
        <f>""</f>
        <v/>
      </c>
      <c r="BT508" t="str">
        <f>""</f>
        <v/>
      </c>
      <c r="BU508" t="str">
        <f>""</f>
        <v/>
      </c>
      <c r="BV508" t="str">
        <f>""</f>
        <v/>
      </c>
      <c r="BW508" t="str">
        <f>""</f>
        <v/>
      </c>
      <c r="BX508" t="str">
        <f>""</f>
        <v/>
      </c>
      <c r="BY508" t="str">
        <f>""</f>
        <v/>
      </c>
      <c r="BZ508" t="str">
        <f>""</f>
        <v/>
      </c>
      <c r="CA508" t="str">
        <f>""</f>
        <v/>
      </c>
      <c r="CB508" t="str">
        <f>""</f>
        <v/>
      </c>
      <c r="CC508" t="str">
        <f>""</f>
        <v/>
      </c>
      <c r="CD508" t="str">
        <f>""</f>
        <v/>
      </c>
      <c r="CE508" t="str">
        <f>""</f>
        <v/>
      </c>
      <c r="CF508" t="str">
        <f>""</f>
        <v/>
      </c>
      <c r="CG508" t="str">
        <f>""</f>
        <v/>
      </c>
      <c r="CH508" t="str">
        <f>""</f>
        <v/>
      </c>
      <c r="CI508" t="str">
        <f>""</f>
        <v/>
      </c>
      <c r="CJ508" t="str">
        <f>""</f>
        <v/>
      </c>
      <c r="CK508" t="str">
        <f>""</f>
        <v/>
      </c>
      <c r="CL508" t="str">
        <f>""</f>
        <v/>
      </c>
      <c r="CM508" t="str">
        <f>""</f>
        <v/>
      </c>
      <c r="CN508" t="str">
        <f>""</f>
        <v/>
      </c>
      <c r="CO508" t="str">
        <f>""</f>
        <v/>
      </c>
      <c r="CP508" t="str">
        <f>""</f>
        <v/>
      </c>
      <c r="CQ508" t="str">
        <f>""</f>
        <v/>
      </c>
      <c r="CR508" t="str">
        <f>""</f>
        <v/>
      </c>
      <c r="CS508" t="str">
        <f>""</f>
        <v/>
      </c>
      <c r="CT508" t="str">
        <f>""</f>
        <v/>
      </c>
      <c r="CU508" t="str">
        <f>""</f>
        <v/>
      </c>
      <c r="CV508" t="str">
        <f>""</f>
        <v/>
      </c>
      <c r="CW508" t="str">
        <f>""</f>
        <v/>
      </c>
      <c r="CX508" t="str">
        <f>""</f>
        <v/>
      </c>
      <c r="CY508" t="str">
        <f>""</f>
        <v/>
      </c>
      <c r="CZ508" t="str">
        <f>""</f>
        <v/>
      </c>
      <c r="DA508" t="str">
        <f>""</f>
        <v/>
      </c>
      <c r="DB508" t="str">
        <f>""</f>
        <v/>
      </c>
      <c r="DC508" t="str">
        <f>""</f>
        <v/>
      </c>
      <c r="DD508" t="str">
        <f>""</f>
        <v/>
      </c>
      <c r="DE508" t="str">
        <f>""</f>
        <v/>
      </c>
      <c r="DF508" t="str">
        <f>""</f>
        <v/>
      </c>
      <c r="DG508" t="str">
        <f>""</f>
        <v/>
      </c>
      <c r="DH508" t="str">
        <f>""</f>
        <v/>
      </c>
      <c r="DI508" t="str">
        <f>""</f>
        <v/>
      </c>
      <c r="DJ508" t="str">
        <f>""</f>
        <v/>
      </c>
      <c r="DK508" t="str">
        <f>""</f>
        <v/>
      </c>
      <c r="DL508" t="str">
        <f>""</f>
        <v/>
      </c>
      <c r="DM508" t="str">
        <f>""</f>
        <v/>
      </c>
      <c r="DN508" t="str">
        <f>""</f>
        <v/>
      </c>
      <c r="DO508" t="str">
        <f>""</f>
        <v/>
      </c>
      <c r="DP508" t="str">
        <f>""</f>
        <v/>
      </c>
      <c r="DQ508" t="str">
        <f>""</f>
        <v/>
      </c>
      <c r="DR508" t="str">
        <f>""</f>
        <v/>
      </c>
      <c r="DS508" t="str">
        <f>""</f>
        <v/>
      </c>
      <c r="DT508" t="str">
        <f>""</f>
        <v/>
      </c>
      <c r="DU508" t="str">
        <f>""</f>
        <v/>
      </c>
    </row>
    <row r="509" spans="1:125">
      <c r="A509" t="str">
        <f>$A$50</f>
        <v xml:space="preserve">    Washington Prime Group Inc</v>
      </c>
      <c r="B509" t="str">
        <f>$B$50</f>
        <v>WPG US Equity</v>
      </c>
      <c r="C509" t="str">
        <f>$C$50</f>
        <v>IM281</v>
      </c>
      <c r="D509" t="str">
        <f>$D$50</f>
        <v>IS_NON_REAL_ESTATE_INCOME</v>
      </c>
      <c r="E509" t="str">
        <f>$E$50</f>
        <v>动态</v>
      </c>
      <c r="F509" t="str">
        <f ca="1">BDH($B$50,$C$50,$B$417,$B$418,CONCATENATE("Per=",$B$415),"Dts=H","Dir=H",CONCATENATE("Points=",$B$416),"Sort=R","Days=A","Fill=B",CONCATENATE("FX=", $B$414) )</f>
        <v>#N/A Authorization</v>
      </c>
      <c r="BN509" t="str">
        <f>""</f>
        <v/>
      </c>
      <c r="BO509" t="str">
        <f>""</f>
        <v/>
      </c>
      <c r="BP509" t="str">
        <f>""</f>
        <v/>
      </c>
      <c r="BQ509" t="str">
        <f>""</f>
        <v/>
      </c>
      <c r="BR509" t="str">
        <f>""</f>
        <v/>
      </c>
      <c r="BS509" t="str">
        <f>""</f>
        <v/>
      </c>
      <c r="BT509" t="str">
        <f>""</f>
        <v/>
      </c>
      <c r="BU509" t="str">
        <f>""</f>
        <v/>
      </c>
      <c r="BV509" t="str">
        <f>""</f>
        <v/>
      </c>
      <c r="BW509" t="str">
        <f>""</f>
        <v/>
      </c>
      <c r="BX509" t="str">
        <f>""</f>
        <v/>
      </c>
      <c r="BY509" t="str">
        <f>""</f>
        <v/>
      </c>
      <c r="BZ509" t="str">
        <f>""</f>
        <v/>
      </c>
      <c r="CA509" t="str">
        <f>""</f>
        <v/>
      </c>
      <c r="CB509" t="str">
        <f>""</f>
        <v/>
      </c>
      <c r="CC509" t="str">
        <f>""</f>
        <v/>
      </c>
      <c r="CD509" t="str">
        <f>""</f>
        <v/>
      </c>
      <c r="CE509" t="str">
        <f>""</f>
        <v/>
      </c>
      <c r="CF509" t="str">
        <f>""</f>
        <v/>
      </c>
      <c r="CG509" t="str">
        <f>""</f>
        <v/>
      </c>
      <c r="CH509" t="str">
        <f>""</f>
        <v/>
      </c>
      <c r="CI509" t="str">
        <f>""</f>
        <v/>
      </c>
      <c r="CJ509" t="str">
        <f>""</f>
        <v/>
      </c>
      <c r="CK509" t="str">
        <f>""</f>
        <v/>
      </c>
      <c r="CL509" t="str">
        <f>""</f>
        <v/>
      </c>
      <c r="CM509" t="str">
        <f>""</f>
        <v/>
      </c>
      <c r="CN509" t="str">
        <f>""</f>
        <v/>
      </c>
      <c r="CO509" t="str">
        <f>""</f>
        <v/>
      </c>
      <c r="CP509" t="str">
        <f>""</f>
        <v/>
      </c>
      <c r="CQ509" t="str">
        <f>""</f>
        <v/>
      </c>
      <c r="CR509" t="str">
        <f>""</f>
        <v/>
      </c>
      <c r="CS509" t="str">
        <f>""</f>
        <v/>
      </c>
      <c r="CT509" t="str">
        <f>""</f>
        <v/>
      </c>
      <c r="CU509" t="str">
        <f>""</f>
        <v/>
      </c>
      <c r="CV509" t="str">
        <f>""</f>
        <v/>
      </c>
      <c r="CW509" t="str">
        <f>""</f>
        <v/>
      </c>
      <c r="CX509" t="str">
        <f>""</f>
        <v/>
      </c>
      <c r="CY509" t="str">
        <f>""</f>
        <v/>
      </c>
      <c r="CZ509" t="str">
        <f>""</f>
        <v/>
      </c>
      <c r="DA509" t="str">
        <f>""</f>
        <v/>
      </c>
      <c r="DB509" t="str">
        <f>""</f>
        <v/>
      </c>
      <c r="DC509" t="str">
        <f>""</f>
        <v/>
      </c>
      <c r="DD509" t="str">
        <f>""</f>
        <v/>
      </c>
      <c r="DE509" t="str">
        <f>""</f>
        <v/>
      </c>
      <c r="DF509" t="str">
        <f>""</f>
        <v/>
      </c>
      <c r="DG509" t="str">
        <f>""</f>
        <v/>
      </c>
      <c r="DH509" t="str">
        <f>""</f>
        <v/>
      </c>
      <c r="DI509" t="str">
        <f>""</f>
        <v/>
      </c>
      <c r="DJ509" t="str">
        <f>""</f>
        <v/>
      </c>
      <c r="DK509" t="str">
        <f>""</f>
        <v/>
      </c>
      <c r="DL509" t="str">
        <f>""</f>
        <v/>
      </c>
      <c r="DM509" t="str">
        <f>""</f>
        <v/>
      </c>
      <c r="DN509" t="str">
        <f>""</f>
        <v/>
      </c>
      <c r="DO509" t="str">
        <f>""</f>
        <v/>
      </c>
      <c r="DP509" t="str">
        <f>""</f>
        <v/>
      </c>
      <c r="DQ509" t="str">
        <f>""</f>
        <v/>
      </c>
      <c r="DR509" t="str">
        <f>""</f>
        <v/>
      </c>
      <c r="DS509" t="str">
        <f>""</f>
        <v/>
      </c>
      <c r="DT509" t="str">
        <f>""</f>
        <v/>
      </c>
      <c r="DU509" t="str">
        <f>""</f>
        <v/>
      </c>
    </row>
    <row r="510" spans="1:125">
      <c r="A510" t="str">
        <f>$A$51</f>
        <v xml:space="preserve">    Weingarten Realty Investors</v>
      </c>
      <c r="B510" t="str">
        <f>$B$51</f>
        <v>WRI US Equity</v>
      </c>
      <c r="C510" t="str">
        <f>$C$51</f>
        <v>IM281</v>
      </c>
      <c r="D510" t="str">
        <f>$D$51</f>
        <v>IS_NON_REAL_ESTATE_INCOME</v>
      </c>
      <c r="E510" t="str">
        <f>$E$51</f>
        <v>动态</v>
      </c>
      <c r="F510" t="str">
        <f ca="1">BDH($B$51,$C$51,$B$417,$B$418,CONCATENATE("Per=",$B$415),"Dts=H","Dir=H",CONCATENATE("Points=",$B$416),"Sort=R","Days=A","Fill=B",CONCATENATE("FX=", $B$414) )</f>
        <v>#N/A Authorization</v>
      </c>
      <c r="BN510" t="str">
        <f>""</f>
        <v/>
      </c>
      <c r="BO510" t="str">
        <f>""</f>
        <v/>
      </c>
      <c r="BP510" t="str">
        <f>""</f>
        <v/>
      </c>
      <c r="BQ510" t="str">
        <f>""</f>
        <v/>
      </c>
      <c r="BR510" t="str">
        <f>""</f>
        <v/>
      </c>
      <c r="BS510" t="str">
        <f>""</f>
        <v/>
      </c>
      <c r="BT510" t="str">
        <f>""</f>
        <v/>
      </c>
      <c r="BU510" t="str">
        <f>""</f>
        <v/>
      </c>
      <c r="BV510" t="str">
        <f>""</f>
        <v/>
      </c>
      <c r="BW510" t="str">
        <f>""</f>
        <v/>
      </c>
      <c r="BX510" t="str">
        <f>""</f>
        <v/>
      </c>
      <c r="BY510" t="str">
        <f>""</f>
        <v/>
      </c>
      <c r="BZ510" t="str">
        <f>""</f>
        <v/>
      </c>
      <c r="CA510" t="str">
        <f>""</f>
        <v/>
      </c>
      <c r="CB510" t="str">
        <f>""</f>
        <v/>
      </c>
      <c r="CC510" t="str">
        <f>""</f>
        <v/>
      </c>
      <c r="CD510" t="str">
        <f>""</f>
        <v/>
      </c>
      <c r="CE510" t="str">
        <f>""</f>
        <v/>
      </c>
      <c r="CF510" t="str">
        <f>""</f>
        <v/>
      </c>
      <c r="CG510" t="str">
        <f>""</f>
        <v/>
      </c>
      <c r="CH510" t="str">
        <f>""</f>
        <v/>
      </c>
      <c r="CI510" t="str">
        <f>""</f>
        <v/>
      </c>
      <c r="CJ510" t="str">
        <f>""</f>
        <v/>
      </c>
      <c r="CK510" t="str">
        <f>""</f>
        <v/>
      </c>
      <c r="CL510" t="str">
        <f>""</f>
        <v/>
      </c>
      <c r="CM510" t="str">
        <f>""</f>
        <v/>
      </c>
      <c r="CN510" t="str">
        <f>""</f>
        <v/>
      </c>
      <c r="CO510" t="str">
        <f>""</f>
        <v/>
      </c>
      <c r="CP510" t="str">
        <f>""</f>
        <v/>
      </c>
      <c r="CQ510" t="str">
        <f>""</f>
        <v/>
      </c>
      <c r="CR510" t="str">
        <f>""</f>
        <v/>
      </c>
      <c r="CS510" t="str">
        <f>""</f>
        <v/>
      </c>
      <c r="CT510" t="str">
        <f>""</f>
        <v/>
      </c>
      <c r="CU510" t="str">
        <f>""</f>
        <v/>
      </c>
      <c r="CV510" t="str">
        <f>""</f>
        <v/>
      </c>
      <c r="CW510" t="str">
        <f>""</f>
        <v/>
      </c>
      <c r="CX510" t="str">
        <f>""</f>
        <v/>
      </c>
      <c r="CY510" t="str">
        <f>""</f>
        <v/>
      </c>
      <c r="CZ510" t="str">
        <f>""</f>
        <v/>
      </c>
      <c r="DA510" t="str">
        <f>""</f>
        <v/>
      </c>
      <c r="DB510" t="str">
        <f>""</f>
        <v/>
      </c>
      <c r="DC510" t="str">
        <f>""</f>
        <v/>
      </c>
      <c r="DD510" t="str">
        <f>""</f>
        <v/>
      </c>
      <c r="DE510" t="str">
        <f>""</f>
        <v/>
      </c>
      <c r="DF510" t="str">
        <f>""</f>
        <v/>
      </c>
      <c r="DG510" t="str">
        <f>""</f>
        <v/>
      </c>
      <c r="DH510" t="str">
        <f>""</f>
        <v/>
      </c>
      <c r="DI510" t="str">
        <f>""</f>
        <v/>
      </c>
      <c r="DJ510" t="str">
        <f>""</f>
        <v/>
      </c>
      <c r="DK510" t="str">
        <f>""</f>
        <v/>
      </c>
      <c r="DL510" t="str">
        <f>""</f>
        <v/>
      </c>
      <c r="DM510" t="str">
        <f>""</f>
        <v/>
      </c>
      <c r="DN510" t="str">
        <f>""</f>
        <v/>
      </c>
      <c r="DO510" t="str">
        <f>""</f>
        <v/>
      </c>
      <c r="DP510" t="str">
        <f>""</f>
        <v/>
      </c>
      <c r="DQ510" t="str">
        <f>""</f>
        <v/>
      </c>
      <c r="DR510" t="str">
        <f>""</f>
        <v/>
      </c>
      <c r="DS510" t="str">
        <f>""</f>
        <v/>
      </c>
      <c r="DT510" t="str">
        <f>""</f>
        <v/>
      </c>
      <c r="DU510" t="str">
        <f>""</f>
        <v/>
      </c>
    </row>
    <row r="511" spans="1:125">
      <c r="A511" t="str">
        <f>$A$53</f>
        <v xml:space="preserve">    Brixmor Property Group Inc</v>
      </c>
      <c r="B511" t="str">
        <f>$B$53</f>
        <v>BRX US Equity</v>
      </c>
      <c r="C511" t="str">
        <f>$C$53</f>
        <v>IS010</v>
      </c>
      <c r="D511" t="str">
        <f>$D$53</f>
        <v>SALES_REV_TURN</v>
      </c>
      <c r="E511" t="str">
        <f>$E$53</f>
        <v>动态</v>
      </c>
      <c r="F511" t="str">
        <f ca="1">BDH($B$53,$C$53,$B$417,$B$418,CONCATENATE("Per=",$B$415),"Dts=H","Dir=H",CONCATENATE("Points=",$B$416),"Sort=R","Days=A","Fill=B",CONCATENATE("FX=", $B$414) )</f>
        <v>#N/A Authorization</v>
      </c>
      <c r="BN511" t="str">
        <f>""</f>
        <v/>
      </c>
      <c r="BO511" t="str">
        <f>""</f>
        <v/>
      </c>
      <c r="BP511" t="str">
        <f>""</f>
        <v/>
      </c>
      <c r="BQ511" t="str">
        <f>""</f>
        <v/>
      </c>
      <c r="BR511" t="str">
        <f>""</f>
        <v/>
      </c>
      <c r="BS511" t="str">
        <f>""</f>
        <v/>
      </c>
      <c r="BT511" t="str">
        <f>""</f>
        <v/>
      </c>
      <c r="BU511" t="str">
        <f>""</f>
        <v/>
      </c>
      <c r="BV511" t="str">
        <f>""</f>
        <v/>
      </c>
      <c r="BW511" t="str">
        <f>""</f>
        <v/>
      </c>
      <c r="BX511" t="str">
        <f>""</f>
        <v/>
      </c>
      <c r="BY511" t="str">
        <f>""</f>
        <v/>
      </c>
      <c r="BZ511" t="str">
        <f>""</f>
        <v/>
      </c>
      <c r="CA511" t="str">
        <f>""</f>
        <v/>
      </c>
      <c r="CB511" t="str">
        <f>""</f>
        <v/>
      </c>
      <c r="CC511" t="str">
        <f>""</f>
        <v/>
      </c>
      <c r="CD511" t="str">
        <f>""</f>
        <v/>
      </c>
      <c r="CE511" t="str">
        <f>""</f>
        <v/>
      </c>
      <c r="CF511" t="str">
        <f>""</f>
        <v/>
      </c>
      <c r="CG511" t="str">
        <f>""</f>
        <v/>
      </c>
      <c r="CH511" t="str">
        <f>""</f>
        <v/>
      </c>
      <c r="CI511" t="str">
        <f>""</f>
        <v/>
      </c>
      <c r="CJ511" t="str">
        <f>""</f>
        <v/>
      </c>
      <c r="CK511" t="str">
        <f>""</f>
        <v/>
      </c>
      <c r="CL511" t="str">
        <f>""</f>
        <v/>
      </c>
      <c r="CM511" t="str">
        <f>""</f>
        <v/>
      </c>
      <c r="CN511" t="str">
        <f>""</f>
        <v/>
      </c>
      <c r="CO511" t="str">
        <f>""</f>
        <v/>
      </c>
      <c r="CP511" t="str">
        <f>""</f>
        <v/>
      </c>
      <c r="CQ511" t="str">
        <f>""</f>
        <v/>
      </c>
      <c r="CR511" t="str">
        <f>""</f>
        <v/>
      </c>
      <c r="CS511" t="str">
        <f>""</f>
        <v/>
      </c>
      <c r="CT511" t="str">
        <f>""</f>
        <v/>
      </c>
      <c r="CU511" t="str">
        <f>""</f>
        <v/>
      </c>
      <c r="CV511" t="str">
        <f>""</f>
        <v/>
      </c>
      <c r="CW511" t="str">
        <f>""</f>
        <v/>
      </c>
      <c r="CX511" t="str">
        <f>""</f>
        <v/>
      </c>
      <c r="CY511" t="str">
        <f>""</f>
        <v/>
      </c>
      <c r="CZ511" t="str">
        <f>""</f>
        <v/>
      </c>
      <c r="DA511" t="str">
        <f>""</f>
        <v/>
      </c>
      <c r="DB511" t="str">
        <f>""</f>
        <v/>
      </c>
      <c r="DC511" t="str">
        <f>""</f>
        <v/>
      </c>
      <c r="DD511" t="str">
        <f>""</f>
        <v/>
      </c>
      <c r="DE511" t="str">
        <f>""</f>
        <v/>
      </c>
      <c r="DF511" t="str">
        <f>""</f>
        <v/>
      </c>
      <c r="DG511" t="str">
        <f>""</f>
        <v/>
      </c>
      <c r="DH511" t="str">
        <f>""</f>
        <v/>
      </c>
      <c r="DI511" t="str">
        <f>""</f>
        <v/>
      </c>
      <c r="DJ511" t="str">
        <f>""</f>
        <v/>
      </c>
      <c r="DK511" t="str">
        <f>""</f>
        <v/>
      </c>
      <c r="DL511" t="str">
        <f>""</f>
        <v/>
      </c>
      <c r="DM511" t="str">
        <f>""</f>
        <v/>
      </c>
      <c r="DN511" t="str">
        <f>""</f>
        <v/>
      </c>
      <c r="DO511" t="str">
        <f>""</f>
        <v/>
      </c>
      <c r="DP511" t="str">
        <f>""</f>
        <v/>
      </c>
      <c r="DQ511" t="str">
        <f>""</f>
        <v/>
      </c>
      <c r="DR511" t="str">
        <f>""</f>
        <v/>
      </c>
      <c r="DS511" t="str">
        <f>""</f>
        <v/>
      </c>
      <c r="DT511" t="str">
        <f>""</f>
        <v/>
      </c>
      <c r="DU511" t="str">
        <f>""</f>
        <v/>
      </c>
    </row>
    <row r="512" spans="1:125">
      <c r="A512" t="str">
        <f>$A$54</f>
        <v xml:space="preserve">    CBL &amp; Associates Properties In</v>
      </c>
      <c r="B512" t="str">
        <f>$B$54</f>
        <v>CBL US Equity</v>
      </c>
      <c r="C512" t="str">
        <f>$C$54</f>
        <v>IS010</v>
      </c>
      <c r="D512" t="str">
        <f>$D$54</f>
        <v>SALES_REV_TURN</v>
      </c>
      <c r="E512" t="str">
        <f>$E$54</f>
        <v>动态</v>
      </c>
      <c r="F512" t="str">
        <f ca="1">BDH($B$54,$C$54,$B$417,$B$418,CONCATENATE("Per=",$B$415),"Dts=H","Dir=H",CONCATENATE("Points=",$B$416),"Sort=R","Days=A","Fill=B",CONCATENATE("FX=", $B$414) )</f>
        <v>#N/A Authorization</v>
      </c>
      <c r="BN512" t="str">
        <f>""</f>
        <v/>
      </c>
      <c r="BO512" t="str">
        <f>""</f>
        <v/>
      </c>
      <c r="BP512" t="str">
        <f>""</f>
        <v/>
      </c>
      <c r="BQ512" t="str">
        <f>""</f>
        <v/>
      </c>
      <c r="BR512" t="str">
        <f>""</f>
        <v/>
      </c>
      <c r="BS512" t="str">
        <f>""</f>
        <v/>
      </c>
      <c r="BT512" t="str">
        <f>""</f>
        <v/>
      </c>
      <c r="BU512" t="str">
        <f>""</f>
        <v/>
      </c>
      <c r="BV512" t="str">
        <f>""</f>
        <v/>
      </c>
      <c r="BW512" t="str">
        <f>""</f>
        <v/>
      </c>
      <c r="BX512" t="str">
        <f>""</f>
        <v/>
      </c>
      <c r="BY512" t="str">
        <f>""</f>
        <v/>
      </c>
      <c r="BZ512" t="str">
        <f>""</f>
        <v/>
      </c>
      <c r="CA512" t="str">
        <f>""</f>
        <v/>
      </c>
      <c r="CB512" t="str">
        <f>""</f>
        <v/>
      </c>
      <c r="CC512" t="str">
        <f>""</f>
        <v/>
      </c>
      <c r="CD512" t="str">
        <f>""</f>
        <v/>
      </c>
      <c r="CE512" t="str">
        <f>""</f>
        <v/>
      </c>
      <c r="CF512" t="str">
        <f>""</f>
        <v/>
      </c>
      <c r="CG512" t="str">
        <f>""</f>
        <v/>
      </c>
      <c r="CH512" t="str">
        <f>""</f>
        <v/>
      </c>
      <c r="CI512" t="str">
        <f>""</f>
        <v/>
      </c>
      <c r="CJ512" t="str">
        <f>""</f>
        <v/>
      </c>
      <c r="CK512" t="str">
        <f>""</f>
        <v/>
      </c>
      <c r="CL512" t="str">
        <f>""</f>
        <v/>
      </c>
      <c r="CM512" t="str">
        <f>""</f>
        <v/>
      </c>
      <c r="CN512" t="str">
        <f>""</f>
        <v/>
      </c>
      <c r="CO512" t="str">
        <f>""</f>
        <v/>
      </c>
      <c r="CP512" t="str">
        <f>""</f>
        <v/>
      </c>
      <c r="CQ512" t="str">
        <f>""</f>
        <v/>
      </c>
      <c r="CR512" t="str">
        <f>""</f>
        <v/>
      </c>
      <c r="CS512" t="str">
        <f>""</f>
        <v/>
      </c>
      <c r="CT512" t="str">
        <f>""</f>
        <v/>
      </c>
      <c r="CU512" t="str">
        <f>""</f>
        <v/>
      </c>
      <c r="CV512" t="str">
        <f>""</f>
        <v/>
      </c>
      <c r="CW512" t="str">
        <f>""</f>
        <v/>
      </c>
      <c r="CX512" t="str">
        <f>""</f>
        <v/>
      </c>
      <c r="CY512" t="str">
        <f>""</f>
        <v/>
      </c>
      <c r="CZ512" t="str">
        <f>""</f>
        <v/>
      </c>
      <c r="DA512" t="str">
        <f>""</f>
        <v/>
      </c>
      <c r="DB512" t="str">
        <f>""</f>
        <v/>
      </c>
      <c r="DC512" t="str">
        <f>""</f>
        <v/>
      </c>
      <c r="DD512" t="str">
        <f>""</f>
        <v/>
      </c>
      <c r="DE512" t="str">
        <f>""</f>
        <v/>
      </c>
      <c r="DF512" t="str">
        <f>""</f>
        <v/>
      </c>
      <c r="DG512" t="str">
        <f>""</f>
        <v/>
      </c>
      <c r="DH512" t="str">
        <f>""</f>
        <v/>
      </c>
      <c r="DI512" t="str">
        <f>""</f>
        <v/>
      </c>
      <c r="DJ512" t="str">
        <f>""</f>
        <v/>
      </c>
      <c r="DK512" t="str">
        <f>""</f>
        <v/>
      </c>
      <c r="DL512" t="str">
        <f>""</f>
        <v/>
      </c>
      <c r="DM512" t="str">
        <f>""</f>
        <v/>
      </c>
      <c r="DN512" t="str">
        <f>""</f>
        <v/>
      </c>
      <c r="DO512" t="str">
        <f>""</f>
        <v/>
      </c>
      <c r="DP512" t="str">
        <f>""</f>
        <v/>
      </c>
      <c r="DQ512" t="str">
        <f>""</f>
        <v/>
      </c>
      <c r="DR512" t="str">
        <f>""</f>
        <v/>
      </c>
      <c r="DS512" t="str">
        <f>""</f>
        <v/>
      </c>
      <c r="DT512" t="str">
        <f>""</f>
        <v/>
      </c>
      <c r="DU512" t="str">
        <f>""</f>
        <v/>
      </c>
    </row>
    <row r="513" spans="1:125">
      <c r="A513" t="str">
        <f>$A$55</f>
        <v xml:space="preserve">    DDR Corp</v>
      </c>
      <c r="B513" t="str">
        <f>$B$55</f>
        <v>DDR US Equity</v>
      </c>
      <c r="C513" t="str">
        <f>$C$55</f>
        <v>IS010</v>
      </c>
      <c r="D513" t="str">
        <f>$D$55</f>
        <v>SALES_REV_TURN</v>
      </c>
      <c r="E513" t="str">
        <f>$E$55</f>
        <v>动态</v>
      </c>
      <c r="F513" t="str">
        <f ca="1">BDH($B$55,$C$55,$B$417,$B$418,CONCATENATE("Per=",$B$415),"Dts=H","Dir=H",CONCATENATE("Points=",$B$416),"Sort=R","Days=A","Fill=B",CONCATENATE("FX=", $B$414) )</f>
        <v>#N/A Authorization</v>
      </c>
      <c r="BN513" t="str">
        <f>""</f>
        <v/>
      </c>
      <c r="BO513" t="str">
        <f>""</f>
        <v/>
      </c>
      <c r="BP513" t="str">
        <f>""</f>
        <v/>
      </c>
      <c r="BQ513" t="str">
        <f>""</f>
        <v/>
      </c>
      <c r="BR513" t="str">
        <f>""</f>
        <v/>
      </c>
      <c r="BS513" t="str">
        <f>""</f>
        <v/>
      </c>
      <c r="BT513" t="str">
        <f>""</f>
        <v/>
      </c>
      <c r="BU513" t="str">
        <f>""</f>
        <v/>
      </c>
      <c r="BV513" t="str">
        <f>""</f>
        <v/>
      </c>
      <c r="BW513" t="str">
        <f>""</f>
        <v/>
      </c>
      <c r="BX513" t="str">
        <f>""</f>
        <v/>
      </c>
      <c r="BY513" t="str">
        <f>""</f>
        <v/>
      </c>
      <c r="BZ513" t="str">
        <f>""</f>
        <v/>
      </c>
      <c r="CA513" t="str">
        <f>""</f>
        <v/>
      </c>
      <c r="CB513" t="str">
        <f>""</f>
        <v/>
      </c>
      <c r="CC513" t="str">
        <f>""</f>
        <v/>
      </c>
      <c r="CD513" t="str">
        <f>""</f>
        <v/>
      </c>
      <c r="CE513" t="str">
        <f>""</f>
        <v/>
      </c>
      <c r="CF513" t="str">
        <f>""</f>
        <v/>
      </c>
      <c r="CG513" t="str">
        <f>""</f>
        <v/>
      </c>
      <c r="CH513" t="str">
        <f>""</f>
        <v/>
      </c>
      <c r="CI513" t="str">
        <f>""</f>
        <v/>
      </c>
      <c r="CJ513" t="str">
        <f>""</f>
        <v/>
      </c>
      <c r="CK513" t="str">
        <f>""</f>
        <v/>
      </c>
      <c r="CL513" t="str">
        <f>""</f>
        <v/>
      </c>
      <c r="CM513" t="str">
        <f>""</f>
        <v/>
      </c>
      <c r="CN513" t="str">
        <f>""</f>
        <v/>
      </c>
      <c r="CO513" t="str">
        <f>""</f>
        <v/>
      </c>
      <c r="CP513" t="str">
        <f>""</f>
        <v/>
      </c>
      <c r="CQ513" t="str">
        <f>""</f>
        <v/>
      </c>
      <c r="CR513" t="str">
        <f>""</f>
        <v/>
      </c>
      <c r="CS513" t="str">
        <f>""</f>
        <v/>
      </c>
      <c r="CT513" t="str">
        <f>""</f>
        <v/>
      </c>
      <c r="CU513" t="str">
        <f>""</f>
        <v/>
      </c>
      <c r="CV513" t="str">
        <f>""</f>
        <v/>
      </c>
      <c r="CW513" t="str">
        <f>""</f>
        <v/>
      </c>
      <c r="CX513" t="str">
        <f>""</f>
        <v/>
      </c>
      <c r="CY513" t="str">
        <f>""</f>
        <v/>
      </c>
      <c r="CZ513" t="str">
        <f>""</f>
        <v/>
      </c>
      <c r="DA513" t="str">
        <f>""</f>
        <v/>
      </c>
      <c r="DB513" t="str">
        <f>""</f>
        <v/>
      </c>
      <c r="DC513" t="str">
        <f>""</f>
        <v/>
      </c>
      <c r="DD513" t="str">
        <f>""</f>
        <v/>
      </c>
      <c r="DE513" t="str">
        <f>""</f>
        <v/>
      </c>
      <c r="DF513" t="str">
        <f>""</f>
        <v/>
      </c>
      <c r="DG513" t="str">
        <f>""</f>
        <v/>
      </c>
      <c r="DH513" t="str">
        <f>""</f>
        <v/>
      </c>
      <c r="DI513" t="str">
        <f>""</f>
        <v/>
      </c>
      <c r="DJ513" t="str">
        <f>""</f>
        <v/>
      </c>
      <c r="DK513" t="str">
        <f>""</f>
        <v/>
      </c>
      <c r="DL513" t="str">
        <f>""</f>
        <v/>
      </c>
      <c r="DM513" t="str">
        <f>""</f>
        <v/>
      </c>
      <c r="DN513" t="str">
        <f>""</f>
        <v/>
      </c>
      <c r="DO513" t="str">
        <f>""</f>
        <v/>
      </c>
      <c r="DP513" t="str">
        <f>""</f>
        <v/>
      </c>
      <c r="DQ513" t="str">
        <f>""</f>
        <v/>
      </c>
      <c r="DR513" t="str">
        <f>""</f>
        <v/>
      </c>
      <c r="DS513" t="str">
        <f>""</f>
        <v/>
      </c>
      <c r="DT513" t="str">
        <f>""</f>
        <v/>
      </c>
      <c r="DU513" t="str">
        <f>""</f>
        <v/>
      </c>
    </row>
    <row r="514" spans="1:125">
      <c r="A514" t="str">
        <f>$A$56</f>
        <v xml:space="preserve">    Federal Realty Investment Trus</v>
      </c>
      <c r="B514" t="str">
        <f>$B$56</f>
        <v>FRT US Equity</v>
      </c>
      <c r="C514" t="str">
        <f>$C$56</f>
        <v>IS010</v>
      </c>
      <c r="D514" t="str">
        <f>$D$56</f>
        <v>SALES_REV_TURN</v>
      </c>
      <c r="E514" t="str">
        <f>$E$56</f>
        <v>动态</v>
      </c>
      <c r="F514" t="str">
        <f ca="1">BDH($B$56,$C$56,$B$417,$B$418,CONCATENATE("Per=",$B$415),"Dts=H","Dir=H",CONCATENATE("Points=",$B$416),"Sort=R","Days=A","Fill=B",CONCATENATE("FX=", $B$414) )</f>
        <v>#N/A Authorization</v>
      </c>
      <c r="BN514" t="str">
        <f>""</f>
        <v/>
      </c>
      <c r="BO514" t="str">
        <f>""</f>
        <v/>
      </c>
      <c r="BP514" t="str">
        <f>""</f>
        <v/>
      </c>
      <c r="BQ514" t="str">
        <f>""</f>
        <v/>
      </c>
      <c r="BR514" t="str">
        <f>""</f>
        <v/>
      </c>
      <c r="BS514" t="str">
        <f>""</f>
        <v/>
      </c>
      <c r="BT514" t="str">
        <f>""</f>
        <v/>
      </c>
      <c r="BU514" t="str">
        <f>""</f>
        <v/>
      </c>
      <c r="BV514" t="str">
        <f>""</f>
        <v/>
      </c>
      <c r="BW514" t="str">
        <f>""</f>
        <v/>
      </c>
      <c r="BX514" t="str">
        <f>""</f>
        <v/>
      </c>
      <c r="BY514" t="str">
        <f>""</f>
        <v/>
      </c>
      <c r="BZ514" t="str">
        <f>""</f>
        <v/>
      </c>
      <c r="CA514" t="str">
        <f>""</f>
        <v/>
      </c>
      <c r="CB514" t="str">
        <f>""</f>
        <v/>
      </c>
      <c r="CC514" t="str">
        <f>""</f>
        <v/>
      </c>
      <c r="CD514" t="str">
        <f>""</f>
        <v/>
      </c>
      <c r="CE514" t="str">
        <f>""</f>
        <v/>
      </c>
      <c r="CF514" t="str">
        <f>""</f>
        <v/>
      </c>
      <c r="CG514" t="str">
        <f>""</f>
        <v/>
      </c>
      <c r="CH514" t="str">
        <f>""</f>
        <v/>
      </c>
      <c r="CI514" t="str">
        <f>""</f>
        <v/>
      </c>
      <c r="CJ514" t="str">
        <f>""</f>
        <v/>
      </c>
      <c r="CK514" t="str">
        <f>""</f>
        <v/>
      </c>
      <c r="CL514" t="str">
        <f>""</f>
        <v/>
      </c>
      <c r="CM514" t="str">
        <f>""</f>
        <v/>
      </c>
      <c r="CN514" t="str">
        <f>""</f>
        <v/>
      </c>
      <c r="CO514" t="str">
        <f>""</f>
        <v/>
      </c>
      <c r="CP514" t="str">
        <f>""</f>
        <v/>
      </c>
      <c r="CQ514" t="str">
        <f>""</f>
        <v/>
      </c>
      <c r="CR514" t="str">
        <f>""</f>
        <v/>
      </c>
      <c r="CS514" t="str">
        <f>""</f>
        <v/>
      </c>
      <c r="CT514" t="str">
        <f>""</f>
        <v/>
      </c>
      <c r="CU514" t="str">
        <f>""</f>
        <v/>
      </c>
      <c r="CV514" t="str">
        <f>""</f>
        <v/>
      </c>
      <c r="CW514" t="str">
        <f>""</f>
        <v/>
      </c>
      <c r="CX514" t="str">
        <f>""</f>
        <v/>
      </c>
      <c r="CY514" t="str">
        <f>""</f>
        <v/>
      </c>
      <c r="CZ514" t="str">
        <f>""</f>
        <v/>
      </c>
      <c r="DA514" t="str">
        <f>""</f>
        <v/>
      </c>
      <c r="DB514" t="str">
        <f>""</f>
        <v/>
      </c>
      <c r="DC514" t="str">
        <f>""</f>
        <v/>
      </c>
      <c r="DD514" t="str">
        <f>""</f>
        <v/>
      </c>
      <c r="DE514" t="str">
        <f>""</f>
        <v/>
      </c>
      <c r="DF514" t="str">
        <f>""</f>
        <v/>
      </c>
      <c r="DG514" t="str">
        <f>""</f>
        <v/>
      </c>
      <c r="DH514" t="str">
        <f>""</f>
        <v/>
      </c>
      <c r="DI514" t="str">
        <f>""</f>
        <v/>
      </c>
      <c r="DJ514" t="str">
        <f>""</f>
        <v/>
      </c>
      <c r="DK514" t="str">
        <f>""</f>
        <v/>
      </c>
      <c r="DL514" t="str">
        <f>""</f>
        <v/>
      </c>
      <c r="DM514" t="str">
        <f>""</f>
        <v/>
      </c>
      <c r="DN514" t="str">
        <f>""</f>
        <v/>
      </c>
      <c r="DO514" t="str">
        <f>""</f>
        <v/>
      </c>
      <c r="DP514" t="str">
        <f>""</f>
        <v/>
      </c>
      <c r="DQ514" t="str">
        <f>""</f>
        <v/>
      </c>
      <c r="DR514" t="str">
        <f>""</f>
        <v/>
      </c>
      <c r="DS514" t="str">
        <f>""</f>
        <v/>
      </c>
      <c r="DT514" t="str">
        <f>""</f>
        <v/>
      </c>
      <c r="DU514" t="str">
        <f>""</f>
        <v/>
      </c>
    </row>
    <row r="515" spans="1:125">
      <c r="A515" t="str">
        <f>$A$57</f>
        <v xml:space="preserve">    Kimco Realty Corp</v>
      </c>
      <c r="B515" t="str">
        <f>$B$57</f>
        <v>KIM US Equity</v>
      </c>
      <c r="C515" t="str">
        <f>$C$57</f>
        <v>IS010</v>
      </c>
      <c r="D515" t="str">
        <f>$D$57</f>
        <v>SALES_REV_TURN</v>
      </c>
      <c r="E515" t="str">
        <f>$E$57</f>
        <v>动态</v>
      </c>
      <c r="F515" t="str">
        <f ca="1">BDH($B$57,$C$57,$B$417,$B$418,CONCATENATE("Per=",$B$415),"Dts=H","Dir=H",CONCATENATE("Points=",$B$416),"Sort=R","Days=A","Fill=B",CONCATENATE("FX=", $B$414) )</f>
        <v>#N/A Authorization</v>
      </c>
      <c r="BN515" t="str">
        <f>""</f>
        <v/>
      </c>
      <c r="BO515" t="str">
        <f>""</f>
        <v/>
      </c>
      <c r="BP515" t="str">
        <f>""</f>
        <v/>
      </c>
      <c r="BQ515" t="str">
        <f>""</f>
        <v/>
      </c>
      <c r="BR515" t="str">
        <f>""</f>
        <v/>
      </c>
      <c r="BS515" t="str">
        <f>""</f>
        <v/>
      </c>
      <c r="BT515" t="str">
        <f>""</f>
        <v/>
      </c>
      <c r="BU515" t="str">
        <f>""</f>
        <v/>
      </c>
      <c r="BV515" t="str">
        <f>""</f>
        <v/>
      </c>
      <c r="BW515" t="str">
        <f>""</f>
        <v/>
      </c>
      <c r="BX515" t="str">
        <f>""</f>
        <v/>
      </c>
      <c r="BY515" t="str">
        <f>""</f>
        <v/>
      </c>
      <c r="BZ515" t="str">
        <f>""</f>
        <v/>
      </c>
      <c r="CA515" t="str">
        <f>""</f>
        <v/>
      </c>
      <c r="CB515" t="str">
        <f>""</f>
        <v/>
      </c>
      <c r="CC515" t="str">
        <f>""</f>
        <v/>
      </c>
      <c r="CD515" t="str">
        <f>""</f>
        <v/>
      </c>
      <c r="CE515" t="str">
        <f>""</f>
        <v/>
      </c>
      <c r="CF515" t="str">
        <f>""</f>
        <v/>
      </c>
      <c r="CG515" t="str">
        <f>""</f>
        <v/>
      </c>
      <c r="CH515" t="str">
        <f>""</f>
        <v/>
      </c>
      <c r="CI515" t="str">
        <f>""</f>
        <v/>
      </c>
      <c r="CJ515" t="str">
        <f>""</f>
        <v/>
      </c>
      <c r="CK515" t="str">
        <f>""</f>
        <v/>
      </c>
      <c r="CL515" t="str">
        <f>""</f>
        <v/>
      </c>
      <c r="CM515" t="str">
        <f>""</f>
        <v/>
      </c>
      <c r="CN515" t="str">
        <f>""</f>
        <v/>
      </c>
      <c r="CO515" t="str">
        <f>""</f>
        <v/>
      </c>
      <c r="CP515" t="str">
        <f>""</f>
        <v/>
      </c>
      <c r="CQ515" t="str">
        <f>""</f>
        <v/>
      </c>
      <c r="CR515" t="str">
        <f>""</f>
        <v/>
      </c>
      <c r="CS515" t="str">
        <f>""</f>
        <v/>
      </c>
      <c r="CT515" t="str">
        <f>""</f>
        <v/>
      </c>
      <c r="CU515" t="str">
        <f>""</f>
        <v/>
      </c>
      <c r="CV515" t="str">
        <f>""</f>
        <v/>
      </c>
      <c r="CW515" t="str">
        <f>""</f>
        <v/>
      </c>
      <c r="CX515" t="str">
        <f>""</f>
        <v/>
      </c>
      <c r="CY515" t="str">
        <f>""</f>
        <v/>
      </c>
      <c r="CZ515" t="str">
        <f>""</f>
        <v/>
      </c>
      <c r="DA515" t="str">
        <f>""</f>
        <v/>
      </c>
      <c r="DB515" t="str">
        <f>""</f>
        <v/>
      </c>
      <c r="DC515" t="str">
        <f>""</f>
        <v/>
      </c>
      <c r="DD515" t="str">
        <f>""</f>
        <v/>
      </c>
      <c r="DE515" t="str">
        <f>""</f>
        <v/>
      </c>
      <c r="DF515" t="str">
        <f>""</f>
        <v/>
      </c>
      <c r="DG515" t="str">
        <f>""</f>
        <v/>
      </c>
      <c r="DH515" t="str">
        <f>""</f>
        <v/>
      </c>
      <c r="DI515" t="str">
        <f>""</f>
        <v/>
      </c>
      <c r="DJ515" t="str">
        <f>""</f>
        <v/>
      </c>
      <c r="DK515" t="str">
        <f>""</f>
        <v/>
      </c>
      <c r="DL515" t="str">
        <f>""</f>
        <v/>
      </c>
      <c r="DM515" t="str">
        <f>""</f>
        <v/>
      </c>
      <c r="DN515" t="str">
        <f>""</f>
        <v/>
      </c>
      <c r="DO515" t="str">
        <f>""</f>
        <v/>
      </c>
      <c r="DP515" t="str">
        <f>""</f>
        <v/>
      </c>
      <c r="DQ515" t="str">
        <f>""</f>
        <v/>
      </c>
      <c r="DR515" t="str">
        <f>""</f>
        <v/>
      </c>
      <c r="DS515" t="str">
        <f>""</f>
        <v/>
      </c>
      <c r="DT515" t="str">
        <f>""</f>
        <v/>
      </c>
      <c r="DU515" t="str">
        <f>""</f>
        <v/>
      </c>
    </row>
    <row r="516" spans="1:125">
      <c r="A516" t="str">
        <f>$A$58</f>
        <v xml:space="preserve">    National Retail Properties Inc</v>
      </c>
      <c r="B516" t="str">
        <f>$B$58</f>
        <v>NNN US Equity</v>
      </c>
      <c r="C516" t="str">
        <f>$C$58</f>
        <v>IS010</v>
      </c>
      <c r="D516" t="str">
        <f>$D$58</f>
        <v>SALES_REV_TURN</v>
      </c>
      <c r="E516" t="str">
        <f>$E$58</f>
        <v>动态</v>
      </c>
      <c r="F516" t="str">
        <f ca="1">BDH($B$58,$C$58,$B$417,$B$418,CONCATENATE("Per=",$B$415),"Dts=H","Dir=H",CONCATENATE("Points=",$B$416),"Sort=R","Days=A","Fill=B",CONCATENATE("FX=", $B$414) )</f>
        <v>#N/A Authorization</v>
      </c>
      <c r="BN516" t="str">
        <f>""</f>
        <v/>
      </c>
      <c r="BO516" t="str">
        <f>""</f>
        <v/>
      </c>
      <c r="BP516" t="str">
        <f>""</f>
        <v/>
      </c>
      <c r="BQ516" t="str">
        <f>""</f>
        <v/>
      </c>
      <c r="BR516" t="str">
        <f>""</f>
        <v/>
      </c>
      <c r="BS516" t="str">
        <f>""</f>
        <v/>
      </c>
      <c r="BT516" t="str">
        <f>""</f>
        <v/>
      </c>
      <c r="BU516" t="str">
        <f>""</f>
        <v/>
      </c>
      <c r="BV516" t="str">
        <f>""</f>
        <v/>
      </c>
      <c r="BW516" t="str">
        <f>""</f>
        <v/>
      </c>
      <c r="BX516" t="str">
        <f>""</f>
        <v/>
      </c>
      <c r="BY516" t="str">
        <f>""</f>
        <v/>
      </c>
      <c r="BZ516" t="str">
        <f>""</f>
        <v/>
      </c>
      <c r="CA516" t="str">
        <f>""</f>
        <v/>
      </c>
      <c r="CB516" t="str">
        <f>""</f>
        <v/>
      </c>
      <c r="CC516" t="str">
        <f>""</f>
        <v/>
      </c>
      <c r="CD516" t="str">
        <f>""</f>
        <v/>
      </c>
      <c r="CE516" t="str">
        <f>""</f>
        <v/>
      </c>
      <c r="CF516" t="str">
        <f>""</f>
        <v/>
      </c>
      <c r="CG516" t="str">
        <f>""</f>
        <v/>
      </c>
      <c r="CH516" t="str">
        <f>""</f>
        <v/>
      </c>
      <c r="CI516" t="str">
        <f>""</f>
        <v/>
      </c>
      <c r="CJ516" t="str">
        <f>""</f>
        <v/>
      </c>
      <c r="CK516" t="str">
        <f>""</f>
        <v/>
      </c>
      <c r="CL516" t="str">
        <f>""</f>
        <v/>
      </c>
      <c r="CM516" t="str">
        <f>""</f>
        <v/>
      </c>
      <c r="CN516" t="str">
        <f>""</f>
        <v/>
      </c>
      <c r="CO516" t="str">
        <f>""</f>
        <v/>
      </c>
      <c r="CP516" t="str">
        <f>""</f>
        <v/>
      </c>
      <c r="CQ516" t="str">
        <f>""</f>
        <v/>
      </c>
      <c r="CR516" t="str">
        <f>""</f>
        <v/>
      </c>
      <c r="CS516" t="str">
        <f>""</f>
        <v/>
      </c>
      <c r="CT516" t="str">
        <f>""</f>
        <v/>
      </c>
      <c r="CU516" t="str">
        <f>""</f>
        <v/>
      </c>
      <c r="CV516" t="str">
        <f>""</f>
        <v/>
      </c>
      <c r="CW516" t="str">
        <f>""</f>
        <v/>
      </c>
      <c r="CX516" t="str">
        <f>""</f>
        <v/>
      </c>
      <c r="CY516" t="str">
        <f>""</f>
        <v/>
      </c>
      <c r="CZ516" t="str">
        <f>""</f>
        <v/>
      </c>
      <c r="DA516" t="str">
        <f>""</f>
        <v/>
      </c>
      <c r="DB516" t="str">
        <f>""</f>
        <v/>
      </c>
      <c r="DC516" t="str">
        <f>""</f>
        <v/>
      </c>
      <c r="DD516" t="str">
        <f>""</f>
        <v/>
      </c>
      <c r="DE516" t="str">
        <f>""</f>
        <v/>
      </c>
      <c r="DF516" t="str">
        <f>""</f>
        <v/>
      </c>
      <c r="DG516" t="str">
        <f>""</f>
        <v/>
      </c>
      <c r="DH516" t="str">
        <f>""</f>
        <v/>
      </c>
      <c r="DI516" t="str">
        <f>""</f>
        <v/>
      </c>
      <c r="DJ516" t="str">
        <f>""</f>
        <v/>
      </c>
      <c r="DK516" t="str">
        <f>""</f>
        <v/>
      </c>
      <c r="DL516" t="str">
        <f>""</f>
        <v/>
      </c>
      <c r="DM516" t="str">
        <f>""</f>
        <v/>
      </c>
      <c r="DN516" t="str">
        <f>""</f>
        <v/>
      </c>
      <c r="DO516" t="str">
        <f>""</f>
        <v/>
      </c>
      <c r="DP516" t="str">
        <f>""</f>
        <v/>
      </c>
      <c r="DQ516" t="str">
        <f>""</f>
        <v/>
      </c>
      <c r="DR516" t="str">
        <f>""</f>
        <v/>
      </c>
      <c r="DS516" t="str">
        <f>""</f>
        <v/>
      </c>
      <c r="DT516" t="str">
        <f>""</f>
        <v/>
      </c>
      <c r="DU516" t="str">
        <f>""</f>
        <v/>
      </c>
    </row>
    <row r="517" spans="1:125">
      <c r="A517" t="str">
        <f>$A$59</f>
        <v xml:space="preserve">    Realty Income Corp</v>
      </c>
      <c r="B517" t="str">
        <f>$B$59</f>
        <v>O US Equity</v>
      </c>
      <c r="C517" t="str">
        <f>$C$59</f>
        <v>IS010</v>
      </c>
      <c r="D517" t="str">
        <f>$D$59</f>
        <v>SALES_REV_TURN</v>
      </c>
      <c r="E517" t="str">
        <f>$E$59</f>
        <v>动态</v>
      </c>
      <c r="F517" t="str">
        <f ca="1">BDH($B$59,$C$59,$B$417,$B$418,CONCATENATE("Per=",$B$415),"Dts=H","Dir=H",CONCATENATE("Points=",$B$416),"Sort=R","Days=A","Fill=B",CONCATENATE("FX=", $B$414) )</f>
        <v>#N/A Authorization</v>
      </c>
      <c r="BN517" t="str">
        <f>""</f>
        <v/>
      </c>
      <c r="BO517" t="str">
        <f>""</f>
        <v/>
      </c>
      <c r="BP517" t="str">
        <f>""</f>
        <v/>
      </c>
      <c r="BQ517" t="str">
        <f>""</f>
        <v/>
      </c>
      <c r="BR517" t="str">
        <f>""</f>
        <v/>
      </c>
      <c r="BS517" t="str">
        <f>""</f>
        <v/>
      </c>
      <c r="BT517" t="str">
        <f>""</f>
        <v/>
      </c>
      <c r="BU517" t="str">
        <f>""</f>
        <v/>
      </c>
      <c r="BV517" t="str">
        <f>""</f>
        <v/>
      </c>
      <c r="BW517" t="str">
        <f>""</f>
        <v/>
      </c>
      <c r="BX517" t="str">
        <f>""</f>
        <v/>
      </c>
      <c r="BY517" t="str">
        <f>""</f>
        <v/>
      </c>
      <c r="BZ517" t="str">
        <f>""</f>
        <v/>
      </c>
      <c r="CA517" t="str">
        <f>""</f>
        <v/>
      </c>
      <c r="CB517" t="str">
        <f>""</f>
        <v/>
      </c>
      <c r="CC517" t="str">
        <f>""</f>
        <v/>
      </c>
      <c r="CD517" t="str">
        <f>""</f>
        <v/>
      </c>
      <c r="CE517" t="str">
        <f>""</f>
        <v/>
      </c>
      <c r="CF517" t="str">
        <f>""</f>
        <v/>
      </c>
      <c r="CG517" t="str">
        <f>""</f>
        <v/>
      </c>
      <c r="CH517" t="str">
        <f>""</f>
        <v/>
      </c>
      <c r="CI517" t="str">
        <f>""</f>
        <v/>
      </c>
      <c r="CJ517" t="str">
        <f>""</f>
        <v/>
      </c>
      <c r="CK517" t="str">
        <f>""</f>
        <v/>
      </c>
      <c r="CL517" t="str">
        <f>""</f>
        <v/>
      </c>
      <c r="CM517" t="str">
        <f>""</f>
        <v/>
      </c>
      <c r="CN517" t="str">
        <f>""</f>
        <v/>
      </c>
      <c r="CO517" t="str">
        <f>""</f>
        <v/>
      </c>
      <c r="CP517" t="str">
        <f>""</f>
        <v/>
      </c>
      <c r="CQ517" t="str">
        <f>""</f>
        <v/>
      </c>
      <c r="CR517" t="str">
        <f>""</f>
        <v/>
      </c>
      <c r="CS517" t="str">
        <f>""</f>
        <v/>
      </c>
      <c r="CT517" t="str">
        <f>""</f>
        <v/>
      </c>
      <c r="CU517" t="str">
        <f>""</f>
        <v/>
      </c>
      <c r="CV517" t="str">
        <f>""</f>
        <v/>
      </c>
      <c r="CW517" t="str">
        <f>""</f>
        <v/>
      </c>
      <c r="CX517" t="str">
        <f>""</f>
        <v/>
      </c>
      <c r="CY517" t="str">
        <f>""</f>
        <v/>
      </c>
      <c r="CZ517" t="str">
        <f>""</f>
        <v/>
      </c>
      <c r="DA517" t="str">
        <f>""</f>
        <v/>
      </c>
      <c r="DB517" t="str">
        <f>""</f>
        <v/>
      </c>
      <c r="DC517" t="str">
        <f>""</f>
        <v/>
      </c>
      <c r="DD517" t="str">
        <f>""</f>
        <v/>
      </c>
      <c r="DE517" t="str">
        <f>""</f>
        <v/>
      </c>
      <c r="DF517" t="str">
        <f>""</f>
        <v/>
      </c>
      <c r="DG517" t="str">
        <f>""</f>
        <v/>
      </c>
      <c r="DH517" t="str">
        <f>""</f>
        <v/>
      </c>
      <c r="DI517" t="str">
        <f>""</f>
        <v/>
      </c>
      <c r="DJ517" t="str">
        <f>""</f>
        <v/>
      </c>
      <c r="DK517" t="str">
        <f>""</f>
        <v/>
      </c>
      <c r="DL517" t="str">
        <f>""</f>
        <v/>
      </c>
      <c r="DM517" t="str">
        <f>""</f>
        <v/>
      </c>
      <c r="DN517" t="str">
        <f>""</f>
        <v/>
      </c>
      <c r="DO517" t="str">
        <f>""</f>
        <v/>
      </c>
      <c r="DP517" t="str">
        <f>""</f>
        <v/>
      </c>
      <c r="DQ517" t="str">
        <f>""</f>
        <v/>
      </c>
      <c r="DR517" t="str">
        <f>""</f>
        <v/>
      </c>
      <c r="DS517" t="str">
        <f>""</f>
        <v/>
      </c>
      <c r="DT517" t="str">
        <f>""</f>
        <v/>
      </c>
      <c r="DU517" t="str">
        <f>""</f>
        <v/>
      </c>
    </row>
    <row r="518" spans="1:125">
      <c r="A518" t="str">
        <f>$A$60</f>
        <v xml:space="preserve">    Regency Centers Corp</v>
      </c>
      <c r="B518" t="str">
        <f>$B$60</f>
        <v>REG US Equity</v>
      </c>
      <c r="C518" t="str">
        <f>$C$60</f>
        <v>IS010</v>
      </c>
      <c r="D518" t="str">
        <f>$D$60</f>
        <v>SALES_REV_TURN</v>
      </c>
      <c r="E518" t="str">
        <f>$E$60</f>
        <v>动态</v>
      </c>
      <c r="F518" t="str">
        <f ca="1">BDH($B$60,$C$60,$B$417,$B$418,CONCATENATE("Per=",$B$415),"Dts=H","Dir=H",CONCATENATE("Points=",$B$416),"Sort=R","Days=A","Fill=B",CONCATENATE("FX=", $B$414) )</f>
        <v>#N/A Authorization</v>
      </c>
      <c r="BN518" t="str">
        <f>""</f>
        <v/>
      </c>
      <c r="BO518" t="str">
        <f>""</f>
        <v/>
      </c>
      <c r="BP518" t="str">
        <f>""</f>
        <v/>
      </c>
      <c r="BQ518" t="str">
        <f>""</f>
        <v/>
      </c>
      <c r="BR518" t="str">
        <f>""</f>
        <v/>
      </c>
      <c r="BS518" t="str">
        <f>""</f>
        <v/>
      </c>
      <c r="BT518" t="str">
        <f>""</f>
        <v/>
      </c>
      <c r="BU518" t="str">
        <f>""</f>
        <v/>
      </c>
      <c r="BV518" t="str">
        <f>""</f>
        <v/>
      </c>
      <c r="BW518" t="str">
        <f>""</f>
        <v/>
      </c>
      <c r="BX518" t="str">
        <f>""</f>
        <v/>
      </c>
      <c r="BY518" t="str">
        <f>""</f>
        <v/>
      </c>
      <c r="BZ518" t="str">
        <f>""</f>
        <v/>
      </c>
      <c r="CA518" t="str">
        <f>""</f>
        <v/>
      </c>
      <c r="CB518" t="str">
        <f>""</f>
        <v/>
      </c>
      <c r="CC518" t="str">
        <f>""</f>
        <v/>
      </c>
      <c r="CD518" t="str">
        <f>""</f>
        <v/>
      </c>
      <c r="CE518" t="str">
        <f>""</f>
        <v/>
      </c>
      <c r="CF518" t="str">
        <f>""</f>
        <v/>
      </c>
      <c r="CG518" t="str">
        <f>""</f>
        <v/>
      </c>
      <c r="CH518" t="str">
        <f>""</f>
        <v/>
      </c>
      <c r="CI518" t="str">
        <f>""</f>
        <v/>
      </c>
      <c r="CJ518" t="str">
        <f>""</f>
        <v/>
      </c>
      <c r="CK518" t="str">
        <f>""</f>
        <v/>
      </c>
      <c r="CL518" t="str">
        <f>""</f>
        <v/>
      </c>
      <c r="CM518" t="str">
        <f>""</f>
        <v/>
      </c>
      <c r="CN518" t="str">
        <f>""</f>
        <v/>
      </c>
      <c r="CO518" t="str">
        <f>""</f>
        <v/>
      </c>
      <c r="CP518" t="str">
        <f>""</f>
        <v/>
      </c>
      <c r="CQ518" t="str">
        <f>""</f>
        <v/>
      </c>
      <c r="CR518" t="str">
        <f>""</f>
        <v/>
      </c>
      <c r="CS518" t="str">
        <f>""</f>
        <v/>
      </c>
      <c r="CT518" t="str">
        <f>""</f>
        <v/>
      </c>
      <c r="CU518" t="str">
        <f>""</f>
        <v/>
      </c>
      <c r="CV518" t="str">
        <f>""</f>
        <v/>
      </c>
      <c r="CW518" t="str">
        <f>""</f>
        <v/>
      </c>
      <c r="CX518" t="str">
        <f>""</f>
        <v/>
      </c>
      <c r="CY518" t="str">
        <f>""</f>
        <v/>
      </c>
      <c r="CZ518" t="str">
        <f>""</f>
        <v/>
      </c>
      <c r="DA518" t="str">
        <f>""</f>
        <v/>
      </c>
      <c r="DB518" t="str">
        <f>""</f>
        <v/>
      </c>
      <c r="DC518" t="str">
        <f>""</f>
        <v/>
      </c>
      <c r="DD518" t="str">
        <f>""</f>
        <v/>
      </c>
      <c r="DE518" t="str">
        <f>""</f>
        <v/>
      </c>
      <c r="DF518" t="str">
        <f>""</f>
        <v/>
      </c>
      <c r="DG518" t="str">
        <f>""</f>
        <v/>
      </c>
      <c r="DH518" t="str">
        <f>""</f>
        <v/>
      </c>
      <c r="DI518" t="str">
        <f>""</f>
        <v/>
      </c>
      <c r="DJ518" t="str">
        <f>""</f>
        <v/>
      </c>
      <c r="DK518" t="str">
        <f>""</f>
        <v/>
      </c>
      <c r="DL518" t="str">
        <f>""</f>
        <v/>
      </c>
      <c r="DM518" t="str">
        <f>""</f>
        <v/>
      </c>
      <c r="DN518" t="str">
        <f>""</f>
        <v/>
      </c>
      <c r="DO518" t="str">
        <f>""</f>
        <v/>
      </c>
      <c r="DP518" t="str">
        <f>""</f>
        <v/>
      </c>
      <c r="DQ518" t="str">
        <f>""</f>
        <v/>
      </c>
      <c r="DR518" t="str">
        <f>""</f>
        <v/>
      </c>
      <c r="DS518" t="str">
        <f>""</f>
        <v/>
      </c>
      <c r="DT518" t="str">
        <f>""</f>
        <v/>
      </c>
      <c r="DU518" t="str">
        <f>""</f>
        <v/>
      </c>
    </row>
    <row r="519" spans="1:125">
      <c r="A519" t="str">
        <f>$A$61</f>
        <v xml:space="preserve">    Retail Opportunity Investments</v>
      </c>
      <c r="B519" t="str">
        <f>$B$61</f>
        <v>ROIC US Equity</v>
      </c>
      <c r="C519" t="str">
        <f>$C$61</f>
        <v>IS010</v>
      </c>
      <c r="D519" t="str">
        <f>$D$61</f>
        <v>SALES_REV_TURN</v>
      </c>
      <c r="E519" t="str">
        <f>$E$61</f>
        <v>动态</v>
      </c>
      <c r="F519" t="str">
        <f ca="1">BDH($B$61,$C$61,$B$417,$B$418,CONCATENATE("Per=",$B$415),"Dts=H","Dir=H",CONCATENATE("Points=",$B$416),"Sort=R","Days=A","Fill=B",CONCATENATE("FX=", $B$414) )</f>
        <v>#N/A Authorization</v>
      </c>
      <c r="BN519" t="str">
        <f>""</f>
        <v/>
      </c>
      <c r="BO519" t="str">
        <f>""</f>
        <v/>
      </c>
      <c r="BP519" t="str">
        <f>""</f>
        <v/>
      </c>
      <c r="BQ519" t="str">
        <f>""</f>
        <v/>
      </c>
      <c r="BR519" t="str">
        <f>""</f>
        <v/>
      </c>
      <c r="BS519" t="str">
        <f>""</f>
        <v/>
      </c>
      <c r="BT519" t="str">
        <f>""</f>
        <v/>
      </c>
      <c r="BU519" t="str">
        <f>""</f>
        <v/>
      </c>
      <c r="BV519" t="str">
        <f>""</f>
        <v/>
      </c>
      <c r="BW519" t="str">
        <f>""</f>
        <v/>
      </c>
      <c r="BX519" t="str">
        <f>""</f>
        <v/>
      </c>
      <c r="BY519" t="str">
        <f>""</f>
        <v/>
      </c>
      <c r="BZ519" t="str">
        <f>""</f>
        <v/>
      </c>
      <c r="CA519" t="str">
        <f>""</f>
        <v/>
      </c>
      <c r="CB519" t="str">
        <f>""</f>
        <v/>
      </c>
      <c r="CC519" t="str">
        <f>""</f>
        <v/>
      </c>
      <c r="CD519" t="str">
        <f>""</f>
        <v/>
      </c>
      <c r="CE519" t="str">
        <f>""</f>
        <v/>
      </c>
      <c r="CF519" t="str">
        <f>""</f>
        <v/>
      </c>
      <c r="CG519" t="str">
        <f>""</f>
        <v/>
      </c>
      <c r="CH519" t="str">
        <f>""</f>
        <v/>
      </c>
      <c r="CI519" t="str">
        <f>""</f>
        <v/>
      </c>
      <c r="CJ519" t="str">
        <f>""</f>
        <v/>
      </c>
      <c r="CK519" t="str">
        <f>""</f>
        <v/>
      </c>
      <c r="CL519" t="str">
        <f>""</f>
        <v/>
      </c>
      <c r="CM519" t="str">
        <f>""</f>
        <v/>
      </c>
      <c r="CN519" t="str">
        <f>""</f>
        <v/>
      </c>
      <c r="CO519" t="str">
        <f>""</f>
        <v/>
      </c>
      <c r="CP519" t="str">
        <f>""</f>
        <v/>
      </c>
      <c r="CQ519" t="str">
        <f>""</f>
        <v/>
      </c>
      <c r="CR519" t="str">
        <f>""</f>
        <v/>
      </c>
      <c r="CS519" t="str">
        <f>""</f>
        <v/>
      </c>
      <c r="CT519" t="str">
        <f>""</f>
        <v/>
      </c>
      <c r="CU519" t="str">
        <f>""</f>
        <v/>
      </c>
      <c r="CV519" t="str">
        <f>""</f>
        <v/>
      </c>
      <c r="CW519" t="str">
        <f>""</f>
        <v/>
      </c>
      <c r="CX519" t="str">
        <f>""</f>
        <v/>
      </c>
      <c r="CY519" t="str">
        <f>""</f>
        <v/>
      </c>
      <c r="CZ519" t="str">
        <f>""</f>
        <v/>
      </c>
      <c r="DA519" t="str">
        <f>""</f>
        <v/>
      </c>
      <c r="DB519" t="str">
        <f>""</f>
        <v/>
      </c>
      <c r="DC519" t="str">
        <f>""</f>
        <v/>
      </c>
      <c r="DD519" t="str">
        <f>""</f>
        <v/>
      </c>
      <c r="DE519" t="str">
        <f>""</f>
        <v/>
      </c>
      <c r="DF519" t="str">
        <f>""</f>
        <v/>
      </c>
      <c r="DG519" t="str">
        <f>""</f>
        <v/>
      </c>
      <c r="DH519" t="str">
        <f>""</f>
        <v/>
      </c>
      <c r="DI519" t="str">
        <f>""</f>
        <v/>
      </c>
      <c r="DJ519" t="str">
        <f>""</f>
        <v/>
      </c>
      <c r="DK519" t="str">
        <f>""</f>
        <v/>
      </c>
      <c r="DL519" t="str">
        <f>""</f>
        <v/>
      </c>
      <c r="DM519" t="str">
        <f>""</f>
        <v/>
      </c>
      <c r="DN519" t="str">
        <f>""</f>
        <v/>
      </c>
      <c r="DO519" t="str">
        <f>""</f>
        <v/>
      </c>
      <c r="DP519" t="str">
        <f>""</f>
        <v/>
      </c>
      <c r="DQ519" t="str">
        <f>""</f>
        <v/>
      </c>
      <c r="DR519" t="str">
        <f>""</f>
        <v/>
      </c>
      <c r="DS519" t="str">
        <f>""</f>
        <v/>
      </c>
      <c r="DT519" t="str">
        <f>""</f>
        <v/>
      </c>
      <c r="DU519" t="str">
        <f>""</f>
        <v/>
      </c>
    </row>
    <row r="520" spans="1:125">
      <c r="A520" t="str">
        <f>$A$62</f>
        <v xml:space="preserve">    Retail Properties of America I</v>
      </c>
      <c r="B520" t="str">
        <f>$B$62</f>
        <v>RPAI US Equity</v>
      </c>
      <c r="C520" t="str">
        <f>$C$62</f>
        <v>IS010</v>
      </c>
      <c r="D520" t="str">
        <f>$D$62</f>
        <v>SALES_REV_TURN</v>
      </c>
      <c r="E520" t="str">
        <f>$E$62</f>
        <v>动态</v>
      </c>
      <c r="F520" t="str">
        <f ca="1">BDH($B$62,$C$62,$B$417,$B$418,CONCATENATE("Per=",$B$415),"Dts=H","Dir=H",CONCATENATE("Points=",$B$416),"Sort=R","Days=A","Fill=B",CONCATENATE("FX=", $B$414) )</f>
        <v>#N/A Authorization</v>
      </c>
      <c r="BN520" t="str">
        <f>""</f>
        <v/>
      </c>
      <c r="BO520" t="str">
        <f>""</f>
        <v/>
      </c>
      <c r="BP520" t="str">
        <f>""</f>
        <v/>
      </c>
      <c r="BQ520" t="str">
        <f>""</f>
        <v/>
      </c>
      <c r="BR520" t="str">
        <f>""</f>
        <v/>
      </c>
      <c r="BS520" t="str">
        <f>""</f>
        <v/>
      </c>
      <c r="BT520" t="str">
        <f>""</f>
        <v/>
      </c>
      <c r="BU520" t="str">
        <f>""</f>
        <v/>
      </c>
      <c r="BV520" t="str">
        <f>""</f>
        <v/>
      </c>
      <c r="BW520" t="str">
        <f>""</f>
        <v/>
      </c>
      <c r="BX520" t="str">
        <f>""</f>
        <v/>
      </c>
      <c r="BY520" t="str">
        <f>""</f>
        <v/>
      </c>
      <c r="BZ520" t="str">
        <f>""</f>
        <v/>
      </c>
      <c r="CA520" t="str">
        <f>""</f>
        <v/>
      </c>
      <c r="CB520" t="str">
        <f>""</f>
        <v/>
      </c>
      <c r="CC520" t="str">
        <f>""</f>
        <v/>
      </c>
      <c r="CD520" t="str">
        <f>""</f>
        <v/>
      </c>
      <c r="CE520" t="str">
        <f>""</f>
        <v/>
      </c>
      <c r="CF520" t="str">
        <f>""</f>
        <v/>
      </c>
      <c r="CG520" t="str">
        <f>""</f>
        <v/>
      </c>
      <c r="CH520" t="str">
        <f>""</f>
        <v/>
      </c>
      <c r="CI520" t="str">
        <f>""</f>
        <v/>
      </c>
      <c r="CJ520" t="str">
        <f>""</f>
        <v/>
      </c>
      <c r="CK520" t="str">
        <f>""</f>
        <v/>
      </c>
      <c r="CL520" t="str">
        <f>""</f>
        <v/>
      </c>
      <c r="CM520" t="str">
        <f>""</f>
        <v/>
      </c>
      <c r="CN520" t="str">
        <f>""</f>
        <v/>
      </c>
      <c r="CO520" t="str">
        <f>""</f>
        <v/>
      </c>
      <c r="CP520" t="str">
        <f>""</f>
        <v/>
      </c>
      <c r="CQ520" t="str">
        <f>""</f>
        <v/>
      </c>
      <c r="CR520" t="str">
        <f>""</f>
        <v/>
      </c>
      <c r="CS520" t="str">
        <f>""</f>
        <v/>
      </c>
      <c r="CT520" t="str">
        <f>""</f>
        <v/>
      </c>
      <c r="CU520" t="str">
        <f>""</f>
        <v/>
      </c>
      <c r="CV520" t="str">
        <f>""</f>
        <v/>
      </c>
      <c r="CW520" t="str">
        <f>""</f>
        <v/>
      </c>
      <c r="CX520" t="str">
        <f>""</f>
        <v/>
      </c>
      <c r="CY520" t="str">
        <f>""</f>
        <v/>
      </c>
      <c r="CZ520" t="str">
        <f>""</f>
        <v/>
      </c>
      <c r="DA520" t="str">
        <f>""</f>
        <v/>
      </c>
      <c r="DB520" t="str">
        <f>""</f>
        <v/>
      </c>
      <c r="DC520" t="str">
        <f>""</f>
        <v/>
      </c>
      <c r="DD520" t="str">
        <f>""</f>
        <v/>
      </c>
      <c r="DE520" t="str">
        <f>""</f>
        <v/>
      </c>
      <c r="DF520" t="str">
        <f>""</f>
        <v/>
      </c>
      <c r="DG520" t="str">
        <f>""</f>
        <v/>
      </c>
      <c r="DH520" t="str">
        <f>""</f>
        <v/>
      </c>
      <c r="DI520" t="str">
        <f>""</f>
        <v/>
      </c>
      <c r="DJ520" t="str">
        <f>""</f>
        <v/>
      </c>
      <c r="DK520" t="str">
        <f>""</f>
        <v/>
      </c>
      <c r="DL520" t="str">
        <f>""</f>
        <v/>
      </c>
      <c r="DM520" t="str">
        <f>""</f>
        <v/>
      </c>
      <c r="DN520" t="str">
        <f>""</f>
        <v/>
      </c>
      <c r="DO520" t="str">
        <f>""</f>
        <v/>
      </c>
      <c r="DP520" t="str">
        <f>""</f>
        <v/>
      </c>
      <c r="DQ520" t="str">
        <f>""</f>
        <v/>
      </c>
      <c r="DR520" t="str">
        <f>""</f>
        <v/>
      </c>
      <c r="DS520" t="str">
        <f>""</f>
        <v/>
      </c>
      <c r="DT520" t="str">
        <f>""</f>
        <v/>
      </c>
      <c r="DU520" t="str">
        <f>""</f>
        <v/>
      </c>
    </row>
    <row r="521" spans="1:125">
      <c r="A521" t="str">
        <f>$A$63</f>
        <v xml:space="preserve">    Simon Property Group Inc</v>
      </c>
      <c r="B521" t="str">
        <f>$B$63</f>
        <v>SPG US Equity</v>
      </c>
      <c r="C521" t="str">
        <f>$C$63</f>
        <v>IS010</v>
      </c>
      <c r="D521" t="str">
        <f>$D$63</f>
        <v>SALES_REV_TURN</v>
      </c>
      <c r="E521" t="str">
        <f>$E$63</f>
        <v>动态</v>
      </c>
      <c r="F521" t="str">
        <f ca="1">BDH($B$63,$C$63,$B$417,$B$418,CONCATENATE("Per=",$B$415),"Dts=H","Dir=H",CONCATENATE("Points=",$B$416),"Sort=R","Days=A","Fill=B",CONCATENATE("FX=", $B$414) )</f>
        <v>#N/A Authorization</v>
      </c>
      <c r="BN521" t="str">
        <f>""</f>
        <v/>
      </c>
      <c r="BO521" t="str">
        <f>""</f>
        <v/>
      </c>
      <c r="BP521" t="str">
        <f>""</f>
        <v/>
      </c>
      <c r="BQ521" t="str">
        <f>""</f>
        <v/>
      </c>
      <c r="BR521" t="str">
        <f>""</f>
        <v/>
      </c>
      <c r="BS521" t="str">
        <f>""</f>
        <v/>
      </c>
      <c r="BT521" t="str">
        <f>""</f>
        <v/>
      </c>
      <c r="BU521" t="str">
        <f>""</f>
        <v/>
      </c>
      <c r="BV521" t="str">
        <f>""</f>
        <v/>
      </c>
      <c r="BW521" t="str">
        <f>""</f>
        <v/>
      </c>
      <c r="BX521" t="str">
        <f>""</f>
        <v/>
      </c>
      <c r="BY521" t="str">
        <f>""</f>
        <v/>
      </c>
      <c r="BZ521" t="str">
        <f>""</f>
        <v/>
      </c>
      <c r="CA521" t="str">
        <f>""</f>
        <v/>
      </c>
      <c r="CB521" t="str">
        <f>""</f>
        <v/>
      </c>
      <c r="CC521" t="str">
        <f>""</f>
        <v/>
      </c>
      <c r="CD521" t="str">
        <f>""</f>
        <v/>
      </c>
      <c r="CE521" t="str">
        <f>""</f>
        <v/>
      </c>
      <c r="CF521" t="str">
        <f>""</f>
        <v/>
      </c>
      <c r="CG521" t="str">
        <f>""</f>
        <v/>
      </c>
      <c r="CH521" t="str">
        <f>""</f>
        <v/>
      </c>
      <c r="CI521" t="str">
        <f>""</f>
        <v/>
      </c>
      <c r="CJ521" t="str">
        <f>""</f>
        <v/>
      </c>
      <c r="CK521" t="str">
        <f>""</f>
        <v/>
      </c>
      <c r="CL521" t="str">
        <f>""</f>
        <v/>
      </c>
      <c r="CM521" t="str">
        <f>""</f>
        <v/>
      </c>
      <c r="CN521" t="str">
        <f>""</f>
        <v/>
      </c>
      <c r="CO521" t="str">
        <f>""</f>
        <v/>
      </c>
      <c r="CP521" t="str">
        <f>""</f>
        <v/>
      </c>
      <c r="CQ521" t="str">
        <f>""</f>
        <v/>
      </c>
      <c r="CR521" t="str">
        <f>""</f>
        <v/>
      </c>
      <c r="CS521" t="str">
        <f>""</f>
        <v/>
      </c>
      <c r="CT521" t="str">
        <f>""</f>
        <v/>
      </c>
      <c r="CU521" t="str">
        <f>""</f>
        <v/>
      </c>
      <c r="CV521" t="str">
        <f>""</f>
        <v/>
      </c>
      <c r="CW521" t="str">
        <f>""</f>
        <v/>
      </c>
      <c r="CX521" t="str">
        <f>""</f>
        <v/>
      </c>
      <c r="CY521" t="str">
        <f>""</f>
        <v/>
      </c>
      <c r="CZ521" t="str">
        <f>""</f>
        <v/>
      </c>
      <c r="DA521" t="str">
        <f>""</f>
        <v/>
      </c>
      <c r="DB521" t="str">
        <f>""</f>
        <v/>
      </c>
      <c r="DC521" t="str">
        <f>""</f>
        <v/>
      </c>
      <c r="DD521" t="str">
        <f>""</f>
        <v/>
      </c>
      <c r="DE521" t="str">
        <f>""</f>
        <v/>
      </c>
      <c r="DF521" t="str">
        <f>""</f>
        <v/>
      </c>
      <c r="DG521" t="str">
        <f>""</f>
        <v/>
      </c>
      <c r="DH521" t="str">
        <f>""</f>
        <v/>
      </c>
      <c r="DI521" t="str">
        <f>""</f>
        <v/>
      </c>
      <c r="DJ521" t="str">
        <f>""</f>
        <v/>
      </c>
      <c r="DK521" t="str">
        <f>""</f>
        <v/>
      </c>
      <c r="DL521" t="str">
        <f>""</f>
        <v/>
      </c>
      <c r="DM521" t="str">
        <f>""</f>
        <v/>
      </c>
      <c r="DN521" t="str">
        <f>""</f>
        <v/>
      </c>
      <c r="DO521" t="str">
        <f>""</f>
        <v/>
      </c>
      <c r="DP521" t="str">
        <f>""</f>
        <v/>
      </c>
      <c r="DQ521" t="str">
        <f>""</f>
        <v/>
      </c>
      <c r="DR521" t="str">
        <f>""</f>
        <v/>
      </c>
      <c r="DS521" t="str">
        <f>""</f>
        <v/>
      </c>
      <c r="DT521" t="str">
        <f>""</f>
        <v/>
      </c>
      <c r="DU521" t="str">
        <f>""</f>
        <v/>
      </c>
    </row>
    <row r="522" spans="1:125">
      <c r="A522" t="str">
        <f>$A$64</f>
        <v xml:space="preserve">    Tanger Factory Outlet Centers</v>
      </c>
      <c r="B522" t="str">
        <f>$B$64</f>
        <v>SKT US Equity</v>
      </c>
      <c r="C522" t="str">
        <f>$C$64</f>
        <v>IS010</v>
      </c>
      <c r="D522" t="str">
        <f>$D$64</f>
        <v>SALES_REV_TURN</v>
      </c>
      <c r="E522" t="str">
        <f>$E$64</f>
        <v>动态</v>
      </c>
      <c r="F522" t="str">
        <f ca="1">BDH($B$64,$C$64,$B$417,$B$418,CONCATENATE("Per=",$B$415),"Dts=H","Dir=H",CONCATENATE("Points=",$B$416),"Sort=R","Days=A","Fill=B",CONCATENATE("FX=", $B$414) )</f>
        <v>#N/A Authorization</v>
      </c>
      <c r="BN522" t="str">
        <f>""</f>
        <v/>
      </c>
      <c r="BO522" t="str">
        <f>""</f>
        <v/>
      </c>
      <c r="BP522" t="str">
        <f>""</f>
        <v/>
      </c>
      <c r="BQ522" t="str">
        <f>""</f>
        <v/>
      </c>
      <c r="BR522" t="str">
        <f>""</f>
        <v/>
      </c>
      <c r="BS522" t="str">
        <f>""</f>
        <v/>
      </c>
      <c r="BT522" t="str">
        <f>""</f>
        <v/>
      </c>
      <c r="BU522" t="str">
        <f>""</f>
        <v/>
      </c>
      <c r="BV522" t="str">
        <f>""</f>
        <v/>
      </c>
      <c r="BW522" t="str">
        <f>""</f>
        <v/>
      </c>
      <c r="BX522" t="str">
        <f>""</f>
        <v/>
      </c>
      <c r="BY522" t="str">
        <f>""</f>
        <v/>
      </c>
      <c r="BZ522" t="str">
        <f>""</f>
        <v/>
      </c>
      <c r="CA522" t="str">
        <f>""</f>
        <v/>
      </c>
      <c r="CB522" t="str">
        <f>""</f>
        <v/>
      </c>
      <c r="CC522" t="str">
        <f>""</f>
        <v/>
      </c>
      <c r="CD522" t="str">
        <f>""</f>
        <v/>
      </c>
      <c r="CE522" t="str">
        <f>""</f>
        <v/>
      </c>
      <c r="CF522" t="str">
        <f>""</f>
        <v/>
      </c>
      <c r="CG522" t="str">
        <f>""</f>
        <v/>
      </c>
      <c r="CH522" t="str">
        <f>""</f>
        <v/>
      </c>
      <c r="CI522" t="str">
        <f>""</f>
        <v/>
      </c>
      <c r="CJ522" t="str">
        <f>""</f>
        <v/>
      </c>
      <c r="CK522" t="str">
        <f>""</f>
        <v/>
      </c>
      <c r="CL522" t="str">
        <f>""</f>
        <v/>
      </c>
      <c r="CM522" t="str">
        <f>""</f>
        <v/>
      </c>
      <c r="CN522" t="str">
        <f>""</f>
        <v/>
      </c>
      <c r="CO522" t="str">
        <f>""</f>
        <v/>
      </c>
      <c r="CP522" t="str">
        <f>""</f>
        <v/>
      </c>
      <c r="CQ522" t="str">
        <f>""</f>
        <v/>
      </c>
      <c r="CR522" t="str">
        <f>""</f>
        <v/>
      </c>
      <c r="CS522" t="str">
        <f>""</f>
        <v/>
      </c>
      <c r="CT522" t="str">
        <f>""</f>
        <v/>
      </c>
      <c r="CU522" t="str">
        <f>""</f>
        <v/>
      </c>
      <c r="CV522" t="str">
        <f>""</f>
        <v/>
      </c>
      <c r="CW522" t="str">
        <f>""</f>
        <v/>
      </c>
      <c r="CX522" t="str">
        <f>""</f>
        <v/>
      </c>
      <c r="CY522" t="str">
        <f>""</f>
        <v/>
      </c>
      <c r="CZ522" t="str">
        <f>""</f>
        <v/>
      </c>
      <c r="DA522" t="str">
        <f>""</f>
        <v/>
      </c>
      <c r="DB522" t="str">
        <f>""</f>
        <v/>
      </c>
      <c r="DC522" t="str">
        <f>""</f>
        <v/>
      </c>
      <c r="DD522" t="str">
        <f>""</f>
        <v/>
      </c>
      <c r="DE522" t="str">
        <f>""</f>
        <v/>
      </c>
      <c r="DF522" t="str">
        <f>""</f>
        <v/>
      </c>
      <c r="DG522" t="str">
        <f>""</f>
        <v/>
      </c>
      <c r="DH522" t="str">
        <f>""</f>
        <v/>
      </c>
      <c r="DI522" t="str">
        <f>""</f>
        <v/>
      </c>
      <c r="DJ522" t="str">
        <f>""</f>
        <v/>
      </c>
      <c r="DK522" t="str">
        <f>""</f>
        <v/>
      </c>
      <c r="DL522" t="str">
        <f>""</f>
        <v/>
      </c>
      <c r="DM522" t="str">
        <f>""</f>
        <v/>
      </c>
      <c r="DN522" t="str">
        <f>""</f>
        <v/>
      </c>
      <c r="DO522" t="str">
        <f>""</f>
        <v/>
      </c>
      <c r="DP522" t="str">
        <f>""</f>
        <v/>
      </c>
      <c r="DQ522" t="str">
        <f>""</f>
        <v/>
      </c>
      <c r="DR522" t="str">
        <f>""</f>
        <v/>
      </c>
      <c r="DS522" t="str">
        <f>""</f>
        <v/>
      </c>
      <c r="DT522" t="str">
        <f>""</f>
        <v/>
      </c>
      <c r="DU522" t="str">
        <f>""</f>
        <v/>
      </c>
    </row>
    <row r="523" spans="1:125">
      <c r="A523" t="str">
        <f>$A$65</f>
        <v xml:space="preserve">    VEREIT Inc</v>
      </c>
      <c r="B523" t="str">
        <f>$B$65</f>
        <v>VER US Equity</v>
      </c>
      <c r="C523" t="str">
        <f>$C$65</f>
        <v>IS010</v>
      </c>
      <c r="D523" t="str">
        <f>$D$65</f>
        <v>SALES_REV_TURN</v>
      </c>
      <c r="E523" t="str">
        <f>$E$65</f>
        <v>动态</v>
      </c>
      <c r="F523" t="str">
        <f ca="1">BDH($B$65,$C$65,$B$417,$B$418,CONCATENATE("Per=",$B$415),"Dts=H","Dir=H",CONCATENATE("Points=",$B$416),"Sort=R","Days=A","Fill=B",CONCATENATE("FX=", $B$414) )</f>
        <v>#N/A Authorization</v>
      </c>
      <c r="BN523" t="str">
        <f>""</f>
        <v/>
      </c>
      <c r="BO523" t="str">
        <f>""</f>
        <v/>
      </c>
      <c r="BP523" t="str">
        <f>""</f>
        <v/>
      </c>
      <c r="BQ523" t="str">
        <f>""</f>
        <v/>
      </c>
      <c r="BR523" t="str">
        <f>""</f>
        <v/>
      </c>
      <c r="BS523" t="str">
        <f>""</f>
        <v/>
      </c>
      <c r="BT523" t="str">
        <f>""</f>
        <v/>
      </c>
      <c r="BU523" t="str">
        <f>""</f>
        <v/>
      </c>
      <c r="BV523" t="str">
        <f>""</f>
        <v/>
      </c>
      <c r="BW523" t="str">
        <f>""</f>
        <v/>
      </c>
      <c r="BX523" t="str">
        <f>""</f>
        <v/>
      </c>
      <c r="BY523" t="str">
        <f>""</f>
        <v/>
      </c>
      <c r="BZ523" t="str">
        <f>""</f>
        <v/>
      </c>
      <c r="CA523" t="str">
        <f>""</f>
        <v/>
      </c>
      <c r="CB523" t="str">
        <f>""</f>
        <v/>
      </c>
      <c r="CC523" t="str">
        <f>""</f>
        <v/>
      </c>
      <c r="CD523" t="str">
        <f>""</f>
        <v/>
      </c>
      <c r="CE523" t="str">
        <f>""</f>
        <v/>
      </c>
      <c r="CF523" t="str">
        <f>""</f>
        <v/>
      </c>
      <c r="CG523" t="str">
        <f>""</f>
        <v/>
      </c>
      <c r="CH523" t="str">
        <f>""</f>
        <v/>
      </c>
      <c r="CI523" t="str">
        <f>""</f>
        <v/>
      </c>
      <c r="CJ523" t="str">
        <f>""</f>
        <v/>
      </c>
      <c r="CK523" t="str">
        <f>""</f>
        <v/>
      </c>
      <c r="CL523" t="str">
        <f>""</f>
        <v/>
      </c>
      <c r="CM523" t="str">
        <f>""</f>
        <v/>
      </c>
      <c r="CN523" t="str">
        <f>""</f>
        <v/>
      </c>
      <c r="CO523" t="str">
        <f>""</f>
        <v/>
      </c>
      <c r="CP523" t="str">
        <f>""</f>
        <v/>
      </c>
      <c r="CQ523" t="str">
        <f>""</f>
        <v/>
      </c>
      <c r="CR523" t="str">
        <f>""</f>
        <v/>
      </c>
      <c r="CS523" t="str">
        <f>""</f>
        <v/>
      </c>
      <c r="CT523" t="str">
        <f>""</f>
        <v/>
      </c>
      <c r="CU523" t="str">
        <f>""</f>
        <v/>
      </c>
      <c r="CV523" t="str">
        <f>""</f>
        <v/>
      </c>
      <c r="CW523" t="str">
        <f>""</f>
        <v/>
      </c>
      <c r="CX523" t="str">
        <f>""</f>
        <v/>
      </c>
      <c r="CY523" t="str">
        <f>""</f>
        <v/>
      </c>
      <c r="CZ523" t="str">
        <f>""</f>
        <v/>
      </c>
      <c r="DA523" t="str">
        <f>""</f>
        <v/>
      </c>
      <c r="DB523" t="str">
        <f>""</f>
        <v/>
      </c>
      <c r="DC523" t="str">
        <f>""</f>
        <v/>
      </c>
      <c r="DD523" t="str">
        <f>""</f>
        <v/>
      </c>
      <c r="DE523" t="str">
        <f>""</f>
        <v/>
      </c>
      <c r="DF523" t="str">
        <f>""</f>
        <v/>
      </c>
      <c r="DG523" t="str">
        <f>""</f>
        <v/>
      </c>
      <c r="DH523" t="str">
        <f>""</f>
        <v/>
      </c>
      <c r="DI523" t="str">
        <f>""</f>
        <v/>
      </c>
      <c r="DJ523" t="str">
        <f>""</f>
        <v/>
      </c>
      <c r="DK523" t="str">
        <f>""</f>
        <v/>
      </c>
      <c r="DL523" t="str">
        <f>""</f>
        <v/>
      </c>
      <c r="DM523" t="str">
        <f>""</f>
        <v/>
      </c>
      <c r="DN523" t="str">
        <f>""</f>
        <v/>
      </c>
      <c r="DO523" t="str">
        <f>""</f>
        <v/>
      </c>
      <c r="DP523" t="str">
        <f>""</f>
        <v/>
      </c>
      <c r="DQ523" t="str">
        <f>""</f>
        <v/>
      </c>
      <c r="DR523" t="str">
        <f>""</f>
        <v/>
      </c>
      <c r="DS523" t="str">
        <f>""</f>
        <v/>
      </c>
      <c r="DT523" t="str">
        <f>""</f>
        <v/>
      </c>
      <c r="DU523" t="str">
        <f>""</f>
        <v/>
      </c>
    </row>
    <row r="524" spans="1:125">
      <c r="A524" t="str">
        <f>$A$66</f>
        <v xml:space="preserve">    Washington Prime Group Inc</v>
      </c>
      <c r="B524" t="str">
        <f>$B$66</f>
        <v>WPG US Equity</v>
      </c>
      <c r="C524" t="str">
        <f>$C$66</f>
        <v>IS010</v>
      </c>
      <c r="D524" t="str">
        <f>$D$66</f>
        <v>SALES_REV_TURN</v>
      </c>
      <c r="E524" t="str">
        <f>$E$66</f>
        <v>动态</v>
      </c>
      <c r="F524" t="str">
        <f ca="1">BDH($B$66,$C$66,$B$417,$B$418,CONCATENATE("Per=",$B$415),"Dts=H","Dir=H",CONCATENATE("Points=",$B$416),"Sort=R","Days=A","Fill=B",CONCATENATE("FX=", $B$414) )</f>
        <v>#N/A Authorization</v>
      </c>
      <c r="BN524" t="str">
        <f>""</f>
        <v/>
      </c>
      <c r="BO524" t="str">
        <f>""</f>
        <v/>
      </c>
      <c r="BP524" t="str">
        <f>""</f>
        <v/>
      </c>
      <c r="BQ524" t="str">
        <f>""</f>
        <v/>
      </c>
      <c r="BR524" t="str">
        <f>""</f>
        <v/>
      </c>
      <c r="BS524" t="str">
        <f>""</f>
        <v/>
      </c>
      <c r="BT524" t="str">
        <f>""</f>
        <v/>
      </c>
      <c r="BU524" t="str">
        <f>""</f>
        <v/>
      </c>
      <c r="BV524" t="str">
        <f>""</f>
        <v/>
      </c>
      <c r="BW524" t="str">
        <f>""</f>
        <v/>
      </c>
      <c r="BX524" t="str">
        <f>""</f>
        <v/>
      </c>
      <c r="BY524" t="str">
        <f>""</f>
        <v/>
      </c>
      <c r="BZ524" t="str">
        <f>""</f>
        <v/>
      </c>
      <c r="CA524" t="str">
        <f>""</f>
        <v/>
      </c>
      <c r="CB524" t="str">
        <f>""</f>
        <v/>
      </c>
      <c r="CC524" t="str">
        <f>""</f>
        <v/>
      </c>
      <c r="CD524" t="str">
        <f>""</f>
        <v/>
      </c>
      <c r="CE524" t="str">
        <f>""</f>
        <v/>
      </c>
      <c r="CF524" t="str">
        <f>""</f>
        <v/>
      </c>
      <c r="CG524" t="str">
        <f>""</f>
        <v/>
      </c>
      <c r="CH524" t="str">
        <f>""</f>
        <v/>
      </c>
      <c r="CI524" t="str">
        <f>""</f>
        <v/>
      </c>
      <c r="CJ524" t="str">
        <f>""</f>
        <v/>
      </c>
      <c r="CK524" t="str">
        <f>""</f>
        <v/>
      </c>
      <c r="CL524" t="str">
        <f>""</f>
        <v/>
      </c>
      <c r="CM524" t="str">
        <f>""</f>
        <v/>
      </c>
      <c r="CN524" t="str">
        <f>""</f>
        <v/>
      </c>
      <c r="CO524" t="str">
        <f>""</f>
        <v/>
      </c>
      <c r="CP524" t="str">
        <f>""</f>
        <v/>
      </c>
      <c r="CQ524" t="str">
        <f>""</f>
        <v/>
      </c>
      <c r="CR524" t="str">
        <f>""</f>
        <v/>
      </c>
      <c r="CS524" t="str">
        <f>""</f>
        <v/>
      </c>
      <c r="CT524" t="str">
        <f>""</f>
        <v/>
      </c>
      <c r="CU524" t="str">
        <f>""</f>
        <v/>
      </c>
      <c r="CV524" t="str">
        <f>""</f>
        <v/>
      </c>
      <c r="CW524" t="str">
        <f>""</f>
        <v/>
      </c>
      <c r="CX524" t="str">
        <f>""</f>
        <v/>
      </c>
      <c r="CY524" t="str">
        <f>""</f>
        <v/>
      </c>
      <c r="CZ524" t="str">
        <f>""</f>
        <v/>
      </c>
      <c r="DA524" t="str">
        <f>""</f>
        <v/>
      </c>
      <c r="DB524" t="str">
        <f>""</f>
        <v/>
      </c>
      <c r="DC524" t="str">
        <f>""</f>
        <v/>
      </c>
      <c r="DD524" t="str">
        <f>""</f>
        <v/>
      </c>
      <c r="DE524" t="str">
        <f>""</f>
        <v/>
      </c>
      <c r="DF524" t="str">
        <f>""</f>
        <v/>
      </c>
      <c r="DG524" t="str">
        <f>""</f>
        <v/>
      </c>
      <c r="DH524" t="str">
        <f>""</f>
        <v/>
      </c>
      <c r="DI524" t="str">
        <f>""</f>
        <v/>
      </c>
      <c r="DJ524" t="str">
        <f>""</f>
        <v/>
      </c>
      <c r="DK524" t="str">
        <f>""</f>
        <v/>
      </c>
      <c r="DL524" t="str">
        <f>""</f>
        <v/>
      </c>
      <c r="DM524" t="str">
        <f>""</f>
        <v/>
      </c>
      <c r="DN524" t="str">
        <f>""</f>
        <v/>
      </c>
      <c r="DO524" t="str">
        <f>""</f>
        <v/>
      </c>
      <c r="DP524" t="str">
        <f>""</f>
        <v/>
      </c>
      <c r="DQ524" t="str">
        <f>""</f>
        <v/>
      </c>
      <c r="DR524" t="str">
        <f>""</f>
        <v/>
      </c>
      <c r="DS524" t="str">
        <f>""</f>
        <v/>
      </c>
      <c r="DT524" t="str">
        <f>""</f>
        <v/>
      </c>
      <c r="DU524" t="str">
        <f>""</f>
        <v/>
      </c>
    </row>
    <row r="525" spans="1:125">
      <c r="A525" t="str">
        <f>$A$67</f>
        <v xml:space="preserve">    Weingarten Realty Investors</v>
      </c>
      <c r="B525" t="str">
        <f>$B$67</f>
        <v>WRI US Equity</v>
      </c>
      <c r="C525" t="str">
        <f>$C$67</f>
        <v>IS010</v>
      </c>
      <c r="D525" t="str">
        <f>$D$67</f>
        <v>SALES_REV_TURN</v>
      </c>
      <c r="E525" t="str">
        <f>$E$67</f>
        <v>动态</v>
      </c>
      <c r="F525" t="str">
        <f ca="1">BDH($B$67,$C$67,$B$417,$B$418,CONCATENATE("Per=",$B$415),"Dts=H","Dir=H",CONCATENATE("Points=",$B$416),"Sort=R","Days=A","Fill=B",CONCATENATE("FX=", $B$414) )</f>
        <v>#N/A Authorization</v>
      </c>
      <c r="BN525" t="str">
        <f>""</f>
        <v/>
      </c>
      <c r="BO525" t="str">
        <f>""</f>
        <v/>
      </c>
      <c r="BP525" t="str">
        <f>""</f>
        <v/>
      </c>
      <c r="BQ525" t="str">
        <f>""</f>
        <v/>
      </c>
      <c r="BR525" t="str">
        <f>""</f>
        <v/>
      </c>
      <c r="BS525" t="str">
        <f>""</f>
        <v/>
      </c>
      <c r="BT525" t="str">
        <f>""</f>
        <v/>
      </c>
      <c r="BU525" t="str">
        <f>""</f>
        <v/>
      </c>
      <c r="BV525" t="str">
        <f>""</f>
        <v/>
      </c>
      <c r="BW525" t="str">
        <f>""</f>
        <v/>
      </c>
      <c r="BX525" t="str">
        <f>""</f>
        <v/>
      </c>
      <c r="BY525" t="str">
        <f>""</f>
        <v/>
      </c>
      <c r="BZ525" t="str">
        <f>""</f>
        <v/>
      </c>
      <c r="CA525" t="str">
        <f>""</f>
        <v/>
      </c>
      <c r="CB525" t="str">
        <f>""</f>
        <v/>
      </c>
      <c r="CC525" t="str">
        <f>""</f>
        <v/>
      </c>
      <c r="CD525" t="str">
        <f>""</f>
        <v/>
      </c>
      <c r="CE525" t="str">
        <f>""</f>
        <v/>
      </c>
      <c r="CF525" t="str">
        <f>""</f>
        <v/>
      </c>
      <c r="CG525" t="str">
        <f>""</f>
        <v/>
      </c>
      <c r="CH525" t="str">
        <f>""</f>
        <v/>
      </c>
      <c r="CI525" t="str">
        <f>""</f>
        <v/>
      </c>
      <c r="CJ525" t="str">
        <f>""</f>
        <v/>
      </c>
      <c r="CK525" t="str">
        <f>""</f>
        <v/>
      </c>
      <c r="CL525" t="str">
        <f>""</f>
        <v/>
      </c>
      <c r="CM525" t="str">
        <f>""</f>
        <v/>
      </c>
      <c r="CN525" t="str">
        <f>""</f>
        <v/>
      </c>
      <c r="CO525" t="str">
        <f>""</f>
        <v/>
      </c>
      <c r="CP525" t="str">
        <f>""</f>
        <v/>
      </c>
      <c r="CQ525" t="str">
        <f>""</f>
        <v/>
      </c>
      <c r="CR525" t="str">
        <f>""</f>
        <v/>
      </c>
      <c r="CS525" t="str">
        <f>""</f>
        <v/>
      </c>
      <c r="CT525" t="str">
        <f>""</f>
        <v/>
      </c>
      <c r="CU525" t="str">
        <f>""</f>
        <v/>
      </c>
      <c r="CV525" t="str">
        <f>""</f>
        <v/>
      </c>
      <c r="CW525" t="str">
        <f>""</f>
        <v/>
      </c>
      <c r="CX525" t="str">
        <f>""</f>
        <v/>
      </c>
      <c r="CY525" t="str">
        <f>""</f>
        <v/>
      </c>
      <c r="CZ525" t="str">
        <f>""</f>
        <v/>
      </c>
      <c r="DA525" t="str">
        <f>""</f>
        <v/>
      </c>
      <c r="DB525" t="str">
        <f>""</f>
        <v/>
      </c>
      <c r="DC525" t="str">
        <f>""</f>
        <v/>
      </c>
      <c r="DD525" t="str">
        <f>""</f>
        <v/>
      </c>
      <c r="DE525" t="str">
        <f>""</f>
        <v/>
      </c>
      <c r="DF525" t="str">
        <f>""</f>
        <v/>
      </c>
      <c r="DG525" t="str">
        <f>""</f>
        <v/>
      </c>
      <c r="DH525" t="str">
        <f>""</f>
        <v/>
      </c>
      <c r="DI525" t="str">
        <f>""</f>
        <v/>
      </c>
      <c r="DJ525" t="str">
        <f>""</f>
        <v/>
      </c>
      <c r="DK525" t="str">
        <f>""</f>
        <v/>
      </c>
      <c r="DL525" t="str">
        <f>""</f>
        <v/>
      </c>
      <c r="DM525" t="str">
        <f>""</f>
        <v/>
      </c>
      <c r="DN525" t="str">
        <f>""</f>
        <v/>
      </c>
      <c r="DO525" t="str">
        <f>""</f>
        <v/>
      </c>
      <c r="DP525" t="str">
        <f>""</f>
        <v/>
      </c>
      <c r="DQ525" t="str">
        <f>""</f>
        <v/>
      </c>
      <c r="DR525" t="str">
        <f>""</f>
        <v/>
      </c>
      <c r="DS525" t="str">
        <f>""</f>
        <v/>
      </c>
      <c r="DT525" t="str">
        <f>""</f>
        <v/>
      </c>
      <c r="DU525" t="str">
        <f>""</f>
        <v/>
      </c>
    </row>
    <row r="526" spans="1:125">
      <c r="A526" t="str">
        <f>$A$69</f>
        <v xml:space="preserve">    Brixmor Property Group Inc</v>
      </c>
      <c r="B526" t="str">
        <f>$B$69</f>
        <v>BRX US Equity</v>
      </c>
      <c r="C526" t="str">
        <f>$C$69</f>
        <v>RR502</v>
      </c>
      <c r="D526" t="str">
        <f>$D$69</f>
        <v>NET_OPER_INCOME</v>
      </c>
      <c r="E526" t="str">
        <f>$E$69</f>
        <v>动态</v>
      </c>
      <c r="F526" t="str">
        <f ca="1">BDH($B$69,$C$69,$B$417,$B$418,CONCATENATE("Per=",$B$415),"Dts=H","Dir=H",CONCATENATE("Points=",$B$416),"Sort=R","Days=A","Fill=B",CONCATENATE("FX=", $B$414) )</f>
        <v>#N/A Authorization</v>
      </c>
      <c r="BN526" t="str">
        <f>""</f>
        <v/>
      </c>
      <c r="BO526" t="str">
        <f>""</f>
        <v/>
      </c>
      <c r="BP526" t="str">
        <f>""</f>
        <v/>
      </c>
      <c r="BQ526" t="str">
        <f>""</f>
        <v/>
      </c>
      <c r="BR526" t="str">
        <f>""</f>
        <v/>
      </c>
      <c r="BS526" t="str">
        <f>""</f>
        <v/>
      </c>
      <c r="BT526" t="str">
        <f>""</f>
        <v/>
      </c>
      <c r="BU526" t="str">
        <f>""</f>
        <v/>
      </c>
      <c r="BV526" t="str">
        <f>""</f>
        <v/>
      </c>
      <c r="BW526" t="str">
        <f>""</f>
        <v/>
      </c>
      <c r="BX526" t="str">
        <f>""</f>
        <v/>
      </c>
      <c r="BY526" t="str">
        <f>""</f>
        <v/>
      </c>
      <c r="BZ526" t="str">
        <f>""</f>
        <v/>
      </c>
      <c r="CA526" t="str">
        <f>""</f>
        <v/>
      </c>
      <c r="CB526" t="str">
        <f>""</f>
        <v/>
      </c>
      <c r="CC526" t="str">
        <f>""</f>
        <v/>
      </c>
      <c r="CD526" t="str">
        <f>""</f>
        <v/>
      </c>
      <c r="CE526" t="str">
        <f>""</f>
        <v/>
      </c>
      <c r="CF526" t="str">
        <f>""</f>
        <v/>
      </c>
      <c r="CG526" t="str">
        <f>""</f>
        <v/>
      </c>
      <c r="CH526" t="str">
        <f>""</f>
        <v/>
      </c>
      <c r="CI526" t="str">
        <f>""</f>
        <v/>
      </c>
      <c r="CJ526" t="str">
        <f>""</f>
        <v/>
      </c>
      <c r="CK526" t="str">
        <f>""</f>
        <v/>
      </c>
      <c r="CL526" t="str">
        <f>""</f>
        <v/>
      </c>
      <c r="CM526" t="str">
        <f>""</f>
        <v/>
      </c>
      <c r="CN526" t="str">
        <f>""</f>
        <v/>
      </c>
      <c r="CO526" t="str">
        <f>""</f>
        <v/>
      </c>
      <c r="CP526" t="str">
        <f>""</f>
        <v/>
      </c>
      <c r="CQ526" t="str">
        <f>""</f>
        <v/>
      </c>
      <c r="CR526" t="str">
        <f>""</f>
        <v/>
      </c>
      <c r="CS526" t="str">
        <f>""</f>
        <v/>
      </c>
      <c r="CT526" t="str">
        <f>""</f>
        <v/>
      </c>
      <c r="CU526" t="str">
        <f>""</f>
        <v/>
      </c>
      <c r="CV526" t="str">
        <f>""</f>
        <v/>
      </c>
      <c r="CW526" t="str">
        <f>""</f>
        <v/>
      </c>
      <c r="CX526" t="str">
        <f>""</f>
        <v/>
      </c>
      <c r="CY526" t="str">
        <f>""</f>
        <v/>
      </c>
      <c r="CZ526" t="str">
        <f>""</f>
        <v/>
      </c>
      <c r="DA526" t="str">
        <f>""</f>
        <v/>
      </c>
      <c r="DB526" t="str">
        <f>""</f>
        <v/>
      </c>
      <c r="DC526" t="str">
        <f>""</f>
        <v/>
      </c>
      <c r="DD526" t="str">
        <f>""</f>
        <v/>
      </c>
      <c r="DE526" t="str">
        <f>""</f>
        <v/>
      </c>
      <c r="DF526" t="str">
        <f>""</f>
        <v/>
      </c>
      <c r="DG526" t="str">
        <f>""</f>
        <v/>
      </c>
      <c r="DH526" t="str">
        <f>""</f>
        <v/>
      </c>
      <c r="DI526" t="str">
        <f>""</f>
        <v/>
      </c>
      <c r="DJ526" t="str">
        <f>""</f>
        <v/>
      </c>
      <c r="DK526" t="str">
        <f>""</f>
        <v/>
      </c>
      <c r="DL526" t="str">
        <f>""</f>
        <v/>
      </c>
      <c r="DM526" t="str">
        <f>""</f>
        <v/>
      </c>
      <c r="DN526" t="str">
        <f>""</f>
        <v/>
      </c>
      <c r="DO526" t="str">
        <f>""</f>
        <v/>
      </c>
      <c r="DP526" t="str">
        <f>""</f>
        <v/>
      </c>
      <c r="DQ526" t="str">
        <f>""</f>
        <v/>
      </c>
      <c r="DR526" t="str">
        <f>""</f>
        <v/>
      </c>
      <c r="DS526" t="str">
        <f>""</f>
        <v/>
      </c>
      <c r="DT526" t="str">
        <f>""</f>
        <v/>
      </c>
      <c r="DU526" t="str">
        <f>""</f>
        <v/>
      </c>
    </row>
    <row r="527" spans="1:125">
      <c r="A527" t="str">
        <f>$A$70</f>
        <v xml:space="preserve">    CBL &amp; Associates Properties In</v>
      </c>
      <c r="B527" t="str">
        <f>$B$70</f>
        <v>CBL US Equity</v>
      </c>
      <c r="C527" t="str">
        <f>$C$70</f>
        <v>RR502</v>
      </c>
      <c r="D527" t="str">
        <f>$D$70</f>
        <v>NET_OPER_INCOME</v>
      </c>
      <c r="E527" t="str">
        <f>$E$70</f>
        <v>动态</v>
      </c>
      <c r="F527" t="str">
        <f ca="1">BDH($B$70,$C$70,$B$417,$B$418,CONCATENATE("Per=",$B$415),"Dts=H","Dir=H",CONCATENATE("Points=",$B$416),"Sort=R","Days=A","Fill=B",CONCATENATE("FX=", $B$414) )</f>
        <v>#N/A Authorization</v>
      </c>
      <c r="BN527" t="str">
        <f>""</f>
        <v/>
      </c>
      <c r="BO527" t="str">
        <f>""</f>
        <v/>
      </c>
      <c r="BP527" t="str">
        <f>""</f>
        <v/>
      </c>
      <c r="BQ527" t="str">
        <f>""</f>
        <v/>
      </c>
      <c r="BR527" t="str">
        <f>""</f>
        <v/>
      </c>
      <c r="BS527" t="str">
        <f>""</f>
        <v/>
      </c>
      <c r="BT527" t="str">
        <f>""</f>
        <v/>
      </c>
      <c r="BU527" t="str">
        <f>""</f>
        <v/>
      </c>
      <c r="BV527" t="str">
        <f>""</f>
        <v/>
      </c>
      <c r="BW527" t="str">
        <f>""</f>
        <v/>
      </c>
      <c r="BX527" t="str">
        <f>""</f>
        <v/>
      </c>
      <c r="BY527" t="str">
        <f>""</f>
        <v/>
      </c>
      <c r="BZ527" t="str">
        <f>""</f>
        <v/>
      </c>
      <c r="CA527" t="str">
        <f>""</f>
        <v/>
      </c>
      <c r="CB527" t="str">
        <f>""</f>
        <v/>
      </c>
      <c r="CC527" t="str">
        <f>""</f>
        <v/>
      </c>
      <c r="CD527" t="str">
        <f>""</f>
        <v/>
      </c>
      <c r="CE527" t="str">
        <f>""</f>
        <v/>
      </c>
      <c r="CF527" t="str">
        <f>""</f>
        <v/>
      </c>
      <c r="CG527" t="str">
        <f>""</f>
        <v/>
      </c>
      <c r="CH527" t="str">
        <f>""</f>
        <v/>
      </c>
      <c r="CI527" t="str">
        <f>""</f>
        <v/>
      </c>
      <c r="CJ527" t="str">
        <f>""</f>
        <v/>
      </c>
      <c r="CK527" t="str">
        <f>""</f>
        <v/>
      </c>
      <c r="CL527" t="str">
        <f>""</f>
        <v/>
      </c>
      <c r="CM527" t="str">
        <f>""</f>
        <v/>
      </c>
      <c r="CN527" t="str">
        <f>""</f>
        <v/>
      </c>
      <c r="CO527" t="str">
        <f>""</f>
        <v/>
      </c>
      <c r="CP527" t="str">
        <f>""</f>
        <v/>
      </c>
      <c r="CQ527" t="str">
        <f>""</f>
        <v/>
      </c>
      <c r="CR527" t="str">
        <f>""</f>
        <v/>
      </c>
      <c r="CS527" t="str">
        <f>""</f>
        <v/>
      </c>
      <c r="CT527" t="str">
        <f>""</f>
        <v/>
      </c>
      <c r="CU527" t="str">
        <f>""</f>
        <v/>
      </c>
      <c r="CV527" t="str">
        <f>""</f>
        <v/>
      </c>
      <c r="CW527" t="str">
        <f>""</f>
        <v/>
      </c>
      <c r="CX527" t="str">
        <f>""</f>
        <v/>
      </c>
      <c r="CY527" t="str">
        <f>""</f>
        <v/>
      </c>
      <c r="CZ527" t="str">
        <f>""</f>
        <v/>
      </c>
      <c r="DA527" t="str">
        <f>""</f>
        <v/>
      </c>
      <c r="DB527" t="str">
        <f>""</f>
        <v/>
      </c>
      <c r="DC527" t="str">
        <f>""</f>
        <v/>
      </c>
      <c r="DD527" t="str">
        <f>""</f>
        <v/>
      </c>
      <c r="DE527" t="str">
        <f>""</f>
        <v/>
      </c>
      <c r="DF527" t="str">
        <f>""</f>
        <v/>
      </c>
      <c r="DG527" t="str">
        <f>""</f>
        <v/>
      </c>
      <c r="DH527" t="str">
        <f>""</f>
        <v/>
      </c>
      <c r="DI527" t="str">
        <f>""</f>
        <v/>
      </c>
      <c r="DJ527" t="str">
        <f>""</f>
        <v/>
      </c>
      <c r="DK527" t="str">
        <f>""</f>
        <v/>
      </c>
      <c r="DL527" t="str">
        <f>""</f>
        <v/>
      </c>
      <c r="DM527" t="str">
        <f>""</f>
        <v/>
      </c>
      <c r="DN527" t="str">
        <f>""</f>
        <v/>
      </c>
      <c r="DO527" t="str">
        <f>""</f>
        <v/>
      </c>
      <c r="DP527" t="str">
        <f>""</f>
        <v/>
      </c>
      <c r="DQ527" t="str">
        <f>""</f>
        <v/>
      </c>
      <c r="DR527" t="str">
        <f>""</f>
        <v/>
      </c>
      <c r="DS527" t="str">
        <f>""</f>
        <v/>
      </c>
      <c r="DT527" t="str">
        <f>""</f>
        <v/>
      </c>
      <c r="DU527" t="str">
        <f>""</f>
        <v/>
      </c>
    </row>
    <row r="528" spans="1:125">
      <c r="A528" t="str">
        <f>$A$71</f>
        <v xml:space="preserve">    DDR Corp</v>
      </c>
      <c r="B528" t="str">
        <f>$B$71</f>
        <v>DDR US Equity</v>
      </c>
      <c r="C528" t="str">
        <f>$C$71</f>
        <v>RR502</v>
      </c>
      <c r="D528" t="str">
        <f>$D$71</f>
        <v>NET_OPER_INCOME</v>
      </c>
      <c r="E528" t="str">
        <f>$E$71</f>
        <v>动态</v>
      </c>
      <c r="F528" t="str">
        <f ca="1">BDH($B$71,$C$71,$B$417,$B$418,CONCATENATE("Per=",$B$415),"Dts=H","Dir=H",CONCATENATE("Points=",$B$416),"Sort=R","Days=A","Fill=B",CONCATENATE("FX=", $B$414) )</f>
        <v>#N/A Authorization</v>
      </c>
      <c r="BN528" t="str">
        <f>""</f>
        <v/>
      </c>
      <c r="BO528" t="str">
        <f>""</f>
        <v/>
      </c>
      <c r="BP528" t="str">
        <f>""</f>
        <v/>
      </c>
      <c r="BQ528" t="str">
        <f>""</f>
        <v/>
      </c>
      <c r="BR528" t="str">
        <f>""</f>
        <v/>
      </c>
      <c r="BS528" t="str">
        <f>""</f>
        <v/>
      </c>
      <c r="BT528" t="str">
        <f>""</f>
        <v/>
      </c>
      <c r="BU528" t="str">
        <f>""</f>
        <v/>
      </c>
      <c r="BV528" t="str">
        <f>""</f>
        <v/>
      </c>
      <c r="BW528" t="str">
        <f>""</f>
        <v/>
      </c>
      <c r="BX528" t="str">
        <f>""</f>
        <v/>
      </c>
      <c r="BY528" t="str">
        <f>""</f>
        <v/>
      </c>
      <c r="BZ528" t="str">
        <f>""</f>
        <v/>
      </c>
      <c r="CA528" t="str">
        <f>""</f>
        <v/>
      </c>
      <c r="CB528" t="str">
        <f>""</f>
        <v/>
      </c>
      <c r="CC528" t="str">
        <f>""</f>
        <v/>
      </c>
      <c r="CD528" t="str">
        <f>""</f>
        <v/>
      </c>
      <c r="CE528" t="str">
        <f>""</f>
        <v/>
      </c>
      <c r="CF528" t="str">
        <f>""</f>
        <v/>
      </c>
      <c r="CG528" t="str">
        <f>""</f>
        <v/>
      </c>
      <c r="CH528" t="str">
        <f>""</f>
        <v/>
      </c>
      <c r="CI528" t="str">
        <f>""</f>
        <v/>
      </c>
      <c r="CJ528" t="str">
        <f>""</f>
        <v/>
      </c>
      <c r="CK528" t="str">
        <f>""</f>
        <v/>
      </c>
      <c r="CL528" t="str">
        <f>""</f>
        <v/>
      </c>
      <c r="CM528" t="str">
        <f>""</f>
        <v/>
      </c>
      <c r="CN528" t="str">
        <f>""</f>
        <v/>
      </c>
      <c r="CO528" t="str">
        <f>""</f>
        <v/>
      </c>
      <c r="CP528" t="str">
        <f>""</f>
        <v/>
      </c>
      <c r="CQ528" t="str">
        <f>""</f>
        <v/>
      </c>
      <c r="CR528" t="str">
        <f>""</f>
        <v/>
      </c>
      <c r="CS528" t="str">
        <f>""</f>
        <v/>
      </c>
      <c r="CT528" t="str">
        <f>""</f>
        <v/>
      </c>
      <c r="CU528" t="str">
        <f>""</f>
        <v/>
      </c>
      <c r="CV528" t="str">
        <f>""</f>
        <v/>
      </c>
      <c r="CW528" t="str">
        <f>""</f>
        <v/>
      </c>
      <c r="CX528" t="str">
        <f>""</f>
        <v/>
      </c>
      <c r="CY528" t="str">
        <f>""</f>
        <v/>
      </c>
      <c r="CZ528" t="str">
        <f>""</f>
        <v/>
      </c>
      <c r="DA528" t="str">
        <f>""</f>
        <v/>
      </c>
      <c r="DB528" t="str">
        <f>""</f>
        <v/>
      </c>
      <c r="DC528" t="str">
        <f>""</f>
        <v/>
      </c>
      <c r="DD528" t="str">
        <f>""</f>
        <v/>
      </c>
      <c r="DE528" t="str">
        <f>""</f>
        <v/>
      </c>
      <c r="DF528" t="str">
        <f>""</f>
        <v/>
      </c>
      <c r="DG528" t="str">
        <f>""</f>
        <v/>
      </c>
      <c r="DH528" t="str">
        <f>""</f>
        <v/>
      </c>
      <c r="DI528" t="str">
        <f>""</f>
        <v/>
      </c>
      <c r="DJ528" t="str">
        <f>""</f>
        <v/>
      </c>
      <c r="DK528" t="str">
        <f>""</f>
        <v/>
      </c>
      <c r="DL528" t="str">
        <f>""</f>
        <v/>
      </c>
      <c r="DM528" t="str">
        <f>""</f>
        <v/>
      </c>
      <c r="DN528" t="str">
        <f>""</f>
        <v/>
      </c>
      <c r="DO528" t="str">
        <f>""</f>
        <v/>
      </c>
      <c r="DP528" t="str">
        <f>""</f>
        <v/>
      </c>
      <c r="DQ528" t="str">
        <f>""</f>
        <v/>
      </c>
      <c r="DR528" t="str">
        <f>""</f>
        <v/>
      </c>
      <c r="DS528" t="str">
        <f>""</f>
        <v/>
      </c>
      <c r="DT528" t="str">
        <f>""</f>
        <v/>
      </c>
      <c r="DU528" t="str">
        <f>""</f>
        <v/>
      </c>
    </row>
    <row r="529" spans="1:125">
      <c r="A529" t="str">
        <f>$A$72</f>
        <v xml:space="preserve">    Federal Realty Investment Trus</v>
      </c>
      <c r="B529" t="str">
        <f>$B$72</f>
        <v>FRT US Equity</v>
      </c>
      <c r="C529" t="str">
        <f>$C$72</f>
        <v>RR502</v>
      </c>
      <c r="D529" t="str">
        <f>$D$72</f>
        <v>NET_OPER_INCOME</v>
      </c>
      <c r="E529" t="str">
        <f>$E$72</f>
        <v>动态</v>
      </c>
      <c r="F529" t="str">
        <f ca="1">BDH($B$72,$C$72,$B$417,$B$418,CONCATENATE("Per=",$B$415),"Dts=H","Dir=H",CONCATENATE("Points=",$B$416),"Sort=R","Days=A","Fill=B",CONCATENATE("FX=", $B$414) )</f>
        <v>#N/A Authorization</v>
      </c>
      <c r="BN529" t="str">
        <f>""</f>
        <v/>
      </c>
      <c r="BO529" t="str">
        <f>""</f>
        <v/>
      </c>
      <c r="BP529" t="str">
        <f>""</f>
        <v/>
      </c>
      <c r="BQ529" t="str">
        <f>""</f>
        <v/>
      </c>
      <c r="BR529" t="str">
        <f>""</f>
        <v/>
      </c>
      <c r="BS529" t="str">
        <f>""</f>
        <v/>
      </c>
      <c r="BT529" t="str">
        <f>""</f>
        <v/>
      </c>
      <c r="BU529" t="str">
        <f>""</f>
        <v/>
      </c>
      <c r="BV529" t="str">
        <f>""</f>
        <v/>
      </c>
      <c r="BW529" t="str">
        <f>""</f>
        <v/>
      </c>
      <c r="BX529" t="str">
        <f>""</f>
        <v/>
      </c>
      <c r="BY529" t="str">
        <f>""</f>
        <v/>
      </c>
      <c r="BZ529" t="str">
        <f>""</f>
        <v/>
      </c>
      <c r="CA529" t="str">
        <f>""</f>
        <v/>
      </c>
      <c r="CB529" t="str">
        <f>""</f>
        <v/>
      </c>
      <c r="CC529" t="str">
        <f>""</f>
        <v/>
      </c>
      <c r="CD529" t="str">
        <f>""</f>
        <v/>
      </c>
      <c r="CE529" t="str">
        <f>""</f>
        <v/>
      </c>
      <c r="CF529" t="str">
        <f>""</f>
        <v/>
      </c>
      <c r="CG529" t="str">
        <f>""</f>
        <v/>
      </c>
      <c r="CH529" t="str">
        <f>""</f>
        <v/>
      </c>
      <c r="CI529" t="str">
        <f>""</f>
        <v/>
      </c>
      <c r="CJ529" t="str">
        <f>""</f>
        <v/>
      </c>
      <c r="CK529" t="str">
        <f>""</f>
        <v/>
      </c>
      <c r="CL529" t="str">
        <f>""</f>
        <v/>
      </c>
      <c r="CM529" t="str">
        <f>""</f>
        <v/>
      </c>
      <c r="CN529" t="str">
        <f>""</f>
        <v/>
      </c>
      <c r="CO529" t="str">
        <f>""</f>
        <v/>
      </c>
      <c r="CP529" t="str">
        <f>""</f>
        <v/>
      </c>
      <c r="CQ529" t="str">
        <f>""</f>
        <v/>
      </c>
      <c r="CR529" t="str">
        <f>""</f>
        <v/>
      </c>
      <c r="CS529" t="str">
        <f>""</f>
        <v/>
      </c>
      <c r="CT529" t="str">
        <f>""</f>
        <v/>
      </c>
      <c r="CU529" t="str">
        <f>""</f>
        <v/>
      </c>
      <c r="CV529" t="str">
        <f>""</f>
        <v/>
      </c>
      <c r="CW529" t="str">
        <f>""</f>
        <v/>
      </c>
      <c r="CX529" t="str">
        <f>""</f>
        <v/>
      </c>
      <c r="CY529" t="str">
        <f>""</f>
        <v/>
      </c>
      <c r="CZ529" t="str">
        <f>""</f>
        <v/>
      </c>
      <c r="DA529" t="str">
        <f>""</f>
        <v/>
      </c>
      <c r="DB529" t="str">
        <f>""</f>
        <v/>
      </c>
      <c r="DC529" t="str">
        <f>""</f>
        <v/>
      </c>
      <c r="DD529" t="str">
        <f>""</f>
        <v/>
      </c>
      <c r="DE529" t="str">
        <f>""</f>
        <v/>
      </c>
      <c r="DF529" t="str">
        <f>""</f>
        <v/>
      </c>
      <c r="DG529" t="str">
        <f>""</f>
        <v/>
      </c>
      <c r="DH529" t="str">
        <f>""</f>
        <v/>
      </c>
      <c r="DI529" t="str">
        <f>""</f>
        <v/>
      </c>
      <c r="DJ529" t="str">
        <f>""</f>
        <v/>
      </c>
      <c r="DK529" t="str">
        <f>""</f>
        <v/>
      </c>
      <c r="DL529" t="str">
        <f>""</f>
        <v/>
      </c>
      <c r="DM529" t="str">
        <f>""</f>
        <v/>
      </c>
      <c r="DN529" t="str">
        <f>""</f>
        <v/>
      </c>
      <c r="DO529" t="str">
        <f>""</f>
        <v/>
      </c>
      <c r="DP529" t="str">
        <f>""</f>
        <v/>
      </c>
      <c r="DQ529" t="str">
        <f>""</f>
        <v/>
      </c>
      <c r="DR529" t="str">
        <f>""</f>
        <v/>
      </c>
      <c r="DS529" t="str">
        <f>""</f>
        <v/>
      </c>
      <c r="DT529" t="str">
        <f>""</f>
        <v/>
      </c>
      <c r="DU529" t="str">
        <f>""</f>
        <v/>
      </c>
    </row>
    <row r="530" spans="1:125">
      <c r="A530" t="str">
        <f>$A$73</f>
        <v xml:space="preserve">    Kimco Realty Corp</v>
      </c>
      <c r="B530" t="str">
        <f>$B$73</f>
        <v>KIM US Equity</v>
      </c>
      <c r="C530" t="str">
        <f>$C$73</f>
        <v>RR502</v>
      </c>
      <c r="D530" t="str">
        <f>$D$73</f>
        <v>NET_OPER_INCOME</v>
      </c>
      <c r="E530" t="str">
        <f>$E$73</f>
        <v>动态</v>
      </c>
      <c r="F530" t="str">
        <f ca="1">BDH($B$73,$C$73,$B$417,$B$418,CONCATENATE("Per=",$B$415),"Dts=H","Dir=H",CONCATENATE("Points=",$B$416),"Sort=R","Days=A","Fill=B",CONCATENATE("FX=", $B$414) )</f>
        <v>#N/A Authorization</v>
      </c>
      <c r="BN530" t="str">
        <f>""</f>
        <v/>
      </c>
      <c r="BO530" t="str">
        <f>""</f>
        <v/>
      </c>
      <c r="BP530" t="str">
        <f>""</f>
        <v/>
      </c>
      <c r="BQ530" t="str">
        <f>""</f>
        <v/>
      </c>
      <c r="BR530" t="str">
        <f>""</f>
        <v/>
      </c>
      <c r="BS530" t="str">
        <f>""</f>
        <v/>
      </c>
      <c r="BT530" t="str">
        <f>""</f>
        <v/>
      </c>
      <c r="BU530" t="str">
        <f>""</f>
        <v/>
      </c>
      <c r="BV530" t="str">
        <f>""</f>
        <v/>
      </c>
      <c r="BW530" t="str">
        <f>""</f>
        <v/>
      </c>
      <c r="BX530" t="str">
        <f>""</f>
        <v/>
      </c>
      <c r="BY530" t="str">
        <f>""</f>
        <v/>
      </c>
      <c r="BZ530" t="str">
        <f>""</f>
        <v/>
      </c>
      <c r="CA530" t="str">
        <f>""</f>
        <v/>
      </c>
      <c r="CB530" t="str">
        <f>""</f>
        <v/>
      </c>
      <c r="CC530" t="str">
        <f>""</f>
        <v/>
      </c>
      <c r="CD530" t="str">
        <f>""</f>
        <v/>
      </c>
      <c r="CE530" t="str">
        <f>""</f>
        <v/>
      </c>
      <c r="CF530" t="str">
        <f>""</f>
        <v/>
      </c>
      <c r="CG530" t="str">
        <f>""</f>
        <v/>
      </c>
      <c r="CH530" t="str">
        <f>""</f>
        <v/>
      </c>
      <c r="CI530" t="str">
        <f>""</f>
        <v/>
      </c>
      <c r="CJ530" t="str">
        <f>""</f>
        <v/>
      </c>
      <c r="CK530" t="str">
        <f>""</f>
        <v/>
      </c>
      <c r="CL530" t="str">
        <f>""</f>
        <v/>
      </c>
      <c r="CM530" t="str">
        <f>""</f>
        <v/>
      </c>
      <c r="CN530" t="str">
        <f>""</f>
        <v/>
      </c>
      <c r="CO530" t="str">
        <f>""</f>
        <v/>
      </c>
      <c r="CP530" t="str">
        <f>""</f>
        <v/>
      </c>
      <c r="CQ530" t="str">
        <f>""</f>
        <v/>
      </c>
      <c r="CR530" t="str">
        <f>""</f>
        <v/>
      </c>
      <c r="CS530" t="str">
        <f>""</f>
        <v/>
      </c>
      <c r="CT530" t="str">
        <f>""</f>
        <v/>
      </c>
      <c r="CU530" t="str">
        <f>""</f>
        <v/>
      </c>
      <c r="CV530" t="str">
        <f>""</f>
        <v/>
      </c>
      <c r="CW530" t="str">
        <f>""</f>
        <v/>
      </c>
      <c r="CX530" t="str">
        <f>""</f>
        <v/>
      </c>
      <c r="CY530" t="str">
        <f>""</f>
        <v/>
      </c>
      <c r="CZ530" t="str">
        <f>""</f>
        <v/>
      </c>
      <c r="DA530" t="str">
        <f>""</f>
        <v/>
      </c>
      <c r="DB530" t="str">
        <f>""</f>
        <v/>
      </c>
      <c r="DC530" t="str">
        <f>""</f>
        <v/>
      </c>
      <c r="DD530" t="str">
        <f>""</f>
        <v/>
      </c>
      <c r="DE530" t="str">
        <f>""</f>
        <v/>
      </c>
      <c r="DF530" t="str">
        <f>""</f>
        <v/>
      </c>
      <c r="DG530" t="str">
        <f>""</f>
        <v/>
      </c>
      <c r="DH530" t="str">
        <f>""</f>
        <v/>
      </c>
      <c r="DI530" t="str">
        <f>""</f>
        <v/>
      </c>
      <c r="DJ530" t="str">
        <f>""</f>
        <v/>
      </c>
      <c r="DK530" t="str">
        <f>""</f>
        <v/>
      </c>
      <c r="DL530" t="str">
        <f>""</f>
        <v/>
      </c>
      <c r="DM530" t="str">
        <f>""</f>
        <v/>
      </c>
      <c r="DN530" t="str">
        <f>""</f>
        <v/>
      </c>
      <c r="DO530" t="str">
        <f>""</f>
        <v/>
      </c>
      <c r="DP530" t="str">
        <f>""</f>
        <v/>
      </c>
      <c r="DQ530" t="str">
        <f>""</f>
        <v/>
      </c>
      <c r="DR530" t="str">
        <f>""</f>
        <v/>
      </c>
      <c r="DS530" t="str">
        <f>""</f>
        <v/>
      </c>
      <c r="DT530" t="str">
        <f>""</f>
        <v/>
      </c>
      <c r="DU530" t="str">
        <f>""</f>
        <v/>
      </c>
    </row>
    <row r="531" spans="1:125">
      <c r="A531" t="str">
        <f>$A$74</f>
        <v xml:space="preserve">    National Retail Properties Inc</v>
      </c>
      <c r="B531" t="str">
        <f>$B$74</f>
        <v>NNN US Equity</v>
      </c>
      <c r="C531" t="str">
        <f>$C$74</f>
        <v>RR502</v>
      </c>
      <c r="D531" t="str">
        <f>$D$74</f>
        <v>NET_OPER_INCOME</v>
      </c>
      <c r="E531" t="str">
        <f>$E$74</f>
        <v>动态</v>
      </c>
      <c r="F531" t="str">
        <f ca="1">BDH($B$74,$C$74,$B$417,$B$418,CONCATENATE("Per=",$B$415),"Dts=H","Dir=H",CONCATENATE("Points=",$B$416),"Sort=R","Days=A","Fill=B",CONCATENATE("FX=", $B$414) )</f>
        <v>#N/A Authorization</v>
      </c>
      <c r="BN531" t="str">
        <f>""</f>
        <v/>
      </c>
      <c r="BO531" t="str">
        <f>""</f>
        <v/>
      </c>
      <c r="BP531" t="str">
        <f>""</f>
        <v/>
      </c>
      <c r="BQ531" t="str">
        <f>""</f>
        <v/>
      </c>
      <c r="BR531" t="str">
        <f>""</f>
        <v/>
      </c>
      <c r="BS531" t="str">
        <f>""</f>
        <v/>
      </c>
      <c r="BT531" t="str">
        <f>""</f>
        <v/>
      </c>
      <c r="BU531" t="str">
        <f>""</f>
        <v/>
      </c>
      <c r="BV531" t="str">
        <f>""</f>
        <v/>
      </c>
      <c r="BW531" t="str">
        <f>""</f>
        <v/>
      </c>
      <c r="BX531" t="str">
        <f>""</f>
        <v/>
      </c>
      <c r="BY531" t="str">
        <f>""</f>
        <v/>
      </c>
      <c r="BZ531" t="str">
        <f>""</f>
        <v/>
      </c>
      <c r="CA531" t="str">
        <f>""</f>
        <v/>
      </c>
      <c r="CB531" t="str">
        <f>""</f>
        <v/>
      </c>
      <c r="CC531" t="str">
        <f>""</f>
        <v/>
      </c>
      <c r="CD531" t="str">
        <f>""</f>
        <v/>
      </c>
      <c r="CE531" t="str">
        <f>""</f>
        <v/>
      </c>
      <c r="CF531" t="str">
        <f>""</f>
        <v/>
      </c>
      <c r="CG531" t="str">
        <f>""</f>
        <v/>
      </c>
      <c r="CH531" t="str">
        <f>""</f>
        <v/>
      </c>
      <c r="CI531" t="str">
        <f>""</f>
        <v/>
      </c>
      <c r="CJ531" t="str">
        <f>""</f>
        <v/>
      </c>
      <c r="CK531" t="str">
        <f>""</f>
        <v/>
      </c>
      <c r="CL531" t="str">
        <f>""</f>
        <v/>
      </c>
      <c r="CM531" t="str">
        <f>""</f>
        <v/>
      </c>
      <c r="CN531" t="str">
        <f>""</f>
        <v/>
      </c>
      <c r="CO531" t="str">
        <f>""</f>
        <v/>
      </c>
      <c r="CP531" t="str">
        <f>""</f>
        <v/>
      </c>
      <c r="CQ531" t="str">
        <f>""</f>
        <v/>
      </c>
      <c r="CR531" t="str">
        <f>""</f>
        <v/>
      </c>
      <c r="CS531" t="str">
        <f>""</f>
        <v/>
      </c>
      <c r="CT531" t="str">
        <f>""</f>
        <v/>
      </c>
      <c r="CU531" t="str">
        <f>""</f>
        <v/>
      </c>
      <c r="CV531" t="str">
        <f>""</f>
        <v/>
      </c>
      <c r="CW531" t="str">
        <f>""</f>
        <v/>
      </c>
      <c r="CX531" t="str">
        <f>""</f>
        <v/>
      </c>
      <c r="CY531" t="str">
        <f>""</f>
        <v/>
      </c>
      <c r="CZ531" t="str">
        <f>""</f>
        <v/>
      </c>
      <c r="DA531" t="str">
        <f>""</f>
        <v/>
      </c>
      <c r="DB531" t="str">
        <f>""</f>
        <v/>
      </c>
      <c r="DC531" t="str">
        <f>""</f>
        <v/>
      </c>
      <c r="DD531" t="str">
        <f>""</f>
        <v/>
      </c>
      <c r="DE531" t="str">
        <f>""</f>
        <v/>
      </c>
      <c r="DF531" t="str">
        <f>""</f>
        <v/>
      </c>
      <c r="DG531" t="str">
        <f>""</f>
        <v/>
      </c>
      <c r="DH531" t="str">
        <f>""</f>
        <v/>
      </c>
      <c r="DI531" t="str">
        <f>""</f>
        <v/>
      </c>
      <c r="DJ531" t="str">
        <f>""</f>
        <v/>
      </c>
      <c r="DK531" t="str">
        <f>""</f>
        <v/>
      </c>
      <c r="DL531" t="str">
        <f>""</f>
        <v/>
      </c>
      <c r="DM531" t="str">
        <f>""</f>
        <v/>
      </c>
      <c r="DN531" t="str">
        <f>""</f>
        <v/>
      </c>
      <c r="DO531" t="str">
        <f>""</f>
        <v/>
      </c>
      <c r="DP531" t="str">
        <f>""</f>
        <v/>
      </c>
      <c r="DQ531" t="str">
        <f>""</f>
        <v/>
      </c>
      <c r="DR531" t="str">
        <f>""</f>
        <v/>
      </c>
      <c r="DS531" t="str">
        <f>""</f>
        <v/>
      </c>
      <c r="DT531" t="str">
        <f>""</f>
        <v/>
      </c>
      <c r="DU531" t="str">
        <f>""</f>
        <v/>
      </c>
    </row>
    <row r="532" spans="1:125">
      <c r="A532" t="str">
        <f>$A$75</f>
        <v xml:space="preserve">    Realty Income Corp</v>
      </c>
      <c r="B532" t="str">
        <f>$B$75</f>
        <v>O US Equity</v>
      </c>
      <c r="C532" t="str">
        <f>$C$75</f>
        <v>RR502</v>
      </c>
      <c r="D532" t="str">
        <f>$D$75</f>
        <v>NET_OPER_INCOME</v>
      </c>
      <c r="E532" t="str">
        <f>$E$75</f>
        <v>动态</v>
      </c>
      <c r="F532" t="str">
        <f ca="1">BDH($B$75,$C$75,$B$417,$B$418,CONCATENATE("Per=",$B$415),"Dts=H","Dir=H",CONCATENATE("Points=",$B$416),"Sort=R","Days=A","Fill=B",CONCATENATE("FX=", $B$414) )</f>
        <v>#N/A Authorization</v>
      </c>
      <c r="BN532" t="str">
        <f>""</f>
        <v/>
      </c>
      <c r="BO532" t="str">
        <f>""</f>
        <v/>
      </c>
      <c r="BP532" t="str">
        <f>""</f>
        <v/>
      </c>
      <c r="BQ532" t="str">
        <f>""</f>
        <v/>
      </c>
      <c r="BR532" t="str">
        <f>""</f>
        <v/>
      </c>
      <c r="BS532" t="str">
        <f>""</f>
        <v/>
      </c>
      <c r="BT532" t="str">
        <f>""</f>
        <v/>
      </c>
      <c r="BU532" t="str">
        <f>""</f>
        <v/>
      </c>
      <c r="BV532" t="str">
        <f>""</f>
        <v/>
      </c>
      <c r="BW532" t="str">
        <f>""</f>
        <v/>
      </c>
      <c r="BX532" t="str">
        <f>""</f>
        <v/>
      </c>
      <c r="BY532" t="str">
        <f>""</f>
        <v/>
      </c>
      <c r="BZ532" t="str">
        <f>""</f>
        <v/>
      </c>
      <c r="CA532" t="str">
        <f>""</f>
        <v/>
      </c>
      <c r="CB532" t="str">
        <f>""</f>
        <v/>
      </c>
      <c r="CC532" t="str">
        <f>""</f>
        <v/>
      </c>
      <c r="CD532" t="str">
        <f>""</f>
        <v/>
      </c>
      <c r="CE532" t="str">
        <f>""</f>
        <v/>
      </c>
      <c r="CF532" t="str">
        <f>""</f>
        <v/>
      </c>
      <c r="CG532" t="str">
        <f>""</f>
        <v/>
      </c>
      <c r="CH532" t="str">
        <f>""</f>
        <v/>
      </c>
      <c r="CI532" t="str">
        <f>""</f>
        <v/>
      </c>
      <c r="CJ532" t="str">
        <f>""</f>
        <v/>
      </c>
      <c r="CK532" t="str">
        <f>""</f>
        <v/>
      </c>
      <c r="CL532" t="str">
        <f>""</f>
        <v/>
      </c>
      <c r="CM532" t="str">
        <f>""</f>
        <v/>
      </c>
      <c r="CN532" t="str">
        <f>""</f>
        <v/>
      </c>
      <c r="CO532" t="str">
        <f>""</f>
        <v/>
      </c>
      <c r="CP532" t="str">
        <f>""</f>
        <v/>
      </c>
      <c r="CQ532" t="str">
        <f>""</f>
        <v/>
      </c>
      <c r="CR532" t="str">
        <f>""</f>
        <v/>
      </c>
      <c r="CS532" t="str">
        <f>""</f>
        <v/>
      </c>
      <c r="CT532" t="str">
        <f>""</f>
        <v/>
      </c>
      <c r="CU532" t="str">
        <f>""</f>
        <v/>
      </c>
      <c r="CV532" t="str">
        <f>""</f>
        <v/>
      </c>
      <c r="CW532" t="str">
        <f>""</f>
        <v/>
      </c>
      <c r="CX532" t="str">
        <f>""</f>
        <v/>
      </c>
      <c r="CY532" t="str">
        <f>""</f>
        <v/>
      </c>
      <c r="CZ532" t="str">
        <f>""</f>
        <v/>
      </c>
      <c r="DA532" t="str">
        <f>""</f>
        <v/>
      </c>
      <c r="DB532" t="str">
        <f>""</f>
        <v/>
      </c>
      <c r="DC532" t="str">
        <f>""</f>
        <v/>
      </c>
      <c r="DD532" t="str">
        <f>""</f>
        <v/>
      </c>
      <c r="DE532" t="str">
        <f>""</f>
        <v/>
      </c>
      <c r="DF532" t="str">
        <f>""</f>
        <v/>
      </c>
      <c r="DG532" t="str">
        <f>""</f>
        <v/>
      </c>
      <c r="DH532" t="str">
        <f>""</f>
        <v/>
      </c>
      <c r="DI532" t="str">
        <f>""</f>
        <v/>
      </c>
      <c r="DJ532" t="str">
        <f>""</f>
        <v/>
      </c>
      <c r="DK532" t="str">
        <f>""</f>
        <v/>
      </c>
      <c r="DL532" t="str">
        <f>""</f>
        <v/>
      </c>
      <c r="DM532" t="str">
        <f>""</f>
        <v/>
      </c>
      <c r="DN532" t="str">
        <f>""</f>
        <v/>
      </c>
      <c r="DO532" t="str">
        <f>""</f>
        <v/>
      </c>
      <c r="DP532" t="str">
        <f>""</f>
        <v/>
      </c>
      <c r="DQ532" t="str">
        <f>""</f>
        <v/>
      </c>
      <c r="DR532" t="str">
        <f>""</f>
        <v/>
      </c>
      <c r="DS532" t="str">
        <f>""</f>
        <v/>
      </c>
      <c r="DT532" t="str">
        <f>""</f>
        <v/>
      </c>
      <c r="DU532" t="str">
        <f>""</f>
        <v/>
      </c>
    </row>
    <row r="533" spans="1:125">
      <c r="A533" t="str">
        <f>$A$76</f>
        <v xml:space="preserve">    Regency Centers Corp</v>
      </c>
      <c r="B533" t="str">
        <f>$B$76</f>
        <v>REG US Equity</v>
      </c>
      <c r="C533" t="str">
        <f>$C$76</f>
        <v>RR502</v>
      </c>
      <c r="D533" t="str">
        <f>$D$76</f>
        <v>NET_OPER_INCOME</v>
      </c>
      <c r="E533" t="str">
        <f>$E$76</f>
        <v>动态</v>
      </c>
      <c r="F533" t="str">
        <f ca="1">BDH($B$76,$C$76,$B$417,$B$418,CONCATENATE("Per=",$B$415),"Dts=H","Dir=H",CONCATENATE("Points=",$B$416),"Sort=R","Days=A","Fill=B",CONCATENATE("FX=", $B$414) )</f>
        <v>#N/A Authorization</v>
      </c>
      <c r="BN533" t="str">
        <f>""</f>
        <v/>
      </c>
      <c r="BO533" t="str">
        <f>""</f>
        <v/>
      </c>
      <c r="BP533" t="str">
        <f>""</f>
        <v/>
      </c>
      <c r="BQ533" t="str">
        <f>""</f>
        <v/>
      </c>
      <c r="BR533" t="str">
        <f>""</f>
        <v/>
      </c>
      <c r="BS533" t="str">
        <f>""</f>
        <v/>
      </c>
      <c r="BT533" t="str">
        <f>""</f>
        <v/>
      </c>
      <c r="BU533" t="str">
        <f>""</f>
        <v/>
      </c>
      <c r="BV533" t="str">
        <f>""</f>
        <v/>
      </c>
      <c r="BW533" t="str">
        <f>""</f>
        <v/>
      </c>
      <c r="BX533" t="str">
        <f>""</f>
        <v/>
      </c>
      <c r="BY533" t="str">
        <f>""</f>
        <v/>
      </c>
      <c r="BZ533" t="str">
        <f>""</f>
        <v/>
      </c>
      <c r="CA533" t="str">
        <f>""</f>
        <v/>
      </c>
      <c r="CB533" t="str">
        <f>""</f>
        <v/>
      </c>
      <c r="CC533" t="str">
        <f>""</f>
        <v/>
      </c>
      <c r="CD533" t="str">
        <f>""</f>
        <v/>
      </c>
      <c r="CE533" t="str">
        <f>""</f>
        <v/>
      </c>
      <c r="CF533" t="str">
        <f>""</f>
        <v/>
      </c>
      <c r="CG533" t="str">
        <f>""</f>
        <v/>
      </c>
      <c r="CH533" t="str">
        <f>""</f>
        <v/>
      </c>
      <c r="CI533" t="str">
        <f>""</f>
        <v/>
      </c>
      <c r="CJ533" t="str">
        <f>""</f>
        <v/>
      </c>
      <c r="CK533" t="str">
        <f>""</f>
        <v/>
      </c>
      <c r="CL533" t="str">
        <f>""</f>
        <v/>
      </c>
      <c r="CM533" t="str">
        <f>""</f>
        <v/>
      </c>
      <c r="CN533" t="str">
        <f>""</f>
        <v/>
      </c>
      <c r="CO533" t="str">
        <f>""</f>
        <v/>
      </c>
      <c r="CP533" t="str">
        <f>""</f>
        <v/>
      </c>
      <c r="CQ533" t="str">
        <f>""</f>
        <v/>
      </c>
      <c r="CR533" t="str">
        <f>""</f>
        <v/>
      </c>
      <c r="CS533" t="str">
        <f>""</f>
        <v/>
      </c>
      <c r="CT533" t="str">
        <f>""</f>
        <v/>
      </c>
      <c r="CU533" t="str">
        <f>""</f>
        <v/>
      </c>
      <c r="CV533" t="str">
        <f>""</f>
        <v/>
      </c>
      <c r="CW533" t="str">
        <f>""</f>
        <v/>
      </c>
      <c r="CX533" t="str">
        <f>""</f>
        <v/>
      </c>
      <c r="CY533" t="str">
        <f>""</f>
        <v/>
      </c>
      <c r="CZ533" t="str">
        <f>""</f>
        <v/>
      </c>
      <c r="DA533" t="str">
        <f>""</f>
        <v/>
      </c>
      <c r="DB533" t="str">
        <f>""</f>
        <v/>
      </c>
      <c r="DC533" t="str">
        <f>""</f>
        <v/>
      </c>
      <c r="DD533" t="str">
        <f>""</f>
        <v/>
      </c>
      <c r="DE533" t="str">
        <f>""</f>
        <v/>
      </c>
      <c r="DF533" t="str">
        <f>""</f>
        <v/>
      </c>
      <c r="DG533" t="str">
        <f>""</f>
        <v/>
      </c>
      <c r="DH533" t="str">
        <f>""</f>
        <v/>
      </c>
      <c r="DI533" t="str">
        <f>""</f>
        <v/>
      </c>
      <c r="DJ533" t="str">
        <f>""</f>
        <v/>
      </c>
      <c r="DK533" t="str">
        <f>""</f>
        <v/>
      </c>
      <c r="DL533" t="str">
        <f>""</f>
        <v/>
      </c>
      <c r="DM533" t="str">
        <f>""</f>
        <v/>
      </c>
      <c r="DN533" t="str">
        <f>""</f>
        <v/>
      </c>
      <c r="DO533" t="str">
        <f>""</f>
        <v/>
      </c>
      <c r="DP533" t="str">
        <f>""</f>
        <v/>
      </c>
      <c r="DQ533" t="str">
        <f>""</f>
        <v/>
      </c>
      <c r="DR533" t="str">
        <f>""</f>
        <v/>
      </c>
      <c r="DS533" t="str">
        <f>""</f>
        <v/>
      </c>
      <c r="DT533" t="str">
        <f>""</f>
        <v/>
      </c>
      <c r="DU533" t="str">
        <f>""</f>
        <v/>
      </c>
    </row>
    <row r="534" spans="1:125">
      <c r="A534" t="str">
        <f>$A$77</f>
        <v xml:space="preserve">    Retail Opportunity Investments</v>
      </c>
      <c r="B534" t="str">
        <f>$B$77</f>
        <v>ROIC US Equity</v>
      </c>
      <c r="C534" t="str">
        <f>$C$77</f>
        <v>RR502</v>
      </c>
      <c r="D534" t="str">
        <f>$D$77</f>
        <v>NET_OPER_INCOME</v>
      </c>
      <c r="E534" t="str">
        <f>$E$77</f>
        <v>动态</v>
      </c>
      <c r="F534" t="str">
        <f ca="1">BDH($B$77,$C$77,$B$417,$B$418,CONCATENATE("Per=",$B$415),"Dts=H","Dir=H",CONCATENATE("Points=",$B$416),"Sort=R","Days=A","Fill=B",CONCATENATE("FX=", $B$414) )</f>
        <v>#N/A Authorization</v>
      </c>
      <c r="BN534" t="str">
        <f>""</f>
        <v/>
      </c>
      <c r="BO534" t="str">
        <f>""</f>
        <v/>
      </c>
      <c r="BP534" t="str">
        <f>""</f>
        <v/>
      </c>
      <c r="BQ534" t="str">
        <f>""</f>
        <v/>
      </c>
      <c r="BR534" t="str">
        <f>""</f>
        <v/>
      </c>
      <c r="BS534" t="str">
        <f>""</f>
        <v/>
      </c>
      <c r="BT534" t="str">
        <f>""</f>
        <v/>
      </c>
      <c r="BU534" t="str">
        <f>""</f>
        <v/>
      </c>
      <c r="BV534" t="str">
        <f>""</f>
        <v/>
      </c>
      <c r="BW534" t="str">
        <f>""</f>
        <v/>
      </c>
      <c r="BX534" t="str">
        <f>""</f>
        <v/>
      </c>
      <c r="BY534" t="str">
        <f>""</f>
        <v/>
      </c>
      <c r="BZ534" t="str">
        <f>""</f>
        <v/>
      </c>
      <c r="CA534" t="str">
        <f>""</f>
        <v/>
      </c>
      <c r="CB534" t="str">
        <f>""</f>
        <v/>
      </c>
      <c r="CC534" t="str">
        <f>""</f>
        <v/>
      </c>
      <c r="CD534" t="str">
        <f>""</f>
        <v/>
      </c>
      <c r="CE534" t="str">
        <f>""</f>
        <v/>
      </c>
      <c r="CF534" t="str">
        <f>""</f>
        <v/>
      </c>
      <c r="CG534" t="str">
        <f>""</f>
        <v/>
      </c>
      <c r="CH534" t="str">
        <f>""</f>
        <v/>
      </c>
      <c r="CI534" t="str">
        <f>""</f>
        <v/>
      </c>
      <c r="CJ534" t="str">
        <f>""</f>
        <v/>
      </c>
      <c r="CK534" t="str">
        <f>""</f>
        <v/>
      </c>
      <c r="CL534" t="str">
        <f>""</f>
        <v/>
      </c>
      <c r="CM534" t="str">
        <f>""</f>
        <v/>
      </c>
      <c r="CN534" t="str">
        <f>""</f>
        <v/>
      </c>
      <c r="CO534" t="str">
        <f>""</f>
        <v/>
      </c>
      <c r="CP534" t="str">
        <f>""</f>
        <v/>
      </c>
      <c r="CQ534" t="str">
        <f>""</f>
        <v/>
      </c>
      <c r="CR534" t="str">
        <f>""</f>
        <v/>
      </c>
      <c r="CS534" t="str">
        <f>""</f>
        <v/>
      </c>
      <c r="CT534" t="str">
        <f>""</f>
        <v/>
      </c>
      <c r="CU534" t="str">
        <f>""</f>
        <v/>
      </c>
      <c r="CV534" t="str">
        <f>""</f>
        <v/>
      </c>
      <c r="CW534" t="str">
        <f>""</f>
        <v/>
      </c>
      <c r="CX534" t="str">
        <f>""</f>
        <v/>
      </c>
      <c r="CY534" t="str">
        <f>""</f>
        <v/>
      </c>
      <c r="CZ534" t="str">
        <f>""</f>
        <v/>
      </c>
      <c r="DA534" t="str">
        <f>""</f>
        <v/>
      </c>
      <c r="DB534" t="str">
        <f>""</f>
        <v/>
      </c>
      <c r="DC534" t="str">
        <f>""</f>
        <v/>
      </c>
      <c r="DD534" t="str">
        <f>""</f>
        <v/>
      </c>
      <c r="DE534" t="str">
        <f>""</f>
        <v/>
      </c>
      <c r="DF534" t="str">
        <f>""</f>
        <v/>
      </c>
      <c r="DG534" t="str">
        <f>""</f>
        <v/>
      </c>
      <c r="DH534" t="str">
        <f>""</f>
        <v/>
      </c>
      <c r="DI534" t="str">
        <f>""</f>
        <v/>
      </c>
      <c r="DJ534" t="str">
        <f>""</f>
        <v/>
      </c>
      <c r="DK534" t="str">
        <f>""</f>
        <v/>
      </c>
      <c r="DL534" t="str">
        <f>""</f>
        <v/>
      </c>
      <c r="DM534" t="str">
        <f>""</f>
        <v/>
      </c>
      <c r="DN534" t="str">
        <f>""</f>
        <v/>
      </c>
      <c r="DO534" t="str">
        <f>""</f>
        <v/>
      </c>
      <c r="DP534" t="str">
        <f>""</f>
        <v/>
      </c>
      <c r="DQ534" t="str">
        <f>""</f>
        <v/>
      </c>
      <c r="DR534" t="str">
        <f>""</f>
        <v/>
      </c>
      <c r="DS534" t="str">
        <f>""</f>
        <v/>
      </c>
      <c r="DT534" t="str">
        <f>""</f>
        <v/>
      </c>
      <c r="DU534" t="str">
        <f>""</f>
        <v/>
      </c>
    </row>
    <row r="535" spans="1:125">
      <c r="A535" t="str">
        <f>$A$78</f>
        <v xml:space="preserve">    Retail Properties of America I</v>
      </c>
      <c r="B535" t="str">
        <f>$B$78</f>
        <v>RPAI US Equity</v>
      </c>
      <c r="C535" t="str">
        <f>$C$78</f>
        <v>RR502</v>
      </c>
      <c r="D535" t="str">
        <f>$D$78</f>
        <v>NET_OPER_INCOME</v>
      </c>
      <c r="E535" t="str">
        <f>$E$78</f>
        <v>动态</v>
      </c>
      <c r="F535" t="str">
        <f ca="1">BDH($B$78,$C$78,$B$417,$B$418,CONCATENATE("Per=",$B$415),"Dts=H","Dir=H",CONCATENATE("Points=",$B$416),"Sort=R","Days=A","Fill=B",CONCATENATE("FX=", $B$414) )</f>
        <v>#N/A Authorization</v>
      </c>
      <c r="BN535" t="str">
        <f>""</f>
        <v/>
      </c>
      <c r="BO535" t="str">
        <f>""</f>
        <v/>
      </c>
      <c r="BP535" t="str">
        <f>""</f>
        <v/>
      </c>
      <c r="BQ535" t="str">
        <f>""</f>
        <v/>
      </c>
      <c r="BR535" t="str">
        <f>""</f>
        <v/>
      </c>
      <c r="BS535" t="str">
        <f>""</f>
        <v/>
      </c>
      <c r="BT535" t="str">
        <f>""</f>
        <v/>
      </c>
      <c r="BU535" t="str">
        <f>""</f>
        <v/>
      </c>
      <c r="BV535" t="str">
        <f>""</f>
        <v/>
      </c>
      <c r="BW535" t="str">
        <f>""</f>
        <v/>
      </c>
      <c r="BX535" t="str">
        <f>""</f>
        <v/>
      </c>
      <c r="BY535" t="str">
        <f>""</f>
        <v/>
      </c>
      <c r="BZ535" t="str">
        <f>""</f>
        <v/>
      </c>
      <c r="CA535" t="str">
        <f>""</f>
        <v/>
      </c>
      <c r="CB535" t="str">
        <f>""</f>
        <v/>
      </c>
      <c r="CC535" t="str">
        <f>""</f>
        <v/>
      </c>
      <c r="CD535" t="str">
        <f>""</f>
        <v/>
      </c>
      <c r="CE535" t="str">
        <f>""</f>
        <v/>
      </c>
      <c r="CF535" t="str">
        <f>""</f>
        <v/>
      </c>
      <c r="CG535" t="str">
        <f>""</f>
        <v/>
      </c>
      <c r="CH535" t="str">
        <f>""</f>
        <v/>
      </c>
      <c r="CI535" t="str">
        <f>""</f>
        <v/>
      </c>
      <c r="CJ535" t="str">
        <f>""</f>
        <v/>
      </c>
      <c r="CK535" t="str">
        <f>""</f>
        <v/>
      </c>
      <c r="CL535" t="str">
        <f>""</f>
        <v/>
      </c>
      <c r="CM535" t="str">
        <f>""</f>
        <v/>
      </c>
      <c r="CN535" t="str">
        <f>""</f>
        <v/>
      </c>
      <c r="CO535" t="str">
        <f>""</f>
        <v/>
      </c>
      <c r="CP535" t="str">
        <f>""</f>
        <v/>
      </c>
      <c r="CQ535" t="str">
        <f>""</f>
        <v/>
      </c>
      <c r="CR535" t="str">
        <f>""</f>
        <v/>
      </c>
      <c r="CS535" t="str">
        <f>""</f>
        <v/>
      </c>
      <c r="CT535" t="str">
        <f>""</f>
        <v/>
      </c>
      <c r="CU535" t="str">
        <f>""</f>
        <v/>
      </c>
      <c r="CV535" t="str">
        <f>""</f>
        <v/>
      </c>
      <c r="CW535" t="str">
        <f>""</f>
        <v/>
      </c>
      <c r="CX535" t="str">
        <f>""</f>
        <v/>
      </c>
      <c r="CY535" t="str">
        <f>""</f>
        <v/>
      </c>
      <c r="CZ535" t="str">
        <f>""</f>
        <v/>
      </c>
      <c r="DA535" t="str">
        <f>""</f>
        <v/>
      </c>
      <c r="DB535" t="str">
        <f>""</f>
        <v/>
      </c>
      <c r="DC535" t="str">
        <f>""</f>
        <v/>
      </c>
      <c r="DD535" t="str">
        <f>""</f>
        <v/>
      </c>
      <c r="DE535" t="str">
        <f>""</f>
        <v/>
      </c>
      <c r="DF535" t="str">
        <f>""</f>
        <v/>
      </c>
      <c r="DG535" t="str">
        <f>""</f>
        <v/>
      </c>
      <c r="DH535" t="str">
        <f>""</f>
        <v/>
      </c>
      <c r="DI535" t="str">
        <f>""</f>
        <v/>
      </c>
      <c r="DJ535" t="str">
        <f>""</f>
        <v/>
      </c>
      <c r="DK535" t="str">
        <f>""</f>
        <v/>
      </c>
      <c r="DL535" t="str">
        <f>""</f>
        <v/>
      </c>
      <c r="DM535" t="str">
        <f>""</f>
        <v/>
      </c>
      <c r="DN535" t="str">
        <f>""</f>
        <v/>
      </c>
      <c r="DO535" t="str">
        <f>""</f>
        <v/>
      </c>
      <c r="DP535" t="str">
        <f>""</f>
        <v/>
      </c>
      <c r="DQ535" t="str">
        <f>""</f>
        <v/>
      </c>
      <c r="DR535" t="str">
        <f>""</f>
        <v/>
      </c>
      <c r="DS535" t="str">
        <f>""</f>
        <v/>
      </c>
      <c r="DT535" t="str">
        <f>""</f>
        <v/>
      </c>
      <c r="DU535" t="str">
        <f>""</f>
        <v/>
      </c>
    </row>
    <row r="536" spans="1:125">
      <c r="A536" t="str">
        <f>$A$79</f>
        <v xml:space="preserve">    Simon Property Group Inc</v>
      </c>
      <c r="B536" t="str">
        <f>$B$79</f>
        <v>SPG US Equity</v>
      </c>
      <c r="C536" t="str">
        <f>$C$79</f>
        <v>RR502</v>
      </c>
      <c r="D536" t="str">
        <f>$D$79</f>
        <v>NET_OPER_INCOME</v>
      </c>
      <c r="E536" t="str">
        <f>$E$79</f>
        <v>动态</v>
      </c>
      <c r="F536" t="str">
        <f ca="1">BDH($B$79,$C$79,$B$417,$B$418,CONCATENATE("Per=",$B$415),"Dts=H","Dir=H",CONCATENATE("Points=",$B$416),"Sort=R","Days=A","Fill=B",CONCATENATE("FX=", $B$414) )</f>
        <v>#N/A Authorization</v>
      </c>
      <c r="BN536" t="str">
        <f>""</f>
        <v/>
      </c>
      <c r="BO536" t="str">
        <f>""</f>
        <v/>
      </c>
      <c r="BP536" t="str">
        <f>""</f>
        <v/>
      </c>
      <c r="BQ536" t="str">
        <f>""</f>
        <v/>
      </c>
      <c r="BR536" t="str">
        <f>""</f>
        <v/>
      </c>
      <c r="BS536" t="str">
        <f>""</f>
        <v/>
      </c>
      <c r="BT536" t="str">
        <f>""</f>
        <v/>
      </c>
      <c r="BU536" t="str">
        <f>""</f>
        <v/>
      </c>
      <c r="BV536" t="str">
        <f>""</f>
        <v/>
      </c>
      <c r="BW536" t="str">
        <f>""</f>
        <v/>
      </c>
      <c r="BX536" t="str">
        <f>""</f>
        <v/>
      </c>
      <c r="BY536" t="str">
        <f>""</f>
        <v/>
      </c>
      <c r="BZ536" t="str">
        <f>""</f>
        <v/>
      </c>
      <c r="CA536" t="str">
        <f>""</f>
        <v/>
      </c>
      <c r="CB536" t="str">
        <f>""</f>
        <v/>
      </c>
      <c r="CC536" t="str">
        <f>""</f>
        <v/>
      </c>
      <c r="CD536" t="str">
        <f>""</f>
        <v/>
      </c>
      <c r="CE536" t="str">
        <f>""</f>
        <v/>
      </c>
      <c r="CF536" t="str">
        <f>""</f>
        <v/>
      </c>
      <c r="CG536" t="str">
        <f>""</f>
        <v/>
      </c>
      <c r="CH536" t="str">
        <f>""</f>
        <v/>
      </c>
      <c r="CI536" t="str">
        <f>""</f>
        <v/>
      </c>
      <c r="CJ536" t="str">
        <f>""</f>
        <v/>
      </c>
      <c r="CK536" t="str">
        <f>""</f>
        <v/>
      </c>
      <c r="CL536" t="str">
        <f>""</f>
        <v/>
      </c>
      <c r="CM536" t="str">
        <f>""</f>
        <v/>
      </c>
      <c r="CN536" t="str">
        <f>""</f>
        <v/>
      </c>
      <c r="CO536" t="str">
        <f>""</f>
        <v/>
      </c>
      <c r="CP536" t="str">
        <f>""</f>
        <v/>
      </c>
      <c r="CQ536" t="str">
        <f>""</f>
        <v/>
      </c>
      <c r="CR536" t="str">
        <f>""</f>
        <v/>
      </c>
      <c r="CS536" t="str">
        <f>""</f>
        <v/>
      </c>
      <c r="CT536" t="str">
        <f>""</f>
        <v/>
      </c>
      <c r="CU536" t="str">
        <f>""</f>
        <v/>
      </c>
      <c r="CV536" t="str">
        <f>""</f>
        <v/>
      </c>
      <c r="CW536" t="str">
        <f>""</f>
        <v/>
      </c>
      <c r="CX536" t="str">
        <f>""</f>
        <v/>
      </c>
      <c r="CY536" t="str">
        <f>""</f>
        <v/>
      </c>
      <c r="CZ536" t="str">
        <f>""</f>
        <v/>
      </c>
      <c r="DA536" t="str">
        <f>""</f>
        <v/>
      </c>
      <c r="DB536" t="str">
        <f>""</f>
        <v/>
      </c>
      <c r="DC536" t="str">
        <f>""</f>
        <v/>
      </c>
      <c r="DD536" t="str">
        <f>""</f>
        <v/>
      </c>
      <c r="DE536" t="str">
        <f>""</f>
        <v/>
      </c>
      <c r="DF536" t="str">
        <f>""</f>
        <v/>
      </c>
      <c r="DG536" t="str">
        <f>""</f>
        <v/>
      </c>
      <c r="DH536" t="str">
        <f>""</f>
        <v/>
      </c>
      <c r="DI536" t="str">
        <f>""</f>
        <v/>
      </c>
      <c r="DJ536" t="str">
        <f>""</f>
        <v/>
      </c>
      <c r="DK536" t="str">
        <f>""</f>
        <v/>
      </c>
      <c r="DL536" t="str">
        <f>""</f>
        <v/>
      </c>
      <c r="DM536" t="str">
        <f>""</f>
        <v/>
      </c>
      <c r="DN536" t="str">
        <f>""</f>
        <v/>
      </c>
      <c r="DO536" t="str">
        <f>""</f>
        <v/>
      </c>
      <c r="DP536" t="str">
        <f>""</f>
        <v/>
      </c>
      <c r="DQ536" t="str">
        <f>""</f>
        <v/>
      </c>
      <c r="DR536" t="str">
        <f>""</f>
        <v/>
      </c>
      <c r="DS536" t="str">
        <f>""</f>
        <v/>
      </c>
      <c r="DT536" t="str">
        <f>""</f>
        <v/>
      </c>
      <c r="DU536" t="str">
        <f>""</f>
        <v/>
      </c>
    </row>
    <row r="537" spans="1:125">
      <c r="A537" t="str">
        <f>$A$80</f>
        <v xml:space="preserve">    Tanger Factory Outlet Centers</v>
      </c>
      <c r="B537" t="str">
        <f>$B$80</f>
        <v>SKT US Equity</v>
      </c>
      <c r="C537" t="str">
        <f>$C$80</f>
        <v>RR502</v>
      </c>
      <c r="D537" t="str">
        <f>$D$80</f>
        <v>NET_OPER_INCOME</v>
      </c>
      <c r="E537" t="str">
        <f>$E$80</f>
        <v>动态</v>
      </c>
      <c r="F537" t="str">
        <f ca="1">BDH($B$80,$C$80,$B$417,$B$418,CONCATENATE("Per=",$B$415),"Dts=H","Dir=H",CONCATENATE("Points=",$B$416),"Sort=R","Days=A","Fill=B",CONCATENATE("FX=", $B$414) )</f>
        <v>#N/A Authorization</v>
      </c>
      <c r="BN537" t="str">
        <f>""</f>
        <v/>
      </c>
      <c r="BO537" t="str">
        <f>""</f>
        <v/>
      </c>
      <c r="BP537" t="str">
        <f>""</f>
        <v/>
      </c>
      <c r="BQ537" t="str">
        <f>""</f>
        <v/>
      </c>
      <c r="BR537" t="str">
        <f>""</f>
        <v/>
      </c>
      <c r="BS537" t="str">
        <f>""</f>
        <v/>
      </c>
      <c r="BT537" t="str">
        <f>""</f>
        <v/>
      </c>
      <c r="BU537" t="str">
        <f>""</f>
        <v/>
      </c>
      <c r="BV537" t="str">
        <f>""</f>
        <v/>
      </c>
      <c r="BW537" t="str">
        <f>""</f>
        <v/>
      </c>
      <c r="BX537" t="str">
        <f>""</f>
        <v/>
      </c>
      <c r="BY537" t="str">
        <f>""</f>
        <v/>
      </c>
      <c r="BZ537" t="str">
        <f>""</f>
        <v/>
      </c>
      <c r="CA537" t="str">
        <f>""</f>
        <v/>
      </c>
      <c r="CB537" t="str">
        <f>""</f>
        <v/>
      </c>
      <c r="CC537" t="str">
        <f>""</f>
        <v/>
      </c>
      <c r="CD537" t="str">
        <f>""</f>
        <v/>
      </c>
      <c r="CE537" t="str">
        <f>""</f>
        <v/>
      </c>
      <c r="CF537" t="str">
        <f>""</f>
        <v/>
      </c>
      <c r="CG537" t="str">
        <f>""</f>
        <v/>
      </c>
      <c r="CH537" t="str">
        <f>""</f>
        <v/>
      </c>
      <c r="CI537" t="str">
        <f>""</f>
        <v/>
      </c>
      <c r="CJ537" t="str">
        <f>""</f>
        <v/>
      </c>
      <c r="CK537" t="str">
        <f>""</f>
        <v/>
      </c>
      <c r="CL537" t="str">
        <f>""</f>
        <v/>
      </c>
      <c r="CM537" t="str">
        <f>""</f>
        <v/>
      </c>
      <c r="CN537" t="str">
        <f>""</f>
        <v/>
      </c>
      <c r="CO537" t="str">
        <f>""</f>
        <v/>
      </c>
      <c r="CP537" t="str">
        <f>""</f>
        <v/>
      </c>
      <c r="CQ537" t="str">
        <f>""</f>
        <v/>
      </c>
      <c r="CR537" t="str">
        <f>""</f>
        <v/>
      </c>
      <c r="CS537" t="str">
        <f>""</f>
        <v/>
      </c>
      <c r="CT537" t="str">
        <f>""</f>
        <v/>
      </c>
      <c r="CU537" t="str">
        <f>""</f>
        <v/>
      </c>
      <c r="CV537" t="str">
        <f>""</f>
        <v/>
      </c>
      <c r="CW537" t="str">
        <f>""</f>
        <v/>
      </c>
      <c r="CX537" t="str">
        <f>""</f>
        <v/>
      </c>
      <c r="CY537" t="str">
        <f>""</f>
        <v/>
      </c>
      <c r="CZ537" t="str">
        <f>""</f>
        <v/>
      </c>
      <c r="DA537" t="str">
        <f>""</f>
        <v/>
      </c>
      <c r="DB537" t="str">
        <f>""</f>
        <v/>
      </c>
      <c r="DC537" t="str">
        <f>""</f>
        <v/>
      </c>
      <c r="DD537" t="str">
        <f>""</f>
        <v/>
      </c>
      <c r="DE537" t="str">
        <f>""</f>
        <v/>
      </c>
      <c r="DF537" t="str">
        <f>""</f>
        <v/>
      </c>
      <c r="DG537" t="str">
        <f>""</f>
        <v/>
      </c>
      <c r="DH537" t="str">
        <f>""</f>
        <v/>
      </c>
      <c r="DI537" t="str">
        <f>""</f>
        <v/>
      </c>
      <c r="DJ537" t="str">
        <f>""</f>
        <v/>
      </c>
      <c r="DK537" t="str">
        <f>""</f>
        <v/>
      </c>
      <c r="DL537" t="str">
        <f>""</f>
        <v/>
      </c>
      <c r="DM537" t="str">
        <f>""</f>
        <v/>
      </c>
      <c r="DN537" t="str">
        <f>""</f>
        <v/>
      </c>
      <c r="DO537" t="str">
        <f>""</f>
        <v/>
      </c>
      <c r="DP537" t="str">
        <f>""</f>
        <v/>
      </c>
      <c r="DQ537" t="str">
        <f>""</f>
        <v/>
      </c>
      <c r="DR537" t="str">
        <f>""</f>
        <v/>
      </c>
      <c r="DS537" t="str">
        <f>""</f>
        <v/>
      </c>
      <c r="DT537" t="str">
        <f>""</f>
        <v/>
      </c>
      <c r="DU537" t="str">
        <f>""</f>
        <v/>
      </c>
    </row>
    <row r="538" spans="1:125">
      <c r="A538" t="str">
        <f>$A$81</f>
        <v xml:space="preserve">    VEREIT Inc</v>
      </c>
      <c r="B538" t="str">
        <f>$B$81</f>
        <v>VER US Equity</v>
      </c>
      <c r="C538" t="str">
        <f>$C$81</f>
        <v>RR502</v>
      </c>
      <c r="D538" t="str">
        <f>$D$81</f>
        <v>NET_OPER_INCOME</v>
      </c>
      <c r="E538" t="str">
        <f>$E$81</f>
        <v>动态</v>
      </c>
      <c r="F538" t="str">
        <f ca="1">BDH($B$81,$C$81,$B$417,$B$418,CONCATENATE("Per=",$B$415),"Dts=H","Dir=H",CONCATENATE("Points=",$B$416),"Sort=R","Days=A","Fill=B",CONCATENATE("FX=", $B$414) )</f>
        <v>#N/A Authorization</v>
      </c>
      <c r="BN538" t="str">
        <f>""</f>
        <v/>
      </c>
      <c r="BO538" t="str">
        <f>""</f>
        <v/>
      </c>
      <c r="BP538" t="str">
        <f>""</f>
        <v/>
      </c>
      <c r="BQ538" t="str">
        <f>""</f>
        <v/>
      </c>
      <c r="BR538" t="str">
        <f>""</f>
        <v/>
      </c>
      <c r="BS538" t="str">
        <f>""</f>
        <v/>
      </c>
      <c r="BT538" t="str">
        <f>""</f>
        <v/>
      </c>
      <c r="BU538" t="str">
        <f>""</f>
        <v/>
      </c>
      <c r="BV538" t="str">
        <f>""</f>
        <v/>
      </c>
      <c r="BW538" t="str">
        <f>""</f>
        <v/>
      </c>
      <c r="BX538" t="str">
        <f>""</f>
        <v/>
      </c>
      <c r="BY538" t="str">
        <f>""</f>
        <v/>
      </c>
      <c r="BZ538" t="str">
        <f>""</f>
        <v/>
      </c>
      <c r="CA538" t="str">
        <f>""</f>
        <v/>
      </c>
      <c r="CB538" t="str">
        <f>""</f>
        <v/>
      </c>
      <c r="CC538" t="str">
        <f>""</f>
        <v/>
      </c>
      <c r="CD538" t="str">
        <f>""</f>
        <v/>
      </c>
      <c r="CE538" t="str">
        <f>""</f>
        <v/>
      </c>
      <c r="CF538" t="str">
        <f>""</f>
        <v/>
      </c>
      <c r="CG538" t="str">
        <f>""</f>
        <v/>
      </c>
      <c r="CH538" t="str">
        <f>""</f>
        <v/>
      </c>
      <c r="CI538" t="str">
        <f>""</f>
        <v/>
      </c>
      <c r="CJ538" t="str">
        <f>""</f>
        <v/>
      </c>
      <c r="CK538" t="str">
        <f>""</f>
        <v/>
      </c>
      <c r="CL538" t="str">
        <f>""</f>
        <v/>
      </c>
      <c r="CM538" t="str">
        <f>""</f>
        <v/>
      </c>
      <c r="CN538" t="str">
        <f>""</f>
        <v/>
      </c>
      <c r="CO538" t="str">
        <f>""</f>
        <v/>
      </c>
      <c r="CP538" t="str">
        <f>""</f>
        <v/>
      </c>
      <c r="CQ538" t="str">
        <f>""</f>
        <v/>
      </c>
      <c r="CR538" t="str">
        <f>""</f>
        <v/>
      </c>
      <c r="CS538" t="str">
        <f>""</f>
        <v/>
      </c>
      <c r="CT538" t="str">
        <f>""</f>
        <v/>
      </c>
      <c r="CU538" t="str">
        <f>""</f>
        <v/>
      </c>
      <c r="CV538" t="str">
        <f>""</f>
        <v/>
      </c>
      <c r="CW538" t="str">
        <f>""</f>
        <v/>
      </c>
      <c r="CX538" t="str">
        <f>""</f>
        <v/>
      </c>
      <c r="CY538" t="str">
        <f>""</f>
        <v/>
      </c>
      <c r="CZ538" t="str">
        <f>""</f>
        <v/>
      </c>
      <c r="DA538" t="str">
        <f>""</f>
        <v/>
      </c>
      <c r="DB538" t="str">
        <f>""</f>
        <v/>
      </c>
      <c r="DC538" t="str">
        <f>""</f>
        <v/>
      </c>
      <c r="DD538" t="str">
        <f>""</f>
        <v/>
      </c>
      <c r="DE538" t="str">
        <f>""</f>
        <v/>
      </c>
      <c r="DF538" t="str">
        <f>""</f>
        <v/>
      </c>
      <c r="DG538" t="str">
        <f>""</f>
        <v/>
      </c>
      <c r="DH538" t="str">
        <f>""</f>
        <v/>
      </c>
      <c r="DI538" t="str">
        <f>""</f>
        <v/>
      </c>
      <c r="DJ538" t="str">
        <f>""</f>
        <v/>
      </c>
      <c r="DK538" t="str">
        <f>""</f>
        <v/>
      </c>
      <c r="DL538" t="str">
        <f>""</f>
        <v/>
      </c>
      <c r="DM538" t="str">
        <f>""</f>
        <v/>
      </c>
      <c r="DN538" t="str">
        <f>""</f>
        <v/>
      </c>
      <c r="DO538" t="str">
        <f>""</f>
        <v/>
      </c>
      <c r="DP538" t="str">
        <f>""</f>
        <v/>
      </c>
      <c r="DQ538" t="str">
        <f>""</f>
        <v/>
      </c>
      <c r="DR538" t="str">
        <f>""</f>
        <v/>
      </c>
      <c r="DS538" t="str">
        <f>""</f>
        <v/>
      </c>
      <c r="DT538" t="str">
        <f>""</f>
        <v/>
      </c>
      <c r="DU538" t="str">
        <f>""</f>
        <v/>
      </c>
    </row>
    <row r="539" spans="1:125">
      <c r="A539" t="str">
        <f>$A$82</f>
        <v xml:space="preserve">    Washington Prime Group Inc</v>
      </c>
      <c r="B539" t="str">
        <f>$B$82</f>
        <v>WPG US Equity</v>
      </c>
      <c r="C539" t="str">
        <f>$C$82</f>
        <v>RR502</v>
      </c>
      <c r="D539" t="str">
        <f>$D$82</f>
        <v>NET_OPER_INCOME</v>
      </c>
      <c r="E539" t="str">
        <f>$E$82</f>
        <v>动态</v>
      </c>
      <c r="F539" t="str">
        <f ca="1">BDH($B$82,$C$82,$B$417,$B$418,CONCATENATE("Per=",$B$415),"Dts=H","Dir=H",CONCATENATE("Points=",$B$416),"Sort=R","Days=A","Fill=B",CONCATENATE("FX=", $B$414) )</f>
        <v>#N/A Authorization</v>
      </c>
      <c r="BN539" t="str">
        <f>""</f>
        <v/>
      </c>
      <c r="BO539" t="str">
        <f>""</f>
        <v/>
      </c>
      <c r="BP539" t="str">
        <f>""</f>
        <v/>
      </c>
      <c r="BQ539" t="str">
        <f>""</f>
        <v/>
      </c>
      <c r="BR539" t="str">
        <f>""</f>
        <v/>
      </c>
      <c r="BS539" t="str">
        <f>""</f>
        <v/>
      </c>
      <c r="BT539" t="str">
        <f>""</f>
        <v/>
      </c>
      <c r="BU539" t="str">
        <f>""</f>
        <v/>
      </c>
      <c r="BV539" t="str">
        <f>""</f>
        <v/>
      </c>
      <c r="BW539" t="str">
        <f>""</f>
        <v/>
      </c>
      <c r="BX539" t="str">
        <f>""</f>
        <v/>
      </c>
      <c r="BY539" t="str">
        <f>""</f>
        <v/>
      </c>
      <c r="BZ539" t="str">
        <f>""</f>
        <v/>
      </c>
      <c r="CA539" t="str">
        <f>""</f>
        <v/>
      </c>
      <c r="CB539" t="str">
        <f>""</f>
        <v/>
      </c>
      <c r="CC539" t="str">
        <f>""</f>
        <v/>
      </c>
      <c r="CD539" t="str">
        <f>""</f>
        <v/>
      </c>
      <c r="CE539" t="str">
        <f>""</f>
        <v/>
      </c>
      <c r="CF539" t="str">
        <f>""</f>
        <v/>
      </c>
      <c r="CG539" t="str">
        <f>""</f>
        <v/>
      </c>
      <c r="CH539" t="str">
        <f>""</f>
        <v/>
      </c>
      <c r="CI539" t="str">
        <f>""</f>
        <v/>
      </c>
      <c r="CJ539" t="str">
        <f>""</f>
        <v/>
      </c>
      <c r="CK539" t="str">
        <f>""</f>
        <v/>
      </c>
      <c r="CL539" t="str">
        <f>""</f>
        <v/>
      </c>
      <c r="CM539" t="str">
        <f>""</f>
        <v/>
      </c>
      <c r="CN539" t="str">
        <f>""</f>
        <v/>
      </c>
      <c r="CO539" t="str">
        <f>""</f>
        <v/>
      </c>
      <c r="CP539" t="str">
        <f>""</f>
        <v/>
      </c>
      <c r="CQ539" t="str">
        <f>""</f>
        <v/>
      </c>
      <c r="CR539" t="str">
        <f>""</f>
        <v/>
      </c>
      <c r="CS539" t="str">
        <f>""</f>
        <v/>
      </c>
      <c r="CT539" t="str">
        <f>""</f>
        <v/>
      </c>
      <c r="CU539" t="str">
        <f>""</f>
        <v/>
      </c>
      <c r="CV539" t="str">
        <f>""</f>
        <v/>
      </c>
      <c r="CW539" t="str">
        <f>""</f>
        <v/>
      </c>
      <c r="CX539" t="str">
        <f>""</f>
        <v/>
      </c>
      <c r="CY539" t="str">
        <f>""</f>
        <v/>
      </c>
      <c r="CZ539" t="str">
        <f>""</f>
        <v/>
      </c>
      <c r="DA539" t="str">
        <f>""</f>
        <v/>
      </c>
      <c r="DB539" t="str">
        <f>""</f>
        <v/>
      </c>
      <c r="DC539" t="str">
        <f>""</f>
        <v/>
      </c>
      <c r="DD539" t="str">
        <f>""</f>
        <v/>
      </c>
      <c r="DE539" t="str">
        <f>""</f>
        <v/>
      </c>
      <c r="DF539" t="str">
        <f>""</f>
        <v/>
      </c>
      <c r="DG539" t="str">
        <f>""</f>
        <v/>
      </c>
      <c r="DH539" t="str">
        <f>""</f>
        <v/>
      </c>
      <c r="DI539" t="str">
        <f>""</f>
        <v/>
      </c>
      <c r="DJ539" t="str">
        <f>""</f>
        <v/>
      </c>
      <c r="DK539" t="str">
        <f>""</f>
        <v/>
      </c>
      <c r="DL539" t="str">
        <f>""</f>
        <v/>
      </c>
      <c r="DM539" t="str">
        <f>""</f>
        <v/>
      </c>
      <c r="DN539" t="str">
        <f>""</f>
        <v/>
      </c>
      <c r="DO539" t="str">
        <f>""</f>
        <v/>
      </c>
      <c r="DP539" t="str">
        <f>""</f>
        <v/>
      </c>
      <c r="DQ539" t="str">
        <f>""</f>
        <v/>
      </c>
      <c r="DR539" t="str">
        <f>""</f>
        <v/>
      </c>
      <c r="DS539" t="str">
        <f>""</f>
        <v/>
      </c>
      <c r="DT539" t="str">
        <f>""</f>
        <v/>
      </c>
      <c r="DU539" t="str">
        <f>""</f>
        <v/>
      </c>
    </row>
    <row r="540" spans="1:125">
      <c r="A540" t="str">
        <f>$A$83</f>
        <v xml:space="preserve">    Weingarten Realty Investors</v>
      </c>
      <c r="B540" t="str">
        <f>$B$83</f>
        <v>WRI US Equity</v>
      </c>
      <c r="C540" t="str">
        <f>$C$83</f>
        <v>RR502</v>
      </c>
      <c r="D540" t="str">
        <f>$D$83</f>
        <v>NET_OPER_INCOME</v>
      </c>
      <c r="E540" t="str">
        <f>$E$83</f>
        <v>动态</v>
      </c>
      <c r="F540" t="str">
        <f ca="1">BDH($B$83,$C$83,$B$417,$B$418,CONCATENATE("Per=",$B$415),"Dts=H","Dir=H",CONCATENATE("Points=",$B$416),"Sort=R","Days=A","Fill=B",CONCATENATE("FX=", $B$414) )</f>
        <v>#N/A Authorization</v>
      </c>
      <c r="BN540" t="str">
        <f>""</f>
        <v/>
      </c>
      <c r="BO540" t="str">
        <f>""</f>
        <v/>
      </c>
      <c r="BP540" t="str">
        <f>""</f>
        <v/>
      </c>
      <c r="BQ540" t="str">
        <f>""</f>
        <v/>
      </c>
      <c r="BR540" t="str">
        <f>""</f>
        <v/>
      </c>
      <c r="BS540" t="str">
        <f>""</f>
        <v/>
      </c>
      <c r="BT540" t="str">
        <f>""</f>
        <v/>
      </c>
      <c r="BU540" t="str">
        <f>""</f>
        <v/>
      </c>
      <c r="BV540" t="str">
        <f>""</f>
        <v/>
      </c>
      <c r="BW540" t="str">
        <f>""</f>
        <v/>
      </c>
      <c r="BX540" t="str">
        <f>""</f>
        <v/>
      </c>
      <c r="BY540" t="str">
        <f>""</f>
        <v/>
      </c>
      <c r="BZ540" t="str">
        <f>""</f>
        <v/>
      </c>
      <c r="CA540" t="str">
        <f>""</f>
        <v/>
      </c>
      <c r="CB540" t="str">
        <f>""</f>
        <v/>
      </c>
      <c r="CC540" t="str">
        <f>""</f>
        <v/>
      </c>
      <c r="CD540" t="str">
        <f>""</f>
        <v/>
      </c>
      <c r="CE540" t="str">
        <f>""</f>
        <v/>
      </c>
      <c r="CF540" t="str">
        <f>""</f>
        <v/>
      </c>
      <c r="CG540" t="str">
        <f>""</f>
        <v/>
      </c>
      <c r="CH540" t="str">
        <f>""</f>
        <v/>
      </c>
      <c r="CI540" t="str">
        <f>""</f>
        <v/>
      </c>
      <c r="CJ540" t="str">
        <f>""</f>
        <v/>
      </c>
      <c r="CK540" t="str">
        <f>""</f>
        <v/>
      </c>
      <c r="CL540" t="str">
        <f>""</f>
        <v/>
      </c>
      <c r="CM540" t="str">
        <f>""</f>
        <v/>
      </c>
      <c r="CN540" t="str">
        <f>""</f>
        <v/>
      </c>
      <c r="CO540" t="str">
        <f>""</f>
        <v/>
      </c>
      <c r="CP540" t="str">
        <f>""</f>
        <v/>
      </c>
      <c r="CQ540" t="str">
        <f>""</f>
        <v/>
      </c>
      <c r="CR540" t="str">
        <f>""</f>
        <v/>
      </c>
      <c r="CS540" t="str">
        <f>""</f>
        <v/>
      </c>
      <c r="CT540" t="str">
        <f>""</f>
        <v/>
      </c>
      <c r="CU540" t="str">
        <f>""</f>
        <v/>
      </c>
      <c r="CV540" t="str">
        <f>""</f>
        <v/>
      </c>
      <c r="CW540" t="str">
        <f>""</f>
        <v/>
      </c>
      <c r="CX540" t="str">
        <f>""</f>
        <v/>
      </c>
      <c r="CY540" t="str">
        <f>""</f>
        <v/>
      </c>
      <c r="CZ540" t="str">
        <f>""</f>
        <v/>
      </c>
      <c r="DA540" t="str">
        <f>""</f>
        <v/>
      </c>
      <c r="DB540" t="str">
        <f>""</f>
        <v/>
      </c>
      <c r="DC540" t="str">
        <f>""</f>
        <v/>
      </c>
      <c r="DD540" t="str">
        <f>""</f>
        <v/>
      </c>
      <c r="DE540" t="str">
        <f>""</f>
        <v/>
      </c>
      <c r="DF540" t="str">
        <f>""</f>
        <v/>
      </c>
      <c r="DG540" t="str">
        <f>""</f>
        <v/>
      </c>
      <c r="DH540" t="str">
        <f>""</f>
        <v/>
      </c>
      <c r="DI540" t="str">
        <f>""</f>
        <v/>
      </c>
      <c r="DJ540" t="str">
        <f>""</f>
        <v/>
      </c>
      <c r="DK540" t="str">
        <f>""</f>
        <v/>
      </c>
      <c r="DL540" t="str">
        <f>""</f>
        <v/>
      </c>
      <c r="DM540" t="str">
        <f>""</f>
        <v/>
      </c>
      <c r="DN540" t="str">
        <f>""</f>
        <v/>
      </c>
      <c r="DO540" t="str">
        <f>""</f>
        <v/>
      </c>
      <c r="DP540" t="str">
        <f>""</f>
        <v/>
      </c>
      <c r="DQ540" t="str">
        <f>""</f>
        <v/>
      </c>
      <c r="DR540" t="str">
        <f>""</f>
        <v/>
      </c>
      <c r="DS540" t="str">
        <f>""</f>
        <v/>
      </c>
      <c r="DT540" t="str">
        <f>""</f>
        <v/>
      </c>
      <c r="DU540" t="str">
        <f>""</f>
        <v/>
      </c>
    </row>
    <row r="541" spans="1:125">
      <c r="A541" t="str">
        <f>$A$85</f>
        <v xml:space="preserve">    Brixmor Property Group Inc</v>
      </c>
      <c r="B541" t="str">
        <f>$B$85</f>
        <v>BRX US Equity</v>
      </c>
      <c r="C541" t="str">
        <f>$C$85</f>
        <v>RR009</v>
      </c>
      <c r="D541" t="str">
        <f>$D$85</f>
        <v>EBITDA</v>
      </c>
      <c r="E541" t="str">
        <f>$E$85</f>
        <v>动态</v>
      </c>
      <c r="F541" t="str">
        <f ca="1">BDH($B$85,$C$85,$B$417,$B$418,CONCATENATE("Per=",$B$415),"Dts=H","Dir=H",CONCATENATE("Points=",$B$416),"Sort=R","Days=A","Fill=B",CONCATENATE("FX=", $B$414) )</f>
        <v>#N/A Authorization</v>
      </c>
      <c r="BN541" t="str">
        <f>""</f>
        <v/>
      </c>
      <c r="BO541" t="str">
        <f>""</f>
        <v/>
      </c>
      <c r="BP541" t="str">
        <f>""</f>
        <v/>
      </c>
      <c r="BQ541" t="str">
        <f>""</f>
        <v/>
      </c>
      <c r="BR541" t="str">
        <f>""</f>
        <v/>
      </c>
      <c r="BS541" t="str">
        <f>""</f>
        <v/>
      </c>
      <c r="BT541" t="str">
        <f>""</f>
        <v/>
      </c>
      <c r="BU541" t="str">
        <f>""</f>
        <v/>
      </c>
      <c r="BV541" t="str">
        <f>""</f>
        <v/>
      </c>
      <c r="BW541" t="str">
        <f>""</f>
        <v/>
      </c>
      <c r="BX541" t="str">
        <f>""</f>
        <v/>
      </c>
      <c r="BY541" t="str">
        <f>""</f>
        <v/>
      </c>
      <c r="BZ541" t="str">
        <f>""</f>
        <v/>
      </c>
      <c r="CA541" t="str">
        <f>""</f>
        <v/>
      </c>
      <c r="CB541" t="str">
        <f>""</f>
        <v/>
      </c>
      <c r="CC541" t="str">
        <f>""</f>
        <v/>
      </c>
      <c r="CD541" t="str">
        <f>""</f>
        <v/>
      </c>
      <c r="CE541" t="str">
        <f>""</f>
        <v/>
      </c>
      <c r="CF541" t="str">
        <f>""</f>
        <v/>
      </c>
      <c r="CG541" t="str">
        <f>""</f>
        <v/>
      </c>
      <c r="CH541" t="str">
        <f>""</f>
        <v/>
      </c>
      <c r="CI541" t="str">
        <f>""</f>
        <v/>
      </c>
      <c r="CJ541" t="str">
        <f>""</f>
        <v/>
      </c>
      <c r="CK541" t="str">
        <f>""</f>
        <v/>
      </c>
      <c r="CL541" t="str">
        <f>""</f>
        <v/>
      </c>
      <c r="CM541" t="str">
        <f>""</f>
        <v/>
      </c>
      <c r="CN541" t="str">
        <f>""</f>
        <v/>
      </c>
      <c r="CO541" t="str">
        <f>""</f>
        <v/>
      </c>
      <c r="CP541" t="str">
        <f>""</f>
        <v/>
      </c>
      <c r="CQ541" t="str">
        <f>""</f>
        <v/>
      </c>
      <c r="CR541" t="str">
        <f>""</f>
        <v/>
      </c>
      <c r="CS541" t="str">
        <f>""</f>
        <v/>
      </c>
      <c r="CT541" t="str">
        <f>""</f>
        <v/>
      </c>
      <c r="CU541" t="str">
        <f>""</f>
        <v/>
      </c>
      <c r="CV541" t="str">
        <f>""</f>
        <v/>
      </c>
      <c r="CW541" t="str">
        <f>""</f>
        <v/>
      </c>
      <c r="CX541" t="str">
        <f>""</f>
        <v/>
      </c>
      <c r="CY541" t="str">
        <f>""</f>
        <v/>
      </c>
      <c r="CZ541" t="str">
        <f>""</f>
        <v/>
      </c>
      <c r="DA541" t="str">
        <f>""</f>
        <v/>
      </c>
      <c r="DB541" t="str">
        <f>""</f>
        <v/>
      </c>
      <c r="DC541" t="str">
        <f>""</f>
        <v/>
      </c>
      <c r="DD541" t="str">
        <f>""</f>
        <v/>
      </c>
      <c r="DE541" t="str">
        <f>""</f>
        <v/>
      </c>
      <c r="DF541" t="str">
        <f>""</f>
        <v/>
      </c>
      <c r="DG541" t="str">
        <f>""</f>
        <v/>
      </c>
      <c r="DH541" t="str">
        <f>""</f>
        <v/>
      </c>
      <c r="DI541" t="str">
        <f>""</f>
        <v/>
      </c>
      <c r="DJ541" t="str">
        <f>""</f>
        <v/>
      </c>
      <c r="DK541" t="str">
        <f>""</f>
        <v/>
      </c>
      <c r="DL541" t="str">
        <f>""</f>
        <v/>
      </c>
      <c r="DM541" t="str">
        <f>""</f>
        <v/>
      </c>
      <c r="DN541" t="str">
        <f>""</f>
        <v/>
      </c>
      <c r="DO541" t="str">
        <f>""</f>
        <v/>
      </c>
      <c r="DP541" t="str">
        <f>""</f>
        <v/>
      </c>
      <c r="DQ541" t="str">
        <f>""</f>
        <v/>
      </c>
      <c r="DR541" t="str">
        <f>""</f>
        <v/>
      </c>
      <c r="DS541" t="str">
        <f>""</f>
        <v/>
      </c>
      <c r="DT541" t="str">
        <f>""</f>
        <v/>
      </c>
      <c r="DU541" t="str">
        <f>""</f>
        <v/>
      </c>
    </row>
    <row r="542" spans="1:125">
      <c r="A542" t="str">
        <f>$A$86</f>
        <v xml:space="preserve">    CBL &amp; Associates Properties In</v>
      </c>
      <c r="B542" t="str">
        <f>$B$86</f>
        <v>CBL US Equity</v>
      </c>
      <c r="C542" t="str">
        <f>$C$86</f>
        <v>RR009</v>
      </c>
      <c r="D542" t="str">
        <f>$D$86</f>
        <v>EBITDA</v>
      </c>
      <c r="E542" t="str">
        <f>$E$86</f>
        <v>动态</v>
      </c>
      <c r="F542" t="str">
        <f ca="1">BDH($B$86,$C$86,$B$417,$B$418,CONCATENATE("Per=",$B$415),"Dts=H","Dir=H",CONCATENATE("Points=",$B$416),"Sort=R","Days=A","Fill=B",CONCATENATE("FX=", $B$414) )</f>
        <v>#N/A Authorization</v>
      </c>
      <c r="BN542" t="str">
        <f>""</f>
        <v/>
      </c>
      <c r="BO542" t="str">
        <f>""</f>
        <v/>
      </c>
      <c r="BP542" t="str">
        <f>""</f>
        <v/>
      </c>
      <c r="BQ542" t="str">
        <f>""</f>
        <v/>
      </c>
      <c r="BR542" t="str">
        <f>""</f>
        <v/>
      </c>
      <c r="BS542" t="str">
        <f>""</f>
        <v/>
      </c>
      <c r="BT542" t="str">
        <f>""</f>
        <v/>
      </c>
      <c r="BU542" t="str">
        <f>""</f>
        <v/>
      </c>
      <c r="BV542" t="str">
        <f>""</f>
        <v/>
      </c>
      <c r="BW542" t="str">
        <f>""</f>
        <v/>
      </c>
      <c r="BX542" t="str">
        <f>""</f>
        <v/>
      </c>
      <c r="BY542" t="str">
        <f>""</f>
        <v/>
      </c>
      <c r="BZ542" t="str">
        <f>""</f>
        <v/>
      </c>
      <c r="CA542" t="str">
        <f>""</f>
        <v/>
      </c>
      <c r="CB542" t="str">
        <f>""</f>
        <v/>
      </c>
      <c r="CC542" t="str">
        <f>""</f>
        <v/>
      </c>
      <c r="CD542" t="str">
        <f>""</f>
        <v/>
      </c>
      <c r="CE542" t="str">
        <f>""</f>
        <v/>
      </c>
      <c r="CF542" t="str">
        <f>""</f>
        <v/>
      </c>
      <c r="CG542" t="str">
        <f>""</f>
        <v/>
      </c>
      <c r="CH542" t="str">
        <f>""</f>
        <v/>
      </c>
      <c r="CI542" t="str">
        <f>""</f>
        <v/>
      </c>
      <c r="CJ542" t="str">
        <f>""</f>
        <v/>
      </c>
      <c r="CK542" t="str">
        <f>""</f>
        <v/>
      </c>
      <c r="CL542" t="str">
        <f>""</f>
        <v/>
      </c>
      <c r="CM542" t="str">
        <f>""</f>
        <v/>
      </c>
      <c r="CN542" t="str">
        <f>""</f>
        <v/>
      </c>
      <c r="CO542" t="str">
        <f>""</f>
        <v/>
      </c>
      <c r="CP542" t="str">
        <f>""</f>
        <v/>
      </c>
      <c r="CQ542" t="str">
        <f>""</f>
        <v/>
      </c>
      <c r="CR542" t="str">
        <f>""</f>
        <v/>
      </c>
      <c r="CS542" t="str">
        <f>""</f>
        <v/>
      </c>
      <c r="CT542" t="str">
        <f>""</f>
        <v/>
      </c>
      <c r="CU542" t="str">
        <f>""</f>
        <v/>
      </c>
      <c r="CV542" t="str">
        <f>""</f>
        <v/>
      </c>
      <c r="CW542" t="str">
        <f>""</f>
        <v/>
      </c>
      <c r="CX542" t="str">
        <f>""</f>
        <v/>
      </c>
      <c r="CY542" t="str">
        <f>""</f>
        <v/>
      </c>
      <c r="CZ542" t="str">
        <f>""</f>
        <v/>
      </c>
      <c r="DA542" t="str">
        <f>""</f>
        <v/>
      </c>
      <c r="DB542" t="str">
        <f>""</f>
        <v/>
      </c>
      <c r="DC542" t="str">
        <f>""</f>
        <v/>
      </c>
      <c r="DD542" t="str">
        <f>""</f>
        <v/>
      </c>
      <c r="DE542" t="str">
        <f>""</f>
        <v/>
      </c>
      <c r="DF542" t="str">
        <f>""</f>
        <v/>
      </c>
      <c r="DG542" t="str">
        <f>""</f>
        <v/>
      </c>
      <c r="DH542" t="str">
        <f>""</f>
        <v/>
      </c>
      <c r="DI542" t="str">
        <f>""</f>
        <v/>
      </c>
      <c r="DJ542" t="str">
        <f>""</f>
        <v/>
      </c>
      <c r="DK542" t="str">
        <f>""</f>
        <v/>
      </c>
      <c r="DL542" t="str">
        <f>""</f>
        <v/>
      </c>
      <c r="DM542" t="str">
        <f>""</f>
        <v/>
      </c>
      <c r="DN542" t="str">
        <f>""</f>
        <v/>
      </c>
      <c r="DO542" t="str">
        <f>""</f>
        <v/>
      </c>
      <c r="DP542" t="str">
        <f>""</f>
        <v/>
      </c>
      <c r="DQ542" t="str">
        <f>""</f>
        <v/>
      </c>
      <c r="DR542" t="str">
        <f>""</f>
        <v/>
      </c>
      <c r="DS542" t="str">
        <f>""</f>
        <v/>
      </c>
      <c r="DT542" t="str">
        <f>""</f>
        <v/>
      </c>
      <c r="DU542" t="str">
        <f>""</f>
        <v/>
      </c>
    </row>
    <row r="543" spans="1:125">
      <c r="A543" t="str">
        <f>$A$87</f>
        <v xml:space="preserve">    DDR Corp</v>
      </c>
      <c r="B543" t="str">
        <f>$B$87</f>
        <v>DDR US Equity</v>
      </c>
      <c r="C543" t="str">
        <f>$C$87</f>
        <v>RR009</v>
      </c>
      <c r="D543" t="str">
        <f>$D$87</f>
        <v>EBITDA</v>
      </c>
      <c r="E543" t="str">
        <f>$E$87</f>
        <v>动态</v>
      </c>
      <c r="F543" t="str">
        <f ca="1">BDH($B$87,$C$87,$B$417,$B$418,CONCATENATE("Per=",$B$415),"Dts=H","Dir=H",CONCATENATE("Points=",$B$416),"Sort=R","Days=A","Fill=B",CONCATENATE("FX=", $B$414) )</f>
        <v>#N/A Authorization</v>
      </c>
      <c r="BN543" t="str">
        <f>""</f>
        <v/>
      </c>
      <c r="BO543" t="str">
        <f>""</f>
        <v/>
      </c>
      <c r="BP543" t="str">
        <f>""</f>
        <v/>
      </c>
      <c r="BQ543" t="str">
        <f>""</f>
        <v/>
      </c>
      <c r="BR543" t="str">
        <f>""</f>
        <v/>
      </c>
      <c r="BS543" t="str">
        <f>""</f>
        <v/>
      </c>
      <c r="BT543" t="str">
        <f>""</f>
        <v/>
      </c>
      <c r="BU543" t="str">
        <f>""</f>
        <v/>
      </c>
      <c r="BV543" t="str">
        <f>""</f>
        <v/>
      </c>
      <c r="BW543" t="str">
        <f>""</f>
        <v/>
      </c>
      <c r="BX543" t="str">
        <f>""</f>
        <v/>
      </c>
      <c r="BY543" t="str">
        <f>""</f>
        <v/>
      </c>
      <c r="BZ543" t="str">
        <f>""</f>
        <v/>
      </c>
      <c r="CA543" t="str">
        <f>""</f>
        <v/>
      </c>
      <c r="CB543" t="str">
        <f>""</f>
        <v/>
      </c>
      <c r="CC543" t="str">
        <f>""</f>
        <v/>
      </c>
      <c r="CD543" t="str">
        <f>""</f>
        <v/>
      </c>
      <c r="CE543" t="str">
        <f>""</f>
        <v/>
      </c>
      <c r="CF543" t="str">
        <f>""</f>
        <v/>
      </c>
      <c r="CG543" t="str">
        <f>""</f>
        <v/>
      </c>
      <c r="CH543" t="str">
        <f>""</f>
        <v/>
      </c>
      <c r="CI543" t="str">
        <f>""</f>
        <v/>
      </c>
      <c r="CJ543" t="str">
        <f>""</f>
        <v/>
      </c>
      <c r="CK543" t="str">
        <f>""</f>
        <v/>
      </c>
      <c r="CL543" t="str">
        <f>""</f>
        <v/>
      </c>
      <c r="CM543" t="str">
        <f>""</f>
        <v/>
      </c>
      <c r="CN543" t="str">
        <f>""</f>
        <v/>
      </c>
      <c r="CO543" t="str">
        <f>""</f>
        <v/>
      </c>
      <c r="CP543" t="str">
        <f>""</f>
        <v/>
      </c>
      <c r="CQ543" t="str">
        <f>""</f>
        <v/>
      </c>
      <c r="CR543" t="str">
        <f>""</f>
        <v/>
      </c>
      <c r="CS543" t="str">
        <f>""</f>
        <v/>
      </c>
      <c r="CT543" t="str">
        <f>""</f>
        <v/>
      </c>
      <c r="CU543" t="str">
        <f>""</f>
        <v/>
      </c>
      <c r="CV543" t="str">
        <f>""</f>
        <v/>
      </c>
      <c r="CW543" t="str">
        <f>""</f>
        <v/>
      </c>
      <c r="CX543" t="str">
        <f>""</f>
        <v/>
      </c>
      <c r="CY543" t="str">
        <f>""</f>
        <v/>
      </c>
      <c r="CZ543" t="str">
        <f>""</f>
        <v/>
      </c>
      <c r="DA543" t="str">
        <f>""</f>
        <v/>
      </c>
      <c r="DB543" t="str">
        <f>""</f>
        <v/>
      </c>
      <c r="DC543" t="str">
        <f>""</f>
        <v/>
      </c>
      <c r="DD543" t="str">
        <f>""</f>
        <v/>
      </c>
      <c r="DE543" t="str">
        <f>""</f>
        <v/>
      </c>
      <c r="DF543" t="str">
        <f>""</f>
        <v/>
      </c>
      <c r="DG543" t="str">
        <f>""</f>
        <v/>
      </c>
      <c r="DH543" t="str">
        <f>""</f>
        <v/>
      </c>
      <c r="DI543" t="str">
        <f>""</f>
        <v/>
      </c>
      <c r="DJ543" t="str">
        <f>""</f>
        <v/>
      </c>
      <c r="DK543" t="str">
        <f>""</f>
        <v/>
      </c>
      <c r="DL543" t="str">
        <f>""</f>
        <v/>
      </c>
      <c r="DM543" t="str">
        <f>""</f>
        <v/>
      </c>
      <c r="DN543" t="str">
        <f>""</f>
        <v/>
      </c>
      <c r="DO543" t="str">
        <f>""</f>
        <v/>
      </c>
      <c r="DP543" t="str">
        <f>""</f>
        <v/>
      </c>
      <c r="DQ543" t="str">
        <f>""</f>
        <v/>
      </c>
      <c r="DR543" t="str">
        <f>""</f>
        <v/>
      </c>
      <c r="DS543" t="str">
        <f>""</f>
        <v/>
      </c>
      <c r="DT543" t="str">
        <f>""</f>
        <v/>
      </c>
      <c r="DU543" t="str">
        <f>""</f>
        <v/>
      </c>
    </row>
    <row r="544" spans="1:125">
      <c r="A544" t="str">
        <f>$A$88</f>
        <v xml:space="preserve">    Federal Realty Investment Trus</v>
      </c>
      <c r="B544" t="str">
        <f>$B$88</f>
        <v>FRT US Equity</v>
      </c>
      <c r="C544" t="str">
        <f>$C$88</f>
        <v>RR009</v>
      </c>
      <c r="D544" t="str">
        <f>$D$88</f>
        <v>EBITDA</v>
      </c>
      <c r="E544" t="str">
        <f>$E$88</f>
        <v>动态</v>
      </c>
      <c r="F544" t="str">
        <f ca="1">BDH($B$88,$C$88,$B$417,$B$418,CONCATENATE("Per=",$B$415),"Dts=H","Dir=H",CONCATENATE("Points=",$B$416),"Sort=R","Days=A","Fill=B",CONCATENATE("FX=", $B$414) )</f>
        <v>#N/A Authorization</v>
      </c>
      <c r="BN544" t="str">
        <f>""</f>
        <v/>
      </c>
      <c r="BO544" t="str">
        <f>""</f>
        <v/>
      </c>
      <c r="BP544" t="str">
        <f>""</f>
        <v/>
      </c>
      <c r="BQ544" t="str">
        <f>""</f>
        <v/>
      </c>
      <c r="BR544" t="str">
        <f>""</f>
        <v/>
      </c>
      <c r="BS544" t="str">
        <f>""</f>
        <v/>
      </c>
      <c r="BT544" t="str">
        <f>""</f>
        <v/>
      </c>
      <c r="BU544" t="str">
        <f>""</f>
        <v/>
      </c>
      <c r="BV544" t="str">
        <f>""</f>
        <v/>
      </c>
      <c r="BW544" t="str">
        <f>""</f>
        <v/>
      </c>
      <c r="BX544" t="str">
        <f>""</f>
        <v/>
      </c>
      <c r="BY544" t="str">
        <f>""</f>
        <v/>
      </c>
      <c r="BZ544" t="str">
        <f>""</f>
        <v/>
      </c>
      <c r="CA544" t="str">
        <f>""</f>
        <v/>
      </c>
      <c r="CB544" t="str">
        <f>""</f>
        <v/>
      </c>
      <c r="CC544" t="str">
        <f>""</f>
        <v/>
      </c>
      <c r="CD544" t="str">
        <f>""</f>
        <v/>
      </c>
      <c r="CE544" t="str">
        <f>""</f>
        <v/>
      </c>
      <c r="CF544" t="str">
        <f>""</f>
        <v/>
      </c>
      <c r="CG544" t="str">
        <f>""</f>
        <v/>
      </c>
      <c r="CH544" t="str">
        <f>""</f>
        <v/>
      </c>
      <c r="CI544" t="str">
        <f>""</f>
        <v/>
      </c>
      <c r="CJ544" t="str">
        <f>""</f>
        <v/>
      </c>
      <c r="CK544" t="str">
        <f>""</f>
        <v/>
      </c>
      <c r="CL544" t="str">
        <f>""</f>
        <v/>
      </c>
      <c r="CM544" t="str">
        <f>""</f>
        <v/>
      </c>
      <c r="CN544" t="str">
        <f>""</f>
        <v/>
      </c>
      <c r="CO544" t="str">
        <f>""</f>
        <v/>
      </c>
      <c r="CP544" t="str">
        <f>""</f>
        <v/>
      </c>
      <c r="CQ544" t="str">
        <f>""</f>
        <v/>
      </c>
      <c r="CR544" t="str">
        <f>""</f>
        <v/>
      </c>
      <c r="CS544" t="str">
        <f>""</f>
        <v/>
      </c>
      <c r="CT544" t="str">
        <f>""</f>
        <v/>
      </c>
      <c r="CU544" t="str">
        <f>""</f>
        <v/>
      </c>
      <c r="CV544" t="str">
        <f>""</f>
        <v/>
      </c>
      <c r="CW544" t="str">
        <f>""</f>
        <v/>
      </c>
      <c r="CX544" t="str">
        <f>""</f>
        <v/>
      </c>
      <c r="CY544" t="str">
        <f>""</f>
        <v/>
      </c>
      <c r="CZ544" t="str">
        <f>""</f>
        <v/>
      </c>
      <c r="DA544" t="str">
        <f>""</f>
        <v/>
      </c>
      <c r="DB544" t="str">
        <f>""</f>
        <v/>
      </c>
      <c r="DC544" t="str">
        <f>""</f>
        <v/>
      </c>
      <c r="DD544" t="str">
        <f>""</f>
        <v/>
      </c>
      <c r="DE544" t="str">
        <f>""</f>
        <v/>
      </c>
      <c r="DF544" t="str">
        <f>""</f>
        <v/>
      </c>
      <c r="DG544" t="str">
        <f>""</f>
        <v/>
      </c>
      <c r="DH544" t="str">
        <f>""</f>
        <v/>
      </c>
      <c r="DI544" t="str">
        <f>""</f>
        <v/>
      </c>
      <c r="DJ544" t="str">
        <f>""</f>
        <v/>
      </c>
      <c r="DK544" t="str">
        <f>""</f>
        <v/>
      </c>
      <c r="DL544" t="str">
        <f>""</f>
        <v/>
      </c>
      <c r="DM544" t="str">
        <f>""</f>
        <v/>
      </c>
      <c r="DN544" t="str">
        <f>""</f>
        <v/>
      </c>
      <c r="DO544" t="str">
        <f>""</f>
        <v/>
      </c>
      <c r="DP544" t="str">
        <f>""</f>
        <v/>
      </c>
      <c r="DQ544" t="str">
        <f>""</f>
        <v/>
      </c>
      <c r="DR544" t="str">
        <f>""</f>
        <v/>
      </c>
      <c r="DS544" t="str">
        <f>""</f>
        <v/>
      </c>
      <c r="DT544" t="str">
        <f>""</f>
        <v/>
      </c>
      <c r="DU544" t="str">
        <f>""</f>
        <v/>
      </c>
    </row>
    <row r="545" spans="1:125">
      <c r="A545" t="str">
        <f>$A$89</f>
        <v xml:space="preserve">    Kimco Realty Corp</v>
      </c>
      <c r="B545" t="str">
        <f>$B$89</f>
        <v>KIM US Equity</v>
      </c>
      <c r="C545" t="str">
        <f>$C$89</f>
        <v>RR009</v>
      </c>
      <c r="D545" t="str">
        <f>$D$89</f>
        <v>EBITDA</v>
      </c>
      <c r="E545" t="str">
        <f>$E$89</f>
        <v>动态</v>
      </c>
      <c r="F545" t="str">
        <f ca="1">BDH($B$89,$C$89,$B$417,$B$418,CONCATENATE("Per=",$B$415),"Dts=H","Dir=H",CONCATENATE("Points=",$B$416),"Sort=R","Days=A","Fill=B",CONCATENATE("FX=", $B$414) )</f>
        <v>#N/A Authorization</v>
      </c>
      <c r="BN545" t="str">
        <f>""</f>
        <v/>
      </c>
      <c r="BO545" t="str">
        <f>""</f>
        <v/>
      </c>
      <c r="BP545" t="str">
        <f>""</f>
        <v/>
      </c>
      <c r="BQ545" t="str">
        <f>""</f>
        <v/>
      </c>
      <c r="BR545" t="str">
        <f>""</f>
        <v/>
      </c>
      <c r="BS545" t="str">
        <f>""</f>
        <v/>
      </c>
      <c r="BT545" t="str">
        <f>""</f>
        <v/>
      </c>
      <c r="BU545" t="str">
        <f>""</f>
        <v/>
      </c>
      <c r="BV545" t="str">
        <f>""</f>
        <v/>
      </c>
      <c r="BW545" t="str">
        <f>""</f>
        <v/>
      </c>
      <c r="BX545" t="str">
        <f>""</f>
        <v/>
      </c>
      <c r="BY545" t="str">
        <f>""</f>
        <v/>
      </c>
      <c r="BZ545" t="str">
        <f>""</f>
        <v/>
      </c>
      <c r="CA545" t="str">
        <f>""</f>
        <v/>
      </c>
      <c r="CB545" t="str">
        <f>""</f>
        <v/>
      </c>
      <c r="CC545" t="str">
        <f>""</f>
        <v/>
      </c>
      <c r="CD545" t="str">
        <f>""</f>
        <v/>
      </c>
      <c r="CE545" t="str">
        <f>""</f>
        <v/>
      </c>
      <c r="CF545" t="str">
        <f>""</f>
        <v/>
      </c>
      <c r="CG545" t="str">
        <f>""</f>
        <v/>
      </c>
      <c r="CH545" t="str">
        <f>""</f>
        <v/>
      </c>
      <c r="CI545" t="str">
        <f>""</f>
        <v/>
      </c>
      <c r="CJ545" t="str">
        <f>""</f>
        <v/>
      </c>
      <c r="CK545" t="str">
        <f>""</f>
        <v/>
      </c>
      <c r="CL545" t="str">
        <f>""</f>
        <v/>
      </c>
      <c r="CM545" t="str">
        <f>""</f>
        <v/>
      </c>
      <c r="CN545" t="str">
        <f>""</f>
        <v/>
      </c>
      <c r="CO545" t="str">
        <f>""</f>
        <v/>
      </c>
      <c r="CP545" t="str">
        <f>""</f>
        <v/>
      </c>
      <c r="CQ545" t="str">
        <f>""</f>
        <v/>
      </c>
      <c r="CR545" t="str">
        <f>""</f>
        <v/>
      </c>
      <c r="CS545" t="str">
        <f>""</f>
        <v/>
      </c>
      <c r="CT545" t="str">
        <f>""</f>
        <v/>
      </c>
      <c r="CU545" t="str">
        <f>""</f>
        <v/>
      </c>
      <c r="CV545" t="str">
        <f>""</f>
        <v/>
      </c>
      <c r="CW545" t="str">
        <f>""</f>
        <v/>
      </c>
      <c r="CX545" t="str">
        <f>""</f>
        <v/>
      </c>
      <c r="CY545" t="str">
        <f>""</f>
        <v/>
      </c>
      <c r="CZ545" t="str">
        <f>""</f>
        <v/>
      </c>
      <c r="DA545" t="str">
        <f>""</f>
        <v/>
      </c>
      <c r="DB545" t="str">
        <f>""</f>
        <v/>
      </c>
      <c r="DC545" t="str">
        <f>""</f>
        <v/>
      </c>
      <c r="DD545" t="str">
        <f>""</f>
        <v/>
      </c>
      <c r="DE545" t="str">
        <f>""</f>
        <v/>
      </c>
      <c r="DF545" t="str">
        <f>""</f>
        <v/>
      </c>
      <c r="DG545" t="str">
        <f>""</f>
        <v/>
      </c>
      <c r="DH545" t="str">
        <f>""</f>
        <v/>
      </c>
      <c r="DI545" t="str">
        <f>""</f>
        <v/>
      </c>
      <c r="DJ545" t="str">
        <f>""</f>
        <v/>
      </c>
      <c r="DK545" t="str">
        <f>""</f>
        <v/>
      </c>
      <c r="DL545" t="str">
        <f>""</f>
        <v/>
      </c>
      <c r="DM545" t="str">
        <f>""</f>
        <v/>
      </c>
      <c r="DN545" t="str">
        <f>""</f>
        <v/>
      </c>
      <c r="DO545" t="str">
        <f>""</f>
        <v/>
      </c>
      <c r="DP545" t="str">
        <f>""</f>
        <v/>
      </c>
      <c r="DQ545" t="str">
        <f>""</f>
        <v/>
      </c>
      <c r="DR545" t="str">
        <f>""</f>
        <v/>
      </c>
      <c r="DS545" t="str">
        <f>""</f>
        <v/>
      </c>
      <c r="DT545" t="str">
        <f>""</f>
        <v/>
      </c>
      <c r="DU545" t="str">
        <f>""</f>
        <v/>
      </c>
    </row>
    <row r="546" spans="1:125">
      <c r="A546" t="str">
        <f>$A$90</f>
        <v xml:space="preserve">    National Retail Properties Inc</v>
      </c>
      <c r="B546" t="str">
        <f>$B$90</f>
        <v>NNN US Equity</v>
      </c>
      <c r="C546" t="str">
        <f>$C$90</f>
        <v>RR009</v>
      </c>
      <c r="D546" t="str">
        <f>$D$90</f>
        <v>EBITDA</v>
      </c>
      <c r="E546" t="str">
        <f>$E$90</f>
        <v>动态</v>
      </c>
      <c r="F546" t="str">
        <f ca="1">BDH($B$90,$C$90,$B$417,$B$418,CONCATENATE("Per=",$B$415),"Dts=H","Dir=H",CONCATENATE("Points=",$B$416),"Sort=R","Days=A","Fill=B",CONCATENATE("FX=", $B$414) )</f>
        <v>#N/A Authorization</v>
      </c>
      <c r="BN546" t="str">
        <f>""</f>
        <v/>
      </c>
      <c r="BO546" t="str">
        <f>""</f>
        <v/>
      </c>
      <c r="BP546" t="str">
        <f>""</f>
        <v/>
      </c>
      <c r="BQ546" t="str">
        <f>""</f>
        <v/>
      </c>
      <c r="BR546" t="str">
        <f>""</f>
        <v/>
      </c>
      <c r="BS546" t="str">
        <f>""</f>
        <v/>
      </c>
      <c r="BT546" t="str">
        <f>""</f>
        <v/>
      </c>
      <c r="BU546" t="str">
        <f>""</f>
        <v/>
      </c>
      <c r="BV546" t="str">
        <f>""</f>
        <v/>
      </c>
      <c r="BW546" t="str">
        <f>""</f>
        <v/>
      </c>
      <c r="BX546" t="str">
        <f>""</f>
        <v/>
      </c>
      <c r="BY546" t="str">
        <f>""</f>
        <v/>
      </c>
      <c r="BZ546" t="str">
        <f>""</f>
        <v/>
      </c>
      <c r="CA546" t="str">
        <f>""</f>
        <v/>
      </c>
      <c r="CB546" t="str">
        <f>""</f>
        <v/>
      </c>
      <c r="CC546" t="str">
        <f>""</f>
        <v/>
      </c>
      <c r="CD546" t="str">
        <f>""</f>
        <v/>
      </c>
      <c r="CE546" t="str">
        <f>""</f>
        <v/>
      </c>
      <c r="CF546" t="str">
        <f>""</f>
        <v/>
      </c>
      <c r="CG546" t="str">
        <f>""</f>
        <v/>
      </c>
      <c r="CH546" t="str">
        <f>""</f>
        <v/>
      </c>
      <c r="CI546" t="str">
        <f>""</f>
        <v/>
      </c>
      <c r="CJ546" t="str">
        <f>""</f>
        <v/>
      </c>
      <c r="CK546" t="str">
        <f>""</f>
        <v/>
      </c>
      <c r="CL546" t="str">
        <f>""</f>
        <v/>
      </c>
      <c r="CM546" t="str">
        <f>""</f>
        <v/>
      </c>
      <c r="CN546" t="str">
        <f>""</f>
        <v/>
      </c>
      <c r="CO546" t="str">
        <f>""</f>
        <v/>
      </c>
      <c r="CP546" t="str">
        <f>""</f>
        <v/>
      </c>
      <c r="CQ546" t="str">
        <f>""</f>
        <v/>
      </c>
      <c r="CR546" t="str">
        <f>""</f>
        <v/>
      </c>
      <c r="CS546" t="str">
        <f>""</f>
        <v/>
      </c>
      <c r="CT546" t="str">
        <f>""</f>
        <v/>
      </c>
      <c r="CU546" t="str">
        <f>""</f>
        <v/>
      </c>
      <c r="CV546" t="str">
        <f>""</f>
        <v/>
      </c>
      <c r="CW546" t="str">
        <f>""</f>
        <v/>
      </c>
      <c r="CX546" t="str">
        <f>""</f>
        <v/>
      </c>
      <c r="CY546" t="str">
        <f>""</f>
        <v/>
      </c>
      <c r="CZ546" t="str">
        <f>""</f>
        <v/>
      </c>
      <c r="DA546" t="str">
        <f>""</f>
        <v/>
      </c>
      <c r="DB546" t="str">
        <f>""</f>
        <v/>
      </c>
      <c r="DC546" t="str">
        <f>""</f>
        <v/>
      </c>
      <c r="DD546" t="str">
        <f>""</f>
        <v/>
      </c>
      <c r="DE546" t="str">
        <f>""</f>
        <v/>
      </c>
      <c r="DF546" t="str">
        <f>""</f>
        <v/>
      </c>
      <c r="DG546" t="str">
        <f>""</f>
        <v/>
      </c>
      <c r="DH546" t="str">
        <f>""</f>
        <v/>
      </c>
      <c r="DI546" t="str">
        <f>""</f>
        <v/>
      </c>
      <c r="DJ546" t="str">
        <f>""</f>
        <v/>
      </c>
      <c r="DK546" t="str">
        <f>""</f>
        <v/>
      </c>
      <c r="DL546" t="str">
        <f>""</f>
        <v/>
      </c>
      <c r="DM546" t="str">
        <f>""</f>
        <v/>
      </c>
      <c r="DN546" t="str">
        <f>""</f>
        <v/>
      </c>
      <c r="DO546" t="str">
        <f>""</f>
        <v/>
      </c>
      <c r="DP546" t="str">
        <f>""</f>
        <v/>
      </c>
      <c r="DQ546" t="str">
        <f>""</f>
        <v/>
      </c>
      <c r="DR546" t="str">
        <f>""</f>
        <v/>
      </c>
      <c r="DS546" t="str">
        <f>""</f>
        <v/>
      </c>
      <c r="DT546" t="str">
        <f>""</f>
        <v/>
      </c>
      <c r="DU546" t="str">
        <f>""</f>
        <v/>
      </c>
    </row>
    <row r="547" spans="1:125">
      <c r="A547" t="str">
        <f>$A$91</f>
        <v xml:space="preserve">    Realty Income Corp</v>
      </c>
      <c r="B547" t="str">
        <f>$B$91</f>
        <v>O US Equity</v>
      </c>
      <c r="C547" t="str">
        <f>$C$91</f>
        <v>RR009</v>
      </c>
      <c r="D547" t="str">
        <f>$D$91</f>
        <v>EBITDA</v>
      </c>
      <c r="E547" t="str">
        <f>$E$91</f>
        <v>动态</v>
      </c>
      <c r="F547" t="str">
        <f ca="1">BDH($B$91,$C$91,$B$417,$B$418,CONCATENATE("Per=",$B$415),"Dts=H","Dir=H",CONCATENATE("Points=",$B$416),"Sort=R","Days=A","Fill=B",CONCATENATE("FX=", $B$414) )</f>
        <v>#N/A Authorization</v>
      </c>
      <c r="BN547" t="str">
        <f>""</f>
        <v/>
      </c>
      <c r="BO547" t="str">
        <f>""</f>
        <v/>
      </c>
      <c r="BP547" t="str">
        <f>""</f>
        <v/>
      </c>
      <c r="BQ547" t="str">
        <f>""</f>
        <v/>
      </c>
      <c r="BR547" t="str">
        <f>""</f>
        <v/>
      </c>
      <c r="BS547" t="str">
        <f>""</f>
        <v/>
      </c>
      <c r="BT547" t="str">
        <f>""</f>
        <v/>
      </c>
      <c r="BU547" t="str">
        <f>""</f>
        <v/>
      </c>
      <c r="BV547" t="str">
        <f>""</f>
        <v/>
      </c>
      <c r="BW547" t="str">
        <f>""</f>
        <v/>
      </c>
      <c r="BX547" t="str">
        <f>""</f>
        <v/>
      </c>
      <c r="BY547" t="str">
        <f>""</f>
        <v/>
      </c>
      <c r="BZ547" t="str">
        <f>""</f>
        <v/>
      </c>
      <c r="CA547" t="str">
        <f>""</f>
        <v/>
      </c>
      <c r="CB547" t="str">
        <f>""</f>
        <v/>
      </c>
      <c r="CC547" t="str">
        <f>""</f>
        <v/>
      </c>
      <c r="CD547" t="str">
        <f>""</f>
        <v/>
      </c>
      <c r="CE547" t="str">
        <f>""</f>
        <v/>
      </c>
      <c r="CF547" t="str">
        <f>""</f>
        <v/>
      </c>
      <c r="CG547" t="str">
        <f>""</f>
        <v/>
      </c>
      <c r="CH547" t="str">
        <f>""</f>
        <v/>
      </c>
      <c r="CI547" t="str">
        <f>""</f>
        <v/>
      </c>
      <c r="CJ547" t="str">
        <f>""</f>
        <v/>
      </c>
      <c r="CK547" t="str">
        <f>""</f>
        <v/>
      </c>
      <c r="CL547" t="str">
        <f>""</f>
        <v/>
      </c>
      <c r="CM547" t="str">
        <f>""</f>
        <v/>
      </c>
      <c r="CN547" t="str">
        <f>""</f>
        <v/>
      </c>
      <c r="CO547" t="str">
        <f>""</f>
        <v/>
      </c>
      <c r="CP547" t="str">
        <f>""</f>
        <v/>
      </c>
      <c r="CQ547" t="str">
        <f>""</f>
        <v/>
      </c>
      <c r="CR547" t="str">
        <f>""</f>
        <v/>
      </c>
      <c r="CS547" t="str">
        <f>""</f>
        <v/>
      </c>
      <c r="CT547" t="str">
        <f>""</f>
        <v/>
      </c>
      <c r="CU547" t="str">
        <f>""</f>
        <v/>
      </c>
      <c r="CV547" t="str">
        <f>""</f>
        <v/>
      </c>
      <c r="CW547" t="str">
        <f>""</f>
        <v/>
      </c>
      <c r="CX547" t="str">
        <f>""</f>
        <v/>
      </c>
      <c r="CY547" t="str">
        <f>""</f>
        <v/>
      </c>
      <c r="CZ547" t="str">
        <f>""</f>
        <v/>
      </c>
      <c r="DA547" t="str">
        <f>""</f>
        <v/>
      </c>
      <c r="DB547" t="str">
        <f>""</f>
        <v/>
      </c>
      <c r="DC547" t="str">
        <f>""</f>
        <v/>
      </c>
      <c r="DD547" t="str">
        <f>""</f>
        <v/>
      </c>
      <c r="DE547" t="str">
        <f>""</f>
        <v/>
      </c>
      <c r="DF547" t="str">
        <f>""</f>
        <v/>
      </c>
      <c r="DG547" t="str">
        <f>""</f>
        <v/>
      </c>
      <c r="DH547" t="str">
        <f>""</f>
        <v/>
      </c>
      <c r="DI547" t="str">
        <f>""</f>
        <v/>
      </c>
      <c r="DJ547" t="str">
        <f>""</f>
        <v/>
      </c>
      <c r="DK547" t="str">
        <f>""</f>
        <v/>
      </c>
      <c r="DL547" t="str">
        <f>""</f>
        <v/>
      </c>
      <c r="DM547" t="str">
        <f>""</f>
        <v/>
      </c>
      <c r="DN547" t="str">
        <f>""</f>
        <v/>
      </c>
      <c r="DO547" t="str">
        <f>""</f>
        <v/>
      </c>
      <c r="DP547" t="str">
        <f>""</f>
        <v/>
      </c>
      <c r="DQ547" t="str">
        <f>""</f>
        <v/>
      </c>
      <c r="DR547" t="str">
        <f>""</f>
        <v/>
      </c>
      <c r="DS547" t="str">
        <f>""</f>
        <v/>
      </c>
      <c r="DT547" t="str">
        <f>""</f>
        <v/>
      </c>
      <c r="DU547" t="str">
        <f>""</f>
        <v/>
      </c>
    </row>
    <row r="548" spans="1:125">
      <c r="A548" t="str">
        <f>$A$92</f>
        <v xml:space="preserve">    Regency Centers Corp</v>
      </c>
      <c r="B548" t="str">
        <f>$B$92</f>
        <v>REG US Equity</v>
      </c>
      <c r="C548" t="str">
        <f>$C$92</f>
        <v>RR009</v>
      </c>
      <c r="D548" t="str">
        <f>$D$92</f>
        <v>EBITDA</v>
      </c>
      <c r="E548" t="str">
        <f>$E$92</f>
        <v>动态</v>
      </c>
      <c r="F548" t="str">
        <f ca="1">BDH($B$92,$C$92,$B$417,$B$418,CONCATENATE("Per=",$B$415),"Dts=H","Dir=H",CONCATENATE("Points=",$B$416),"Sort=R","Days=A","Fill=B",CONCATENATE("FX=", $B$414) )</f>
        <v>#N/A Authorization</v>
      </c>
      <c r="BN548" t="str">
        <f>""</f>
        <v/>
      </c>
      <c r="BO548" t="str">
        <f>""</f>
        <v/>
      </c>
      <c r="BP548" t="str">
        <f>""</f>
        <v/>
      </c>
      <c r="BQ548" t="str">
        <f>""</f>
        <v/>
      </c>
      <c r="BR548" t="str">
        <f>""</f>
        <v/>
      </c>
      <c r="BS548" t="str">
        <f>""</f>
        <v/>
      </c>
      <c r="BT548" t="str">
        <f>""</f>
        <v/>
      </c>
      <c r="BU548" t="str">
        <f>""</f>
        <v/>
      </c>
      <c r="BV548" t="str">
        <f>""</f>
        <v/>
      </c>
      <c r="BW548" t="str">
        <f>""</f>
        <v/>
      </c>
      <c r="BX548" t="str">
        <f>""</f>
        <v/>
      </c>
      <c r="BY548" t="str">
        <f>""</f>
        <v/>
      </c>
      <c r="BZ548" t="str">
        <f>""</f>
        <v/>
      </c>
      <c r="CA548" t="str">
        <f>""</f>
        <v/>
      </c>
      <c r="CB548" t="str">
        <f>""</f>
        <v/>
      </c>
      <c r="CC548" t="str">
        <f>""</f>
        <v/>
      </c>
      <c r="CD548" t="str">
        <f>""</f>
        <v/>
      </c>
      <c r="CE548" t="str">
        <f>""</f>
        <v/>
      </c>
      <c r="CF548" t="str">
        <f>""</f>
        <v/>
      </c>
      <c r="CG548" t="str">
        <f>""</f>
        <v/>
      </c>
      <c r="CH548" t="str">
        <f>""</f>
        <v/>
      </c>
      <c r="CI548" t="str">
        <f>""</f>
        <v/>
      </c>
      <c r="CJ548" t="str">
        <f>""</f>
        <v/>
      </c>
      <c r="CK548" t="str">
        <f>""</f>
        <v/>
      </c>
      <c r="CL548" t="str">
        <f>""</f>
        <v/>
      </c>
      <c r="CM548" t="str">
        <f>""</f>
        <v/>
      </c>
      <c r="CN548" t="str">
        <f>""</f>
        <v/>
      </c>
      <c r="CO548" t="str">
        <f>""</f>
        <v/>
      </c>
      <c r="CP548" t="str">
        <f>""</f>
        <v/>
      </c>
      <c r="CQ548" t="str">
        <f>""</f>
        <v/>
      </c>
      <c r="CR548" t="str">
        <f>""</f>
        <v/>
      </c>
      <c r="CS548" t="str">
        <f>""</f>
        <v/>
      </c>
      <c r="CT548" t="str">
        <f>""</f>
        <v/>
      </c>
      <c r="CU548" t="str">
        <f>""</f>
        <v/>
      </c>
      <c r="CV548" t="str">
        <f>""</f>
        <v/>
      </c>
      <c r="CW548" t="str">
        <f>""</f>
        <v/>
      </c>
      <c r="CX548" t="str">
        <f>""</f>
        <v/>
      </c>
      <c r="CY548" t="str">
        <f>""</f>
        <v/>
      </c>
      <c r="CZ548" t="str">
        <f>""</f>
        <v/>
      </c>
      <c r="DA548" t="str">
        <f>""</f>
        <v/>
      </c>
      <c r="DB548" t="str">
        <f>""</f>
        <v/>
      </c>
      <c r="DC548" t="str">
        <f>""</f>
        <v/>
      </c>
      <c r="DD548" t="str">
        <f>""</f>
        <v/>
      </c>
      <c r="DE548" t="str">
        <f>""</f>
        <v/>
      </c>
      <c r="DF548" t="str">
        <f>""</f>
        <v/>
      </c>
      <c r="DG548" t="str">
        <f>""</f>
        <v/>
      </c>
      <c r="DH548" t="str">
        <f>""</f>
        <v/>
      </c>
      <c r="DI548" t="str">
        <f>""</f>
        <v/>
      </c>
      <c r="DJ548" t="str">
        <f>""</f>
        <v/>
      </c>
      <c r="DK548" t="str">
        <f>""</f>
        <v/>
      </c>
      <c r="DL548" t="str">
        <f>""</f>
        <v/>
      </c>
      <c r="DM548" t="str">
        <f>""</f>
        <v/>
      </c>
      <c r="DN548" t="str">
        <f>""</f>
        <v/>
      </c>
      <c r="DO548" t="str">
        <f>""</f>
        <v/>
      </c>
      <c r="DP548" t="str">
        <f>""</f>
        <v/>
      </c>
      <c r="DQ548" t="str">
        <f>""</f>
        <v/>
      </c>
      <c r="DR548" t="str">
        <f>""</f>
        <v/>
      </c>
      <c r="DS548" t="str">
        <f>""</f>
        <v/>
      </c>
      <c r="DT548" t="str">
        <f>""</f>
        <v/>
      </c>
      <c r="DU548" t="str">
        <f>""</f>
        <v/>
      </c>
    </row>
    <row r="549" spans="1:125">
      <c r="A549" t="str">
        <f>$A$93</f>
        <v xml:space="preserve">    Retail Opportunity Investments</v>
      </c>
      <c r="B549" t="str">
        <f>$B$93</f>
        <v>ROIC US Equity</v>
      </c>
      <c r="C549" t="str">
        <f>$C$93</f>
        <v>RR009</v>
      </c>
      <c r="D549" t="str">
        <f>$D$93</f>
        <v>EBITDA</v>
      </c>
      <c r="E549" t="str">
        <f>$E$93</f>
        <v>动态</v>
      </c>
      <c r="F549" t="str">
        <f ca="1">BDH($B$93,$C$93,$B$417,$B$418,CONCATENATE("Per=",$B$415),"Dts=H","Dir=H",CONCATENATE("Points=",$B$416),"Sort=R","Days=A","Fill=B",CONCATENATE("FX=", $B$414) )</f>
        <v>#N/A Authorization</v>
      </c>
      <c r="BN549" t="str">
        <f>""</f>
        <v/>
      </c>
      <c r="BO549" t="str">
        <f>""</f>
        <v/>
      </c>
      <c r="BP549" t="str">
        <f>""</f>
        <v/>
      </c>
      <c r="BQ549" t="str">
        <f>""</f>
        <v/>
      </c>
      <c r="BR549" t="str">
        <f>""</f>
        <v/>
      </c>
      <c r="BS549" t="str">
        <f>""</f>
        <v/>
      </c>
      <c r="BT549" t="str">
        <f>""</f>
        <v/>
      </c>
      <c r="BU549" t="str">
        <f>""</f>
        <v/>
      </c>
      <c r="BV549" t="str">
        <f>""</f>
        <v/>
      </c>
      <c r="BW549" t="str">
        <f>""</f>
        <v/>
      </c>
      <c r="BX549" t="str">
        <f>""</f>
        <v/>
      </c>
      <c r="BY549" t="str">
        <f>""</f>
        <v/>
      </c>
      <c r="BZ549" t="str">
        <f>""</f>
        <v/>
      </c>
      <c r="CA549" t="str">
        <f>""</f>
        <v/>
      </c>
      <c r="CB549" t="str">
        <f>""</f>
        <v/>
      </c>
      <c r="CC549" t="str">
        <f>""</f>
        <v/>
      </c>
      <c r="CD549" t="str">
        <f>""</f>
        <v/>
      </c>
      <c r="CE549" t="str">
        <f>""</f>
        <v/>
      </c>
      <c r="CF549" t="str">
        <f>""</f>
        <v/>
      </c>
      <c r="CG549" t="str">
        <f>""</f>
        <v/>
      </c>
      <c r="CH549" t="str">
        <f>""</f>
        <v/>
      </c>
      <c r="CI549" t="str">
        <f>""</f>
        <v/>
      </c>
      <c r="CJ549" t="str">
        <f>""</f>
        <v/>
      </c>
      <c r="CK549" t="str">
        <f>""</f>
        <v/>
      </c>
      <c r="CL549" t="str">
        <f>""</f>
        <v/>
      </c>
      <c r="CM549" t="str">
        <f>""</f>
        <v/>
      </c>
      <c r="CN549" t="str">
        <f>""</f>
        <v/>
      </c>
      <c r="CO549" t="str">
        <f>""</f>
        <v/>
      </c>
      <c r="CP549" t="str">
        <f>""</f>
        <v/>
      </c>
      <c r="CQ549" t="str">
        <f>""</f>
        <v/>
      </c>
      <c r="CR549" t="str">
        <f>""</f>
        <v/>
      </c>
      <c r="CS549" t="str">
        <f>""</f>
        <v/>
      </c>
      <c r="CT549" t="str">
        <f>""</f>
        <v/>
      </c>
      <c r="CU549" t="str">
        <f>""</f>
        <v/>
      </c>
      <c r="CV549" t="str">
        <f>""</f>
        <v/>
      </c>
      <c r="CW549" t="str">
        <f>""</f>
        <v/>
      </c>
      <c r="CX549" t="str">
        <f>""</f>
        <v/>
      </c>
      <c r="CY549" t="str">
        <f>""</f>
        <v/>
      </c>
      <c r="CZ549" t="str">
        <f>""</f>
        <v/>
      </c>
      <c r="DA549" t="str">
        <f>""</f>
        <v/>
      </c>
      <c r="DB549" t="str">
        <f>""</f>
        <v/>
      </c>
      <c r="DC549" t="str">
        <f>""</f>
        <v/>
      </c>
      <c r="DD549" t="str">
        <f>""</f>
        <v/>
      </c>
      <c r="DE549" t="str">
        <f>""</f>
        <v/>
      </c>
      <c r="DF549" t="str">
        <f>""</f>
        <v/>
      </c>
      <c r="DG549" t="str">
        <f>""</f>
        <v/>
      </c>
      <c r="DH549" t="str">
        <f>""</f>
        <v/>
      </c>
      <c r="DI549" t="str">
        <f>""</f>
        <v/>
      </c>
      <c r="DJ549" t="str">
        <f>""</f>
        <v/>
      </c>
      <c r="DK549" t="str">
        <f>""</f>
        <v/>
      </c>
      <c r="DL549" t="str">
        <f>""</f>
        <v/>
      </c>
      <c r="DM549" t="str">
        <f>""</f>
        <v/>
      </c>
      <c r="DN549" t="str">
        <f>""</f>
        <v/>
      </c>
      <c r="DO549" t="str">
        <f>""</f>
        <v/>
      </c>
      <c r="DP549" t="str">
        <f>""</f>
        <v/>
      </c>
      <c r="DQ549" t="str">
        <f>""</f>
        <v/>
      </c>
      <c r="DR549" t="str">
        <f>""</f>
        <v/>
      </c>
      <c r="DS549" t="str">
        <f>""</f>
        <v/>
      </c>
      <c r="DT549" t="str">
        <f>""</f>
        <v/>
      </c>
      <c r="DU549" t="str">
        <f>""</f>
        <v/>
      </c>
    </row>
    <row r="550" spans="1:125">
      <c r="A550" t="str">
        <f>$A$94</f>
        <v xml:space="preserve">    Retail Properties of America I</v>
      </c>
      <c r="B550" t="str">
        <f>$B$94</f>
        <v>RPAI US Equity</v>
      </c>
      <c r="C550" t="str">
        <f>$C$94</f>
        <v>RR009</v>
      </c>
      <c r="D550" t="str">
        <f>$D$94</f>
        <v>EBITDA</v>
      </c>
      <c r="E550" t="str">
        <f>$E$94</f>
        <v>动态</v>
      </c>
      <c r="F550" t="str">
        <f ca="1">BDH($B$94,$C$94,$B$417,$B$418,CONCATENATE("Per=",$B$415),"Dts=H","Dir=H",CONCATENATE("Points=",$B$416),"Sort=R","Days=A","Fill=B",CONCATENATE("FX=", $B$414) )</f>
        <v>#N/A Authorization</v>
      </c>
      <c r="BN550" t="str">
        <f>""</f>
        <v/>
      </c>
      <c r="BO550" t="str">
        <f>""</f>
        <v/>
      </c>
      <c r="BP550" t="str">
        <f>""</f>
        <v/>
      </c>
      <c r="BQ550" t="str">
        <f>""</f>
        <v/>
      </c>
      <c r="BR550" t="str">
        <f>""</f>
        <v/>
      </c>
      <c r="BS550" t="str">
        <f>""</f>
        <v/>
      </c>
      <c r="BT550" t="str">
        <f>""</f>
        <v/>
      </c>
      <c r="BU550" t="str">
        <f>""</f>
        <v/>
      </c>
      <c r="BV550" t="str">
        <f>""</f>
        <v/>
      </c>
      <c r="BW550" t="str">
        <f>""</f>
        <v/>
      </c>
      <c r="BX550" t="str">
        <f>""</f>
        <v/>
      </c>
      <c r="BY550" t="str">
        <f>""</f>
        <v/>
      </c>
      <c r="BZ550" t="str">
        <f>""</f>
        <v/>
      </c>
      <c r="CA550" t="str">
        <f>""</f>
        <v/>
      </c>
      <c r="CB550" t="str">
        <f>""</f>
        <v/>
      </c>
      <c r="CC550" t="str">
        <f>""</f>
        <v/>
      </c>
      <c r="CD550" t="str">
        <f>""</f>
        <v/>
      </c>
      <c r="CE550" t="str">
        <f>""</f>
        <v/>
      </c>
      <c r="CF550" t="str">
        <f>""</f>
        <v/>
      </c>
      <c r="CG550" t="str">
        <f>""</f>
        <v/>
      </c>
      <c r="CH550" t="str">
        <f>""</f>
        <v/>
      </c>
      <c r="CI550" t="str">
        <f>""</f>
        <v/>
      </c>
      <c r="CJ550" t="str">
        <f>""</f>
        <v/>
      </c>
      <c r="CK550" t="str">
        <f>""</f>
        <v/>
      </c>
      <c r="CL550" t="str">
        <f>""</f>
        <v/>
      </c>
      <c r="CM550" t="str">
        <f>""</f>
        <v/>
      </c>
      <c r="CN550" t="str">
        <f>""</f>
        <v/>
      </c>
      <c r="CO550" t="str">
        <f>""</f>
        <v/>
      </c>
      <c r="CP550" t="str">
        <f>""</f>
        <v/>
      </c>
      <c r="CQ550" t="str">
        <f>""</f>
        <v/>
      </c>
      <c r="CR550" t="str">
        <f>""</f>
        <v/>
      </c>
      <c r="CS550" t="str">
        <f>""</f>
        <v/>
      </c>
      <c r="CT550" t="str">
        <f>""</f>
        <v/>
      </c>
      <c r="CU550" t="str">
        <f>""</f>
        <v/>
      </c>
      <c r="CV550" t="str">
        <f>""</f>
        <v/>
      </c>
      <c r="CW550" t="str">
        <f>""</f>
        <v/>
      </c>
      <c r="CX550" t="str">
        <f>""</f>
        <v/>
      </c>
      <c r="CY550" t="str">
        <f>""</f>
        <v/>
      </c>
      <c r="CZ550" t="str">
        <f>""</f>
        <v/>
      </c>
      <c r="DA550" t="str">
        <f>""</f>
        <v/>
      </c>
      <c r="DB550" t="str">
        <f>""</f>
        <v/>
      </c>
      <c r="DC550" t="str">
        <f>""</f>
        <v/>
      </c>
      <c r="DD550" t="str">
        <f>""</f>
        <v/>
      </c>
      <c r="DE550" t="str">
        <f>""</f>
        <v/>
      </c>
      <c r="DF550" t="str">
        <f>""</f>
        <v/>
      </c>
      <c r="DG550" t="str">
        <f>""</f>
        <v/>
      </c>
      <c r="DH550" t="str">
        <f>""</f>
        <v/>
      </c>
      <c r="DI550" t="str">
        <f>""</f>
        <v/>
      </c>
      <c r="DJ550" t="str">
        <f>""</f>
        <v/>
      </c>
      <c r="DK550" t="str">
        <f>""</f>
        <v/>
      </c>
      <c r="DL550" t="str">
        <f>""</f>
        <v/>
      </c>
      <c r="DM550" t="str">
        <f>""</f>
        <v/>
      </c>
      <c r="DN550" t="str">
        <f>""</f>
        <v/>
      </c>
      <c r="DO550" t="str">
        <f>""</f>
        <v/>
      </c>
      <c r="DP550" t="str">
        <f>""</f>
        <v/>
      </c>
      <c r="DQ550" t="str">
        <f>""</f>
        <v/>
      </c>
      <c r="DR550" t="str">
        <f>""</f>
        <v/>
      </c>
      <c r="DS550" t="str">
        <f>""</f>
        <v/>
      </c>
      <c r="DT550" t="str">
        <f>""</f>
        <v/>
      </c>
      <c r="DU550" t="str">
        <f>""</f>
        <v/>
      </c>
    </row>
    <row r="551" spans="1:125">
      <c r="A551" t="str">
        <f>$A$95</f>
        <v xml:space="preserve">    Simon Property Group Inc</v>
      </c>
      <c r="B551" t="str">
        <f>$B$95</f>
        <v>SPG US Equity</v>
      </c>
      <c r="C551" t="str">
        <f>$C$95</f>
        <v>RR009</v>
      </c>
      <c r="D551" t="str">
        <f>$D$95</f>
        <v>EBITDA</v>
      </c>
      <c r="E551" t="str">
        <f>$E$95</f>
        <v>动态</v>
      </c>
      <c r="F551" t="str">
        <f ca="1">BDH($B$95,$C$95,$B$417,$B$418,CONCATENATE("Per=",$B$415),"Dts=H","Dir=H",CONCATENATE("Points=",$B$416),"Sort=R","Days=A","Fill=B",CONCATENATE("FX=", $B$414) )</f>
        <v>#N/A Authorization</v>
      </c>
      <c r="BN551" t="str">
        <f>""</f>
        <v/>
      </c>
      <c r="BO551" t="str">
        <f>""</f>
        <v/>
      </c>
      <c r="BP551" t="str">
        <f>""</f>
        <v/>
      </c>
      <c r="BQ551" t="str">
        <f>""</f>
        <v/>
      </c>
      <c r="BR551" t="str">
        <f>""</f>
        <v/>
      </c>
      <c r="BS551" t="str">
        <f>""</f>
        <v/>
      </c>
      <c r="BT551" t="str">
        <f>""</f>
        <v/>
      </c>
      <c r="BU551" t="str">
        <f>""</f>
        <v/>
      </c>
      <c r="BV551" t="str">
        <f>""</f>
        <v/>
      </c>
      <c r="BW551" t="str">
        <f>""</f>
        <v/>
      </c>
      <c r="BX551" t="str">
        <f>""</f>
        <v/>
      </c>
      <c r="BY551" t="str">
        <f>""</f>
        <v/>
      </c>
      <c r="BZ551" t="str">
        <f>""</f>
        <v/>
      </c>
      <c r="CA551" t="str">
        <f>""</f>
        <v/>
      </c>
      <c r="CB551" t="str">
        <f>""</f>
        <v/>
      </c>
      <c r="CC551" t="str">
        <f>""</f>
        <v/>
      </c>
      <c r="CD551" t="str">
        <f>""</f>
        <v/>
      </c>
      <c r="CE551" t="str">
        <f>""</f>
        <v/>
      </c>
      <c r="CF551" t="str">
        <f>""</f>
        <v/>
      </c>
      <c r="CG551" t="str">
        <f>""</f>
        <v/>
      </c>
      <c r="CH551" t="str">
        <f>""</f>
        <v/>
      </c>
      <c r="CI551" t="str">
        <f>""</f>
        <v/>
      </c>
      <c r="CJ551" t="str">
        <f>""</f>
        <v/>
      </c>
      <c r="CK551" t="str">
        <f>""</f>
        <v/>
      </c>
      <c r="CL551" t="str">
        <f>""</f>
        <v/>
      </c>
      <c r="CM551" t="str">
        <f>""</f>
        <v/>
      </c>
      <c r="CN551" t="str">
        <f>""</f>
        <v/>
      </c>
      <c r="CO551" t="str">
        <f>""</f>
        <v/>
      </c>
      <c r="CP551" t="str">
        <f>""</f>
        <v/>
      </c>
      <c r="CQ551" t="str">
        <f>""</f>
        <v/>
      </c>
      <c r="CR551" t="str">
        <f>""</f>
        <v/>
      </c>
      <c r="CS551" t="str">
        <f>""</f>
        <v/>
      </c>
      <c r="CT551" t="str">
        <f>""</f>
        <v/>
      </c>
      <c r="CU551" t="str">
        <f>""</f>
        <v/>
      </c>
      <c r="CV551" t="str">
        <f>""</f>
        <v/>
      </c>
      <c r="CW551" t="str">
        <f>""</f>
        <v/>
      </c>
      <c r="CX551" t="str">
        <f>""</f>
        <v/>
      </c>
      <c r="CY551" t="str">
        <f>""</f>
        <v/>
      </c>
      <c r="CZ551" t="str">
        <f>""</f>
        <v/>
      </c>
      <c r="DA551" t="str">
        <f>""</f>
        <v/>
      </c>
      <c r="DB551" t="str">
        <f>""</f>
        <v/>
      </c>
      <c r="DC551" t="str">
        <f>""</f>
        <v/>
      </c>
      <c r="DD551" t="str">
        <f>""</f>
        <v/>
      </c>
      <c r="DE551" t="str">
        <f>""</f>
        <v/>
      </c>
      <c r="DF551" t="str">
        <f>""</f>
        <v/>
      </c>
      <c r="DG551" t="str">
        <f>""</f>
        <v/>
      </c>
      <c r="DH551" t="str">
        <f>""</f>
        <v/>
      </c>
      <c r="DI551" t="str">
        <f>""</f>
        <v/>
      </c>
      <c r="DJ551" t="str">
        <f>""</f>
        <v/>
      </c>
      <c r="DK551" t="str">
        <f>""</f>
        <v/>
      </c>
      <c r="DL551" t="str">
        <f>""</f>
        <v/>
      </c>
      <c r="DM551" t="str">
        <f>""</f>
        <v/>
      </c>
      <c r="DN551" t="str">
        <f>""</f>
        <v/>
      </c>
      <c r="DO551" t="str">
        <f>""</f>
        <v/>
      </c>
      <c r="DP551" t="str">
        <f>""</f>
        <v/>
      </c>
      <c r="DQ551" t="str">
        <f>""</f>
        <v/>
      </c>
      <c r="DR551" t="str">
        <f>""</f>
        <v/>
      </c>
      <c r="DS551" t="str">
        <f>""</f>
        <v/>
      </c>
      <c r="DT551" t="str">
        <f>""</f>
        <v/>
      </c>
      <c r="DU551" t="str">
        <f>""</f>
        <v/>
      </c>
    </row>
    <row r="552" spans="1:125">
      <c r="A552" t="str">
        <f>$A$96</f>
        <v xml:space="preserve">    Tanger Factory Outlet Centers</v>
      </c>
      <c r="B552" t="str">
        <f>$B$96</f>
        <v>SKT US Equity</v>
      </c>
      <c r="C552" t="str">
        <f>$C$96</f>
        <v>RR009</v>
      </c>
      <c r="D552" t="str">
        <f>$D$96</f>
        <v>EBITDA</v>
      </c>
      <c r="E552" t="str">
        <f>$E$96</f>
        <v>动态</v>
      </c>
      <c r="F552" t="str">
        <f ca="1">BDH($B$96,$C$96,$B$417,$B$418,CONCATENATE("Per=",$B$415),"Dts=H","Dir=H",CONCATENATE("Points=",$B$416),"Sort=R","Days=A","Fill=B",CONCATENATE("FX=", $B$414) )</f>
        <v>#N/A Authorization</v>
      </c>
      <c r="BN552" t="str">
        <f>""</f>
        <v/>
      </c>
      <c r="BO552" t="str">
        <f>""</f>
        <v/>
      </c>
      <c r="BP552" t="str">
        <f>""</f>
        <v/>
      </c>
      <c r="BQ552" t="str">
        <f>""</f>
        <v/>
      </c>
      <c r="BR552" t="str">
        <f>""</f>
        <v/>
      </c>
      <c r="BS552" t="str">
        <f>""</f>
        <v/>
      </c>
      <c r="BT552" t="str">
        <f>""</f>
        <v/>
      </c>
      <c r="BU552" t="str">
        <f>""</f>
        <v/>
      </c>
      <c r="BV552" t="str">
        <f>""</f>
        <v/>
      </c>
      <c r="BW552" t="str">
        <f>""</f>
        <v/>
      </c>
      <c r="BX552" t="str">
        <f>""</f>
        <v/>
      </c>
      <c r="BY552" t="str">
        <f>""</f>
        <v/>
      </c>
      <c r="BZ552" t="str">
        <f>""</f>
        <v/>
      </c>
      <c r="CA552" t="str">
        <f>""</f>
        <v/>
      </c>
      <c r="CB552" t="str">
        <f>""</f>
        <v/>
      </c>
      <c r="CC552" t="str">
        <f>""</f>
        <v/>
      </c>
      <c r="CD552" t="str">
        <f>""</f>
        <v/>
      </c>
      <c r="CE552" t="str">
        <f>""</f>
        <v/>
      </c>
      <c r="CF552" t="str">
        <f>""</f>
        <v/>
      </c>
      <c r="CG552" t="str">
        <f>""</f>
        <v/>
      </c>
      <c r="CH552" t="str">
        <f>""</f>
        <v/>
      </c>
      <c r="CI552" t="str">
        <f>""</f>
        <v/>
      </c>
      <c r="CJ552" t="str">
        <f>""</f>
        <v/>
      </c>
      <c r="CK552" t="str">
        <f>""</f>
        <v/>
      </c>
      <c r="CL552" t="str">
        <f>""</f>
        <v/>
      </c>
      <c r="CM552" t="str">
        <f>""</f>
        <v/>
      </c>
      <c r="CN552" t="str">
        <f>""</f>
        <v/>
      </c>
      <c r="CO552" t="str">
        <f>""</f>
        <v/>
      </c>
      <c r="CP552" t="str">
        <f>""</f>
        <v/>
      </c>
      <c r="CQ552" t="str">
        <f>""</f>
        <v/>
      </c>
      <c r="CR552" t="str">
        <f>""</f>
        <v/>
      </c>
      <c r="CS552" t="str">
        <f>""</f>
        <v/>
      </c>
      <c r="CT552" t="str">
        <f>""</f>
        <v/>
      </c>
      <c r="CU552" t="str">
        <f>""</f>
        <v/>
      </c>
      <c r="CV552" t="str">
        <f>""</f>
        <v/>
      </c>
      <c r="CW552" t="str">
        <f>""</f>
        <v/>
      </c>
      <c r="CX552" t="str">
        <f>""</f>
        <v/>
      </c>
      <c r="CY552" t="str">
        <f>""</f>
        <v/>
      </c>
      <c r="CZ552" t="str">
        <f>""</f>
        <v/>
      </c>
      <c r="DA552" t="str">
        <f>""</f>
        <v/>
      </c>
      <c r="DB552" t="str">
        <f>""</f>
        <v/>
      </c>
      <c r="DC552" t="str">
        <f>""</f>
        <v/>
      </c>
      <c r="DD552" t="str">
        <f>""</f>
        <v/>
      </c>
      <c r="DE552" t="str">
        <f>""</f>
        <v/>
      </c>
      <c r="DF552" t="str">
        <f>""</f>
        <v/>
      </c>
      <c r="DG552" t="str">
        <f>""</f>
        <v/>
      </c>
      <c r="DH552" t="str">
        <f>""</f>
        <v/>
      </c>
      <c r="DI552" t="str">
        <f>""</f>
        <v/>
      </c>
      <c r="DJ552" t="str">
        <f>""</f>
        <v/>
      </c>
      <c r="DK552" t="str">
        <f>""</f>
        <v/>
      </c>
      <c r="DL552" t="str">
        <f>""</f>
        <v/>
      </c>
      <c r="DM552" t="str">
        <f>""</f>
        <v/>
      </c>
      <c r="DN552" t="str">
        <f>""</f>
        <v/>
      </c>
      <c r="DO552" t="str">
        <f>""</f>
        <v/>
      </c>
      <c r="DP552" t="str">
        <f>""</f>
        <v/>
      </c>
      <c r="DQ552" t="str">
        <f>""</f>
        <v/>
      </c>
      <c r="DR552" t="str">
        <f>""</f>
        <v/>
      </c>
      <c r="DS552" t="str">
        <f>""</f>
        <v/>
      </c>
      <c r="DT552" t="str">
        <f>""</f>
        <v/>
      </c>
      <c r="DU552" t="str">
        <f>""</f>
        <v/>
      </c>
    </row>
    <row r="553" spans="1:125">
      <c r="A553" t="str">
        <f>$A$97</f>
        <v xml:space="preserve">    VEREIT Inc</v>
      </c>
      <c r="B553" t="str">
        <f>$B$97</f>
        <v>VER US Equity</v>
      </c>
      <c r="C553" t="str">
        <f>$C$97</f>
        <v>RR009</v>
      </c>
      <c r="D553" t="str">
        <f>$D$97</f>
        <v>EBITDA</v>
      </c>
      <c r="E553" t="str">
        <f>$E$97</f>
        <v>动态</v>
      </c>
      <c r="F553" t="str">
        <f ca="1">BDH($B$97,$C$97,$B$417,$B$418,CONCATENATE("Per=",$B$415),"Dts=H","Dir=H",CONCATENATE("Points=",$B$416),"Sort=R","Days=A","Fill=B",CONCATENATE("FX=", $B$414) )</f>
        <v>#N/A Authorization</v>
      </c>
      <c r="BN553" t="str">
        <f>""</f>
        <v/>
      </c>
      <c r="BO553" t="str">
        <f>""</f>
        <v/>
      </c>
      <c r="BP553" t="str">
        <f>""</f>
        <v/>
      </c>
      <c r="BQ553" t="str">
        <f>""</f>
        <v/>
      </c>
      <c r="BR553" t="str">
        <f>""</f>
        <v/>
      </c>
      <c r="BS553" t="str">
        <f>""</f>
        <v/>
      </c>
      <c r="BT553" t="str">
        <f>""</f>
        <v/>
      </c>
      <c r="BU553" t="str">
        <f>""</f>
        <v/>
      </c>
      <c r="BV553" t="str">
        <f>""</f>
        <v/>
      </c>
      <c r="BW553" t="str">
        <f>""</f>
        <v/>
      </c>
      <c r="BX553" t="str">
        <f>""</f>
        <v/>
      </c>
      <c r="BY553" t="str">
        <f>""</f>
        <v/>
      </c>
      <c r="BZ553" t="str">
        <f>""</f>
        <v/>
      </c>
      <c r="CA553" t="str">
        <f>""</f>
        <v/>
      </c>
      <c r="CB553" t="str">
        <f>""</f>
        <v/>
      </c>
      <c r="CC553" t="str">
        <f>""</f>
        <v/>
      </c>
      <c r="CD553" t="str">
        <f>""</f>
        <v/>
      </c>
      <c r="CE553" t="str">
        <f>""</f>
        <v/>
      </c>
      <c r="CF553" t="str">
        <f>""</f>
        <v/>
      </c>
      <c r="CG553" t="str">
        <f>""</f>
        <v/>
      </c>
      <c r="CH553" t="str">
        <f>""</f>
        <v/>
      </c>
      <c r="CI553" t="str">
        <f>""</f>
        <v/>
      </c>
      <c r="CJ553" t="str">
        <f>""</f>
        <v/>
      </c>
      <c r="CK553" t="str">
        <f>""</f>
        <v/>
      </c>
      <c r="CL553" t="str">
        <f>""</f>
        <v/>
      </c>
      <c r="CM553" t="str">
        <f>""</f>
        <v/>
      </c>
      <c r="CN553" t="str">
        <f>""</f>
        <v/>
      </c>
      <c r="CO553" t="str">
        <f>""</f>
        <v/>
      </c>
      <c r="CP553" t="str">
        <f>""</f>
        <v/>
      </c>
      <c r="CQ553" t="str">
        <f>""</f>
        <v/>
      </c>
      <c r="CR553" t="str">
        <f>""</f>
        <v/>
      </c>
      <c r="CS553" t="str">
        <f>""</f>
        <v/>
      </c>
      <c r="CT553" t="str">
        <f>""</f>
        <v/>
      </c>
      <c r="CU553" t="str">
        <f>""</f>
        <v/>
      </c>
      <c r="CV553" t="str">
        <f>""</f>
        <v/>
      </c>
      <c r="CW553" t="str">
        <f>""</f>
        <v/>
      </c>
      <c r="CX553" t="str">
        <f>""</f>
        <v/>
      </c>
      <c r="CY553" t="str">
        <f>""</f>
        <v/>
      </c>
      <c r="CZ553" t="str">
        <f>""</f>
        <v/>
      </c>
      <c r="DA553" t="str">
        <f>""</f>
        <v/>
      </c>
      <c r="DB553" t="str">
        <f>""</f>
        <v/>
      </c>
      <c r="DC553" t="str">
        <f>""</f>
        <v/>
      </c>
      <c r="DD553" t="str">
        <f>""</f>
        <v/>
      </c>
      <c r="DE553" t="str">
        <f>""</f>
        <v/>
      </c>
      <c r="DF553" t="str">
        <f>""</f>
        <v/>
      </c>
      <c r="DG553" t="str">
        <f>""</f>
        <v/>
      </c>
      <c r="DH553" t="str">
        <f>""</f>
        <v/>
      </c>
      <c r="DI553" t="str">
        <f>""</f>
        <v/>
      </c>
      <c r="DJ553" t="str">
        <f>""</f>
        <v/>
      </c>
      <c r="DK553" t="str">
        <f>""</f>
        <v/>
      </c>
      <c r="DL553" t="str">
        <f>""</f>
        <v/>
      </c>
      <c r="DM553" t="str">
        <f>""</f>
        <v/>
      </c>
      <c r="DN553" t="str">
        <f>""</f>
        <v/>
      </c>
      <c r="DO553" t="str">
        <f>""</f>
        <v/>
      </c>
      <c r="DP553" t="str">
        <f>""</f>
        <v/>
      </c>
      <c r="DQ553" t="str">
        <f>""</f>
        <v/>
      </c>
      <c r="DR553" t="str">
        <f>""</f>
        <v/>
      </c>
      <c r="DS553" t="str">
        <f>""</f>
        <v/>
      </c>
      <c r="DT553" t="str">
        <f>""</f>
        <v/>
      </c>
      <c r="DU553" t="str">
        <f>""</f>
        <v/>
      </c>
    </row>
    <row r="554" spans="1:125">
      <c r="A554" t="str">
        <f>$A$98</f>
        <v xml:space="preserve">    Washington Prime Group Inc</v>
      </c>
      <c r="B554" t="str">
        <f>$B$98</f>
        <v>WPG US Equity</v>
      </c>
      <c r="C554" t="str">
        <f>$C$98</f>
        <v>RR009</v>
      </c>
      <c r="D554" t="str">
        <f>$D$98</f>
        <v>EBITDA</v>
      </c>
      <c r="E554" t="str">
        <f>$E$98</f>
        <v>动态</v>
      </c>
      <c r="F554" t="str">
        <f ca="1">BDH($B$98,$C$98,$B$417,$B$418,CONCATENATE("Per=",$B$415),"Dts=H","Dir=H",CONCATENATE("Points=",$B$416),"Sort=R","Days=A","Fill=B",CONCATENATE("FX=", $B$414) )</f>
        <v>#N/A Authorization</v>
      </c>
      <c r="BN554" t="str">
        <f>""</f>
        <v/>
      </c>
      <c r="BO554" t="str">
        <f>""</f>
        <v/>
      </c>
      <c r="BP554" t="str">
        <f>""</f>
        <v/>
      </c>
      <c r="BQ554" t="str">
        <f>""</f>
        <v/>
      </c>
      <c r="BR554" t="str">
        <f>""</f>
        <v/>
      </c>
      <c r="BS554" t="str">
        <f>""</f>
        <v/>
      </c>
      <c r="BT554" t="str">
        <f>""</f>
        <v/>
      </c>
      <c r="BU554" t="str">
        <f>""</f>
        <v/>
      </c>
      <c r="BV554" t="str">
        <f>""</f>
        <v/>
      </c>
      <c r="BW554" t="str">
        <f>""</f>
        <v/>
      </c>
      <c r="BX554" t="str">
        <f>""</f>
        <v/>
      </c>
      <c r="BY554" t="str">
        <f>""</f>
        <v/>
      </c>
      <c r="BZ554" t="str">
        <f>""</f>
        <v/>
      </c>
      <c r="CA554" t="str">
        <f>""</f>
        <v/>
      </c>
      <c r="CB554" t="str">
        <f>""</f>
        <v/>
      </c>
      <c r="CC554" t="str">
        <f>""</f>
        <v/>
      </c>
      <c r="CD554" t="str">
        <f>""</f>
        <v/>
      </c>
      <c r="CE554" t="str">
        <f>""</f>
        <v/>
      </c>
      <c r="CF554" t="str">
        <f>""</f>
        <v/>
      </c>
      <c r="CG554" t="str">
        <f>""</f>
        <v/>
      </c>
      <c r="CH554" t="str">
        <f>""</f>
        <v/>
      </c>
      <c r="CI554" t="str">
        <f>""</f>
        <v/>
      </c>
      <c r="CJ554" t="str">
        <f>""</f>
        <v/>
      </c>
      <c r="CK554" t="str">
        <f>""</f>
        <v/>
      </c>
      <c r="CL554" t="str">
        <f>""</f>
        <v/>
      </c>
      <c r="CM554" t="str">
        <f>""</f>
        <v/>
      </c>
      <c r="CN554" t="str">
        <f>""</f>
        <v/>
      </c>
      <c r="CO554" t="str">
        <f>""</f>
        <v/>
      </c>
      <c r="CP554" t="str">
        <f>""</f>
        <v/>
      </c>
      <c r="CQ554" t="str">
        <f>""</f>
        <v/>
      </c>
      <c r="CR554" t="str">
        <f>""</f>
        <v/>
      </c>
      <c r="CS554" t="str">
        <f>""</f>
        <v/>
      </c>
      <c r="CT554" t="str">
        <f>""</f>
        <v/>
      </c>
      <c r="CU554" t="str">
        <f>""</f>
        <v/>
      </c>
      <c r="CV554" t="str">
        <f>""</f>
        <v/>
      </c>
      <c r="CW554" t="str">
        <f>""</f>
        <v/>
      </c>
      <c r="CX554" t="str">
        <f>""</f>
        <v/>
      </c>
      <c r="CY554" t="str">
        <f>""</f>
        <v/>
      </c>
      <c r="CZ554" t="str">
        <f>""</f>
        <v/>
      </c>
      <c r="DA554" t="str">
        <f>""</f>
        <v/>
      </c>
      <c r="DB554" t="str">
        <f>""</f>
        <v/>
      </c>
      <c r="DC554" t="str">
        <f>""</f>
        <v/>
      </c>
      <c r="DD554" t="str">
        <f>""</f>
        <v/>
      </c>
      <c r="DE554" t="str">
        <f>""</f>
        <v/>
      </c>
      <c r="DF554" t="str">
        <f>""</f>
        <v/>
      </c>
      <c r="DG554" t="str">
        <f>""</f>
        <v/>
      </c>
      <c r="DH554" t="str">
        <f>""</f>
        <v/>
      </c>
      <c r="DI554" t="str">
        <f>""</f>
        <v/>
      </c>
      <c r="DJ554" t="str">
        <f>""</f>
        <v/>
      </c>
      <c r="DK554" t="str">
        <f>""</f>
        <v/>
      </c>
      <c r="DL554" t="str">
        <f>""</f>
        <v/>
      </c>
      <c r="DM554" t="str">
        <f>""</f>
        <v/>
      </c>
      <c r="DN554" t="str">
        <f>""</f>
        <v/>
      </c>
      <c r="DO554" t="str">
        <f>""</f>
        <v/>
      </c>
      <c r="DP554" t="str">
        <f>""</f>
        <v/>
      </c>
      <c r="DQ554" t="str">
        <f>""</f>
        <v/>
      </c>
      <c r="DR554" t="str">
        <f>""</f>
        <v/>
      </c>
      <c r="DS554" t="str">
        <f>""</f>
        <v/>
      </c>
      <c r="DT554" t="str">
        <f>""</f>
        <v/>
      </c>
      <c r="DU554" t="str">
        <f>""</f>
        <v/>
      </c>
    </row>
    <row r="555" spans="1:125">
      <c r="A555" t="str">
        <f>$A$99</f>
        <v xml:space="preserve">    Weingarten Realty Investors</v>
      </c>
      <c r="B555" t="str">
        <f>$B$99</f>
        <v>WRI US Equity</v>
      </c>
      <c r="C555" t="str">
        <f>$C$99</f>
        <v>RR009</v>
      </c>
      <c r="D555" t="str">
        <f>$D$99</f>
        <v>EBITDA</v>
      </c>
      <c r="E555" t="str">
        <f>$E$99</f>
        <v>动态</v>
      </c>
      <c r="F555" t="str">
        <f ca="1">BDH($B$99,$C$99,$B$417,$B$418,CONCATENATE("Per=",$B$415),"Dts=H","Dir=H",CONCATENATE("Points=",$B$416),"Sort=R","Days=A","Fill=B",CONCATENATE("FX=", $B$414) )</f>
        <v>#N/A Authorization</v>
      </c>
      <c r="BN555" t="str">
        <f>""</f>
        <v/>
      </c>
      <c r="BO555" t="str">
        <f>""</f>
        <v/>
      </c>
      <c r="BP555" t="str">
        <f>""</f>
        <v/>
      </c>
      <c r="BQ555" t="str">
        <f>""</f>
        <v/>
      </c>
      <c r="BR555" t="str">
        <f>""</f>
        <v/>
      </c>
      <c r="BS555" t="str">
        <f>""</f>
        <v/>
      </c>
      <c r="BT555" t="str">
        <f>""</f>
        <v/>
      </c>
      <c r="BU555" t="str">
        <f>""</f>
        <v/>
      </c>
      <c r="BV555" t="str">
        <f>""</f>
        <v/>
      </c>
      <c r="BW555" t="str">
        <f>""</f>
        <v/>
      </c>
      <c r="BX555" t="str">
        <f>""</f>
        <v/>
      </c>
      <c r="BY555" t="str">
        <f>""</f>
        <v/>
      </c>
      <c r="BZ555" t="str">
        <f>""</f>
        <v/>
      </c>
      <c r="CA555" t="str">
        <f>""</f>
        <v/>
      </c>
      <c r="CB555" t="str">
        <f>""</f>
        <v/>
      </c>
      <c r="CC555" t="str">
        <f>""</f>
        <v/>
      </c>
      <c r="CD555" t="str">
        <f>""</f>
        <v/>
      </c>
      <c r="CE555" t="str">
        <f>""</f>
        <v/>
      </c>
      <c r="CF555" t="str">
        <f>""</f>
        <v/>
      </c>
      <c r="CG555" t="str">
        <f>""</f>
        <v/>
      </c>
      <c r="CH555" t="str">
        <f>""</f>
        <v/>
      </c>
      <c r="CI555" t="str">
        <f>""</f>
        <v/>
      </c>
      <c r="CJ555" t="str">
        <f>""</f>
        <v/>
      </c>
      <c r="CK555" t="str">
        <f>""</f>
        <v/>
      </c>
      <c r="CL555" t="str">
        <f>""</f>
        <v/>
      </c>
      <c r="CM555" t="str">
        <f>""</f>
        <v/>
      </c>
      <c r="CN555" t="str">
        <f>""</f>
        <v/>
      </c>
      <c r="CO555" t="str">
        <f>""</f>
        <v/>
      </c>
      <c r="CP555" t="str">
        <f>""</f>
        <v/>
      </c>
      <c r="CQ555" t="str">
        <f>""</f>
        <v/>
      </c>
      <c r="CR555" t="str">
        <f>""</f>
        <v/>
      </c>
      <c r="CS555" t="str">
        <f>""</f>
        <v/>
      </c>
      <c r="CT555" t="str">
        <f>""</f>
        <v/>
      </c>
      <c r="CU555" t="str">
        <f>""</f>
        <v/>
      </c>
      <c r="CV555" t="str">
        <f>""</f>
        <v/>
      </c>
      <c r="CW555" t="str">
        <f>""</f>
        <v/>
      </c>
      <c r="CX555" t="str">
        <f>""</f>
        <v/>
      </c>
      <c r="CY555" t="str">
        <f>""</f>
        <v/>
      </c>
      <c r="CZ555" t="str">
        <f>""</f>
        <v/>
      </c>
      <c r="DA555" t="str">
        <f>""</f>
        <v/>
      </c>
      <c r="DB555" t="str">
        <f>""</f>
        <v/>
      </c>
      <c r="DC555" t="str">
        <f>""</f>
        <v/>
      </c>
      <c r="DD555" t="str">
        <f>""</f>
        <v/>
      </c>
      <c r="DE555" t="str">
        <f>""</f>
        <v/>
      </c>
      <c r="DF555" t="str">
        <f>""</f>
        <v/>
      </c>
      <c r="DG555" t="str">
        <f>""</f>
        <v/>
      </c>
      <c r="DH555" t="str">
        <f>""</f>
        <v/>
      </c>
      <c r="DI555" t="str">
        <f>""</f>
        <v/>
      </c>
      <c r="DJ555" t="str">
        <f>""</f>
        <v/>
      </c>
      <c r="DK555" t="str">
        <f>""</f>
        <v/>
      </c>
      <c r="DL555" t="str">
        <f>""</f>
        <v/>
      </c>
      <c r="DM555" t="str">
        <f>""</f>
        <v/>
      </c>
      <c r="DN555" t="str">
        <f>""</f>
        <v/>
      </c>
      <c r="DO555" t="str">
        <f>""</f>
        <v/>
      </c>
      <c r="DP555" t="str">
        <f>""</f>
        <v/>
      </c>
      <c r="DQ555" t="str">
        <f>""</f>
        <v/>
      </c>
      <c r="DR555" t="str">
        <f>""</f>
        <v/>
      </c>
      <c r="DS555" t="str">
        <f>""</f>
        <v/>
      </c>
      <c r="DT555" t="str">
        <f>""</f>
        <v/>
      </c>
      <c r="DU555" t="str">
        <f>""</f>
        <v/>
      </c>
    </row>
    <row r="556" spans="1:125">
      <c r="A556" t="str">
        <f>$A$101</f>
        <v xml:space="preserve">    Brixmor Property Group Inc</v>
      </c>
      <c r="B556" t="str">
        <f>$B$101</f>
        <v>BRX US Equity</v>
      </c>
      <c r="C556" t="str">
        <f>$C$101</f>
        <v>IS972</v>
      </c>
      <c r="D556" t="str">
        <f>$D$101</f>
        <v>IS_ADJUSTED_EBITDA_AS_REPORTED</v>
      </c>
      <c r="E556" t="str">
        <f>$E$101</f>
        <v>动态</v>
      </c>
      <c r="F556" t="str">
        <f ca="1">BDH($B$101,$C$101,$B$417,$B$418,CONCATENATE("Per=",$B$415),"Dts=H","Dir=H",CONCATENATE("Points=",$B$416),"Sort=R","Days=A","Fill=B",CONCATENATE("FX=", $B$414) )</f>
        <v>#N/A Authorization</v>
      </c>
      <c r="BN556" t="str">
        <f>""</f>
        <v/>
      </c>
      <c r="BO556" t="str">
        <f>""</f>
        <v/>
      </c>
      <c r="BP556" t="str">
        <f>""</f>
        <v/>
      </c>
      <c r="BQ556" t="str">
        <f>""</f>
        <v/>
      </c>
      <c r="BR556" t="str">
        <f>""</f>
        <v/>
      </c>
      <c r="BS556" t="str">
        <f>""</f>
        <v/>
      </c>
      <c r="BT556" t="str">
        <f>""</f>
        <v/>
      </c>
      <c r="BU556" t="str">
        <f>""</f>
        <v/>
      </c>
      <c r="BV556" t="str">
        <f>""</f>
        <v/>
      </c>
      <c r="BW556" t="str">
        <f>""</f>
        <v/>
      </c>
      <c r="BX556" t="str">
        <f>""</f>
        <v/>
      </c>
      <c r="BY556" t="str">
        <f>""</f>
        <v/>
      </c>
      <c r="BZ556" t="str">
        <f>""</f>
        <v/>
      </c>
      <c r="CA556" t="str">
        <f>""</f>
        <v/>
      </c>
      <c r="CB556" t="str">
        <f>""</f>
        <v/>
      </c>
      <c r="CC556" t="str">
        <f>""</f>
        <v/>
      </c>
      <c r="CD556" t="str">
        <f>""</f>
        <v/>
      </c>
      <c r="CE556" t="str">
        <f>""</f>
        <v/>
      </c>
      <c r="CF556" t="str">
        <f>""</f>
        <v/>
      </c>
      <c r="CG556" t="str">
        <f>""</f>
        <v/>
      </c>
      <c r="CH556" t="str">
        <f>""</f>
        <v/>
      </c>
      <c r="CI556" t="str">
        <f>""</f>
        <v/>
      </c>
      <c r="CJ556" t="str">
        <f>""</f>
        <v/>
      </c>
      <c r="CK556" t="str">
        <f>""</f>
        <v/>
      </c>
      <c r="CL556" t="str">
        <f>""</f>
        <v/>
      </c>
      <c r="CM556" t="str">
        <f>""</f>
        <v/>
      </c>
      <c r="CN556" t="str">
        <f>""</f>
        <v/>
      </c>
      <c r="CO556" t="str">
        <f>""</f>
        <v/>
      </c>
      <c r="CP556" t="str">
        <f>""</f>
        <v/>
      </c>
      <c r="CQ556" t="str">
        <f>""</f>
        <v/>
      </c>
      <c r="CR556" t="str">
        <f>""</f>
        <v/>
      </c>
      <c r="CS556" t="str">
        <f>""</f>
        <v/>
      </c>
      <c r="CT556" t="str">
        <f>""</f>
        <v/>
      </c>
      <c r="CU556" t="str">
        <f>""</f>
        <v/>
      </c>
      <c r="CV556" t="str">
        <f>""</f>
        <v/>
      </c>
      <c r="CW556" t="str">
        <f>""</f>
        <v/>
      </c>
      <c r="CX556" t="str">
        <f>""</f>
        <v/>
      </c>
      <c r="CY556" t="str">
        <f>""</f>
        <v/>
      </c>
      <c r="CZ556" t="str">
        <f>""</f>
        <v/>
      </c>
      <c r="DA556" t="str">
        <f>""</f>
        <v/>
      </c>
      <c r="DB556" t="str">
        <f>""</f>
        <v/>
      </c>
      <c r="DC556" t="str">
        <f>""</f>
        <v/>
      </c>
      <c r="DD556" t="str">
        <f>""</f>
        <v/>
      </c>
      <c r="DE556" t="str">
        <f>""</f>
        <v/>
      </c>
      <c r="DF556" t="str">
        <f>""</f>
        <v/>
      </c>
      <c r="DG556" t="str">
        <f>""</f>
        <v/>
      </c>
      <c r="DH556" t="str">
        <f>""</f>
        <v/>
      </c>
      <c r="DI556" t="str">
        <f>""</f>
        <v/>
      </c>
      <c r="DJ556" t="str">
        <f>""</f>
        <v/>
      </c>
      <c r="DK556" t="str">
        <f>""</f>
        <v/>
      </c>
      <c r="DL556" t="str">
        <f>""</f>
        <v/>
      </c>
      <c r="DM556" t="str">
        <f>""</f>
        <v/>
      </c>
      <c r="DN556" t="str">
        <f>""</f>
        <v/>
      </c>
      <c r="DO556" t="str">
        <f>""</f>
        <v/>
      </c>
      <c r="DP556" t="str">
        <f>""</f>
        <v/>
      </c>
      <c r="DQ556" t="str">
        <f>""</f>
        <v/>
      </c>
      <c r="DR556" t="str">
        <f>""</f>
        <v/>
      </c>
      <c r="DS556" t="str">
        <f>""</f>
        <v/>
      </c>
      <c r="DT556" t="str">
        <f>""</f>
        <v/>
      </c>
      <c r="DU556" t="str">
        <f>""</f>
        <v/>
      </c>
    </row>
    <row r="557" spans="1:125">
      <c r="A557" t="str">
        <f>$A$102</f>
        <v xml:space="preserve">    CBL &amp; Associates Properties In</v>
      </c>
      <c r="B557" t="str">
        <f>$B$102</f>
        <v>CBL US Equity</v>
      </c>
      <c r="C557" t="str">
        <f>$C$102</f>
        <v>IS972</v>
      </c>
      <c r="D557" t="str">
        <f>$D$102</f>
        <v>IS_ADJUSTED_EBITDA_AS_REPORTED</v>
      </c>
      <c r="E557" t="str">
        <f>$E$102</f>
        <v>动态</v>
      </c>
      <c r="F557" t="str">
        <f ca="1">BDH($B$102,$C$102,$B$417,$B$418,CONCATENATE("Per=",$B$415),"Dts=H","Dir=H",CONCATENATE("Points=",$B$416),"Sort=R","Days=A","Fill=B",CONCATENATE("FX=", $B$414) )</f>
        <v>#N/A Authorization</v>
      </c>
      <c r="BN557" t="str">
        <f>""</f>
        <v/>
      </c>
      <c r="BO557" t="str">
        <f>""</f>
        <v/>
      </c>
      <c r="BP557" t="str">
        <f>""</f>
        <v/>
      </c>
      <c r="BQ557" t="str">
        <f>""</f>
        <v/>
      </c>
      <c r="BR557" t="str">
        <f>""</f>
        <v/>
      </c>
      <c r="BS557" t="str">
        <f>""</f>
        <v/>
      </c>
      <c r="BT557" t="str">
        <f>""</f>
        <v/>
      </c>
      <c r="BU557" t="str">
        <f>""</f>
        <v/>
      </c>
      <c r="BV557" t="str">
        <f>""</f>
        <v/>
      </c>
      <c r="BW557" t="str">
        <f>""</f>
        <v/>
      </c>
      <c r="BX557" t="str">
        <f>""</f>
        <v/>
      </c>
      <c r="BY557" t="str">
        <f>""</f>
        <v/>
      </c>
      <c r="BZ557" t="str">
        <f>""</f>
        <v/>
      </c>
      <c r="CA557" t="str">
        <f>""</f>
        <v/>
      </c>
      <c r="CB557" t="str">
        <f>""</f>
        <v/>
      </c>
      <c r="CC557" t="str">
        <f>""</f>
        <v/>
      </c>
      <c r="CD557" t="str">
        <f>""</f>
        <v/>
      </c>
      <c r="CE557" t="str">
        <f>""</f>
        <v/>
      </c>
      <c r="CF557" t="str">
        <f>""</f>
        <v/>
      </c>
      <c r="CG557" t="str">
        <f>""</f>
        <v/>
      </c>
      <c r="CH557" t="str">
        <f>""</f>
        <v/>
      </c>
      <c r="CI557" t="str">
        <f>""</f>
        <v/>
      </c>
      <c r="CJ557" t="str">
        <f>""</f>
        <v/>
      </c>
      <c r="CK557" t="str">
        <f>""</f>
        <v/>
      </c>
      <c r="CL557" t="str">
        <f>""</f>
        <v/>
      </c>
      <c r="CM557" t="str">
        <f>""</f>
        <v/>
      </c>
      <c r="CN557" t="str">
        <f>""</f>
        <v/>
      </c>
      <c r="CO557" t="str">
        <f>""</f>
        <v/>
      </c>
      <c r="CP557" t="str">
        <f>""</f>
        <v/>
      </c>
      <c r="CQ557" t="str">
        <f>""</f>
        <v/>
      </c>
      <c r="CR557" t="str">
        <f>""</f>
        <v/>
      </c>
      <c r="CS557" t="str">
        <f>""</f>
        <v/>
      </c>
      <c r="CT557" t="str">
        <f>""</f>
        <v/>
      </c>
      <c r="CU557" t="str">
        <f>""</f>
        <v/>
      </c>
      <c r="CV557" t="str">
        <f>""</f>
        <v/>
      </c>
      <c r="CW557" t="str">
        <f>""</f>
        <v/>
      </c>
      <c r="CX557" t="str">
        <f>""</f>
        <v/>
      </c>
      <c r="CY557" t="str">
        <f>""</f>
        <v/>
      </c>
      <c r="CZ557" t="str">
        <f>""</f>
        <v/>
      </c>
      <c r="DA557" t="str">
        <f>""</f>
        <v/>
      </c>
      <c r="DB557" t="str">
        <f>""</f>
        <v/>
      </c>
      <c r="DC557" t="str">
        <f>""</f>
        <v/>
      </c>
      <c r="DD557" t="str">
        <f>""</f>
        <v/>
      </c>
      <c r="DE557" t="str">
        <f>""</f>
        <v/>
      </c>
      <c r="DF557" t="str">
        <f>""</f>
        <v/>
      </c>
      <c r="DG557" t="str">
        <f>""</f>
        <v/>
      </c>
      <c r="DH557" t="str">
        <f>""</f>
        <v/>
      </c>
      <c r="DI557" t="str">
        <f>""</f>
        <v/>
      </c>
      <c r="DJ557" t="str">
        <f>""</f>
        <v/>
      </c>
      <c r="DK557" t="str">
        <f>""</f>
        <v/>
      </c>
      <c r="DL557" t="str">
        <f>""</f>
        <v/>
      </c>
      <c r="DM557" t="str">
        <f>""</f>
        <v/>
      </c>
      <c r="DN557" t="str">
        <f>""</f>
        <v/>
      </c>
      <c r="DO557" t="str">
        <f>""</f>
        <v/>
      </c>
      <c r="DP557" t="str">
        <f>""</f>
        <v/>
      </c>
      <c r="DQ557" t="str">
        <f>""</f>
        <v/>
      </c>
      <c r="DR557" t="str">
        <f>""</f>
        <v/>
      </c>
      <c r="DS557" t="str">
        <f>""</f>
        <v/>
      </c>
      <c r="DT557" t="str">
        <f>""</f>
        <v/>
      </c>
      <c r="DU557" t="str">
        <f>""</f>
        <v/>
      </c>
    </row>
    <row r="558" spans="1:125">
      <c r="A558" t="str">
        <f>$A$103</f>
        <v xml:space="preserve">    DDR Corp</v>
      </c>
      <c r="B558" t="str">
        <f>$B$103</f>
        <v>DDR US Equity</v>
      </c>
      <c r="C558" t="str">
        <f>$C$103</f>
        <v>IS972</v>
      </c>
      <c r="D558" t="str">
        <f>$D$103</f>
        <v>IS_ADJUSTED_EBITDA_AS_REPORTED</v>
      </c>
      <c r="E558" t="str">
        <f>$E$103</f>
        <v>动态</v>
      </c>
      <c r="F558" t="str">
        <f ca="1">BDH($B$103,$C$103,$B$417,$B$418,CONCATENATE("Per=",$B$415),"Dts=H","Dir=H",CONCATENATE("Points=",$B$416),"Sort=R","Days=A","Fill=B",CONCATENATE("FX=", $B$414) )</f>
        <v>#N/A Authorization</v>
      </c>
      <c r="BN558" t="str">
        <f>""</f>
        <v/>
      </c>
      <c r="BO558" t="str">
        <f>""</f>
        <v/>
      </c>
      <c r="BP558" t="str">
        <f>""</f>
        <v/>
      </c>
      <c r="BQ558" t="str">
        <f>""</f>
        <v/>
      </c>
      <c r="BR558" t="str">
        <f>""</f>
        <v/>
      </c>
      <c r="BS558" t="str">
        <f>""</f>
        <v/>
      </c>
      <c r="BT558" t="str">
        <f>""</f>
        <v/>
      </c>
      <c r="BU558" t="str">
        <f>""</f>
        <v/>
      </c>
      <c r="BV558" t="str">
        <f>""</f>
        <v/>
      </c>
      <c r="BW558" t="str">
        <f>""</f>
        <v/>
      </c>
      <c r="BX558" t="str">
        <f>""</f>
        <v/>
      </c>
      <c r="BY558" t="str">
        <f>""</f>
        <v/>
      </c>
      <c r="BZ558" t="str">
        <f>""</f>
        <v/>
      </c>
      <c r="CA558" t="str">
        <f>""</f>
        <v/>
      </c>
      <c r="CB558" t="str">
        <f>""</f>
        <v/>
      </c>
      <c r="CC558" t="str">
        <f>""</f>
        <v/>
      </c>
      <c r="CD558" t="str">
        <f>""</f>
        <v/>
      </c>
      <c r="CE558" t="str">
        <f>""</f>
        <v/>
      </c>
      <c r="CF558" t="str">
        <f>""</f>
        <v/>
      </c>
      <c r="CG558" t="str">
        <f>""</f>
        <v/>
      </c>
      <c r="CH558" t="str">
        <f>""</f>
        <v/>
      </c>
      <c r="CI558" t="str">
        <f>""</f>
        <v/>
      </c>
      <c r="CJ558" t="str">
        <f>""</f>
        <v/>
      </c>
      <c r="CK558" t="str">
        <f>""</f>
        <v/>
      </c>
      <c r="CL558" t="str">
        <f>""</f>
        <v/>
      </c>
      <c r="CM558" t="str">
        <f>""</f>
        <v/>
      </c>
      <c r="CN558" t="str">
        <f>""</f>
        <v/>
      </c>
      <c r="CO558" t="str">
        <f>""</f>
        <v/>
      </c>
      <c r="CP558" t="str">
        <f>""</f>
        <v/>
      </c>
      <c r="CQ558" t="str">
        <f>""</f>
        <v/>
      </c>
      <c r="CR558" t="str">
        <f>""</f>
        <v/>
      </c>
      <c r="CS558" t="str">
        <f>""</f>
        <v/>
      </c>
      <c r="CT558" t="str">
        <f>""</f>
        <v/>
      </c>
      <c r="CU558" t="str">
        <f>""</f>
        <v/>
      </c>
      <c r="CV558" t="str">
        <f>""</f>
        <v/>
      </c>
      <c r="CW558" t="str">
        <f>""</f>
        <v/>
      </c>
      <c r="CX558" t="str">
        <f>""</f>
        <v/>
      </c>
      <c r="CY558" t="str">
        <f>""</f>
        <v/>
      </c>
      <c r="CZ558" t="str">
        <f>""</f>
        <v/>
      </c>
      <c r="DA558" t="str">
        <f>""</f>
        <v/>
      </c>
      <c r="DB558" t="str">
        <f>""</f>
        <v/>
      </c>
      <c r="DC558" t="str">
        <f>""</f>
        <v/>
      </c>
      <c r="DD558" t="str">
        <f>""</f>
        <v/>
      </c>
      <c r="DE558" t="str">
        <f>""</f>
        <v/>
      </c>
      <c r="DF558" t="str">
        <f>""</f>
        <v/>
      </c>
      <c r="DG558" t="str">
        <f>""</f>
        <v/>
      </c>
      <c r="DH558" t="str">
        <f>""</f>
        <v/>
      </c>
      <c r="DI558" t="str">
        <f>""</f>
        <v/>
      </c>
      <c r="DJ558" t="str">
        <f>""</f>
        <v/>
      </c>
      <c r="DK558" t="str">
        <f>""</f>
        <v/>
      </c>
      <c r="DL558" t="str">
        <f>""</f>
        <v/>
      </c>
      <c r="DM558" t="str">
        <f>""</f>
        <v/>
      </c>
      <c r="DN558" t="str">
        <f>""</f>
        <v/>
      </c>
      <c r="DO558" t="str">
        <f>""</f>
        <v/>
      </c>
      <c r="DP558" t="str">
        <f>""</f>
        <v/>
      </c>
      <c r="DQ558" t="str">
        <f>""</f>
        <v/>
      </c>
      <c r="DR558" t="str">
        <f>""</f>
        <v/>
      </c>
      <c r="DS558" t="str">
        <f>""</f>
        <v/>
      </c>
      <c r="DT558" t="str">
        <f>""</f>
        <v/>
      </c>
      <c r="DU558" t="str">
        <f>""</f>
        <v/>
      </c>
    </row>
    <row r="559" spans="1:125">
      <c r="A559" t="str">
        <f>$A$104</f>
        <v xml:space="preserve">    Federal Realty Investment Trus</v>
      </c>
      <c r="B559" t="str">
        <f>$B$104</f>
        <v>FRT US Equity</v>
      </c>
      <c r="C559" t="str">
        <f>$C$104</f>
        <v>IS972</v>
      </c>
      <c r="D559" t="str">
        <f>$D$104</f>
        <v>IS_ADJUSTED_EBITDA_AS_REPORTED</v>
      </c>
      <c r="E559" t="str">
        <f>$E$104</f>
        <v>动态</v>
      </c>
      <c r="F559" t="str">
        <f ca="1">BDH($B$104,$C$104,$B$417,$B$418,CONCATENATE("Per=",$B$415),"Dts=H","Dir=H",CONCATENATE("Points=",$B$416),"Sort=R","Days=A","Fill=B",CONCATENATE("FX=", $B$414) )</f>
        <v>#N/A Authorization</v>
      </c>
      <c r="BN559" t="str">
        <f>""</f>
        <v/>
      </c>
      <c r="BO559" t="str">
        <f>""</f>
        <v/>
      </c>
      <c r="BP559" t="str">
        <f>""</f>
        <v/>
      </c>
      <c r="BQ559" t="str">
        <f>""</f>
        <v/>
      </c>
      <c r="BR559" t="str">
        <f>""</f>
        <v/>
      </c>
      <c r="BS559" t="str">
        <f>""</f>
        <v/>
      </c>
      <c r="BT559" t="str">
        <f>""</f>
        <v/>
      </c>
      <c r="BU559" t="str">
        <f>""</f>
        <v/>
      </c>
      <c r="BV559" t="str">
        <f>""</f>
        <v/>
      </c>
      <c r="BW559" t="str">
        <f>""</f>
        <v/>
      </c>
      <c r="BX559" t="str">
        <f>""</f>
        <v/>
      </c>
      <c r="BY559" t="str">
        <f>""</f>
        <v/>
      </c>
      <c r="BZ559" t="str">
        <f>""</f>
        <v/>
      </c>
      <c r="CA559" t="str">
        <f>""</f>
        <v/>
      </c>
      <c r="CB559" t="str">
        <f>""</f>
        <v/>
      </c>
      <c r="CC559" t="str">
        <f>""</f>
        <v/>
      </c>
      <c r="CD559" t="str">
        <f>""</f>
        <v/>
      </c>
      <c r="CE559" t="str">
        <f>""</f>
        <v/>
      </c>
      <c r="CF559" t="str">
        <f>""</f>
        <v/>
      </c>
      <c r="CG559" t="str">
        <f>""</f>
        <v/>
      </c>
      <c r="CH559" t="str">
        <f>""</f>
        <v/>
      </c>
      <c r="CI559" t="str">
        <f>""</f>
        <v/>
      </c>
      <c r="CJ559" t="str">
        <f>""</f>
        <v/>
      </c>
      <c r="CK559" t="str">
        <f>""</f>
        <v/>
      </c>
      <c r="CL559" t="str">
        <f>""</f>
        <v/>
      </c>
      <c r="CM559" t="str">
        <f>""</f>
        <v/>
      </c>
      <c r="CN559" t="str">
        <f>""</f>
        <v/>
      </c>
      <c r="CO559" t="str">
        <f>""</f>
        <v/>
      </c>
      <c r="CP559" t="str">
        <f>""</f>
        <v/>
      </c>
      <c r="CQ559" t="str">
        <f>""</f>
        <v/>
      </c>
      <c r="CR559" t="str">
        <f>""</f>
        <v/>
      </c>
      <c r="CS559" t="str">
        <f>""</f>
        <v/>
      </c>
      <c r="CT559" t="str">
        <f>""</f>
        <v/>
      </c>
      <c r="CU559" t="str">
        <f>""</f>
        <v/>
      </c>
      <c r="CV559" t="str">
        <f>""</f>
        <v/>
      </c>
      <c r="CW559" t="str">
        <f>""</f>
        <v/>
      </c>
      <c r="CX559" t="str">
        <f>""</f>
        <v/>
      </c>
      <c r="CY559" t="str">
        <f>""</f>
        <v/>
      </c>
      <c r="CZ559" t="str">
        <f>""</f>
        <v/>
      </c>
      <c r="DA559" t="str">
        <f>""</f>
        <v/>
      </c>
      <c r="DB559" t="str">
        <f>""</f>
        <v/>
      </c>
      <c r="DC559" t="str">
        <f>""</f>
        <v/>
      </c>
      <c r="DD559" t="str">
        <f>""</f>
        <v/>
      </c>
      <c r="DE559" t="str">
        <f>""</f>
        <v/>
      </c>
      <c r="DF559" t="str">
        <f>""</f>
        <v/>
      </c>
      <c r="DG559" t="str">
        <f>""</f>
        <v/>
      </c>
      <c r="DH559" t="str">
        <f>""</f>
        <v/>
      </c>
      <c r="DI559" t="str">
        <f>""</f>
        <v/>
      </c>
      <c r="DJ559" t="str">
        <f>""</f>
        <v/>
      </c>
      <c r="DK559" t="str">
        <f>""</f>
        <v/>
      </c>
      <c r="DL559" t="str">
        <f>""</f>
        <v/>
      </c>
      <c r="DM559" t="str">
        <f>""</f>
        <v/>
      </c>
      <c r="DN559" t="str">
        <f>""</f>
        <v/>
      </c>
      <c r="DO559" t="str">
        <f>""</f>
        <v/>
      </c>
      <c r="DP559" t="str">
        <f>""</f>
        <v/>
      </c>
      <c r="DQ559" t="str">
        <f>""</f>
        <v/>
      </c>
      <c r="DR559" t="str">
        <f>""</f>
        <v/>
      </c>
      <c r="DS559" t="str">
        <f>""</f>
        <v/>
      </c>
      <c r="DT559" t="str">
        <f>""</f>
        <v/>
      </c>
      <c r="DU559" t="str">
        <f>""</f>
        <v/>
      </c>
    </row>
    <row r="560" spans="1:125">
      <c r="A560" t="str">
        <f>$A$105</f>
        <v xml:space="preserve">    Kimco Realty Corp</v>
      </c>
      <c r="B560" t="str">
        <f>$B$105</f>
        <v>KIM US Equity</v>
      </c>
      <c r="C560" t="str">
        <f>$C$105</f>
        <v>IS972</v>
      </c>
      <c r="D560" t="str">
        <f>$D$105</f>
        <v>IS_ADJUSTED_EBITDA_AS_REPORTED</v>
      </c>
      <c r="E560" t="str">
        <f>$E$105</f>
        <v>动态</v>
      </c>
      <c r="F560" t="str">
        <f ca="1">BDH($B$105,$C$105,$B$417,$B$418,CONCATENATE("Per=",$B$415),"Dts=H","Dir=H",CONCATENATE("Points=",$B$416),"Sort=R","Days=A","Fill=B",CONCATENATE("FX=", $B$414) )</f>
        <v>#N/A Authorization</v>
      </c>
      <c r="BN560" t="str">
        <f>""</f>
        <v/>
      </c>
      <c r="BO560" t="str">
        <f>""</f>
        <v/>
      </c>
      <c r="BP560" t="str">
        <f>""</f>
        <v/>
      </c>
      <c r="BQ560" t="str">
        <f>""</f>
        <v/>
      </c>
      <c r="BR560" t="str">
        <f>""</f>
        <v/>
      </c>
      <c r="BS560" t="str">
        <f>""</f>
        <v/>
      </c>
      <c r="BT560" t="str">
        <f>""</f>
        <v/>
      </c>
      <c r="BU560" t="str">
        <f>""</f>
        <v/>
      </c>
      <c r="BV560" t="str">
        <f>""</f>
        <v/>
      </c>
      <c r="BW560" t="str">
        <f>""</f>
        <v/>
      </c>
      <c r="BX560" t="str">
        <f>""</f>
        <v/>
      </c>
      <c r="BY560" t="str">
        <f>""</f>
        <v/>
      </c>
      <c r="BZ560" t="str">
        <f>""</f>
        <v/>
      </c>
      <c r="CA560" t="str">
        <f>""</f>
        <v/>
      </c>
      <c r="CB560" t="str">
        <f>""</f>
        <v/>
      </c>
      <c r="CC560" t="str">
        <f>""</f>
        <v/>
      </c>
      <c r="CD560" t="str">
        <f>""</f>
        <v/>
      </c>
      <c r="CE560" t="str">
        <f>""</f>
        <v/>
      </c>
      <c r="CF560" t="str">
        <f>""</f>
        <v/>
      </c>
      <c r="CG560" t="str">
        <f>""</f>
        <v/>
      </c>
      <c r="CH560" t="str">
        <f>""</f>
        <v/>
      </c>
      <c r="CI560" t="str">
        <f>""</f>
        <v/>
      </c>
      <c r="CJ560" t="str">
        <f>""</f>
        <v/>
      </c>
      <c r="CK560" t="str">
        <f>""</f>
        <v/>
      </c>
      <c r="CL560" t="str">
        <f>""</f>
        <v/>
      </c>
      <c r="CM560" t="str">
        <f>""</f>
        <v/>
      </c>
      <c r="CN560" t="str">
        <f>""</f>
        <v/>
      </c>
      <c r="CO560" t="str">
        <f>""</f>
        <v/>
      </c>
      <c r="CP560" t="str">
        <f>""</f>
        <v/>
      </c>
      <c r="CQ560" t="str">
        <f>""</f>
        <v/>
      </c>
      <c r="CR560" t="str">
        <f>""</f>
        <v/>
      </c>
      <c r="CS560" t="str">
        <f>""</f>
        <v/>
      </c>
      <c r="CT560" t="str">
        <f>""</f>
        <v/>
      </c>
      <c r="CU560" t="str">
        <f>""</f>
        <v/>
      </c>
      <c r="CV560" t="str">
        <f>""</f>
        <v/>
      </c>
      <c r="CW560" t="str">
        <f>""</f>
        <v/>
      </c>
      <c r="CX560" t="str">
        <f>""</f>
        <v/>
      </c>
      <c r="CY560" t="str">
        <f>""</f>
        <v/>
      </c>
      <c r="CZ560" t="str">
        <f>""</f>
        <v/>
      </c>
      <c r="DA560" t="str">
        <f>""</f>
        <v/>
      </c>
      <c r="DB560" t="str">
        <f>""</f>
        <v/>
      </c>
      <c r="DC560" t="str">
        <f>""</f>
        <v/>
      </c>
      <c r="DD560" t="str">
        <f>""</f>
        <v/>
      </c>
      <c r="DE560" t="str">
        <f>""</f>
        <v/>
      </c>
      <c r="DF560" t="str">
        <f>""</f>
        <v/>
      </c>
      <c r="DG560" t="str">
        <f>""</f>
        <v/>
      </c>
      <c r="DH560" t="str">
        <f>""</f>
        <v/>
      </c>
      <c r="DI560" t="str">
        <f>""</f>
        <v/>
      </c>
      <c r="DJ560" t="str">
        <f>""</f>
        <v/>
      </c>
      <c r="DK560" t="str">
        <f>""</f>
        <v/>
      </c>
      <c r="DL560" t="str">
        <f>""</f>
        <v/>
      </c>
      <c r="DM560" t="str">
        <f>""</f>
        <v/>
      </c>
      <c r="DN560" t="str">
        <f>""</f>
        <v/>
      </c>
      <c r="DO560" t="str">
        <f>""</f>
        <v/>
      </c>
      <c r="DP560" t="str">
        <f>""</f>
        <v/>
      </c>
      <c r="DQ560" t="str">
        <f>""</f>
        <v/>
      </c>
      <c r="DR560" t="str">
        <f>""</f>
        <v/>
      </c>
      <c r="DS560" t="str">
        <f>""</f>
        <v/>
      </c>
      <c r="DT560" t="str">
        <f>""</f>
        <v/>
      </c>
      <c r="DU560" t="str">
        <f>""</f>
        <v/>
      </c>
    </row>
    <row r="561" spans="1:125">
      <c r="A561" t="str">
        <f>$A$106</f>
        <v xml:space="preserve">    National Retail Properties Inc</v>
      </c>
      <c r="B561" t="str">
        <f>$B$106</f>
        <v>NNN US Equity</v>
      </c>
      <c r="C561" t="str">
        <f>$C$106</f>
        <v>IS972</v>
      </c>
      <c r="D561" t="str">
        <f>$D$106</f>
        <v>IS_ADJUSTED_EBITDA_AS_REPORTED</v>
      </c>
      <c r="E561" t="str">
        <f>$E$106</f>
        <v>动态</v>
      </c>
      <c r="F561" t="str">
        <f ca="1">BDH($B$106,$C$106,$B$417,$B$418,CONCATENATE("Per=",$B$415),"Dts=H","Dir=H",CONCATENATE("Points=",$B$416),"Sort=R","Days=A","Fill=B",CONCATENATE("FX=", $B$414) )</f>
        <v>#N/A Authorization</v>
      </c>
      <c r="BN561" t="str">
        <f>""</f>
        <v/>
      </c>
      <c r="BO561" t="str">
        <f>""</f>
        <v/>
      </c>
      <c r="BP561" t="str">
        <f>""</f>
        <v/>
      </c>
      <c r="BQ561" t="str">
        <f>""</f>
        <v/>
      </c>
      <c r="BR561" t="str">
        <f>""</f>
        <v/>
      </c>
      <c r="BS561" t="str">
        <f>""</f>
        <v/>
      </c>
      <c r="BT561" t="str">
        <f>""</f>
        <v/>
      </c>
      <c r="BU561" t="str">
        <f>""</f>
        <v/>
      </c>
      <c r="BV561" t="str">
        <f>""</f>
        <v/>
      </c>
      <c r="BW561" t="str">
        <f>""</f>
        <v/>
      </c>
      <c r="BX561" t="str">
        <f>""</f>
        <v/>
      </c>
      <c r="BY561" t="str">
        <f>""</f>
        <v/>
      </c>
      <c r="BZ561" t="str">
        <f>""</f>
        <v/>
      </c>
      <c r="CA561" t="str">
        <f>""</f>
        <v/>
      </c>
      <c r="CB561" t="str">
        <f>""</f>
        <v/>
      </c>
      <c r="CC561" t="str">
        <f>""</f>
        <v/>
      </c>
      <c r="CD561" t="str">
        <f>""</f>
        <v/>
      </c>
      <c r="CE561" t="str">
        <f>""</f>
        <v/>
      </c>
      <c r="CF561" t="str">
        <f>""</f>
        <v/>
      </c>
      <c r="CG561" t="str">
        <f>""</f>
        <v/>
      </c>
      <c r="CH561" t="str">
        <f>""</f>
        <v/>
      </c>
      <c r="CI561" t="str">
        <f>""</f>
        <v/>
      </c>
      <c r="CJ561" t="str">
        <f>""</f>
        <v/>
      </c>
      <c r="CK561" t="str">
        <f>""</f>
        <v/>
      </c>
      <c r="CL561" t="str">
        <f>""</f>
        <v/>
      </c>
      <c r="CM561" t="str">
        <f>""</f>
        <v/>
      </c>
      <c r="CN561" t="str">
        <f>""</f>
        <v/>
      </c>
      <c r="CO561" t="str">
        <f>""</f>
        <v/>
      </c>
      <c r="CP561" t="str">
        <f>""</f>
        <v/>
      </c>
      <c r="CQ561" t="str">
        <f>""</f>
        <v/>
      </c>
      <c r="CR561" t="str">
        <f>""</f>
        <v/>
      </c>
      <c r="CS561" t="str">
        <f>""</f>
        <v/>
      </c>
      <c r="CT561" t="str">
        <f>""</f>
        <v/>
      </c>
      <c r="CU561" t="str">
        <f>""</f>
        <v/>
      </c>
      <c r="CV561" t="str">
        <f>""</f>
        <v/>
      </c>
      <c r="CW561" t="str">
        <f>""</f>
        <v/>
      </c>
      <c r="CX561" t="str">
        <f>""</f>
        <v/>
      </c>
      <c r="CY561" t="str">
        <f>""</f>
        <v/>
      </c>
      <c r="CZ561" t="str">
        <f>""</f>
        <v/>
      </c>
      <c r="DA561" t="str">
        <f>""</f>
        <v/>
      </c>
      <c r="DB561" t="str">
        <f>""</f>
        <v/>
      </c>
      <c r="DC561" t="str">
        <f>""</f>
        <v/>
      </c>
      <c r="DD561" t="str">
        <f>""</f>
        <v/>
      </c>
      <c r="DE561" t="str">
        <f>""</f>
        <v/>
      </c>
      <c r="DF561" t="str">
        <f>""</f>
        <v/>
      </c>
      <c r="DG561" t="str">
        <f>""</f>
        <v/>
      </c>
      <c r="DH561" t="str">
        <f>""</f>
        <v/>
      </c>
      <c r="DI561" t="str">
        <f>""</f>
        <v/>
      </c>
      <c r="DJ561" t="str">
        <f>""</f>
        <v/>
      </c>
      <c r="DK561" t="str">
        <f>""</f>
        <v/>
      </c>
      <c r="DL561" t="str">
        <f>""</f>
        <v/>
      </c>
      <c r="DM561" t="str">
        <f>""</f>
        <v/>
      </c>
      <c r="DN561" t="str">
        <f>""</f>
        <v/>
      </c>
      <c r="DO561" t="str">
        <f>""</f>
        <v/>
      </c>
      <c r="DP561" t="str">
        <f>""</f>
        <v/>
      </c>
      <c r="DQ561" t="str">
        <f>""</f>
        <v/>
      </c>
      <c r="DR561" t="str">
        <f>""</f>
        <v/>
      </c>
      <c r="DS561" t="str">
        <f>""</f>
        <v/>
      </c>
      <c r="DT561" t="str">
        <f>""</f>
        <v/>
      </c>
      <c r="DU561" t="str">
        <f>""</f>
        <v/>
      </c>
    </row>
    <row r="562" spans="1:125">
      <c r="A562" t="str">
        <f>$A$107</f>
        <v xml:space="preserve">    Realty Income Corp</v>
      </c>
      <c r="B562" t="str">
        <f>$B$107</f>
        <v>O US Equity</v>
      </c>
      <c r="C562" t="str">
        <f>$C$107</f>
        <v>IS972</v>
      </c>
      <c r="D562" t="str">
        <f>$D$107</f>
        <v>IS_ADJUSTED_EBITDA_AS_REPORTED</v>
      </c>
      <c r="E562" t="str">
        <f>$E$107</f>
        <v>动态</v>
      </c>
      <c r="F562" t="str">
        <f ca="1">BDH($B$107,$C$107,$B$417,$B$418,CONCATENATE("Per=",$B$415),"Dts=H","Dir=H",CONCATENATE("Points=",$B$416),"Sort=R","Days=A","Fill=B",CONCATENATE("FX=", $B$414) )</f>
        <v>#N/A Authorization</v>
      </c>
      <c r="BN562" t="str">
        <f>""</f>
        <v/>
      </c>
      <c r="BO562" t="str">
        <f>""</f>
        <v/>
      </c>
      <c r="BP562" t="str">
        <f>""</f>
        <v/>
      </c>
      <c r="BQ562" t="str">
        <f>""</f>
        <v/>
      </c>
      <c r="BR562" t="str">
        <f>""</f>
        <v/>
      </c>
      <c r="BS562" t="str">
        <f>""</f>
        <v/>
      </c>
      <c r="BT562" t="str">
        <f>""</f>
        <v/>
      </c>
      <c r="BU562" t="str">
        <f>""</f>
        <v/>
      </c>
      <c r="BV562" t="str">
        <f>""</f>
        <v/>
      </c>
      <c r="BW562" t="str">
        <f>""</f>
        <v/>
      </c>
      <c r="BX562" t="str">
        <f>""</f>
        <v/>
      </c>
      <c r="BY562" t="str">
        <f>""</f>
        <v/>
      </c>
      <c r="BZ562" t="str">
        <f>""</f>
        <v/>
      </c>
      <c r="CA562" t="str">
        <f>""</f>
        <v/>
      </c>
      <c r="CB562" t="str">
        <f>""</f>
        <v/>
      </c>
      <c r="CC562" t="str">
        <f>""</f>
        <v/>
      </c>
      <c r="CD562" t="str">
        <f>""</f>
        <v/>
      </c>
      <c r="CE562" t="str">
        <f>""</f>
        <v/>
      </c>
      <c r="CF562" t="str">
        <f>""</f>
        <v/>
      </c>
      <c r="CG562" t="str">
        <f>""</f>
        <v/>
      </c>
      <c r="CH562" t="str">
        <f>""</f>
        <v/>
      </c>
      <c r="CI562" t="str">
        <f>""</f>
        <v/>
      </c>
      <c r="CJ562" t="str">
        <f>""</f>
        <v/>
      </c>
      <c r="CK562" t="str">
        <f>""</f>
        <v/>
      </c>
      <c r="CL562" t="str">
        <f>""</f>
        <v/>
      </c>
      <c r="CM562" t="str">
        <f>""</f>
        <v/>
      </c>
      <c r="CN562" t="str">
        <f>""</f>
        <v/>
      </c>
      <c r="CO562" t="str">
        <f>""</f>
        <v/>
      </c>
      <c r="CP562" t="str">
        <f>""</f>
        <v/>
      </c>
      <c r="CQ562" t="str">
        <f>""</f>
        <v/>
      </c>
      <c r="CR562" t="str">
        <f>""</f>
        <v/>
      </c>
      <c r="CS562" t="str">
        <f>""</f>
        <v/>
      </c>
      <c r="CT562" t="str">
        <f>""</f>
        <v/>
      </c>
      <c r="CU562" t="str">
        <f>""</f>
        <v/>
      </c>
      <c r="CV562" t="str">
        <f>""</f>
        <v/>
      </c>
      <c r="CW562" t="str">
        <f>""</f>
        <v/>
      </c>
      <c r="CX562" t="str">
        <f>""</f>
        <v/>
      </c>
      <c r="CY562" t="str">
        <f>""</f>
        <v/>
      </c>
      <c r="CZ562" t="str">
        <f>""</f>
        <v/>
      </c>
      <c r="DA562" t="str">
        <f>""</f>
        <v/>
      </c>
      <c r="DB562" t="str">
        <f>""</f>
        <v/>
      </c>
      <c r="DC562" t="str">
        <f>""</f>
        <v/>
      </c>
      <c r="DD562" t="str">
        <f>""</f>
        <v/>
      </c>
      <c r="DE562" t="str">
        <f>""</f>
        <v/>
      </c>
      <c r="DF562" t="str">
        <f>""</f>
        <v/>
      </c>
      <c r="DG562" t="str">
        <f>""</f>
        <v/>
      </c>
      <c r="DH562" t="str">
        <f>""</f>
        <v/>
      </c>
      <c r="DI562" t="str">
        <f>""</f>
        <v/>
      </c>
      <c r="DJ562" t="str">
        <f>""</f>
        <v/>
      </c>
      <c r="DK562" t="str">
        <f>""</f>
        <v/>
      </c>
      <c r="DL562" t="str">
        <f>""</f>
        <v/>
      </c>
      <c r="DM562" t="str">
        <f>""</f>
        <v/>
      </c>
      <c r="DN562" t="str">
        <f>""</f>
        <v/>
      </c>
      <c r="DO562" t="str">
        <f>""</f>
        <v/>
      </c>
      <c r="DP562" t="str">
        <f>""</f>
        <v/>
      </c>
      <c r="DQ562" t="str">
        <f>""</f>
        <v/>
      </c>
      <c r="DR562" t="str">
        <f>""</f>
        <v/>
      </c>
      <c r="DS562" t="str">
        <f>""</f>
        <v/>
      </c>
      <c r="DT562" t="str">
        <f>""</f>
        <v/>
      </c>
      <c r="DU562" t="str">
        <f>""</f>
        <v/>
      </c>
    </row>
    <row r="563" spans="1:125">
      <c r="A563" t="str">
        <f>$A$108</f>
        <v xml:space="preserve">    Regency Centers Corp</v>
      </c>
      <c r="B563" t="str">
        <f>$B$108</f>
        <v>REG US Equity</v>
      </c>
      <c r="C563" t="str">
        <f>$C$108</f>
        <v>IS972</v>
      </c>
      <c r="D563" t="str">
        <f>$D$108</f>
        <v>IS_ADJUSTED_EBITDA_AS_REPORTED</v>
      </c>
      <c r="E563" t="str">
        <f>$E$108</f>
        <v>动态</v>
      </c>
      <c r="F563" t="str">
        <f ca="1">BDH($B$108,$C$108,$B$417,$B$418,CONCATENATE("Per=",$B$415),"Dts=H","Dir=H",CONCATENATE("Points=",$B$416),"Sort=R","Days=A","Fill=B",CONCATENATE("FX=", $B$414) )</f>
        <v>#N/A Authorization</v>
      </c>
      <c r="BN563" t="str">
        <f>""</f>
        <v/>
      </c>
      <c r="BO563" t="str">
        <f>""</f>
        <v/>
      </c>
      <c r="BP563" t="str">
        <f>""</f>
        <v/>
      </c>
      <c r="BQ563" t="str">
        <f>""</f>
        <v/>
      </c>
      <c r="BR563" t="str">
        <f>""</f>
        <v/>
      </c>
      <c r="BS563" t="str">
        <f>""</f>
        <v/>
      </c>
      <c r="BT563" t="str">
        <f>""</f>
        <v/>
      </c>
      <c r="BU563" t="str">
        <f>""</f>
        <v/>
      </c>
      <c r="BV563" t="str">
        <f>""</f>
        <v/>
      </c>
      <c r="BW563" t="str">
        <f>""</f>
        <v/>
      </c>
      <c r="BX563" t="str">
        <f>""</f>
        <v/>
      </c>
      <c r="BY563" t="str">
        <f>""</f>
        <v/>
      </c>
      <c r="BZ563" t="str">
        <f>""</f>
        <v/>
      </c>
      <c r="CA563" t="str">
        <f>""</f>
        <v/>
      </c>
      <c r="CB563" t="str">
        <f>""</f>
        <v/>
      </c>
      <c r="CC563" t="str">
        <f>""</f>
        <v/>
      </c>
      <c r="CD563" t="str">
        <f>""</f>
        <v/>
      </c>
      <c r="CE563" t="str">
        <f>""</f>
        <v/>
      </c>
      <c r="CF563" t="str">
        <f>""</f>
        <v/>
      </c>
      <c r="CG563" t="str">
        <f>""</f>
        <v/>
      </c>
      <c r="CH563" t="str">
        <f>""</f>
        <v/>
      </c>
      <c r="CI563" t="str">
        <f>""</f>
        <v/>
      </c>
      <c r="CJ563" t="str">
        <f>""</f>
        <v/>
      </c>
      <c r="CK563" t="str">
        <f>""</f>
        <v/>
      </c>
      <c r="CL563" t="str">
        <f>""</f>
        <v/>
      </c>
      <c r="CM563" t="str">
        <f>""</f>
        <v/>
      </c>
      <c r="CN563" t="str">
        <f>""</f>
        <v/>
      </c>
      <c r="CO563" t="str">
        <f>""</f>
        <v/>
      </c>
      <c r="CP563" t="str">
        <f>""</f>
        <v/>
      </c>
      <c r="CQ563" t="str">
        <f>""</f>
        <v/>
      </c>
      <c r="CR563" t="str">
        <f>""</f>
        <v/>
      </c>
      <c r="CS563" t="str">
        <f>""</f>
        <v/>
      </c>
      <c r="CT563" t="str">
        <f>""</f>
        <v/>
      </c>
      <c r="CU563" t="str">
        <f>""</f>
        <v/>
      </c>
      <c r="CV563" t="str">
        <f>""</f>
        <v/>
      </c>
      <c r="CW563" t="str">
        <f>""</f>
        <v/>
      </c>
      <c r="CX563" t="str">
        <f>""</f>
        <v/>
      </c>
      <c r="CY563" t="str">
        <f>""</f>
        <v/>
      </c>
      <c r="CZ563" t="str">
        <f>""</f>
        <v/>
      </c>
      <c r="DA563" t="str">
        <f>""</f>
        <v/>
      </c>
      <c r="DB563" t="str">
        <f>""</f>
        <v/>
      </c>
      <c r="DC563" t="str">
        <f>""</f>
        <v/>
      </c>
      <c r="DD563" t="str">
        <f>""</f>
        <v/>
      </c>
      <c r="DE563" t="str">
        <f>""</f>
        <v/>
      </c>
      <c r="DF563" t="str">
        <f>""</f>
        <v/>
      </c>
      <c r="DG563" t="str">
        <f>""</f>
        <v/>
      </c>
      <c r="DH563" t="str">
        <f>""</f>
        <v/>
      </c>
      <c r="DI563" t="str">
        <f>""</f>
        <v/>
      </c>
      <c r="DJ563" t="str">
        <f>""</f>
        <v/>
      </c>
      <c r="DK563" t="str">
        <f>""</f>
        <v/>
      </c>
      <c r="DL563" t="str">
        <f>""</f>
        <v/>
      </c>
      <c r="DM563" t="str">
        <f>""</f>
        <v/>
      </c>
      <c r="DN563" t="str">
        <f>""</f>
        <v/>
      </c>
      <c r="DO563" t="str">
        <f>""</f>
        <v/>
      </c>
      <c r="DP563" t="str">
        <f>""</f>
        <v/>
      </c>
      <c r="DQ563" t="str">
        <f>""</f>
        <v/>
      </c>
      <c r="DR563" t="str">
        <f>""</f>
        <v/>
      </c>
      <c r="DS563" t="str">
        <f>""</f>
        <v/>
      </c>
      <c r="DT563" t="str">
        <f>""</f>
        <v/>
      </c>
      <c r="DU563" t="str">
        <f>""</f>
        <v/>
      </c>
    </row>
    <row r="564" spans="1:125">
      <c r="A564" t="str">
        <f>$A$109</f>
        <v xml:space="preserve">    Retail Opportunity Investments</v>
      </c>
      <c r="B564" t="str">
        <f>$B$109</f>
        <v>ROIC US Equity</v>
      </c>
      <c r="C564" t="str">
        <f>$C$109</f>
        <v>IS972</v>
      </c>
      <c r="D564" t="str">
        <f>$D$109</f>
        <v>IS_ADJUSTED_EBITDA_AS_REPORTED</v>
      </c>
      <c r="E564" t="str">
        <f>$E$109</f>
        <v>动态</v>
      </c>
      <c r="F564" t="str">
        <f ca="1">BDH($B$109,$C$109,$B$417,$B$418,CONCATENATE("Per=",$B$415),"Dts=H","Dir=H",CONCATENATE("Points=",$B$416),"Sort=R","Days=A","Fill=B",CONCATENATE("FX=", $B$414) )</f>
        <v>#N/A Authorization</v>
      </c>
      <c r="BN564" t="str">
        <f>""</f>
        <v/>
      </c>
      <c r="BO564" t="str">
        <f>""</f>
        <v/>
      </c>
      <c r="BP564" t="str">
        <f>""</f>
        <v/>
      </c>
      <c r="BQ564" t="str">
        <f>""</f>
        <v/>
      </c>
      <c r="BR564" t="str">
        <f>""</f>
        <v/>
      </c>
      <c r="BS564" t="str">
        <f>""</f>
        <v/>
      </c>
      <c r="BT564" t="str">
        <f>""</f>
        <v/>
      </c>
      <c r="BU564" t="str">
        <f>""</f>
        <v/>
      </c>
      <c r="BV564" t="str">
        <f>""</f>
        <v/>
      </c>
      <c r="BW564" t="str">
        <f>""</f>
        <v/>
      </c>
      <c r="BX564" t="str">
        <f>""</f>
        <v/>
      </c>
      <c r="BY564" t="str">
        <f>""</f>
        <v/>
      </c>
      <c r="BZ564" t="str">
        <f>""</f>
        <v/>
      </c>
      <c r="CA564" t="str">
        <f>""</f>
        <v/>
      </c>
      <c r="CB564" t="str">
        <f>""</f>
        <v/>
      </c>
      <c r="CC564" t="str">
        <f>""</f>
        <v/>
      </c>
      <c r="CD564" t="str">
        <f>""</f>
        <v/>
      </c>
      <c r="CE564" t="str">
        <f>""</f>
        <v/>
      </c>
      <c r="CF564" t="str">
        <f>""</f>
        <v/>
      </c>
      <c r="CG564" t="str">
        <f>""</f>
        <v/>
      </c>
      <c r="CH564" t="str">
        <f>""</f>
        <v/>
      </c>
      <c r="CI564" t="str">
        <f>""</f>
        <v/>
      </c>
      <c r="CJ564" t="str">
        <f>""</f>
        <v/>
      </c>
      <c r="CK564" t="str">
        <f>""</f>
        <v/>
      </c>
      <c r="CL564" t="str">
        <f>""</f>
        <v/>
      </c>
      <c r="CM564" t="str">
        <f>""</f>
        <v/>
      </c>
      <c r="CN564" t="str">
        <f>""</f>
        <v/>
      </c>
      <c r="CO564" t="str">
        <f>""</f>
        <v/>
      </c>
      <c r="CP564" t="str">
        <f>""</f>
        <v/>
      </c>
      <c r="CQ564" t="str">
        <f>""</f>
        <v/>
      </c>
      <c r="CR564" t="str">
        <f>""</f>
        <v/>
      </c>
      <c r="CS564" t="str">
        <f>""</f>
        <v/>
      </c>
      <c r="CT564" t="str">
        <f>""</f>
        <v/>
      </c>
      <c r="CU564" t="str">
        <f>""</f>
        <v/>
      </c>
      <c r="CV564" t="str">
        <f>""</f>
        <v/>
      </c>
      <c r="CW564" t="str">
        <f>""</f>
        <v/>
      </c>
      <c r="CX564" t="str">
        <f>""</f>
        <v/>
      </c>
      <c r="CY564" t="str">
        <f>""</f>
        <v/>
      </c>
      <c r="CZ564" t="str">
        <f>""</f>
        <v/>
      </c>
      <c r="DA564" t="str">
        <f>""</f>
        <v/>
      </c>
      <c r="DB564" t="str">
        <f>""</f>
        <v/>
      </c>
      <c r="DC564" t="str">
        <f>""</f>
        <v/>
      </c>
      <c r="DD564" t="str">
        <f>""</f>
        <v/>
      </c>
      <c r="DE564" t="str">
        <f>""</f>
        <v/>
      </c>
      <c r="DF564" t="str">
        <f>""</f>
        <v/>
      </c>
      <c r="DG564" t="str">
        <f>""</f>
        <v/>
      </c>
      <c r="DH564" t="str">
        <f>""</f>
        <v/>
      </c>
      <c r="DI564" t="str">
        <f>""</f>
        <v/>
      </c>
      <c r="DJ564" t="str">
        <f>""</f>
        <v/>
      </c>
      <c r="DK564" t="str">
        <f>""</f>
        <v/>
      </c>
      <c r="DL564" t="str">
        <f>""</f>
        <v/>
      </c>
      <c r="DM564" t="str">
        <f>""</f>
        <v/>
      </c>
      <c r="DN564" t="str">
        <f>""</f>
        <v/>
      </c>
      <c r="DO564" t="str">
        <f>""</f>
        <v/>
      </c>
      <c r="DP564" t="str">
        <f>""</f>
        <v/>
      </c>
      <c r="DQ564" t="str">
        <f>""</f>
        <v/>
      </c>
      <c r="DR564" t="str">
        <f>""</f>
        <v/>
      </c>
      <c r="DS564" t="str">
        <f>""</f>
        <v/>
      </c>
      <c r="DT564" t="str">
        <f>""</f>
        <v/>
      </c>
      <c r="DU564" t="str">
        <f>""</f>
        <v/>
      </c>
    </row>
    <row r="565" spans="1:125">
      <c r="A565" t="str">
        <f>$A$110</f>
        <v xml:space="preserve">    Retail Properties of America I</v>
      </c>
      <c r="B565" t="str">
        <f>$B$110</f>
        <v>RPAI US Equity</v>
      </c>
      <c r="C565" t="str">
        <f>$C$110</f>
        <v>IS972</v>
      </c>
      <c r="D565" t="str">
        <f>$D$110</f>
        <v>IS_ADJUSTED_EBITDA_AS_REPORTED</v>
      </c>
      <c r="E565" t="str">
        <f>$E$110</f>
        <v>动态</v>
      </c>
      <c r="F565" t="str">
        <f ca="1">BDH($B$110,$C$110,$B$417,$B$418,CONCATENATE("Per=",$B$415),"Dts=H","Dir=H",CONCATENATE("Points=",$B$416),"Sort=R","Days=A","Fill=B",CONCATENATE("FX=", $B$414) )</f>
        <v>#N/A Authorization</v>
      </c>
      <c r="BN565" t="str">
        <f>""</f>
        <v/>
      </c>
      <c r="BO565" t="str">
        <f>""</f>
        <v/>
      </c>
      <c r="BP565" t="str">
        <f>""</f>
        <v/>
      </c>
      <c r="BQ565" t="str">
        <f>""</f>
        <v/>
      </c>
      <c r="BR565" t="str">
        <f>""</f>
        <v/>
      </c>
      <c r="BS565" t="str">
        <f>""</f>
        <v/>
      </c>
      <c r="BT565" t="str">
        <f>""</f>
        <v/>
      </c>
      <c r="BU565" t="str">
        <f>""</f>
        <v/>
      </c>
      <c r="BV565" t="str">
        <f>""</f>
        <v/>
      </c>
      <c r="BW565" t="str">
        <f>""</f>
        <v/>
      </c>
      <c r="BX565" t="str">
        <f>""</f>
        <v/>
      </c>
      <c r="BY565" t="str">
        <f>""</f>
        <v/>
      </c>
      <c r="BZ565" t="str">
        <f>""</f>
        <v/>
      </c>
      <c r="CA565" t="str">
        <f>""</f>
        <v/>
      </c>
      <c r="CB565" t="str">
        <f>""</f>
        <v/>
      </c>
      <c r="CC565" t="str">
        <f>""</f>
        <v/>
      </c>
      <c r="CD565" t="str">
        <f>""</f>
        <v/>
      </c>
      <c r="CE565" t="str">
        <f>""</f>
        <v/>
      </c>
      <c r="CF565" t="str">
        <f>""</f>
        <v/>
      </c>
      <c r="CG565" t="str">
        <f>""</f>
        <v/>
      </c>
      <c r="CH565" t="str">
        <f>""</f>
        <v/>
      </c>
      <c r="CI565" t="str">
        <f>""</f>
        <v/>
      </c>
      <c r="CJ565" t="str">
        <f>""</f>
        <v/>
      </c>
      <c r="CK565" t="str">
        <f>""</f>
        <v/>
      </c>
      <c r="CL565" t="str">
        <f>""</f>
        <v/>
      </c>
      <c r="CM565" t="str">
        <f>""</f>
        <v/>
      </c>
      <c r="CN565" t="str">
        <f>""</f>
        <v/>
      </c>
      <c r="CO565" t="str">
        <f>""</f>
        <v/>
      </c>
      <c r="CP565" t="str">
        <f>""</f>
        <v/>
      </c>
      <c r="CQ565" t="str">
        <f>""</f>
        <v/>
      </c>
      <c r="CR565" t="str">
        <f>""</f>
        <v/>
      </c>
      <c r="CS565" t="str">
        <f>""</f>
        <v/>
      </c>
      <c r="CT565" t="str">
        <f>""</f>
        <v/>
      </c>
      <c r="CU565" t="str">
        <f>""</f>
        <v/>
      </c>
      <c r="CV565" t="str">
        <f>""</f>
        <v/>
      </c>
      <c r="CW565" t="str">
        <f>""</f>
        <v/>
      </c>
      <c r="CX565" t="str">
        <f>""</f>
        <v/>
      </c>
      <c r="CY565" t="str">
        <f>""</f>
        <v/>
      </c>
      <c r="CZ565" t="str">
        <f>""</f>
        <v/>
      </c>
      <c r="DA565" t="str">
        <f>""</f>
        <v/>
      </c>
      <c r="DB565" t="str">
        <f>""</f>
        <v/>
      </c>
      <c r="DC565" t="str">
        <f>""</f>
        <v/>
      </c>
      <c r="DD565" t="str">
        <f>""</f>
        <v/>
      </c>
      <c r="DE565" t="str">
        <f>""</f>
        <v/>
      </c>
      <c r="DF565" t="str">
        <f>""</f>
        <v/>
      </c>
      <c r="DG565" t="str">
        <f>""</f>
        <v/>
      </c>
      <c r="DH565" t="str">
        <f>""</f>
        <v/>
      </c>
      <c r="DI565" t="str">
        <f>""</f>
        <v/>
      </c>
      <c r="DJ565" t="str">
        <f>""</f>
        <v/>
      </c>
      <c r="DK565" t="str">
        <f>""</f>
        <v/>
      </c>
      <c r="DL565" t="str">
        <f>""</f>
        <v/>
      </c>
      <c r="DM565" t="str">
        <f>""</f>
        <v/>
      </c>
      <c r="DN565" t="str">
        <f>""</f>
        <v/>
      </c>
      <c r="DO565" t="str">
        <f>""</f>
        <v/>
      </c>
      <c r="DP565" t="str">
        <f>""</f>
        <v/>
      </c>
      <c r="DQ565" t="str">
        <f>""</f>
        <v/>
      </c>
      <c r="DR565" t="str">
        <f>""</f>
        <v/>
      </c>
      <c r="DS565" t="str">
        <f>""</f>
        <v/>
      </c>
      <c r="DT565" t="str">
        <f>""</f>
        <v/>
      </c>
      <c r="DU565" t="str">
        <f>""</f>
        <v/>
      </c>
    </row>
    <row r="566" spans="1:125">
      <c r="A566" t="str">
        <f>$A$111</f>
        <v xml:space="preserve">    Simon Property Group Inc</v>
      </c>
      <c r="B566" t="str">
        <f>$B$111</f>
        <v>SPG US Equity</v>
      </c>
      <c r="C566" t="str">
        <f>$C$111</f>
        <v>IS972</v>
      </c>
      <c r="D566" t="str">
        <f>$D$111</f>
        <v>IS_ADJUSTED_EBITDA_AS_REPORTED</v>
      </c>
      <c r="E566" t="str">
        <f>$E$111</f>
        <v>动态</v>
      </c>
      <c r="F566" t="str">
        <f ca="1">BDH($B$111,$C$111,$B$417,$B$418,CONCATENATE("Per=",$B$415),"Dts=H","Dir=H",CONCATENATE("Points=",$B$416),"Sort=R","Days=A","Fill=B",CONCATENATE("FX=", $B$414) )</f>
        <v>#N/A Authorization</v>
      </c>
      <c r="BN566" t="str">
        <f>""</f>
        <v/>
      </c>
      <c r="BO566" t="str">
        <f>""</f>
        <v/>
      </c>
      <c r="BP566" t="str">
        <f>""</f>
        <v/>
      </c>
      <c r="BQ566" t="str">
        <f>""</f>
        <v/>
      </c>
      <c r="BR566" t="str">
        <f>""</f>
        <v/>
      </c>
      <c r="BS566" t="str">
        <f>""</f>
        <v/>
      </c>
      <c r="BT566" t="str">
        <f>""</f>
        <v/>
      </c>
      <c r="BU566" t="str">
        <f>""</f>
        <v/>
      </c>
      <c r="BV566" t="str">
        <f>""</f>
        <v/>
      </c>
      <c r="BW566" t="str">
        <f>""</f>
        <v/>
      </c>
      <c r="BX566" t="str">
        <f>""</f>
        <v/>
      </c>
      <c r="BY566" t="str">
        <f>""</f>
        <v/>
      </c>
      <c r="BZ566" t="str">
        <f>""</f>
        <v/>
      </c>
      <c r="CA566" t="str">
        <f>""</f>
        <v/>
      </c>
      <c r="CB566" t="str">
        <f>""</f>
        <v/>
      </c>
      <c r="CC566" t="str">
        <f>""</f>
        <v/>
      </c>
      <c r="CD566" t="str">
        <f>""</f>
        <v/>
      </c>
      <c r="CE566" t="str">
        <f>""</f>
        <v/>
      </c>
      <c r="CF566" t="str">
        <f>""</f>
        <v/>
      </c>
      <c r="CG566" t="str">
        <f>""</f>
        <v/>
      </c>
      <c r="CH566" t="str">
        <f>""</f>
        <v/>
      </c>
      <c r="CI566" t="str">
        <f>""</f>
        <v/>
      </c>
      <c r="CJ566" t="str">
        <f>""</f>
        <v/>
      </c>
      <c r="CK566" t="str">
        <f>""</f>
        <v/>
      </c>
      <c r="CL566" t="str">
        <f>""</f>
        <v/>
      </c>
      <c r="CM566" t="str">
        <f>""</f>
        <v/>
      </c>
      <c r="CN566" t="str">
        <f>""</f>
        <v/>
      </c>
      <c r="CO566" t="str">
        <f>""</f>
        <v/>
      </c>
      <c r="CP566" t="str">
        <f>""</f>
        <v/>
      </c>
      <c r="CQ566" t="str">
        <f>""</f>
        <v/>
      </c>
      <c r="CR566" t="str">
        <f>""</f>
        <v/>
      </c>
      <c r="CS566" t="str">
        <f>""</f>
        <v/>
      </c>
      <c r="CT566" t="str">
        <f>""</f>
        <v/>
      </c>
      <c r="CU566" t="str">
        <f>""</f>
        <v/>
      </c>
      <c r="CV566" t="str">
        <f>""</f>
        <v/>
      </c>
      <c r="CW566" t="str">
        <f>""</f>
        <v/>
      </c>
      <c r="CX566" t="str">
        <f>""</f>
        <v/>
      </c>
      <c r="CY566" t="str">
        <f>""</f>
        <v/>
      </c>
      <c r="CZ566" t="str">
        <f>""</f>
        <v/>
      </c>
      <c r="DA566" t="str">
        <f>""</f>
        <v/>
      </c>
      <c r="DB566" t="str">
        <f>""</f>
        <v/>
      </c>
      <c r="DC566" t="str">
        <f>""</f>
        <v/>
      </c>
      <c r="DD566" t="str">
        <f>""</f>
        <v/>
      </c>
      <c r="DE566" t="str">
        <f>""</f>
        <v/>
      </c>
      <c r="DF566" t="str">
        <f>""</f>
        <v/>
      </c>
      <c r="DG566" t="str">
        <f>""</f>
        <v/>
      </c>
      <c r="DH566" t="str">
        <f>""</f>
        <v/>
      </c>
      <c r="DI566" t="str">
        <f>""</f>
        <v/>
      </c>
      <c r="DJ566" t="str">
        <f>""</f>
        <v/>
      </c>
      <c r="DK566" t="str">
        <f>""</f>
        <v/>
      </c>
      <c r="DL566" t="str">
        <f>""</f>
        <v/>
      </c>
      <c r="DM566" t="str">
        <f>""</f>
        <v/>
      </c>
      <c r="DN566" t="str">
        <f>""</f>
        <v/>
      </c>
      <c r="DO566" t="str">
        <f>""</f>
        <v/>
      </c>
      <c r="DP566" t="str">
        <f>""</f>
        <v/>
      </c>
      <c r="DQ566" t="str">
        <f>""</f>
        <v/>
      </c>
      <c r="DR566" t="str">
        <f>""</f>
        <v/>
      </c>
      <c r="DS566" t="str">
        <f>""</f>
        <v/>
      </c>
      <c r="DT566" t="str">
        <f>""</f>
        <v/>
      </c>
      <c r="DU566" t="str">
        <f>""</f>
        <v/>
      </c>
    </row>
    <row r="567" spans="1:125">
      <c r="A567" t="str">
        <f>$A$112</f>
        <v xml:space="preserve">    Tanger Factory Outlet Centers</v>
      </c>
      <c r="B567" t="str">
        <f>$B$112</f>
        <v>SKT US Equity</v>
      </c>
      <c r="C567" t="str">
        <f>$C$112</f>
        <v>IS972</v>
      </c>
      <c r="D567" t="str">
        <f>$D$112</f>
        <v>IS_ADJUSTED_EBITDA_AS_REPORTED</v>
      </c>
      <c r="E567" t="str">
        <f>$E$112</f>
        <v>动态</v>
      </c>
      <c r="F567" t="str">
        <f ca="1">BDH($B$112,$C$112,$B$417,$B$418,CONCATENATE("Per=",$B$415),"Dts=H","Dir=H",CONCATENATE("Points=",$B$416),"Sort=R","Days=A","Fill=B",CONCATENATE("FX=", $B$414) )</f>
        <v>#N/A Authorization</v>
      </c>
      <c r="BN567" t="str">
        <f>""</f>
        <v/>
      </c>
      <c r="BO567" t="str">
        <f>""</f>
        <v/>
      </c>
      <c r="BP567" t="str">
        <f>""</f>
        <v/>
      </c>
      <c r="BQ567" t="str">
        <f>""</f>
        <v/>
      </c>
      <c r="BR567" t="str">
        <f>""</f>
        <v/>
      </c>
      <c r="BS567" t="str">
        <f>""</f>
        <v/>
      </c>
      <c r="BT567" t="str">
        <f>""</f>
        <v/>
      </c>
      <c r="BU567" t="str">
        <f>""</f>
        <v/>
      </c>
      <c r="BV567" t="str">
        <f>""</f>
        <v/>
      </c>
      <c r="BW567" t="str">
        <f>""</f>
        <v/>
      </c>
      <c r="BX567" t="str">
        <f>""</f>
        <v/>
      </c>
      <c r="BY567" t="str">
        <f>""</f>
        <v/>
      </c>
      <c r="BZ567" t="str">
        <f>""</f>
        <v/>
      </c>
      <c r="CA567" t="str">
        <f>""</f>
        <v/>
      </c>
      <c r="CB567" t="str">
        <f>""</f>
        <v/>
      </c>
      <c r="CC567" t="str">
        <f>""</f>
        <v/>
      </c>
      <c r="CD567" t="str">
        <f>""</f>
        <v/>
      </c>
      <c r="CE567" t="str">
        <f>""</f>
        <v/>
      </c>
      <c r="CF567" t="str">
        <f>""</f>
        <v/>
      </c>
      <c r="CG567" t="str">
        <f>""</f>
        <v/>
      </c>
      <c r="CH567" t="str">
        <f>""</f>
        <v/>
      </c>
      <c r="CI567" t="str">
        <f>""</f>
        <v/>
      </c>
      <c r="CJ567" t="str">
        <f>""</f>
        <v/>
      </c>
      <c r="CK567" t="str">
        <f>""</f>
        <v/>
      </c>
      <c r="CL567" t="str">
        <f>""</f>
        <v/>
      </c>
      <c r="CM567" t="str">
        <f>""</f>
        <v/>
      </c>
      <c r="CN567" t="str">
        <f>""</f>
        <v/>
      </c>
      <c r="CO567" t="str">
        <f>""</f>
        <v/>
      </c>
      <c r="CP567" t="str">
        <f>""</f>
        <v/>
      </c>
      <c r="CQ567" t="str">
        <f>""</f>
        <v/>
      </c>
      <c r="CR567" t="str">
        <f>""</f>
        <v/>
      </c>
      <c r="CS567" t="str">
        <f>""</f>
        <v/>
      </c>
      <c r="CT567" t="str">
        <f>""</f>
        <v/>
      </c>
      <c r="CU567" t="str">
        <f>""</f>
        <v/>
      </c>
      <c r="CV567" t="str">
        <f>""</f>
        <v/>
      </c>
      <c r="CW567" t="str">
        <f>""</f>
        <v/>
      </c>
      <c r="CX567" t="str">
        <f>""</f>
        <v/>
      </c>
      <c r="CY567" t="str">
        <f>""</f>
        <v/>
      </c>
      <c r="CZ567" t="str">
        <f>""</f>
        <v/>
      </c>
      <c r="DA567" t="str">
        <f>""</f>
        <v/>
      </c>
      <c r="DB567" t="str">
        <f>""</f>
        <v/>
      </c>
      <c r="DC567" t="str">
        <f>""</f>
        <v/>
      </c>
      <c r="DD567" t="str">
        <f>""</f>
        <v/>
      </c>
      <c r="DE567" t="str">
        <f>""</f>
        <v/>
      </c>
      <c r="DF567" t="str">
        <f>""</f>
        <v/>
      </c>
      <c r="DG567" t="str">
        <f>""</f>
        <v/>
      </c>
      <c r="DH567" t="str">
        <f>""</f>
        <v/>
      </c>
      <c r="DI567" t="str">
        <f>""</f>
        <v/>
      </c>
      <c r="DJ567" t="str">
        <f>""</f>
        <v/>
      </c>
      <c r="DK567" t="str">
        <f>""</f>
        <v/>
      </c>
      <c r="DL567" t="str">
        <f>""</f>
        <v/>
      </c>
      <c r="DM567" t="str">
        <f>""</f>
        <v/>
      </c>
      <c r="DN567" t="str">
        <f>""</f>
        <v/>
      </c>
      <c r="DO567" t="str">
        <f>""</f>
        <v/>
      </c>
      <c r="DP567" t="str">
        <f>""</f>
        <v/>
      </c>
      <c r="DQ567" t="str">
        <f>""</f>
        <v/>
      </c>
      <c r="DR567" t="str">
        <f>""</f>
        <v/>
      </c>
      <c r="DS567" t="str">
        <f>""</f>
        <v/>
      </c>
      <c r="DT567" t="str">
        <f>""</f>
        <v/>
      </c>
      <c r="DU567" t="str">
        <f>""</f>
        <v/>
      </c>
    </row>
    <row r="568" spans="1:125">
      <c r="A568" t="str">
        <f>$A$113</f>
        <v xml:space="preserve">    VEREIT Inc</v>
      </c>
      <c r="B568" t="str">
        <f>$B$113</f>
        <v>VER US Equity</v>
      </c>
      <c r="C568" t="str">
        <f>$C$113</f>
        <v>IS972</v>
      </c>
      <c r="D568" t="str">
        <f>$D$113</f>
        <v>IS_ADJUSTED_EBITDA_AS_REPORTED</v>
      </c>
      <c r="E568" t="str">
        <f>$E$113</f>
        <v>动态</v>
      </c>
      <c r="F568" t="str">
        <f ca="1">BDH($B$113,$C$113,$B$417,$B$418,CONCATENATE("Per=",$B$415),"Dts=H","Dir=H",CONCATENATE("Points=",$B$416),"Sort=R","Days=A","Fill=B",CONCATENATE("FX=", $B$414) )</f>
        <v>#N/A Authorization</v>
      </c>
      <c r="BN568" t="str">
        <f>""</f>
        <v/>
      </c>
      <c r="BO568" t="str">
        <f>""</f>
        <v/>
      </c>
      <c r="BP568" t="str">
        <f>""</f>
        <v/>
      </c>
      <c r="BQ568" t="str">
        <f>""</f>
        <v/>
      </c>
      <c r="BR568" t="str">
        <f>""</f>
        <v/>
      </c>
      <c r="BS568" t="str">
        <f>""</f>
        <v/>
      </c>
      <c r="BT568" t="str">
        <f>""</f>
        <v/>
      </c>
      <c r="BU568" t="str">
        <f>""</f>
        <v/>
      </c>
      <c r="BV568" t="str">
        <f>""</f>
        <v/>
      </c>
      <c r="BW568" t="str">
        <f>""</f>
        <v/>
      </c>
      <c r="BX568" t="str">
        <f>""</f>
        <v/>
      </c>
      <c r="BY568" t="str">
        <f>""</f>
        <v/>
      </c>
      <c r="BZ568" t="str">
        <f>""</f>
        <v/>
      </c>
      <c r="CA568" t="str">
        <f>""</f>
        <v/>
      </c>
      <c r="CB568" t="str">
        <f>""</f>
        <v/>
      </c>
      <c r="CC568" t="str">
        <f>""</f>
        <v/>
      </c>
      <c r="CD568" t="str">
        <f>""</f>
        <v/>
      </c>
      <c r="CE568" t="str">
        <f>""</f>
        <v/>
      </c>
      <c r="CF568" t="str">
        <f>""</f>
        <v/>
      </c>
      <c r="CG568" t="str">
        <f>""</f>
        <v/>
      </c>
      <c r="CH568" t="str">
        <f>""</f>
        <v/>
      </c>
      <c r="CI568" t="str">
        <f>""</f>
        <v/>
      </c>
      <c r="CJ568" t="str">
        <f>""</f>
        <v/>
      </c>
      <c r="CK568" t="str">
        <f>""</f>
        <v/>
      </c>
      <c r="CL568" t="str">
        <f>""</f>
        <v/>
      </c>
      <c r="CM568" t="str">
        <f>""</f>
        <v/>
      </c>
      <c r="CN568" t="str">
        <f>""</f>
        <v/>
      </c>
      <c r="CO568" t="str">
        <f>""</f>
        <v/>
      </c>
      <c r="CP568" t="str">
        <f>""</f>
        <v/>
      </c>
      <c r="CQ568" t="str">
        <f>""</f>
        <v/>
      </c>
      <c r="CR568" t="str">
        <f>""</f>
        <v/>
      </c>
      <c r="CS568" t="str">
        <f>""</f>
        <v/>
      </c>
      <c r="CT568" t="str">
        <f>""</f>
        <v/>
      </c>
      <c r="CU568" t="str">
        <f>""</f>
        <v/>
      </c>
      <c r="CV568" t="str">
        <f>""</f>
        <v/>
      </c>
      <c r="CW568" t="str">
        <f>""</f>
        <v/>
      </c>
      <c r="CX568" t="str">
        <f>""</f>
        <v/>
      </c>
      <c r="CY568" t="str">
        <f>""</f>
        <v/>
      </c>
      <c r="CZ568" t="str">
        <f>""</f>
        <v/>
      </c>
      <c r="DA568" t="str">
        <f>""</f>
        <v/>
      </c>
      <c r="DB568" t="str">
        <f>""</f>
        <v/>
      </c>
      <c r="DC568" t="str">
        <f>""</f>
        <v/>
      </c>
      <c r="DD568" t="str">
        <f>""</f>
        <v/>
      </c>
      <c r="DE568" t="str">
        <f>""</f>
        <v/>
      </c>
      <c r="DF568" t="str">
        <f>""</f>
        <v/>
      </c>
      <c r="DG568" t="str">
        <f>""</f>
        <v/>
      </c>
      <c r="DH568" t="str">
        <f>""</f>
        <v/>
      </c>
      <c r="DI568" t="str">
        <f>""</f>
        <v/>
      </c>
      <c r="DJ568" t="str">
        <f>""</f>
        <v/>
      </c>
      <c r="DK568" t="str">
        <f>""</f>
        <v/>
      </c>
      <c r="DL568" t="str">
        <f>""</f>
        <v/>
      </c>
      <c r="DM568" t="str">
        <f>""</f>
        <v/>
      </c>
      <c r="DN568" t="str">
        <f>""</f>
        <v/>
      </c>
      <c r="DO568" t="str">
        <f>""</f>
        <v/>
      </c>
      <c r="DP568" t="str">
        <f>""</f>
        <v/>
      </c>
      <c r="DQ568" t="str">
        <f>""</f>
        <v/>
      </c>
      <c r="DR568" t="str">
        <f>""</f>
        <v/>
      </c>
      <c r="DS568" t="str">
        <f>""</f>
        <v/>
      </c>
      <c r="DT568" t="str">
        <f>""</f>
        <v/>
      </c>
      <c r="DU568" t="str">
        <f>""</f>
        <v/>
      </c>
    </row>
    <row r="569" spans="1:125">
      <c r="A569" t="str">
        <f>$A$114</f>
        <v xml:space="preserve">    Washington Prime Group Inc</v>
      </c>
      <c r="B569" t="str">
        <f>$B$114</f>
        <v>WPG US Equity</v>
      </c>
      <c r="C569" t="str">
        <f>$C$114</f>
        <v>IS972</v>
      </c>
      <c r="D569" t="str">
        <f>$D$114</f>
        <v>IS_ADJUSTED_EBITDA_AS_REPORTED</v>
      </c>
      <c r="E569" t="str">
        <f>$E$114</f>
        <v>动态</v>
      </c>
      <c r="F569" t="str">
        <f ca="1">BDH($B$114,$C$114,$B$417,$B$418,CONCATENATE("Per=",$B$415),"Dts=H","Dir=H",CONCATENATE("Points=",$B$416),"Sort=R","Days=A","Fill=B",CONCATENATE("FX=", $B$414) )</f>
        <v>#N/A Authorization</v>
      </c>
      <c r="BN569" t="str">
        <f>""</f>
        <v/>
      </c>
      <c r="BO569" t="str">
        <f>""</f>
        <v/>
      </c>
      <c r="BP569" t="str">
        <f>""</f>
        <v/>
      </c>
      <c r="BQ569" t="str">
        <f>""</f>
        <v/>
      </c>
      <c r="BR569" t="str">
        <f>""</f>
        <v/>
      </c>
      <c r="BS569" t="str">
        <f>""</f>
        <v/>
      </c>
      <c r="BT569" t="str">
        <f>""</f>
        <v/>
      </c>
      <c r="BU569" t="str">
        <f>""</f>
        <v/>
      </c>
      <c r="BV569" t="str">
        <f>""</f>
        <v/>
      </c>
      <c r="BW569" t="str">
        <f>""</f>
        <v/>
      </c>
      <c r="BX569" t="str">
        <f>""</f>
        <v/>
      </c>
      <c r="BY569" t="str">
        <f>""</f>
        <v/>
      </c>
      <c r="BZ569" t="str">
        <f>""</f>
        <v/>
      </c>
      <c r="CA569" t="str">
        <f>""</f>
        <v/>
      </c>
      <c r="CB569" t="str">
        <f>""</f>
        <v/>
      </c>
      <c r="CC569" t="str">
        <f>""</f>
        <v/>
      </c>
      <c r="CD569" t="str">
        <f>""</f>
        <v/>
      </c>
      <c r="CE569" t="str">
        <f>""</f>
        <v/>
      </c>
      <c r="CF569" t="str">
        <f>""</f>
        <v/>
      </c>
      <c r="CG569" t="str">
        <f>""</f>
        <v/>
      </c>
      <c r="CH569" t="str">
        <f>""</f>
        <v/>
      </c>
      <c r="CI569" t="str">
        <f>""</f>
        <v/>
      </c>
      <c r="CJ569" t="str">
        <f>""</f>
        <v/>
      </c>
      <c r="CK569" t="str">
        <f>""</f>
        <v/>
      </c>
      <c r="CL569" t="str">
        <f>""</f>
        <v/>
      </c>
      <c r="CM569" t="str">
        <f>""</f>
        <v/>
      </c>
      <c r="CN569" t="str">
        <f>""</f>
        <v/>
      </c>
      <c r="CO569" t="str">
        <f>""</f>
        <v/>
      </c>
      <c r="CP569" t="str">
        <f>""</f>
        <v/>
      </c>
      <c r="CQ569" t="str">
        <f>""</f>
        <v/>
      </c>
      <c r="CR569" t="str">
        <f>""</f>
        <v/>
      </c>
      <c r="CS569" t="str">
        <f>""</f>
        <v/>
      </c>
      <c r="CT569" t="str">
        <f>""</f>
        <v/>
      </c>
      <c r="CU569" t="str">
        <f>""</f>
        <v/>
      </c>
      <c r="CV569" t="str">
        <f>""</f>
        <v/>
      </c>
      <c r="CW569" t="str">
        <f>""</f>
        <v/>
      </c>
      <c r="CX569" t="str">
        <f>""</f>
        <v/>
      </c>
      <c r="CY569" t="str">
        <f>""</f>
        <v/>
      </c>
      <c r="CZ569" t="str">
        <f>""</f>
        <v/>
      </c>
      <c r="DA569" t="str">
        <f>""</f>
        <v/>
      </c>
      <c r="DB569" t="str">
        <f>""</f>
        <v/>
      </c>
      <c r="DC569" t="str">
        <f>""</f>
        <v/>
      </c>
      <c r="DD569" t="str">
        <f>""</f>
        <v/>
      </c>
      <c r="DE569" t="str">
        <f>""</f>
        <v/>
      </c>
      <c r="DF569" t="str">
        <f>""</f>
        <v/>
      </c>
      <c r="DG569" t="str">
        <f>""</f>
        <v/>
      </c>
      <c r="DH569" t="str">
        <f>""</f>
        <v/>
      </c>
      <c r="DI569" t="str">
        <f>""</f>
        <v/>
      </c>
      <c r="DJ569" t="str">
        <f>""</f>
        <v/>
      </c>
      <c r="DK569" t="str">
        <f>""</f>
        <v/>
      </c>
      <c r="DL569" t="str">
        <f>""</f>
        <v/>
      </c>
      <c r="DM569" t="str">
        <f>""</f>
        <v/>
      </c>
      <c r="DN569" t="str">
        <f>""</f>
        <v/>
      </c>
      <c r="DO569" t="str">
        <f>""</f>
        <v/>
      </c>
      <c r="DP569" t="str">
        <f>""</f>
        <v/>
      </c>
      <c r="DQ569" t="str">
        <f>""</f>
        <v/>
      </c>
      <c r="DR569" t="str">
        <f>""</f>
        <v/>
      </c>
      <c r="DS569" t="str">
        <f>""</f>
        <v/>
      </c>
      <c r="DT569" t="str">
        <f>""</f>
        <v/>
      </c>
      <c r="DU569" t="str">
        <f>""</f>
        <v/>
      </c>
    </row>
    <row r="570" spans="1:125">
      <c r="A570" t="str">
        <f>$A$115</f>
        <v xml:space="preserve">    Weingarten Realty Investors</v>
      </c>
      <c r="B570" t="str">
        <f>$B$115</f>
        <v>WRI US Equity</v>
      </c>
      <c r="C570" t="str">
        <f>$C$115</f>
        <v>IS972</v>
      </c>
      <c r="D570" t="str">
        <f>$D$115</f>
        <v>IS_ADJUSTED_EBITDA_AS_REPORTED</v>
      </c>
      <c r="E570" t="str">
        <f>$E$115</f>
        <v>动态</v>
      </c>
      <c r="F570" t="str">
        <f ca="1">BDH($B$115,$C$115,$B$417,$B$418,CONCATENATE("Per=",$B$415),"Dts=H","Dir=H",CONCATENATE("Points=",$B$416),"Sort=R","Days=A","Fill=B",CONCATENATE("FX=", $B$414) )</f>
        <v>#N/A Authorization</v>
      </c>
      <c r="BN570" t="str">
        <f>""</f>
        <v/>
      </c>
      <c r="BO570" t="str">
        <f>""</f>
        <v/>
      </c>
      <c r="BP570" t="str">
        <f>""</f>
        <v/>
      </c>
      <c r="BQ570" t="str">
        <f>""</f>
        <v/>
      </c>
      <c r="BR570" t="str">
        <f>""</f>
        <v/>
      </c>
      <c r="BS570" t="str">
        <f>""</f>
        <v/>
      </c>
      <c r="BT570" t="str">
        <f>""</f>
        <v/>
      </c>
      <c r="BU570" t="str">
        <f>""</f>
        <v/>
      </c>
      <c r="BV570" t="str">
        <f>""</f>
        <v/>
      </c>
      <c r="BW570" t="str">
        <f>""</f>
        <v/>
      </c>
      <c r="BX570" t="str">
        <f>""</f>
        <v/>
      </c>
      <c r="BY570" t="str">
        <f>""</f>
        <v/>
      </c>
      <c r="BZ570" t="str">
        <f>""</f>
        <v/>
      </c>
      <c r="CA570" t="str">
        <f>""</f>
        <v/>
      </c>
      <c r="CB570" t="str">
        <f>""</f>
        <v/>
      </c>
      <c r="CC570" t="str">
        <f>""</f>
        <v/>
      </c>
      <c r="CD570" t="str">
        <f>""</f>
        <v/>
      </c>
      <c r="CE570" t="str">
        <f>""</f>
        <v/>
      </c>
      <c r="CF570" t="str">
        <f>""</f>
        <v/>
      </c>
      <c r="CG570" t="str">
        <f>""</f>
        <v/>
      </c>
      <c r="CH570" t="str">
        <f>""</f>
        <v/>
      </c>
      <c r="CI570" t="str">
        <f>""</f>
        <v/>
      </c>
      <c r="CJ570" t="str">
        <f>""</f>
        <v/>
      </c>
      <c r="CK570" t="str">
        <f>""</f>
        <v/>
      </c>
      <c r="CL570" t="str">
        <f>""</f>
        <v/>
      </c>
      <c r="CM570" t="str">
        <f>""</f>
        <v/>
      </c>
      <c r="CN570" t="str">
        <f>""</f>
        <v/>
      </c>
      <c r="CO570" t="str">
        <f>""</f>
        <v/>
      </c>
      <c r="CP570" t="str">
        <f>""</f>
        <v/>
      </c>
      <c r="CQ570" t="str">
        <f>""</f>
        <v/>
      </c>
      <c r="CR570" t="str">
        <f>""</f>
        <v/>
      </c>
      <c r="CS570" t="str">
        <f>""</f>
        <v/>
      </c>
      <c r="CT570" t="str">
        <f>""</f>
        <v/>
      </c>
      <c r="CU570" t="str">
        <f>""</f>
        <v/>
      </c>
      <c r="CV570" t="str">
        <f>""</f>
        <v/>
      </c>
      <c r="CW570" t="str">
        <f>""</f>
        <v/>
      </c>
      <c r="CX570" t="str">
        <f>""</f>
        <v/>
      </c>
      <c r="CY570" t="str">
        <f>""</f>
        <v/>
      </c>
      <c r="CZ570" t="str">
        <f>""</f>
        <v/>
      </c>
      <c r="DA570" t="str">
        <f>""</f>
        <v/>
      </c>
      <c r="DB570" t="str">
        <f>""</f>
        <v/>
      </c>
      <c r="DC570" t="str">
        <f>""</f>
        <v/>
      </c>
      <c r="DD570" t="str">
        <f>""</f>
        <v/>
      </c>
      <c r="DE570" t="str">
        <f>""</f>
        <v/>
      </c>
      <c r="DF570" t="str">
        <f>""</f>
        <v/>
      </c>
      <c r="DG570" t="str">
        <f>""</f>
        <v/>
      </c>
      <c r="DH570" t="str">
        <f>""</f>
        <v/>
      </c>
      <c r="DI570" t="str">
        <f>""</f>
        <v/>
      </c>
      <c r="DJ570" t="str">
        <f>""</f>
        <v/>
      </c>
      <c r="DK570" t="str">
        <f>""</f>
        <v/>
      </c>
      <c r="DL570" t="str">
        <f>""</f>
        <v/>
      </c>
      <c r="DM570" t="str">
        <f>""</f>
        <v/>
      </c>
      <c r="DN570" t="str">
        <f>""</f>
        <v/>
      </c>
      <c r="DO570" t="str">
        <f>""</f>
        <v/>
      </c>
      <c r="DP570" t="str">
        <f>""</f>
        <v/>
      </c>
      <c r="DQ570" t="str">
        <f>""</f>
        <v/>
      </c>
      <c r="DR570" t="str">
        <f>""</f>
        <v/>
      </c>
      <c r="DS570" t="str">
        <f>""</f>
        <v/>
      </c>
      <c r="DT570" t="str">
        <f>""</f>
        <v/>
      </c>
      <c r="DU570" t="str">
        <f>""</f>
        <v/>
      </c>
    </row>
    <row r="571" spans="1:125">
      <c r="A571" t="str">
        <f>$A$117</f>
        <v xml:space="preserve">    Brixmor Property Group Inc</v>
      </c>
      <c r="B571" t="str">
        <f>$B$117</f>
        <v>BRX US Equity</v>
      </c>
      <c r="C571" t="str">
        <f>$C$117</f>
        <v>CF039</v>
      </c>
      <c r="D571" t="str">
        <f>$D$117</f>
        <v>CF_FFO</v>
      </c>
      <c r="E571" t="str">
        <f>$E$117</f>
        <v>动态</v>
      </c>
      <c r="F571" t="str">
        <f ca="1">BDH($B$117,$C$117,$B$417,$B$418,CONCATENATE("Per=",$B$415),"Dts=H","Dir=H",CONCATENATE("Points=",$B$416),"Sort=R","Days=A","Fill=B",CONCATENATE("FX=", $B$414) )</f>
        <v>#N/A Authorization</v>
      </c>
      <c r="BN571" t="str">
        <f>""</f>
        <v/>
      </c>
      <c r="BO571" t="str">
        <f>""</f>
        <v/>
      </c>
      <c r="BP571" t="str">
        <f>""</f>
        <v/>
      </c>
      <c r="BQ571" t="str">
        <f>""</f>
        <v/>
      </c>
      <c r="BR571" t="str">
        <f>""</f>
        <v/>
      </c>
      <c r="BS571" t="str">
        <f>""</f>
        <v/>
      </c>
      <c r="BT571" t="str">
        <f>""</f>
        <v/>
      </c>
      <c r="BU571" t="str">
        <f>""</f>
        <v/>
      </c>
      <c r="BV571" t="str">
        <f>""</f>
        <v/>
      </c>
      <c r="BW571" t="str">
        <f>""</f>
        <v/>
      </c>
      <c r="BX571" t="str">
        <f>""</f>
        <v/>
      </c>
      <c r="BY571" t="str">
        <f>""</f>
        <v/>
      </c>
      <c r="BZ571" t="str">
        <f>""</f>
        <v/>
      </c>
      <c r="CA571" t="str">
        <f>""</f>
        <v/>
      </c>
      <c r="CB571" t="str">
        <f>""</f>
        <v/>
      </c>
      <c r="CC571" t="str">
        <f>""</f>
        <v/>
      </c>
      <c r="CD571" t="str">
        <f>""</f>
        <v/>
      </c>
      <c r="CE571" t="str">
        <f>""</f>
        <v/>
      </c>
      <c r="CF571" t="str">
        <f>""</f>
        <v/>
      </c>
      <c r="CG571" t="str">
        <f>""</f>
        <v/>
      </c>
      <c r="CH571" t="str">
        <f>""</f>
        <v/>
      </c>
      <c r="CI571" t="str">
        <f>""</f>
        <v/>
      </c>
      <c r="CJ571" t="str">
        <f>""</f>
        <v/>
      </c>
      <c r="CK571" t="str">
        <f>""</f>
        <v/>
      </c>
      <c r="CL571" t="str">
        <f>""</f>
        <v/>
      </c>
      <c r="CM571" t="str">
        <f>""</f>
        <v/>
      </c>
      <c r="CN571" t="str">
        <f>""</f>
        <v/>
      </c>
      <c r="CO571" t="str">
        <f>""</f>
        <v/>
      </c>
      <c r="CP571" t="str">
        <f>""</f>
        <v/>
      </c>
      <c r="CQ571" t="str">
        <f>""</f>
        <v/>
      </c>
      <c r="CR571" t="str">
        <f>""</f>
        <v/>
      </c>
      <c r="CS571" t="str">
        <f>""</f>
        <v/>
      </c>
      <c r="CT571" t="str">
        <f>""</f>
        <v/>
      </c>
      <c r="CU571" t="str">
        <f>""</f>
        <v/>
      </c>
      <c r="CV571" t="str">
        <f>""</f>
        <v/>
      </c>
      <c r="CW571" t="str">
        <f>""</f>
        <v/>
      </c>
      <c r="CX571" t="str">
        <f>""</f>
        <v/>
      </c>
      <c r="CY571" t="str">
        <f>""</f>
        <v/>
      </c>
      <c r="CZ571" t="str">
        <f>""</f>
        <v/>
      </c>
      <c r="DA571" t="str">
        <f>""</f>
        <v/>
      </c>
      <c r="DB571" t="str">
        <f>""</f>
        <v/>
      </c>
      <c r="DC571" t="str">
        <f>""</f>
        <v/>
      </c>
      <c r="DD571" t="str">
        <f>""</f>
        <v/>
      </c>
      <c r="DE571" t="str">
        <f>""</f>
        <v/>
      </c>
      <c r="DF571" t="str">
        <f>""</f>
        <v/>
      </c>
      <c r="DG571" t="str">
        <f>""</f>
        <v/>
      </c>
      <c r="DH571" t="str">
        <f>""</f>
        <v/>
      </c>
      <c r="DI571" t="str">
        <f>""</f>
        <v/>
      </c>
      <c r="DJ571" t="str">
        <f>""</f>
        <v/>
      </c>
      <c r="DK571" t="str">
        <f>""</f>
        <v/>
      </c>
      <c r="DL571" t="str">
        <f>""</f>
        <v/>
      </c>
      <c r="DM571" t="str">
        <f>""</f>
        <v/>
      </c>
      <c r="DN571" t="str">
        <f>""</f>
        <v/>
      </c>
      <c r="DO571" t="str">
        <f>""</f>
        <v/>
      </c>
      <c r="DP571" t="str">
        <f>""</f>
        <v/>
      </c>
      <c r="DQ571" t="str">
        <f>""</f>
        <v/>
      </c>
      <c r="DR571" t="str">
        <f>""</f>
        <v/>
      </c>
      <c r="DS571" t="str">
        <f>""</f>
        <v/>
      </c>
      <c r="DT571" t="str">
        <f>""</f>
        <v/>
      </c>
      <c r="DU571" t="str">
        <f>""</f>
        <v/>
      </c>
    </row>
    <row r="572" spans="1:125">
      <c r="A572" t="str">
        <f>$A$118</f>
        <v xml:space="preserve">    CBL &amp; Associates Properties In</v>
      </c>
      <c r="B572" t="str">
        <f>$B$118</f>
        <v>CBL US Equity</v>
      </c>
      <c r="C572" t="str">
        <f>$C$118</f>
        <v>CF039</v>
      </c>
      <c r="D572" t="str">
        <f>$D$118</f>
        <v>CF_FFO</v>
      </c>
      <c r="E572" t="str">
        <f>$E$118</f>
        <v>动态</v>
      </c>
      <c r="F572" t="str">
        <f ca="1">BDH($B$118,$C$118,$B$417,$B$418,CONCATENATE("Per=",$B$415),"Dts=H","Dir=H",CONCATENATE("Points=",$B$416),"Sort=R","Days=A","Fill=B",CONCATENATE("FX=", $B$414) )</f>
        <v>#N/A Authorization</v>
      </c>
      <c r="BN572" t="str">
        <f>""</f>
        <v/>
      </c>
      <c r="BO572" t="str">
        <f>""</f>
        <v/>
      </c>
      <c r="BP572" t="str">
        <f>""</f>
        <v/>
      </c>
      <c r="BQ572" t="str">
        <f>""</f>
        <v/>
      </c>
      <c r="BR572" t="str">
        <f>""</f>
        <v/>
      </c>
      <c r="BS572" t="str">
        <f>""</f>
        <v/>
      </c>
      <c r="BT572" t="str">
        <f>""</f>
        <v/>
      </c>
      <c r="BU572" t="str">
        <f>""</f>
        <v/>
      </c>
      <c r="BV572" t="str">
        <f>""</f>
        <v/>
      </c>
      <c r="BW572" t="str">
        <f>""</f>
        <v/>
      </c>
      <c r="BX572" t="str">
        <f>""</f>
        <v/>
      </c>
      <c r="BY572" t="str">
        <f>""</f>
        <v/>
      </c>
      <c r="BZ572" t="str">
        <f>""</f>
        <v/>
      </c>
      <c r="CA572" t="str">
        <f>""</f>
        <v/>
      </c>
      <c r="CB572" t="str">
        <f>""</f>
        <v/>
      </c>
      <c r="CC572" t="str">
        <f>""</f>
        <v/>
      </c>
      <c r="CD572" t="str">
        <f>""</f>
        <v/>
      </c>
      <c r="CE572" t="str">
        <f>""</f>
        <v/>
      </c>
      <c r="CF572" t="str">
        <f>""</f>
        <v/>
      </c>
      <c r="CG572" t="str">
        <f>""</f>
        <v/>
      </c>
      <c r="CH572" t="str">
        <f>""</f>
        <v/>
      </c>
      <c r="CI572" t="str">
        <f>""</f>
        <v/>
      </c>
      <c r="CJ572" t="str">
        <f>""</f>
        <v/>
      </c>
      <c r="CK572" t="str">
        <f>""</f>
        <v/>
      </c>
      <c r="CL572" t="str">
        <f>""</f>
        <v/>
      </c>
      <c r="CM572" t="str">
        <f>""</f>
        <v/>
      </c>
      <c r="CN572" t="str">
        <f>""</f>
        <v/>
      </c>
      <c r="CO572" t="str">
        <f>""</f>
        <v/>
      </c>
      <c r="CP572" t="str">
        <f>""</f>
        <v/>
      </c>
      <c r="CQ572" t="str">
        <f>""</f>
        <v/>
      </c>
      <c r="CR572" t="str">
        <f>""</f>
        <v/>
      </c>
      <c r="CS572" t="str">
        <f>""</f>
        <v/>
      </c>
      <c r="CT572" t="str">
        <f>""</f>
        <v/>
      </c>
      <c r="CU572" t="str">
        <f>""</f>
        <v/>
      </c>
      <c r="CV572" t="str">
        <f>""</f>
        <v/>
      </c>
      <c r="CW572" t="str">
        <f>""</f>
        <v/>
      </c>
      <c r="CX572" t="str">
        <f>""</f>
        <v/>
      </c>
      <c r="CY572" t="str">
        <f>""</f>
        <v/>
      </c>
      <c r="CZ572" t="str">
        <f>""</f>
        <v/>
      </c>
      <c r="DA572" t="str">
        <f>""</f>
        <v/>
      </c>
      <c r="DB572" t="str">
        <f>""</f>
        <v/>
      </c>
      <c r="DC572" t="str">
        <f>""</f>
        <v/>
      </c>
      <c r="DD572" t="str">
        <f>""</f>
        <v/>
      </c>
      <c r="DE572" t="str">
        <f>""</f>
        <v/>
      </c>
      <c r="DF572" t="str">
        <f>""</f>
        <v/>
      </c>
      <c r="DG572" t="str">
        <f>""</f>
        <v/>
      </c>
      <c r="DH572" t="str">
        <f>""</f>
        <v/>
      </c>
      <c r="DI572" t="str">
        <f>""</f>
        <v/>
      </c>
      <c r="DJ572" t="str">
        <f>""</f>
        <v/>
      </c>
      <c r="DK572" t="str">
        <f>""</f>
        <v/>
      </c>
      <c r="DL572" t="str">
        <f>""</f>
        <v/>
      </c>
      <c r="DM572" t="str">
        <f>""</f>
        <v/>
      </c>
      <c r="DN572" t="str">
        <f>""</f>
        <v/>
      </c>
      <c r="DO572" t="str">
        <f>""</f>
        <v/>
      </c>
      <c r="DP572" t="str">
        <f>""</f>
        <v/>
      </c>
      <c r="DQ572" t="str">
        <f>""</f>
        <v/>
      </c>
      <c r="DR572" t="str">
        <f>""</f>
        <v/>
      </c>
      <c r="DS572" t="str">
        <f>""</f>
        <v/>
      </c>
      <c r="DT572" t="str">
        <f>""</f>
        <v/>
      </c>
      <c r="DU572" t="str">
        <f>""</f>
        <v/>
      </c>
    </row>
    <row r="573" spans="1:125">
      <c r="A573" t="str">
        <f>$A$119</f>
        <v xml:space="preserve">    DDR Corp</v>
      </c>
      <c r="B573" t="str">
        <f>$B$119</f>
        <v>DDR US Equity</v>
      </c>
      <c r="C573" t="str">
        <f>$C$119</f>
        <v>CF039</v>
      </c>
      <c r="D573" t="str">
        <f>$D$119</f>
        <v>CF_FFO</v>
      </c>
      <c r="E573" t="str">
        <f>$E$119</f>
        <v>动态</v>
      </c>
      <c r="F573" t="str">
        <f ca="1">BDH($B$119,$C$119,$B$417,$B$418,CONCATENATE("Per=",$B$415),"Dts=H","Dir=H",CONCATENATE("Points=",$B$416),"Sort=R","Days=A","Fill=B",CONCATENATE("FX=", $B$414) )</f>
        <v>#N/A Authorization</v>
      </c>
      <c r="BN573" t="str">
        <f>""</f>
        <v/>
      </c>
      <c r="BO573" t="str">
        <f>""</f>
        <v/>
      </c>
      <c r="BP573" t="str">
        <f>""</f>
        <v/>
      </c>
      <c r="BQ573" t="str">
        <f>""</f>
        <v/>
      </c>
      <c r="BR573" t="str">
        <f>""</f>
        <v/>
      </c>
      <c r="BS573" t="str">
        <f>""</f>
        <v/>
      </c>
      <c r="BT573" t="str">
        <f>""</f>
        <v/>
      </c>
      <c r="BU573" t="str">
        <f>""</f>
        <v/>
      </c>
      <c r="BV573" t="str">
        <f>""</f>
        <v/>
      </c>
      <c r="BW573" t="str">
        <f>""</f>
        <v/>
      </c>
      <c r="BX573" t="str">
        <f>""</f>
        <v/>
      </c>
      <c r="BY573" t="str">
        <f>""</f>
        <v/>
      </c>
      <c r="BZ573" t="str">
        <f>""</f>
        <v/>
      </c>
      <c r="CA573" t="str">
        <f>""</f>
        <v/>
      </c>
      <c r="CB573" t="str">
        <f>""</f>
        <v/>
      </c>
      <c r="CC573" t="str">
        <f>""</f>
        <v/>
      </c>
      <c r="CD573" t="str">
        <f>""</f>
        <v/>
      </c>
      <c r="CE573" t="str">
        <f>""</f>
        <v/>
      </c>
      <c r="CF573" t="str">
        <f>""</f>
        <v/>
      </c>
      <c r="CG573" t="str">
        <f>""</f>
        <v/>
      </c>
      <c r="CH573" t="str">
        <f>""</f>
        <v/>
      </c>
      <c r="CI573" t="str">
        <f>""</f>
        <v/>
      </c>
      <c r="CJ573" t="str">
        <f>""</f>
        <v/>
      </c>
      <c r="CK573" t="str">
        <f>""</f>
        <v/>
      </c>
      <c r="CL573" t="str">
        <f>""</f>
        <v/>
      </c>
      <c r="CM573" t="str">
        <f>""</f>
        <v/>
      </c>
      <c r="CN573" t="str">
        <f>""</f>
        <v/>
      </c>
      <c r="CO573" t="str">
        <f>""</f>
        <v/>
      </c>
      <c r="CP573" t="str">
        <f>""</f>
        <v/>
      </c>
      <c r="CQ573" t="str">
        <f>""</f>
        <v/>
      </c>
      <c r="CR573" t="str">
        <f>""</f>
        <v/>
      </c>
      <c r="CS573" t="str">
        <f>""</f>
        <v/>
      </c>
      <c r="CT573" t="str">
        <f>""</f>
        <v/>
      </c>
      <c r="CU573" t="str">
        <f>""</f>
        <v/>
      </c>
      <c r="CV573" t="str">
        <f>""</f>
        <v/>
      </c>
      <c r="CW573" t="str">
        <f>""</f>
        <v/>
      </c>
      <c r="CX573" t="str">
        <f>""</f>
        <v/>
      </c>
      <c r="CY573" t="str">
        <f>""</f>
        <v/>
      </c>
      <c r="CZ573" t="str">
        <f>""</f>
        <v/>
      </c>
      <c r="DA573" t="str">
        <f>""</f>
        <v/>
      </c>
      <c r="DB573" t="str">
        <f>""</f>
        <v/>
      </c>
      <c r="DC573" t="str">
        <f>""</f>
        <v/>
      </c>
      <c r="DD573" t="str">
        <f>""</f>
        <v/>
      </c>
      <c r="DE573" t="str">
        <f>""</f>
        <v/>
      </c>
      <c r="DF573" t="str">
        <f>""</f>
        <v/>
      </c>
      <c r="DG573" t="str">
        <f>""</f>
        <v/>
      </c>
      <c r="DH573" t="str">
        <f>""</f>
        <v/>
      </c>
      <c r="DI573" t="str">
        <f>""</f>
        <v/>
      </c>
      <c r="DJ573" t="str">
        <f>""</f>
        <v/>
      </c>
      <c r="DK573" t="str">
        <f>""</f>
        <v/>
      </c>
      <c r="DL573" t="str">
        <f>""</f>
        <v/>
      </c>
      <c r="DM573" t="str">
        <f>""</f>
        <v/>
      </c>
      <c r="DN573" t="str">
        <f>""</f>
        <v/>
      </c>
      <c r="DO573" t="str">
        <f>""</f>
        <v/>
      </c>
      <c r="DP573" t="str">
        <f>""</f>
        <v/>
      </c>
      <c r="DQ573" t="str">
        <f>""</f>
        <v/>
      </c>
      <c r="DR573" t="str">
        <f>""</f>
        <v/>
      </c>
      <c r="DS573" t="str">
        <f>""</f>
        <v/>
      </c>
      <c r="DT573" t="str">
        <f>""</f>
        <v/>
      </c>
      <c r="DU573" t="str">
        <f>""</f>
        <v/>
      </c>
    </row>
    <row r="574" spans="1:125">
      <c r="A574" t="str">
        <f>$A$120</f>
        <v xml:space="preserve">    Federal Realty Investment Trus</v>
      </c>
      <c r="B574" t="str">
        <f>$B$120</f>
        <v>FRT US Equity</v>
      </c>
      <c r="C574" t="str">
        <f>$C$120</f>
        <v>CF039</v>
      </c>
      <c r="D574" t="str">
        <f>$D$120</f>
        <v>CF_FFO</v>
      </c>
      <c r="E574" t="str">
        <f>$E$120</f>
        <v>动态</v>
      </c>
      <c r="F574" t="str">
        <f ca="1">BDH($B$120,$C$120,$B$417,$B$418,CONCATENATE("Per=",$B$415),"Dts=H","Dir=H",CONCATENATE("Points=",$B$416),"Sort=R","Days=A","Fill=B",CONCATENATE("FX=", $B$414) )</f>
        <v>#N/A Authorization</v>
      </c>
      <c r="BN574" t="str">
        <f>""</f>
        <v/>
      </c>
      <c r="BO574" t="str">
        <f>""</f>
        <v/>
      </c>
      <c r="BP574" t="str">
        <f>""</f>
        <v/>
      </c>
      <c r="BQ574" t="str">
        <f>""</f>
        <v/>
      </c>
      <c r="BR574" t="str">
        <f>""</f>
        <v/>
      </c>
      <c r="BS574" t="str">
        <f>""</f>
        <v/>
      </c>
      <c r="BT574" t="str">
        <f>""</f>
        <v/>
      </c>
      <c r="BU574" t="str">
        <f>""</f>
        <v/>
      </c>
      <c r="BV574" t="str">
        <f>""</f>
        <v/>
      </c>
      <c r="BW574" t="str">
        <f>""</f>
        <v/>
      </c>
      <c r="BX574" t="str">
        <f>""</f>
        <v/>
      </c>
      <c r="BY574" t="str">
        <f>""</f>
        <v/>
      </c>
      <c r="BZ574" t="str">
        <f>""</f>
        <v/>
      </c>
      <c r="CA574" t="str">
        <f>""</f>
        <v/>
      </c>
      <c r="CB574" t="str">
        <f>""</f>
        <v/>
      </c>
      <c r="CC574" t="str">
        <f>""</f>
        <v/>
      </c>
      <c r="CD574" t="str">
        <f>""</f>
        <v/>
      </c>
      <c r="CE574" t="str">
        <f>""</f>
        <v/>
      </c>
      <c r="CF574" t="str">
        <f>""</f>
        <v/>
      </c>
      <c r="CG574" t="str">
        <f>""</f>
        <v/>
      </c>
      <c r="CH574" t="str">
        <f>""</f>
        <v/>
      </c>
      <c r="CI574" t="str">
        <f>""</f>
        <v/>
      </c>
      <c r="CJ574" t="str">
        <f>""</f>
        <v/>
      </c>
      <c r="CK574" t="str">
        <f>""</f>
        <v/>
      </c>
      <c r="CL574" t="str">
        <f>""</f>
        <v/>
      </c>
      <c r="CM574" t="str">
        <f>""</f>
        <v/>
      </c>
      <c r="CN574" t="str">
        <f>""</f>
        <v/>
      </c>
      <c r="CO574" t="str">
        <f>""</f>
        <v/>
      </c>
      <c r="CP574" t="str">
        <f>""</f>
        <v/>
      </c>
      <c r="CQ574" t="str">
        <f>""</f>
        <v/>
      </c>
      <c r="CR574" t="str">
        <f>""</f>
        <v/>
      </c>
      <c r="CS574" t="str">
        <f>""</f>
        <v/>
      </c>
      <c r="CT574" t="str">
        <f>""</f>
        <v/>
      </c>
      <c r="CU574" t="str">
        <f>""</f>
        <v/>
      </c>
      <c r="CV574" t="str">
        <f>""</f>
        <v/>
      </c>
      <c r="CW574" t="str">
        <f>""</f>
        <v/>
      </c>
      <c r="CX574" t="str">
        <f>""</f>
        <v/>
      </c>
      <c r="CY574" t="str">
        <f>""</f>
        <v/>
      </c>
      <c r="CZ574" t="str">
        <f>""</f>
        <v/>
      </c>
      <c r="DA574" t="str">
        <f>""</f>
        <v/>
      </c>
      <c r="DB574" t="str">
        <f>""</f>
        <v/>
      </c>
      <c r="DC574" t="str">
        <f>""</f>
        <v/>
      </c>
      <c r="DD574" t="str">
        <f>""</f>
        <v/>
      </c>
      <c r="DE574" t="str">
        <f>""</f>
        <v/>
      </c>
      <c r="DF574" t="str">
        <f>""</f>
        <v/>
      </c>
      <c r="DG574" t="str">
        <f>""</f>
        <v/>
      </c>
      <c r="DH574" t="str">
        <f>""</f>
        <v/>
      </c>
      <c r="DI574" t="str">
        <f>""</f>
        <v/>
      </c>
      <c r="DJ574" t="str">
        <f>""</f>
        <v/>
      </c>
      <c r="DK574" t="str">
        <f>""</f>
        <v/>
      </c>
      <c r="DL574" t="str">
        <f>""</f>
        <v/>
      </c>
      <c r="DM574" t="str">
        <f>""</f>
        <v/>
      </c>
      <c r="DN574" t="str">
        <f>""</f>
        <v/>
      </c>
      <c r="DO574" t="str">
        <f>""</f>
        <v/>
      </c>
      <c r="DP574" t="str">
        <f>""</f>
        <v/>
      </c>
      <c r="DQ574" t="str">
        <f>""</f>
        <v/>
      </c>
      <c r="DR574" t="str">
        <f>""</f>
        <v/>
      </c>
      <c r="DS574" t="str">
        <f>""</f>
        <v/>
      </c>
      <c r="DT574" t="str">
        <f>""</f>
        <v/>
      </c>
      <c r="DU574" t="str">
        <f>""</f>
        <v/>
      </c>
    </row>
    <row r="575" spans="1:125">
      <c r="A575" t="str">
        <f>$A$121</f>
        <v xml:space="preserve">    Kimco Realty Corp</v>
      </c>
      <c r="B575" t="str">
        <f>$B$121</f>
        <v>KIM US Equity</v>
      </c>
      <c r="C575" t="str">
        <f>$C$121</f>
        <v>CF039</v>
      </c>
      <c r="D575" t="str">
        <f>$D$121</f>
        <v>CF_FFO</v>
      </c>
      <c r="E575" t="str">
        <f>$E$121</f>
        <v>动态</v>
      </c>
      <c r="F575" t="str">
        <f ca="1">BDH($B$121,$C$121,$B$417,$B$418,CONCATENATE("Per=",$B$415),"Dts=H","Dir=H",CONCATENATE("Points=",$B$416),"Sort=R","Days=A","Fill=B",CONCATENATE("FX=", $B$414) )</f>
        <v>#N/A Authorization</v>
      </c>
      <c r="BN575" t="str">
        <f>""</f>
        <v/>
      </c>
      <c r="BO575" t="str">
        <f>""</f>
        <v/>
      </c>
      <c r="BP575" t="str">
        <f>""</f>
        <v/>
      </c>
      <c r="BQ575" t="str">
        <f>""</f>
        <v/>
      </c>
      <c r="BR575" t="str">
        <f>""</f>
        <v/>
      </c>
      <c r="BS575" t="str">
        <f>""</f>
        <v/>
      </c>
      <c r="BT575" t="str">
        <f>""</f>
        <v/>
      </c>
      <c r="BU575" t="str">
        <f>""</f>
        <v/>
      </c>
      <c r="BV575" t="str">
        <f>""</f>
        <v/>
      </c>
      <c r="BW575" t="str">
        <f>""</f>
        <v/>
      </c>
      <c r="BX575" t="str">
        <f>""</f>
        <v/>
      </c>
      <c r="BY575" t="str">
        <f>""</f>
        <v/>
      </c>
      <c r="BZ575" t="str">
        <f>""</f>
        <v/>
      </c>
      <c r="CA575" t="str">
        <f>""</f>
        <v/>
      </c>
      <c r="CB575" t="str">
        <f>""</f>
        <v/>
      </c>
      <c r="CC575" t="str">
        <f>""</f>
        <v/>
      </c>
      <c r="CD575" t="str">
        <f>""</f>
        <v/>
      </c>
      <c r="CE575" t="str">
        <f>""</f>
        <v/>
      </c>
      <c r="CF575" t="str">
        <f>""</f>
        <v/>
      </c>
      <c r="CG575" t="str">
        <f>""</f>
        <v/>
      </c>
      <c r="CH575" t="str">
        <f>""</f>
        <v/>
      </c>
      <c r="CI575" t="str">
        <f>""</f>
        <v/>
      </c>
      <c r="CJ575" t="str">
        <f>""</f>
        <v/>
      </c>
      <c r="CK575" t="str">
        <f>""</f>
        <v/>
      </c>
      <c r="CL575" t="str">
        <f>""</f>
        <v/>
      </c>
      <c r="CM575" t="str">
        <f>""</f>
        <v/>
      </c>
      <c r="CN575" t="str">
        <f>""</f>
        <v/>
      </c>
      <c r="CO575" t="str">
        <f>""</f>
        <v/>
      </c>
      <c r="CP575" t="str">
        <f>""</f>
        <v/>
      </c>
      <c r="CQ575" t="str">
        <f>""</f>
        <v/>
      </c>
      <c r="CR575" t="str">
        <f>""</f>
        <v/>
      </c>
      <c r="CS575" t="str">
        <f>""</f>
        <v/>
      </c>
      <c r="CT575" t="str">
        <f>""</f>
        <v/>
      </c>
      <c r="CU575" t="str">
        <f>""</f>
        <v/>
      </c>
      <c r="CV575" t="str">
        <f>""</f>
        <v/>
      </c>
      <c r="CW575" t="str">
        <f>""</f>
        <v/>
      </c>
      <c r="CX575" t="str">
        <f>""</f>
        <v/>
      </c>
      <c r="CY575" t="str">
        <f>""</f>
        <v/>
      </c>
      <c r="CZ575" t="str">
        <f>""</f>
        <v/>
      </c>
      <c r="DA575" t="str">
        <f>""</f>
        <v/>
      </c>
      <c r="DB575" t="str">
        <f>""</f>
        <v/>
      </c>
      <c r="DC575" t="str">
        <f>""</f>
        <v/>
      </c>
      <c r="DD575" t="str">
        <f>""</f>
        <v/>
      </c>
      <c r="DE575" t="str">
        <f>""</f>
        <v/>
      </c>
      <c r="DF575" t="str">
        <f>""</f>
        <v/>
      </c>
      <c r="DG575" t="str">
        <f>""</f>
        <v/>
      </c>
      <c r="DH575" t="str">
        <f>""</f>
        <v/>
      </c>
      <c r="DI575" t="str">
        <f>""</f>
        <v/>
      </c>
      <c r="DJ575" t="str">
        <f>""</f>
        <v/>
      </c>
      <c r="DK575" t="str">
        <f>""</f>
        <v/>
      </c>
      <c r="DL575" t="str">
        <f>""</f>
        <v/>
      </c>
      <c r="DM575" t="str">
        <f>""</f>
        <v/>
      </c>
      <c r="DN575" t="str">
        <f>""</f>
        <v/>
      </c>
      <c r="DO575" t="str">
        <f>""</f>
        <v/>
      </c>
      <c r="DP575" t="str">
        <f>""</f>
        <v/>
      </c>
      <c r="DQ575" t="str">
        <f>""</f>
        <v/>
      </c>
      <c r="DR575" t="str">
        <f>""</f>
        <v/>
      </c>
      <c r="DS575" t="str">
        <f>""</f>
        <v/>
      </c>
      <c r="DT575" t="str">
        <f>""</f>
        <v/>
      </c>
      <c r="DU575" t="str">
        <f>""</f>
        <v/>
      </c>
    </row>
    <row r="576" spans="1:125">
      <c r="A576" t="str">
        <f>$A$122</f>
        <v xml:space="preserve">    National Retail Properties Inc</v>
      </c>
      <c r="B576" t="str">
        <f>$B$122</f>
        <v>NNN US Equity</v>
      </c>
      <c r="C576" t="str">
        <f>$C$122</f>
        <v>CF039</v>
      </c>
      <c r="D576" t="str">
        <f>$D$122</f>
        <v>CF_FFO</v>
      </c>
      <c r="E576" t="str">
        <f>$E$122</f>
        <v>动态</v>
      </c>
      <c r="F576" t="str">
        <f ca="1">BDH($B$122,$C$122,$B$417,$B$418,CONCATENATE("Per=",$B$415),"Dts=H","Dir=H",CONCATENATE("Points=",$B$416),"Sort=R","Days=A","Fill=B",CONCATENATE("FX=", $B$414) )</f>
        <v>#N/A Authorization</v>
      </c>
      <c r="BN576" t="str">
        <f>""</f>
        <v/>
      </c>
      <c r="BO576" t="str">
        <f>""</f>
        <v/>
      </c>
      <c r="BP576" t="str">
        <f>""</f>
        <v/>
      </c>
      <c r="BQ576" t="str">
        <f>""</f>
        <v/>
      </c>
      <c r="BR576" t="str">
        <f>""</f>
        <v/>
      </c>
      <c r="BS576" t="str">
        <f>""</f>
        <v/>
      </c>
      <c r="BT576" t="str">
        <f>""</f>
        <v/>
      </c>
      <c r="BU576" t="str">
        <f>""</f>
        <v/>
      </c>
      <c r="BV576" t="str">
        <f>""</f>
        <v/>
      </c>
      <c r="BW576" t="str">
        <f>""</f>
        <v/>
      </c>
      <c r="BX576" t="str">
        <f>""</f>
        <v/>
      </c>
      <c r="BY576" t="str">
        <f>""</f>
        <v/>
      </c>
      <c r="BZ576" t="str">
        <f>""</f>
        <v/>
      </c>
      <c r="CA576" t="str">
        <f>""</f>
        <v/>
      </c>
      <c r="CB576" t="str">
        <f>""</f>
        <v/>
      </c>
      <c r="CC576" t="str">
        <f>""</f>
        <v/>
      </c>
      <c r="CD576" t="str">
        <f>""</f>
        <v/>
      </c>
      <c r="CE576" t="str">
        <f>""</f>
        <v/>
      </c>
      <c r="CF576" t="str">
        <f>""</f>
        <v/>
      </c>
      <c r="CG576" t="str">
        <f>""</f>
        <v/>
      </c>
      <c r="CH576" t="str">
        <f>""</f>
        <v/>
      </c>
      <c r="CI576" t="str">
        <f>""</f>
        <v/>
      </c>
      <c r="CJ576" t="str">
        <f>""</f>
        <v/>
      </c>
      <c r="CK576" t="str">
        <f>""</f>
        <v/>
      </c>
      <c r="CL576" t="str">
        <f>""</f>
        <v/>
      </c>
      <c r="CM576" t="str">
        <f>""</f>
        <v/>
      </c>
      <c r="CN576" t="str">
        <f>""</f>
        <v/>
      </c>
      <c r="CO576" t="str">
        <f>""</f>
        <v/>
      </c>
      <c r="CP576" t="str">
        <f>""</f>
        <v/>
      </c>
      <c r="CQ576" t="str">
        <f>""</f>
        <v/>
      </c>
      <c r="CR576" t="str">
        <f>""</f>
        <v/>
      </c>
      <c r="CS576" t="str">
        <f>""</f>
        <v/>
      </c>
      <c r="CT576" t="str">
        <f>""</f>
        <v/>
      </c>
      <c r="CU576" t="str">
        <f>""</f>
        <v/>
      </c>
      <c r="CV576" t="str">
        <f>""</f>
        <v/>
      </c>
      <c r="CW576" t="str">
        <f>""</f>
        <v/>
      </c>
      <c r="CX576" t="str">
        <f>""</f>
        <v/>
      </c>
      <c r="CY576" t="str">
        <f>""</f>
        <v/>
      </c>
      <c r="CZ576" t="str">
        <f>""</f>
        <v/>
      </c>
      <c r="DA576" t="str">
        <f>""</f>
        <v/>
      </c>
      <c r="DB576" t="str">
        <f>""</f>
        <v/>
      </c>
      <c r="DC576" t="str">
        <f>""</f>
        <v/>
      </c>
      <c r="DD576" t="str">
        <f>""</f>
        <v/>
      </c>
      <c r="DE576" t="str">
        <f>""</f>
        <v/>
      </c>
      <c r="DF576" t="str">
        <f>""</f>
        <v/>
      </c>
      <c r="DG576" t="str">
        <f>""</f>
        <v/>
      </c>
      <c r="DH576" t="str">
        <f>""</f>
        <v/>
      </c>
      <c r="DI576" t="str">
        <f>""</f>
        <v/>
      </c>
      <c r="DJ576" t="str">
        <f>""</f>
        <v/>
      </c>
      <c r="DK576" t="str">
        <f>""</f>
        <v/>
      </c>
      <c r="DL576" t="str">
        <f>""</f>
        <v/>
      </c>
      <c r="DM576" t="str">
        <f>""</f>
        <v/>
      </c>
      <c r="DN576" t="str">
        <f>""</f>
        <v/>
      </c>
      <c r="DO576" t="str">
        <f>""</f>
        <v/>
      </c>
      <c r="DP576" t="str">
        <f>""</f>
        <v/>
      </c>
      <c r="DQ576" t="str">
        <f>""</f>
        <v/>
      </c>
      <c r="DR576" t="str">
        <f>""</f>
        <v/>
      </c>
      <c r="DS576" t="str">
        <f>""</f>
        <v/>
      </c>
      <c r="DT576" t="str">
        <f>""</f>
        <v/>
      </c>
      <c r="DU576" t="str">
        <f>""</f>
        <v/>
      </c>
    </row>
    <row r="577" spans="1:125">
      <c r="A577" t="str">
        <f>$A$123</f>
        <v xml:space="preserve">    Realty Income Corp</v>
      </c>
      <c r="B577" t="str">
        <f>$B$123</f>
        <v>O US Equity</v>
      </c>
      <c r="C577" t="str">
        <f>$C$123</f>
        <v>CF039</v>
      </c>
      <c r="D577" t="str">
        <f>$D$123</f>
        <v>CF_FFO</v>
      </c>
      <c r="E577" t="str">
        <f>$E$123</f>
        <v>动态</v>
      </c>
      <c r="F577" t="str">
        <f ca="1">BDH($B$123,$C$123,$B$417,$B$418,CONCATENATE("Per=",$B$415),"Dts=H","Dir=H",CONCATENATE("Points=",$B$416),"Sort=R","Days=A","Fill=B",CONCATENATE("FX=", $B$414) )</f>
        <v>#N/A Authorization</v>
      </c>
      <c r="BN577" t="str">
        <f>""</f>
        <v/>
      </c>
      <c r="BO577" t="str">
        <f>""</f>
        <v/>
      </c>
      <c r="BP577" t="str">
        <f>""</f>
        <v/>
      </c>
      <c r="BQ577" t="str">
        <f>""</f>
        <v/>
      </c>
      <c r="BR577" t="str">
        <f>""</f>
        <v/>
      </c>
      <c r="BS577" t="str">
        <f>""</f>
        <v/>
      </c>
      <c r="BT577" t="str">
        <f>""</f>
        <v/>
      </c>
      <c r="BU577" t="str">
        <f>""</f>
        <v/>
      </c>
      <c r="BV577" t="str">
        <f>""</f>
        <v/>
      </c>
      <c r="BW577" t="str">
        <f>""</f>
        <v/>
      </c>
      <c r="BX577" t="str">
        <f>""</f>
        <v/>
      </c>
      <c r="BY577" t="str">
        <f>""</f>
        <v/>
      </c>
      <c r="BZ577" t="str">
        <f>""</f>
        <v/>
      </c>
      <c r="CA577" t="str">
        <f>""</f>
        <v/>
      </c>
      <c r="CB577" t="str">
        <f>""</f>
        <v/>
      </c>
      <c r="CC577" t="str">
        <f>""</f>
        <v/>
      </c>
      <c r="CD577" t="str">
        <f>""</f>
        <v/>
      </c>
      <c r="CE577" t="str">
        <f>""</f>
        <v/>
      </c>
      <c r="CF577" t="str">
        <f>""</f>
        <v/>
      </c>
      <c r="CG577" t="str">
        <f>""</f>
        <v/>
      </c>
      <c r="CH577" t="str">
        <f>""</f>
        <v/>
      </c>
      <c r="CI577" t="str">
        <f>""</f>
        <v/>
      </c>
      <c r="CJ577" t="str">
        <f>""</f>
        <v/>
      </c>
      <c r="CK577" t="str">
        <f>""</f>
        <v/>
      </c>
      <c r="CL577" t="str">
        <f>""</f>
        <v/>
      </c>
      <c r="CM577" t="str">
        <f>""</f>
        <v/>
      </c>
      <c r="CN577" t="str">
        <f>""</f>
        <v/>
      </c>
      <c r="CO577" t="str">
        <f>""</f>
        <v/>
      </c>
      <c r="CP577" t="str">
        <f>""</f>
        <v/>
      </c>
      <c r="CQ577" t="str">
        <f>""</f>
        <v/>
      </c>
      <c r="CR577" t="str">
        <f>""</f>
        <v/>
      </c>
      <c r="CS577" t="str">
        <f>""</f>
        <v/>
      </c>
      <c r="CT577" t="str">
        <f>""</f>
        <v/>
      </c>
      <c r="CU577" t="str">
        <f>""</f>
        <v/>
      </c>
      <c r="CV577" t="str">
        <f>""</f>
        <v/>
      </c>
      <c r="CW577" t="str">
        <f>""</f>
        <v/>
      </c>
      <c r="CX577" t="str">
        <f>""</f>
        <v/>
      </c>
      <c r="CY577" t="str">
        <f>""</f>
        <v/>
      </c>
      <c r="CZ577" t="str">
        <f>""</f>
        <v/>
      </c>
      <c r="DA577" t="str">
        <f>""</f>
        <v/>
      </c>
      <c r="DB577" t="str">
        <f>""</f>
        <v/>
      </c>
      <c r="DC577" t="str">
        <f>""</f>
        <v/>
      </c>
      <c r="DD577" t="str">
        <f>""</f>
        <v/>
      </c>
      <c r="DE577" t="str">
        <f>""</f>
        <v/>
      </c>
      <c r="DF577" t="str">
        <f>""</f>
        <v/>
      </c>
      <c r="DG577" t="str">
        <f>""</f>
        <v/>
      </c>
      <c r="DH577" t="str">
        <f>""</f>
        <v/>
      </c>
      <c r="DI577" t="str">
        <f>""</f>
        <v/>
      </c>
      <c r="DJ577" t="str">
        <f>""</f>
        <v/>
      </c>
      <c r="DK577" t="str">
        <f>""</f>
        <v/>
      </c>
      <c r="DL577" t="str">
        <f>""</f>
        <v/>
      </c>
      <c r="DM577" t="str">
        <f>""</f>
        <v/>
      </c>
      <c r="DN577" t="str">
        <f>""</f>
        <v/>
      </c>
      <c r="DO577" t="str">
        <f>""</f>
        <v/>
      </c>
      <c r="DP577" t="str">
        <f>""</f>
        <v/>
      </c>
      <c r="DQ577" t="str">
        <f>""</f>
        <v/>
      </c>
      <c r="DR577" t="str">
        <f>""</f>
        <v/>
      </c>
      <c r="DS577" t="str">
        <f>""</f>
        <v/>
      </c>
      <c r="DT577" t="str">
        <f>""</f>
        <v/>
      </c>
      <c r="DU577" t="str">
        <f>""</f>
        <v/>
      </c>
    </row>
    <row r="578" spans="1:125">
      <c r="A578" t="str">
        <f>$A$124</f>
        <v xml:space="preserve">    Regency Centers Corp</v>
      </c>
      <c r="B578" t="str">
        <f>$B$124</f>
        <v>REG US Equity</v>
      </c>
      <c r="C578" t="str">
        <f>$C$124</f>
        <v>CF039</v>
      </c>
      <c r="D578" t="str">
        <f>$D$124</f>
        <v>CF_FFO</v>
      </c>
      <c r="E578" t="str">
        <f>$E$124</f>
        <v>动态</v>
      </c>
      <c r="F578" t="str">
        <f ca="1">BDH($B$124,$C$124,$B$417,$B$418,CONCATENATE("Per=",$B$415),"Dts=H","Dir=H",CONCATENATE("Points=",$B$416),"Sort=R","Days=A","Fill=B",CONCATENATE("FX=", $B$414) )</f>
        <v>#N/A Authorization</v>
      </c>
      <c r="BN578" t="str">
        <f>""</f>
        <v/>
      </c>
      <c r="BO578" t="str">
        <f>""</f>
        <v/>
      </c>
      <c r="BP578" t="str">
        <f>""</f>
        <v/>
      </c>
      <c r="BQ578" t="str">
        <f>""</f>
        <v/>
      </c>
      <c r="BR578" t="str">
        <f>""</f>
        <v/>
      </c>
      <c r="BS578" t="str">
        <f>""</f>
        <v/>
      </c>
      <c r="BT578" t="str">
        <f>""</f>
        <v/>
      </c>
      <c r="BU578" t="str">
        <f>""</f>
        <v/>
      </c>
      <c r="BV578" t="str">
        <f>""</f>
        <v/>
      </c>
      <c r="BW578" t="str">
        <f>""</f>
        <v/>
      </c>
      <c r="BX578" t="str">
        <f>""</f>
        <v/>
      </c>
      <c r="BY578" t="str">
        <f>""</f>
        <v/>
      </c>
      <c r="BZ578" t="str">
        <f>""</f>
        <v/>
      </c>
      <c r="CA578" t="str">
        <f>""</f>
        <v/>
      </c>
      <c r="CB578" t="str">
        <f>""</f>
        <v/>
      </c>
      <c r="CC578" t="str">
        <f>""</f>
        <v/>
      </c>
      <c r="CD578" t="str">
        <f>""</f>
        <v/>
      </c>
      <c r="CE578" t="str">
        <f>""</f>
        <v/>
      </c>
      <c r="CF578" t="str">
        <f>""</f>
        <v/>
      </c>
      <c r="CG578" t="str">
        <f>""</f>
        <v/>
      </c>
      <c r="CH578" t="str">
        <f>""</f>
        <v/>
      </c>
      <c r="CI578" t="str">
        <f>""</f>
        <v/>
      </c>
      <c r="CJ578" t="str">
        <f>""</f>
        <v/>
      </c>
      <c r="CK578" t="str">
        <f>""</f>
        <v/>
      </c>
      <c r="CL578" t="str">
        <f>""</f>
        <v/>
      </c>
      <c r="CM578" t="str">
        <f>""</f>
        <v/>
      </c>
      <c r="CN578" t="str">
        <f>""</f>
        <v/>
      </c>
      <c r="CO578" t="str">
        <f>""</f>
        <v/>
      </c>
      <c r="CP578" t="str">
        <f>""</f>
        <v/>
      </c>
      <c r="CQ578" t="str">
        <f>""</f>
        <v/>
      </c>
      <c r="CR578" t="str">
        <f>""</f>
        <v/>
      </c>
      <c r="CS578" t="str">
        <f>""</f>
        <v/>
      </c>
      <c r="CT578" t="str">
        <f>""</f>
        <v/>
      </c>
      <c r="CU578" t="str">
        <f>""</f>
        <v/>
      </c>
      <c r="CV578" t="str">
        <f>""</f>
        <v/>
      </c>
      <c r="CW578" t="str">
        <f>""</f>
        <v/>
      </c>
      <c r="CX578" t="str">
        <f>""</f>
        <v/>
      </c>
      <c r="CY578" t="str">
        <f>""</f>
        <v/>
      </c>
      <c r="CZ578" t="str">
        <f>""</f>
        <v/>
      </c>
      <c r="DA578" t="str">
        <f>""</f>
        <v/>
      </c>
      <c r="DB578" t="str">
        <f>""</f>
        <v/>
      </c>
      <c r="DC578" t="str">
        <f>""</f>
        <v/>
      </c>
      <c r="DD578" t="str">
        <f>""</f>
        <v/>
      </c>
      <c r="DE578" t="str">
        <f>""</f>
        <v/>
      </c>
      <c r="DF578" t="str">
        <f>""</f>
        <v/>
      </c>
      <c r="DG578" t="str">
        <f>""</f>
        <v/>
      </c>
      <c r="DH578" t="str">
        <f>""</f>
        <v/>
      </c>
      <c r="DI578" t="str">
        <f>""</f>
        <v/>
      </c>
      <c r="DJ578" t="str">
        <f>""</f>
        <v/>
      </c>
      <c r="DK578" t="str">
        <f>""</f>
        <v/>
      </c>
      <c r="DL578" t="str">
        <f>""</f>
        <v/>
      </c>
      <c r="DM578" t="str">
        <f>""</f>
        <v/>
      </c>
      <c r="DN578" t="str">
        <f>""</f>
        <v/>
      </c>
      <c r="DO578" t="str">
        <f>""</f>
        <v/>
      </c>
      <c r="DP578" t="str">
        <f>""</f>
        <v/>
      </c>
      <c r="DQ578" t="str">
        <f>""</f>
        <v/>
      </c>
      <c r="DR578" t="str">
        <f>""</f>
        <v/>
      </c>
      <c r="DS578" t="str">
        <f>""</f>
        <v/>
      </c>
      <c r="DT578" t="str">
        <f>""</f>
        <v/>
      </c>
      <c r="DU578" t="str">
        <f>""</f>
        <v/>
      </c>
    </row>
    <row r="579" spans="1:125">
      <c r="A579" t="str">
        <f>$A$125</f>
        <v xml:space="preserve">    Retail Opportunity Investments</v>
      </c>
      <c r="B579" t="str">
        <f>$B$125</f>
        <v>ROIC US Equity</v>
      </c>
      <c r="C579" t="str">
        <f>$C$125</f>
        <v>CF039</v>
      </c>
      <c r="D579" t="str">
        <f>$D$125</f>
        <v>CF_FFO</v>
      </c>
      <c r="E579" t="str">
        <f>$E$125</f>
        <v>动态</v>
      </c>
      <c r="F579" t="str">
        <f ca="1">BDH($B$125,$C$125,$B$417,$B$418,CONCATENATE("Per=",$B$415),"Dts=H","Dir=H",CONCATENATE("Points=",$B$416),"Sort=R","Days=A","Fill=B",CONCATENATE("FX=", $B$414) )</f>
        <v>#N/A Authorization</v>
      </c>
      <c r="BN579" t="str">
        <f>""</f>
        <v/>
      </c>
      <c r="BO579" t="str">
        <f>""</f>
        <v/>
      </c>
      <c r="BP579" t="str">
        <f>""</f>
        <v/>
      </c>
      <c r="BQ579" t="str">
        <f>""</f>
        <v/>
      </c>
      <c r="BR579" t="str">
        <f>""</f>
        <v/>
      </c>
      <c r="BS579" t="str">
        <f>""</f>
        <v/>
      </c>
      <c r="BT579" t="str">
        <f>""</f>
        <v/>
      </c>
      <c r="BU579" t="str">
        <f>""</f>
        <v/>
      </c>
      <c r="BV579" t="str">
        <f>""</f>
        <v/>
      </c>
      <c r="BW579" t="str">
        <f>""</f>
        <v/>
      </c>
      <c r="BX579" t="str">
        <f>""</f>
        <v/>
      </c>
      <c r="BY579" t="str">
        <f>""</f>
        <v/>
      </c>
      <c r="BZ579" t="str">
        <f>""</f>
        <v/>
      </c>
      <c r="CA579" t="str">
        <f>""</f>
        <v/>
      </c>
      <c r="CB579" t="str">
        <f>""</f>
        <v/>
      </c>
      <c r="CC579" t="str">
        <f>""</f>
        <v/>
      </c>
      <c r="CD579" t="str">
        <f>""</f>
        <v/>
      </c>
      <c r="CE579" t="str">
        <f>""</f>
        <v/>
      </c>
      <c r="CF579" t="str">
        <f>""</f>
        <v/>
      </c>
      <c r="CG579" t="str">
        <f>""</f>
        <v/>
      </c>
      <c r="CH579" t="str">
        <f>""</f>
        <v/>
      </c>
      <c r="CI579" t="str">
        <f>""</f>
        <v/>
      </c>
      <c r="CJ579" t="str">
        <f>""</f>
        <v/>
      </c>
      <c r="CK579" t="str">
        <f>""</f>
        <v/>
      </c>
      <c r="CL579" t="str">
        <f>""</f>
        <v/>
      </c>
      <c r="CM579" t="str">
        <f>""</f>
        <v/>
      </c>
      <c r="CN579" t="str">
        <f>""</f>
        <v/>
      </c>
      <c r="CO579" t="str">
        <f>""</f>
        <v/>
      </c>
      <c r="CP579" t="str">
        <f>""</f>
        <v/>
      </c>
      <c r="CQ579" t="str">
        <f>""</f>
        <v/>
      </c>
      <c r="CR579" t="str">
        <f>""</f>
        <v/>
      </c>
      <c r="CS579" t="str">
        <f>""</f>
        <v/>
      </c>
      <c r="CT579" t="str">
        <f>""</f>
        <v/>
      </c>
      <c r="CU579" t="str">
        <f>""</f>
        <v/>
      </c>
      <c r="CV579" t="str">
        <f>""</f>
        <v/>
      </c>
      <c r="CW579" t="str">
        <f>""</f>
        <v/>
      </c>
      <c r="CX579" t="str">
        <f>""</f>
        <v/>
      </c>
      <c r="CY579" t="str">
        <f>""</f>
        <v/>
      </c>
      <c r="CZ579" t="str">
        <f>""</f>
        <v/>
      </c>
      <c r="DA579" t="str">
        <f>""</f>
        <v/>
      </c>
      <c r="DB579" t="str">
        <f>""</f>
        <v/>
      </c>
      <c r="DC579" t="str">
        <f>""</f>
        <v/>
      </c>
      <c r="DD579" t="str">
        <f>""</f>
        <v/>
      </c>
      <c r="DE579" t="str">
        <f>""</f>
        <v/>
      </c>
      <c r="DF579" t="str">
        <f>""</f>
        <v/>
      </c>
      <c r="DG579" t="str">
        <f>""</f>
        <v/>
      </c>
      <c r="DH579" t="str">
        <f>""</f>
        <v/>
      </c>
      <c r="DI579" t="str">
        <f>""</f>
        <v/>
      </c>
      <c r="DJ579" t="str">
        <f>""</f>
        <v/>
      </c>
      <c r="DK579" t="str">
        <f>""</f>
        <v/>
      </c>
      <c r="DL579" t="str">
        <f>""</f>
        <v/>
      </c>
      <c r="DM579" t="str">
        <f>""</f>
        <v/>
      </c>
      <c r="DN579" t="str">
        <f>""</f>
        <v/>
      </c>
      <c r="DO579" t="str">
        <f>""</f>
        <v/>
      </c>
      <c r="DP579" t="str">
        <f>""</f>
        <v/>
      </c>
      <c r="DQ579" t="str">
        <f>""</f>
        <v/>
      </c>
      <c r="DR579" t="str">
        <f>""</f>
        <v/>
      </c>
      <c r="DS579" t="str">
        <f>""</f>
        <v/>
      </c>
      <c r="DT579" t="str">
        <f>""</f>
        <v/>
      </c>
      <c r="DU579" t="str">
        <f>""</f>
        <v/>
      </c>
    </row>
    <row r="580" spans="1:125">
      <c r="A580" t="str">
        <f>$A$126</f>
        <v xml:space="preserve">    Retail Properties of America I</v>
      </c>
      <c r="B580" t="str">
        <f>$B$126</f>
        <v>RPAI US Equity</v>
      </c>
      <c r="C580" t="str">
        <f>$C$126</f>
        <v>CF039</v>
      </c>
      <c r="D580" t="str">
        <f>$D$126</f>
        <v>CF_FFO</v>
      </c>
      <c r="E580" t="str">
        <f>$E$126</f>
        <v>动态</v>
      </c>
      <c r="F580" t="str">
        <f ca="1">BDH($B$126,$C$126,$B$417,$B$418,CONCATENATE("Per=",$B$415),"Dts=H","Dir=H",CONCATENATE("Points=",$B$416),"Sort=R","Days=A","Fill=B",CONCATENATE("FX=", $B$414) )</f>
        <v>#N/A Authorization</v>
      </c>
      <c r="BN580" t="str">
        <f>""</f>
        <v/>
      </c>
      <c r="BO580" t="str">
        <f>""</f>
        <v/>
      </c>
      <c r="BP580" t="str">
        <f>""</f>
        <v/>
      </c>
      <c r="BQ580" t="str">
        <f>""</f>
        <v/>
      </c>
      <c r="BR580" t="str">
        <f>""</f>
        <v/>
      </c>
      <c r="BS580" t="str">
        <f>""</f>
        <v/>
      </c>
      <c r="BT580" t="str">
        <f>""</f>
        <v/>
      </c>
      <c r="BU580" t="str">
        <f>""</f>
        <v/>
      </c>
      <c r="BV580" t="str">
        <f>""</f>
        <v/>
      </c>
      <c r="BW580" t="str">
        <f>""</f>
        <v/>
      </c>
      <c r="BX580" t="str">
        <f>""</f>
        <v/>
      </c>
      <c r="BY580" t="str">
        <f>""</f>
        <v/>
      </c>
      <c r="BZ580" t="str">
        <f>""</f>
        <v/>
      </c>
      <c r="CA580" t="str">
        <f>""</f>
        <v/>
      </c>
      <c r="CB580" t="str">
        <f>""</f>
        <v/>
      </c>
      <c r="CC580" t="str">
        <f>""</f>
        <v/>
      </c>
      <c r="CD580" t="str">
        <f>""</f>
        <v/>
      </c>
      <c r="CE580" t="str">
        <f>""</f>
        <v/>
      </c>
      <c r="CF580" t="str">
        <f>""</f>
        <v/>
      </c>
      <c r="CG580" t="str">
        <f>""</f>
        <v/>
      </c>
      <c r="CH580" t="str">
        <f>""</f>
        <v/>
      </c>
      <c r="CI580" t="str">
        <f>""</f>
        <v/>
      </c>
      <c r="CJ580" t="str">
        <f>""</f>
        <v/>
      </c>
      <c r="CK580" t="str">
        <f>""</f>
        <v/>
      </c>
      <c r="CL580" t="str">
        <f>""</f>
        <v/>
      </c>
      <c r="CM580" t="str">
        <f>""</f>
        <v/>
      </c>
      <c r="CN580" t="str">
        <f>""</f>
        <v/>
      </c>
      <c r="CO580" t="str">
        <f>""</f>
        <v/>
      </c>
      <c r="CP580" t="str">
        <f>""</f>
        <v/>
      </c>
      <c r="CQ580" t="str">
        <f>""</f>
        <v/>
      </c>
      <c r="CR580" t="str">
        <f>""</f>
        <v/>
      </c>
      <c r="CS580" t="str">
        <f>""</f>
        <v/>
      </c>
      <c r="CT580" t="str">
        <f>""</f>
        <v/>
      </c>
      <c r="CU580" t="str">
        <f>""</f>
        <v/>
      </c>
      <c r="CV580" t="str">
        <f>""</f>
        <v/>
      </c>
      <c r="CW580" t="str">
        <f>""</f>
        <v/>
      </c>
      <c r="CX580" t="str">
        <f>""</f>
        <v/>
      </c>
      <c r="CY580" t="str">
        <f>""</f>
        <v/>
      </c>
      <c r="CZ580" t="str">
        <f>""</f>
        <v/>
      </c>
      <c r="DA580" t="str">
        <f>""</f>
        <v/>
      </c>
      <c r="DB580" t="str">
        <f>""</f>
        <v/>
      </c>
      <c r="DC580" t="str">
        <f>""</f>
        <v/>
      </c>
      <c r="DD580" t="str">
        <f>""</f>
        <v/>
      </c>
      <c r="DE580" t="str">
        <f>""</f>
        <v/>
      </c>
      <c r="DF580" t="str">
        <f>""</f>
        <v/>
      </c>
      <c r="DG580" t="str">
        <f>""</f>
        <v/>
      </c>
      <c r="DH580" t="str">
        <f>""</f>
        <v/>
      </c>
      <c r="DI580" t="str">
        <f>""</f>
        <v/>
      </c>
      <c r="DJ580" t="str">
        <f>""</f>
        <v/>
      </c>
      <c r="DK580" t="str">
        <f>""</f>
        <v/>
      </c>
      <c r="DL580" t="str">
        <f>""</f>
        <v/>
      </c>
      <c r="DM580" t="str">
        <f>""</f>
        <v/>
      </c>
      <c r="DN580" t="str">
        <f>""</f>
        <v/>
      </c>
      <c r="DO580" t="str">
        <f>""</f>
        <v/>
      </c>
      <c r="DP580" t="str">
        <f>""</f>
        <v/>
      </c>
      <c r="DQ580" t="str">
        <f>""</f>
        <v/>
      </c>
      <c r="DR580" t="str">
        <f>""</f>
        <v/>
      </c>
      <c r="DS580" t="str">
        <f>""</f>
        <v/>
      </c>
      <c r="DT580" t="str">
        <f>""</f>
        <v/>
      </c>
      <c r="DU580" t="str">
        <f>""</f>
        <v/>
      </c>
    </row>
    <row r="581" spans="1:125">
      <c r="A581" t="str">
        <f>$A$127</f>
        <v xml:space="preserve">    Simon Property Group Inc</v>
      </c>
      <c r="B581" t="str">
        <f>$B$127</f>
        <v>SPG US Equity</v>
      </c>
      <c r="C581" t="str">
        <f>$C$127</f>
        <v>CF039</v>
      </c>
      <c r="D581" t="str">
        <f>$D$127</f>
        <v>CF_FFO</v>
      </c>
      <c r="E581" t="str">
        <f>$E$127</f>
        <v>动态</v>
      </c>
      <c r="F581" t="str">
        <f ca="1">BDH($B$127,$C$127,$B$417,$B$418,CONCATENATE("Per=",$B$415),"Dts=H","Dir=H",CONCATENATE("Points=",$B$416),"Sort=R","Days=A","Fill=B",CONCATENATE("FX=", $B$414) )</f>
        <v>#N/A Authorization</v>
      </c>
      <c r="BN581" t="str">
        <f>""</f>
        <v/>
      </c>
      <c r="BO581" t="str">
        <f>""</f>
        <v/>
      </c>
      <c r="BP581" t="str">
        <f>""</f>
        <v/>
      </c>
      <c r="BQ581" t="str">
        <f>""</f>
        <v/>
      </c>
      <c r="BR581" t="str">
        <f>""</f>
        <v/>
      </c>
      <c r="BS581" t="str">
        <f>""</f>
        <v/>
      </c>
      <c r="BT581" t="str">
        <f>""</f>
        <v/>
      </c>
      <c r="BU581" t="str">
        <f>""</f>
        <v/>
      </c>
      <c r="BV581" t="str">
        <f>""</f>
        <v/>
      </c>
      <c r="BW581" t="str">
        <f>""</f>
        <v/>
      </c>
      <c r="BX581" t="str">
        <f>""</f>
        <v/>
      </c>
      <c r="BY581" t="str">
        <f>""</f>
        <v/>
      </c>
      <c r="BZ581" t="str">
        <f>""</f>
        <v/>
      </c>
      <c r="CA581" t="str">
        <f>""</f>
        <v/>
      </c>
      <c r="CB581" t="str">
        <f>""</f>
        <v/>
      </c>
      <c r="CC581" t="str">
        <f>""</f>
        <v/>
      </c>
      <c r="CD581" t="str">
        <f>""</f>
        <v/>
      </c>
      <c r="CE581" t="str">
        <f>""</f>
        <v/>
      </c>
      <c r="CF581" t="str">
        <f>""</f>
        <v/>
      </c>
      <c r="CG581" t="str">
        <f>""</f>
        <v/>
      </c>
      <c r="CH581" t="str">
        <f>""</f>
        <v/>
      </c>
      <c r="CI581" t="str">
        <f>""</f>
        <v/>
      </c>
      <c r="CJ581" t="str">
        <f>""</f>
        <v/>
      </c>
      <c r="CK581" t="str">
        <f>""</f>
        <v/>
      </c>
      <c r="CL581" t="str">
        <f>""</f>
        <v/>
      </c>
      <c r="CM581" t="str">
        <f>""</f>
        <v/>
      </c>
      <c r="CN581" t="str">
        <f>""</f>
        <v/>
      </c>
      <c r="CO581" t="str">
        <f>""</f>
        <v/>
      </c>
      <c r="CP581" t="str">
        <f>""</f>
        <v/>
      </c>
      <c r="CQ581" t="str">
        <f>""</f>
        <v/>
      </c>
      <c r="CR581" t="str">
        <f>""</f>
        <v/>
      </c>
      <c r="CS581" t="str">
        <f>""</f>
        <v/>
      </c>
      <c r="CT581" t="str">
        <f>""</f>
        <v/>
      </c>
      <c r="CU581" t="str">
        <f>""</f>
        <v/>
      </c>
      <c r="CV581" t="str">
        <f>""</f>
        <v/>
      </c>
      <c r="CW581" t="str">
        <f>""</f>
        <v/>
      </c>
      <c r="CX581" t="str">
        <f>""</f>
        <v/>
      </c>
      <c r="CY581" t="str">
        <f>""</f>
        <v/>
      </c>
      <c r="CZ581" t="str">
        <f>""</f>
        <v/>
      </c>
      <c r="DA581" t="str">
        <f>""</f>
        <v/>
      </c>
      <c r="DB581" t="str">
        <f>""</f>
        <v/>
      </c>
      <c r="DC581" t="str">
        <f>""</f>
        <v/>
      </c>
      <c r="DD581" t="str">
        <f>""</f>
        <v/>
      </c>
      <c r="DE581" t="str">
        <f>""</f>
        <v/>
      </c>
      <c r="DF581" t="str">
        <f>""</f>
        <v/>
      </c>
      <c r="DG581" t="str">
        <f>""</f>
        <v/>
      </c>
      <c r="DH581" t="str">
        <f>""</f>
        <v/>
      </c>
      <c r="DI581" t="str">
        <f>""</f>
        <v/>
      </c>
      <c r="DJ581" t="str">
        <f>""</f>
        <v/>
      </c>
      <c r="DK581" t="str">
        <f>""</f>
        <v/>
      </c>
      <c r="DL581" t="str">
        <f>""</f>
        <v/>
      </c>
      <c r="DM581" t="str">
        <f>""</f>
        <v/>
      </c>
      <c r="DN581" t="str">
        <f>""</f>
        <v/>
      </c>
      <c r="DO581" t="str">
        <f>""</f>
        <v/>
      </c>
      <c r="DP581" t="str">
        <f>""</f>
        <v/>
      </c>
      <c r="DQ581" t="str">
        <f>""</f>
        <v/>
      </c>
      <c r="DR581" t="str">
        <f>""</f>
        <v/>
      </c>
      <c r="DS581" t="str">
        <f>""</f>
        <v/>
      </c>
      <c r="DT581" t="str">
        <f>""</f>
        <v/>
      </c>
      <c r="DU581" t="str">
        <f>""</f>
        <v/>
      </c>
    </row>
    <row r="582" spans="1:125">
      <c r="A582" t="str">
        <f>$A$128</f>
        <v xml:space="preserve">    Tanger Factory Outlet Centers</v>
      </c>
      <c r="B582" t="str">
        <f>$B$128</f>
        <v>SKT US Equity</v>
      </c>
      <c r="C582" t="str">
        <f>$C$128</f>
        <v>CF039</v>
      </c>
      <c r="D582" t="str">
        <f>$D$128</f>
        <v>CF_FFO</v>
      </c>
      <c r="E582" t="str">
        <f>$E$128</f>
        <v>动态</v>
      </c>
      <c r="F582" t="str">
        <f ca="1">BDH($B$128,$C$128,$B$417,$B$418,CONCATENATE("Per=",$B$415),"Dts=H","Dir=H",CONCATENATE("Points=",$B$416),"Sort=R","Days=A","Fill=B",CONCATENATE("FX=", $B$414) )</f>
        <v>#N/A Authorization</v>
      </c>
      <c r="BN582" t="str">
        <f>""</f>
        <v/>
      </c>
      <c r="BO582" t="str">
        <f>""</f>
        <v/>
      </c>
      <c r="BP582" t="str">
        <f>""</f>
        <v/>
      </c>
      <c r="BQ582" t="str">
        <f>""</f>
        <v/>
      </c>
      <c r="BR582" t="str">
        <f>""</f>
        <v/>
      </c>
      <c r="BS582" t="str">
        <f>""</f>
        <v/>
      </c>
      <c r="BT582" t="str">
        <f>""</f>
        <v/>
      </c>
      <c r="BU582" t="str">
        <f>""</f>
        <v/>
      </c>
      <c r="BV582" t="str">
        <f>""</f>
        <v/>
      </c>
      <c r="BW582" t="str">
        <f>""</f>
        <v/>
      </c>
      <c r="BX582" t="str">
        <f>""</f>
        <v/>
      </c>
      <c r="BY582" t="str">
        <f>""</f>
        <v/>
      </c>
      <c r="BZ582" t="str">
        <f>""</f>
        <v/>
      </c>
      <c r="CA582" t="str">
        <f>""</f>
        <v/>
      </c>
      <c r="CB582" t="str">
        <f>""</f>
        <v/>
      </c>
      <c r="CC582" t="str">
        <f>""</f>
        <v/>
      </c>
      <c r="CD582" t="str">
        <f>""</f>
        <v/>
      </c>
      <c r="CE582" t="str">
        <f>""</f>
        <v/>
      </c>
      <c r="CF582" t="str">
        <f>""</f>
        <v/>
      </c>
      <c r="CG582" t="str">
        <f>""</f>
        <v/>
      </c>
      <c r="CH582" t="str">
        <f>""</f>
        <v/>
      </c>
      <c r="CI582" t="str">
        <f>""</f>
        <v/>
      </c>
      <c r="CJ582" t="str">
        <f>""</f>
        <v/>
      </c>
      <c r="CK582" t="str">
        <f>""</f>
        <v/>
      </c>
      <c r="CL582" t="str">
        <f>""</f>
        <v/>
      </c>
      <c r="CM582" t="str">
        <f>""</f>
        <v/>
      </c>
      <c r="CN582" t="str">
        <f>""</f>
        <v/>
      </c>
      <c r="CO582" t="str">
        <f>""</f>
        <v/>
      </c>
      <c r="CP582" t="str">
        <f>""</f>
        <v/>
      </c>
      <c r="CQ582" t="str">
        <f>""</f>
        <v/>
      </c>
      <c r="CR582" t="str">
        <f>""</f>
        <v/>
      </c>
      <c r="CS582" t="str">
        <f>""</f>
        <v/>
      </c>
      <c r="CT582" t="str">
        <f>""</f>
        <v/>
      </c>
      <c r="CU582" t="str">
        <f>""</f>
        <v/>
      </c>
      <c r="CV582" t="str">
        <f>""</f>
        <v/>
      </c>
      <c r="CW582" t="str">
        <f>""</f>
        <v/>
      </c>
      <c r="CX582" t="str">
        <f>""</f>
        <v/>
      </c>
      <c r="CY582" t="str">
        <f>""</f>
        <v/>
      </c>
      <c r="CZ582" t="str">
        <f>""</f>
        <v/>
      </c>
      <c r="DA582" t="str">
        <f>""</f>
        <v/>
      </c>
      <c r="DB582" t="str">
        <f>""</f>
        <v/>
      </c>
      <c r="DC582" t="str">
        <f>""</f>
        <v/>
      </c>
      <c r="DD582" t="str">
        <f>""</f>
        <v/>
      </c>
      <c r="DE582" t="str">
        <f>""</f>
        <v/>
      </c>
      <c r="DF582" t="str">
        <f>""</f>
        <v/>
      </c>
      <c r="DG582" t="str">
        <f>""</f>
        <v/>
      </c>
      <c r="DH582" t="str">
        <f>""</f>
        <v/>
      </c>
      <c r="DI582" t="str">
        <f>""</f>
        <v/>
      </c>
      <c r="DJ582" t="str">
        <f>""</f>
        <v/>
      </c>
      <c r="DK582" t="str">
        <f>""</f>
        <v/>
      </c>
      <c r="DL582" t="str">
        <f>""</f>
        <v/>
      </c>
      <c r="DM582" t="str">
        <f>""</f>
        <v/>
      </c>
      <c r="DN582" t="str">
        <f>""</f>
        <v/>
      </c>
      <c r="DO582" t="str">
        <f>""</f>
        <v/>
      </c>
      <c r="DP582" t="str">
        <f>""</f>
        <v/>
      </c>
      <c r="DQ582" t="str">
        <f>""</f>
        <v/>
      </c>
      <c r="DR582" t="str">
        <f>""</f>
        <v/>
      </c>
      <c r="DS582" t="str">
        <f>""</f>
        <v/>
      </c>
      <c r="DT582" t="str">
        <f>""</f>
        <v/>
      </c>
      <c r="DU582" t="str">
        <f>""</f>
        <v/>
      </c>
    </row>
    <row r="583" spans="1:125">
      <c r="A583" t="str">
        <f>$A$129</f>
        <v xml:space="preserve">    VEREIT Inc</v>
      </c>
      <c r="B583" t="str">
        <f>$B$129</f>
        <v>VER US Equity</v>
      </c>
      <c r="C583" t="str">
        <f>$C$129</f>
        <v>CF039</v>
      </c>
      <c r="D583" t="str">
        <f>$D$129</f>
        <v>CF_FFO</v>
      </c>
      <c r="E583" t="str">
        <f>$E$129</f>
        <v>动态</v>
      </c>
      <c r="F583" t="str">
        <f ca="1">BDH($B$129,$C$129,$B$417,$B$418,CONCATENATE("Per=",$B$415),"Dts=H","Dir=H",CONCATENATE("Points=",$B$416),"Sort=R","Days=A","Fill=B",CONCATENATE("FX=", $B$414) )</f>
        <v>#N/A Authorization</v>
      </c>
      <c r="BN583" t="str">
        <f>""</f>
        <v/>
      </c>
      <c r="BO583" t="str">
        <f>""</f>
        <v/>
      </c>
      <c r="BP583" t="str">
        <f>""</f>
        <v/>
      </c>
      <c r="BQ583" t="str">
        <f>""</f>
        <v/>
      </c>
      <c r="BR583" t="str">
        <f>""</f>
        <v/>
      </c>
      <c r="BS583" t="str">
        <f>""</f>
        <v/>
      </c>
      <c r="BT583" t="str">
        <f>""</f>
        <v/>
      </c>
      <c r="BU583" t="str">
        <f>""</f>
        <v/>
      </c>
      <c r="BV583" t="str">
        <f>""</f>
        <v/>
      </c>
      <c r="BW583" t="str">
        <f>""</f>
        <v/>
      </c>
      <c r="BX583" t="str">
        <f>""</f>
        <v/>
      </c>
      <c r="BY583" t="str">
        <f>""</f>
        <v/>
      </c>
      <c r="BZ583" t="str">
        <f>""</f>
        <v/>
      </c>
      <c r="CA583" t="str">
        <f>""</f>
        <v/>
      </c>
      <c r="CB583" t="str">
        <f>""</f>
        <v/>
      </c>
      <c r="CC583" t="str">
        <f>""</f>
        <v/>
      </c>
      <c r="CD583" t="str">
        <f>""</f>
        <v/>
      </c>
      <c r="CE583" t="str">
        <f>""</f>
        <v/>
      </c>
      <c r="CF583" t="str">
        <f>""</f>
        <v/>
      </c>
      <c r="CG583" t="str">
        <f>""</f>
        <v/>
      </c>
      <c r="CH583" t="str">
        <f>""</f>
        <v/>
      </c>
      <c r="CI583" t="str">
        <f>""</f>
        <v/>
      </c>
      <c r="CJ583" t="str">
        <f>""</f>
        <v/>
      </c>
      <c r="CK583" t="str">
        <f>""</f>
        <v/>
      </c>
      <c r="CL583" t="str">
        <f>""</f>
        <v/>
      </c>
      <c r="CM583" t="str">
        <f>""</f>
        <v/>
      </c>
      <c r="CN583" t="str">
        <f>""</f>
        <v/>
      </c>
      <c r="CO583" t="str">
        <f>""</f>
        <v/>
      </c>
      <c r="CP583" t="str">
        <f>""</f>
        <v/>
      </c>
      <c r="CQ583" t="str">
        <f>""</f>
        <v/>
      </c>
      <c r="CR583" t="str">
        <f>""</f>
        <v/>
      </c>
      <c r="CS583" t="str">
        <f>""</f>
        <v/>
      </c>
      <c r="CT583" t="str">
        <f>""</f>
        <v/>
      </c>
      <c r="CU583" t="str">
        <f>""</f>
        <v/>
      </c>
      <c r="CV583" t="str">
        <f>""</f>
        <v/>
      </c>
      <c r="CW583" t="str">
        <f>""</f>
        <v/>
      </c>
      <c r="CX583" t="str">
        <f>""</f>
        <v/>
      </c>
      <c r="CY583" t="str">
        <f>""</f>
        <v/>
      </c>
      <c r="CZ583" t="str">
        <f>""</f>
        <v/>
      </c>
      <c r="DA583" t="str">
        <f>""</f>
        <v/>
      </c>
      <c r="DB583" t="str">
        <f>""</f>
        <v/>
      </c>
      <c r="DC583" t="str">
        <f>""</f>
        <v/>
      </c>
      <c r="DD583" t="str">
        <f>""</f>
        <v/>
      </c>
      <c r="DE583" t="str">
        <f>""</f>
        <v/>
      </c>
      <c r="DF583" t="str">
        <f>""</f>
        <v/>
      </c>
      <c r="DG583" t="str">
        <f>""</f>
        <v/>
      </c>
      <c r="DH583" t="str">
        <f>""</f>
        <v/>
      </c>
      <c r="DI583" t="str">
        <f>""</f>
        <v/>
      </c>
      <c r="DJ583" t="str">
        <f>""</f>
        <v/>
      </c>
      <c r="DK583" t="str">
        <f>""</f>
        <v/>
      </c>
      <c r="DL583" t="str">
        <f>""</f>
        <v/>
      </c>
      <c r="DM583" t="str">
        <f>""</f>
        <v/>
      </c>
      <c r="DN583" t="str">
        <f>""</f>
        <v/>
      </c>
      <c r="DO583" t="str">
        <f>""</f>
        <v/>
      </c>
      <c r="DP583" t="str">
        <f>""</f>
        <v/>
      </c>
      <c r="DQ583" t="str">
        <f>""</f>
        <v/>
      </c>
      <c r="DR583" t="str">
        <f>""</f>
        <v/>
      </c>
      <c r="DS583" t="str">
        <f>""</f>
        <v/>
      </c>
      <c r="DT583" t="str">
        <f>""</f>
        <v/>
      </c>
      <c r="DU583" t="str">
        <f>""</f>
        <v/>
      </c>
    </row>
    <row r="584" spans="1:125">
      <c r="A584" t="str">
        <f>$A$130</f>
        <v xml:space="preserve">    Washington Prime Group Inc</v>
      </c>
      <c r="B584" t="str">
        <f>$B$130</f>
        <v>WPG US Equity</v>
      </c>
      <c r="C584" t="str">
        <f>$C$130</f>
        <v>CF039</v>
      </c>
      <c r="D584" t="str">
        <f>$D$130</f>
        <v>CF_FFO</v>
      </c>
      <c r="E584" t="str">
        <f>$E$130</f>
        <v>动态</v>
      </c>
      <c r="F584" t="str">
        <f ca="1">BDH($B$130,$C$130,$B$417,$B$418,CONCATENATE("Per=",$B$415),"Dts=H","Dir=H",CONCATENATE("Points=",$B$416),"Sort=R","Days=A","Fill=B",CONCATENATE("FX=", $B$414) )</f>
        <v>#N/A Authorization</v>
      </c>
      <c r="BN584" t="str">
        <f>""</f>
        <v/>
      </c>
      <c r="BO584" t="str">
        <f>""</f>
        <v/>
      </c>
      <c r="BP584" t="str">
        <f>""</f>
        <v/>
      </c>
      <c r="BQ584" t="str">
        <f>""</f>
        <v/>
      </c>
      <c r="BR584" t="str">
        <f>""</f>
        <v/>
      </c>
      <c r="BS584" t="str">
        <f>""</f>
        <v/>
      </c>
      <c r="BT584" t="str">
        <f>""</f>
        <v/>
      </c>
      <c r="BU584" t="str">
        <f>""</f>
        <v/>
      </c>
      <c r="BV584" t="str">
        <f>""</f>
        <v/>
      </c>
      <c r="BW584" t="str">
        <f>""</f>
        <v/>
      </c>
      <c r="BX584" t="str">
        <f>""</f>
        <v/>
      </c>
      <c r="BY584" t="str">
        <f>""</f>
        <v/>
      </c>
      <c r="BZ584" t="str">
        <f>""</f>
        <v/>
      </c>
      <c r="CA584" t="str">
        <f>""</f>
        <v/>
      </c>
      <c r="CB584" t="str">
        <f>""</f>
        <v/>
      </c>
      <c r="CC584" t="str">
        <f>""</f>
        <v/>
      </c>
      <c r="CD584" t="str">
        <f>""</f>
        <v/>
      </c>
      <c r="CE584" t="str">
        <f>""</f>
        <v/>
      </c>
      <c r="CF584" t="str">
        <f>""</f>
        <v/>
      </c>
      <c r="CG584" t="str">
        <f>""</f>
        <v/>
      </c>
      <c r="CH584" t="str">
        <f>""</f>
        <v/>
      </c>
      <c r="CI584" t="str">
        <f>""</f>
        <v/>
      </c>
      <c r="CJ584" t="str">
        <f>""</f>
        <v/>
      </c>
      <c r="CK584" t="str">
        <f>""</f>
        <v/>
      </c>
      <c r="CL584" t="str">
        <f>""</f>
        <v/>
      </c>
      <c r="CM584" t="str">
        <f>""</f>
        <v/>
      </c>
      <c r="CN584" t="str">
        <f>""</f>
        <v/>
      </c>
      <c r="CO584" t="str">
        <f>""</f>
        <v/>
      </c>
      <c r="CP584" t="str">
        <f>""</f>
        <v/>
      </c>
      <c r="CQ584" t="str">
        <f>""</f>
        <v/>
      </c>
      <c r="CR584" t="str">
        <f>""</f>
        <v/>
      </c>
      <c r="CS584" t="str">
        <f>""</f>
        <v/>
      </c>
      <c r="CT584" t="str">
        <f>""</f>
        <v/>
      </c>
      <c r="CU584" t="str">
        <f>""</f>
        <v/>
      </c>
      <c r="CV584" t="str">
        <f>""</f>
        <v/>
      </c>
      <c r="CW584" t="str">
        <f>""</f>
        <v/>
      </c>
      <c r="CX584" t="str">
        <f>""</f>
        <v/>
      </c>
      <c r="CY584" t="str">
        <f>""</f>
        <v/>
      </c>
      <c r="CZ584" t="str">
        <f>""</f>
        <v/>
      </c>
      <c r="DA584" t="str">
        <f>""</f>
        <v/>
      </c>
      <c r="DB584" t="str">
        <f>""</f>
        <v/>
      </c>
      <c r="DC584" t="str">
        <f>""</f>
        <v/>
      </c>
      <c r="DD584" t="str">
        <f>""</f>
        <v/>
      </c>
      <c r="DE584" t="str">
        <f>""</f>
        <v/>
      </c>
      <c r="DF584" t="str">
        <f>""</f>
        <v/>
      </c>
      <c r="DG584" t="str">
        <f>""</f>
        <v/>
      </c>
      <c r="DH584" t="str">
        <f>""</f>
        <v/>
      </c>
      <c r="DI584" t="str">
        <f>""</f>
        <v/>
      </c>
      <c r="DJ584" t="str">
        <f>""</f>
        <v/>
      </c>
      <c r="DK584" t="str">
        <f>""</f>
        <v/>
      </c>
      <c r="DL584" t="str">
        <f>""</f>
        <v/>
      </c>
      <c r="DM584" t="str">
        <f>""</f>
        <v/>
      </c>
      <c r="DN584" t="str">
        <f>""</f>
        <v/>
      </c>
      <c r="DO584" t="str">
        <f>""</f>
        <v/>
      </c>
      <c r="DP584" t="str">
        <f>""</f>
        <v/>
      </c>
      <c r="DQ584" t="str">
        <f>""</f>
        <v/>
      </c>
      <c r="DR584" t="str">
        <f>""</f>
        <v/>
      </c>
      <c r="DS584" t="str">
        <f>""</f>
        <v/>
      </c>
      <c r="DT584" t="str">
        <f>""</f>
        <v/>
      </c>
      <c r="DU584" t="str">
        <f>""</f>
        <v/>
      </c>
    </row>
    <row r="585" spans="1:125">
      <c r="A585" t="str">
        <f>$A$131</f>
        <v xml:space="preserve">    Weingarten Realty Investors</v>
      </c>
      <c r="B585" t="str">
        <f>$B$131</f>
        <v>WRI US Equity</v>
      </c>
      <c r="C585" t="str">
        <f>$C$131</f>
        <v>CF039</v>
      </c>
      <c r="D585" t="str">
        <f>$D$131</f>
        <v>CF_FFO</v>
      </c>
      <c r="E585" t="str">
        <f>$E$131</f>
        <v>动态</v>
      </c>
      <c r="F585" t="str">
        <f ca="1">BDH($B$131,$C$131,$B$417,$B$418,CONCATENATE("Per=",$B$415),"Dts=H","Dir=H",CONCATENATE("Points=",$B$416),"Sort=R","Days=A","Fill=B",CONCATENATE("FX=", $B$414) )</f>
        <v>#N/A Authorization</v>
      </c>
      <c r="BN585" t="str">
        <f>""</f>
        <v/>
      </c>
      <c r="BO585" t="str">
        <f>""</f>
        <v/>
      </c>
      <c r="BP585" t="str">
        <f>""</f>
        <v/>
      </c>
      <c r="BQ585" t="str">
        <f>""</f>
        <v/>
      </c>
      <c r="BR585" t="str">
        <f>""</f>
        <v/>
      </c>
      <c r="BS585" t="str">
        <f>""</f>
        <v/>
      </c>
      <c r="BT585" t="str">
        <f>""</f>
        <v/>
      </c>
      <c r="BU585" t="str">
        <f>""</f>
        <v/>
      </c>
      <c r="BV585" t="str">
        <f>""</f>
        <v/>
      </c>
      <c r="BW585" t="str">
        <f>""</f>
        <v/>
      </c>
      <c r="BX585" t="str">
        <f>""</f>
        <v/>
      </c>
      <c r="BY585" t="str">
        <f>""</f>
        <v/>
      </c>
      <c r="BZ585" t="str">
        <f>""</f>
        <v/>
      </c>
      <c r="CA585" t="str">
        <f>""</f>
        <v/>
      </c>
      <c r="CB585" t="str">
        <f>""</f>
        <v/>
      </c>
      <c r="CC585" t="str">
        <f>""</f>
        <v/>
      </c>
      <c r="CD585" t="str">
        <f>""</f>
        <v/>
      </c>
      <c r="CE585" t="str">
        <f>""</f>
        <v/>
      </c>
      <c r="CF585" t="str">
        <f>""</f>
        <v/>
      </c>
      <c r="CG585" t="str">
        <f>""</f>
        <v/>
      </c>
      <c r="CH585" t="str">
        <f>""</f>
        <v/>
      </c>
      <c r="CI585" t="str">
        <f>""</f>
        <v/>
      </c>
      <c r="CJ585" t="str">
        <f>""</f>
        <v/>
      </c>
      <c r="CK585" t="str">
        <f>""</f>
        <v/>
      </c>
      <c r="CL585" t="str">
        <f>""</f>
        <v/>
      </c>
      <c r="CM585" t="str">
        <f>""</f>
        <v/>
      </c>
      <c r="CN585" t="str">
        <f>""</f>
        <v/>
      </c>
      <c r="CO585" t="str">
        <f>""</f>
        <v/>
      </c>
      <c r="CP585" t="str">
        <f>""</f>
        <v/>
      </c>
      <c r="CQ585" t="str">
        <f>""</f>
        <v/>
      </c>
      <c r="CR585" t="str">
        <f>""</f>
        <v/>
      </c>
      <c r="CS585" t="str">
        <f>""</f>
        <v/>
      </c>
      <c r="CT585" t="str">
        <f>""</f>
        <v/>
      </c>
      <c r="CU585" t="str">
        <f>""</f>
        <v/>
      </c>
      <c r="CV585" t="str">
        <f>""</f>
        <v/>
      </c>
      <c r="CW585" t="str">
        <f>""</f>
        <v/>
      </c>
      <c r="CX585" t="str">
        <f>""</f>
        <v/>
      </c>
      <c r="CY585" t="str">
        <f>""</f>
        <v/>
      </c>
      <c r="CZ585" t="str">
        <f>""</f>
        <v/>
      </c>
      <c r="DA585" t="str">
        <f>""</f>
        <v/>
      </c>
      <c r="DB585" t="str">
        <f>""</f>
        <v/>
      </c>
      <c r="DC585" t="str">
        <f>""</f>
        <v/>
      </c>
      <c r="DD585" t="str">
        <f>""</f>
        <v/>
      </c>
      <c r="DE585" t="str">
        <f>""</f>
        <v/>
      </c>
      <c r="DF585" t="str">
        <f>""</f>
        <v/>
      </c>
      <c r="DG585" t="str">
        <f>""</f>
        <v/>
      </c>
      <c r="DH585" t="str">
        <f>""</f>
        <v/>
      </c>
      <c r="DI585" t="str">
        <f>""</f>
        <v/>
      </c>
      <c r="DJ585" t="str">
        <f>""</f>
        <v/>
      </c>
      <c r="DK585" t="str">
        <f>""</f>
        <v/>
      </c>
      <c r="DL585" t="str">
        <f>""</f>
        <v/>
      </c>
      <c r="DM585" t="str">
        <f>""</f>
        <v/>
      </c>
      <c r="DN585" t="str">
        <f>""</f>
        <v/>
      </c>
      <c r="DO585" t="str">
        <f>""</f>
        <v/>
      </c>
      <c r="DP585" t="str">
        <f>""</f>
        <v/>
      </c>
      <c r="DQ585" t="str">
        <f>""</f>
        <v/>
      </c>
      <c r="DR585" t="str">
        <f>""</f>
        <v/>
      </c>
      <c r="DS585" t="str">
        <f>""</f>
        <v/>
      </c>
      <c r="DT585" t="str">
        <f>""</f>
        <v/>
      </c>
      <c r="DU585" t="str">
        <f>""</f>
        <v/>
      </c>
    </row>
    <row r="586" spans="1:125">
      <c r="A586" t="str">
        <f>$A$133</f>
        <v xml:space="preserve">    Brixmor Property Group Inc</v>
      </c>
      <c r="B586" t="str">
        <f>$B$133</f>
        <v>BRX US Equity</v>
      </c>
      <c r="C586" t="str">
        <f>$C$133</f>
        <v>F0578</v>
      </c>
      <c r="D586" t="str">
        <f>$D$133</f>
        <v>FUNDS_AVAILABLE_FOR_DISTRIBUTION</v>
      </c>
      <c r="E586" t="str">
        <f>$E$133</f>
        <v>动态</v>
      </c>
      <c r="F586" t="str">
        <f ca="1">BDH($B$133,$C$133,$B$417,$B$418,CONCATENATE("Per=",$B$415),"Dts=H","Dir=H",CONCATENATE("Points=",$B$416),"Sort=R","Days=A","Fill=B",CONCATENATE("FX=", $B$414) )</f>
        <v>#N/A Authorization</v>
      </c>
      <c r="BN586" t="str">
        <f>""</f>
        <v/>
      </c>
      <c r="BO586" t="str">
        <f>""</f>
        <v/>
      </c>
      <c r="BP586" t="str">
        <f>""</f>
        <v/>
      </c>
      <c r="BQ586" t="str">
        <f>""</f>
        <v/>
      </c>
      <c r="BR586" t="str">
        <f>""</f>
        <v/>
      </c>
      <c r="BS586" t="str">
        <f>""</f>
        <v/>
      </c>
      <c r="BT586" t="str">
        <f>""</f>
        <v/>
      </c>
      <c r="BU586" t="str">
        <f>""</f>
        <v/>
      </c>
      <c r="BV586" t="str">
        <f>""</f>
        <v/>
      </c>
      <c r="BW586" t="str">
        <f>""</f>
        <v/>
      </c>
      <c r="BX586" t="str">
        <f>""</f>
        <v/>
      </c>
      <c r="BY586" t="str">
        <f>""</f>
        <v/>
      </c>
      <c r="BZ586" t="str">
        <f>""</f>
        <v/>
      </c>
      <c r="CA586" t="str">
        <f>""</f>
        <v/>
      </c>
      <c r="CB586" t="str">
        <f>""</f>
        <v/>
      </c>
      <c r="CC586" t="str">
        <f>""</f>
        <v/>
      </c>
      <c r="CD586" t="str">
        <f>""</f>
        <v/>
      </c>
      <c r="CE586" t="str">
        <f>""</f>
        <v/>
      </c>
      <c r="CF586" t="str">
        <f>""</f>
        <v/>
      </c>
      <c r="CG586" t="str">
        <f>""</f>
        <v/>
      </c>
      <c r="CH586" t="str">
        <f>""</f>
        <v/>
      </c>
      <c r="CI586" t="str">
        <f>""</f>
        <v/>
      </c>
      <c r="CJ586" t="str">
        <f>""</f>
        <v/>
      </c>
      <c r="CK586" t="str">
        <f>""</f>
        <v/>
      </c>
      <c r="CL586" t="str">
        <f>""</f>
        <v/>
      </c>
      <c r="CM586" t="str">
        <f>""</f>
        <v/>
      </c>
      <c r="CN586" t="str">
        <f>""</f>
        <v/>
      </c>
      <c r="CO586" t="str">
        <f>""</f>
        <v/>
      </c>
      <c r="CP586" t="str">
        <f>""</f>
        <v/>
      </c>
      <c r="CQ586" t="str">
        <f>""</f>
        <v/>
      </c>
      <c r="CR586" t="str">
        <f>""</f>
        <v/>
      </c>
      <c r="CS586" t="str">
        <f>""</f>
        <v/>
      </c>
      <c r="CT586" t="str">
        <f>""</f>
        <v/>
      </c>
      <c r="CU586" t="str">
        <f>""</f>
        <v/>
      </c>
      <c r="CV586" t="str">
        <f>""</f>
        <v/>
      </c>
      <c r="CW586" t="str">
        <f>""</f>
        <v/>
      </c>
      <c r="CX586" t="str">
        <f>""</f>
        <v/>
      </c>
      <c r="CY586" t="str">
        <f>""</f>
        <v/>
      </c>
      <c r="CZ586" t="str">
        <f>""</f>
        <v/>
      </c>
      <c r="DA586" t="str">
        <f>""</f>
        <v/>
      </c>
      <c r="DB586" t="str">
        <f>""</f>
        <v/>
      </c>
      <c r="DC586" t="str">
        <f>""</f>
        <v/>
      </c>
      <c r="DD586" t="str">
        <f>""</f>
        <v/>
      </c>
      <c r="DE586" t="str">
        <f>""</f>
        <v/>
      </c>
      <c r="DF586" t="str">
        <f>""</f>
        <v/>
      </c>
      <c r="DG586" t="str">
        <f>""</f>
        <v/>
      </c>
      <c r="DH586" t="str">
        <f>""</f>
        <v/>
      </c>
      <c r="DI586" t="str">
        <f>""</f>
        <v/>
      </c>
      <c r="DJ586" t="str">
        <f>""</f>
        <v/>
      </c>
      <c r="DK586" t="str">
        <f>""</f>
        <v/>
      </c>
      <c r="DL586" t="str">
        <f>""</f>
        <v/>
      </c>
      <c r="DM586" t="str">
        <f>""</f>
        <v/>
      </c>
      <c r="DN586" t="str">
        <f>""</f>
        <v/>
      </c>
      <c r="DO586" t="str">
        <f>""</f>
        <v/>
      </c>
      <c r="DP586" t="str">
        <f>""</f>
        <v/>
      </c>
      <c r="DQ586" t="str">
        <f>""</f>
        <v/>
      </c>
      <c r="DR586" t="str">
        <f>""</f>
        <v/>
      </c>
      <c r="DS586" t="str">
        <f>""</f>
        <v/>
      </c>
      <c r="DT586" t="str">
        <f>""</f>
        <v/>
      </c>
      <c r="DU586" t="str">
        <f>""</f>
        <v/>
      </c>
    </row>
    <row r="587" spans="1:125">
      <c r="A587" t="str">
        <f>$A$134</f>
        <v xml:space="preserve">    CBL &amp; Associates Properties In</v>
      </c>
      <c r="B587" t="str">
        <f>$B$134</f>
        <v>CBL US Equity</v>
      </c>
      <c r="C587" t="str">
        <f>$C$134</f>
        <v>F0578</v>
      </c>
      <c r="D587" t="str">
        <f>$D$134</f>
        <v>FUNDS_AVAILABLE_FOR_DISTRIBUTION</v>
      </c>
      <c r="E587" t="str">
        <f>$E$134</f>
        <v>动态</v>
      </c>
      <c r="F587" t="str">
        <f ca="1">BDH($B$134,$C$134,$B$417,$B$418,CONCATENATE("Per=",$B$415),"Dts=H","Dir=H",CONCATENATE("Points=",$B$416),"Sort=R","Days=A","Fill=B",CONCATENATE("FX=", $B$414) )</f>
        <v>#N/A Authorization</v>
      </c>
      <c r="BN587" t="str">
        <f>""</f>
        <v/>
      </c>
      <c r="BO587" t="str">
        <f>""</f>
        <v/>
      </c>
      <c r="BP587" t="str">
        <f>""</f>
        <v/>
      </c>
      <c r="BQ587" t="str">
        <f>""</f>
        <v/>
      </c>
      <c r="BR587" t="str">
        <f>""</f>
        <v/>
      </c>
      <c r="BS587" t="str">
        <f>""</f>
        <v/>
      </c>
      <c r="BT587" t="str">
        <f>""</f>
        <v/>
      </c>
      <c r="BU587" t="str">
        <f>""</f>
        <v/>
      </c>
      <c r="BV587" t="str">
        <f>""</f>
        <v/>
      </c>
      <c r="BW587" t="str">
        <f>""</f>
        <v/>
      </c>
      <c r="BX587" t="str">
        <f>""</f>
        <v/>
      </c>
      <c r="BY587" t="str">
        <f>""</f>
        <v/>
      </c>
      <c r="BZ587" t="str">
        <f>""</f>
        <v/>
      </c>
      <c r="CA587" t="str">
        <f>""</f>
        <v/>
      </c>
      <c r="CB587" t="str">
        <f>""</f>
        <v/>
      </c>
      <c r="CC587" t="str">
        <f>""</f>
        <v/>
      </c>
      <c r="CD587" t="str">
        <f>""</f>
        <v/>
      </c>
      <c r="CE587" t="str">
        <f>""</f>
        <v/>
      </c>
      <c r="CF587" t="str">
        <f>""</f>
        <v/>
      </c>
      <c r="CG587" t="str">
        <f>""</f>
        <v/>
      </c>
      <c r="CH587" t="str">
        <f>""</f>
        <v/>
      </c>
      <c r="CI587" t="str">
        <f>""</f>
        <v/>
      </c>
      <c r="CJ587" t="str">
        <f>""</f>
        <v/>
      </c>
      <c r="CK587" t="str">
        <f>""</f>
        <v/>
      </c>
      <c r="CL587" t="str">
        <f>""</f>
        <v/>
      </c>
      <c r="CM587" t="str">
        <f>""</f>
        <v/>
      </c>
      <c r="CN587" t="str">
        <f>""</f>
        <v/>
      </c>
      <c r="CO587" t="str">
        <f>""</f>
        <v/>
      </c>
      <c r="CP587" t="str">
        <f>""</f>
        <v/>
      </c>
      <c r="CQ587" t="str">
        <f>""</f>
        <v/>
      </c>
      <c r="CR587" t="str">
        <f>""</f>
        <v/>
      </c>
      <c r="CS587" t="str">
        <f>""</f>
        <v/>
      </c>
      <c r="CT587" t="str">
        <f>""</f>
        <v/>
      </c>
      <c r="CU587" t="str">
        <f>""</f>
        <v/>
      </c>
      <c r="CV587" t="str">
        <f>""</f>
        <v/>
      </c>
      <c r="CW587" t="str">
        <f>""</f>
        <v/>
      </c>
      <c r="CX587" t="str">
        <f>""</f>
        <v/>
      </c>
      <c r="CY587" t="str">
        <f>""</f>
        <v/>
      </c>
      <c r="CZ587" t="str">
        <f>""</f>
        <v/>
      </c>
      <c r="DA587" t="str">
        <f>""</f>
        <v/>
      </c>
      <c r="DB587" t="str">
        <f>""</f>
        <v/>
      </c>
      <c r="DC587" t="str">
        <f>""</f>
        <v/>
      </c>
      <c r="DD587" t="str">
        <f>""</f>
        <v/>
      </c>
      <c r="DE587" t="str">
        <f>""</f>
        <v/>
      </c>
      <c r="DF587" t="str">
        <f>""</f>
        <v/>
      </c>
      <c r="DG587" t="str">
        <f>""</f>
        <v/>
      </c>
      <c r="DH587" t="str">
        <f>""</f>
        <v/>
      </c>
      <c r="DI587" t="str">
        <f>""</f>
        <v/>
      </c>
      <c r="DJ587" t="str">
        <f>""</f>
        <v/>
      </c>
      <c r="DK587" t="str">
        <f>""</f>
        <v/>
      </c>
      <c r="DL587" t="str">
        <f>""</f>
        <v/>
      </c>
      <c r="DM587" t="str">
        <f>""</f>
        <v/>
      </c>
      <c r="DN587" t="str">
        <f>""</f>
        <v/>
      </c>
      <c r="DO587" t="str">
        <f>""</f>
        <v/>
      </c>
      <c r="DP587" t="str">
        <f>""</f>
        <v/>
      </c>
      <c r="DQ587" t="str">
        <f>""</f>
        <v/>
      </c>
      <c r="DR587" t="str">
        <f>""</f>
        <v/>
      </c>
      <c r="DS587" t="str">
        <f>""</f>
        <v/>
      </c>
      <c r="DT587" t="str">
        <f>""</f>
        <v/>
      </c>
      <c r="DU587" t="str">
        <f>""</f>
        <v/>
      </c>
    </row>
    <row r="588" spans="1:125">
      <c r="A588" t="str">
        <f>$A$135</f>
        <v xml:space="preserve">    DDR Corp</v>
      </c>
      <c r="B588" t="str">
        <f>$B$135</f>
        <v>DDR US Equity</v>
      </c>
      <c r="C588" t="str">
        <f>$C$135</f>
        <v>F0578</v>
      </c>
      <c r="D588" t="str">
        <f>$D$135</f>
        <v>FUNDS_AVAILABLE_FOR_DISTRIBUTION</v>
      </c>
      <c r="E588" t="str">
        <f>$E$135</f>
        <v>动态</v>
      </c>
      <c r="F588" t="str">
        <f ca="1">BDH($B$135,$C$135,$B$417,$B$418,CONCATENATE("Per=",$B$415),"Dts=H","Dir=H",CONCATENATE("Points=",$B$416),"Sort=R","Days=A","Fill=B",CONCATENATE("FX=", $B$414) )</f>
        <v>#N/A Authorization</v>
      </c>
      <c r="BN588" t="str">
        <f>""</f>
        <v/>
      </c>
      <c r="BO588" t="str">
        <f>""</f>
        <v/>
      </c>
      <c r="BP588" t="str">
        <f>""</f>
        <v/>
      </c>
      <c r="BQ588" t="str">
        <f>""</f>
        <v/>
      </c>
      <c r="BR588" t="str">
        <f>""</f>
        <v/>
      </c>
      <c r="BS588" t="str">
        <f>""</f>
        <v/>
      </c>
      <c r="BT588" t="str">
        <f>""</f>
        <v/>
      </c>
      <c r="BU588" t="str">
        <f>""</f>
        <v/>
      </c>
      <c r="BV588" t="str">
        <f>""</f>
        <v/>
      </c>
      <c r="BW588" t="str">
        <f>""</f>
        <v/>
      </c>
      <c r="BX588" t="str">
        <f>""</f>
        <v/>
      </c>
      <c r="BY588" t="str">
        <f>""</f>
        <v/>
      </c>
      <c r="BZ588" t="str">
        <f>""</f>
        <v/>
      </c>
      <c r="CA588" t="str">
        <f>""</f>
        <v/>
      </c>
      <c r="CB588" t="str">
        <f>""</f>
        <v/>
      </c>
      <c r="CC588" t="str">
        <f>""</f>
        <v/>
      </c>
      <c r="CD588" t="str">
        <f>""</f>
        <v/>
      </c>
      <c r="CE588" t="str">
        <f>""</f>
        <v/>
      </c>
      <c r="CF588" t="str">
        <f>""</f>
        <v/>
      </c>
      <c r="CG588" t="str">
        <f>""</f>
        <v/>
      </c>
      <c r="CH588" t="str">
        <f>""</f>
        <v/>
      </c>
      <c r="CI588" t="str">
        <f>""</f>
        <v/>
      </c>
      <c r="CJ588" t="str">
        <f>""</f>
        <v/>
      </c>
      <c r="CK588" t="str">
        <f>""</f>
        <v/>
      </c>
      <c r="CL588" t="str">
        <f>""</f>
        <v/>
      </c>
      <c r="CM588" t="str">
        <f>""</f>
        <v/>
      </c>
      <c r="CN588" t="str">
        <f>""</f>
        <v/>
      </c>
      <c r="CO588" t="str">
        <f>""</f>
        <v/>
      </c>
      <c r="CP588" t="str">
        <f>""</f>
        <v/>
      </c>
      <c r="CQ588" t="str">
        <f>""</f>
        <v/>
      </c>
      <c r="CR588" t="str">
        <f>""</f>
        <v/>
      </c>
      <c r="CS588" t="str">
        <f>""</f>
        <v/>
      </c>
      <c r="CT588" t="str">
        <f>""</f>
        <v/>
      </c>
      <c r="CU588" t="str">
        <f>""</f>
        <v/>
      </c>
      <c r="CV588" t="str">
        <f>""</f>
        <v/>
      </c>
      <c r="CW588" t="str">
        <f>""</f>
        <v/>
      </c>
      <c r="CX588" t="str">
        <f>""</f>
        <v/>
      </c>
      <c r="CY588" t="str">
        <f>""</f>
        <v/>
      </c>
      <c r="CZ588" t="str">
        <f>""</f>
        <v/>
      </c>
      <c r="DA588" t="str">
        <f>""</f>
        <v/>
      </c>
      <c r="DB588" t="str">
        <f>""</f>
        <v/>
      </c>
      <c r="DC588" t="str">
        <f>""</f>
        <v/>
      </c>
      <c r="DD588" t="str">
        <f>""</f>
        <v/>
      </c>
      <c r="DE588" t="str">
        <f>""</f>
        <v/>
      </c>
      <c r="DF588" t="str">
        <f>""</f>
        <v/>
      </c>
      <c r="DG588" t="str">
        <f>""</f>
        <v/>
      </c>
      <c r="DH588" t="str">
        <f>""</f>
        <v/>
      </c>
      <c r="DI588" t="str">
        <f>""</f>
        <v/>
      </c>
      <c r="DJ588" t="str">
        <f>""</f>
        <v/>
      </c>
      <c r="DK588" t="str">
        <f>""</f>
        <v/>
      </c>
      <c r="DL588" t="str">
        <f>""</f>
        <v/>
      </c>
      <c r="DM588" t="str">
        <f>""</f>
        <v/>
      </c>
      <c r="DN588" t="str">
        <f>""</f>
        <v/>
      </c>
      <c r="DO588" t="str">
        <f>""</f>
        <v/>
      </c>
      <c r="DP588" t="str">
        <f>""</f>
        <v/>
      </c>
      <c r="DQ588" t="str">
        <f>""</f>
        <v/>
      </c>
      <c r="DR588" t="str">
        <f>""</f>
        <v/>
      </c>
      <c r="DS588" t="str">
        <f>""</f>
        <v/>
      </c>
      <c r="DT588" t="str">
        <f>""</f>
        <v/>
      </c>
      <c r="DU588" t="str">
        <f>""</f>
        <v/>
      </c>
    </row>
    <row r="589" spans="1:125">
      <c r="A589" t="str">
        <f>$A$136</f>
        <v xml:space="preserve">    Federal Realty Investment Trus</v>
      </c>
      <c r="B589" t="str">
        <f>$B$136</f>
        <v>FRT US Equity</v>
      </c>
      <c r="C589" t="str">
        <f>$C$136</f>
        <v>F0578</v>
      </c>
      <c r="D589" t="str">
        <f>$D$136</f>
        <v>FUNDS_AVAILABLE_FOR_DISTRIBUTION</v>
      </c>
      <c r="E589" t="str">
        <f>$E$136</f>
        <v>动态</v>
      </c>
      <c r="F589" t="str">
        <f ca="1">BDH($B$136,$C$136,$B$417,$B$418,CONCATENATE("Per=",$B$415),"Dts=H","Dir=H",CONCATENATE("Points=",$B$416),"Sort=R","Days=A","Fill=B",CONCATENATE("FX=", $B$414) )</f>
        <v>#N/A Authorization</v>
      </c>
      <c r="BN589" t="str">
        <f>""</f>
        <v/>
      </c>
      <c r="BO589" t="str">
        <f>""</f>
        <v/>
      </c>
      <c r="BP589" t="str">
        <f>""</f>
        <v/>
      </c>
      <c r="BQ589" t="str">
        <f>""</f>
        <v/>
      </c>
      <c r="BR589" t="str">
        <f>""</f>
        <v/>
      </c>
      <c r="BS589" t="str">
        <f>""</f>
        <v/>
      </c>
      <c r="BT589" t="str">
        <f>""</f>
        <v/>
      </c>
      <c r="BU589" t="str">
        <f>""</f>
        <v/>
      </c>
      <c r="BV589" t="str">
        <f>""</f>
        <v/>
      </c>
      <c r="BW589" t="str">
        <f>""</f>
        <v/>
      </c>
      <c r="BX589" t="str">
        <f>""</f>
        <v/>
      </c>
      <c r="BY589" t="str">
        <f>""</f>
        <v/>
      </c>
      <c r="BZ589" t="str">
        <f>""</f>
        <v/>
      </c>
      <c r="CA589" t="str">
        <f>""</f>
        <v/>
      </c>
      <c r="CB589" t="str">
        <f>""</f>
        <v/>
      </c>
      <c r="CC589" t="str">
        <f>""</f>
        <v/>
      </c>
      <c r="CD589" t="str">
        <f>""</f>
        <v/>
      </c>
      <c r="CE589" t="str">
        <f>""</f>
        <v/>
      </c>
      <c r="CF589" t="str">
        <f>""</f>
        <v/>
      </c>
      <c r="CG589" t="str">
        <f>""</f>
        <v/>
      </c>
      <c r="CH589" t="str">
        <f>""</f>
        <v/>
      </c>
      <c r="CI589" t="str">
        <f>""</f>
        <v/>
      </c>
      <c r="CJ589" t="str">
        <f>""</f>
        <v/>
      </c>
      <c r="CK589" t="str">
        <f>""</f>
        <v/>
      </c>
      <c r="CL589" t="str">
        <f>""</f>
        <v/>
      </c>
      <c r="CM589" t="str">
        <f>""</f>
        <v/>
      </c>
      <c r="CN589" t="str">
        <f>""</f>
        <v/>
      </c>
      <c r="CO589" t="str">
        <f>""</f>
        <v/>
      </c>
      <c r="CP589" t="str">
        <f>""</f>
        <v/>
      </c>
      <c r="CQ589" t="str">
        <f>""</f>
        <v/>
      </c>
      <c r="CR589" t="str">
        <f>""</f>
        <v/>
      </c>
      <c r="CS589" t="str">
        <f>""</f>
        <v/>
      </c>
      <c r="CT589" t="str">
        <f>""</f>
        <v/>
      </c>
      <c r="CU589" t="str">
        <f>""</f>
        <v/>
      </c>
      <c r="CV589" t="str">
        <f>""</f>
        <v/>
      </c>
      <c r="CW589" t="str">
        <f>""</f>
        <v/>
      </c>
      <c r="CX589" t="str">
        <f>""</f>
        <v/>
      </c>
      <c r="CY589" t="str">
        <f>""</f>
        <v/>
      </c>
      <c r="CZ589" t="str">
        <f>""</f>
        <v/>
      </c>
      <c r="DA589" t="str">
        <f>""</f>
        <v/>
      </c>
      <c r="DB589" t="str">
        <f>""</f>
        <v/>
      </c>
      <c r="DC589" t="str">
        <f>""</f>
        <v/>
      </c>
      <c r="DD589" t="str">
        <f>""</f>
        <v/>
      </c>
      <c r="DE589" t="str">
        <f>""</f>
        <v/>
      </c>
      <c r="DF589" t="str">
        <f>""</f>
        <v/>
      </c>
      <c r="DG589" t="str">
        <f>""</f>
        <v/>
      </c>
      <c r="DH589" t="str">
        <f>""</f>
        <v/>
      </c>
      <c r="DI589" t="str">
        <f>""</f>
        <v/>
      </c>
      <c r="DJ589" t="str">
        <f>""</f>
        <v/>
      </c>
      <c r="DK589" t="str">
        <f>""</f>
        <v/>
      </c>
      <c r="DL589" t="str">
        <f>""</f>
        <v/>
      </c>
      <c r="DM589" t="str">
        <f>""</f>
        <v/>
      </c>
      <c r="DN589" t="str">
        <f>""</f>
        <v/>
      </c>
      <c r="DO589" t="str">
        <f>""</f>
        <v/>
      </c>
      <c r="DP589" t="str">
        <f>""</f>
        <v/>
      </c>
      <c r="DQ589" t="str">
        <f>""</f>
        <v/>
      </c>
      <c r="DR589" t="str">
        <f>""</f>
        <v/>
      </c>
      <c r="DS589" t="str">
        <f>""</f>
        <v/>
      </c>
      <c r="DT589" t="str">
        <f>""</f>
        <v/>
      </c>
      <c r="DU589" t="str">
        <f>""</f>
        <v/>
      </c>
    </row>
    <row r="590" spans="1:125">
      <c r="A590" t="str">
        <f>$A$137</f>
        <v xml:space="preserve">    Kimco Realty Corp</v>
      </c>
      <c r="B590" t="str">
        <f>$B$137</f>
        <v>KIM US Equity</v>
      </c>
      <c r="C590" t="str">
        <f>$C$137</f>
        <v>F0578</v>
      </c>
      <c r="D590" t="str">
        <f>$D$137</f>
        <v>FUNDS_AVAILABLE_FOR_DISTRIBUTION</v>
      </c>
      <c r="E590" t="str">
        <f>$E$137</f>
        <v>动态</v>
      </c>
      <c r="F590" t="str">
        <f ca="1">BDH($B$137,$C$137,$B$417,$B$418,CONCATENATE("Per=",$B$415),"Dts=H","Dir=H",CONCATENATE("Points=",$B$416),"Sort=R","Days=A","Fill=B",CONCATENATE("FX=", $B$414) )</f>
        <v>#N/A Authorization</v>
      </c>
      <c r="BN590" t="str">
        <f>""</f>
        <v/>
      </c>
      <c r="BO590" t="str">
        <f>""</f>
        <v/>
      </c>
      <c r="BP590" t="str">
        <f>""</f>
        <v/>
      </c>
      <c r="BQ590" t="str">
        <f>""</f>
        <v/>
      </c>
      <c r="BR590" t="str">
        <f>""</f>
        <v/>
      </c>
      <c r="BS590" t="str">
        <f>""</f>
        <v/>
      </c>
      <c r="BT590" t="str">
        <f>""</f>
        <v/>
      </c>
      <c r="BU590" t="str">
        <f>""</f>
        <v/>
      </c>
      <c r="BV590" t="str">
        <f>""</f>
        <v/>
      </c>
      <c r="BW590" t="str">
        <f>""</f>
        <v/>
      </c>
      <c r="BX590" t="str">
        <f>""</f>
        <v/>
      </c>
      <c r="BY590" t="str">
        <f>""</f>
        <v/>
      </c>
      <c r="BZ590" t="str">
        <f>""</f>
        <v/>
      </c>
      <c r="CA590" t="str">
        <f>""</f>
        <v/>
      </c>
      <c r="CB590" t="str">
        <f>""</f>
        <v/>
      </c>
      <c r="CC590" t="str">
        <f>""</f>
        <v/>
      </c>
      <c r="CD590" t="str">
        <f>""</f>
        <v/>
      </c>
      <c r="CE590" t="str">
        <f>""</f>
        <v/>
      </c>
      <c r="CF590" t="str">
        <f>""</f>
        <v/>
      </c>
      <c r="CG590" t="str">
        <f>""</f>
        <v/>
      </c>
      <c r="CH590" t="str">
        <f>""</f>
        <v/>
      </c>
      <c r="CI590" t="str">
        <f>""</f>
        <v/>
      </c>
      <c r="CJ590" t="str">
        <f>""</f>
        <v/>
      </c>
      <c r="CK590" t="str">
        <f>""</f>
        <v/>
      </c>
      <c r="CL590" t="str">
        <f>""</f>
        <v/>
      </c>
      <c r="CM590" t="str">
        <f>""</f>
        <v/>
      </c>
      <c r="CN590" t="str">
        <f>""</f>
        <v/>
      </c>
      <c r="CO590" t="str">
        <f>""</f>
        <v/>
      </c>
      <c r="CP590" t="str">
        <f>""</f>
        <v/>
      </c>
      <c r="CQ590" t="str">
        <f>""</f>
        <v/>
      </c>
      <c r="CR590" t="str">
        <f>""</f>
        <v/>
      </c>
      <c r="CS590" t="str">
        <f>""</f>
        <v/>
      </c>
      <c r="CT590" t="str">
        <f>""</f>
        <v/>
      </c>
      <c r="CU590" t="str">
        <f>""</f>
        <v/>
      </c>
      <c r="CV590" t="str">
        <f>""</f>
        <v/>
      </c>
      <c r="CW590" t="str">
        <f>""</f>
        <v/>
      </c>
      <c r="CX590" t="str">
        <f>""</f>
        <v/>
      </c>
      <c r="CY590" t="str">
        <f>""</f>
        <v/>
      </c>
      <c r="CZ590" t="str">
        <f>""</f>
        <v/>
      </c>
      <c r="DA590" t="str">
        <f>""</f>
        <v/>
      </c>
      <c r="DB590" t="str">
        <f>""</f>
        <v/>
      </c>
      <c r="DC590" t="str">
        <f>""</f>
        <v/>
      </c>
      <c r="DD590" t="str">
        <f>""</f>
        <v/>
      </c>
      <c r="DE590" t="str">
        <f>""</f>
        <v/>
      </c>
      <c r="DF590" t="str">
        <f>""</f>
        <v/>
      </c>
      <c r="DG590" t="str">
        <f>""</f>
        <v/>
      </c>
      <c r="DH590" t="str">
        <f>""</f>
        <v/>
      </c>
      <c r="DI590" t="str">
        <f>""</f>
        <v/>
      </c>
      <c r="DJ590" t="str">
        <f>""</f>
        <v/>
      </c>
      <c r="DK590" t="str">
        <f>""</f>
        <v/>
      </c>
      <c r="DL590" t="str">
        <f>""</f>
        <v/>
      </c>
      <c r="DM590" t="str">
        <f>""</f>
        <v/>
      </c>
      <c r="DN590" t="str">
        <f>""</f>
        <v/>
      </c>
      <c r="DO590" t="str">
        <f>""</f>
        <v/>
      </c>
      <c r="DP590" t="str">
        <f>""</f>
        <v/>
      </c>
      <c r="DQ590" t="str">
        <f>""</f>
        <v/>
      </c>
      <c r="DR590" t="str">
        <f>""</f>
        <v/>
      </c>
      <c r="DS590" t="str">
        <f>""</f>
        <v/>
      </c>
      <c r="DT590" t="str">
        <f>""</f>
        <v/>
      </c>
      <c r="DU590" t="str">
        <f>""</f>
        <v/>
      </c>
    </row>
    <row r="591" spans="1:125">
      <c r="A591" t="str">
        <f>$A$138</f>
        <v xml:space="preserve">    National Retail Properties Inc</v>
      </c>
      <c r="B591" t="str">
        <f>$B$138</f>
        <v>NNN US Equity</v>
      </c>
      <c r="C591" t="str">
        <f>$C$138</f>
        <v>F0578</v>
      </c>
      <c r="D591" t="str">
        <f>$D$138</f>
        <v>FUNDS_AVAILABLE_FOR_DISTRIBUTION</v>
      </c>
      <c r="E591" t="str">
        <f>$E$138</f>
        <v>动态</v>
      </c>
      <c r="F591" t="str">
        <f ca="1">BDH($B$138,$C$138,$B$417,$B$418,CONCATENATE("Per=",$B$415),"Dts=H","Dir=H",CONCATENATE("Points=",$B$416),"Sort=R","Days=A","Fill=B",CONCATENATE("FX=", $B$414) )</f>
        <v>#N/A Authorization</v>
      </c>
      <c r="BN591" t="str">
        <f>""</f>
        <v/>
      </c>
      <c r="BO591" t="str">
        <f>""</f>
        <v/>
      </c>
      <c r="BP591" t="str">
        <f>""</f>
        <v/>
      </c>
      <c r="BQ591" t="str">
        <f>""</f>
        <v/>
      </c>
      <c r="BR591" t="str">
        <f>""</f>
        <v/>
      </c>
      <c r="BS591" t="str">
        <f>""</f>
        <v/>
      </c>
      <c r="BT591" t="str">
        <f>""</f>
        <v/>
      </c>
      <c r="BU591" t="str">
        <f>""</f>
        <v/>
      </c>
      <c r="BV591" t="str">
        <f>""</f>
        <v/>
      </c>
      <c r="BW591" t="str">
        <f>""</f>
        <v/>
      </c>
      <c r="BX591" t="str">
        <f>""</f>
        <v/>
      </c>
      <c r="BY591" t="str">
        <f>""</f>
        <v/>
      </c>
      <c r="BZ591" t="str">
        <f>""</f>
        <v/>
      </c>
      <c r="CA591" t="str">
        <f>""</f>
        <v/>
      </c>
      <c r="CB591" t="str">
        <f>""</f>
        <v/>
      </c>
      <c r="CC591" t="str">
        <f>""</f>
        <v/>
      </c>
      <c r="CD591" t="str">
        <f>""</f>
        <v/>
      </c>
      <c r="CE591" t="str">
        <f>""</f>
        <v/>
      </c>
      <c r="CF591" t="str">
        <f>""</f>
        <v/>
      </c>
      <c r="CG591" t="str">
        <f>""</f>
        <v/>
      </c>
      <c r="CH591" t="str">
        <f>""</f>
        <v/>
      </c>
      <c r="CI591" t="str">
        <f>""</f>
        <v/>
      </c>
      <c r="CJ591" t="str">
        <f>""</f>
        <v/>
      </c>
      <c r="CK591" t="str">
        <f>""</f>
        <v/>
      </c>
      <c r="CL591" t="str">
        <f>""</f>
        <v/>
      </c>
      <c r="CM591" t="str">
        <f>""</f>
        <v/>
      </c>
      <c r="CN591" t="str">
        <f>""</f>
        <v/>
      </c>
      <c r="CO591" t="str">
        <f>""</f>
        <v/>
      </c>
      <c r="CP591" t="str">
        <f>""</f>
        <v/>
      </c>
      <c r="CQ591" t="str">
        <f>""</f>
        <v/>
      </c>
      <c r="CR591" t="str">
        <f>""</f>
        <v/>
      </c>
      <c r="CS591" t="str">
        <f>""</f>
        <v/>
      </c>
      <c r="CT591" t="str">
        <f>""</f>
        <v/>
      </c>
      <c r="CU591" t="str">
        <f>""</f>
        <v/>
      </c>
      <c r="CV591" t="str">
        <f>""</f>
        <v/>
      </c>
      <c r="CW591" t="str">
        <f>""</f>
        <v/>
      </c>
      <c r="CX591" t="str">
        <f>""</f>
        <v/>
      </c>
      <c r="CY591" t="str">
        <f>""</f>
        <v/>
      </c>
      <c r="CZ591" t="str">
        <f>""</f>
        <v/>
      </c>
      <c r="DA591" t="str">
        <f>""</f>
        <v/>
      </c>
      <c r="DB591" t="str">
        <f>""</f>
        <v/>
      </c>
      <c r="DC591" t="str">
        <f>""</f>
        <v/>
      </c>
      <c r="DD591" t="str">
        <f>""</f>
        <v/>
      </c>
      <c r="DE591" t="str">
        <f>""</f>
        <v/>
      </c>
      <c r="DF591" t="str">
        <f>""</f>
        <v/>
      </c>
      <c r="DG591" t="str">
        <f>""</f>
        <v/>
      </c>
      <c r="DH591" t="str">
        <f>""</f>
        <v/>
      </c>
      <c r="DI591" t="str">
        <f>""</f>
        <v/>
      </c>
      <c r="DJ591" t="str">
        <f>""</f>
        <v/>
      </c>
      <c r="DK591" t="str">
        <f>""</f>
        <v/>
      </c>
      <c r="DL591" t="str">
        <f>""</f>
        <v/>
      </c>
      <c r="DM591" t="str">
        <f>""</f>
        <v/>
      </c>
      <c r="DN591" t="str">
        <f>""</f>
        <v/>
      </c>
      <c r="DO591" t="str">
        <f>""</f>
        <v/>
      </c>
      <c r="DP591" t="str">
        <f>""</f>
        <v/>
      </c>
      <c r="DQ591" t="str">
        <f>""</f>
        <v/>
      </c>
      <c r="DR591" t="str">
        <f>""</f>
        <v/>
      </c>
      <c r="DS591" t="str">
        <f>""</f>
        <v/>
      </c>
      <c r="DT591" t="str">
        <f>""</f>
        <v/>
      </c>
      <c r="DU591" t="str">
        <f>""</f>
        <v/>
      </c>
    </row>
    <row r="592" spans="1:125">
      <c r="A592" t="str">
        <f>$A$139</f>
        <v xml:space="preserve">    Realty Income Corp</v>
      </c>
      <c r="B592" t="str">
        <f>$B$139</f>
        <v>O US Equity</v>
      </c>
      <c r="C592" t="str">
        <f>$C$139</f>
        <v>F0578</v>
      </c>
      <c r="D592" t="str">
        <f>$D$139</f>
        <v>FUNDS_AVAILABLE_FOR_DISTRIBUTION</v>
      </c>
      <c r="E592" t="str">
        <f>$E$139</f>
        <v>动态</v>
      </c>
      <c r="F592" t="str">
        <f ca="1">BDH($B$139,$C$139,$B$417,$B$418,CONCATENATE("Per=",$B$415),"Dts=H","Dir=H",CONCATENATE("Points=",$B$416),"Sort=R","Days=A","Fill=B",CONCATENATE("FX=", $B$414) )</f>
        <v>#N/A Authorization</v>
      </c>
      <c r="BN592" t="str">
        <f>""</f>
        <v/>
      </c>
      <c r="BO592" t="str">
        <f>""</f>
        <v/>
      </c>
      <c r="BP592" t="str">
        <f>""</f>
        <v/>
      </c>
      <c r="BQ592" t="str">
        <f>""</f>
        <v/>
      </c>
      <c r="BR592" t="str">
        <f>""</f>
        <v/>
      </c>
      <c r="BS592" t="str">
        <f>""</f>
        <v/>
      </c>
      <c r="BT592" t="str">
        <f>""</f>
        <v/>
      </c>
      <c r="BU592" t="str">
        <f>""</f>
        <v/>
      </c>
      <c r="BV592" t="str">
        <f>""</f>
        <v/>
      </c>
      <c r="BW592" t="str">
        <f>""</f>
        <v/>
      </c>
      <c r="BX592" t="str">
        <f>""</f>
        <v/>
      </c>
      <c r="BY592" t="str">
        <f>""</f>
        <v/>
      </c>
      <c r="BZ592" t="str">
        <f>""</f>
        <v/>
      </c>
      <c r="CA592" t="str">
        <f>""</f>
        <v/>
      </c>
      <c r="CB592" t="str">
        <f>""</f>
        <v/>
      </c>
      <c r="CC592" t="str">
        <f>""</f>
        <v/>
      </c>
      <c r="CD592" t="str">
        <f>""</f>
        <v/>
      </c>
      <c r="CE592" t="str">
        <f>""</f>
        <v/>
      </c>
      <c r="CF592" t="str">
        <f>""</f>
        <v/>
      </c>
      <c r="CG592" t="str">
        <f>""</f>
        <v/>
      </c>
      <c r="CH592" t="str">
        <f>""</f>
        <v/>
      </c>
      <c r="CI592" t="str">
        <f>""</f>
        <v/>
      </c>
      <c r="CJ592" t="str">
        <f>""</f>
        <v/>
      </c>
      <c r="CK592" t="str">
        <f>""</f>
        <v/>
      </c>
      <c r="CL592" t="str">
        <f>""</f>
        <v/>
      </c>
      <c r="CM592" t="str">
        <f>""</f>
        <v/>
      </c>
      <c r="CN592" t="str">
        <f>""</f>
        <v/>
      </c>
      <c r="CO592" t="str">
        <f>""</f>
        <v/>
      </c>
      <c r="CP592" t="str">
        <f>""</f>
        <v/>
      </c>
      <c r="CQ592" t="str">
        <f>""</f>
        <v/>
      </c>
      <c r="CR592" t="str">
        <f>""</f>
        <v/>
      </c>
      <c r="CS592" t="str">
        <f>""</f>
        <v/>
      </c>
      <c r="CT592" t="str">
        <f>""</f>
        <v/>
      </c>
      <c r="CU592" t="str">
        <f>""</f>
        <v/>
      </c>
      <c r="CV592" t="str">
        <f>""</f>
        <v/>
      </c>
      <c r="CW592" t="str">
        <f>""</f>
        <v/>
      </c>
      <c r="CX592" t="str">
        <f>""</f>
        <v/>
      </c>
      <c r="CY592" t="str">
        <f>""</f>
        <v/>
      </c>
      <c r="CZ592" t="str">
        <f>""</f>
        <v/>
      </c>
      <c r="DA592" t="str">
        <f>""</f>
        <v/>
      </c>
      <c r="DB592" t="str">
        <f>""</f>
        <v/>
      </c>
      <c r="DC592" t="str">
        <f>""</f>
        <v/>
      </c>
      <c r="DD592" t="str">
        <f>""</f>
        <v/>
      </c>
      <c r="DE592" t="str">
        <f>""</f>
        <v/>
      </c>
      <c r="DF592" t="str">
        <f>""</f>
        <v/>
      </c>
      <c r="DG592" t="str">
        <f>""</f>
        <v/>
      </c>
      <c r="DH592" t="str">
        <f>""</f>
        <v/>
      </c>
      <c r="DI592" t="str">
        <f>""</f>
        <v/>
      </c>
      <c r="DJ592" t="str">
        <f>""</f>
        <v/>
      </c>
      <c r="DK592" t="str">
        <f>""</f>
        <v/>
      </c>
      <c r="DL592" t="str">
        <f>""</f>
        <v/>
      </c>
      <c r="DM592" t="str">
        <f>""</f>
        <v/>
      </c>
      <c r="DN592" t="str">
        <f>""</f>
        <v/>
      </c>
      <c r="DO592" t="str">
        <f>""</f>
        <v/>
      </c>
      <c r="DP592" t="str">
        <f>""</f>
        <v/>
      </c>
      <c r="DQ592" t="str">
        <f>""</f>
        <v/>
      </c>
      <c r="DR592" t="str">
        <f>""</f>
        <v/>
      </c>
      <c r="DS592" t="str">
        <f>""</f>
        <v/>
      </c>
      <c r="DT592" t="str">
        <f>""</f>
        <v/>
      </c>
      <c r="DU592" t="str">
        <f>""</f>
        <v/>
      </c>
    </row>
    <row r="593" spans="1:125">
      <c r="A593" t="str">
        <f>$A$140</f>
        <v xml:space="preserve">    Regency Centers Corp</v>
      </c>
      <c r="B593" t="str">
        <f>$B$140</f>
        <v>REG US Equity</v>
      </c>
      <c r="C593" t="str">
        <f>$C$140</f>
        <v>F0578</v>
      </c>
      <c r="D593" t="str">
        <f>$D$140</f>
        <v>FUNDS_AVAILABLE_FOR_DISTRIBUTION</v>
      </c>
      <c r="E593" t="str">
        <f>$E$140</f>
        <v>动态</v>
      </c>
      <c r="F593" t="str">
        <f ca="1">BDH($B$140,$C$140,$B$417,$B$418,CONCATENATE("Per=",$B$415),"Dts=H","Dir=H",CONCATENATE("Points=",$B$416),"Sort=R","Days=A","Fill=B",CONCATENATE("FX=", $B$414) )</f>
        <v>#N/A Authorization</v>
      </c>
      <c r="BN593" t="str">
        <f>""</f>
        <v/>
      </c>
      <c r="BO593" t="str">
        <f>""</f>
        <v/>
      </c>
      <c r="BP593" t="str">
        <f>""</f>
        <v/>
      </c>
      <c r="BQ593" t="str">
        <f>""</f>
        <v/>
      </c>
      <c r="BR593" t="str">
        <f>""</f>
        <v/>
      </c>
      <c r="BS593" t="str">
        <f>""</f>
        <v/>
      </c>
      <c r="BT593" t="str">
        <f>""</f>
        <v/>
      </c>
      <c r="BU593" t="str">
        <f>""</f>
        <v/>
      </c>
      <c r="BV593" t="str">
        <f>""</f>
        <v/>
      </c>
      <c r="BW593" t="str">
        <f>""</f>
        <v/>
      </c>
      <c r="BX593" t="str">
        <f>""</f>
        <v/>
      </c>
      <c r="BY593" t="str">
        <f>""</f>
        <v/>
      </c>
      <c r="BZ593" t="str">
        <f>""</f>
        <v/>
      </c>
      <c r="CA593" t="str">
        <f>""</f>
        <v/>
      </c>
      <c r="CB593" t="str">
        <f>""</f>
        <v/>
      </c>
      <c r="CC593" t="str">
        <f>""</f>
        <v/>
      </c>
      <c r="CD593" t="str">
        <f>""</f>
        <v/>
      </c>
      <c r="CE593" t="str">
        <f>""</f>
        <v/>
      </c>
      <c r="CF593" t="str">
        <f>""</f>
        <v/>
      </c>
      <c r="CG593" t="str">
        <f>""</f>
        <v/>
      </c>
      <c r="CH593" t="str">
        <f>""</f>
        <v/>
      </c>
      <c r="CI593" t="str">
        <f>""</f>
        <v/>
      </c>
      <c r="CJ593" t="str">
        <f>""</f>
        <v/>
      </c>
      <c r="CK593" t="str">
        <f>""</f>
        <v/>
      </c>
      <c r="CL593" t="str">
        <f>""</f>
        <v/>
      </c>
      <c r="CM593" t="str">
        <f>""</f>
        <v/>
      </c>
      <c r="CN593" t="str">
        <f>""</f>
        <v/>
      </c>
      <c r="CO593" t="str">
        <f>""</f>
        <v/>
      </c>
      <c r="CP593" t="str">
        <f>""</f>
        <v/>
      </c>
      <c r="CQ593" t="str">
        <f>""</f>
        <v/>
      </c>
      <c r="CR593" t="str">
        <f>""</f>
        <v/>
      </c>
      <c r="CS593" t="str">
        <f>""</f>
        <v/>
      </c>
      <c r="CT593" t="str">
        <f>""</f>
        <v/>
      </c>
      <c r="CU593" t="str">
        <f>""</f>
        <v/>
      </c>
      <c r="CV593" t="str">
        <f>""</f>
        <v/>
      </c>
      <c r="CW593" t="str">
        <f>""</f>
        <v/>
      </c>
      <c r="CX593" t="str">
        <f>""</f>
        <v/>
      </c>
      <c r="CY593" t="str">
        <f>""</f>
        <v/>
      </c>
      <c r="CZ593" t="str">
        <f>""</f>
        <v/>
      </c>
      <c r="DA593" t="str">
        <f>""</f>
        <v/>
      </c>
      <c r="DB593" t="str">
        <f>""</f>
        <v/>
      </c>
      <c r="DC593" t="str">
        <f>""</f>
        <v/>
      </c>
      <c r="DD593" t="str">
        <f>""</f>
        <v/>
      </c>
      <c r="DE593" t="str">
        <f>""</f>
        <v/>
      </c>
      <c r="DF593" t="str">
        <f>""</f>
        <v/>
      </c>
      <c r="DG593" t="str">
        <f>""</f>
        <v/>
      </c>
      <c r="DH593" t="str">
        <f>""</f>
        <v/>
      </c>
      <c r="DI593" t="str">
        <f>""</f>
        <v/>
      </c>
      <c r="DJ593" t="str">
        <f>""</f>
        <v/>
      </c>
      <c r="DK593" t="str">
        <f>""</f>
        <v/>
      </c>
      <c r="DL593" t="str">
        <f>""</f>
        <v/>
      </c>
      <c r="DM593" t="str">
        <f>""</f>
        <v/>
      </c>
      <c r="DN593" t="str">
        <f>""</f>
        <v/>
      </c>
      <c r="DO593" t="str">
        <f>""</f>
        <v/>
      </c>
      <c r="DP593" t="str">
        <f>""</f>
        <v/>
      </c>
      <c r="DQ593" t="str">
        <f>""</f>
        <v/>
      </c>
      <c r="DR593" t="str">
        <f>""</f>
        <v/>
      </c>
      <c r="DS593" t="str">
        <f>""</f>
        <v/>
      </c>
      <c r="DT593" t="str">
        <f>""</f>
        <v/>
      </c>
      <c r="DU593" t="str">
        <f>""</f>
        <v/>
      </c>
    </row>
    <row r="594" spans="1:125">
      <c r="A594" t="str">
        <f>$A$141</f>
        <v xml:space="preserve">    Retail Opportunity Investments</v>
      </c>
      <c r="B594" t="str">
        <f>$B$141</f>
        <v>ROIC US Equity</v>
      </c>
      <c r="C594" t="str">
        <f>$C$141</f>
        <v>F0578</v>
      </c>
      <c r="D594" t="str">
        <f>$D$141</f>
        <v>FUNDS_AVAILABLE_FOR_DISTRIBUTION</v>
      </c>
      <c r="E594" t="str">
        <f>$E$141</f>
        <v>动态</v>
      </c>
      <c r="F594" t="str">
        <f ca="1">BDH($B$141,$C$141,$B$417,$B$418,CONCATENATE("Per=",$B$415),"Dts=H","Dir=H",CONCATENATE("Points=",$B$416),"Sort=R","Days=A","Fill=B",CONCATENATE("FX=", $B$414) )</f>
        <v>#N/A Authorization</v>
      </c>
      <c r="BN594" t="str">
        <f>""</f>
        <v/>
      </c>
      <c r="BO594" t="str">
        <f>""</f>
        <v/>
      </c>
      <c r="BP594" t="str">
        <f>""</f>
        <v/>
      </c>
      <c r="BQ594" t="str">
        <f>""</f>
        <v/>
      </c>
      <c r="BR594" t="str">
        <f>""</f>
        <v/>
      </c>
      <c r="BS594" t="str">
        <f>""</f>
        <v/>
      </c>
      <c r="BT594" t="str">
        <f>""</f>
        <v/>
      </c>
      <c r="BU594" t="str">
        <f>""</f>
        <v/>
      </c>
      <c r="BV594" t="str">
        <f>""</f>
        <v/>
      </c>
      <c r="BW594" t="str">
        <f>""</f>
        <v/>
      </c>
      <c r="BX594" t="str">
        <f>""</f>
        <v/>
      </c>
      <c r="BY594" t="str">
        <f>""</f>
        <v/>
      </c>
      <c r="BZ594" t="str">
        <f>""</f>
        <v/>
      </c>
      <c r="CA594" t="str">
        <f>""</f>
        <v/>
      </c>
      <c r="CB594" t="str">
        <f>""</f>
        <v/>
      </c>
      <c r="CC594" t="str">
        <f>""</f>
        <v/>
      </c>
      <c r="CD594" t="str">
        <f>""</f>
        <v/>
      </c>
      <c r="CE594" t="str">
        <f>""</f>
        <v/>
      </c>
      <c r="CF594" t="str">
        <f>""</f>
        <v/>
      </c>
      <c r="CG594" t="str">
        <f>""</f>
        <v/>
      </c>
      <c r="CH594" t="str">
        <f>""</f>
        <v/>
      </c>
      <c r="CI594" t="str">
        <f>""</f>
        <v/>
      </c>
      <c r="CJ594" t="str">
        <f>""</f>
        <v/>
      </c>
      <c r="CK594" t="str">
        <f>""</f>
        <v/>
      </c>
      <c r="CL594" t="str">
        <f>""</f>
        <v/>
      </c>
      <c r="CM594" t="str">
        <f>""</f>
        <v/>
      </c>
      <c r="CN594" t="str">
        <f>""</f>
        <v/>
      </c>
      <c r="CO594" t="str">
        <f>""</f>
        <v/>
      </c>
      <c r="CP594" t="str">
        <f>""</f>
        <v/>
      </c>
      <c r="CQ594" t="str">
        <f>""</f>
        <v/>
      </c>
      <c r="CR594" t="str">
        <f>""</f>
        <v/>
      </c>
      <c r="CS594" t="str">
        <f>""</f>
        <v/>
      </c>
      <c r="CT594" t="str">
        <f>""</f>
        <v/>
      </c>
      <c r="CU594" t="str">
        <f>""</f>
        <v/>
      </c>
      <c r="CV594" t="str">
        <f>""</f>
        <v/>
      </c>
      <c r="CW594" t="str">
        <f>""</f>
        <v/>
      </c>
      <c r="CX594" t="str">
        <f>""</f>
        <v/>
      </c>
      <c r="CY594" t="str">
        <f>""</f>
        <v/>
      </c>
      <c r="CZ594" t="str">
        <f>""</f>
        <v/>
      </c>
      <c r="DA594" t="str">
        <f>""</f>
        <v/>
      </c>
      <c r="DB594" t="str">
        <f>""</f>
        <v/>
      </c>
      <c r="DC594" t="str">
        <f>""</f>
        <v/>
      </c>
      <c r="DD594" t="str">
        <f>""</f>
        <v/>
      </c>
      <c r="DE594" t="str">
        <f>""</f>
        <v/>
      </c>
      <c r="DF594" t="str">
        <f>""</f>
        <v/>
      </c>
      <c r="DG594" t="str">
        <f>""</f>
        <v/>
      </c>
      <c r="DH594" t="str">
        <f>""</f>
        <v/>
      </c>
      <c r="DI594" t="str">
        <f>""</f>
        <v/>
      </c>
      <c r="DJ594" t="str">
        <f>""</f>
        <v/>
      </c>
      <c r="DK594" t="str">
        <f>""</f>
        <v/>
      </c>
      <c r="DL594" t="str">
        <f>""</f>
        <v/>
      </c>
      <c r="DM594" t="str">
        <f>""</f>
        <v/>
      </c>
      <c r="DN594" t="str">
        <f>""</f>
        <v/>
      </c>
      <c r="DO594" t="str">
        <f>""</f>
        <v/>
      </c>
      <c r="DP594" t="str">
        <f>""</f>
        <v/>
      </c>
      <c r="DQ594" t="str">
        <f>""</f>
        <v/>
      </c>
      <c r="DR594" t="str">
        <f>""</f>
        <v/>
      </c>
      <c r="DS594" t="str">
        <f>""</f>
        <v/>
      </c>
      <c r="DT594" t="str">
        <f>""</f>
        <v/>
      </c>
      <c r="DU594" t="str">
        <f>""</f>
        <v/>
      </c>
    </row>
    <row r="595" spans="1:125">
      <c r="A595" t="str">
        <f>$A$142</f>
        <v xml:space="preserve">    Retail Properties of America I</v>
      </c>
      <c r="B595" t="str">
        <f>$B$142</f>
        <v>RPAI US Equity</v>
      </c>
      <c r="C595" t="str">
        <f>$C$142</f>
        <v>F0578</v>
      </c>
      <c r="D595" t="str">
        <f>$D$142</f>
        <v>FUNDS_AVAILABLE_FOR_DISTRIBUTION</v>
      </c>
      <c r="E595" t="str">
        <f>$E$142</f>
        <v>动态</v>
      </c>
      <c r="F595" t="str">
        <f ca="1">BDH($B$142,$C$142,$B$417,$B$418,CONCATENATE("Per=",$B$415),"Dts=H","Dir=H",CONCATENATE("Points=",$B$416),"Sort=R","Days=A","Fill=B",CONCATENATE("FX=", $B$414) )</f>
        <v>#N/A Authorization</v>
      </c>
      <c r="BN595" t="str">
        <f>""</f>
        <v/>
      </c>
      <c r="BO595" t="str">
        <f>""</f>
        <v/>
      </c>
      <c r="BP595" t="str">
        <f>""</f>
        <v/>
      </c>
      <c r="BQ595" t="str">
        <f>""</f>
        <v/>
      </c>
      <c r="BR595" t="str">
        <f>""</f>
        <v/>
      </c>
      <c r="BS595" t="str">
        <f>""</f>
        <v/>
      </c>
      <c r="BT595" t="str">
        <f>""</f>
        <v/>
      </c>
      <c r="BU595" t="str">
        <f>""</f>
        <v/>
      </c>
      <c r="BV595" t="str">
        <f>""</f>
        <v/>
      </c>
      <c r="BW595" t="str">
        <f>""</f>
        <v/>
      </c>
      <c r="BX595" t="str">
        <f>""</f>
        <v/>
      </c>
      <c r="BY595" t="str">
        <f>""</f>
        <v/>
      </c>
      <c r="BZ595" t="str">
        <f>""</f>
        <v/>
      </c>
      <c r="CA595" t="str">
        <f>""</f>
        <v/>
      </c>
      <c r="CB595" t="str">
        <f>""</f>
        <v/>
      </c>
      <c r="CC595" t="str">
        <f>""</f>
        <v/>
      </c>
      <c r="CD595" t="str">
        <f>""</f>
        <v/>
      </c>
      <c r="CE595" t="str">
        <f>""</f>
        <v/>
      </c>
      <c r="CF595" t="str">
        <f>""</f>
        <v/>
      </c>
      <c r="CG595" t="str">
        <f>""</f>
        <v/>
      </c>
      <c r="CH595" t="str">
        <f>""</f>
        <v/>
      </c>
      <c r="CI595" t="str">
        <f>""</f>
        <v/>
      </c>
      <c r="CJ595" t="str">
        <f>""</f>
        <v/>
      </c>
      <c r="CK595" t="str">
        <f>""</f>
        <v/>
      </c>
      <c r="CL595" t="str">
        <f>""</f>
        <v/>
      </c>
      <c r="CM595" t="str">
        <f>""</f>
        <v/>
      </c>
      <c r="CN595" t="str">
        <f>""</f>
        <v/>
      </c>
      <c r="CO595" t="str">
        <f>""</f>
        <v/>
      </c>
      <c r="CP595" t="str">
        <f>""</f>
        <v/>
      </c>
      <c r="CQ595" t="str">
        <f>""</f>
        <v/>
      </c>
      <c r="CR595" t="str">
        <f>""</f>
        <v/>
      </c>
      <c r="CS595" t="str">
        <f>""</f>
        <v/>
      </c>
      <c r="CT595" t="str">
        <f>""</f>
        <v/>
      </c>
      <c r="CU595" t="str">
        <f>""</f>
        <v/>
      </c>
      <c r="CV595" t="str">
        <f>""</f>
        <v/>
      </c>
      <c r="CW595" t="str">
        <f>""</f>
        <v/>
      </c>
      <c r="CX595" t="str">
        <f>""</f>
        <v/>
      </c>
      <c r="CY595" t="str">
        <f>""</f>
        <v/>
      </c>
      <c r="CZ595" t="str">
        <f>""</f>
        <v/>
      </c>
      <c r="DA595" t="str">
        <f>""</f>
        <v/>
      </c>
      <c r="DB595" t="str">
        <f>""</f>
        <v/>
      </c>
      <c r="DC595" t="str">
        <f>""</f>
        <v/>
      </c>
      <c r="DD595" t="str">
        <f>""</f>
        <v/>
      </c>
      <c r="DE595" t="str">
        <f>""</f>
        <v/>
      </c>
      <c r="DF595" t="str">
        <f>""</f>
        <v/>
      </c>
      <c r="DG595" t="str">
        <f>""</f>
        <v/>
      </c>
      <c r="DH595" t="str">
        <f>""</f>
        <v/>
      </c>
      <c r="DI595" t="str">
        <f>""</f>
        <v/>
      </c>
      <c r="DJ595" t="str">
        <f>""</f>
        <v/>
      </c>
      <c r="DK595" t="str">
        <f>""</f>
        <v/>
      </c>
      <c r="DL595" t="str">
        <f>""</f>
        <v/>
      </c>
      <c r="DM595" t="str">
        <f>""</f>
        <v/>
      </c>
      <c r="DN595" t="str">
        <f>""</f>
        <v/>
      </c>
      <c r="DO595" t="str">
        <f>""</f>
        <v/>
      </c>
      <c r="DP595" t="str">
        <f>""</f>
        <v/>
      </c>
      <c r="DQ595" t="str">
        <f>""</f>
        <v/>
      </c>
      <c r="DR595" t="str">
        <f>""</f>
        <v/>
      </c>
      <c r="DS595" t="str">
        <f>""</f>
        <v/>
      </c>
      <c r="DT595" t="str">
        <f>""</f>
        <v/>
      </c>
      <c r="DU595" t="str">
        <f>""</f>
        <v/>
      </c>
    </row>
    <row r="596" spans="1:125">
      <c r="A596" t="str">
        <f>$A$143</f>
        <v xml:space="preserve">    Simon Property Group Inc</v>
      </c>
      <c r="B596" t="str">
        <f>$B$143</f>
        <v>SPG US Equity</v>
      </c>
      <c r="C596" t="str">
        <f>$C$143</f>
        <v>F0578</v>
      </c>
      <c r="D596" t="str">
        <f>$D$143</f>
        <v>FUNDS_AVAILABLE_FOR_DISTRIBUTION</v>
      </c>
      <c r="E596" t="str">
        <f>$E$143</f>
        <v>动态</v>
      </c>
      <c r="F596" t="str">
        <f ca="1">BDH($B$143,$C$143,$B$417,$B$418,CONCATENATE("Per=",$B$415),"Dts=H","Dir=H",CONCATENATE("Points=",$B$416),"Sort=R","Days=A","Fill=B",CONCATENATE("FX=", $B$414) )</f>
        <v>#N/A Authorization</v>
      </c>
      <c r="BN596" t="str">
        <f>""</f>
        <v/>
      </c>
      <c r="BO596" t="str">
        <f>""</f>
        <v/>
      </c>
      <c r="BP596" t="str">
        <f>""</f>
        <v/>
      </c>
      <c r="BQ596" t="str">
        <f>""</f>
        <v/>
      </c>
      <c r="BR596" t="str">
        <f>""</f>
        <v/>
      </c>
      <c r="BS596" t="str">
        <f>""</f>
        <v/>
      </c>
      <c r="BT596" t="str">
        <f>""</f>
        <v/>
      </c>
      <c r="BU596" t="str">
        <f>""</f>
        <v/>
      </c>
      <c r="BV596" t="str">
        <f>""</f>
        <v/>
      </c>
      <c r="BW596" t="str">
        <f>""</f>
        <v/>
      </c>
      <c r="BX596" t="str">
        <f>""</f>
        <v/>
      </c>
      <c r="BY596" t="str">
        <f>""</f>
        <v/>
      </c>
      <c r="BZ596" t="str">
        <f>""</f>
        <v/>
      </c>
      <c r="CA596" t="str">
        <f>""</f>
        <v/>
      </c>
      <c r="CB596" t="str">
        <f>""</f>
        <v/>
      </c>
      <c r="CC596" t="str">
        <f>""</f>
        <v/>
      </c>
      <c r="CD596" t="str">
        <f>""</f>
        <v/>
      </c>
      <c r="CE596" t="str">
        <f>""</f>
        <v/>
      </c>
      <c r="CF596" t="str">
        <f>""</f>
        <v/>
      </c>
      <c r="CG596" t="str">
        <f>""</f>
        <v/>
      </c>
      <c r="CH596" t="str">
        <f>""</f>
        <v/>
      </c>
      <c r="CI596" t="str">
        <f>""</f>
        <v/>
      </c>
      <c r="CJ596" t="str">
        <f>""</f>
        <v/>
      </c>
      <c r="CK596" t="str">
        <f>""</f>
        <v/>
      </c>
      <c r="CL596" t="str">
        <f>""</f>
        <v/>
      </c>
      <c r="CM596" t="str">
        <f>""</f>
        <v/>
      </c>
      <c r="CN596" t="str">
        <f>""</f>
        <v/>
      </c>
      <c r="CO596" t="str">
        <f>""</f>
        <v/>
      </c>
      <c r="CP596" t="str">
        <f>""</f>
        <v/>
      </c>
      <c r="CQ596" t="str">
        <f>""</f>
        <v/>
      </c>
      <c r="CR596" t="str">
        <f>""</f>
        <v/>
      </c>
      <c r="CS596" t="str">
        <f>""</f>
        <v/>
      </c>
      <c r="CT596" t="str">
        <f>""</f>
        <v/>
      </c>
      <c r="CU596" t="str">
        <f>""</f>
        <v/>
      </c>
      <c r="CV596" t="str">
        <f>""</f>
        <v/>
      </c>
      <c r="CW596" t="str">
        <f>""</f>
        <v/>
      </c>
      <c r="CX596" t="str">
        <f>""</f>
        <v/>
      </c>
      <c r="CY596" t="str">
        <f>""</f>
        <v/>
      </c>
      <c r="CZ596" t="str">
        <f>""</f>
        <v/>
      </c>
      <c r="DA596" t="str">
        <f>""</f>
        <v/>
      </c>
      <c r="DB596" t="str">
        <f>""</f>
        <v/>
      </c>
      <c r="DC596" t="str">
        <f>""</f>
        <v/>
      </c>
      <c r="DD596" t="str">
        <f>""</f>
        <v/>
      </c>
      <c r="DE596" t="str">
        <f>""</f>
        <v/>
      </c>
      <c r="DF596" t="str">
        <f>""</f>
        <v/>
      </c>
      <c r="DG596" t="str">
        <f>""</f>
        <v/>
      </c>
      <c r="DH596" t="str">
        <f>""</f>
        <v/>
      </c>
      <c r="DI596" t="str">
        <f>""</f>
        <v/>
      </c>
      <c r="DJ596" t="str">
        <f>""</f>
        <v/>
      </c>
      <c r="DK596" t="str">
        <f>""</f>
        <v/>
      </c>
      <c r="DL596" t="str">
        <f>""</f>
        <v/>
      </c>
      <c r="DM596" t="str">
        <f>""</f>
        <v/>
      </c>
      <c r="DN596" t="str">
        <f>""</f>
        <v/>
      </c>
      <c r="DO596" t="str">
        <f>""</f>
        <v/>
      </c>
      <c r="DP596" t="str">
        <f>""</f>
        <v/>
      </c>
      <c r="DQ596" t="str">
        <f>""</f>
        <v/>
      </c>
      <c r="DR596" t="str">
        <f>""</f>
        <v/>
      </c>
      <c r="DS596" t="str">
        <f>""</f>
        <v/>
      </c>
      <c r="DT596" t="str">
        <f>""</f>
        <v/>
      </c>
      <c r="DU596" t="str">
        <f>""</f>
        <v/>
      </c>
    </row>
    <row r="597" spans="1:125">
      <c r="A597" t="str">
        <f>$A$144</f>
        <v xml:space="preserve">    Tanger Factory Outlet Centers</v>
      </c>
      <c r="B597" t="str">
        <f>$B$144</f>
        <v>SKT US Equity</v>
      </c>
      <c r="C597" t="str">
        <f>$C$144</f>
        <v>F0578</v>
      </c>
      <c r="D597" t="str">
        <f>$D$144</f>
        <v>FUNDS_AVAILABLE_FOR_DISTRIBUTION</v>
      </c>
      <c r="E597" t="str">
        <f>$E$144</f>
        <v>动态</v>
      </c>
      <c r="F597" t="str">
        <f ca="1">BDH($B$144,$C$144,$B$417,$B$418,CONCATENATE("Per=",$B$415),"Dts=H","Dir=H",CONCATENATE("Points=",$B$416),"Sort=R","Days=A","Fill=B",CONCATENATE("FX=", $B$414) )</f>
        <v>#N/A Authorization</v>
      </c>
      <c r="BN597" t="str">
        <f>""</f>
        <v/>
      </c>
      <c r="BO597" t="str">
        <f>""</f>
        <v/>
      </c>
      <c r="BP597" t="str">
        <f>""</f>
        <v/>
      </c>
      <c r="BQ597" t="str">
        <f>""</f>
        <v/>
      </c>
      <c r="BR597" t="str">
        <f>""</f>
        <v/>
      </c>
      <c r="BS597" t="str">
        <f>""</f>
        <v/>
      </c>
      <c r="BT597" t="str">
        <f>""</f>
        <v/>
      </c>
      <c r="BU597" t="str">
        <f>""</f>
        <v/>
      </c>
      <c r="BV597" t="str">
        <f>""</f>
        <v/>
      </c>
      <c r="BW597" t="str">
        <f>""</f>
        <v/>
      </c>
      <c r="BX597" t="str">
        <f>""</f>
        <v/>
      </c>
      <c r="BY597" t="str">
        <f>""</f>
        <v/>
      </c>
      <c r="BZ597" t="str">
        <f>""</f>
        <v/>
      </c>
      <c r="CA597" t="str">
        <f>""</f>
        <v/>
      </c>
      <c r="CB597" t="str">
        <f>""</f>
        <v/>
      </c>
      <c r="CC597" t="str">
        <f>""</f>
        <v/>
      </c>
      <c r="CD597" t="str">
        <f>""</f>
        <v/>
      </c>
      <c r="CE597" t="str">
        <f>""</f>
        <v/>
      </c>
      <c r="CF597" t="str">
        <f>""</f>
        <v/>
      </c>
      <c r="CG597" t="str">
        <f>""</f>
        <v/>
      </c>
      <c r="CH597" t="str">
        <f>""</f>
        <v/>
      </c>
      <c r="CI597" t="str">
        <f>""</f>
        <v/>
      </c>
      <c r="CJ597" t="str">
        <f>""</f>
        <v/>
      </c>
      <c r="CK597" t="str">
        <f>""</f>
        <v/>
      </c>
      <c r="CL597" t="str">
        <f>""</f>
        <v/>
      </c>
      <c r="CM597" t="str">
        <f>""</f>
        <v/>
      </c>
      <c r="CN597" t="str">
        <f>""</f>
        <v/>
      </c>
      <c r="CO597" t="str">
        <f>""</f>
        <v/>
      </c>
      <c r="CP597" t="str">
        <f>""</f>
        <v/>
      </c>
      <c r="CQ597" t="str">
        <f>""</f>
        <v/>
      </c>
      <c r="CR597" t="str">
        <f>""</f>
        <v/>
      </c>
      <c r="CS597" t="str">
        <f>""</f>
        <v/>
      </c>
      <c r="CT597" t="str">
        <f>""</f>
        <v/>
      </c>
      <c r="CU597" t="str">
        <f>""</f>
        <v/>
      </c>
      <c r="CV597" t="str">
        <f>""</f>
        <v/>
      </c>
      <c r="CW597" t="str">
        <f>""</f>
        <v/>
      </c>
      <c r="CX597" t="str">
        <f>""</f>
        <v/>
      </c>
      <c r="CY597" t="str">
        <f>""</f>
        <v/>
      </c>
      <c r="CZ597" t="str">
        <f>""</f>
        <v/>
      </c>
      <c r="DA597" t="str">
        <f>""</f>
        <v/>
      </c>
      <c r="DB597" t="str">
        <f>""</f>
        <v/>
      </c>
      <c r="DC597" t="str">
        <f>""</f>
        <v/>
      </c>
      <c r="DD597" t="str">
        <f>""</f>
        <v/>
      </c>
      <c r="DE597" t="str">
        <f>""</f>
        <v/>
      </c>
      <c r="DF597" t="str">
        <f>""</f>
        <v/>
      </c>
      <c r="DG597" t="str">
        <f>""</f>
        <v/>
      </c>
      <c r="DH597" t="str">
        <f>""</f>
        <v/>
      </c>
      <c r="DI597" t="str">
        <f>""</f>
        <v/>
      </c>
      <c r="DJ597" t="str">
        <f>""</f>
        <v/>
      </c>
      <c r="DK597" t="str">
        <f>""</f>
        <v/>
      </c>
      <c r="DL597" t="str">
        <f>""</f>
        <v/>
      </c>
      <c r="DM597" t="str">
        <f>""</f>
        <v/>
      </c>
      <c r="DN597" t="str">
        <f>""</f>
        <v/>
      </c>
      <c r="DO597" t="str">
        <f>""</f>
        <v/>
      </c>
      <c r="DP597" t="str">
        <f>""</f>
        <v/>
      </c>
      <c r="DQ597" t="str">
        <f>""</f>
        <v/>
      </c>
      <c r="DR597" t="str">
        <f>""</f>
        <v/>
      </c>
      <c r="DS597" t="str">
        <f>""</f>
        <v/>
      </c>
      <c r="DT597" t="str">
        <f>""</f>
        <v/>
      </c>
      <c r="DU597" t="str">
        <f>""</f>
        <v/>
      </c>
    </row>
    <row r="598" spans="1:125">
      <c r="A598" t="str">
        <f>$A$145</f>
        <v xml:space="preserve">    VEREIT Inc</v>
      </c>
      <c r="B598" t="str">
        <f>$B$145</f>
        <v>VER US Equity</v>
      </c>
      <c r="C598" t="str">
        <f>$C$145</f>
        <v>F0578</v>
      </c>
      <c r="D598" t="str">
        <f>$D$145</f>
        <v>FUNDS_AVAILABLE_FOR_DISTRIBUTION</v>
      </c>
      <c r="E598" t="str">
        <f>$E$145</f>
        <v>动态</v>
      </c>
      <c r="F598" t="str">
        <f ca="1">BDH($B$145,$C$145,$B$417,$B$418,CONCATENATE("Per=",$B$415),"Dts=H","Dir=H",CONCATENATE("Points=",$B$416),"Sort=R","Days=A","Fill=B",CONCATENATE("FX=", $B$414) )</f>
        <v>#N/A Authorization</v>
      </c>
      <c r="BN598" t="str">
        <f>""</f>
        <v/>
      </c>
      <c r="BO598" t="str">
        <f>""</f>
        <v/>
      </c>
      <c r="BP598" t="str">
        <f>""</f>
        <v/>
      </c>
      <c r="BQ598" t="str">
        <f>""</f>
        <v/>
      </c>
      <c r="BR598" t="str">
        <f>""</f>
        <v/>
      </c>
      <c r="BS598" t="str">
        <f>""</f>
        <v/>
      </c>
      <c r="BT598" t="str">
        <f>""</f>
        <v/>
      </c>
      <c r="BU598" t="str">
        <f>""</f>
        <v/>
      </c>
      <c r="BV598" t="str">
        <f>""</f>
        <v/>
      </c>
      <c r="BW598" t="str">
        <f>""</f>
        <v/>
      </c>
      <c r="BX598" t="str">
        <f>""</f>
        <v/>
      </c>
      <c r="BY598" t="str">
        <f>""</f>
        <v/>
      </c>
      <c r="BZ598" t="str">
        <f>""</f>
        <v/>
      </c>
      <c r="CA598" t="str">
        <f>""</f>
        <v/>
      </c>
      <c r="CB598" t="str">
        <f>""</f>
        <v/>
      </c>
      <c r="CC598" t="str">
        <f>""</f>
        <v/>
      </c>
      <c r="CD598" t="str">
        <f>""</f>
        <v/>
      </c>
      <c r="CE598" t="str">
        <f>""</f>
        <v/>
      </c>
      <c r="CF598" t="str">
        <f>""</f>
        <v/>
      </c>
      <c r="CG598" t="str">
        <f>""</f>
        <v/>
      </c>
      <c r="CH598" t="str">
        <f>""</f>
        <v/>
      </c>
      <c r="CI598" t="str">
        <f>""</f>
        <v/>
      </c>
      <c r="CJ598" t="str">
        <f>""</f>
        <v/>
      </c>
      <c r="CK598" t="str">
        <f>""</f>
        <v/>
      </c>
      <c r="CL598" t="str">
        <f>""</f>
        <v/>
      </c>
      <c r="CM598" t="str">
        <f>""</f>
        <v/>
      </c>
      <c r="CN598" t="str">
        <f>""</f>
        <v/>
      </c>
      <c r="CO598" t="str">
        <f>""</f>
        <v/>
      </c>
      <c r="CP598" t="str">
        <f>""</f>
        <v/>
      </c>
      <c r="CQ598" t="str">
        <f>""</f>
        <v/>
      </c>
      <c r="CR598" t="str">
        <f>""</f>
        <v/>
      </c>
      <c r="CS598" t="str">
        <f>""</f>
        <v/>
      </c>
      <c r="CT598" t="str">
        <f>""</f>
        <v/>
      </c>
      <c r="CU598" t="str">
        <f>""</f>
        <v/>
      </c>
      <c r="CV598" t="str">
        <f>""</f>
        <v/>
      </c>
      <c r="CW598" t="str">
        <f>""</f>
        <v/>
      </c>
      <c r="CX598" t="str">
        <f>""</f>
        <v/>
      </c>
      <c r="CY598" t="str">
        <f>""</f>
        <v/>
      </c>
      <c r="CZ598" t="str">
        <f>""</f>
        <v/>
      </c>
      <c r="DA598" t="str">
        <f>""</f>
        <v/>
      </c>
      <c r="DB598" t="str">
        <f>""</f>
        <v/>
      </c>
      <c r="DC598" t="str">
        <f>""</f>
        <v/>
      </c>
      <c r="DD598" t="str">
        <f>""</f>
        <v/>
      </c>
      <c r="DE598" t="str">
        <f>""</f>
        <v/>
      </c>
      <c r="DF598" t="str">
        <f>""</f>
        <v/>
      </c>
      <c r="DG598" t="str">
        <f>""</f>
        <v/>
      </c>
      <c r="DH598" t="str">
        <f>""</f>
        <v/>
      </c>
      <c r="DI598" t="str">
        <f>""</f>
        <v/>
      </c>
      <c r="DJ598" t="str">
        <f>""</f>
        <v/>
      </c>
      <c r="DK598" t="str">
        <f>""</f>
        <v/>
      </c>
      <c r="DL598" t="str">
        <f>""</f>
        <v/>
      </c>
      <c r="DM598" t="str">
        <f>""</f>
        <v/>
      </c>
      <c r="DN598" t="str">
        <f>""</f>
        <v/>
      </c>
      <c r="DO598" t="str">
        <f>""</f>
        <v/>
      </c>
      <c r="DP598" t="str">
        <f>""</f>
        <v/>
      </c>
      <c r="DQ598" t="str">
        <f>""</f>
        <v/>
      </c>
      <c r="DR598" t="str">
        <f>""</f>
        <v/>
      </c>
      <c r="DS598" t="str">
        <f>""</f>
        <v/>
      </c>
      <c r="DT598" t="str">
        <f>""</f>
        <v/>
      </c>
      <c r="DU598" t="str">
        <f>""</f>
        <v/>
      </c>
    </row>
    <row r="599" spans="1:125">
      <c r="A599" t="str">
        <f>$A$146</f>
        <v xml:space="preserve">    Washington Prime Group Inc</v>
      </c>
      <c r="B599" t="str">
        <f>$B$146</f>
        <v>WPG US Equity</v>
      </c>
      <c r="C599" t="str">
        <f>$C$146</f>
        <v>F0578</v>
      </c>
      <c r="D599" t="str">
        <f>$D$146</f>
        <v>FUNDS_AVAILABLE_FOR_DISTRIBUTION</v>
      </c>
      <c r="E599" t="str">
        <f>$E$146</f>
        <v>动态</v>
      </c>
      <c r="F599" t="str">
        <f ca="1">BDH($B$146,$C$146,$B$417,$B$418,CONCATENATE("Per=",$B$415),"Dts=H","Dir=H",CONCATENATE("Points=",$B$416),"Sort=R","Days=A","Fill=B",CONCATENATE("FX=", $B$414) )</f>
        <v>#N/A Authorization</v>
      </c>
      <c r="BN599" t="str">
        <f>""</f>
        <v/>
      </c>
      <c r="BO599" t="str">
        <f>""</f>
        <v/>
      </c>
      <c r="BP599" t="str">
        <f>""</f>
        <v/>
      </c>
      <c r="BQ599" t="str">
        <f>""</f>
        <v/>
      </c>
      <c r="BR599" t="str">
        <f>""</f>
        <v/>
      </c>
      <c r="BS599" t="str">
        <f>""</f>
        <v/>
      </c>
      <c r="BT599" t="str">
        <f>""</f>
        <v/>
      </c>
      <c r="BU599" t="str">
        <f>""</f>
        <v/>
      </c>
      <c r="BV599" t="str">
        <f>""</f>
        <v/>
      </c>
      <c r="BW599" t="str">
        <f>""</f>
        <v/>
      </c>
      <c r="BX599" t="str">
        <f>""</f>
        <v/>
      </c>
      <c r="BY599" t="str">
        <f>""</f>
        <v/>
      </c>
      <c r="BZ599" t="str">
        <f>""</f>
        <v/>
      </c>
      <c r="CA599" t="str">
        <f>""</f>
        <v/>
      </c>
      <c r="CB599" t="str">
        <f>""</f>
        <v/>
      </c>
      <c r="CC599" t="str">
        <f>""</f>
        <v/>
      </c>
      <c r="CD599" t="str">
        <f>""</f>
        <v/>
      </c>
      <c r="CE599" t="str">
        <f>""</f>
        <v/>
      </c>
      <c r="CF599" t="str">
        <f>""</f>
        <v/>
      </c>
      <c r="CG599" t="str">
        <f>""</f>
        <v/>
      </c>
      <c r="CH599" t="str">
        <f>""</f>
        <v/>
      </c>
      <c r="CI599" t="str">
        <f>""</f>
        <v/>
      </c>
      <c r="CJ599" t="str">
        <f>""</f>
        <v/>
      </c>
      <c r="CK599" t="str">
        <f>""</f>
        <v/>
      </c>
      <c r="CL599" t="str">
        <f>""</f>
        <v/>
      </c>
      <c r="CM599" t="str">
        <f>""</f>
        <v/>
      </c>
      <c r="CN599" t="str">
        <f>""</f>
        <v/>
      </c>
      <c r="CO599" t="str">
        <f>""</f>
        <v/>
      </c>
      <c r="CP599" t="str">
        <f>""</f>
        <v/>
      </c>
      <c r="CQ599" t="str">
        <f>""</f>
        <v/>
      </c>
      <c r="CR599" t="str">
        <f>""</f>
        <v/>
      </c>
      <c r="CS599" t="str">
        <f>""</f>
        <v/>
      </c>
      <c r="CT599" t="str">
        <f>""</f>
        <v/>
      </c>
      <c r="CU599" t="str">
        <f>""</f>
        <v/>
      </c>
      <c r="CV599" t="str">
        <f>""</f>
        <v/>
      </c>
      <c r="CW599" t="str">
        <f>""</f>
        <v/>
      </c>
      <c r="CX599" t="str">
        <f>""</f>
        <v/>
      </c>
      <c r="CY599" t="str">
        <f>""</f>
        <v/>
      </c>
      <c r="CZ599" t="str">
        <f>""</f>
        <v/>
      </c>
      <c r="DA599" t="str">
        <f>""</f>
        <v/>
      </c>
      <c r="DB599" t="str">
        <f>""</f>
        <v/>
      </c>
      <c r="DC599" t="str">
        <f>""</f>
        <v/>
      </c>
      <c r="DD599" t="str">
        <f>""</f>
        <v/>
      </c>
      <c r="DE599" t="str">
        <f>""</f>
        <v/>
      </c>
      <c r="DF599" t="str">
        <f>""</f>
        <v/>
      </c>
      <c r="DG599" t="str">
        <f>""</f>
        <v/>
      </c>
      <c r="DH599" t="str">
        <f>""</f>
        <v/>
      </c>
      <c r="DI599" t="str">
        <f>""</f>
        <v/>
      </c>
      <c r="DJ599" t="str">
        <f>""</f>
        <v/>
      </c>
      <c r="DK599" t="str">
        <f>""</f>
        <v/>
      </c>
      <c r="DL599" t="str">
        <f>""</f>
        <v/>
      </c>
      <c r="DM599" t="str">
        <f>""</f>
        <v/>
      </c>
      <c r="DN599" t="str">
        <f>""</f>
        <v/>
      </c>
      <c r="DO599" t="str">
        <f>""</f>
        <v/>
      </c>
      <c r="DP599" t="str">
        <f>""</f>
        <v/>
      </c>
      <c r="DQ599" t="str">
        <f>""</f>
        <v/>
      </c>
      <c r="DR599" t="str">
        <f>""</f>
        <v/>
      </c>
      <c r="DS599" t="str">
        <f>""</f>
        <v/>
      </c>
      <c r="DT599" t="str">
        <f>""</f>
        <v/>
      </c>
      <c r="DU599" t="str">
        <f>""</f>
        <v/>
      </c>
    </row>
    <row r="600" spans="1:125">
      <c r="A600" t="str">
        <f>$A$147</f>
        <v xml:space="preserve">    Weingarten Realty Investors</v>
      </c>
      <c r="B600" t="str">
        <f>$B$147</f>
        <v>WRI US Equity</v>
      </c>
      <c r="C600" t="str">
        <f>$C$147</f>
        <v>F0578</v>
      </c>
      <c r="D600" t="str">
        <f>$D$147</f>
        <v>FUNDS_AVAILABLE_FOR_DISTRIBUTION</v>
      </c>
      <c r="E600" t="str">
        <f>$E$147</f>
        <v>动态</v>
      </c>
      <c r="F600" t="str">
        <f ca="1">BDH($B$147,$C$147,$B$417,$B$418,CONCATENATE("Per=",$B$415),"Dts=H","Dir=H",CONCATENATE("Points=",$B$416),"Sort=R","Days=A","Fill=B",CONCATENATE("FX=", $B$414) )</f>
        <v>#N/A Authorization</v>
      </c>
      <c r="BN600" t="str">
        <f>""</f>
        <v/>
      </c>
      <c r="BO600" t="str">
        <f>""</f>
        <v/>
      </c>
      <c r="BP600" t="str">
        <f>""</f>
        <v/>
      </c>
      <c r="BQ600" t="str">
        <f>""</f>
        <v/>
      </c>
      <c r="BR600" t="str">
        <f>""</f>
        <v/>
      </c>
      <c r="BS600" t="str">
        <f>""</f>
        <v/>
      </c>
      <c r="BT600" t="str">
        <f>""</f>
        <v/>
      </c>
      <c r="BU600" t="str">
        <f>""</f>
        <v/>
      </c>
      <c r="BV600" t="str">
        <f>""</f>
        <v/>
      </c>
      <c r="BW600" t="str">
        <f>""</f>
        <v/>
      </c>
      <c r="BX600" t="str">
        <f>""</f>
        <v/>
      </c>
      <c r="BY600" t="str">
        <f>""</f>
        <v/>
      </c>
      <c r="BZ600" t="str">
        <f>""</f>
        <v/>
      </c>
      <c r="CA600" t="str">
        <f>""</f>
        <v/>
      </c>
      <c r="CB600" t="str">
        <f>""</f>
        <v/>
      </c>
      <c r="CC600" t="str">
        <f>""</f>
        <v/>
      </c>
      <c r="CD600" t="str">
        <f>""</f>
        <v/>
      </c>
      <c r="CE600" t="str">
        <f>""</f>
        <v/>
      </c>
      <c r="CF600" t="str">
        <f>""</f>
        <v/>
      </c>
      <c r="CG600" t="str">
        <f>""</f>
        <v/>
      </c>
      <c r="CH600" t="str">
        <f>""</f>
        <v/>
      </c>
      <c r="CI600" t="str">
        <f>""</f>
        <v/>
      </c>
      <c r="CJ600" t="str">
        <f>""</f>
        <v/>
      </c>
      <c r="CK600" t="str">
        <f>""</f>
        <v/>
      </c>
      <c r="CL600" t="str">
        <f>""</f>
        <v/>
      </c>
      <c r="CM600" t="str">
        <f>""</f>
        <v/>
      </c>
      <c r="CN600" t="str">
        <f>""</f>
        <v/>
      </c>
      <c r="CO600" t="str">
        <f>""</f>
        <v/>
      </c>
      <c r="CP600" t="str">
        <f>""</f>
        <v/>
      </c>
      <c r="CQ600" t="str">
        <f>""</f>
        <v/>
      </c>
      <c r="CR600" t="str">
        <f>""</f>
        <v/>
      </c>
      <c r="CS600" t="str">
        <f>""</f>
        <v/>
      </c>
      <c r="CT600" t="str">
        <f>""</f>
        <v/>
      </c>
      <c r="CU600" t="str">
        <f>""</f>
        <v/>
      </c>
      <c r="CV600" t="str">
        <f>""</f>
        <v/>
      </c>
      <c r="CW600" t="str">
        <f>""</f>
        <v/>
      </c>
      <c r="CX600" t="str">
        <f>""</f>
        <v/>
      </c>
      <c r="CY600" t="str">
        <f>""</f>
        <v/>
      </c>
      <c r="CZ600" t="str">
        <f>""</f>
        <v/>
      </c>
      <c r="DA600" t="str">
        <f>""</f>
        <v/>
      </c>
      <c r="DB600" t="str">
        <f>""</f>
        <v/>
      </c>
      <c r="DC600" t="str">
        <f>""</f>
        <v/>
      </c>
      <c r="DD600" t="str">
        <f>""</f>
        <v/>
      </c>
      <c r="DE600" t="str">
        <f>""</f>
        <v/>
      </c>
      <c r="DF600" t="str">
        <f>""</f>
        <v/>
      </c>
      <c r="DG600" t="str">
        <f>""</f>
        <v/>
      </c>
      <c r="DH600" t="str">
        <f>""</f>
        <v/>
      </c>
      <c r="DI600" t="str">
        <f>""</f>
        <v/>
      </c>
      <c r="DJ600" t="str">
        <f>""</f>
        <v/>
      </c>
      <c r="DK600" t="str">
        <f>""</f>
        <v/>
      </c>
      <c r="DL600" t="str">
        <f>""</f>
        <v/>
      </c>
      <c r="DM600" t="str">
        <f>""</f>
        <v/>
      </c>
      <c r="DN600" t="str">
        <f>""</f>
        <v/>
      </c>
      <c r="DO600" t="str">
        <f>""</f>
        <v/>
      </c>
      <c r="DP600" t="str">
        <f>""</f>
        <v/>
      </c>
      <c r="DQ600" t="str">
        <f>""</f>
        <v/>
      </c>
      <c r="DR600" t="str">
        <f>""</f>
        <v/>
      </c>
      <c r="DS600" t="str">
        <f>""</f>
        <v/>
      </c>
      <c r="DT600" t="str">
        <f>""</f>
        <v/>
      </c>
      <c r="DU600" t="str">
        <f>""</f>
        <v/>
      </c>
    </row>
    <row r="601" spans="1:125">
      <c r="A601" t="str">
        <f>$A$149</f>
        <v xml:space="preserve">    Brixmor Property Group Inc</v>
      </c>
      <c r="B601" t="str">
        <f>$B$149</f>
        <v>BRX US Equity</v>
      </c>
      <c r="C601" t="str">
        <f>$C$149</f>
        <v>RR033</v>
      </c>
      <c r="D601" t="str">
        <f>$D$149</f>
        <v>SALES_GROWTH</v>
      </c>
      <c r="E601" t="str">
        <f>$E$149</f>
        <v>动态</v>
      </c>
      <c r="F601" t="str">
        <f ca="1">BDH($B$149,$C$149,$B$417,$B$418,CONCATENATE("Per=",$B$415),"Dts=H","Dir=H",CONCATENATE("Points=",$B$416),"Sort=R","Days=A","Fill=B",CONCATENATE("FX=", $B$414) )</f>
        <v>#N/A Authorization</v>
      </c>
      <c r="BN601" t="str">
        <f>""</f>
        <v/>
      </c>
      <c r="BO601" t="str">
        <f>""</f>
        <v/>
      </c>
      <c r="BP601" t="str">
        <f>""</f>
        <v/>
      </c>
      <c r="BQ601" t="str">
        <f>""</f>
        <v/>
      </c>
      <c r="BR601" t="str">
        <f>""</f>
        <v/>
      </c>
      <c r="BS601" t="str">
        <f>""</f>
        <v/>
      </c>
      <c r="BT601" t="str">
        <f>""</f>
        <v/>
      </c>
      <c r="BU601" t="str">
        <f>""</f>
        <v/>
      </c>
      <c r="BV601" t="str">
        <f>""</f>
        <v/>
      </c>
      <c r="BW601" t="str">
        <f>""</f>
        <v/>
      </c>
      <c r="BX601" t="str">
        <f>""</f>
        <v/>
      </c>
      <c r="BY601" t="str">
        <f>""</f>
        <v/>
      </c>
      <c r="BZ601" t="str">
        <f>""</f>
        <v/>
      </c>
      <c r="CA601" t="str">
        <f>""</f>
        <v/>
      </c>
      <c r="CB601" t="str">
        <f>""</f>
        <v/>
      </c>
      <c r="CC601" t="str">
        <f>""</f>
        <v/>
      </c>
      <c r="CD601" t="str">
        <f>""</f>
        <v/>
      </c>
      <c r="CE601" t="str">
        <f>""</f>
        <v/>
      </c>
      <c r="CF601" t="str">
        <f>""</f>
        <v/>
      </c>
      <c r="CG601" t="str">
        <f>""</f>
        <v/>
      </c>
      <c r="CH601" t="str">
        <f>""</f>
        <v/>
      </c>
      <c r="CI601" t="str">
        <f>""</f>
        <v/>
      </c>
      <c r="CJ601" t="str">
        <f>""</f>
        <v/>
      </c>
      <c r="CK601" t="str">
        <f>""</f>
        <v/>
      </c>
      <c r="CL601" t="str">
        <f>""</f>
        <v/>
      </c>
      <c r="CM601" t="str">
        <f>""</f>
        <v/>
      </c>
      <c r="CN601" t="str">
        <f>""</f>
        <v/>
      </c>
      <c r="CO601" t="str">
        <f>""</f>
        <v/>
      </c>
      <c r="CP601" t="str">
        <f>""</f>
        <v/>
      </c>
      <c r="CQ601" t="str">
        <f>""</f>
        <v/>
      </c>
      <c r="CR601" t="str">
        <f>""</f>
        <v/>
      </c>
      <c r="CS601" t="str">
        <f>""</f>
        <v/>
      </c>
      <c r="CT601" t="str">
        <f>""</f>
        <v/>
      </c>
      <c r="CU601" t="str">
        <f>""</f>
        <v/>
      </c>
      <c r="CV601" t="str">
        <f>""</f>
        <v/>
      </c>
      <c r="CW601" t="str">
        <f>""</f>
        <v/>
      </c>
      <c r="CX601" t="str">
        <f>""</f>
        <v/>
      </c>
      <c r="CY601" t="str">
        <f>""</f>
        <v/>
      </c>
      <c r="CZ601" t="str">
        <f>""</f>
        <v/>
      </c>
      <c r="DA601" t="str">
        <f>""</f>
        <v/>
      </c>
      <c r="DB601" t="str">
        <f>""</f>
        <v/>
      </c>
      <c r="DC601" t="str">
        <f>""</f>
        <v/>
      </c>
      <c r="DD601" t="str">
        <f>""</f>
        <v/>
      </c>
      <c r="DE601" t="str">
        <f>""</f>
        <v/>
      </c>
      <c r="DF601" t="str">
        <f>""</f>
        <v/>
      </c>
      <c r="DG601" t="str">
        <f>""</f>
        <v/>
      </c>
      <c r="DH601" t="str">
        <f>""</f>
        <v/>
      </c>
      <c r="DI601" t="str">
        <f>""</f>
        <v/>
      </c>
      <c r="DJ601" t="str">
        <f>""</f>
        <v/>
      </c>
      <c r="DK601" t="str">
        <f>""</f>
        <v/>
      </c>
      <c r="DL601" t="str">
        <f>""</f>
        <v/>
      </c>
      <c r="DM601" t="str">
        <f>""</f>
        <v/>
      </c>
      <c r="DN601" t="str">
        <f>""</f>
        <v/>
      </c>
      <c r="DO601" t="str">
        <f>""</f>
        <v/>
      </c>
      <c r="DP601" t="str">
        <f>""</f>
        <v/>
      </c>
      <c r="DQ601" t="str">
        <f>""</f>
        <v/>
      </c>
      <c r="DR601" t="str">
        <f>""</f>
        <v/>
      </c>
      <c r="DS601" t="str">
        <f>""</f>
        <v/>
      </c>
      <c r="DT601" t="str">
        <f>""</f>
        <v/>
      </c>
      <c r="DU601" t="str">
        <f>""</f>
        <v/>
      </c>
    </row>
    <row r="602" spans="1:125">
      <c r="A602" t="str">
        <f>$A$150</f>
        <v xml:space="preserve">    CBL &amp; Associates Properties In</v>
      </c>
      <c r="B602" t="str">
        <f>$B$150</f>
        <v>CBL US Equity</v>
      </c>
      <c r="C602" t="str">
        <f>$C$150</f>
        <v>RR033</v>
      </c>
      <c r="D602" t="str">
        <f>$D$150</f>
        <v>SALES_GROWTH</v>
      </c>
      <c r="E602" t="str">
        <f>$E$150</f>
        <v>动态</v>
      </c>
      <c r="F602" t="str">
        <f ca="1">BDH($B$150,$C$150,$B$417,$B$418,CONCATENATE("Per=",$B$415),"Dts=H","Dir=H",CONCATENATE("Points=",$B$416),"Sort=R","Days=A","Fill=B",CONCATENATE("FX=", $B$414) )</f>
        <v>#N/A Authorization</v>
      </c>
      <c r="BN602" t="str">
        <f>""</f>
        <v/>
      </c>
      <c r="BO602" t="str">
        <f>""</f>
        <v/>
      </c>
      <c r="BP602" t="str">
        <f>""</f>
        <v/>
      </c>
      <c r="BQ602" t="str">
        <f>""</f>
        <v/>
      </c>
      <c r="BR602" t="str">
        <f>""</f>
        <v/>
      </c>
      <c r="BS602" t="str">
        <f>""</f>
        <v/>
      </c>
      <c r="BT602" t="str">
        <f>""</f>
        <v/>
      </c>
      <c r="BU602" t="str">
        <f>""</f>
        <v/>
      </c>
      <c r="BV602" t="str">
        <f>""</f>
        <v/>
      </c>
      <c r="BW602" t="str">
        <f>""</f>
        <v/>
      </c>
      <c r="BX602" t="str">
        <f>""</f>
        <v/>
      </c>
      <c r="BY602" t="str">
        <f>""</f>
        <v/>
      </c>
      <c r="BZ602" t="str">
        <f>""</f>
        <v/>
      </c>
      <c r="CA602" t="str">
        <f>""</f>
        <v/>
      </c>
      <c r="CB602" t="str">
        <f>""</f>
        <v/>
      </c>
      <c r="CC602" t="str">
        <f>""</f>
        <v/>
      </c>
      <c r="CD602" t="str">
        <f>""</f>
        <v/>
      </c>
      <c r="CE602" t="str">
        <f>""</f>
        <v/>
      </c>
      <c r="CF602" t="str">
        <f>""</f>
        <v/>
      </c>
      <c r="CG602" t="str">
        <f>""</f>
        <v/>
      </c>
      <c r="CH602" t="str">
        <f>""</f>
        <v/>
      </c>
      <c r="CI602" t="str">
        <f>""</f>
        <v/>
      </c>
      <c r="CJ602" t="str">
        <f>""</f>
        <v/>
      </c>
      <c r="CK602" t="str">
        <f>""</f>
        <v/>
      </c>
      <c r="CL602" t="str">
        <f>""</f>
        <v/>
      </c>
      <c r="CM602" t="str">
        <f>""</f>
        <v/>
      </c>
      <c r="CN602" t="str">
        <f>""</f>
        <v/>
      </c>
      <c r="CO602" t="str">
        <f>""</f>
        <v/>
      </c>
      <c r="CP602" t="str">
        <f>""</f>
        <v/>
      </c>
      <c r="CQ602" t="str">
        <f>""</f>
        <v/>
      </c>
      <c r="CR602" t="str">
        <f>""</f>
        <v/>
      </c>
      <c r="CS602" t="str">
        <f>""</f>
        <v/>
      </c>
      <c r="CT602" t="str">
        <f>""</f>
        <v/>
      </c>
      <c r="CU602" t="str">
        <f>""</f>
        <v/>
      </c>
      <c r="CV602" t="str">
        <f>""</f>
        <v/>
      </c>
      <c r="CW602" t="str">
        <f>""</f>
        <v/>
      </c>
      <c r="CX602" t="str">
        <f>""</f>
        <v/>
      </c>
      <c r="CY602" t="str">
        <f>""</f>
        <v/>
      </c>
      <c r="CZ602" t="str">
        <f>""</f>
        <v/>
      </c>
      <c r="DA602" t="str">
        <f>""</f>
        <v/>
      </c>
      <c r="DB602" t="str">
        <f>""</f>
        <v/>
      </c>
      <c r="DC602" t="str">
        <f>""</f>
        <v/>
      </c>
      <c r="DD602" t="str">
        <f>""</f>
        <v/>
      </c>
      <c r="DE602" t="str">
        <f>""</f>
        <v/>
      </c>
      <c r="DF602" t="str">
        <f>""</f>
        <v/>
      </c>
      <c r="DG602" t="str">
        <f>""</f>
        <v/>
      </c>
      <c r="DH602" t="str">
        <f>""</f>
        <v/>
      </c>
      <c r="DI602" t="str">
        <f>""</f>
        <v/>
      </c>
      <c r="DJ602" t="str">
        <f>""</f>
        <v/>
      </c>
      <c r="DK602" t="str">
        <f>""</f>
        <v/>
      </c>
      <c r="DL602" t="str">
        <f>""</f>
        <v/>
      </c>
      <c r="DM602" t="str">
        <f>""</f>
        <v/>
      </c>
      <c r="DN602" t="str">
        <f>""</f>
        <v/>
      </c>
      <c r="DO602" t="str">
        <f>""</f>
        <v/>
      </c>
      <c r="DP602" t="str">
        <f>""</f>
        <v/>
      </c>
      <c r="DQ602" t="str">
        <f>""</f>
        <v/>
      </c>
      <c r="DR602" t="str">
        <f>""</f>
        <v/>
      </c>
      <c r="DS602" t="str">
        <f>""</f>
        <v/>
      </c>
      <c r="DT602" t="str">
        <f>""</f>
        <v/>
      </c>
      <c r="DU602" t="str">
        <f>""</f>
        <v/>
      </c>
    </row>
    <row r="603" spans="1:125">
      <c r="A603" t="str">
        <f>$A$151</f>
        <v xml:space="preserve">    DDR Corp</v>
      </c>
      <c r="B603" t="str">
        <f>$B$151</f>
        <v>DDR US Equity</v>
      </c>
      <c r="C603" t="str">
        <f>$C$151</f>
        <v>RR033</v>
      </c>
      <c r="D603" t="str">
        <f>$D$151</f>
        <v>SALES_GROWTH</v>
      </c>
      <c r="E603" t="str">
        <f>$E$151</f>
        <v>动态</v>
      </c>
      <c r="F603" t="str">
        <f ca="1">BDH($B$151,$C$151,$B$417,$B$418,CONCATENATE("Per=",$B$415),"Dts=H","Dir=H",CONCATENATE("Points=",$B$416),"Sort=R","Days=A","Fill=B",CONCATENATE("FX=", $B$414) )</f>
        <v>#N/A Authorization</v>
      </c>
      <c r="BN603" t="str">
        <f>""</f>
        <v/>
      </c>
      <c r="BO603" t="str">
        <f>""</f>
        <v/>
      </c>
      <c r="BP603" t="str">
        <f>""</f>
        <v/>
      </c>
      <c r="BQ603" t="str">
        <f>""</f>
        <v/>
      </c>
      <c r="BR603" t="str">
        <f>""</f>
        <v/>
      </c>
      <c r="BS603" t="str">
        <f>""</f>
        <v/>
      </c>
      <c r="BT603" t="str">
        <f>""</f>
        <v/>
      </c>
      <c r="BU603" t="str">
        <f>""</f>
        <v/>
      </c>
      <c r="BV603" t="str">
        <f>""</f>
        <v/>
      </c>
      <c r="BW603" t="str">
        <f>""</f>
        <v/>
      </c>
      <c r="BX603" t="str">
        <f>""</f>
        <v/>
      </c>
      <c r="BY603" t="str">
        <f>""</f>
        <v/>
      </c>
      <c r="BZ603" t="str">
        <f>""</f>
        <v/>
      </c>
      <c r="CA603" t="str">
        <f>""</f>
        <v/>
      </c>
      <c r="CB603" t="str">
        <f>""</f>
        <v/>
      </c>
      <c r="CC603" t="str">
        <f>""</f>
        <v/>
      </c>
      <c r="CD603" t="str">
        <f>""</f>
        <v/>
      </c>
      <c r="CE603" t="str">
        <f>""</f>
        <v/>
      </c>
      <c r="CF603" t="str">
        <f>""</f>
        <v/>
      </c>
      <c r="CG603" t="str">
        <f>""</f>
        <v/>
      </c>
      <c r="CH603" t="str">
        <f>""</f>
        <v/>
      </c>
      <c r="CI603" t="str">
        <f>""</f>
        <v/>
      </c>
      <c r="CJ603" t="str">
        <f>""</f>
        <v/>
      </c>
      <c r="CK603" t="str">
        <f>""</f>
        <v/>
      </c>
      <c r="CL603" t="str">
        <f>""</f>
        <v/>
      </c>
      <c r="CM603" t="str">
        <f>""</f>
        <v/>
      </c>
      <c r="CN603" t="str">
        <f>""</f>
        <v/>
      </c>
      <c r="CO603" t="str">
        <f>""</f>
        <v/>
      </c>
      <c r="CP603" t="str">
        <f>""</f>
        <v/>
      </c>
      <c r="CQ603" t="str">
        <f>""</f>
        <v/>
      </c>
      <c r="CR603" t="str">
        <f>""</f>
        <v/>
      </c>
      <c r="CS603" t="str">
        <f>""</f>
        <v/>
      </c>
      <c r="CT603" t="str">
        <f>""</f>
        <v/>
      </c>
      <c r="CU603" t="str">
        <f>""</f>
        <v/>
      </c>
      <c r="CV603" t="str">
        <f>""</f>
        <v/>
      </c>
      <c r="CW603" t="str">
        <f>""</f>
        <v/>
      </c>
      <c r="CX603" t="str">
        <f>""</f>
        <v/>
      </c>
      <c r="CY603" t="str">
        <f>""</f>
        <v/>
      </c>
      <c r="CZ603" t="str">
        <f>""</f>
        <v/>
      </c>
      <c r="DA603" t="str">
        <f>""</f>
        <v/>
      </c>
      <c r="DB603" t="str">
        <f>""</f>
        <v/>
      </c>
      <c r="DC603" t="str">
        <f>""</f>
        <v/>
      </c>
      <c r="DD603" t="str">
        <f>""</f>
        <v/>
      </c>
      <c r="DE603" t="str">
        <f>""</f>
        <v/>
      </c>
      <c r="DF603" t="str">
        <f>""</f>
        <v/>
      </c>
      <c r="DG603" t="str">
        <f>""</f>
        <v/>
      </c>
      <c r="DH603" t="str">
        <f>""</f>
        <v/>
      </c>
      <c r="DI603" t="str">
        <f>""</f>
        <v/>
      </c>
      <c r="DJ603" t="str">
        <f>""</f>
        <v/>
      </c>
      <c r="DK603" t="str">
        <f>""</f>
        <v/>
      </c>
      <c r="DL603" t="str">
        <f>""</f>
        <v/>
      </c>
      <c r="DM603" t="str">
        <f>""</f>
        <v/>
      </c>
      <c r="DN603" t="str">
        <f>""</f>
        <v/>
      </c>
      <c r="DO603" t="str">
        <f>""</f>
        <v/>
      </c>
      <c r="DP603" t="str">
        <f>""</f>
        <v/>
      </c>
      <c r="DQ603" t="str">
        <f>""</f>
        <v/>
      </c>
      <c r="DR603" t="str">
        <f>""</f>
        <v/>
      </c>
      <c r="DS603" t="str">
        <f>""</f>
        <v/>
      </c>
      <c r="DT603" t="str">
        <f>""</f>
        <v/>
      </c>
      <c r="DU603" t="str">
        <f>""</f>
        <v/>
      </c>
    </row>
    <row r="604" spans="1:125">
      <c r="A604" t="str">
        <f>$A$152</f>
        <v xml:space="preserve">    Federal Realty Investment Trus</v>
      </c>
      <c r="B604" t="str">
        <f>$B$152</f>
        <v>FRT US Equity</v>
      </c>
      <c r="C604" t="str">
        <f>$C$152</f>
        <v>RR033</v>
      </c>
      <c r="D604" t="str">
        <f>$D$152</f>
        <v>SALES_GROWTH</v>
      </c>
      <c r="E604" t="str">
        <f>$E$152</f>
        <v>动态</v>
      </c>
      <c r="F604" t="str">
        <f ca="1">BDH($B$152,$C$152,$B$417,$B$418,CONCATENATE("Per=",$B$415),"Dts=H","Dir=H",CONCATENATE("Points=",$B$416),"Sort=R","Days=A","Fill=B",CONCATENATE("FX=", $B$414) )</f>
        <v>#N/A Authorization</v>
      </c>
      <c r="BN604" t="str">
        <f>""</f>
        <v/>
      </c>
      <c r="BO604" t="str">
        <f>""</f>
        <v/>
      </c>
      <c r="BP604" t="str">
        <f>""</f>
        <v/>
      </c>
      <c r="BQ604" t="str">
        <f>""</f>
        <v/>
      </c>
      <c r="BR604" t="str">
        <f>""</f>
        <v/>
      </c>
      <c r="BS604" t="str">
        <f>""</f>
        <v/>
      </c>
      <c r="BT604" t="str">
        <f>""</f>
        <v/>
      </c>
      <c r="BU604" t="str">
        <f>""</f>
        <v/>
      </c>
      <c r="BV604" t="str">
        <f>""</f>
        <v/>
      </c>
      <c r="BW604" t="str">
        <f>""</f>
        <v/>
      </c>
      <c r="BX604" t="str">
        <f>""</f>
        <v/>
      </c>
      <c r="BY604" t="str">
        <f>""</f>
        <v/>
      </c>
      <c r="BZ604" t="str">
        <f>""</f>
        <v/>
      </c>
      <c r="CA604" t="str">
        <f>""</f>
        <v/>
      </c>
      <c r="CB604" t="str">
        <f>""</f>
        <v/>
      </c>
      <c r="CC604" t="str">
        <f>""</f>
        <v/>
      </c>
      <c r="CD604" t="str">
        <f>""</f>
        <v/>
      </c>
      <c r="CE604" t="str">
        <f>""</f>
        <v/>
      </c>
      <c r="CF604" t="str">
        <f>""</f>
        <v/>
      </c>
      <c r="CG604" t="str">
        <f>""</f>
        <v/>
      </c>
      <c r="CH604" t="str">
        <f>""</f>
        <v/>
      </c>
      <c r="CI604" t="str">
        <f>""</f>
        <v/>
      </c>
      <c r="CJ604" t="str">
        <f>""</f>
        <v/>
      </c>
      <c r="CK604" t="str">
        <f>""</f>
        <v/>
      </c>
      <c r="CL604" t="str">
        <f>""</f>
        <v/>
      </c>
      <c r="CM604" t="str">
        <f>""</f>
        <v/>
      </c>
      <c r="CN604" t="str">
        <f>""</f>
        <v/>
      </c>
      <c r="CO604" t="str">
        <f>""</f>
        <v/>
      </c>
      <c r="CP604" t="str">
        <f>""</f>
        <v/>
      </c>
      <c r="CQ604" t="str">
        <f>""</f>
        <v/>
      </c>
      <c r="CR604" t="str">
        <f>""</f>
        <v/>
      </c>
      <c r="CS604" t="str">
        <f>""</f>
        <v/>
      </c>
      <c r="CT604" t="str">
        <f>""</f>
        <v/>
      </c>
      <c r="CU604" t="str">
        <f>""</f>
        <v/>
      </c>
      <c r="CV604" t="str">
        <f>""</f>
        <v/>
      </c>
      <c r="CW604" t="str">
        <f>""</f>
        <v/>
      </c>
      <c r="CX604" t="str">
        <f>""</f>
        <v/>
      </c>
      <c r="CY604" t="str">
        <f>""</f>
        <v/>
      </c>
      <c r="CZ604" t="str">
        <f>""</f>
        <v/>
      </c>
      <c r="DA604" t="str">
        <f>""</f>
        <v/>
      </c>
      <c r="DB604" t="str">
        <f>""</f>
        <v/>
      </c>
      <c r="DC604" t="str">
        <f>""</f>
        <v/>
      </c>
      <c r="DD604" t="str">
        <f>""</f>
        <v/>
      </c>
      <c r="DE604" t="str">
        <f>""</f>
        <v/>
      </c>
      <c r="DF604" t="str">
        <f>""</f>
        <v/>
      </c>
      <c r="DG604" t="str">
        <f>""</f>
        <v/>
      </c>
      <c r="DH604" t="str">
        <f>""</f>
        <v/>
      </c>
      <c r="DI604" t="str">
        <f>""</f>
        <v/>
      </c>
      <c r="DJ604" t="str">
        <f>""</f>
        <v/>
      </c>
      <c r="DK604" t="str">
        <f>""</f>
        <v/>
      </c>
      <c r="DL604" t="str">
        <f>""</f>
        <v/>
      </c>
      <c r="DM604" t="str">
        <f>""</f>
        <v/>
      </c>
      <c r="DN604" t="str">
        <f>""</f>
        <v/>
      </c>
      <c r="DO604" t="str">
        <f>""</f>
        <v/>
      </c>
      <c r="DP604" t="str">
        <f>""</f>
        <v/>
      </c>
      <c r="DQ604" t="str">
        <f>""</f>
        <v/>
      </c>
      <c r="DR604" t="str">
        <f>""</f>
        <v/>
      </c>
      <c r="DS604" t="str">
        <f>""</f>
        <v/>
      </c>
      <c r="DT604" t="str">
        <f>""</f>
        <v/>
      </c>
      <c r="DU604" t="str">
        <f>""</f>
        <v/>
      </c>
    </row>
    <row r="605" spans="1:125">
      <c r="A605" t="str">
        <f>$A$153</f>
        <v xml:space="preserve">    Kimco Realty Corp</v>
      </c>
      <c r="B605" t="str">
        <f>$B$153</f>
        <v>KIM US Equity</v>
      </c>
      <c r="C605" t="str">
        <f>$C$153</f>
        <v>RR033</v>
      </c>
      <c r="D605" t="str">
        <f>$D$153</f>
        <v>SALES_GROWTH</v>
      </c>
      <c r="E605" t="str">
        <f>$E$153</f>
        <v>动态</v>
      </c>
      <c r="F605" t="str">
        <f ca="1">BDH($B$153,$C$153,$B$417,$B$418,CONCATENATE("Per=",$B$415),"Dts=H","Dir=H",CONCATENATE("Points=",$B$416),"Sort=R","Days=A","Fill=B",CONCATENATE("FX=", $B$414) )</f>
        <v>#N/A Authorization</v>
      </c>
      <c r="BN605" t="str">
        <f>""</f>
        <v/>
      </c>
      <c r="BO605" t="str">
        <f>""</f>
        <v/>
      </c>
      <c r="BP605" t="str">
        <f>""</f>
        <v/>
      </c>
      <c r="BQ605" t="str">
        <f>""</f>
        <v/>
      </c>
      <c r="BR605" t="str">
        <f>""</f>
        <v/>
      </c>
      <c r="BS605" t="str">
        <f>""</f>
        <v/>
      </c>
      <c r="BT605" t="str">
        <f>""</f>
        <v/>
      </c>
      <c r="BU605" t="str">
        <f>""</f>
        <v/>
      </c>
      <c r="BV605" t="str">
        <f>""</f>
        <v/>
      </c>
      <c r="BW605" t="str">
        <f>""</f>
        <v/>
      </c>
      <c r="BX605" t="str">
        <f>""</f>
        <v/>
      </c>
      <c r="BY605" t="str">
        <f>""</f>
        <v/>
      </c>
      <c r="BZ605" t="str">
        <f>""</f>
        <v/>
      </c>
      <c r="CA605" t="str">
        <f>""</f>
        <v/>
      </c>
      <c r="CB605" t="str">
        <f>""</f>
        <v/>
      </c>
      <c r="CC605" t="str">
        <f>""</f>
        <v/>
      </c>
      <c r="CD605" t="str">
        <f>""</f>
        <v/>
      </c>
      <c r="CE605" t="str">
        <f>""</f>
        <v/>
      </c>
      <c r="CF605" t="str">
        <f>""</f>
        <v/>
      </c>
      <c r="CG605" t="str">
        <f>""</f>
        <v/>
      </c>
      <c r="CH605" t="str">
        <f>""</f>
        <v/>
      </c>
      <c r="CI605" t="str">
        <f>""</f>
        <v/>
      </c>
      <c r="CJ605" t="str">
        <f>""</f>
        <v/>
      </c>
      <c r="CK605" t="str">
        <f>""</f>
        <v/>
      </c>
      <c r="CL605" t="str">
        <f>""</f>
        <v/>
      </c>
      <c r="CM605" t="str">
        <f>""</f>
        <v/>
      </c>
      <c r="CN605" t="str">
        <f>""</f>
        <v/>
      </c>
      <c r="CO605" t="str">
        <f>""</f>
        <v/>
      </c>
      <c r="CP605" t="str">
        <f>""</f>
        <v/>
      </c>
      <c r="CQ605" t="str">
        <f>""</f>
        <v/>
      </c>
      <c r="CR605" t="str">
        <f>""</f>
        <v/>
      </c>
      <c r="CS605" t="str">
        <f>""</f>
        <v/>
      </c>
      <c r="CT605" t="str">
        <f>""</f>
        <v/>
      </c>
      <c r="CU605" t="str">
        <f>""</f>
        <v/>
      </c>
      <c r="CV605" t="str">
        <f>""</f>
        <v/>
      </c>
      <c r="CW605" t="str">
        <f>""</f>
        <v/>
      </c>
      <c r="CX605" t="str">
        <f>""</f>
        <v/>
      </c>
      <c r="CY605" t="str">
        <f>""</f>
        <v/>
      </c>
      <c r="CZ605" t="str">
        <f>""</f>
        <v/>
      </c>
      <c r="DA605" t="str">
        <f>""</f>
        <v/>
      </c>
      <c r="DB605" t="str">
        <f>""</f>
        <v/>
      </c>
      <c r="DC605" t="str">
        <f>""</f>
        <v/>
      </c>
      <c r="DD605" t="str">
        <f>""</f>
        <v/>
      </c>
      <c r="DE605" t="str">
        <f>""</f>
        <v/>
      </c>
      <c r="DF605" t="str">
        <f>""</f>
        <v/>
      </c>
      <c r="DG605" t="str">
        <f>""</f>
        <v/>
      </c>
      <c r="DH605" t="str">
        <f>""</f>
        <v/>
      </c>
      <c r="DI605" t="str">
        <f>""</f>
        <v/>
      </c>
      <c r="DJ605" t="str">
        <f>""</f>
        <v/>
      </c>
      <c r="DK605" t="str">
        <f>""</f>
        <v/>
      </c>
      <c r="DL605" t="str">
        <f>""</f>
        <v/>
      </c>
      <c r="DM605" t="str">
        <f>""</f>
        <v/>
      </c>
      <c r="DN605" t="str">
        <f>""</f>
        <v/>
      </c>
      <c r="DO605" t="str">
        <f>""</f>
        <v/>
      </c>
      <c r="DP605" t="str">
        <f>""</f>
        <v/>
      </c>
      <c r="DQ605" t="str">
        <f>""</f>
        <v/>
      </c>
      <c r="DR605" t="str">
        <f>""</f>
        <v/>
      </c>
      <c r="DS605" t="str">
        <f>""</f>
        <v/>
      </c>
      <c r="DT605" t="str">
        <f>""</f>
        <v/>
      </c>
      <c r="DU605" t="str">
        <f>""</f>
        <v/>
      </c>
    </row>
    <row r="606" spans="1:125">
      <c r="A606" t="str">
        <f>$A$154</f>
        <v xml:space="preserve">    National Retail Properties Inc</v>
      </c>
      <c r="B606" t="str">
        <f>$B$154</f>
        <v>NNN US Equity</v>
      </c>
      <c r="C606" t="str">
        <f>$C$154</f>
        <v>RR033</v>
      </c>
      <c r="D606" t="str">
        <f>$D$154</f>
        <v>SALES_GROWTH</v>
      </c>
      <c r="E606" t="str">
        <f>$E$154</f>
        <v>动态</v>
      </c>
      <c r="F606" t="str">
        <f ca="1">BDH($B$154,$C$154,$B$417,$B$418,CONCATENATE("Per=",$B$415),"Dts=H","Dir=H",CONCATENATE("Points=",$B$416),"Sort=R","Days=A","Fill=B",CONCATENATE("FX=", $B$414) )</f>
        <v>#N/A Authorization</v>
      </c>
      <c r="BN606" t="str">
        <f>""</f>
        <v/>
      </c>
      <c r="BO606" t="str">
        <f>""</f>
        <v/>
      </c>
      <c r="BP606" t="str">
        <f>""</f>
        <v/>
      </c>
      <c r="BQ606" t="str">
        <f>""</f>
        <v/>
      </c>
      <c r="BR606" t="str">
        <f>""</f>
        <v/>
      </c>
      <c r="BS606" t="str">
        <f>""</f>
        <v/>
      </c>
      <c r="BT606" t="str">
        <f>""</f>
        <v/>
      </c>
      <c r="BU606" t="str">
        <f>""</f>
        <v/>
      </c>
      <c r="BV606" t="str">
        <f>""</f>
        <v/>
      </c>
      <c r="BW606" t="str">
        <f>""</f>
        <v/>
      </c>
      <c r="BX606" t="str">
        <f>""</f>
        <v/>
      </c>
      <c r="BY606" t="str">
        <f>""</f>
        <v/>
      </c>
      <c r="BZ606" t="str">
        <f>""</f>
        <v/>
      </c>
      <c r="CA606" t="str">
        <f>""</f>
        <v/>
      </c>
      <c r="CB606" t="str">
        <f>""</f>
        <v/>
      </c>
      <c r="CC606" t="str">
        <f>""</f>
        <v/>
      </c>
      <c r="CD606" t="str">
        <f>""</f>
        <v/>
      </c>
      <c r="CE606" t="str">
        <f>""</f>
        <v/>
      </c>
      <c r="CF606" t="str">
        <f>""</f>
        <v/>
      </c>
      <c r="CG606" t="str">
        <f>""</f>
        <v/>
      </c>
      <c r="CH606" t="str">
        <f>""</f>
        <v/>
      </c>
      <c r="CI606" t="str">
        <f>""</f>
        <v/>
      </c>
      <c r="CJ606" t="str">
        <f>""</f>
        <v/>
      </c>
      <c r="CK606" t="str">
        <f>""</f>
        <v/>
      </c>
      <c r="CL606" t="str">
        <f>""</f>
        <v/>
      </c>
      <c r="CM606" t="str">
        <f>""</f>
        <v/>
      </c>
      <c r="CN606" t="str">
        <f>""</f>
        <v/>
      </c>
      <c r="CO606" t="str">
        <f>""</f>
        <v/>
      </c>
      <c r="CP606" t="str">
        <f>""</f>
        <v/>
      </c>
      <c r="CQ606" t="str">
        <f>""</f>
        <v/>
      </c>
      <c r="CR606" t="str">
        <f>""</f>
        <v/>
      </c>
      <c r="CS606" t="str">
        <f>""</f>
        <v/>
      </c>
      <c r="CT606" t="str">
        <f>""</f>
        <v/>
      </c>
      <c r="CU606" t="str">
        <f>""</f>
        <v/>
      </c>
      <c r="CV606" t="str">
        <f>""</f>
        <v/>
      </c>
      <c r="CW606" t="str">
        <f>""</f>
        <v/>
      </c>
      <c r="CX606" t="str">
        <f>""</f>
        <v/>
      </c>
      <c r="CY606" t="str">
        <f>""</f>
        <v/>
      </c>
      <c r="CZ606" t="str">
        <f>""</f>
        <v/>
      </c>
      <c r="DA606" t="str">
        <f>""</f>
        <v/>
      </c>
      <c r="DB606" t="str">
        <f>""</f>
        <v/>
      </c>
      <c r="DC606" t="str">
        <f>""</f>
        <v/>
      </c>
      <c r="DD606" t="str">
        <f>""</f>
        <v/>
      </c>
      <c r="DE606" t="str">
        <f>""</f>
        <v/>
      </c>
      <c r="DF606" t="str">
        <f>""</f>
        <v/>
      </c>
      <c r="DG606" t="str">
        <f>""</f>
        <v/>
      </c>
      <c r="DH606" t="str">
        <f>""</f>
        <v/>
      </c>
      <c r="DI606" t="str">
        <f>""</f>
        <v/>
      </c>
      <c r="DJ606" t="str">
        <f>""</f>
        <v/>
      </c>
      <c r="DK606" t="str">
        <f>""</f>
        <v/>
      </c>
      <c r="DL606" t="str">
        <f>""</f>
        <v/>
      </c>
      <c r="DM606" t="str">
        <f>""</f>
        <v/>
      </c>
      <c r="DN606" t="str">
        <f>""</f>
        <v/>
      </c>
      <c r="DO606" t="str">
        <f>""</f>
        <v/>
      </c>
      <c r="DP606" t="str">
        <f>""</f>
        <v/>
      </c>
      <c r="DQ606" t="str">
        <f>""</f>
        <v/>
      </c>
      <c r="DR606" t="str">
        <f>""</f>
        <v/>
      </c>
      <c r="DS606" t="str">
        <f>""</f>
        <v/>
      </c>
      <c r="DT606" t="str">
        <f>""</f>
        <v/>
      </c>
      <c r="DU606" t="str">
        <f>""</f>
        <v/>
      </c>
    </row>
    <row r="607" spans="1:125">
      <c r="A607" t="str">
        <f>$A$155</f>
        <v xml:space="preserve">    Realty Income Corp</v>
      </c>
      <c r="B607" t="str">
        <f>$B$155</f>
        <v>O US Equity</v>
      </c>
      <c r="C607" t="str">
        <f>$C$155</f>
        <v>RR033</v>
      </c>
      <c r="D607" t="str">
        <f>$D$155</f>
        <v>SALES_GROWTH</v>
      </c>
      <c r="E607" t="str">
        <f>$E$155</f>
        <v>动态</v>
      </c>
      <c r="F607" t="str">
        <f ca="1">BDH($B$155,$C$155,$B$417,$B$418,CONCATENATE("Per=",$B$415),"Dts=H","Dir=H",CONCATENATE("Points=",$B$416),"Sort=R","Days=A","Fill=B",CONCATENATE("FX=", $B$414) )</f>
        <v>#N/A Authorization</v>
      </c>
      <c r="BN607" t="str">
        <f>""</f>
        <v/>
      </c>
      <c r="BO607" t="str">
        <f>""</f>
        <v/>
      </c>
      <c r="BP607" t="str">
        <f>""</f>
        <v/>
      </c>
      <c r="BQ607" t="str">
        <f>""</f>
        <v/>
      </c>
      <c r="BR607" t="str">
        <f>""</f>
        <v/>
      </c>
      <c r="BS607" t="str">
        <f>""</f>
        <v/>
      </c>
      <c r="BT607" t="str">
        <f>""</f>
        <v/>
      </c>
      <c r="BU607" t="str">
        <f>""</f>
        <v/>
      </c>
      <c r="BV607" t="str">
        <f>""</f>
        <v/>
      </c>
      <c r="BW607" t="str">
        <f>""</f>
        <v/>
      </c>
      <c r="BX607" t="str">
        <f>""</f>
        <v/>
      </c>
      <c r="BY607" t="str">
        <f>""</f>
        <v/>
      </c>
      <c r="BZ607" t="str">
        <f>""</f>
        <v/>
      </c>
      <c r="CA607" t="str">
        <f>""</f>
        <v/>
      </c>
      <c r="CB607" t="str">
        <f>""</f>
        <v/>
      </c>
      <c r="CC607" t="str">
        <f>""</f>
        <v/>
      </c>
      <c r="CD607" t="str">
        <f>""</f>
        <v/>
      </c>
      <c r="CE607" t="str">
        <f>""</f>
        <v/>
      </c>
      <c r="CF607" t="str">
        <f>""</f>
        <v/>
      </c>
      <c r="CG607" t="str">
        <f>""</f>
        <v/>
      </c>
      <c r="CH607" t="str">
        <f>""</f>
        <v/>
      </c>
      <c r="CI607" t="str">
        <f>""</f>
        <v/>
      </c>
      <c r="CJ607" t="str">
        <f>""</f>
        <v/>
      </c>
      <c r="CK607" t="str">
        <f>""</f>
        <v/>
      </c>
      <c r="CL607" t="str">
        <f>""</f>
        <v/>
      </c>
      <c r="CM607" t="str">
        <f>""</f>
        <v/>
      </c>
      <c r="CN607" t="str">
        <f>""</f>
        <v/>
      </c>
      <c r="CO607" t="str">
        <f>""</f>
        <v/>
      </c>
      <c r="CP607" t="str">
        <f>""</f>
        <v/>
      </c>
      <c r="CQ607" t="str">
        <f>""</f>
        <v/>
      </c>
      <c r="CR607" t="str">
        <f>""</f>
        <v/>
      </c>
      <c r="CS607" t="str">
        <f>""</f>
        <v/>
      </c>
      <c r="CT607" t="str">
        <f>""</f>
        <v/>
      </c>
      <c r="CU607" t="str">
        <f>""</f>
        <v/>
      </c>
      <c r="CV607" t="str">
        <f>""</f>
        <v/>
      </c>
      <c r="CW607" t="str">
        <f>""</f>
        <v/>
      </c>
      <c r="CX607" t="str">
        <f>""</f>
        <v/>
      </c>
      <c r="CY607" t="str">
        <f>""</f>
        <v/>
      </c>
      <c r="CZ607" t="str">
        <f>""</f>
        <v/>
      </c>
      <c r="DA607" t="str">
        <f>""</f>
        <v/>
      </c>
      <c r="DB607" t="str">
        <f>""</f>
        <v/>
      </c>
      <c r="DC607" t="str">
        <f>""</f>
        <v/>
      </c>
      <c r="DD607" t="str">
        <f>""</f>
        <v/>
      </c>
      <c r="DE607" t="str">
        <f>""</f>
        <v/>
      </c>
      <c r="DF607" t="str">
        <f>""</f>
        <v/>
      </c>
      <c r="DG607" t="str">
        <f>""</f>
        <v/>
      </c>
      <c r="DH607" t="str">
        <f>""</f>
        <v/>
      </c>
      <c r="DI607" t="str">
        <f>""</f>
        <v/>
      </c>
      <c r="DJ607" t="str">
        <f>""</f>
        <v/>
      </c>
      <c r="DK607" t="str">
        <f>""</f>
        <v/>
      </c>
      <c r="DL607" t="str">
        <f>""</f>
        <v/>
      </c>
      <c r="DM607" t="str">
        <f>""</f>
        <v/>
      </c>
      <c r="DN607" t="str">
        <f>""</f>
        <v/>
      </c>
      <c r="DO607" t="str">
        <f>""</f>
        <v/>
      </c>
      <c r="DP607" t="str">
        <f>""</f>
        <v/>
      </c>
      <c r="DQ607" t="str">
        <f>""</f>
        <v/>
      </c>
      <c r="DR607" t="str">
        <f>""</f>
        <v/>
      </c>
      <c r="DS607" t="str">
        <f>""</f>
        <v/>
      </c>
      <c r="DT607" t="str">
        <f>""</f>
        <v/>
      </c>
      <c r="DU607" t="str">
        <f>""</f>
        <v/>
      </c>
    </row>
    <row r="608" spans="1:125">
      <c r="A608" t="str">
        <f>$A$156</f>
        <v xml:space="preserve">    Regency Centers Corp</v>
      </c>
      <c r="B608" t="str">
        <f>$B$156</f>
        <v>REG US Equity</v>
      </c>
      <c r="C608" t="str">
        <f>$C$156</f>
        <v>RR033</v>
      </c>
      <c r="D608" t="str">
        <f>$D$156</f>
        <v>SALES_GROWTH</v>
      </c>
      <c r="E608" t="str">
        <f>$E$156</f>
        <v>动态</v>
      </c>
      <c r="F608" t="str">
        <f ca="1">BDH($B$156,$C$156,$B$417,$B$418,CONCATENATE("Per=",$B$415),"Dts=H","Dir=H",CONCATENATE("Points=",$B$416),"Sort=R","Days=A","Fill=B",CONCATENATE("FX=", $B$414) )</f>
        <v>#N/A Authorization</v>
      </c>
      <c r="BN608" t="str">
        <f>""</f>
        <v/>
      </c>
      <c r="BO608" t="str">
        <f>""</f>
        <v/>
      </c>
      <c r="BP608" t="str">
        <f>""</f>
        <v/>
      </c>
      <c r="BQ608" t="str">
        <f>""</f>
        <v/>
      </c>
      <c r="BR608" t="str">
        <f>""</f>
        <v/>
      </c>
      <c r="BS608" t="str">
        <f>""</f>
        <v/>
      </c>
      <c r="BT608" t="str">
        <f>""</f>
        <v/>
      </c>
      <c r="BU608" t="str">
        <f>""</f>
        <v/>
      </c>
      <c r="BV608" t="str">
        <f>""</f>
        <v/>
      </c>
      <c r="BW608" t="str">
        <f>""</f>
        <v/>
      </c>
      <c r="BX608" t="str">
        <f>""</f>
        <v/>
      </c>
      <c r="BY608" t="str">
        <f>""</f>
        <v/>
      </c>
      <c r="BZ608" t="str">
        <f>""</f>
        <v/>
      </c>
      <c r="CA608" t="str">
        <f>""</f>
        <v/>
      </c>
      <c r="CB608" t="str">
        <f>""</f>
        <v/>
      </c>
      <c r="CC608" t="str">
        <f>""</f>
        <v/>
      </c>
      <c r="CD608" t="str">
        <f>""</f>
        <v/>
      </c>
      <c r="CE608" t="str">
        <f>""</f>
        <v/>
      </c>
      <c r="CF608" t="str">
        <f>""</f>
        <v/>
      </c>
      <c r="CG608" t="str">
        <f>""</f>
        <v/>
      </c>
      <c r="CH608" t="str">
        <f>""</f>
        <v/>
      </c>
      <c r="CI608" t="str">
        <f>""</f>
        <v/>
      </c>
      <c r="CJ608" t="str">
        <f>""</f>
        <v/>
      </c>
      <c r="CK608" t="str">
        <f>""</f>
        <v/>
      </c>
      <c r="CL608" t="str">
        <f>""</f>
        <v/>
      </c>
      <c r="CM608" t="str">
        <f>""</f>
        <v/>
      </c>
      <c r="CN608" t="str">
        <f>""</f>
        <v/>
      </c>
      <c r="CO608" t="str">
        <f>""</f>
        <v/>
      </c>
      <c r="CP608" t="str">
        <f>""</f>
        <v/>
      </c>
      <c r="CQ608" t="str">
        <f>""</f>
        <v/>
      </c>
      <c r="CR608" t="str">
        <f>""</f>
        <v/>
      </c>
      <c r="CS608" t="str">
        <f>""</f>
        <v/>
      </c>
      <c r="CT608" t="str">
        <f>""</f>
        <v/>
      </c>
      <c r="CU608" t="str">
        <f>""</f>
        <v/>
      </c>
      <c r="CV608" t="str">
        <f>""</f>
        <v/>
      </c>
      <c r="CW608" t="str">
        <f>""</f>
        <v/>
      </c>
      <c r="CX608" t="str">
        <f>""</f>
        <v/>
      </c>
      <c r="CY608" t="str">
        <f>""</f>
        <v/>
      </c>
      <c r="CZ608" t="str">
        <f>""</f>
        <v/>
      </c>
      <c r="DA608" t="str">
        <f>""</f>
        <v/>
      </c>
      <c r="DB608" t="str">
        <f>""</f>
        <v/>
      </c>
      <c r="DC608" t="str">
        <f>""</f>
        <v/>
      </c>
      <c r="DD608" t="str">
        <f>""</f>
        <v/>
      </c>
      <c r="DE608" t="str">
        <f>""</f>
        <v/>
      </c>
      <c r="DF608" t="str">
        <f>""</f>
        <v/>
      </c>
      <c r="DG608" t="str">
        <f>""</f>
        <v/>
      </c>
      <c r="DH608" t="str">
        <f>""</f>
        <v/>
      </c>
      <c r="DI608" t="str">
        <f>""</f>
        <v/>
      </c>
      <c r="DJ608" t="str">
        <f>""</f>
        <v/>
      </c>
      <c r="DK608" t="str">
        <f>""</f>
        <v/>
      </c>
      <c r="DL608" t="str">
        <f>""</f>
        <v/>
      </c>
      <c r="DM608" t="str">
        <f>""</f>
        <v/>
      </c>
      <c r="DN608" t="str">
        <f>""</f>
        <v/>
      </c>
      <c r="DO608" t="str">
        <f>""</f>
        <v/>
      </c>
      <c r="DP608" t="str">
        <f>""</f>
        <v/>
      </c>
      <c r="DQ608" t="str">
        <f>""</f>
        <v/>
      </c>
      <c r="DR608" t="str">
        <f>""</f>
        <v/>
      </c>
      <c r="DS608" t="str">
        <f>""</f>
        <v/>
      </c>
      <c r="DT608" t="str">
        <f>""</f>
        <v/>
      </c>
      <c r="DU608" t="str">
        <f>""</f>
        <v/>
      </c>
    </row>
    <row r="609" spans="1:125">
      <c r="A609" t="str">
        <f>$A$157</f>
        <v xml:space="preserve">    Retail Opportunity Investments</v>
      </c>
      <c r="B609" t="str">
        <f>$B$157</f>
        <v>ROIC US Equity</v>
      </c>
      <c r="C609" t="str">
        <f>$C$157</f>
        <v>RR033</v>
      </c>
      <c r="D609" t="str">
        <f>$D$157</f>
        <v>SALES_GROWTH</v>
      </c>
      <c r="E609" t="str">
        <f>$E$157</f>
        <v>动态</v>
      </c>
      <c r="F609" t="str">
        <f ca="1">BDH($B$157,$C$157,$B$417,$B$418,CONCATENATE("Per=",$B$415),"Dts=H","Dir=H",CONCATENATE("Points=",$B$416),"Sort=R","Days=A","Fill=B",CONCATENATE("FX=", $B$414) )</f>
        <v>#N/A Authorization</v>
      </c>
      <c r="BN609" t="str">
        <f>""</f>
        <v/>
      </c>
      <c r="BO609" t="str">
        <f>""</f>
        <v/>
      </c>
      <c r="BP609" t="str">
        <f>""</f>
        <v/>
      </c>
      <c r="BQ609" t="str">
        <f>""</f>
        <v/>
      </c>
      <c r="BR609" t="str">
        <f>""</f>
        <v/>
      </c>
      <c r="BS609" t="str">
        <f>""</f>
        <v/>
      </c>
      <c r="BT609" t="str">
        <f>""</f>
        <v/>
      </c>
      <c r="BU609" t="str">
        <f>""</f>
        <v/>
      </c>
      <c r="BV609" t="str">
        <f>""</f>
        <v/>
      </c>
      <c r="BW609" t="str">
        <f>""</f>
        <v/>
      </c>
      <c r="BX609" t="str">
        <f>""</f>
        <v/>
      </c>
      <c r="BY609" t="str">
        <f>""</f>
        <v/>
      </c>
      <c r="BZ609" t="str">
        <f>""</f>
        <v/>
      </c>
      <c r="CA609" t="str">
        <f>""</f>
        <v/>
      </c>
      <c r="CB609" t="str">
        <f>""</f>
        <v/>
      </c>
      <c r="CC609" t="str">
        <f>""</f>
        <v/>
      </c>
      <c r="CD609" t="str">
        <f>""</f>
        <v/>
      </c>
      <c r="CE609" t="str">
        <f>""</f>
        <v/>
      </c>
      <c r="CF609" t="str">
        <f>""</f>
        <v/>
      </c>
      <c r="CG609" t="str">
        <f>""</f>
        <v/>
      </c>
      <c r="CH609" t="str">
        <f>""</f>
        <v/>
      </c>
      <c r="CI609" t="str">
        <f>""</f>
        <v/>
      </c>
      <c r="CJ609" t="str">
        <f>""</f>
        <v/>
      </c>
      <c r="CK609" t="str">
        <f>""</f>
        <v/>
      </c>
      <c r="CL609" t="str">
        <f>""</f>
        <v/>
      </c>
      <c r="CM609" t="str">
        <f>""</f>
        <v/>
      </c>
      <c r="CN609" t="str">
        <f>""</f>
        <v/>
      </c>
      <c r="CO609" t="str">
        <f>""</f>
        <v/>
      </c>
      <c r="CP609" t="str">
        <f>""</f>
        <v/>
      </c>
      <c r="CQ609" t="str">
        <f>""</f>
        <v/>
      </c>
      <c r="CR609" t="str">
        <f>""</f>
        <v/>
      </c>
      <c r="CS609" t="str">
        <f>""</f>
        <v/>
      </c>
      <c r="CT609" t="str">
        <f>""</f>
        <v/>
      </c>
      <c r="CU609" t="str">
        <f>""</f>
        <v/>
      </c>
      <c r="CV609" t="str">
        <f>""</f>
        <v/>
      </c>
      <c r="CW609" t="str">
        <f>""</f>
        <v/>
      </c>
      <c r="CX609" t="str">
        <f>""</f>
        <v/>
      </c>
      <c r="CY609" t="str">
        <f>""</f>
        <v/>
      </c>
      <c r="CZ609" t="str">
        <f>""</f>
        <v/>
      </c>
      <c r="DA609" t="str">
        <f>""</f>
        <v/>
      </c>
      <c r="DB609" t="str">
        <f>""</f>
        <v/>
      </c>
      <c r="DC609" t="str">
        <f>""</f>
        <v/>
      </c>
      <c r="DD609" t="str">
        <f>""</f>
        <v/>
      </c>
      <c r="DE609" t="str">
        <f>""</f>
        <v/>
      </c>
      <c r="DF609" t="str">
        <f>""</f>
        <v/>
      </c>
      <c r="DG609" t="str">
        <f>""</f>
        <v/>
      </c>
      <c r="DH609" t="str">
        <f>""</f>
        <v/>
      </c>
      <c r="DI609" t="str">
        <f>""</f>
        <v/>
      </c>
      <c r="DJ609" t="str">
        <f>""</f>
        <v/>
      </c>
      <c r="DK609" t="str">
        <f>""</f>
        <v/>
      </c>
      <c r="DL609" t="str">
        <f>""</f>
        <v/>
      </c>
      <c r="DM609" t="str">
        <f>""</f>
        <v/>
      </c>
      <c r="DN609" t="str">
        <f>""</f>
        <v/>
      </c>
      <c r="DO609" t="str">
        <f>""</f>
        <v/>
      </c>
      <c r="DP609" t="str">
        <f>""</f>
        <v/>
      </c>
      <c r="DQ609" t="str">
        <f>""</f>
        <v/>
      </c>
      <c r="DR609" t="str">
        <f>""</f>
        <v/>
      </c>
      <c r="DS609" t="str">
        <f>""</f>
        <v/>
      </c>
      <c r="DT609" t="str">
        <f>""</f>
        <v/>
      </c>
      <c r="DU609" t="str">
        <f>""</f>
        <v/>
      </c>
    </row>
    <row r="610" spans="1:125">
      <c r="A610" t="str">
        <f>$A$158</f>
        <v xml:space="preserve">    Retail Properties of America I</v>
      </c>
      <c r="B610" t="str">
        <f>$B$158</f>
        <v>RPAI US Equity</v>
      </c>
      <c r="C610" t="str">
        <f>$C$158</f>
        <v>RR033</v>
      </c>
      <c r="D610" t="str">
        <f>$D$158</f>
        <v>SALES_GROWTH</v>
      </c>
      <c r="E610" t="str">
        <f>$E$158</f>
        <v>动态</v>
      </c>
      <c r="F610" t="str">
        <f ca="1">BDH($B$158,$C$158,$B$417,$B$418,CONCATENATE("Per=",$B$415),"Dts=H","Dir=H",CONCATENATE("Points=",$B$416),"Sort=R","Days=A","Fill=B",CONCATENATE("FX=", $B$414) )</f>
        <v>#N/A Authorization</v>
      </c>
      <c r="BN610" t="str">
        <f>""</f>
        <v/>
      </c>
      <c r="BO610" t="str">
        <f>""</f>
        <v/>
      </c>
      <c r="BP610" t="str">
        <f>""</f>
        <v/>
      </c>
      <c r="BQ610" t="str">
        <f>""</f>
        <v/>
      </c>
      <c r="BR610" t="str">
        <f>""</f>
        <v/>
      </c>
      <c r="BS610" t="str">
        <f>""</f>
        <v/>
      </c>
      <c r="BT610" t="str">
        <f>""</f>
        <v/>
      </c>
      <c r="BU610" t="str">
        <f>""</f>
        <v/>
      </c>
      <c r="BV610" t="str">
        <f>""</f>
        <v/>
      </c>
      <c r="BW610" t="str">
        <f>""</f>
        <v/>
      </c>
      <c r="BX610" t="str">
        <f>""</f>
        <v/>
      </c>
      <c r="BY610" t="str">
        <f>""</f>
        <v/>
      </c>
      <c r="BZ610" t="str">
        <f>""</f>
        <v/>
      </c>
      <c r="CA610" t="str">
        <f>""</f>
        <v/>
      </c>
      <c r="CB610" t="str">
        <f>""</f>
        <v/>
      </c>
      <c r="CC610" t="str">
        <f>""</f>
        <v/>
      </c>
      <c r="CD610" t="str">
        <f>""</f>
        <v/>
      </c>
      <c r="CE610" t="str">
        <f>""</f>
        <v/>
      </c>
      <c r="CF610" t="str">
        <f>""</f>
        <v/>
      </c>
      <c r="CG610" t="str">
        <f>""</f>
        <v/>
      </c>
      <c r="CH610" t="str">
        <f>""</f>
        <v/>
      </c>
      <c r="CI610" t="str">
        <f>""</f>
        <v/>
      </c>
      <c r="CJ610" t="str">
        <f>""</f>
        <v/>
      </c>
      <c r="CK610" t="str">
        <f>""</f>
        <v/>
      </c>
      <c r="CL610" t="str">
        <f>""</f>
        <v/>
      </c>
      <c r="CM610" t="str">
        <f>""</f>
        <v/>
      </c>
      <c r="CN610" t="str">
        <f>""</f>
        <v/>
      </c>
      <c r="CO610" t="str">
        <f>""</f>
        <v/>
      </c>
      <c r="CP610" t="str">
        <f>""</f>
        <v/>
      </c>
      <c r="CQ610" t="str">
        <f>""</f>
        <v/>
      </c>
      <c r="CR610" t="str">
        <f>""</f>
        <v/>
      </c>
      <c r="CS610" t="str">
        <f>""</f>
        <v/>
      </c>
      <c r="CT610" t="str">
        <f>""</f>
        <v/>
      </c>
      <c r="CU610" t="str">
        <f>""</f>
        <v/>
      </c>
      <c r="CV610" t="str">
        <f>""</f>
        <v/>
      </c>
      <c r="CW610" t="str">
        <f>""</f>
        <v/>
      </c>
      <c r="CX610" t="str">
        <f>""</f>
        <v/>
      </c>
      <c r="CY610" t="str">
        <f>""</f>
        <v/>
      </c>
      <c r="CZ610" t="str">
        <f>""</f>
        <v/>
      </c>
      <c r="DA610" t="str">
        <f>""</f>
        <v/>
      </c>
      <c r="DB610" t="str">
        <f>""</f>
        <v/>
      </c>
      <c r="DC610" t="str">
        <f>""</f>
        <v/>
      </c>
      <c r="DD610" t="str">
        <f>""</f>
        <v/>
      </c>
      <c r="DE610" t="str">
        <f>""</f>
        <v/>
      </c>
      <c r="DF610" t="str">
        <f>""</f>
        <v/>
      </c>
      <c r="DG610" t="str">
        <f>""</f>
        <v/>
      </c>
      <c r="DH610" t="str">
        <f>""</f>
        <v/>
      </c>
      <c r="DI610" t="str">
        <f>""</f>
        <v/>
      </c>
      <c r="DJ610" t="str">
        <f>""</f>
        <v/>
      </c>
      <c r="DK610" t="str">
        <f>""</f>
        <v/>
      </c>
      <c r="DL610" t="str">
        <f>""</f>
        <v/>
      </c>
      <c r="DM610" t="str">
        <f>""</f>
        <v/>
      </c>
      <c r="DN610" t="str">
        <f>""</f>
        <v/>
      </c>
      <c r="DO610" t="str">
        <f>""</f>
        <v/>
      </c>
      <c r="DP610" t="str">
        <f>""</f>
        <v/>
      </c>
      <c r="DQ610" t="str">
        <f>""</f>
        <v/>
      </c>
      <c r="DR610" t="str">
        <f>""</f>
        <v/>
      </c>
      <c r="DS610" t="str">
        <f>""</f>
        <v/>
      </c>
      <c r="DT610" t="str">
        <f>""</f>
        <v/>
      </c>
      <c r="DU610" t="str">
        <f>""</f>
        <v/>
      </c>
    </row>
    <row r="611" spans="1:125">
      <c r="A611" t="str">
        <f>$A$159</f>
        <v xml:space="preserve">    Simon Property Group Inc</v>
      </c>
      <c r="B611" t="str">
        <f>$B$159</f>
        <v>SPG US Equity</v>
      </c>
      <c r="C611" t="str">
        <f>$C$159</f>
        <v>RR033</v>
      </c>
      <c r="D611" t="str">
        <f>$D$159</f>
        <v>SALES_GROWTH</v>
      </c>
      <c r="E611" t="str">
        <f>$E$159</f>
        <v>动态</v>
      </c>
      <c r="F611" t="str">
        <f ca="1">BDH($B$159,$C$159,$B$417,$B$418,CONCATENATE("Per=",$B$415),"Dts=H","Dir=H",CONCATENATE("Points=",$B$416),"Sort=R","Days=A","Fill=B",CONCATENATE("FX=", $B$414) )</f>
        <v>#N/A Authorization</v>
      </c>
      <c r="BN611" t="str">
        <f>""</f>
        <v/>
      </c>
      <c r="BO611" t="str">
        <f>""</f>
        <v/>
      </c>
      <c r="BP611" t="str">
        <f>""</f>
        <v/>
      </c>
      <c r="BQ611" t="str">
        <f>""</f>
        <v/>
      </c>
      <c r="BR611" t="str">
        <f>""</f>
        <v/>
      </c>
      <c r="BS611" t="str">
        <f>""</f>
        <v/>
      </c>
      <c r="BT611" t="str">
        <f>""</f>
        <v/>
      </c>
      <c r="BU611" t="str">
        <f>""</f>
        <v/>
      </c>
      <c r="BV611" t="str">
        <f>""</f>
        <v/>
      </c>
      <c r="BW611" t="str">
        <f>""</f>
        <v/>
      </c>
      <c r="BX611" t="str">
        <f>""</f>
        <v/>
      </c>
      <c r="BY611" t="str">
        <f>""</f>
        <v/>
      </c>
      <c r="BZ611" t="str">
        <f>""</f>
        <v/>
      </c>
      <c r="CA611" t="str">
        <f>""</f>
        <v/>
      </c>
      <c r="CB611" t="str">
        <f>""</f>
        <v/>
      </c>
      <c r="CC611" t="str">
        <f>""</f>
        <v/>
      </c>
      <c r="CD611" t="str">
        <f>""</f>
        <v/>
      </c>
      <c r="CE611" t="str">
        <f>""</f>
        <v/>
      </c>
      <c r="CF611" t="str">
        <f>""</f>
        <v/>
      </c>
      <c r="CG611" t="str">
        <f>""</f>
        <v/>
      </c>
      <c r="CH611" t="str">
        <f>""</f>
        <v/>
      </c>
      <c r="CI611" t="str">
        <f>""</f>
        <v/>
      </c>
      <c r="CJ611" t="str">
        <f>""</f>
        <v/>
      </c>
      <c r="CK611" t="str">
        <f>""</f>
        <v/>
      </c>
      <c r="CL611" t="str">
        <f>""</f>
        <v/>
      </c>
      <c r="CM611" t="str">
        <f>""</f>
        <v/>
      </c>
      <c r="CN611" t="str">
        <f>""</f>
        <v/>
      </c>
      <c r="CO611" t="str">
        <f>""</f>
        <v/>
      </c>
      <c r="CP611" t="str">
        <f>""</f>
        <v/>
      </c>
      <c r="CQ611" t="str">
        <f>""</f>
        <v/>
      </c>
      <c r="CR611" t="str">
        <f>""</f>
        <v/>
      </c>
      <c r="CS611" t="str">
        <f>""</f>
        <v/>
      </c>
      <c r="CT611" t="str">
        <f>""</f>
        <v/>
      </c>
      <c r="CU611" t="str">
        <f>""</f>
        <v/>
      </c>
      <c r="CV611" t="str">
        <f>""</f>
        <v/>
      </c>
      <c r="CW611" t="str">
        <f>""</f>
        <v/>
      </c>
      <c r="CX611" t="str">
        <f>""</f>
        <v/>
      </c>
      <c r="CY611" t="str">
        <f>""</f>
        <v/>
      </c>
      <c r="CZ611" t="str">
        <f>""</f>
        <v/>
      </c>
      <c r="DA611" t="str">
        <f>""</f>
        <v/>
      </c>
      <c r="DB611" t="str">
        <f>""</f>
        <v/>
      </c>
      <c r="DC611" t="str">
        <f>""</f>
        <v/>
      </c>
      <c r="DD611" t="str">
        <f>""</f>
        <v/>
      </c>
      <c r="DE611" t="str">
        <f>""</f>
        <v/>
      </c>
      <c r="DF611" t="str">
        <f>""</f>
        <v/>
      </c>
      <c r="DG611" t="str">
        <f>""</f>
        <v/>
      </c>
      <c r="DH611" t="str">
        <f>""</f>
        <v/>
      </c>
      <c r="DI611" t="str">
        <f>""</f>
        <v/>
      </c>
      <c r="DJ611" t="str">
        <f>""</f>
        <v/>
      </c>
      <c r="DK611" t="str">
        <f>""</f>
        <v/>
      </c>
      <c r="DL611" t="str">
        <f>""</f>
        <v/>
      </c>
      <c r="DM611" t="str">
        <f>""</f>
        <v/>
      </c>
      <c r="DN611" t="str">
        <f>""</f>
        <v/>
      </c>
      <c r="DO611" t="str">
        <f>""</f>
        <v/>
      </c>
      <c r="DP611" t="str">
        <f>""</f>
        <v/>
      </c>
      <c r="DQ611" t="str">
        <f>""</f>
        <v/>
      </c>
      <c r="DR611" t="str">
        <f>""</f>
        <v/>
      </c>
      <c r="DS611" t="str">
        <f>""</f>
        <v/>
      </c>
      <c r="DT611" t="str">
        <f>""</f>
        <v/>
      </c>
      <c r="DU611" t="str">
        <f>""</f>
        <v/>
      </c>
    </row>
    <row r="612" spans="1:125">
      <c r="A612" t="str">
        <f>$A$160</f>
        <v xml:space="preserve">    Tanger Factory Outlet Centers</v>
      </c>
      <c r="B612" t="str">
        <f>$B$160</f>
        <v>SKT US Equity</v>
      </c>
      <c r="C612" t="str">
        <f>$C$160</f>
        <v>RR033</v>
      </c>
      <c r="D612" t="str">
        <f>$D$160</f>
        <v>SALES_GROWTH</v>
      </c>
      <c r="E612" t="str">
        <f>$E$160</f>
        <v>动态</v>
      </c>
      <c r="F612" t="str">
        <f ca="1">BDH($B$160,$C$160,$B$417,$B$418,CONCATENATE("Per=",$B$415),"Dts=H","Dir=H",CONCATENATE("Points=",$B$416),"Sort=R","Days=A","Fill=B",CONCATENATE("FX=", $B$414) )</f>
        <v>#N/A Authorization</v>
      </c>
      <c r="BN612" t="str">
        <f>""</f>
        <v/>
      </c>
      <c r="BO612" t="str">
        <f>""</f>
        <v/>
      </c>
      <c r="BP612" t="str">
        <f>""</f>
        <v/>
      </c>
      <c r="BQ612" t="str">
        <f>""</f>
        <v/>
      </c>
      <c r="BR612" t="str">
        <f>""</f>
        <v/>
      </c>
      <c r="BS612" t="str">
        <f>""</f>
        <v/>
      </c>
      <c r="BT612" t="str">
        <f>""</f>
        <v/>
      </c>
      <c r="BU612" t="str">
        <f>""</f>
        <v/>
      </c>
      <c r="BV612" t="str">
        <f>""</f>
        <v/>
      </c>
      <c r="BW612" t="str">
        <f>""</f>
        <v/>
      </c>
      <c r="BX612" t="str">
        <f>""</f>
        <v/>
      </c>
      <c r="BY612" t="str">
        <f>""</f>
        <v/>
      </c>
      <c r="BZ612" t="str">
        <f>""</f>
        <v/>
      </c>
      <c r="CA612" t="str">
        <f>""</f>
        <v/>
      </c>
      <c r="CB612" t="str">
        <f>""</f>
        <v/>
      </c>
      <c r="CC612" t="str">
        <f>""</f>
        <v/>
      </c>
      <c r="CD612" t="str">
        <f>""</f>
        <v/>
      </c>
      <c r="CE612" t="str">
        <f>""</f>
        <v/>
      </c>
      <c r="CF612" t="str">
        <f>""</f>
        <v/>
      </c>
      <c r="CG612" t="str">
        <f>""</f>
        <v/>
      </c>
      <c r="CH612" t="str">
        <f>""</f>
        <v/>
      </c>
      <c r="CI612" t="str">
        <f>""</f>
        <v/>
      </c>
      <c r="CJ612" t="str">
        <f>""</f>
        <v/>
      </c>
      <c r="CK612" t="str">
        <f>""</f>
        <v/>
      </c>
      <c r="CL612" t="str">
        <f>""</f>
        <v/>
      </c>
      <c r="CM612" t="str">
        <f>""</f>
        <v/>
      </c>
      <c r="CN612" t="str">
        <f>""</f>
        <v/>
      </c>
      <c r="CO612" t="str">
        <f>""</f>
        <v/>
      </c>
      <c r="CP612" t="str">
        <f>""</f>
        <v/>
      </c>
      <c r="CQ612" t="str">
        <f>""</f>
        <v/>
      </c>
      <c r="CR612" t="str">
        <f>""</f>
        <v/>
      </c>
      <c r="CS612" t="str">
        <f>""</f>
        <v/>
      </c>
      <c r="CT612" t="str">
        <f>""</f>
        <v/>
      </c>
      <c r="CU612" t="str">
        <f>""</f>
        <v/>
      </c>
      <c r="CV612" t="str">
        <f>""</f>
        <v/>
      </c>
      <c r="CW612" t="str">
        <f>""</f>
        <v/>
      </c>
      <c r="CX612" t="str">
        <f>""</f>
        <v/>
      </c>
      <c r="CY612" t="str">
        <f>""</f>
        <v/>
      </c>
      <c r="CZ612" t="str">
        <f>""</f>
        <v/>
      </c>
      <c r="DA612" t="str">
        <f>""</f>
        <v/>
      </c>
      <c r="DB612" t="str">
        <f>""</f>
        <v/>
      </c>
      <c r="DC612" t="str">
        <f>""</f>
        <v/>
      </c>
      <c r="DD612" t="str">
        <f>""</f>
        <v/>
      </c>
      <c r="DE612" t="str">
        <f>""</f>
        <v/>
      </c>
      <c r="DF612" t="str">
        <f>""</f>
        <v/>
      </c>
      <c r="DG612" t="str">
        <f>""</f>
        <v/>
      </c>
      <c r="DH612" t="str">
        <f>""</f>
        <v/>
      </c>
      <c r="DI612" t="str">
        <f>""</f>
        <v/>
      </c>
      <c r="DJ612" t="str">
        <f>""</f>
        <v/>
      </c>
      <c r="DK612" t="str">
        <f>""</f>
        <v/>
      </c>
      <c r="DL612" t="str">
        <f>""</f>
        <v/>
      </c>
      <c r="DM612" t="str">
        <f>""</f>
        <v/>
      </c>
      <c r="DN612" t="str">
        <f>""</f>
        <v/>
      </c>
      <c r="DO612" t="str">
        <f>""</f>
        <v/>
      </c>
      <c r="DP612" t="str">
        <f>""</f>
        <v/>
      </c>
      <c r="DQ612" t="str">
        <f>""</f>
        <v/>
      </c>
      <c r="DR612" t="str">
        <f>""</f>
        <v/>
      </c>
      <c r="DS612" t="str">
        <f>""</f>
        <v/>
      </c>
      <c r="DT612" t="str">
        <f>""</f>
        <v/>
      </c>
      <c r="DU612" t="str">
        <f>""</f>
        <v/>
      </c>
    </row>
    <row r="613" spans="1:125">
      <c r="A613" t="str">
        <f>$A$161</f>
        <v xml:space="preserve">    VEREIT Inc</v>
      </c>
      <c r="B613" t="str">
        <f>$B$161</f>
        <v>VER US Equity</v>
      </c>
      <c r="C613" t="str">
        <f>$C$161</f>
        <v>RR033</v>
      </c>
      <c r="D613" t="str">
        <f>$D$161</f>
        <v>SALES_GROWTH</v>
      </c>
      <c r="E613" t="str">
        <f>$E$161</f>
        <v>动态</v>
      </c>
      <c r="F613" t="str">
        <f ca="1">BDH($B$161,$C$161,$B$417,$B$418,CONCATENATE("Per=",$B$415),"Dts=H","Dir=H",CONCATENATE("Points=",$B$416),"Sort=R","Days=A","Fill=B",CONCATENATE("FX=", $B$414) )</f>
        <v>#N/A Authorization</v>
      </c>
      <c r="BN613" t="str">
        <f>""</f>
        <v/>
      </c>
      <c r="BO613" t="str">
        <f>""</f>
        <v/>
      </c>
      <c r="BP613" t="str">
        <f>""</f>
        <v/>
      </c>
      <c r="BQ613" t="str">
        <f>""</f>
        <v/>
      </c>
      <c r="BR613" t="str">
        <f>""</f>
        <v/>
      </c>
      <c r="BS613" t="str">
        <f>""</f>
        <v/>
      </c>
      <c r="BT613" t="str">
        <f>""</f>
        <v/>
      </c>
      <c r="BU613" t="str">
        <f>""</f>
        <v/>
      </c>
      <c r="BV613" t="str">
        <f>""</f>
        <v/>
      </c>
      <c r="BW613" t="str">
        <f>""</f>
        <v/>
      </c>
      <c r="BX613" t="str">
        <f>""</f>
        <v/>
      </c>
      <c r="BY613" t="str">
        <f>""</f>
        <v/>
      </c>
      <c r="BZ613" t="str">
        <f>""</f>
        <v/>
      </c>
      <c r="CA613" t="str">
        <f>""</f>
        <v/>
      </c>
      <c r="CB613" t="str">
        <f>""</f>
        <v/>
      </c>
      <c r="CC613" t="str">
        <f>""</f>
        <v/>
      </c>
      <c r="CD613" t="str">
        <f>""</f>
        <v/>
      </c>
      <c r="CE613" t="str">
        <f>""</f>
        <v/>
      </c>
      <c r="CF613" t="str">
        <f>""</f>
        <v/>
      </c>
      <c r="CG613" t="str">
        <f>""</f>
        <v/>
      </c>
      <c r="CH613" t="str">
        <f>""</f>
        <v/>
      </c>
      <c r="CI613" t="str">
        <f>""</f>
        <v/>
      </c>
      <c r="CJ613" t="str">
        <f>""</f>
        <v/>
      </c>
      <c r="CK613" t="str">
        <f>""</f>
        <v/>
      </c>
      <c r="CL613" t="str">
        <f>""</f>
        <v/>
      </c>
      <c r="CM613" t="str">
        <f>""</f>
        <v/>
      </c>
      <c r="CN613" t="str">
        <f>""</f>
        <v/>
      </c>
      <c r="CO613" t="str">
        <f>""</f>
        <v/>
      </c>
      <c r="CP613" t="str">
        <f>""</f>
        <v/>
      </c>
      <c r="CQ613" t="str">
        <f>""</f>
        <v/>
      </c>
      <c r="CR613" t="str">
        <f>""</f>
        <v/>
      </c>
      <c r="CS613" t="str">
        <f>""</f>
        <v/>
      </c>
      <c r="CT613" t="str">
        <f>""</f>
        <v/>
      </c>
      <c r="CU613" t="str">
        <f>""</f>
        <v/>
      </c>
      <c r="CV613" t="str">
        <f>""</f>
        <v/>
      </c>
      <c r="CW613" t="str">
        <f>""</f>
        <v/>
      </c>
      <c r="CX613" t="str">
        <f>""</f>
        <v/>
      </c>
      <c r="CY613" t="str">
        <f>""</f>
        <v/>
      </c>
      <c r="CZ613" t="str">
        <f>""</f>
        <v/>
      </c>
      <c r="DA613" t="str">
        <f>""</f>
        <v/>
      </c>
      <c r="DB613" t="str">
        <f>""</f>
        <v/>
      </c>
      <c r="DC613" t="str">
        <f>""</f>
        <v/>
      </c>
      <c r="DD613" t="str">
        <f>""</f>
        <v/>
      </c>
      <c r="DE613" t="str">
        <f>""</f>
        <v/>
      </c>
      <c r="DF613" t="str">
        <f>""</f>
        <v/>
      </c>
      <c r="DG613" t="str">
        <f>""</f>
        <v/>
      </c>
      <c r="DH613" t="str">
        <f>""</f>
        <v/>
      </c>
      <c r="DI613" t="str">
        <f>""</f>
        <v/>
      </c>
      <c r="DJ613" t="str">
        <f>""</f>
        <v/>
      </c>
      <c r="DK613" t="str">
        <f>""</f>
        <v/>
      </c>
      <c r="DL613" t="str">
        <f>""</f>
        <v/>
      </c>
      <c r="DM613" t="str">
        <f>""</f>
        <v/>
      </c>
      <c r="DN613" t="str">
        <f>""</f>
        <v/>
      </c>
      <c r="DO613" t="str">
        <f>""</f>
        <v/>
      </c>
      <c r="DP613" t="str">
        <f>""</f>
        <v/>
      </c>
      <c r="DQ613" t="str">
        <f>""</f>
        <v/>
      </c>
      <c r="DR613" t="str">
        <f>""</f>
        <v/>
      </c>
      <c r="DS613" t="str">
        <f>""</f>
        <v/>
      </c>
      <c r="DT613" t="str">
        <f>""</f>
        <v/>
      </c>
      <c r="DU613" t="str">
        <f>""</f>
        <v/>
      </c>
    </row>
    <row r="614" spans="1:125">
      <c r="A614" t="str">
        <f>$A$162</f>
        <v xml:space="preserve">    Washington Prime Group Inc</v>
      </c>
      <c r="B614" t="str">
        <f>$B$162</f>
        <v>WPG US Equity</v>
      </c>
      <c r="C614" t="str">
        <f>$C$162</f>
        <v>RR033</v>
      </c>
      <c r="D614" t="str">
        <f>$D$162</f>
        <v>SALES_GROWTH</v>
      </c>
      <c r="E614" t="str">
        <f>$E$162</f>
        <v>动态</v>
      </c>
      <c r="F614" t="str">
        <f ca="1">BDH($B$162,$C$162,$B$417,$B$418,CONCATENATE("Per=",$B$415),"Dts=H","Dir=H",CONCATENATE("Points=",$B$416),"Sort=R","Days=A","Fill=B",CONCATENATE("FX=", $B$414) )</f>
        <v>#N/A Authorization</v>
      </c>
      <c r="BN614" t="str">
        <f>""</f>
        <v/>
      </c>
      <c r="BO614" t="str">
        <f>""</f>
        <v/>
      </c>
      <c r="BP614" t="str">
        <f>""</f>
        <v/>
      </c>
      <c r="BQ614" t="str">
        <f>""</f>
        <v/>
      </c>
      <c r="BR614" t="str">
        <f>""</f>
        <v/>
      </c>
      <c r="BS614" t="str">
        <f>""</f>
        <v/>
      </c>
      <c r="BT614" t="str">
        <f>""</f>
        <v/>
      </c>
      <c r="BU614" t="str">
        <f>""</f>
        <v/>
      </c>
      <c r="BV614" t="str">
        <f>""</f>
        <v/>
      </c>
      <c r="BW614" t="str">
        <f>""</f>
        <v/>
      </c>
      <c r="BX614" t="str">
        <f>""</f>
        <v/>
      </c>
      <c r="BY614" t="str">
        <f>""</f>
        <v/>
      </c>
      <c r="BZ614" t="str">
        <f>""</f>
        <v/>
      </c>
      <c r="CA614" t="str">
        <f>""</f>
        <v/>
      </c>
      <c r="CB614" t="str">
        <f>""</f>
        <v/>
      </c>
      <c r="CC614" t="str">
        <f>""</f>
        <v/>
      </c>
      <c r="CD614" t="str">
        <f>""</f>
        <v/>
      </c>
      <c r="CE614" t="str">
        <f>""</f>
        <v/>
      </c>
      <c r="CF614" t="str">
        <f>""</f>
        <v/>
      </c>
      <c r="CG614" t="str">
        <f>""</f>
        <v/>
      </c>
      <c r="CH614" t="str">
        <f>""</f>
        <v/>
      </c>
      <c r="CI614" t="str">
        <f>""</f>
        <v/>
      </c>
      <c r="CJ614" t="str">
        <f>""</f>
        <v/>
      </c>
      <c r="CK614" t="str">
        <f>""</f>
        <v/>
      </c>
      <c r="CL614" t="str">
        <f>""</f>
        <v/>
      </c>
      <c r="CM614" t="str">
        <f>""</f>
        <v/>
      </c>
      <c r="CN614" t="str">
        <f>""</f>
        <v/>
      </c>
      <c r="CO614" t="str">
        <f>""</f>
        <v/>
      </c>
      <c r="CP614" t="str">
        <f>""</f>
        <v/>
      </c>
      <c r="CQ614" t="str">
        <f>""</f>
        <v/>
      </c>
      <c r="CR614" t="str">
        <f>""</f>
        <v/>
      </c>
      <c r="CS614" t="str">
        <f>""</f>
        <v/>
      </c>
      <c r="CT614" t="str">
        <f>""</f>
        <v/>
      </c>
      <c r="CU614" t="str">
        <f>""</f>
        <v/>
      </c>
      <c r="CV614" t="str">
        <f>""</f>
        <v/>
      </c>
      <c r="CW614" t="str">
        <f>""</f>
        <v/>
      </c>
      <c r="CX614" t="str">
        <f>""</f>
        <v/>
      </c>
      <c r="CY614" t="str">
        <f>""</f>
        <v/>
      </c>
      <c r="CZ614" t="str">
        <f>""</f>
        <v/>
      </c>
      <c r="DA614" t="str">
        <f>""</f>
        <v/>
      </c>
      <c r="DB614" t="str">
        <f>""</f>
        <v/>
      </c>
      <c r="DC614" t="str">
        <f>""</f>
        <v/>
      </c>
      <c r="DD614" t="str">
        <f>""</f>
        <v/>
      </c>
      <c r="DE614" t="str">
        <f>""</f>
        <v/>
      </c>
      <c r="DF614" t="str">
        <f>""</f>
        <v/>
      </c>
      <c r="DG614" t="str">
        <f>""</f>
        <v/>
      </c>
      <c r="DH614" t="str">
        <f>""</f>
        <v/>
      </c>
      <c r="DI614" t="str">
        <f>""</f>
        <v/>
      </c>
      <c r="DJ614" t="str">
        <f>""</f>
        <v/>
      </c>
      <c r="DK614" t="str">
        <f>""</f>
        <v/>
      </c>
      <c r="DL614" t="str">
        <f>""</f>
        <v/>
      </c>
      <c r="DM614" t="str">
        <f>""</f>
        <v/>
      </c>
      <c r="DN614" t="str">
        <f>""</f>
        <v/>
      </c>
      <c r="DO614" t="str">
        <f>""</f>
        <v/>
      </c>
      <c r="DP614" t="str">
        <f>""</f>
        <v/>
      </c>
      <c r="DQ614" t="str">
        <f>""</f>
        <v/>
      </c>
      <c r="DR614" t="str">
        <f>""</f>
        <v/>
      </c>
      <c r="DS614" t="str">
        <f>""</f>
        <v/>
      </c>
      <c r="DT614" t="str">
        <f>""</f>
        <v/>
      </c>
      <c r="DU614" t="str">
        <f>""</f>
        <v/>
      </c>
    </row>
    <row r="615" spans="1:125">
      <c r="A615" t="str">
        <f>$A$163</f>
        <v xml:space="preserve">    Weingarten Realty Investors</v>
      </c>
      <c r="B615" t="str">
        <f>$B$163</f>
        <v>WRI US Equity</v>
      </c>
      <c r="C615" t="str">
        <f>$C$163</f>
        <v>RR033</v>
      </c>
      <c r="D615" t="str">
        <f>$D$163</f>
        <v>SALES_GROWTH</v>
      </c>
      <c r="E615" t="str">
        <f>$E$163</f>
        <v>动态</v>
      </c>
      <c r="F615" t="str">
        <f ca="1">BDH($B$163,$C$163,$B$417,$B$418,CONCATENATE("Per=",$B$415),"Dts=H","Dir=H",CONCATENATE("Points=",$B$416),"Sort=R","Days=A","Fill=B",CONCATENATE("FX=", $B$414) )</f>
        <v>#N/A Authorization</v>
      </c>
      <c r="BN615" t="str">
        <f>""</f>
        <v/>
      </c>
      <c r="BO615" t="str">
        <f>""</f>
        <v/>
      </c>
      <c r="BP615" t="str">
        <f>""</f>
        <v/>
      </c>
      <c r="BQ615" t="str">
        <f>""</f>
        <v/>
      </c>
      <c r="BR615" t="str">
        <f>""</f>
        <v/>
      </c>
      <c r="BS615" t="str">
        <f>""</f>
        <v/>
      </c>
      <c r="BT615" t="str">
        <f>""</f>
        <v/>
      </c>
      <c r="BU615" t="str">
        <f>""</f>
        <v/>
      </c>
      <c r="BV615" t="str">
        <f>""</f>
        <v/>
      </c>
      <c r="BW615" t="str">
        <f>""</f>
        <v/>
      </c>
      <c r="BX615" t="str">
        <f>""</f>
        <v/>
      </c>
      <c r="BY615" t="str">
        <f>""</f>
        <v/>
      </c>
      <c r="BZ615" t="str">
        <f>""</f>
        <v/>
      </c>
      <c r="CA615" t="str">
        <f>""</f>
        <v/>
      </c>
      <c r="CB615" t="str">
        <f>""</f>
        <v/>
      </c>
      <c r="CC615" t="str">
        <f>""</f>
        <v/>
      </c>
      <c r="CD615" t="str">
        <f>""</f>
        <v/>
      </c>
      <c r="CE615" t="str">
        <f>""</f>
        <v/>
      </c>
      <c r="CF615" t="str">
        <f>""</f>
        <v/>
      </c>
      <c r="CG615" t="str">
        <f>""</f>
        <v/>
      </c>
      <c r="CH615" t="str">
        <f>""</f>
        <v/>
      </c>
      <c r="CI615" t="str">
        <f>""</f>
        <v/>
      </c>
      <c r="CJ615" t="str">
        <f>""</f>
        <v/>
      </c>
      <c r="CK615" t="str">
        <f>""</f>
        <v/>
      </c>
      <c r="CL615" t="str">
        <f>""</f>
        <v/>
      </c>
      <c r="CM615" t="str">
        <f>""</f>
        <v/>
      </c>
      <c r="CN615" t="str">
        <f>""</f>
        <v/>
      </c>
      <c r="CO615" t="str">
        <f>""</f>
        <v/>
      </c>
      <c r="CP615" t="str">
        <f>""</f>
        <v/>
      </c>
      <c r="CQ615" t="str">
        <f>""</f>
        <v/>
      </c>
      <c r="CR615" t="str">
        <f>""</f>
        <v/>
      </c>
      <c r="CS615" t="str">
        <f>""</f>
        <v/>
      </c>
      <c r="CT615" t="str">
        <f>""</f>
        <v/>
      </c>
      <c r="CU615" t="str">
        <f>""</f>
        <v/>
      </c>
      <c r="CV615" t="str">
        <f>""</f>
        <v/>
      </c>
      <c r="CW615" t="str">
        <f>""</f>
        <v/>
      </c>
      <c r="CX615" t="str">
        <f>""</f>
        <v/>
      </c>
      <c r="CY615" t="str">
        <f>""</f>
        <v/>
      </c>
      <c r="CZ615" t="str">
        <f>""</f>
        <v/>
      </c>
      <c r="DA615" t="str">
        <f>""</f>
        <v/>
      </c>
      <c r="DB615" t="str">
        <f>""</f>
        <v/>
      </c>
      <c r="DC615" t="str">
        <f>""</f>
        <v/>
      </c>
      <c r="DD615" t="str">
        <f>""</f>
        <v/>
      </c>
      <c r="DE615" t="str">
        <f>""</f>
        <v/>
      </c>
      <c r="DF615" t="str">
        <f>""</f>
        <v/>
      </c>
      <c r="DG615" t="str">
        <f>""</f>
        <v/>
      </c>
      <c r="DH615" t="str">
        <f>""</f>
        <v/>
      </c>
      <c r="DI615" t="str">
        <f>""</f>
        <v/>
      </c>
      <c r="DJ615" t="str">
        <f>""</f>
        <v/>
      </c>
      <c r="DK615" t="str">
        <f>""</f>
        <v/>
      </c>
      <c r="DL615" t="str">
        <f>""</f>
        <v/>
      </c>
      <c r="DM615" t="str">
        <f>""</f>
        <v/>
      </c>
      <c r="DN615" t="str">
        <f>""</f>
        <v/>
      </c>
      <c r="DO615" t="str">
        <f>""</f>
        <v/>
      </c>
      <c r="DP615" t="str">
        <f>""</f>
        <v/>
      </c>
      <c r="DQ615" t="str">
        <f>""</f>
        <v/>
      </c>
      <c r="DR615" t="str">
        <f>""</f>
        <v/>
      </c>
      <c r="DS615" t="str">
        <f>""</f>
        <v/>
      </c>
      <c r="DT615" t="str">
        <f>""</f>
        <v/>
      </c>
      <c r="DU615" t="str">
        <f>""</f>
        <v/>
      </c>
    </row>
    <row r="616" spans="1:125">
      <c r="A616" t="str">
        <f>$A$165</f>
        <v xml:space="preserve">    Brixmor Property Group Inc</v>
      </c>
      <c r="B616" t="str">
        <f>$B$165</f>
        <v>BRX US Equity</v>
      </c>
      <c r="C616" t="str">
        <f>$C$165</f>
        <v>RR551</v>
      </c>
      <c r="D616" t="str">
        <f>$D$165</f>
        <v>NOI_GROWTH</v>
      </c>
      <c r="E616" t="str">
        <f>$E$165</f>
        <v>动态</v>
      </c>
      <c r="F616" t="str">
        <f ca="1">BDH($B$165,$C$165,$B$417,$B$418,CONCATENATE("Per=",$B$415),"Dts=H","Dir=H",CONCATENATE("Points=",$B$416),"Sort=R","Days=A","Fill=B",CONCATENATE("FX=", $B$414) )</f>
        <v>#N/A Authorization</v>
      </c>
      <c r="BN616" t="str">
        <f>""</f>
        <v/>
      </c>
      <c r="BO616" t="str">
        <f>""</f>
        <v/>
      </c>
      <c r="BP616" t="str">
        <f>""</f>
        <v/>
      </c>
      <c r="BQ616" t="str">
        <f>""</f>
        <v/>
      </c>
      <c r="BR616" t="str">
        <f>""</f>
        <v/>
      </c>
      <c r="BS616" t="str">
        <f>""</f>
        <v/>
      </c>
      <c r="BT616" t="str">
        <f>""</f>
        <v/>
      </c>
      <c r="BU616" t="str">
        <f>""</f>
        <v/>
      </c>
      <c r="BV616" t="str">
        <f>""</f>
        <v/>
      </c>
      <c r="BW616" t="str">
        <f>""</f>
        <v/>
      </c>
      <c r="BX616" t="str">
        <f>""</f>
        <v/>
      </c>
      <c r="BY616" t="str">
        <f>""</f>
        <v/>
      </c>
      <c r="BZ616" t="str">
        <f>""</f>
        <v/>
      </c>
      <c r="CA616" t="str">
        <f>""</f>
        <v/>
      </c>
      <c r="CB616" t="str">
        <f>""</f>
        <v/>
      </c>
      <c r="CC616" t="str">
        <f>""</f>
        <v/>
      </c>
      <c r="CD616" t="str">
        <f>""</f>
        <v/>
      </c>
      <c r="CE616" t="str">
        <f>""</f>
        <v/>
      </c>
      <c r="CF616" t="str">
        <f>""</f>
        <v/>
      </c>
      <c r="CG616" t="str">
        <f>""</f>
        <v/>
      </c>
      <c r="CH616" t="str">
        <f>""</f>
        <v/>
      </c>
      <c r="CI616" t="str">
        <f>""</f>
        <v/>
      </c>
      <c r="CJ616" t="str">
        <f>""</f>
        <v/>
      </c>
      <c r="CK616" t="str">
        <f>""</f>
        <v/>
      </c>
      <c r="CL616" t="str">
        <f>""</f>
        <v/>
      </c>
      <c r="CM616" t="str">
        <f>""</f>
        <v/>
      </c>
      <c r="CN616" t="str">
        <f>""</f>
        <v/>
      </c>
      <c r="CO616" t="str">
        <f>""</f>
        <v/>
      </c>
      <c r="CP616" t="str">
        <f>""</f>
        <v/>
      </c>
      <c r="CQ616" t="str">
        <f>""</f>
        <v/>
      </c>
      <c r="CR616" t="str">
        <f>""</f>
        <v/>
      </c>
      <c r="CS616" t="str">
        <f>""</f>
        <v/>
      </c>
      <c r="CT616" t="str">
        <f>""</f>
        <v/>
      </c>
      <c r="CU616" t="str">
        <f>""</f>
        <v/>
      </c>
      <c r="CV616" t="str">
        <f>""</f>
        <v/>
      </c>
      <c r="CW616" t="str">
        <f>""</f>
        <v/>
      </c>
      <c r="CX616" t="str">
        <f>""</f>
        <v/>
      </c>
      <c r="CY616" t="str">
        <f>""</f>
        <v/>
      </c>
      <c r="CZ616" t="str">
        <f>""</f>
        <v/>
      </c>
      <c r="DA616" t="str">
        <f>""</f>
        <v/>
      </c>
      <c r="DB616" t="str">
        <f>""</f>
        <v/>
      </c>
      <c r="DC616" t="str">
        <f>""</f>
        <v/>
      </c>
      <c r="DD616" t="str">
        <f>""</f>
        <v/>
      </c>
      <c r="DE616" t="str">
        <f>""</f>
        <v/>
      </c>
      <c r="DF616" t="str">
        <f>""</f>
        <v/>
      </c>
      <c r="DG616" t="str">
        <f>""</f>
        <v/>
      </c>
      <c r="DH616" t="str">
        <f>""</f>
        <v/>
      </c>
      <c r="DI616" t="str">
        <f>""</f>
        <v/>
      </c>
      <c r="DJ616" t="str">
        <f>""</f>
        <v/>
      </c>
      <c r="DK616" t="str">
        <f>""</f>
        <v/>
      </c>
      <c r="DL616" t="str">
        <f>""</f>
        <v/>
      </c>
      <c r="DM616" t="str">
        <f>""</f>
        <v/>
      </c>
      <c r="DN616" t="str">
        <f>""</f>
        <v/>
      </c>
      <c r="DO616" t="str">
        <f>""</f>
        <v/>
      </c>
      <c r="DP616" t="str">
        <f>""</f>
        <v/>
      </c>
      <c r="DQ616" t="str">
        <f>""</f>
        <v/>
      </c>
      <c r="DR616" t="str">
        <f>""</f>
        <v/>
      </c>
      <c r="DS616" t="str">
        <f>""</f>
        <v/>
      </c>
      <c r="DT616" t="str">
        <f>""</f>
        <v/>
      </c>
      <c r="DU616" t="str">
        <f>""</f>
        <v/>
      </c>
    </row>
    <row r="617" spans="1:125">
      <c r="A617" t="str">
        <f>$A$166</f>
        <v xml:space="preserve">    CBL &amp; Associates Properties In</v>
      </c>
      <c r="B617" t="str">
        <f>$B$166</f>
        <v>CBL US Equity</v>
      </c>
      <c r="C617" t="str">
        <f>$C$166</f>
        <v>RR551</v>
      </c>
      <c r="D617" t="str">
        <f>$D$166</f>
        <v>NOI_GROWTH</v>
      </c>
      <c r="E617" t="str">
        <f>$E$166</f>
        <v>动态</v>
      </c>
      <c r="F617" t="str">
        <f ca="1">BDH($B$166,$C$166,$B$417,$B$418,CONCATENATE("Per=",$B$415),"Dts=H","Dir=H",CONCATENATE("Points=",$B$416),"Sort=R","Days=A","Fill=B",CONCATENATE("FX=", $B$414) )</f>
        <v>#N/A Authorization</v>
      </c>
      <c r="BN617" t="str">
        <f>""</f>
        <v/>
      </c>
      <c r="BO617" t="str">
        <f>""</f>
        <v/>
      </c>
      <c r="BP617" t="str">
        <f>""</f>
        <v/>
      </c>
      <c r="BQ617" t="str">
        <f>""</f>
        <v/>
      </c>
      <c r="BR617" t="str">
        <f>""</f>
        <v/>
      </c>
      <c r="BS617" t="str">
        <f>""</f>
        <v/>
      </c>
      <c r="BT617" t="str">
        <f>""</f>
        <v/>
      </c>
      <c r="BU617" t="str">
        <f>""</f>
        <v/>
      </c>
      <c r="BV617" t="str">
        <f>""</f>
        <v/>
      </c>
      <c r="BW617" t="str">
        <f>""</f>
        <v/>
      </c>
      <c r="BX617" t="str">
        <f>""</f>
        <v/>
      </c>
      <c r="BY617" t="str">
        <f>""</f>
        <v/>
      </c>
      <c r="BZ617" t="str">
        <f>""</f>
        <v/>
      </c>
      <c r="CA617" t="str">
        <f>""</f>
        <v/>
      </c>
      <c r="CB617" t="str">
        <f>""</f>
        <v/>
      </c>
      <c r="CC617" t="str">
        <f>""</f>
        <v/>
      </c>
      <c r="CD617" t="str">
        <f>""</f>
        <v/>
      </c>
      <c r="CE617" t="str">
        <f>""</f>
        <v/>
      </c>
      <c r="CF617" t="str">
        <f>""</f>
        <v/>
      </c>
      <c r="CG617" t="str">
        <f>""</f>
        <v/>
      </c>
      <c r="CH617" t="str">
        <f>""</f>
        <v/>
      </c>
      <c r="CI617" t="str">
        <f>""</f>
        <v/>
      </c>
      <c r="CJ617" t="str">
        <f>""</f>
        <v/>
      </c>
      <c r="CK617" t="str">
        <f>""</f>
        <v/>
      </c>
      <c r="CL617" t="str">
        <f>""</f>
        <v/>
      </c>
      <c r="CM617" t="str">
        <f>""</f>
        <v/>
      </c>
      <c r="CN617" t="str">
        <f>""</f>
        <v/>
      </c>
      <c r="CO617" t="str">
        <f>""</f>
        <v/>
      </c>
      <c r="CP617" t="str">
        <f>""</f>
        <v/>
      </c>
      <c r="CQ617" t="str">
        <f>""</f>
        <v/>
      </c>
      <c r="CR617" t="str">
        <f>""</f>
        <v/>
      </c>
      <c r="CS617" t="str">
        <f>""</f>
        <v/>
      </c>
      <c r="CT617" t="str">
        <f>""</f>
        <v/>
      </c>
      <c r="CU617" t="str">
        <f>""</f>
        <v/>
      </c>
      <c r="CV617" t="str">
        <f>""</f>
        <v/>
      </c>
      <c r="CW617" t="str">
        <f>""</f>
        <v/>
      </c>
      <c r="CX617" t="str">
        <f>""</f>
        <v/>
      </c>
      <c r="CY617" t="str">
        <f>""</f>
        <v/>
      </c>
      <c r="CZ617" t="str">
        <f>""</f>
        <v/>
      </c>
      <c r="DA617" t="str">
        <f>""</f>
        <v/>
      </c>
      <c r="DB617" t="str">
        <f>""</f>
        <v/>
      </c>
      <c r="DC617" t="str">
        <f>""</f>
        <v/>
      </c>
      <c r="DD617" t="str">
        <f>""</f>
        <v/>
      </c>
      <c r="DE617" t="str">
        <f>""</f>
        <v/>
      </c>
      <c r="DF617" t="str">
        <f>""</f>
        <v/>
      </c>
      <c r="DG617" t="str">
        <f>""</f>
        <v/>
      </c>
      <c r="DH617" t="str">
        <f>""</f>
        <v/>
      </c>
      <c r="DI617" t="str">
        <f>""</f>
        <v/>
      </c>
      <c r="DJ617" t="str">
        <f>""</f>
        <v/>
      </c>
      <c r="DK617" t="str">
        <f>""</f>
        <v/>
      </c>
      <c r="DL617" t="str">
        <f>""</f>
        <v/>
      </c>
      <c r="DM617" t="str">
        <f>""</f>
        <v/>
      </c>
      <c r="DN617" t="str">
        <f>""</f>
        <v/>
      </c>
      <c r="DO617" t="str">
        <f>""</f>
        <v/>
      </c>
      <c r="DP617" t="str">
        <f>""</f>
        <v/>
      </c>
      <c r="DQ617" t="str">
        <f>""</f>
        <v/>
      </c>
      <c r="DR617" t="str">
        <f>""</f>
        <v/>
      </c>
      <c r="DS617" t="str">
        <f>""</f>
        <v/>
      </c>
      <c r="DT617" t="str">
        <f>""</f>
        <v/>
      </c>
      <c r="DU617" t="str">
        <f>""</f>
        <v/>
      </c>
    </row>
    <row r="618" spans="1:125">
      <c r="A618" t="str">
        <f>$A$167</f>
        <v xml:space="preserve">    DDR Corp</v>
      </c>
      <c r="B618" t="str">
        <f>$B$167</f>
        <v>DDR US Equity</v>
      </c>
      <c r="C618" t="str">
        <f>$C$167</f>
        <v>RR551</v>
      </c>
      <c r="D618" t="str">
        <f>$D$167</f>
        <v>NOI_GROWTH</v>
      </c>
      <c r="E618" t="str">
        <f>$E$167</f>
        <v>动态</v>
      </c>
      <c r="F618" t="str">
        <f ca="1">BDH($B$167,$C$167,$B$417,$B$418,CONCATENATE("Per=",$B$415),"Dts=H","Dir=H",CONCATENATE("Points=",$B$416),"Sort=R","Days=A","Fill=B",CONCATENATE("FX=", $B$414) )</f>
        <v>#N/A Authorization</v>
      </c>
      <c r="BN618" t="str">
        <f>""</f>
        <v/>
      </c>
      <c r="BO618" t="str">
        <f>""</f>
        <v/>
      </c>
      <c r="BP618" t="str">
        <f>""</f>
        <v/>
      </c>
      <c r="BQ618" t="str">
        <f>""</f>
        <v/>
      </c>
      <c r="BR618" t="str">
        <f>""</f>
        <v/>
      </c>
      <c r="BS618" t="str">
        <f>""</f>
        <v/>
      </c>
      <c r="BT618" t="str">
        <f>""</f>
        <v/>
      </c>
      <c r="BU618" t="str">
        <f>""</f>
        <v/>
      </c>
      <c r="BV618" t="str">
        <f>""</f>
        <v/>
      </c>
      <c r="BW618" t="str">
        <f>""</f>
        <v/>
      </c>
      <c r="BX618" t="str">
        <f>""</f>
        <v/>
      </c>
      <c r="BY618" t="str">
        <f>""</f>
        <v/>
      </c>
      <c r="BZ618" t="str">
        <f>""</f>
        <v/>
      </c>
      <c r="CA618" t="str">
        <f>""</f>
        <v/>
      </c>
      <c r="CB618" t="str">
        <f>""</f>
        <v/>
      </c>
      <c r="CC618" t="str">
        <f>""</f>
        <v/>
      </c>
      <c r="CD618" t="str">
        <f>""</f>
        <v/>
      </c>
      <c r="CE618" t="str">
        <f>""</f>
        <v/>
      </c>
      <c r="CF618" t="str">
        <f>""</f>
        <v/>
      </c>
      <c r="CG618" t="str">
        <f>""</f>
        <v/>
      </c>
      <c r="CH618" t="str">
        <f>""</f>
        <v/>
      </c>
      <c r="CI618" t="str">
        <f>""</f>
        <v/>
      </c>
      <c r="CJ618" t="str">
        <f>""</f>
        <v/>
      </c>
      <c r="CK618" t="str">
        <f>""</f>
        <v/>
      </c>
      <c r="CL618" t="str">
        <f>""</f>
        <v/>
      </c>
      <c r="CM618" t="str">
        <f>""</f>
        <v/>
      </c>
      <c r="CN618" t="str">
        <f>""</f>
        <v/>
      </c>
      <c r="CO618" t="str">
        <f>""</f>
        <v/>
      </c>
      <c r="CP618" t="str">
        <f>""</f>
        <v/>
      </c>
      <c r="CQ618" t="str">
        <f>""</f>
        <v/>
      </c>
      <c r="CR618" t="str">
        <f>""</f>
        <v/>
      </c>
      <c r="CS618" t="str">
        <f>""</f>
        <v/>
      </c>
      <c r="CT618" t="str">
        <f>""</f>
        <v/>
      </c>
      <c r="CU618" t="str">
        <f>""</f>
        <v/>
      </c>
      <c r="CV618" t="str">
        <f>""</f>
        <v/>
      </c>
      <c r="CW618" t="str">
        <f>""</f>
        <v/>
      </c>
      <c r="CX618" t="str">
        <f>""</f>
        <v/>
      </c>
      <c r="CY618" t="str">
        <f>""</f>
        <v/>
      </c>
      <c r="CZ618" t="str">
        <f>""</f>
        <v/>
      </c>
      <c r="DA618" t="str">
        <f>""</f>
        <v/>
      </c>
      <c r="DB618" t="str">
        <f>""</f>
        <v/>
      </c>
      <c r="DC618" t="str">
        <f>""</f>
        <v/>
      </c>
      <c r="DD618" t="str">
        <f>""</f>
        <v/>
      </c>
      <c r="DE618" t="str">
        <f>""</f>
        <v/>
      </c>
      <c r="DF618" t="str">
        <f>""</f>
        <v/>
      </c>
      <c r="DG618" t="str">
        <f>""</f>
        <v/>
      </c>
      <c r="DH618" t="str">
        <f>""</f>
        <v/>
      </c>
      <c r="DI618" t="str">
        <f>""</f>
        <v/>
      </c>
      <c r="DJ618" t="str">
        <f>""</f>
        <v/>
      </c>
      <c r="DK618" t="str">
        <f>""</f>
        <v/>
      </c>
      <c r="DL618" t="str">
        <f>""</f>
        <v/>
      </c>
      <c r="DM618" t="str">
        <f>""</f>
        <v/>
      </c>
      <c r="DN618" t="str">
        <f>""</f>
        <v/>
      </c>
      <c r="DO618" t="str">
        <f>""</f>
        <v/>
      </c>
      <c r="DP618" t="str">
        <f>""</f>
        <v/>
      </c>
      <c r="DQ618" t="str">
        <f>""</f>
        <v/>
      </c>
      <c r="DR618" t="str">
        <f>""</f>
        <v/>
      </c>
      <c r="DS618" t="str">
        <f>""</f>
        <v/>
      </c>
      <c r="DT618" t="str">
        <f>""</f>
        <v/>
      </c>
      <c r="DU618" t="str">
        <f>""</f>
        <v/>
      </c>
    </row>
    <row r="619" spans="1:125">
      <c r="A619" t="str">
        <f>$A$168</f>
        <v xml:space="preserve">    Federal Realty Investment Trus</v>
      </c>
      <c r="B619" t="str">
        <f>$B$168</f>
        <v>FRT US Equity</v>
      </c>
      <c r="C619" t="str">
        <f>$C$168</f>
        <v>RR551</v>
      </c>
      <c r="D619" t="str">
        <f>$D$168</f>
        <v>NOI_GROWTH</v>
      </c>
      <c r="E619" t="str">
        <f>$E$168</f>
        <v>动态</v>
      </c>
      <c r="F619" t="str">
        <f ca="1">BDH($B$168,$C$168,$B$417,$B$418,CONCATENATE("Per=",$B$415),"Dts=H","Dir=H",CONCATENATE("Points=",$B$416),"Sort=R","Days=A","Fill=B",CONCATENATE("FX=", $B$414) )</f>
        <v>#N/A Authorization</v>
      </c>
      <c r="BN619" t="str">
        <f>""</f>
        <v/>
      </c>
      <c r="BO619" t="str">
        <f>""</f>
        <v/>
      </c>
      <c r="BP619" t="str">
        <f>""</f>
        <v/>
      </c>
      <c r="BQ619" t="str">
        <f>""</f>
        <v/>
      </c>
      <c r="BR619" t="str">
        <f>""</f>
        <v/>
      </c>
      <c r="BS619" t="str">
        <f>""</f>
        <v/>
      </c>
      <c r="BT619" t="str">
        <f>""</f>
        <v/>
      </c>
      <c r="BU619" t="str">
        <f>""</f>
        <v/>
      </c>
      <c r="BV619" t="str">
        <f>""</f>
        <v/>
      </c>
      <c r="BW619" t="str">
        <f>""</f>
        <v/>
      </c>
      <c r="BX619" t="str">
        <f>""</f>
        <v/>
      </c>
      <c r="BY619" t="str">
        <f>""</f>
        <v/>
      </c>
      <c r="BZ619" t="str">
        <f>""</f>
        <v/>
      </c>
      <c r="CA619" t="str">
        <f>""</f>
        <v/>
      </c>
      <c r="CB619" t="str">
        <f>""</f>
        <v/>
      </c>
      <c r="CC619" t="str">
        <f>""</f>
        <v/>
      </c>
      <c r="CD619" t="str">
        <f>""</f>
        <v/>
      </c>
      <c r="CE619" t="str">
        <f>""</f>
        <v/>
      </c>
      <c r="CF619" t="str">
        <f>""</f>
        <v/>
      </c>
      <c r="CG619" t="str">
        <f>""</f>
        <v/>
      </c>
      <c r="CH619" t="str">
        <f>""</f>
        <v/>
      </c>
      <c r="CI619" t="str">
        <f>""</f>
        <v/>
      </c>
      <c r="CJ619" t="str">
        <f>""</f>
        <v/>
      </c>
      <c r="CK619" t="str">
        <f>""</f>
        <v/>
      </c>
      <c r="CL619" t="str">
        <f>""</f>
        <v/>
      </c>
      <c r="CM619" t="str">
        <f>""</f>
        <v/>
      </c>
      <c r="CN619" t="str">
        <f>""</f>
        <v/>
      </c>
      <c r="CO619" t="str">
        <f>""</f>
        <v/>
      </c>
      <c r="CP619" t="str">
        <f>""</f>
        <v/>
      </c>
      <c r="CQ619" t="str">
        <f>""</f>
        <v/>
      </c>
      <c r="CR619" t="str">
        <f>""</f>
        <v/>
      </c>
      <c r="CS619" t="str">
        <f>""</f>
        <v/>
      </c>
      <c r="CT619" t="str">
        <f>""</f>
        <v/>
      </c>
      <c r="CU619" t="str">
        <f>""</f>
        <v/>
      </c>
      <c r="CV619" t="str">
        <f>""</f>
        <v/>
      </c>
      <c r="CW619" t="str">
        <f>""</f>
        <v/>
      </c>
      <c r="CX619" t="str">
        <f>""</f>
        <v/>
      </c>
      <c r="CY619" t="str">
        <f>""</f>
        <v/>
      </c>
      <c r="CZ619" t="str">
        <f>""</f>
        <v/>
      </c>
      <c r="DA619" t="str">
        <f>""</f>
        <v/>
      </c>
      <c r="DB619" t="str">
        <f>""</f>
        <v/>
      </c>
      <c r="DC619" t="str">
        <f>""</f>
        <v/>
      </c>
      <c r="DD619" t="str">
        <f>""</f>
        <v/>
      </c>
      <c r="DE619" t="str">
        <f>""</f>
        <v/>
      </c>
      <c r="DF619" t="str">
        <f>""</f>
        <v/>
      </c>
      <c r="DG619" t="str">
        <f>""</f>
        <v/>
      </c>
      <c r="DH619" t="str">
        <f>""</f>
        <v/>
      </c>
      <c r="DI619" t="str">
        <f>""</f>
        <v/>
      </c>
      <c r="DJ619" t="str">
        <f>""</f>
        <v/>
      </c>
      <c r="DK619" t="str">
        <f>""</f>
        <v/>
      </c>
      <c r="DL619" t="str">
        <f>""</f>
        <v/>
      </c>
      <c r="DM619" t="str">
        <f>""</f>
        <v/>
      </c>
      <c r="DN619" t="str">
        <f>""</f>
        <v/>
      </c>
      <c r="DO619" t="str">
        <f>""</f>
        <v/>
      </c>
      <c r="DP619" t="str">
        <f>""</f>
        <v/>
      </c>
      <c r="DQ619" t="str">
        <f>""</f>
        <v/>
      </c>
      <c r="DR619" t="str">
        <f>""</f>
        <v/>
      </c>
      <c r="DS619" t="str">
        <f>""</f>
        <v/>
      </c>
      <c r="DT619" t="str">
        <f>""</f>
        <v/>
      </c>
      <c r="DU619" t="str">
        <f>""</f>
        <v/>
      </c>
    </row>
    <row r="620" spans="1:125">
      <c r="A620" t="str">
        <f>$A$169</f>
        <v xml:space="preserve">    Kimco Realty Corp</v>
      </c>
      <c r="B620" t="str">
        <f>$B$169</f>
        <v>KIM US Equity</v>
      </c>
      <c r="C620" t="str">
        <f>$C$169</f>
        <v>RR551</v>
      </c>
      <c r="D620" t="str">
        <f>$D$169</f>
        <v>NOI_GROWTH</v>
      </c>
      <c r="E620" t="str">
        <f>$E$169</f>
        <v>动态</v>
      </c>
      <c r="F620" t="str">
        <f ca="1">BDH($B$169,$C$169,$B$417,$B$418,CONCATENATE("Per=",$B$415),"Dts=H","Dir=H",CONCATENATE("Points=",$B$416),"Sort=R","Days=A","Fill=B",CONCATENATE("FX=", $B$414) )</f>
        <v>#N/A Authorization</v>
      </c>
      <c r="BN620" t="str">
        <f>""</f>
        <v/>
      </c>
      <c r="BO620" t="str">
        <f>""</f>
        <v/>
      </c>
      <c r="BP620" t="str">
        <f>""</f>
        <v/>
      </c>
      <c r="BQ620" t="str">
        <f>""</f>
        <v/>
      </c>
      <c r="BR620" t="str">
        <f>""</f>
        <v/>
      </c>
      <c r="BS620" t="str">
        <f>""</f>
        <v/>
      </c>
      <c r="BT620" t="str">
        <f>""</f>
        <v/>
      </c>
      <c r="BU620" t="str">
        <f>""</f>
        <v/>
      </c>
      <c r="BV620" t="str">
        <f>""</f>
        <v/>
      </c>
      <c r="BW620" t="str">
        <f>""</f>
        <v/>
      </c>
      <c r="BX620" t="str">
        <f>""</f>
        <v/>
      </c>
      <c r="BY620" t="str">
        <f>""</f>
        <v/>
      </c>
      <c r="BZ620" t="str">
        <f>""</f>
        <v/>
      </c>
      <c r="CA620" t="str">
        <f>""</f>
        <v/>
      </c>
      <c r="CB620" t="str">
        <f>""</f>
        <v/>
      </c>
      <c r="CC620" t="str">
        <f>""</f>
        <v/>
      </c>
      <c r="CD620" t="str">
        <f>""</f>
        <v/>
      </c>
      <c r="CE620" t="str">
        <f>""</f>
        <v/>
      </c>
      <c r="CF620" t="str">
        <f>""</f>
        <v/>
      </c>
      <c r="CG620" t="str">
        <f>""</f>
        <v/>
      </c>
      <c r="CH620" t="str">
        <f>""</f>
        <v/>
      </c>
      <c r="CI620" t="str">
        <f>""</f>
        <v/>
      </c>
      <c r="CJ620" t="str">
        <f>""</f>
        <v/>
      </c>
      <c r="CK620" t="str">
        <f>""</f>
        <v/>
      </c>
      <c r="CL620" t="str">
        <f>""</f>
        <v/>
      </c>
      <c r="CM620" t="str">
        <f>""</f>
        <v/>
      </c>
      <c r="CN620" t="str">
        <f>""</f>
        <v/>
      </c>
      <c r="CO620" t="str">
        <f>""</f>
        <v/>
      </c>
      <c r="CP620" t="str">
        <f>""</f>
        <v/>
      </c>
      <c r="CQ620" t="str">
        <f>""</f>
        <v/>
      </c>
      <c r="CR620" t="str">
        <f>""</f>
        <v/>
      </c>
      <c r="CS620" t="str">
        <f>""</f>
        <v/>
      </c>
      <c r="CT620" t="str">
        <f>""</f>
        <v/>
      </c>
      <c r="CU620" t="str">
        <f>""</f>
        <v/>
      </c>
      <c r="CV620" t="str">
        <f>""</f>
        <v/>
      </c>
      <c r="CW620" t="str">
        <f>""</f>
        <v/>
      </c>
      <c r="CX620" t="str">
        <f>""</f>
        <v/>
      </c>
      <c r="CY620" t="str">
        <f>""</f>
        <v/>
      </c>
      <c r="CZ620" t="str">
        <f>""</f>
        <v/>
      </c>
      <c r="DA620" t="str">
        <f>""</f>
        <v/>
      </c>
      <c r="DB620" t="str">
        <f>""</f>
        <v/>
      </c>
      <c r="DC620" t="str">
        <f>""</f>
        <v/>
      </c>
      <c r="DD620" t="str">
        <f>""</f>
        <v/>
      </c>
      <c r="DE620" t="str">
        <f>""</f>
        <v/>
      </c>
      <c r="DF620" t="str">
        <f>""</f>
        <v/>
      </c>
      <c r="DG620" t="str">
        <f>""</f>
        <v/>
      </c>
      <c r="DH620" t="str">
        <f>""</f>
        <v/>
      </c>
      <c r="DI620" t="str">
        <f>""</f>
        <v/>
      </c>
      <c r="DJ620" t="str">
        <f>""</f>
        <v/>
      </c>
      <c r="DK620" t="str">
        <f>""</f>
        <v/>
      </c>
      <c r="DL620" t="str">
        <f>""</f>
        <v/>
      </c>
      <c r="DM620" t="str">
        <f>""</f>
        <v/>
      </c>
      <c r="DN620" t="str">
        <f>""</f>
        <v/>
      </c>
      <c r="DO620" t="str">
        <f>""</f>
        <v/>
      </c>
      <c r="DP620" t="str">
        <f>""</f>
        <v/>
      </c>
      <c r="DQ620" t="str">
        <f>""</f>
        <v/>
      </c>
      <c r="DR620" t="str">
        <f>""</f>
        <v/>
      </c>
      <c r="DS620" t="str">
        <f>""</f>
        <v/>
      </c>
      <c r="DT620" t="str">
        <f>""</f>
        <v/>
      </c>
      <c r="DU620" t="str">
        <f>""</f>
        <v/>
      </c>
    </row>
    <row r="621" spans="1:125">
      <c r="A621" t="str">
        <f>$A$170</f>
        <v xml:space="preserve">    National Retail Properties Inc</v>
      </c>
      <c r="B621" t="str">
        <f>$B$170</f>
        <v>NNN US Equity</v>
      </c>
      <c r="C621" t="str">
        <f>$C$170</f>
        <v>RR551</v>
      </c>
      <c r="D621" t="str">
        <f>$D$170</f>
        <v>NOI_GROWTH</v>
      </c>
      <c r="E621" t="str">
        <f>$E$170</f>
        <v>动态</v>
      </c>
      <c r="F621" t="str">
        <f ca="1">BDH($B$170,$C$170,$B$417,$B$418,CONCATENATE("Per=",$B$415),"Dts=H","Dir=H",CONCATENATE("Points=",$B$416),"Sort=R","Days=A","Fill=B",CONCATENATE("FX=", $B$414) )</f>
        <v>#N/A Authorization</v>
      </c>
      <c r="BN621" t="str">
        <f>""</f>
        <v/>
      </c>
      <c r="BO621" t="str">
        <f>""</f>
        <v/>
      </c>
      <c r="BP621" t="str">
        <f>""</f>
        <v/>
      </c>
      <c r="BQ621" t="str">
        <f>""</f>
        <v/>
      </c>
      <c r="BR621" t="str">
        <f>""</f>
        <v/>
      </c>
      <c r="BS621" t="str">
        <f>""</f>
        <v/>
      </c>
      <c r="BT621" t="str">
        <f>""</f>
        <v/>
      </c>
      <c r="BU621" t="str">
        <f>""</f>
        <v/>
      </c>
      <c r="BV621" t="str">
        <f>""</f>
        <v/>
      </c>
      <c r="BW621" t="str">
        <f>""</f>
        <v/>
      </c>
      <c r="BX621" t="str">
        <f>""</f>
        <v/>
      </c>
      <c r="BY621" t="str">
        <f>""</f>
        <v/>
      </c>
      <c r="BZ621" t="str">
        <f>""</f>
        <v/>
      </c>
      <c r="CA621" t="str">
        <f>""</f>
        <v/>
      </c>
      <c r="CB621" t="str">
        <f>""</f>
        <v/>
      </c>
      <c r="CC621" t="str">
        <f>""</f>
        <v/>
      </c>
      <c r="CD621" t="str">
        <f>""</f>
        <v/>
      </c>
      <c r="CE621" t="str">
        <f>""</f>
        <v/>
      </c>
      <c r="CF621" t="str">
        <f>""</f>
        <v/>
      </c>
      <c r="CG621" t="str">
        <f>""</f>
        <v/>
      </c>
      <c r="CH621" t="str">
        <f>""</f>
        <v/>
      </c>
      <c r="CI621" t="str">
        <f>""</f>
        <v/>
      </c>
      <c r="CJ621" t="str">
        <f>""</f>
        <v/>
      </c>
      <c r="CK621" t="str">
        <f>""</f>
        <v/>
      </c>
      <c r="CL621" t="str">
        <f>""</f>
        <v/>
      </c>
      <c r="CM621" t="str">
        <f>""</f>
        <v/>
      </c>
      <c r="CN621" t="str">
        <f>""</f>
        <v/>
      </c>
      <c r="CO621" t="str">
        <f>""</f>
        <v/>
      </c>
      <c r="CP621" t="str">
        <f>""</f>
        <v/>
      </c>
      <c r="CQ621" t="str">
        <f>""</f>
        <v/>
      </c>
      <c r="CR621" t="str">
        <f>""</f>
        <v/>
      </c>
      <c r="CS621" t="str">
        <f>""</f>
        <v/>
      </c>
      <c r="CT621" t="str">
        <f>""</f>
        <v/>
      </c>
      <c r="CU621" t="str">
        <f>""</f>
        <v/>
      </c>
      <c r="CV621" t="str">
        <f>""</f>
        <v/>
      </c>
      <c r="CW621" t="str">
        <f>""</f>
        <v/>
      </c>
      <c r="CX621" t="str">
        <f>""</f>
        <v/>
      </c>
      <c r="CY621" t="str">
        <f>""</f>
        <v/>
      </c>
      <c r="CZ621" t="str">
        <f>""</f>
        <v/>
      </c>
      <c r="DA621" t="str">
        <f>""</f>
        <v/>
      </c>
      <c r="DB621" t="str">
        <f>""</f>
        <v/>
      </c>
      <c r="DC621" t="str">
        <f>""</f>
        <v/>
      </c>
      <c r="DD621" t="str">
        <f>""</f>
        <v/>
      </c>
      <c r="DE621" t="str">
        <f>""</f>
        <v/>
      </c>
      <c r="DF621" t="str">
        <f>""</f>
        <v/>
      </c>
      <c r="DG621" t="str">
        <f>""</f>
        <v/>
      </c>
      <c r="DH621" t="str">
        <f>""</f>
        <v/>
      </c>
      <c r="DI621" t="str">
        <f>""</f>
        <v/>
      </c>
      <c r="DJ621" t="str">
        <f>""</f>
        <v/>
      </c>
      <c r="DK621" t="str">
        <f>""</f>
        <v/>
      </c>
      <c r="DL621" t="str">
        <f>""</f>
        <v/>
      </c>
      <c r="DM621" t="str">
        <f>""</f>
        <v/>
      </c>
      <c r="DN621" t="str">
        <f>""</f>
        <v/>
      </c>
      <c r="DO621" t="str">
        <f>""</f>
        <v/>
      </c>
      <c r="DP621" t="str">
        <f>""</f>
        <v/>
      </c>
      <c r="DQ621" t="str">
        <f>""</f>
        <v/>
      </c>
      <c r="DR621" t="str">
        <f>""</f>
        <v/>
      </c>
      <c r="DS621" t="str">
        <f>""</f>
        <v/>
      </c>
      <c r="DT621" t="str">
        <f>""</f>
        <v/>
      </c>
      <c r="DU621" t="str">
        <f>""</f>
        <v/>
      </c>
    </row>
    <row r="622" spans="1:125">
      <c r="A622" t="str">
        <f>$A$171</f>
        <v xml:space="preserve">    Realty Income Corp</v>
      </c>
      <c r="B622" t="str">
        <f>$B$171</f>
        <v>O US Equity</v>
      </c>
      <c r="C622" t="str">
        <f>$C$171</f>
        <v>RR551</v>
      </c>
      <c r="D622" t="str">
        <f>$D$171</f>
        <v>NOI_GROWTH</v>
      </c>
      <c r="E622" t="str">
        <f>$E$171</f>
        <v>动态</v>
      </c>
      <c r="F622" t="str">
        <f ca="1">BDH($B$171,$C$171,$B$417,$B$418,CONCATENATE("Per=",$B$415),"Dts=H","Dir=H",CONCATENATE("Points=",$B$416),"Sort=R","Days=A","Fill=B",CONCATENATE("FX=", $B$414) )</f>
        <v>#N/A Authorization</v>
      </c>
      <c r="BN622" t="str">
        <f>""</f>
        <v/>
      </c>
      <c r="BO622" t="str">
        <f>""</f>
        <v/>
      </c>
      <c r="BP622" t="str">
        <f>""</f>
        <v/>
      </c>
      <c r="BQ622" t="str">
        <f>""</f>
        <v/>
      </c>
      <c r="BR622" t="str">
        <f>""</f>
        <v/>
      </c>
      <c r="BS622" t="str">
        <f>""</f>
        <v/>
      </c>
      <c r="BT622" t="str">
        <f>""</f>
        <v/>
      </c>
      <c r="BU622" t="str">
        <f>""</f>
        <v/>
      </c>
      <c r="BV622" t="str">
        <f>""</f>
        <v/>
      </c>
      <c r="BW622" t="str">
        <f>""</f>
        <v/>
      </c>
      <c r="BX622" t="str">
        <f>""</f>
        <v/>
      </c>
      <c r="BY622" t="str">
        <f>""</f>
        <v/>
      </c>
      <c r="BZ622" t="str">
        <f>""</f>
        <v/>
      </c>
      <c r="CA622" t="str">
        <f>""</f>
        <v/>
      </c>
      <c r="CB622" t="str">
        <f>""</f>
        <v/>
      </c>
      <c r="CC622" t="str">
        <f>""</f>
        <v/>
      </c>
      <c r="CD622" t="str">
        <f>""</f>
        <v/>
      </c>
      <c r="CE622" t="str">
        <f>""</f>
        <v/>
      </c>
      <c r="CF622" t="str">
        <f>""</f>
        <v/>
      </c>
      <c r="CG622" t="str">
        <f>""</f>
        <v/>
      </c>
      <c r="CH622" t="str">
        <f>""</f>
        <v/>
      </c>
      <c r="CI622" t="str">
        <f>""</f>
        <v/>
      </c>
      <c r="CJ622" t="str">
        <f>""</f>
        <v/>
      </c>
      <c r="CK622" t="str">
        <f>""</f>
        <v/>
      </c>
      <c r="CL622" t="str">
        <f>""</f>
        <v/>
      </c>
      <c r="CM622" t="str">
        <f>""</f>
        <v/>
      </c>
      <c r="CN622" t="str">
        <f>""</f>
        <v/>
      </c>
      <c r="CO622" t="str">
        <f>""</f>
        <v/>
      </c>
      <c r="CP622" t="str">
        <f>""</f>
        <v/>
      </c>
      <c r="CQ622" t="str">
        <f>""</f>
        <v/>
      </c>
      <c r="CR622" t="str">
        <f>""</f>
        <v/>
      </c>
      <c r="CS622" t="str">
        <f>""</f>
        <v/>
      </c>
      <c r="CT622" t="str">
        <f>""</f>
        <v/>
      </c>
      <c r="CU622" t="str">
        <f>""</f>
        <v/>
      </c>
      <c r="CV622" t="str">
        <f>""</f>
        <v/>
      </c>
      <c r="CW622" t="str">
        <f>""</f>
        <v/>
      </c>
      <c r="CX622" t="str">
        <f>""</f>
        <v/>
      </c>
      <c r="CY622" t="str">
        <f>""</f>
        <v/>
      </c>
      <c r="CZ622" t="str">
        <f>""</f>
        <v/>
      </c>
      <c r="DA622" t="str">
        <f>""</f>
        <v/>
      </c>
      <c r="DB622" t="str">
        <f>""</f>
        <v/>
      </c>
      <c r="DC622" t="str">
        <f>""</f>
        <v/>
      </c>
      <c r="DD622" t="str">
        <f>""</f>
        <v/>
      </c>
      <c r="DE622" t="str">
        <f>""</f>
        <v/>
      </c>
      <c r="DF622" t="str">
        <f>""</f>
        <v/>
      </c>
      <c r="DG622" t="str">
        <f>""</f>
        <v/>
      </c>
      <c r="DH622" t="str">
        <f>""</f>
        <v/>
      </c>
      <c r="DI622" t="str">
        <f>""</f>
        <v/>
      </c>
      <c r="DJ622" t="str">
        <f>""</f>
        <v/>
      </c>
      <c r="DK622" t="str">
        <f>""</f>
        <v/>
      </c>
      <c r="DL622" t="str">
        <f>""</f>
        <v/>
      </c>
      <c r="DM622" t="str">
        <f>""</f>
        <v/>
      </c>
      <c r="DN622" t="str">
        <f>""</f>
        <v/>
      </c>
      <c r="DO622" t="str">
        <f>""</f>
        <v/>
      </c>
      <c r="DP622" t="str">
        <f>""</f>
        <v/>
      </c>
      <c r="DQ622" t="str">
        <f>""</f>
        <v/>
      </c>
      <c r="DR622" t="str">
        <f>""</f>
        <v/>
      </c>
      <c r="DS622" t="str">
        <f>""</f>
        <v/>
      </c>
      <c r="DT622" t="str">
        <f>""</f>
        <v/>
      </c>
      <c r="DU622" t="str">
        <f>""</f>
        <v/>
      </c>
    </row>
    <row r="623" spans="1:125">
      <c r="A623" t="str">
        <f>$A$172</f>
        <v xml:space="preserve">    Regency Centers Corp</v>
      </c>
      <c r="B623" t="str">
        <f>$B$172</f>
        <v>REG US Equity</v>
      </c>
      <c r="C623" t="str">
        <f>$C$172</f>
        <v>RR551</v>
      </c>
      <c r="D623" t="str">
        <f>$D$172</f>
        <v>NOI_GROWTH</v>
      </c>
      <c r="E623" t="str">
        <f>$E$172</f>
        <v>动态</v>
      </c>
      <c r="F623" t="str">
        <f ca="1">BDH($B$172,$C$172,$B$417,$B$418,CONCATENATE("Per=",$B$415),"Dts=H","Dir=H",CONCATENATE("Points=",$B$416),"Sort=R","Days=A","Fill=B",CONCATENATE("FX=", $B$414) )</f>
        <v>#N/A Authorization</v>
      </c>
      <c r="BN623" t="str">
        <f>""</f>
        <v/>
      </c>
      <c r="BO623" t="str">
        <f>""</f>
        <v/>
      </c>
      <c r="BP623" t="str">
        <f>""</f>
        <v/>
      </c>
      <c r="BQ623" t="str">
        <f>""</f>
        <v/>
      </c>
      <c r="BR623" t="str">
        <f>""</f>
        <v/>
      </c>
      <c r="BS623" t="str">
        <f>""</f>
        <v/>
      </c>
      <c r="BT623" t="str">
        <f>""</f>
        <v/>
      </c>
      <c r="BU623" t="str">
        <f>""</f>
        <v/>
      </c>
      <c r="BV623" t="str">
        <f>""</f>
        <v/>
      </c>
      <c r="BW623" t="str">
        <f>""</f>
        <v/>
      </c>
      <c r="BX623" t="str">
        <f>""</f>
        <v/>
      </c>
      <c r="BY623" t="str">
        <f>""</f>
        <v/>
      </c>
      <c r="BZ623" t="str">
        <f>""</f>
        <v/>
      </c>
      <c r="CA623" t="str">
        <f>""</f>
        <v/>
      </c>
      <c r="CB623" t="str">
        <f>""</f>
        <v/>
      </c>
      <c r="CC623" t="str">
        <f>""</f>
        <v/>
      </c>
      <c r="CD623" t="str">
        <f>""</f>
        <v/>
      </c>
      <c r="CE623" t="str">
        <f>""</f>
        <v/>
      </c>
      <c r="CF623" t="str">
        <f>""</f>
        <v/>
      </c>
      <c r="CG623" t="str">
        <f>""</f>
        <v/>
      </c>
      <c r="CH623" t="str">
        <f>""</f>
        <v/>
      </c>
      <c r="CI623" t="str">
        <f>""</f>
        <v/>
      </c>
      <c r="CJ623" t="str">
        <f>""</f>
        <v/>
      </c>
      <c r="CK623" t="str">
        <f>""</f>
        <v/>
      </c>
      <c r="CL623" t="str">
        <f>""</f>
        <v/>
      </c>
      <c r="CM623" t="str">
        <f>""</f>
        <v/>
      </c>
      <c r="CN623" t="str">
        <f>""</f>
        <v/>
      </c>
      <c r="CO623" t="str">
        <f>""</f>
        <v/>
      </c>
      <c r="CP623" t="str">
        <f>""</f>
        <v/>
      </c>
      <c r="CQ623" t="str">
        <f>""</f>
        <v/>
      </c>
      <c r="CR623" t="str">
        <f>""</f>
        <v/>
      </c>
      <c r="CS623" t="str">
        <f>""</f>
        <v/>
      </c>
      <c r="CT623" t="str">
        <f>""</f>
        <v/>
      </c>
      <c r="CU623" t="str">
        <f>""</f>
        <v/>
      </c>
      <c r="CV623" t="str">
        <f>""</f>
        <v/>
      </c>
      <c r="CW623" t="str">
        <f>""</f>
        <v/>
      </c>
      <c r="CX623" t="str">
        <f>""</f>
        <v/>
      </c>
      <c r="CY623" t="str">
        <f>""</f>
        <v/>
      </c>
      <c r="CZ623" t="str">
        <f>""</f>
        <v/>
      </c>
      <c r="DA623" t="str">
        <f>""</f>
        <v/>
      </c>
      <c r="DB623" t="str">
        <f>""</f>
        <v/>
      </c>
      <c r="DC623" t="str">
        <f>""</f>
        <v/>
      </c>
      <c r="DD623" t="str">
        <f>""</f>
        <v/>
      </c>
      <c r="DE623" t="str">
        <f>""</f>
        <v/>
      </c>
      <c r="DF623" t="str">
        <f>""</f>
        <v/>
      </c>
      <c r="DG623" t="str">
        <f>""</f>
        <v/>
      </c>
      <c r="DH623" t="str">
        <f>""</f>
        <v/>
      </c>
      <c r="DI623" t="str">
        <f>""</f>
        <v/>
      </c>
      <c r="DJ623" t="str">
        <f>""</f>
        <v/>
      </c>
      <c r="DK623" t="str">
        <f>""</f>
        <v/>
      </c>
      <c r="DL623" t="str">
        <f>""</f>
        <v/>
      </c>
      <c r="DM623" t="str">
        <f>""</f>
        <v/>
      </c>
      <c r="DN623" t="str">
        <f>""</f>
        <v/>
      </c>
      <c r="DO623" t="str">
        <f>""</f>
        <v/>
      </c>
      <c r="DP623" t="str">
        <f>""</f>
        <v/>
      </c>
      <c r="DQ623" t="str">
        <f>""</f>
        <v/>
      </c>
      <c r="DR623" t="str">
        <f>""</f>
        <v/>
      </c>
      <c r="DS623" t="str">
        <f>""</f>
        <v/>
      </c>
      <c r="DT623" t="str">
        <f>""</f>
        <v/>
      </c>
      <c r="DU623" t="str">
        <f>""</f>
        <v/>
      </c>
    </row>
    <row r="624" spans="1:125">
      <c r="A624" t="str">
        <f>$A$173</f>
        <v xml:space="preserve">    Retail Opportunity Investments</v>
      </c>
      <c r="B624" t="str">
        <f>$B$173</f>
        <v>ROIC US Equity</v>
      </c>
      <c r="C624" t="str">
        <f>$C$173</f>
        <v>RR551</v>
      </c>
      <c r="D624" t="str">
        <f>$D$173</f>
        <v>NOI_GROWTH</v>
      </c>
      <c r="E624" t="str">
        <f>$E$173</f>
        <v>动态</v>
      </c>
      <c r="F624" t="str">
        <f ca="1">BDH($B$173,$C$173,$B$417,$B$418,CONCATENATE("Per=",$B$415),"Dts=H","Dir=H",CONCATENATE("Points=",$B$416),"Sort=R","Days=A","Fill=B",CONCATENATE("FX=", $B$414) )</f>
        <v>#N/A Authorization</v>
      </c>
      <c r="BN624" t="str">
        <f>""</f>
        <v/>
      </c>
      <c r="BO624" t="str">
        <f>""</f>
        <v/>
      </c>
      <c r="BP624" t="str">
        <f>""</f>
        <v/>
      </c>
      <c r="BQ624" t="str">
        <f>""</f>
        <v/>
      </c>
      <c r="BR624" t="str">
        <f>""</f>
        <v/>
      </c>
      <c r="BS624" t="str">
        <f>""</f>
        <v/>
      </c>
      <c r="BT624" t="str">
        <f>""</f>
        <v/>
      </c>
      <c r="BU624" t="str">
        <f>""</f>
        <v/>
      </c>
      <c r="BV624" t="str">
        <f>""</f>
        <v/>
      </c>
      <c r="BW624" t="str">
        <f>""</f>
        <v/>
      </c>
      <c r="BX624" t="str">
        <f>""</f>
        <v/>
      </c>
      <c r="BY624" t="str">
        <f>""</f>
        <v/>
      </c>
      <c r="BZ624" t="str">
        <f>""</f>
        <v/>
      </c>
      <c r="CA624" t="str">
        <f>""</f>
        <v/>
      </c>
      <c r="CB624" t="str">
        <f>""</f>
        <v/>
      </c>
      <c r="CC624" t="str">
        <f>""</f>
        <v/>
      </c>
      <c r="CD624" t="str">
        <f>""</f>
        <v/>
      </c>
      <c r="CE624" t="str">
        <f>""</f>
        <v/>
      </c>
      <c r="CF624" t="str">
        <f>""</f>
        <v/>
      </c>
      <c r="CG624" t="str">
        <f>""</f>
        <v/>
      </c>
      <c r="CH624" t="str">
        <f>""</f>
        <v/>
      </c>
      <c r="CI624" t="str">
        <f>""</f>
        <v/>
      </c>
      <c r="CJ624" t="str">
        <f>""</f>
        <v/>
      </c>
      <c r="CK624" t="str">
        <f>""</f>
        <v/>
      </c>
      <c r="CL624" t="str">
        <f>""</f>
        <v/>
      </c>
      <c r="CM624" t="str">
        <f>""</f>
        <v/>
      </c>
      <c r="CN624" t="str">
        <f>""</f>
        <v/>
      </c>
      <c r="CO624" t="str">
        <f>""</f>
        <v/>
      </c>
      <c r="CP624" t="str">
        <f>""</f>
        <v/>
      </c>
      <c r="CQ624" t="str">
        <f>""</f>
        <v/>
      </c>
      <c r="CR624" t="str">
        <f>""</f>
        <v/>
      </c>
      <c r="CS624" t="str">
        <f>""</f>
        <v/>
      </c>
      <c r="CT624" t="str">
        <f>""</f>
        <v/>
      </c>
      <c r="CU624" t="str">
        <f>""</f>
        <v/>
      </c>
      <c r="CV624" t="str">
        <f>""</f>
        <v/>
      </c>
      <c r="CW624" t="str">
        <f>""</f>
        <v/>
      </c>
      <c r="CX624" t="str">
        <f>""</f>
        <v/>
      </c>
      <c r="CY624" t="str">
        <f>""</f>
        <v/>
      </c>
      <c r="CZ624" t="str">
        <f>""</f>
        <v/>
      </c>
      <c r="DA624" t="str">
        <f>""</f>
        <v/>
      </c>
      <c r="DB624" t="str">
        <f>""</f>
        <v/>
      </c>
      <c r="DC624" t="str">
        <f>""</f>
        <v/>
      </c>
      <c r="DD624" t="str">
        <f>""</f>
        <v/>
      </c>
      <c r="DE624" t="str">
        <f>""</f>
        <v/>
      </c>
      <c r="DF624" t="str">
        <f>""</f>
        <v/>
      </c>
      <c r="DG624" t="str">
        <f>""</f>
        <v/>
      </c>
      <c r="DH624" t="str">
        <f>""</f>
        <v/>
      </c>
      <c r="DI624" t="str">
        <f>""</f>
        <v/>
      </c>
      <c r="DJ624" t="str">
        <f>""</f>
        <v/>
      </c>
      <c r="DK624" t="str">
        <f>""</f>
        <v/>
      </c>
      <c r="DL624" t="str">
        <f>""</f>
        <v/>
      </c>
      <c r="DM624" t="str">
        <f>""</f>
        <v/>
      </c>
      <c r="DN624" t="str">
        <f>""</f>
        <v/>
      </c>
      <c r="DO624" t="str">
        <f>""</f>
        <v/>
      </c>
      <c r="DP624" t="str">
        <f>""</f>
        <v/>
      </c>
      <c r="DQ624" t="str">
        <f>""</f>
        <v/>
      </c>
      <c r="DR624" t="str">
        <f>""</f>
        <v/>
      </c>
      <c r="DS624" t="str">
        <f>""</f>
        <v/>
      </c>
      <c r="DT624" t="str">
        <f>""</f>
        <v/>
      </c>
      <c r="DU624" t="str">
        <f>""</f>
        <v/>
      </c>
    </row>
    <row r="625" spans="1:125">
      <c r="A625" t="str">
        <f>$A$174</f>
        <v xml:space="preserve">    Retail Properties of America I</v>
      </c>
      <c r="B625" t="str">
        <f>$B$174</f>
        <v>RPAI US Equity</v>
      </c>
      <c r="C625" t="str">
        <f>$C$174</f>
        <v>RR551</v>
      </c>
      <c r="D625" t="str">
        <f>$D$174</f>
        <v>NOI_GROWTH</v>
      </c>
      <c r="E625" t="str">
        <f>$E$174</f>
        <v>动态</v>
      </c>
      <c r="F625" t="str">
        <f ca="1">BDH($B$174,$C$174,$B$417,$B$418,CONCATENATE("Per=",$B$415),"Dts=H","Dir=H",CONCATENATE("Points=",$B$416),"Sort=R","Days=A","Fill=B",CONCATENATE("FX=", $B$414) )</f>
        <v>#N/A Authorization</v>
      </c>
      <c r="BN625" t="str">
        <f>""</f>
        <v/>
      </c>
      <c r="BO625" t="str">
        <f>""</f>
        <v/>
      </c>
      <c r="BP625" t="str">
        <f>""</f>
        <v/>
      </c>
      <c r="BQ625" t="str">
        <f>""</f>
        <v/>
      </c>
      <c r="BR625" t="str">
        <f>""</f>
        <v/>
      </c>
      <c r="BS625" t="str">
        <f>""</f>
        <v/>
      </c>
      <c r="BT625" t="str">
        <f>""</f>
        <v/>
      </c>
      <c r="BU625" t="str">
        <f>""</f>
        <v/>
      </c>
      <c r="BV625" t="str">
        <f>""</f>
        <v/>
      </c>
      <c r="BW625" t="str">
        <f>""</f>
        <v/>
      </c>
      <c r="BX625" t="str">
        <f>""</f>
        <v/>
      </c>
      <c r="BY625" t="str">
        <f>""</f>
        <v/>
      </c>
      <c r="BZ625" t="str">
        <f>""</f>
        <v/>
      </c>
      <c r="CA625" t="str">
        <f>""</f>
        <v/>
      </c>
      <c r="CB625" t="str">
        <f>""</f>
        <v/>
      </c>
      <c r="CC625" t="str">
        <f>""</f>
        <v/>
      </c>
      <c r="CD625" t="str">
        <f>""</f>
        <v/>
      </c>
      <c r="CE625" t="str">
        <f>""</f>
        <v/>
      </c>
      <c r="CF625" t="str">
        <f>""</f>
        <v/>
      </c>
      <c r="CG625" t="str">
        <f>""</f>
        <v/>
      </c>
      <c r="CH625" t="str">
        <f>""</f>
        <v/>
      </c>
      <c r="CI625" t="str">
        <f>""</f>
        <v/>
      </c>
      <c r="CJ625" t="str">
        <f>""</f>
        <v/>
      </c>
      <c r="CK625" t="str">
        <f>""</f>
        <v/>
      </c>
      <c r="CL625" t="str">
        <f>""</f>
        <v/>
      </c>
      <c r="CM625" t="str">
        <f>""</f>
        <v/>
      </c>
      <c r="CN625" t="str">
        <f>""</f>
        <v/>
      </c>
      <c r="CO625" t="str">
        <f>""</f>
        <v/>
      </c>
      <c r="CP625" t="str">
        <f>""</f>
        <v/>
      </c>
      <c r="CQ625" t="str">
        <f>""</f>
        <v/>
      </c>
      <c r="CR625" t="str">
        <f>""</f>
        <v/>
      </c>
      <c r="CS625" t="str">
        <f>""</f>
        <v/>
      </c>
      <c r="CT625" t="str">
        <f>""</f>
        <v/>
      </c>
      <c r="CU625" t="str">
        <f>""</f>
        <v/>
      </c>
      <c r="CV625" t="str">
        <f>""</f>
        <v/>
      </c>
      <c r="CW625" t="str">
        <f>""</f>
        <v/>
      </c>
      <c r="CX625" t="str">
        <f>""</f>
        <v/>
      </c>
      <c r="CY625" t="str">
        <f>""</f>
        <v/>
      </c>
      <c r="CZ625" t="str">
        <f>""</f>
        <v/>
      </c>
      <c r="DA625" t="str">
        <f>""</f>
        <v/>
      </c>
      <c r="DB625" t="str">
        <f>""</f>
        <v/>
      </c>
      <c r="DC625" t="str">
        <f>""</f>
        <v/>
      </c>
      <c r="DD625" t="str">
        <f>""</f>
        <v/>
      </c>
      <c r="DE625" t="str">
        <f>""</f>
        <v/>
      </c>
      <c r="DF625" t="str">
        <f>""</f>
        <v/>
      </c>
      <c r="DG625" t="str">
        <f>""</f>
        <v/>
      </c>
      <c r="DH625" t="str">
        <f>""</f>
        <v/>
      </c>
      <c r="DI625" t="str">
        <f>""</f>
        <v/>
      </c>
      <c r="DJ625" t="str">
        <f>""</f>
        <v/>
      </c>
      <c r="DK625" t="str">
        <f>""</f>
        <v/>
      </c>
      <c r="DL625" t="str">
        <f>""</f>
        <v/>
      </c>
      <c r="DM625" t="str">
        <f>""</f>
        <v/>
      </c>
      <c r="DN625" t="str">
        <f>""</f>
        <v/>
      </c>
      <c r="DO625" t="str">
        <f>""</f>
        <v/>
      </c>
      <c r="DP625" t="str">
        <f>""</f>
        <v/>
      </c>
      <c r="DQ625" t="str">
        <f>""</f>
        <v/>
      </c>
      <c r="DR625" t="str">
        <f>""</f>
        <v/>
      </c>
      <c r="DS625" t="str">
        <f>""</f>
        <v/>
      </c>
      <c r="DT625" t="str">
        <f>""</f>
        <v/>
      </c>
      <c r="DU625" t="str">
        <f>""</f>
        <v/>
      </c>
    </row>
    <row r="626" spans="1:125">
      <c r="A626" t="str">
        <f>$A$175</f>
        <v xml:space="preserve">    Simon Property Group Inc</v>
      </c>
      <c r="B626" t="str">
        <f>$B$175</f>
        <v>SPG US Equity</v>
      </c>
      <c r="C626" t="str">
        <f>$C$175</f>
        <v>RR551</v>
      </c>
      <c r="D626" t="str">
        <f>$D$175</f>
        <v>NOI_GROWTH</v>
      </c>
      <c r="E626" t="str">
        <f>$E$175</f>
        <v>动态</v>
      </c>
      <c r="F626" t="str">
        <f ca="1">BDH($B$175,$C$175,$B$417,$B$418,CONCATENATE("Per=",$B$415),"Dts=H","Dir=H",CONCATENATE("Points=",$B$416),"Sort=R","Days=A","Fill=B",CONCATENATE("FX=", $B$414) )</f>
        <v>#N/A Authorization</v>
      </c>
      <c r="BN626" t="str">
        <f>""</f>
        <v/>
      </c>
      <c r="BO626" t="str">
        <f>""</f>
        <v/>
      </c>
      <c r="BP626" t="str">
        <f>""</f>
        <v/>
      </c>
      <c r="BQ626" t="str">
        <f>""</f>
        <v/>
      </c>
      <c r="BR626" t="str">
        <f>""</f>
        <v/>
      </c>
      <c r="BS626" t="str">
        <f>""</f>
        <v/>
      </c>
      <c r="BT626" t="str">
        <f>""</f>
        <v/>
      </c>
      <c r="BU626" t="str">
        <f>""</f>
        <v/>
      </c>
      <c r="BV626" t="str">
        <f>""</f>
        <v/>
      </c>
      <c r="BW626" t="str">
        <f>""</f>
        <v/>
      </c>
      <c r="BX626" t="str">
        <f>""</f>
        <v/>
      </c>
      <c r="BY626" t="str">
        <f>""</f>
        <v/>
      </c>
      <c r="BZ626" t="str">
        <f>""</f>
        <v/>
      </c>
      <c r="CA626" t="str">
        <f>""</f>
        <v/>
      </c>
      <c r="CB626" t="str">
        <f>""</f>
        <v/>
      </c>
      <c r="CC626" t="str">
        <f>""</f>
        <v/>
      </c>
      <c r="CD626" t="str">
        <f>""</f>
        <v/>
      </c>
      <c r="CE626" t="str">
        <f>""</f>
        <v/>
      </c>
      <c r="CF626" t="str">
        <f>""</f>
        <v/>
      </c>
      <c r="CG626" t="str">
        <f>""</f>
        <v/>
      </c>
      <c r="CH626" t="str">
        <f>""</f>
        <v/>
      </c>
      <c r="CI626" t="str">
        <f>""</f>
        <v/>
      </c>
      <c r="CJ626" t="str">
        <f>""</f>
        <v/>
      </c>
      <c r="CK626" t="str">
        <f>""</f>
        <v/>
      </c>
      <c r="CL626" t="str">
        <f>""</f>
        <v/>
      </c>
      <c r="CM626" t="str">
        <f>""</f>
        <v/>
      </c>
      <c r="CN626" t="str">
        <f>""</f>
        <v/>
      </c>
      <c r="CO626" t="str">
        <f>""</f>
        <v/>
      </c>
      <c r="CP626" t="str">
        <f>""</f>
        <v/>
      </c>
      <c r="CQ626" t="str">
        <f>""</f>
        <v/>
      </c>
      <c r="CR626" t="str">
        <f>""</f>
        <v/>
      </c>
      <c r="CS626" t="str">
        <f>""</f>
        <v/>
      </c>
      <c r="CT626" t="str">
        <f>""</f>
        <v/>
      </c>
      <c r="CU626" t="str">
        <f>""</f>
        <v/>
      </c>
      <c r="CV626" t="str">
        <f>""</f>
        <v/>
      </c>
      <c r="CW626" t="str">
        <f>""</f>
        <v/>
      </c>
      <c r="CX626" t="str">
        <f>""</f>
        <v/>
      </c>
      <c r="CY626" t="str">
        <f>""</f>
        <v/>
      </c>
      <c r="CZ626" t="str">
        <f>""</f>
        <v/>
      </c>
      <c r="DA626" t="str">
        <f>""</f>
        <v/>
      </c>
      <c r="DB626" t="str">
        <f>""</f>
        <v/>
      </c>
      <c r="DC626" t="str">
        <f>""</f>
        <v/>
      </c>
      <c r="DD626" t="str">
        <f>""</f>
        <v/>
      </c>
      <c r="DE626" t="str">
        <f>""</f>
        <v/>
      </c>
      <c r="DF626" t="str">
        <f>""</f>
        <v/>
      </c>
      <c r="DG626" t="str">
        <f>""</f>
        <v/>
      </c>
      <c r="DH626" t="str">
        <f>""</f>
        <v/>
      </c>
      <c r="DI626" t="str">
        <f>""</f>
        <v/>
      </c>
      <c r="DJ626" t="str">
        <f>""</f>
        <v/>
      </c>
      <c r="DK626" t="str">
        <f>""</f>
        <v/>
      </c>
      <c r="DL626" t="str">
        <f>""</f>
        <v/>
      </c>
      <c r="DM626" t="str">
        <f>""</f>
        <v/>
      </c>
      <c r="DN626" t="str">
        <f>""</f>
        <v/>
      </c>
      <c r="DO626" t="str">
        <f>""</f>
        <v/>
      </c>
      <c r="DP626" t="str">
        <f>""</f>
        <v/>
      </c>
      <c r="DQ626" t="str">
        <f>""</f>
        <v/>
      </c>
      <c r="DR626" t="str">
        <f>""</f>
        <v/>
      </c>
      <c r="DS626" t="str">
        <f>""</f>
        <v/>
      </c>
      <c r="DT626" t="str">
        <f>""</f>
        <v/>
      </c>
      <c r="DU626" t="str">
        <f>""</f>
        <v/>
      </c>
    </row>
    <row r="627" spans="1:125">
      <c r="A627" t="str">
        <f>$A$176</f>
        <v xml:space="preserve">    Tanger Factory Outlet Centers</v>
      </c>
      <c r="B627" t="str">
        <f>$B$176</f>
        <v>SKT US Equity</v>
      </c>
      <c r="C627" t="str">
        <f>$C$176</f>
        <v>RR551</v>
      </c>
      <c r="D627" t="str">
        <f>$D$176</f>
        <v>NOI_GROWTH</v>
      </c>
      <c r="E627" t="str">
        <f>$E$176</f>
        <v>动态</v>
      </c>
      <c r="F627" t="str">
        <f ca="1">BDH($B$176,$C$176,$B$417,$B$418,CONCATENATE("Per=",$B$415),"Dts=H","Dir=H",CONCATENATE("Points=",$B$416),"Sort=R","Days=A","Fill=B",CONCATENATE("FX=", $B$414) )</f>
        <v>#N/A Authorization</v>
      </c>
      <c r="BN627" t="str">
        <f>""</f>
        <v/>
      </c>
      <c r="BO627" t="str">
        <f>""</f>
        <v/>
      </c>
      <c r="BP627" t="str">
        <f>""</f>
        <v/>
      </c>
      <c r="BQ627" t="str">
        <f>""</f>
        <v/>
      </c>
      <c r="BR627" t="str">
        <f>""</f>
        <v/>
      </c>
      <c r="BS627" t="str">
        <f>""</f>
        <v/>
      </c>
      <c r="BT627" t="str">
        <f>""</f>
        <v/>
      </c>
      <c r="BU627" t="str">
        <f>""</f>
        <v/>
      </c>
      <c r="BV627" t="str">
        <f>""</f>
        <v/>
      </c>
      <c r="BW627" t="str">
        <f>""</f>
        <v/>
      </c>
      <c r="BX627" t="str">
        <f>""</f>
        <v/>
      </c>
      <c r="BY627" t="str">
        <f>""</f>
        <v/>
      </c>
      <c r="BZ627" t="str">
        <f>""</f>
        <v/>
      </c>
      <c r="CA627" t="str">
        <f>""</f>
        <v/>
      </c>
      <c r="CB627" t="str">
        <f>""</f>
        <v/>
      </c>
      <c r="CC627" t="str">
        <f>""</f>
        <v/>
      </c>
      <c r="CD627" t="str">
        <f>""</f>
        <v/>
      </c>
      <c r="CE627" t="str">
        <f>""</f>
        <v/>
      </c>
      <c r="CF627" t="str">
        <f>""</f>
        <v/>
      </c>
      <c r="CG627" t="str">
        <f>""</f>
        <v/>
      </c>
      <c r="CH627" t="str">
        <f>""</f>
        <v/>
      </c>
      <c r="CI627" t="str">
        <f>""</f>
        <v/>
      </c>
      <c r="CJ627" t="str">
        <f>""</f>
        <v/>
      </c>
      <c r="CK627" t="str">
        <f>""</f>
        <v/>
      </c>
      <c r="CL627" t="str">
        <f>""</f>
        <v/>
      </c>
      <c r="CM627" t="str">
        <f>""</f>
        <v/>
      </c>
      <c r="CN627" t="str">
        <f>""</f>
        <v/>
      </c>
      <c r="CO627" t="str">
        <f>""</f>
        <v/>
      </c>
      <c r="CP627" t="str">
        <f>""</f>
        <v/>
      </c>
      <c r="CQ627" t="str">
        <f>""</f>
        <v/>
      </c>
      <c r="CR627" t="str">
        <f>""</f>
        <v/>
      </c>
      <c r="CS627" t="str">
        <f>""</f>
        <v/>
      </c>
      <c r="CT627" t="str">
        <f>""</f>
        <v/>
      </c>
      <c r="CU627" t="str">
        <f>""</f>
        <v/>
      </c>
      <c r="CV627" t="str">
        <f>""</f>
        <v/>
      </c>
      <c r="CW627" t="str">
        <f>""</f>
        <v/>
      </c>
      <c r="CX627" t="str">
        <f>""</f>
        <v/>
      </c>
      <c r="CY627" t="str">
        <f>""</f>
        <v/>
      </c>
      <c r="CZ627" t="str">
        <f>""</f>
        <v/>
      </c>
      <c r="DA627" t="str">
        <f>""</f>
        <v/>
      </c>
      <c r="DB627" t="str">
        <f>""</f>
        <v/>
      </c>
      <c r="DC627" t="str">
        <f>""</f>
        <v/>
      </c>
      <c r="DD627" t="str">
        <f>""</f>
        <v/>
      </c>
      <c r="DE627" t="str">
        <f>""</f>
        <v/>
      </c>
      <c r="DF627" t="str">
        <f>""</f>
        <v/>
      </c>
      <c r="DG627" t="str">
        <f>""</f>
        <v/>
      </c>
      <c r="DH627" t="str">
        <f>""</f>
        <v/>
      </c>
      <c r="DI627" t="str">
        <f>""</f>
        <v/>
      </c>
      <c r="DJ627" t="str">
        <f>""</f>
        <v/>
      </c>
      <c r="DK627" t="str">
        <f>""</f>
        <v/>
      </c>
      <c r="DL627" t="str">
        <f>""</f>
        <v/>
      </c>
      <c r="DM627" t="str">
        <f>""</f>
        <v/>
      </c>
      <c r="DN627" t="str">
        <f>""</f>
        <v/>
      </c>
      <c r="DO627" t="str">
        <f>""</f>
        <v/>
      </c>
      <c r="DP627" t="str">
        <f>""</f>
        <v/>
      </c>
      <c r="DQ627" t="str">
        <f>""</f>
        <v/>
      </c>
      <c r="DR627" t="str">
        <f>""</f>
        <v/>
      </c>
      <c r="DS627" t="str">
        <f>""</f>
        <v/>
      </c>
      <c r="DT627" t="str">
        <f>""</f>
        <v/>
      </c>
      <c r="DU627" t="str">
        <f>""</f>
        <v/>
      </c>
    </row>
    <row r="628" spans="1:125">
      <c r="A628" t="str">
        <f>$A$177</f>
        <v xml:space="preserve">    VEREIT Inc</v>
      </c>
      <c r="B628" t="str">
        <f>$B$177</f>
        <v>VER US Equity</v>
      </c>
      <c r="C628" t="str">
        <f>$C$177</f>
        <v>RR551</v>
      </c>
      <c r="D628" t="str">
        <f>$D$177</f>
        <v>NOI_GROWTH</v>
      </c>
      <c r="E628" t="str">
        <f>$E$177</f>
        <v>动态</v>
      </c>
      <c r="F628" t="str">
        <f ca="1">BDH($B$177,$C$177,$B$417,$B$418,CONCATENATE("Per=",$B$415),"Dts=H","Dir=H",CONCATENATE("Points=",$B$416),"Sort=R","Days=A","Fill=B",CONCATENATE("FX=", $B$414) )</f>
        <v>#N/A Authorization</v>
      </c>
      <c r="BN628" t="str">
        <f>""</f>
        <v/>
      </c>
      <c r="BO628" t="str">
        <f>""</f>
        <v/>
      </c>
      <c r="BP628" t="str">
        <f>""</f>
        <v/>
      </c>
      <c r="BQ628" t="str">
        <f>""</f>
        <v/>
      </c>
      <c r="BR628" t="str">
        <f>""</f>
        <v/>
      </c>
      <c r="BS628" t="str">
        <f>""</f>
        <v/>
      </c>
      <c r="BT628" t="str">
        <f>""</f>
        <v/>
      </c>
      <c r="BU628" t="str">
        <f>""</f>
        <v/>
      </c>
      <c r="BV628" t="str">
        <f>""</f>
        <v/>
      </c>
      <c r="BW628" t="str">
        <f>""</f>
        <v/>
      </c>
      <c r="BX628" t="str">
        <f>""</f>
        <v/>
      </c>
      <c r="BY628" t="str">
        <f>""</f>
        <v/>
      </c>
      <c r="BZ628" t="str">
        <f>""</f>
        <v/>
      </c>
      <c r="CA628" t="str">
        <f>""</f>
        <v/>
      </c>
      <c r="CB628" t="str">
        <f>""</f>
        <v/>
      </c>
      <c r="CC628" t="str">
        <f>""</f>
        <v/>
      </c>
      <c r="CD628" t="str">
        <f>""</f>
        <v/>
      </c>
      <c r="CE628" t="str">
        <f>""</f>
        <v/>
      </c>
      <c r="CF628" t="str">
        <f>""</f>
        <v/>
      </c>
      <c r="CG628" t="str">
        <f>""</f>
        <v/>
      </c>
      <c r="CH628" t="str">
        <f>""</f>
        <v/>
      </c>
      <c r="CI628" t="str">
        <f>""</f>
        <v/>
      </c>
      <c r="CJ628" t="str">
        <f>""</f>
        <v/>
      </c>
      <c r="CK628" t="str">
        <f>""</f>
        <v/>
      </c>
      <c r="CL628" t="str">
        <f>""</f>
        <v/>
      </c>
      <c r="CM628" t="str">
        <f>""</f>
        <v/>
      </c>
      <c r="CN628" t="str">
        <f>""</f>
        <v/>
      </c>
      <c r="CO628" t="str">
        <f>""</f>
        <v/>
      </c>
      <c r="CP628" t="str">
        <f>""</f>
        <v/>
      </c>
      <c r="CQ628" t="str">
        <f>""</f>
        <v/>
      </c>
      <c r="CR628" t="str">
        <f>""</f>
        <v/>
      </c>
      <c r="CS628" t="str">
        <f>""</f>
        <v/>
      </c>
      <c r="CT628" t="str">
        <f>""</f>
        <v/>
      </c>
      <c r="CU628" t="str">
        <f>""</f>
        <v/>
      </c>
      <c r="CV628" t="str">
        <f>""</f>
        <v/>
      </c>
      <c r="CW628" t="str">
        <f>""</f>
        <v/>
      </c>
      <c r="CX628" t="str">
        <f>""</f>
        <v/>
      </c>
      <c r="CY628" t="str">
        <f>""</f>
        <v/>
      </c>
      <c r="CZ628" t="str">
        <f>""</f>
        <v/>
      </c>
      <c r="DA628" t="str">
        <f>""</f>
        <v/>
      </c>
      <c r="DB628" t="str">
        <f>""</f>
        <v/>
      </c>
      <c r="DC628" t="str">
        <f>""</f>
        <v/>
      </c>
      <c r="DD628" t="str">
        <f>""</f>
        <v/>
      </c>
      <c r="DE628" t="str">
        <f>""</f>
        <v/>
      </c>
      <c r="DF628" t="str">
        <f>""</f>
        <v/>
      </c>
      <c r="DG628" t="str">
        <f>""</f>
        <v/>
      </c>
      <c r="DH628" t="str">
        <f>""</f>
        <v/>
      </c>
      <c r="DI628" t="str">
        <f>""</f>
        <v/>
      </c>
      <c r="DJ628" t="str">
        <f>""</f>
        <v/>
      </c>
      <c r="DK628" t="str">
        <f>""</f>
        <v/>
      </c>
      <c r="DL628" t="str">
        <f>""</f>
        <v/>
      </c>
      <c r="DM628" t="str">
        <f>""</f>
        <v/>
      </c>
      <c r="DN628" t="str">
        <f>""</f>
        <v/>
      </c>
      <c r="DO628" t="str">
        <f>""</f>
        <v/>
      </c>
      <c r="DP628" t="str">
        <f>""</f>
        <v/>
      </c>
      <c r="DQ628" t="str">
        <f>""</f>
        <v/>
      </c>
      <c r="DR628" t="str">
        <f>""</f>
        <v/>
      </c>
      <c r="DS628" t="str">
        <f>""</f>
        <v/>
      </c>
      <c r="DT628" t="str">
        <f>""</f>
        <v/>
      </c>
      <c r="DU628" t="str">
        <f>""</f>
        <v/>
      </c>
    </row>
    <row r="629" spans="1:125">
      <c r="A629" t="str">
        <f>$A$178</f>
        <v xml:space="preserve">    Washington Prime Group Inc</v>
      </c>
      <c r="B629" t="str">
        <f>$B$178</f>
        <v>WPG US Equity</v>
      </c>
      <c r="C629" t="str">
        <f>$C$178</f>
        <v>RR551</v>
      </c>
      <c r="D629" t="str">
        <f>$D$178</f>
        <v>NOI_GROWTH</v>
      </c>
      <c r="E629" t="str">
        <f>$E$178</f>
        <v>动态</v>
      </c>
      <c r="F629" t="str">
        <f ca="1">BDH($B$178,$C$178,$B$417,$B$418,CONCATENATE("Per=",$B$415),"Dts=H","Dir=H",CONCATENATE("Points=",$B$416),"Sort=R","Days=A","Fill=B",CONCATENATE("FX=", $B$414) )</f>
        <v>#N/A Authorization</v>
      </c>
      <c r="BN629" t="str">
        <f>""</f>
        <v/>
      </c>
      <c r="BO629" t="str">
        <f>""</f>
        <v/>
      </c>
      <c r="BP629" t="str">
        <f>""</f>
        <v/>
      </c>
      <c r="BQ629" t="str">
        <f>""</f>
        <v/>
      </c>
      <c r="BR629" t="str">
        <f>""</f>
        <v/>
      </c>
      <c r="BS629" t="str">
        <f>""</f>
        <v/>
      </c>
      <c r="BT629" t="str">
        <f>""</f>
        <v/>
      </c>
      <c r="BU629" t="str">
        <f>""</f>
        <v/>
      </c>
      <c r="BV629" t="str">
        <f>""</f>
        <v/>
      </c>
      <c r="BW629" t="str">
        <f>""</f>
        <v/>
      </c>
      <c r="BX629" t="str">
        <f>""</f>
        <v/>
      </c>
      <c r="BY629" t="str">
        <f>""</f>
        <v/>
      </c>
      <c r="BZ629" t="str">
        <f>""</f>
        <v/>
      </c>
      <c r="CA629" t="str">
        <f>""</f>
        <v/>
      </c>
      <c r="CB629" t="str">
        <f>""</f>
        <v/>
      </c>
      <c r="CC629" t="str">
        <f>""</f>
        <v/>
      </c>
      <c r="CD629" t="str">
        <f>""</f>
        <v/>
      </c>
      <c r="CE629" t="str">
        <f>""</f>
        <v/>
      </c>
      <c r="CF629" t="str">
        <f>""</f>
        <v/>
      </c>
      <c r="CG629" t="str">
        <f>""</f>
        <v/>
      </c>
      <c r="CH629" t="str">
        <f>""</f>
        <v/>
      </c>
      <c r="CI629" t="str">
        <f>""</f>
        <v/>
      </c>
      <c r="CJ629" t="str">
        <f>""</f>
        <v/>
      </c>
      <c r="CK629" t="str">
        <f>""</f>
        <v/>
      </c>
      <c r="CL629" t="str">
        <f>""</f>
        <v/>
      </c>
      <c r="CM629" t="str">
        <f>""</f>
        <v/>
      </c>
      <c r="CN629" t="str">
        <f>""</f>
        <v/>
      </c>
      <c r="CO629" t="str">
        <f>""</f>
        <v/>
      </c>
      <c r="CP629" t="str">
        <f>""</f>
        <v/>
      </c>
      <c r="CQ629" t="str">
        <f>""</f>
        <v/>
      </c>
      <c r="CR629" t="str">
        <f>""</f>
        <v/>
      </c>
      <c r="CS629" t="str">
        <f>""</f>
        <v/>
      </c>
      <c r="CT629" t="str">
        <f>""</f>
        <v/>
      </c>
      <c r="CU629" t="str">
        <f>""</f>
        <v/>
      </c>
      <c r="CV629" t="str">
        <f>""</f>
        <v/>
      </c>
      <c r="CW629" t="str">
        <f>""</f>
        <v/>
      </c>
      <c r="CX629" t="str">
        <f>""</f>
        <v/>
      </c>
      <c r="CY629" t="str">
        <f>""</f>
        <v/>
      </c>
      <c r="CZ629" t="str">
        <f>""</f>
        <v/>
      </c>
      <c r="DA629" t="str">
        <f>""</f>
        <v/>
      </c>
      <c r="DB629" t="str">
        <f>""</f>
        <v/>
      </c>
      <c r="DC629" t="str">
        <f>""</f>
        <v/>
      </c>
      <c r="DD629" t="str">
        <f>""</f>
        <v/>
      </c>
      <c r="DE629" t="str">
        <f>""</f>
        <v/>
      </c>
      <c r="DF629" t="str">
        <f>""</f>
        <v/>
      </c>
      <c r="DG629" t="str">
        <f>""</f>
        <v/>
      </c>
      <c r="DH629" t="str">
        <f>""</f>
        <v/>
      </c>
      <c r="DI629" t="str">
        <f>""</f>
        <v/>
      </c>
      <c r="DJ629" t="str">
        <f>""</f>
        <v/>
      </c>
      <c r="DK629" t="str">
        <f>""</f>
        <v/>
      </c>
      <c r="DL629" t="str">
        <f>""</f>
        <v/>
      </c>
      <c r="DM629" t="str">
        <f>""</f>
        <v/>
      </c>
      <c r="DN629" t="str">
        <f>""</f>
        <v/>
      </c>
      <c r="DO629" t="str">
        <f>""</f>
        <v/>
      </c>
      <c r="DP629" t="str">
        <f>""</f>
        <v/>
      </c>
      <c r="DQ629" t="str">
        <f>""</f>
        <v/>
      </c>
      <c r="DR629" t="str">
        <f>""</f>
        <v/>
      </c>
      <c r="DS629" t="str">
        <f>""</f>
        <v/>
      </c>
      <c r="DT629" t="str">
        <f>""</f>
        <v/>
      </c>
      <c r="DU629" t="str">
        <f>""</f>
        <v/>
      </c>
    </row>
    <row r="630" spans="1:125">
      <c r="A630" t="str">
        <f>$A$179</f>
        <v xml:space="preserve">    Weingarten Realty Investors</v>
      </c>
      <c r="B630" t="str">
        <f>$B$179</f>
        <v>WRI US Equity</v>
      </c>
      <c r="C630" t="str">
        <f>$C$179</f>
        <v>RR551</v>
      </c>
      <c r="D630" t="str">
        <f>$D$179</f>
        <v>NOI_GROWTH</v>
      </c>
      <c r="E630" t="str">
        <f>$E$179</f>
        <v>动态</v>
      </c>
      <c r="F630" t="str">
        <f ca="1">BDH($B$179,$C$179,$B$417,$B$418,CONCATENATE("Per=",$B$415),"Dts=H","Dir=H",CONCATENATE("Points=",$B$416),"Sort=R","Days=A","Fill=B",CONCATENATE("FX=", $B$414) )</f>
        <v>#N/A Authorization</v>
      </c>
      <c r="BN630" t="str">
        <f>""</f>
        <v/>
      </c>
      <c r="BO630" t="str">
        <f>""</f>
        <v/>
      </c>
      <c r="BP630" t="str">
        <f>""</f>
        <v/>
      </c>
      <c r="BQ630" t="str">
        <f>""</f>
        <v/>
      </c>
      <c r="BR630" t="str">
        <f>""</f>
        <v/>
      </c>
      <c r="BS630" t="str">
        <f>""</f>
        <v/>
      </c>
      <c r="BT630" t="str">
        <f>""</f>
        <v/>
      </c>
      <c r="BU630" t="str">
        <f>""</f>
        <v/>
      </c>
      <c r="BV630" t="str">
        <f>""</f>
        <v/>
      </c>
      <c r="BW630" t="str">
        <f>""</f>
        <v/>
      </c>
      <c r="BX630" t="str">
        <f>""</f>
        <v/>
      </c>
      <c r="BY630" t="str">
        <f>""</f>
        <v/>
      </c>
      <c r="BZ630" t="str">
        <f>""</f>
        <v/>
      </c>
      <c r="CA630" t="str">
        <f>""</f>
        <v/>
      </c>
      <c r="CB630" t="str">
        <f>""</f>
        <v/>
      </c>
      <c r="CC630" t="str">
        <f>""</f>
        <v/>
      </c>
      <c r="CD630" t="str">
        <f>""</f>
        <v/>
      </c>
      <c r="CE630" t="str">
        <f>""</f>
        <v/>
      </c>
      <c r="CF630" t="str">
        <f>""</f>
        <v/>
      </c>
      <c r="CG630" t="str">
        <f>""</f>
        <v/>
      </c>
      <c r="CH630" t="str">
        <f>""</f>
        <v/>
      </c>
      <c r="CI630" t="str">
        <f>""</f>
        <v/>
      </c>
      <c r="CJ630" t="str">
        <f>""</f>
        <v/>
      </c>
      <c r="CK630" t="str">
        <f>""</f>
        <v/>
      </c>
      <c r="CL630" t="str">
        <f>""</f>
        <v/>
      </c>
      <c r="CM630" t="str">
        <f>""</f>
        <v/>
      </c>
      <c r="CN630" t="str">
        <f>""</f>
        <v/>
      </c>
      <c r="CO630" t="str">
        <f>""</f>
        <v/>
      </c>
      <c r="CP630" t="str">
        <f>""</f>
        <v/>
      </c>
      <c r="CQ630" t="str">
        <f>""</f>
        <v/>
      </c>
      <c r="CR630" t="str">
        <f>""</f>
        <v/>
      </c>
      <c r="CS630" t="str">
        <f>""</f>
        <v/>
      </c>
      <c r="CT630" t="str">
        <f>""</f>
        <v/>
      </c>
      <c r="CU630" t="str">
        <f>""</f>
        <v/>
      </c>
      <c r="CV630" t="str">
        <f>""</f>
        <v/>
      </c>
      <c r="CW630" t="str">
        <f>""</f>
        <v/>
      </c>
      <c r="CX630" t="str">
        <f>""</f>
        <v/>
      </c>
      <c r="CY630" t="str">
        <f>""</f>
        <v/>
      </c>
      <c r="CZ630" t="str">
        <f>""</f>
        <v/>
      </c>
      <c r="DA630" t="str">
        <f>""</f>
        <v/>
      </c>
      <c r="DB630" t="str">
        <f>""</f>
        <v/>
      </c>
      <c r="DC630" t="str">
        <f>""</f>
        <v/>
      </c>
      <c r="DD630" t="str">
        <f>""</f>
        <v/>
      </c>
      <c r="DE630" t="str">
        <f>""</f>
        <v/>
      </c>
      <c r="DF630" t="str">
        <f>""</f>
        <v/>
      </c>
      <c r="DG630" t="str">
        <f>""</f>
        <v/>
      </c>
      <c r="DH630" t="str">
        <f>""</f>
        <v/>
      </c>
      <c r="DI630" t="str">
        <f>""</f>
        <v/>
      </c>
      <c r="DJ630" t="str">
        <f>""</f>
        <v/>
      </c>
      <c r="DK630" t="str">
        <f>""</f>
        <v/>
      </c>
      <c r="DL630" t="str">
        <f>""</f>
        <v/>
      </c>
      <c r="DM630" t="str">
        <f>""</f>
        <v/>
      </c>
      <c r="DN630" t="str">
        <f>""</f>
        <v/>
      </c>
      <c r="DO630" t="str">
        <f>""</f>
        <v/>
      </c>
      <c r="DP630" t="str">
        <f>""</f>
        <v/>
      </c>
      <c r="DQ630" t="str">
        <f>""</f>
        <v/>
      </c>
      <c r="DR630" t="str">
        <f>""</f>
        <v/>
      </c>
      <c r="DS630" t="str">
        <f>""</f>
        <v/>
      </c>
      <c r="DT630" t="str">
        <f>""</f>
        <v/>
      </c>
      <c r="DU630" t="str">
        <f>""</f>
        <v/>
      </c>
    </row>
    <row r="631" spans="1:125">
      <c r="A631" t="str">
        <f>$A$181</f>
        <v xml:space="preserve">    Brixmor Property Group Inc</v>
      </c>
      <c r="B631" t="str">
        <f>$B$181</f>
        <v>BRX US Equity</v>
      </c>
      <c r="C631" t="str">
        <f>$C$181</f>
        <v>BE592</v>
      </c>
      <c r="D631" t="str">
        <f>$D$181</f>
        <v>BEST_FFOPS_YOY_GTH</v>
      </c>
      <c r="E631" t="str">
        <f>$E$181</f>
        <v>动态</v>
      </c>
      <c r="F631" t="str">
        <f ca="1">BDH($B$181,$C$181,$B$417,$B$418,CONCATENATE("Per=",$B$415),"Dts=H","Dir=H",CONCATENATE("Points=",$B$416),"Sort=R","Days=A","Fill=B","BE997=1GY",CONCATENATE("FX=", $B$414) )</f>
        <v>#N/A Authorization</v>
      </c>
      <c r="BN631" t="str">
        <f>""</f>
        <v/>
      </c>
      <c r="BO631" t="str">
        <f>""</f>
        <v/>
      </c>
      <c r="BP631" t="str">
        <f>""</f>
        <v/>
      </c>
      <c r="BQ631" t="str">
        <f>""</f>
        <v/>
      </c>
      <c r="BR631" t="str">
        <f>""</f>
        <v/>
      </c>
      <c r="BS631" t="str">
        <f>""</f>
        <v/>
      </c>
      <c r="BT631" t="str">
        <f>""</f>
        <v/>
      </c>
      <c r="BU631" t="str">
        <f>""</f>
        <v/>
      </c>
      <c r="BV631" t="str">
        <f>""</f>
        <v/>
      </c>
      <c r="BW631" t="str">
        <f>""</f>
        <v/>
      </c>
      <c r="BX631" t="str">
        <f>""</f>
        <v/>
      </c>
      <c r="BY631" t="str">
        <f>""</f>
        <v/>
      </c>
      <c r="BZ631" t="str">
        <f>""</f>
        <v/>
      </c>
      <c r="CA631" t="str">
        <f>""</f>
        <v/>
      </c>
      <c r="CB631" t="str">
        <f>""</f>
        <v/>
      </c>
      <c r="CC631" t="str">
        <f>""</f>
        <v/>
      </c>
      <c r="CD631" t="str">
        <f>""</f>
        <v/>
      </c>
      <c r="CE631" t="str">
        <f>""</f>
        <v/>
      </c>
      <c r="CF631" t="str">
        <f>""</f>
        <v/>
      </c>
      <c r="CG631" t="str">
        <f>""</f>
        <v/>
      </c>
      <c r="CH631" t="str">
        <f>""</f>
        <v/>
      </c>
      <c r="CI631" t="str">
        <f>""</f>
        <v/>
      </c>
      <c r="CJ631" t="str">
        <f>""</f>
        <v/>
      </c>
      <c r="CK631" t="str">
        <f>""</f>
        <v/>
      </c>
      <c r="CL631" t="str">
        <f>""</f>
        <v/>
      </c>
      <c r="CM631" t="str">
        <f>""</f>
        <v/>
      </c>
      <c r="CN631" t="str">
        <f>""</f>
        <v/>
      </c>
      <c r="CO631" t="str">
        <f>""</f>
        <v/>
      </c>
      <c r="CP631" t="str">
        <f>""</f>
        <v/>
      </c>
      <c r="CQ631" t="str">
        <f>""</f>
        <v/>
      </c>
      <c r="CR631" t="str">
        <f>""</f>
        <v/>
      </c>
      <c r="CS631" t="str">
        <f>""</f>
        <v/>
      </c>
      <c r="CT631" t="str">
        <f>""</f>
        <v/>
      </c>
      <c r="CU631" t="str">
        <f>""</f>
        <v/>
      </c>
      <c r="CV631" t="str">
        <f>""</f>
        <v/>
      </c>
      <c r="CW631" t="str">
        <f>""</f>
        <v/>
      </c>
      <c r="CX631" t="str">
        <f>""</f>
        <v/>
      </c>
      <c r="CY631" t="str">
        <f>""</f>
        <v/>
      </c>
      <c r="CZ631" t="str">
        <f>""</f>
        <v/>
      </c>
      <c r="DA631" t="str">
        <f>""</f>
        <v/>
      </c>
      <c r="DB631" t="str">
        <f>""</f>
        <v/>
      </c>
      <c r="DC631" t="str">
        <f>""</f>
        <v/>
      </c>
      <c r="DD631" t="str">
        <f>""</f>
        <v/>
      </c>
      <c r="DE631" t="str">
        <f>""</f>
        <v/>
      </c>
      <c r="DF631" t="str">
        <f>""</f>
        <v/>
      </c>
      <c r="DG631" t="str">
        <f>""</f>
        <v/>
      </c>
      <c r="DH631" t="str">
        <f>""</f>
        <v/>
      </c>
      <c r="DI631" t="str">
        <f>""</f>
        <v/>
      </c>
      <c r="DJ631" t="str">
        <f>""</f>
        <v/>
      </c>
      <c r="DK631" t="str">
        <f>""</f>
        <v/>
      </c>
      <c r="DL631" t="str">
        <f>""</f>
        <v/>
      </c>
      <c r="DM631" t="str">
        <f>""</f>
        <v/>
      </c>
      <c r="DN631" t="str">
        <f>""</f>
        <v/>
      </c>
      <c r="DO631" t="str">
        <f>""</f>
        <v/>
      </c>
      <c r="DP631" t="str">
        <f>""</f>
        <v/>
      </c>
      <c r="DQ631" t="str">
        <f>""</f>
        <v/>
      </c>
      <c r="DR631" t="str">
        <f>""</f>
        <v/>
      </c>
      <c r="DS631" t="str">
        <f>""</f>
        <v/>
      </c>
      <c r="DT631" t="str">
        <f>""</f>
        <v/>
      </c>
      <c r="DU631" t="str">
        <f>""</f>
        <v/>
      </c>
    </row>
    <row r="632" spans="1:125">
      <c r="A632" t="str">
        <f>$A$182</f>
        <v xml:space="preserve">    CBL &amp; Associates Properties In</v>
      </c>
      <c r="B632" t="str">
        <f>$B$182</f>
        <v>CBL US Equity</v>
      </c>
      <c r="C632" t="str">
        <f>$C$182</f>
        <v>BE592</v>
      </c>
      <c r="D632" t="str">
        <f>$D$182</f>
        <v>BEST_FFOPS_YOY_GTH</v>
      </c>
      <c r="E632" t="str">
        <f>$E$182</f>
        <v>动态</v>
      </c>
      <c r="F632" t="str">
        <f ca="1">BDH($B$182,$C$182,$B$417,$B$418,CONCATENATE("Per=",$B$415),"Dts=H","Dir=H",CONCATENATE("Points=",$B$416),"Sort=R","Days=A","Fill=B","BE997=1GY",CONCATENATE("FX=", $B$414) )</f>
        <v>#N/A Authorization</v>
      </c>
      <c r="BN632" t="str">
        <f>""</f>
        <v/>
      </c>
      <c r="BO632" t="str">
        <f>""</f>
        <v/>
      </c>
      <c r="BP632" t="str">
        <f>""</f>
        <v/>
      </c>
      <c r="BQ632" t="str">
        <f>""</f>
        <v/>
      </c>
      <c r="BR632" t="str">
        <f>""</f>
        <v/>
      </c>
      <c r="BS632" t="str">
        <f>""</f>
        <v/>
      </c>
      <c r="BT632" t="str">
        <f>""</f>
        <v/>
      </c>
      <c r="BU632" t="str">
        <f>""</f>
        <v/>
      </c>
      <c r="BV632" t="str">
        <f>""</f>
        <v/>
      </c>
      <c r="BW632" t="str">
        <f>""</f>
        <v/>
      </c>
      <c r="BX632" t="str">
        <f>""</f>
        <v/>
      </c>
      <c r="BY632" t="str">
        <f>""</f>
        <v/>
      </c>
      <c r="BZ632" t="str">
        <f>""</f>
        <v/>
      </c>
      <c r="CA632" t="str">
        <f>""</f>
        <v/>
      </c>
      <c r="CB632" t="str">
        <f>""</f>
        <v/>
      </c>
      <c r="CC632" t="str">
        <f>""</f>
        <v/>
      </c>
      <c r="CD632" t="str">
        <f>""</f>
        <v/>
      </c>
      <c r="CE632" t="str">
        <f>""</f>
        <v/>
      </c>
      <c r="CF632" t="str">
        <f>""</f>
        <v/>
      </c>
      <c r="CG632" t="str">
        <f>""</f>
        <v/>
      </c>
      <c r="CH632" t="str">
        <f>""</f>
        <v/>
      </c>
      <c r="CI632" t="str">
        <f>""</f>
        <v/>
      </c>
      <c r="CJ632" t="str">
        <f>""</f>
        <v/>
      </c>
      <c r="CK632" t="str">
        <f>""</f>
        <v/>
      </c>
      <c r="CL632" t="str">
        <f>""</f>
        <v/>
      </c>
      <c r="CM632" t="str">
        <f>""</f>
        <v/>
      </c>
      <c r="CN632" t="str">
        <f>""</f>
        <v/>
      </c>
      <c r="CO632" t="str">
        <f>""</f>
        <v/>
      </c>
      <c r="CP632" t="str">
        <f>""</f>
        <v/>
      </c>
      <c r="CQ632" t="str">
        <f>""</f>
        <v/>
      </c>
      <c r="CR632" t="str">
        <f>""</f>
        <v/>
      </c>
      <c r="CS632" t="str">
        <f>""</f>
        <v/>
      </c>
      <c r="CT632" t="str">
        <f>""</f>
        <v/>
      </c>
      <c r="CU632" t="str">
        <f>""</f>
        <v/>
      </c>
      <c r="CV632" t="str">
        <f>""</f>
        <v/>
      </c>
      <c r="CW632" t="str">
        <f>""</f>
        <v/>
      </c>
      <c r="CX632" t="str">
        <f>""</f>
        <v/>
      </c>
      <c r="CY632" t="str">
        <f>""</f>
        <v/>
      </c>
      <c r="CZ632" t="str">
        <f>""</f>
        <v/>
      </c>
      <c r="DA632" t="str">
        <f>""</f>
        <v/>
      </c>
      <c r="DB632" t="str">
        <f>""</f>
        <v/>
      </c>
      <c r="DC632" t="str">
        <f>""</f>
        <v/>
      </c>
      <c r="DD632" t="str">
        <f>""</f>
        <v/>
      </c>
      <c r="DE632" t="str">
        <f>""</f>
        <v/>
      </c>
      <c r="DF632" t="str">
        <f>""</f>
        <v/>
      </c>
      <c r="DG632" t="str">
        <f>""</f>
        <v/>
      </c>
      <c r="DH632" t="str">
        <f>""</f>
        <v/>
      </c>
      <c r="DI632" t="str">
        <f>""</f>
        <v/>
      </c>
      <c r="DJ632" t="str">
        <f>""</f>
        <v/>
      </c>
      <c r="DK632" t="str">
        <f>""</f>
        <v/>
      </c>
      <c r="DL632" t="str">
        <f>""</f>
        <v/>
      </c>
      <c r="DM632" t="str">
        <f>""</f>
        <v/>
      </c>
      <c r="DN632" t="str">
        <f>""</f>
        <v/>
      </c>
      <c r="DO632" t="str">
        <f>""</f>
        <v/>
      </c>
      <c r="DP632" t="str">
        <f>""</f>
        <v/>
      </c>
      <c r="DQ632" t="str">
        <f>""</f>
        <v/>
      </c>
      <c r="DR632" t="str">
        <f>""</f>
        <v/>
      </c>
      <c r="DS632" t="str">
        <f>""</f>
        <v/>
      </c>
      <c r="DT632" t="str">
        <f>""</f>
        <v/>
      </c>
      <c r="DU632" t="str">
        <f>""</f>
        <v/>
      </c>
    </row>
    <row r="633" spans="1:125">
      <c r="A633" t="str">
        <f>$A$183</f>
        <v xml:space="preserve">    DDR Corp</v>
      </c>
      <c r="B633" t="str">
        <f>$B$183</f>
        <v>DDR US Equity</v>
      </c>
      <c r="C633" t="str">
        <f>$C$183</f>
        <v>BE592</v>
      </c>
      <c r="D633" t="str">
        <f>$D$183</f>
        <v>BEST_FFOPS_YOY_GTH</v>
      </c>
      <c r="E633" t="str">
        <f>$E$183</f>
        <v>动态</v>
      </c>
      <c r="F633" t="str">
        <f ca="1">BDH($B$183,$C$183,$B$417,$B$418,CONCATENATE("Per=",$B$415),"Dts=H","Dir=H",CONCATENATE("Points=",$B$416),"Sort=R","Days=A","Fill=B","BE997=1GY",CONCATENATE("FX=", $B$414) )</f>
        <v>#N/A Authorization</v>
      </c>
      <c r="BN633" t="str">
        <f>""</f>
        <v/>
      </c>
      <c r="BO633" t="str">
        <f>""</f>
        <v/>
      </c>
      <c r="BP633" t="str">
        <f>""</f>
        <v/>
      </c>
      <c r="BQ633" t="str">
        <f>""</f>
        <v/>
      </c>
      <c r="BR633" t="str">
        <f>""</f>
        <v/>
      </c>
      <c r="BS633" t="str">
        <f>""</f>
        <v/>
      </c>
      <c r="BT633" t="str">
        <f>""</f>
        <v/>
      </c>
      <c r="BU633" t="str">
        <f>""</f>
        <v/>
      </c>
      <c r="BV633" t="str">
        <f>""</f>
        <v/>
      </c>
      <c r="BW633" t="str">
        <f>""</f>
        <v/>
      </c>
      <c r="BX633" t="str">
        <f>""</f>
        <v/>
      </c>
      <c r="BY633" t="str">
        <f>""</f>
        <v/>
      </c>
      <c r="BZ633" t="str">
        <f>""</f>
        <v/>
      </c>
      <c r="CA633" t="str">
        <f>""</f>
        <v/>
      </c>
      <c r="CB633" t="str">
        <f>""</f>
        <v/>
      </c>
      <c r="CC633" t="str">
        <f>""</f>
        <v/>
      </c>
      <c r="CD633" t="str">
        <f>""</f>
        <v/>
      </c>
      <c r="CE633" t="str">
        <f>""</f>
        <v/>
      </c>
      <c r="CF633" t="str">
        <f>""</f>
        <v/>
      </c>
      <c r="CG633" t="str">
        <f>""</f>
        <v/>
      </c>
      <c r="CH633" t="str">
        <f>""</f>
        <v/>
      </c>
      <c r="CI633" t="str">
        <f>""</f>
        <v/>
      </c>
      <c r="CJ633" t="str">
        <f>""</f>
        <v/>
      </c>
      <c r="CK633" t="str">
        <f>""</f>
        <v/>
      </c>
      <c r="CL633" t="str">
        <f>""</f>
        <v/>
      </c>
      <c r="CM633" t="str">
        <f>""</f>
        <v/>
      </c>
      <c r="CN633" t="str">
        <f>""</f>
        <v/>
      </c>
      <c r="CO633" t="str">
        <f>""</f>
        <v/>
      </c>
      <c r="CP633" t="str">
        <f>""</f>
        <v/>
      </c>
      <c r="CQ633" t="str">
        <f>""</f>
        <v/>
      </c>
      <c r="CR633" t="str">
        <f>""</f>
        <v/>
      </c>
      <c r="CS633" t="str">
        <f>""</f>
        <v/>
      </c>
      <c r="CT633" t="str">
        <f>""</f>
        <v/>
      </c>
      <c r="CU633" t="str">
        <f>""</f>
        <v/>
      </c>
      <c r="CV633" t="str">
        <f>""</f>
        <v/>
      </c>
      <c r="CW633" t="str">
        <f>""</f>
        <v/>
      </c>
      <c r="CX633" t="str">
        <f>""</f>
        <v/>
      </c>
      <c r="CY633" t="str">
        <f>""</f>
        <v/>
      </c>
      <c r="CZ633" t="str">
        <f>""</f>
        <v/>
      </c>
      <c r="DA633" t="str">
        <f>""</f>
        <v/>
      </c>
      <c r="DB633" t="str">
        <f>""</f>
        <v/>
      </c>
      <c r="DC633" t="str">
        <f>""</f>
        <v/>
      </c>
      <c r="DD633" t="str">
        <f>""</f>
        <v/>
      </c>
      <c r="DE633" t="str">
        <f>""</f>
        <v/>
      </c>
      <c r="DF633" t="str">
        <f>""</f>
        <v/>
      </c>
      <c r="DG633" t="str">
        <f>""</f>
        <v/>
      </c>
      <c r="DH633" t="str">
        <f>""</f>
        <v/>
      </c>
      <c r="DI633" t="str">
        <f>""</f>
        <v/>
      </c>
      <c r="DJ633" t="str">
        <f>""</f>
        <v/>
      </c>
      <c r="DK633" t="str">
        <f>""</f>
        <v/>
      </c>
      <c r="DL633" t="str">
        <f>""</f>
        <v/>
      </c>
      <c r="DM633" t="str">
        <f>""</f>
        <v/>
      </c>
      <c r="DN633" t="str">
        <f>""</f>
        <v/>
      </c>
      <c r="DO633" t="str">
        <f>""</f>
        <v/>
      </c>
      <c r="DP633" t="str">
        <f>""</f>
        <v/>
      </c>
      <c r="DQ633" t="str">
        <f>""</f>
        <v/>
      </c>
      <c r="DR633" t="str">
        <f>""</f>
        <v/>
      </c>
      <c r="DS633" t="str">
        <f>""</f>
        <v/>
      </c>
      <c r="DT633" t="str">
        <f>""</f>
        <v/>
      </c>
      <c r="DU633" t="str">
        <f>""</f>
        <v/>
      </c>
    </row>
    <row r="634" spans="1:125">
      <c r="A634" t="str">
        <f>$A$184</f>
        <v xml:space="preserve">    Federal Realty Investment Trus</v>
      </c>
      <c r="B634" t="str">
        <f>$B$184</f>
        <v>FRT US Equity</v>
      </c>
      <c r="C634" t="str">
        <f>$C$184</f>
        <v>BE592</v>
      </c>
      <c r="D634" t="str">
        <f>$D$184</f>
        <v>BEST_FFOPS_YOY_GTH</v>
      </c>
      <c r="E634" t="str">
        <f>$E$184</f>
        <v>动态</v>
      </c>
      <c r="F634" t="str">
        <f ca="1">BDH($B$184,$C$184,$B$417,$B$418,CONCATENATE("Per=",$B$415),"Dts=H","Dir=H",CONCATENATE("Points=",$B$416),"Sort=R","Days=A","Fill=B","BE997=1GY",CONCATENATE("FX=", $B$414) )</f>
        <v>#N/A Authorization</v>
      </c>
      <c r="BN634" t="str">
        <f>""</f>
        <v/>
      </c>
      <c r="BO634" t="str">
        <f>""</f>
        <v/>
      </c>
      <c r="BP634" t="str">
        <f>""</f>
        <v/>
      </c>
      <c r="BQ634" t="str">
        <f>""</f>
        <v/>
      </c>
      <c r="BR634" t="str">
        <f>""</f>
        <v/>
      </c>
      <c r="BS634" t="str">
        <f>""</f>
        <v/>
      </c>
      <c r="BT634" t="str">
        <f>""</f>
        <v/>
      </c>
      <c r="BU634" t="str">
        <f>""</f>
        <v/>
      </c>
      <c r="BV634" t="str">
        <f>""</f>
        <v/>
      </c>
      <c r="BW634" t="str">
        <f>""</f>
        <v/>
      </c>
      <c r="BX634" t="str">
        <f>""</f>
        <v/>
      </c>
      <c r="BY634" t="str">
        <f>""</f>
        <v/>
      </c>
      <c r="BZ634" t="str">
        <f>""</f>
        <v/>
      </c>
      <c r="CA634" t="str">
        <f>""</f>
        <v/>
      </c>
      <c r="CB634" t="str">
        <f>""</f>
        <v/>
      </c>
      <c r="CC634" t="str">
        <f>""</f>
        <v/>
      </c>
      <c r="CD634" t="str">
        <f>""</f>
        <v/>
      </c>
      <c r="CE634" t="str">
        <f>""</f>
        <v/>
      </c>
      <c r="CF634" t="str">
        <f>""</f>
        <v/>
      </c>
      <c r="CG634" t="str">
        <f>""</f>
        <v/>
      </c>
      <c r="CH634" t="str">
        <f>""</f>
        <v/>
      </c>
      <c r="CI634" t="str">
        <f>""</f>
        <v/>
      </c>
      <c r="CJ634" t="str">
        <f>""</f>
        <v/>
      </c>
      <c r="CK634" t="str">
        <f>""</f>
        <v/>
      </c>
      <c r="CL634" t="str">
        <f>""</f>
        <v/>
      </c>
      <c r="CM634" t="str">
        <f>""</f>
        <v/>
      </c>
      <c r="CN634" t="str">
        <f>""</f>
        <v/>
      </c>
      <c r="CO634" t="str">
        <f>""</f>
        <v/>
      </c>
      <c r="CP634" t="str">
        <f>""</f>
        <v/>
      </c>
      <c r="CQ634" t="str">
        <f>""</f>
        <v/>
      </c>
      <c r="CR634" t="str">
        <f>""</f>
        <v/>
      </c>
      <c r="CS634" t="str">
        <f>""</f>
        <v/>
      </c>
      <c r="CT634" t="str">
        <f>""</f>
        <v/>
      </c>
      <c r="CU634" t="str">
        <f>""</f>
        <v/>
      </c>
      <c r="CV634" t="str">
        <f>""</f>
        <v/>
      </c>
      <c r="CW634" t="str">
        <f>""</f>
        <v/>
      </c>
      <c r="CX634" t="str">
        <f>""</f>
        <v/>
      </c>
      <c r="CY634" t="str">
        <f>""</f>
        <v/>
      </c>
      <c r="CZ634" t="str">
        <f>""</f>
        <v/>
      </c>
      <c r="DA634" t="str">
        <f>""</f>
        <v/>
      </c>
      <c r="DB634" t="str">
        <f>""</f>
        <v/>
      </c>
      <c r="DC634" t="str">
        <f>""</f>
        <v/>
      </c>
      <c r="DD634" t="str">
        <f>""</f>
        <v/>
      </c>
      <c r="DE634" t="str">
        <f>""</f>
        <v/>
      </c>
      <c r="DF634" t="str">
        <f>""</f>
        <v/>
      </c>
      <c r="DG634" t="str">
        <f>""</f>
        <v/>
      </c>
      <c r="DH634" t="str">
        <f>""</f>
        <v/>
      </c>
      <c r="DI634" t="str">
        <f>""</f>
        <v/>
      </c>
      <c r="DJ634" t="str">
        <f>""</f>
        <v/>
      </c>
      <c r="DK634" t="str">
        <f>""</f>
        <v/>
      </c>
      <c r="DL634" t="str">
        <f>""</f>
        <v/>
      </c>
      <c r="DM634" t="str">
        <f>""</f>
        <v/>
      </c>
      <c r="DN634" t="str">
        <f>""</f>
        <v/>
      </c>
      <c r="DO634" t="str">
        <f>""</f>
        <v/>
      </c>
      <c r="DP634" t="str">
        <f>""</f>
        <v/>
      </c>
      <c r="DQ634" t="str">
        <f>""</f>
        <v/>
      </c>
      <c r="DR634" t="str">
        <f>""</f>
        <v/>
      </c>
      <c r="DS634" t="str">
        <f>""</f>
        <v/>
      </c>
      <c r="DT634" t="str">
        <f>""</f>
        <v/>
      </c>
      <c r="DU634" t="str">
        <f>""</f>
        <v/>
      </c>
    </row>
    <row r="635" spans="1:125">
      <c r="A635" t="str">
        <f>$A$185</f>
        <v xml:space="preserve">    Kimco Realty Corp</v>
      </c>
      <c r="B635" t="str">
        <f>$B$185</f>
        <v>KIM US Equity</v>
      </c>
      <c r="C635" t="str">
        <f>$C$185</f>
        <v>BE592</v>
      </c>
      <c r="D635" t="str">
        <f>$D$185</f>
        <v>BEST_FFOPS_YOY_GTH</v>
      </c>
      <c r="E635" t="str">
        <f>$E$185</f>
        <v>动态</v>
      </c>
      <c r="F635" t="str">
        <f ca="1">BDH($B$185,$C$185,$B$417,$B$418,CONCATENATE("Per=",$B$415),"Dts=H","Dir=H",CONCATENATE("Points=",$B$416),"Sort=R","Days=A","Fill=B","BE997=1GY",CONCATENATE("FX=", $B$414) )</f>
        <v>#N/A Authorization</v>
      </c>
      <c r="BN635" t="str">
        <f>""</f>
        <v/>
      </c>
      <c r="BO635" t="str">
        <f>""</f>
        <v/>
      </c>
      <c r="BP635" t="str">
        <f>""</f>
        <v/>
      </c>
      <c r="BQ635" t="str">
        <f>""</f>
        <v/>
      </c>
      <c r="BR635" t="str">
        <f>""</f>
        <v/>
      </c>
      <c r="BS635" t="str">
        <f>""</f>
        <v/>
      </c>
      <c r="BT635" t="str">
        <f>""</f>
        <v/>
      </c>
      <c r="BU635" t="str">
        <f>""</f>
        <v/>
      </c>
      <c r="BV635" t="str">
        <f>""</f>
        <v/>
      </c>
      <c r="BW635" t="str">
        <f>""</f>
        <v/>
      </c>
      <c r="BX635" t="str">
        <f>""</f>
        <v/>
      </c>
      <c r="BY635" t="str">
        <f>""</f>
        <v/>
      </c>
      <c r="BZ635" t="str">
        <f>""</f>
        <v/>
      </c>
      <c r="CA635" t="str">
        <f>""</f>
        <v/>
      </c>
      <c r="CB635" t="str">
        <f>""</f>
        <v/>
      </c>
      <c r="CC635" t="str">
        <f>""</f>
        <v/>
      </c>
      <c r="CD635" t="str">
        <f>""</f>
        <v/>
      </c>
      <c r="CE635" t="str">
        <f>""</f>
        <v/>
      </c>
      <c r="CF635" t="str">
        <f>""</f>
        <v/>
      </c>
      <c r="CG635" t="str">
        <f>""</f>
        <v/>
      </c>
      <c r="CH635" t="str">
        <f>""</f>
        <v/>
      </c>
      <c r="CI635" t="str">
        <f>""</f>
        <v/>
      </c>
      <c r="CJ635" t="str">
        <f>""</f>
        <v/>
      </c>
      <c r="CK635" t="str">
        <f>""</f>
        <v/>
      </c>
      <c r="CL635" t="str">
        <f>""</f>
        <v/>
      </c>
      <c r="CM635" t="str">
        <f>""</f>
        <v/>
      </c>
      <c r="CN635" t="str">
        <f>""</f>
        <v/>
      </c>
      <c r="CO635" t="str">
        <f>""</f>
        <v/>
      </c>
      <c r="CP635" t="str">
        <f>""</f>
        <v/>
      </c>
      <c r="CQ635" t="str">
        <f>""</f>
        <v/>
      </c>
      <c r="CR635" t="str">
        <f>""</f>
        <v/>
      </c>
      <c r="CS635" t="str">
        <f>""</f>
        <v/>
      </c>
      <c r="CT635" t="str">
        <f>""</f>
        <v/>
      </c>
      <c r="CU635" t="str">
        <f>""</f>
        <v/>
      </c>
      <c r="CV635" t="str">
        <f>""</f>
        <v/>
      </c>
      <c r="CW635" t="str">
        <f>""</f>
        <v/>
      </c>
      <c r="CX635" t="str">
        <f>""</f>
        <v/>
      </c>
      <c r="CY635" t="str">
        <f>""</f>
        <v/>
      </c>
      <c r="CZ635" t="str">
        <f>""</f>
        <v/>
      </c>
      <c r="DA635" t="str">
        <f>""</f>
        <v/>
      </c>
      <c r="DB635" t="str">
        <f>""</f>
        <v/>
      </c>
      <c r="DC635" t="str">
        <f>""</f>
        <v/>
      </c>
      <c r="DD635" t="str">
        <f>""</f>
        <v/>
      </c>
      <c r="DE635" t="str">
        <f>""</f>
        <v/>
      </c>
      <c r="DF635" t="str">
        <f>""</f>
        <v/>
      </c>
      <c r="DG635" t="str">
        <f>""</f>
        <v/>
      </c>
      <c r="DH635" t="str">
        <f>""</f>
        <v/>
      </c>
      <c r="DI635" t="str">
        <f>""</f>
        <v/>
      </c>
      <c r="DJ635" t="str">
        <f>""</f>
        <v/>
      </c>
      <c r="DK635" t="str">
        <f>""</f>
        <v/>
      </c>
      <c r="DL635" t="str">
        <f>""</f>
        <v/>
      </c>
      <c r="DM635" t="str">
        <f>""</f>
        <v/>
      </c>
      <c r="DN635" t="str">
        <f>""</f>
        <v/>
      </c>
      <c r="DO635" t="str">
        <f>""</f>
        <v/>
      </c>
      <c r="DP635" t="str">
        <f>""</f>
        <v/>
      </c>
      <c r="DQ635" t="str">
        <f>""</f>
        <v/>
      </c>
      <c r="DR635" t="str">
        <f>""</f>
        <v/>
      </c>
      <c r="DS635" t="str">
        <f>""</f>
        <v/>
      </c>
      <c r="DT635" t="str">
        <f>""</f>
        <v/>
      </c>
      <c r="DU635" t="str">
        <f>""</f>
        <v/>
      </c>
    </row>
    <row r="636" spans="1:125">
      <c r="A636" t="str">
        <f>$A$186</f>
        <v xml:space="preserve">    National Retail Properties Inc</v>
      </c>
      <c r="B636" t="str">
        <f>$B$186</f>
        <v>NNN US Equity</v>
      </c>
      <c r="C636" t="str">
        <f>$C$186</f>
        <v>BE592</v>
      </c>
      <c r="D636" t="str">
        <f>$D$186</f>
        <v>BEST_FFOPS_YOY_GTH</v>
      </c>
      <c r="E636" t="str">
        <f>$E$186</f>
        <v>动态</v>
      </c>
      <c r="F636" t="str">
        <f ca="1">BDH($B$186,$C$186,$B$417,$B$418,CONCATENATE("Per=",$B$415),"Dts=H","Dir=H",CONCATENATE("Points=",$B$416),"Sort=R","Days=A","Fill=B","BE997=1GY",CONCATENATE("FX=", $B$414) )</f>
        <v>#N/A Authorization</v>
      </c>
      <c r="BN636" t="str">
        <f>""</f>
        <v/>
      </c>
      <c r="BO636" t="str">
        <f>""</f>
        <v/>
      </c>
      <c r="BP636" t="str">
        <f>""</f>
        <v/>
      </c>
      <c r="BQ636" t="str">
        <f>""</f>
        <v/>
      </c>
      <c r="BR636" t="str">
        <f>""</f>
        <v/>
      </c>
      <c r="BS636" t="str">
        <f>""</f>
        <v/>
      </c>
      <c r="BT636" t="str">
        <f>""</f>
        <v/>
      </c>
      <c r="BU636" t="str">
        <f>""</f>
        <v/>
      </c>
      <c r="BV636" t="str">
        <f>""</f>
        <v/>
      </c>
      <c r="BW636" t="str">
        <f>""</f>
        <v/>
      </c>
      <c r="BX636" t="str">
        <f>""</f>
        <v/>
      </c>
      <c r="BY636" t="str">
        <f>""</f>
        <v/>
      </c>
      <c r="BZ636" t="str">
        <f>""</f>
        <v/>
      </c>
      <c r="CA636" t="str">
        <f>""</f>
        <v/>
      </c>
      <c r="CB636" t="str">
        <f>""</f>
        <v/>
      </c>
      <c r="CC636" t="str">
        <f>""</f>
        <v/>
      </c>
      <c r="CD636" t="str">
        <f>""</f>
        <v/>
      </c>
      <c r="CE636" t="str">
        <f>""</f>
        <v/>
      </c>
      <c r="CF636" t="str">
        <f>""</f>
        <v/>
      </c>
      <c r="CG636" t="str">
        <f>""</f>
        <v/>
      </c>
      <c r="CH636" t="str">
        <f>""</f>
        <v/>
      </c>
      <c r="CI636" t="str">
        <f>""</f>
        <v/>
      </c>
      <c r="CJ636" t="str">
        <f>""</f>
        <v/>
      </c>
      <c r="CK636" t="str">
        <f>""</f>
        <v/>
      </c>
      <c r="CL636" t="str">
        <f>""</f>
        <v/>
      </c>
      <c r="CM636" t="str">
        <f>""</f>
        <v/>
      </c>
      <c r="CN636" t="str">
        <f>""</f>
        <v/>
      </c>
      <c r="CO636" t="str">
        <f>""</f>
        <v/>
      </c>
      <c r="CP636" t="str">
        <f>""</f>
        <v/>
      </c>
      <c r="CQ636" t="str">
        <f>""</f>
        <v/>
      </c>
      <c r="CR636" t="str">
        <f>""</f>
        <v/>
      </c>
      <c r="CS636" t="str">
        <f>""</f>
        <v/>
      </c>
      <c r="CT636" t="str">
        <f>""</f>
        <v/>
      </c>
      <c r="CU636" t="str">
        <f>""</f>
        <v/>
      </c>
      <c r="CV636" t="str">
        <f>""</f>
        <v/>
      </c>
      <c r="CW636" t="str">
        <f>""</f>
        <v/>
      </c>
      <c r="CX636" t="str">
        <f>""</f>
        <v/>
      </c>
      <c r="CY636" t="str">
        <f>""</f>
        <v/>
      </c>
      <c r="CZ636" t="str">
        <f>""</f>
        <v/>
      </c>
      <c r="DA636" t="str">
        <f>""</f>
        <v/>
      </c>
      <c r="DB636" t="str">
        <f>""</f>
        <v/>
      </c>
      <c r="DC636" t="str">
        <f>""</f>
        <v/>
      </c>
      <c r="DD636" t="str">
        <f>""</f>
        <v/>
      </c>
      <c r="DE636" t="str">
        <f>""</f>
        <v/>
      </c>
      <c r="DF636" t="str">
        <f>""</f>
        <v/>
      </c>
      <c r="DG636" t="str">
        <f>""</f>
        <v/>
      </c>
      <c r="DH636" t="str">
        <f>""</f>
        <v/>
      </c>
      <c r="DI636" t="str">
        <f>""</f>
        <v/>
      </c>
      <c r="DJ636" t="str">
        <f>""</f>
        <v/>
      </c>
      <c r="DK636" t="str">
        <f>""</f>
        <v/>
      </c>
      <c r="DL636" t="str">
        <f>""</f>
        <v/>
      </c>
      <c r="DM636" t="str">
        <f>""</f>
        <v/>
      </c>
      <c r="DN636" t="str">
        <f>""</f>
        <v/>
      </c>
      <c r="DO636" t="str">
        <f>""</f>
        <v/>
      </c>
      <c r="DP636" t="str">
        <f>""</f>
        <v/>
      </c>
      <c r="DQ636" t="str">
        <f>""</f>
        <v/>
      </c>
      <c r="DR636" t="str">
        <f>""</f>
        <v/>
      </c>
      <c r="DS636" t="str">
        <f>""</f>
        <v/>
      </c>
      <c r="DT636" t="str">
        <f>""</f>
        <v/>
      </c>
      <c r="DU636" t="str">
        <f>""</f>
        <v/>
      </c>
    </row>
    <row r="637" spans="1:125">
      <c r="A637" t="str">
        <f>$A$187</f>
        <v xml:space="preserve">    Realty Income Corp</v>
      </c>
      <c r="B637" t="str">
        <f>$B$187</f>
        <v>O US Equity</v>
      </c>
      <c r="C637" t="str">
        <f>$C$187</f>
        <v>BE592</v>
      </c>
      <c r="D637" t="str">
        <f>$D$187</f>
        <v>BEST_FFOPS_YOY_GTH</v>
      </c>
      <c r="E637" t="str">
        <f>$E$187</f>
        <v>动态</v>
      </c>
      <c r="F637" t="str">
        <f ca="1">BDH($B$187,$C$187,$B$417,$B$418,CONCATENATE("Per=",$B$415),"Dts=H","Dir=H",CONCATENATE("Points=",$B$416),"Sort=R","Days=A","Fill=B","BE997=1GY",CONCATENATE("FX=", $B$414) )</f>
        <v>#N/A Authorization</v>
      </c>
      <c r="BN637" t="str">
        <f>""</f>
        <v/>
      </c>
      <c r="BO637" t="str">
        <f>""</f>
        <v/>
      </c>
      <c r="BP637" t="str">
        <f>""</f>
        <v/>
      </c>
      <c r="BQ637" t="str">
        <f>""</f>
        <v/>
      </c>
      <c r="BR637" t="str">
        <f>""</f>
        <v/>
      </c>
      <c r="BS637" t="str">
        <f>""</f>
        <v/>
      </c>
      <c r="BT637" t="str">
        <f>""</f>
        <v/>
      </c>
      <c r="BU637" t="str">
        <f>""</f>
        <v/>
      </c>
      <c r="BV637" t="str">
        <f>""</f>
        <v/>
      </c>
      <c r="BW637" t="str">
        <f>""</f>
        <v/>
      </c>
      <c r="BX637" t="str">
        <f>""</f>
        <v/>
      </c>
      <c r="BY637" t="str">
        <f>""</f>
        <v/>
      </c>
      <c r="BZ637" t="str">
        <f>""</f>
        <v/>
      </c>
      <c r="CA637" t="str">
        <f>""</f>
        <v/>
      </c>
      <c r="CB637" t="str">
        <f>""</f>
        <v/>
      </c>
      <c r="CC637" t="str">
        <f>""</f>
        <v/>
      </c>
      <c r="CD637" t="str">
        <f>""</f>
        <v/>
      </c>
      <c r="CE637" t="str">
        <f>""</f>
        <v/>
      </c>
      <c r="CF637" t="str">
        <f>""</f>
        <v/>
      </c>
      <c r="CG637" t="str">
        <f>""</f>
        <v/>
      </c>
      <c r="CH637" t="str">
        <f>""</f>
        <v/>
      </c>
      <c r="CI637" t="str">
        <f>""</f>
        <v/>
      </c>
      <c r="CJ637" t="str">
        <f>""</f>
        <v/>
      </c>
      <c r="CK637" t="str">
        <f>""</f>
        <v/>
      </c>
      <c r="CL637" t="str">
        <f>""</f>
        <v/>
      </c>
      <c r="CM637" t="str">
        <f>""</f>
        <v/>
      </c>
      <c r="CN637" t="str">
        <f>""</f>
        <v/>
      </c>
      <c r="CO637" t="str">
        <f>""</f>
        <v/>
      </c>
      <c r="CP637" t="str">
        <f>""</f>
        <v/>
      </c>
      <c r="CQ637" t="str">
        <f>""</f>
        <v/>
      </c>
      <c r="CR637" t="str">
        <f>""</f>
        <v/>
      </c>
      <c r="CS637" t="str">
        <f>""</f>
        <v/>
      </c>
      <c r="CT637" t="str">
        <f>""</f>
        <v/>
      </c>
      <c r="CU637" t="str">
        <f>""</f>
        <v/>
      </c>
      <c r="CV637" t="str">
        <f>""</f>
        <v/>
      </c>
      <c r="CW637" t="str">
        <f>""</f>
        <v/>
      </c>
      <c r="CX637" t="str">
        <f>""</f>
        <v/>
      </c>
      <c r="CY637" t="str">
        <f>""</f>
        <v/>
      </c>
      <c r="CZ637" t="str">
        <f>""</f>
        <v/>
      </c>
      <c r="DA637" t="str">
        <f>""</f>
        <v/>
      </c>
      <c r="DB637" t="str">
        <f>""</f>
        <v/>
      </c>
      <c r="DC637" t="str">
        <f>""</f>
        <v/>
      </c>
      <c r="DD637" t="str">
        <f>""</f>
        <v/>
      </c>
      <c r="DE637" t="str">
        <f>""</f>
        <v/>
      </c>
      <c r="DF637" t="str">
        <f>""</f>
        <v/>
      </c>
      <c r="DG637" t="str">
        <f>""</f>
        <v/>
      </c>
      <c r="DH637" t="str">
        <f>""</f>
        <v/>
      </c>
      <c r="DI637" t="str">
        <f>""</f>
        <v/>
      </c>
      <c r="DJ637" t="str">
        <f>""</f>
        <v/>
      </c>
      <c r="DK637" t="str">
        <f>""</f>
        <v/>
      </c>
      <c r="DL637" t="str">
        <f>""</f>
        <v/>
      </c>
      <c r="DM637" t="str">
        <f>""</f>
        <v/>
      </c>
      <c r="DN637" t="str">
        <f>""</f>
        <v/>
      </c>
      <c r="DO637" t="str">
        <f>""</f>
        <v/>
      </c>
      <c r="DP637" t="str">
        <f>""</f>
        <v/>
      </c>
      <c r="DQ637" t="str">
        <f>""</f>
        <v/>
      </c>
      <c r="DR637" t="str">
        <f>""</f>
        <v/>
      </c>
      <c r="DS637" t="str">
        <f>""</f>
        <v/>
      </c>
      <c r="DT637" t="str">
        <f>""</f>
        <v/>
      </c>
      <c r="DU637" t="str">
        <f>""</f>
        <v/>
      </c>
    </row>
    <row r="638" spans="1:125">
      <c r="A638" t="str">
        <f>$A$188</f>
        <v xml:space="preserve">    Regency Centers Corp</v>
      </c>
      <c r="B638" t="str">
        <f>$B$188</f>
        <v>REG US Equity</v>
      </c>
      <c r="C638" t="str">
        <f>$C$188</f>
        <v>BE592</v>
      </c>
      <c r="D638" t="str">
        <f>$D$188</f>
        <v>BEST_FFOPS_YOY_GTH</v>
      </c>
      <c r="E638" t="str">
        <f>$E$188</f>
        <v>动态</v>
      </c>
      <c r="F638" t="str">
        <f ca="1">BDH($B$188,$C$188,$B$417,$B$418,CONCATENATE("Per=",$B$415),"Dts=H","Dir=H",CONCATENATE("Points=",$B$416),"Sort=R","Days=A","Fill=B","BE997=1GY",CONCATENATE("FX=", $B$414) )</f>
        <v>#N/A Authorization</v>
      </c>
      <c r="BN638" t="str">
        <f>""</f>
        <v/>
      </c>
      <c r="BO638" t="str">
        <f>""</f>
        <v/>
      </c>
      <c r="BP638" t="str">
        <f>""</f>
        <v/>
      </c>
      <c r="BQ638" t="str">
        <f>""</f>
        <v/>
      </c>
      <c r="BR638" t="str">
        <f>""</f>
        <v/>
      </c>
      <c r="BS638" t="str">
        <f>""</f>
        <v/>
      </c>
      <c r="BT638" t="str">
        <f>""</f>
        <v/>
      </c>
      <c r="BU638" t="str">
        <f>""</f>
        <v/>
      </c>
      <c r="BV638" t="str">
        <f>""</f>
        <v/>
      </c>
      <c r="BW638" t="str">
        <f>""</f>
        <v/>
      </c>
      <c r="BX638" t="str">
        <f>""</f>
        <v/>
      </c>
      <c r="BY638" t="str">
        <f>""</f>
        <v/>
      </c>
      <c r="BZ638" t="str">
        <f>""</f>
        <v/>
      </c>
      <c r="CA638" t="str">
        <f>""</f>
        <v/>
      </c>
      <c r="CB638" t="str">
        <f>""</f>
        <v/>
      </c>
      <c r="CC638" t="str">
        <f>""</f>
        <v/>
      </c>
      <c r="CD638" t="str">
        <f>""</f>
        <v/>
      </c>
      <c r="CE638" t="str">
        <f>""</f>
        <v/>
      </c>
      <c r="CF638" t="str">
        <f>""</f>
        <v/>
      </c>
      <c r="CG638" t="str">
        <f>""</f>
        <v/>
      </c>
      <c r="CH638" t="str">
        <f>""</f>
        <v/>
      </c>
      <c r="CI638" t="str">
        <f>""</f>
        <v/>
      </c>
      <c r="CJ638" t="str">
        <f>""</f>
        <v/>
      </c>
      <c r="CK638" t="str">
        <f>""</f>
        <v/>
      </c>
      <c r="CL638" t="str">
        <f>""</f>
        <v/>
      </c>
      <c r="CM638" t="str">
        <f>""</f>
        <v/>
      </c>
      <c r="CN638" t="str">
        <f>""</f>
        <v/>
      </c>
      <c r="CO638" t="str">
        <f>""</f>
        <v/>
      </c>
      <c r="CP638" t="str">
        <f>""</f>
        <v/>
      </c>
      <c r="CQ638" t="str">
        <f>""</f>
        <v/>
      </c>
      <c r="CR638" t="str">
        <f>""</f>
        <v/>
      </c>
      <c r="CS638" t="str">
        <f>""</f>
        <v/>
      </c>
      <c r="CT638" t="str">
        <f>""</f>
        <v/>
      </c>
      <c r="CU638" t="str">
        <f>""</f>
        <v/>
      </c>
      <c r="CV638" t="str">
        <f>""</f>
        <v/>
      </c>
      <c r="CW638" t="str">
        <f>""</f>
        <v/>
      </c>
      <c r="CX638" t="str">
        <f>""</f>
        <v/>
      </c>
      <c r="CY638" t="str">
        <f>""</f>
        <v/>
      </c>
      <c r="CZ638" t="str">
        <f>""</f>
        <v/>
      </c>
      <c r="DA638" t="str">
        <f>""</f>
        <v/>
      </c>
      <c r="DB638" t="str">
        <f>""</f>
        <v/>
      </c>
      <c r="DC638" t="str">
        <f>""</f>
        <v/>
      </c>
      <c r="DD638" t="str">
        <f>""</f>
        <v/>
      </c>
      <c r="DE638" t="str">
        <f>""</f>
        <v/>
      </c>
      <c r="DF638" t="str">
        <f>""</f>
        <v/>
      </c>
      <c r="DG638" t="str">
        <f>""</f>
        <v/>
      </c>
      <c r="DH638" t="str">
        <f>""</f>
        <v/>
      </c>
      <c r="DI638" t="str">
        <f>""</f>
        <v/>
      </c>
      <c r="DJ638" t="str">
        <f>""</f>
        <v/>
      </c>
      <c r="DK638" t="str">
        <f>""</f>
        <v/>
      </c>
      <c r="DL638" t="str">
        <f>""</f>
        <v/>
      </c>
      <c r="DM638" t="str">
        <f>""</f>
        <v/>
      </c>
      <c r="DN638" t="str">
        <f>""</f>
        <v/>
      </c>
      <c r="DO638" t="str">
        <f>""</f>
        <v/>
      </c>
      <c r="DP638" t="str">
        <f>""</f>
        <v/>
      </c>
      <c r="DQ638" t="str">
        <f>""</f>
        <v/>
      </c>
      <c r="DR638" t="str">
        <f>""</f>
        <v/>
      </c>
      <c r="DS638" t="str">
        <f>""</f>
        <v/>
      </c>
      <c r="DT638" t="str">
        <f>""</f>
        <v/>
      </c>
      <c r="DU638" t="str">
        <f>""</f>
        <v/>
      </c>
    </row>
    <row r="639" spans="1:125">
      <c r="A639" t="str">
        <f>$A$189</f>
        <v xml:space="preserve">    Retail Opportunity Investments</v>
      </c>
      <c r="B639" t="str">
        <f>$B$189</f>
        <v>ROIC US Equity</v>
      </c>
      <c r="C639" t="str">
        <f>$C$189</f>
        <v>BE592</v>
      </c>
      <c r="D639" t="str">
        <f>$D$189</f>
        <v>BEST_FFOPS_YOY_GTH</v>
      </c>
      <c r="E639" t="str">
        <f>$E$189</f>
        <v>动态</v>
      </c>
      <c r="F639" t="str">
        <f ca="1">BDH($B$189,$C$189,$B$417,$B$418,CONCATENATE("Per=",$B$415),"Dts=H","Dir=H",CONCATENATE("Points=",$B$416),"Sort=R","Days=A","Fill=B","BE997=1GY",CONCATENATE("FX=", $B$414) )</f>
        <v>#N/A Authorization</v>
      </c>
      <c r="BN639" t="str">
        <f>""</f>
        <v/>
      </c>
      <c r="BO639" t="str">
        <f>""</f>
        <v/>
      </c>
      <c r="BP639" t="str">
        <f>""</f>
        <v/>
      </c>
      <c r="BQ639" t="str">
        <f>""</f>
        <v/>
      </c>
      <c r="BR639" t="str">
        <f>""</f>
        <v/>
      </c>
      <c r="BS639" t="str">
        <f>""</f>
        <v/>
      </c>
      <c r="BT639" t="str">
        <f>""</f>
        <v/>
      </c>
      <c r="BU639" t="str">
        <f>""</f>
        <v/>
      </c>
      <c r="BV639" t="str">
        <f>""</f>
        <v/>
      </c>
      <c r="BW639" t="str">
        <f>""</f>
        <v/>
      </c>
      <c r="BX639" t="str">
        <f>""</f>
        <v/>
      </c>
      <c r="BY639" t="str">
        <f>""</f>
        <v/>
      </c>
      <c r="BZ639" t="str">
        <f>""</f>
        <v/>
      </c>
      <c r="CA639" t="str">
        <f>""</f>
        <v/>
      </c>
      <c r="CB639" t="str">
        <f>""</f>
        <v/>
      </c>
      <c r="CC639" t="str">
        <f>""</f>
        <v/>
      </c>
      <c r="CD639" t="str">
        <f>""</f>
        <v/>
      </c>
      <c r="CE639" t="str">
        <f>""</f>
        <v/>
      </c>
      <c r="CF639" t="str">
        <f>""</f>
        <v/>
      </c>
      <c r="CG639" t="str">
        <f>""</f>
        <v/>
      </c>
      <c r="CH639" t="str">
        <f>""</f>
        <v/>
      </c>
      <c r="CI639" t="str">
        <f>""</f>
        <v/>
      </c>
      <c r="CJ639" t="str">
        <f>""</f>
        <v/>
      </c>
      <c r="CK639" t="str">
        <f>""</f>
        <v/>
      </c>
      <c r="CL639" t="str">
        <f>""</f>
        <v/>
      </c>
      <c r="CM639" t="str">
        <f>""</f>
        <v/>
      </c>
      <c r="CN639" t="str">
        <f>""</f>
        <v/>
      </c>
      <c r="CO639" t="str">
        <f>""</f>
        <v/>
      </c>
      <c r="CP639" t="str">
        <f>""</f>
        <v/>
      </c>
      <c r="CQ639" t="str">
        <f>""</f>
        <v/>
      </c>
      <c r="CR639" t="str">
        <f>""</f>
        <v/>
      </c>
      <c r="CS639" t="str">
        <f>""</f>
        <v/>
      </c>
      <c r="CT639" t="str">
        <f>""</f>
        <v/>
      </c>
      <c r="CU639" t="str">
        <f>""</f>
        <v/>
      </c>
      <c r="CV639" t="str">
        <f>""</f>
        <v/>
      </c>
      <c r="CW639" t="str">
        <f>""</f>
        <v/>
      </c>
      <c r="CX639" t="str">
        <f>""</f>
        <v/>
      </c>
      <c r="CY639" t="str">
        <f>""</f>
        <v/>
      </c>
      <c r="CZ639" t="str">
        <f>""</f>
        <v/>
      </c>
      <c r="DA639" t="str">
        <f>""</f>
        <v/>
      </c>
      <c r="DB639" t="str">
        <f>""</f>
        <v/>
      </c>
      <c r="DC639" t="str">
        <f>""</f>
        <v/>
      </c>
      <c r="DD639" t="str">
        <f>""</f>
        <v/>
      </c>
      <c r="DE639" t="str">
        <f>""</f>
        <v/>
      </c>
      <c r="DF639" t="str">
        <f>""</f>
        <v/>
      </c>
      <c r="DG639" t="str">
        <f>""</f>
        <v/>
      </c>
      <c r="DH639" t="str">
        <f>""</f>
        <v/>
      </c>
      <c r="DI639" t="str">
        <f>""</f>
        <v/>
      </c>
      <c r="DJ639" t="str">
        <f>""</f>
        <v/>
      </c>
      <c r="DK639" t="str">
        <f>""</f>
        <v/>
      </c>
      <c r="DL639" t="str">
        <f>""</f>
        <v/>
      </c>
      <c r="DM639" t="str">
        <f>""</f>
        <v/>
      </c>
      <c r="DN639" t="str">
        <f>""</f>
        <v/>
      </c>
      <c r="DO639" t="str">
        <f>""</f>
        <v/>
      </c>
      <c r="DP639" t="str">
        <f>""</f>
        <v/>
      </c>
      <c r="DQ639" t="str">
        <f>""</f>
        <v/>
      </c>
      <c r="DR639" t="str">
        <f>""</f>
        <v/>
      </c>
      <c r="DS639" t="str">
        <f>""</f>
        <v/>
      </c>
      <c r="DT639" t="str">
        <f>""</f>
        <v/>
      </c>
      <c r="DU639" t="str">
        <f>""</f>
        <v/>
      </c>
    </row>
    <row r="640" spans="1:125">
      <c r="A640" t="str">
        <f>$A$190</f>
        <v xml:space="preserve">    Retail Properties of America I</v>
      </c>
      <c r="B640" t="str">
        <f>$B$190</f>
        <v>RPAI US Equity</v>
      </c>
      <c r="C640" t="str">
        <f>$C$190</f>
        <v>BE592</v>
      </c>
      <c r="D640" t="str">
        <f>$D$190</f>
        <v>BEST_FFOPS_YOY_GTH</v>
      </c>
      <c r="E640" t="str">
        <f>$E$190</f>
        <v>动态</v>
      </c>
      <c r="F640" t="str">
        <f ca="1">BDH($B$190,$C$190,$B$417,$B$418,CONCATENATE("Per=",$B$415),"Dts=H","Dir=H",CONCATENATE("Points=",$B$416),"Sort=R","Days=A","Fill=B","BE997=1GY",CONCATENATE("FX=", $B$414) )</f>
        <v>#N/A Authorization</v>
      </c>
      <c r="BN640" t="str">
        <f>""</f>
        <v/>
      </c>
      <c r="BO640" t="str">
        <f>""</f>
        <v/>
      </c>
      <c r="BP640" t="str">
        <f>""</f>
        <v/>
      </c>
      <c r="BQ640" t="str">
        <f>""</f>
        <v/>
      </c>
      <c r="BR640" t="str">
        <f>""</f>
        <v/>
      </c>
      <c r="BS640" t="str">
        <f>""</f>
        <v/>
      </c>
      <c r="BT640" t="str">
        <f>""</f>
        <v/>
      </c>
      <c r="BU640" t="str">
        <f>""</f>
        <v/>
      </c>
      <c r="BV640" t="str">
        <f>""</f>
        <v/>
      </c>
      <c r="BW640" t="str">
        <f>""</f>
        <v/>
      </c>
      <c r="BX640" t="str">
        <f>""</f>
        <v/>
      </c>
      <c r="BY640" t="str">
        <f>""</f>
        <v/>
      </c>
      <c r="BZ640" t="str">
        <f>""</f>
        <v/>
      </c>
      <c r="CA640" t="str">
        <f>""</f>
        <v/>
      </c>
      <c r="CB640" t="str">
        <f>""</f>
        <v/>
      </c>
      <c r="CC640" t="str">
        <f>""</f>
        <v/>
      </c>
      <c r="CD640" t="str">
        <f>""</f>
        <v/>
      </c>
      <c r="CE640" t="str">
        <f>""</f>
        <v/>
      </c>
      <c r="CF640" t="str">
        <f>""</f>
        <v/>
      </c>
      <c r="CG640" t="str">
        <f>""</f>
        <v/>
      </c>
      <c r="CH640" t="str">
        <f>""</f>
        <v/>
      </c>
      <c r="CI640" t="str">
        <f>""</f>
        <v/>
      </c>
      <c r="CJ640" t="str">
        <f>""</f>
        <v/>
      </c>
      <c r="CK640" t="str">
        <f>""</f>
        <v/>
      </c>
      <c r="CL640" t="str">
        <f>""</f>
        <v/>
      </c>
      <c r="CM640" t="str">
        <f>""</f>
        <v/>
      </c>
      <c r="CN640" t="str">
        <f>""</f>
        <v/>
      </c>
      <c r="CO640" t="str">
        <f>""</f>
        <v/>
      </c>
      <c r="CP640" t="str">
        <f>""</f>
        <v/>
      </c>
      <c r="CQ640" t="str">
        <f>""</f>
        <v/>
      </c>
      <c r="CR640" t="str">
        <f>""</f>
        <v/>
      </c>
      <c r="CS640" t="str">
        <f>""</f>
        <v/>
      </c>
      <c r="CT640" t="str">
        <f>""</f>
        <v/>
      </c>
      <c r="CU640" t="str">
        <f>""</f>
        <v/>
      </c>
      <c r="CV640" t="str">
        <f>""</f>
        <v/>
      </c>
      <c r="CW640" t="str">
        <f>""</f>
        <v/>
      </c>
      <c r="CX640" t="str">
        <f>""</f>
        <v/>
      </c>
      <c r="CY640" t="str">
        <f>""</f>
        <v/>
      </c>
      <c r="CZ640" t="str">
        <f>""</f>
        <v/>
      </c>
      <c r="DA640" t="str">
        <f>""</f>
        <v/>
      </c>
      <c r="DB640" t="str">
        <f>""</f>
        <v/>
      </c>
      <c r="DC640" t="str">
        <f>""</f>
        <v/>
      </c>
      <c r="DD640" t="str">
        <f>""</f>
        <v/>
      </c>
      <c r="DE640" t="str">
        <f>""</f>
        <v/>
      </c>
      <c r="DF640" t="str">
        <f>""</f>
        <v/>
      </c>
      <c r="DG640" t="str">
        <f>""</f>
        <v/>
      </c>
      <c r="DH640" t="str">
        <f>""</f>
        <v/>
      </c>
      <c r="DI640" t="str">
        <f>""</f>
        <v/>
      </c>
      <c r="DJ640" t="str">
        <f>""</f>
        <v/>
      </c>
      <c r="DK640" t="str">
        <f>""</f>
        <v/>
      </c>
      <c r="DL640" t="str">
        <f>""</f>
        <v/>
      </c>
      <c r="DM640" t="str">
        <f>""</f>
        <v/>
      </c>
      <c r="DN640" t="str">
        <f>""</f>
        <v/>
      </c>
      <c r="DO640" t="str">
        <f>""</f>
        <v/>
      </c>
      <c r="DP640" t="str">
        <f>""</f>
        <v/>
      </c>
      <c r="DQ640" t="str">
        <f>""</f>
        <v/>
      </c>
      <c r="DR640" t="str">
        <f>""</f>
        <v/>
      </c>
      <c r="DS640" t="str">
        <f>""</f>
        <v/>
      </c>
      <c r="DT640" t="str">
        <f>""</f>
        <v/>
      </c>
      <c r="DU640" t="str">
        <f>""</f>
        <v/>
      </c>
    </row>
    <row r="641" spans="1:125">
      <c r="A641" t="str">
        <f>$A$191</f>
        <v xml:space="preserve">    Simon Property Group Inc</v>
      </c>
      <c r="B641" t="str">
        <f>$B$191</f>
        <v>SPG US Equity</v>
      </c>
      <c r="C641" t="str">
        <f>$C$191</f>
        <v>BE592</v>
      </c>
      <c r="D641" t="str">
        <f>$D$191</f>
        <v>BEST_FFOPS_YOY_GTH</v>
      </c>
      <c r="E641" t="str">
        <f>$E$191</f>
        <v>动态</v>
      </c>
      <c r="F641" t="str">
        <f ca="1">BDH($B$191,$C$191,$B$417,$B$418,CONCATENATE("Per=",$B$415),"Dts=H","Dir=H",CONCATENATE("Points=",$B$416),"Sort=R","Days=A","Fill=B","BE997=1GY",CONCATENATE("FX=", $B$414) )</f>
        <v>#N/A Authorization</v>
      </c>
      <c r="BN641" t="str">
        <f>""</f>
        <v/>
      </c>
      <c r="BO641" t="str">
        <f>""</f>
        <v/>
      </c>
      <c r="BP641" t="str">
        <f>""</f>
        <v/>
      </c>
      <c r="BQ641" t="str">
        <f>""</f>
        <v/>
      </c>
      <c r="BR641" t="str">
        <f>""</f>
        <v/>
      </c>
      <c r="BS641" t="str">
        <f>""</f>
        <v/>
      </c>
      <c r="BT641" t="str">
        <f>""</f>
        <v/>
      </c>
      <c r="BU641" t="str">
        <f>""</f>
        <v/>
      </c>
      <c r="BV641" t="str">
        <f>""</f>
        <v/>
      </c>
      <c r="BW641" t="str">
        <f>""</f>
        <v/>
      </c>
      <c r="BX641" t="str">
        <f>""</f>
        <v/>
      </c>
      <c r="BY641" t="str">
        <f>""</f>
        <v/>
      </c>
      <c r="BZ641" t="str">
        <f>""</f>
        <v/>
      </c>
      <c r="CA641" t="str">
        <f>""</f>
        <v/>
      </c>
      <c r="CB641" t="str">
        <f>""</f>
        <v/>
      </c>
      <c r="CC641" t="str">
        <f>""</f>
        <v/>
      </c>
      <c r="CD641" t="str">
        <f>""</f>
        <v/>
      </c>
      <c r="CE641" t="str">
        <f>""</f>
        <v/>
      </c>
      <c r="CF641" t="str">
        <f>""</f>
        <v/>
      </c>
      <c r="CG641" t="str">
        <f>""</f>
        <v/>
      </c>
      <c r="CH641" t="str">
        <f>""</f>
        <v/>
      </c>
      <c r="CI641" t="str">
        <f>""</f>
        <v/>
      </c>
      <c r="CJ641" t="str">
        <f>""</f>
        <v/>
      </c>
      <c r="CK641" t="str">
        <f>""</f>
        <v/>
      </c>
      <c r="CL641" t="str">
        <f>""</f>
        <v/>
      </c>
      <c r="CM641" t="str">
        <f>""</f>
        <v/>
      </c>
      <c r="CN641" t="str">
        <f>""</f>
        <v/>
      </c>
      <c r="CO641" t="str">
        <f>""</f>
        <v/>
      </c>
      <c r="CP641" t="str">
        <f>""</f>
        <v/>
      </c>
      <c r="CQ641" t="str">
        <f>""</f>
        <v/>
      </c>
      <c r="CR641" t="str">
        <f>""</f>
        <v/>
      </c>
      <c r="CS641" t="str">
        <f>""</f>
        <v/>
      </c>
      <c r="CT641" t="str">
        <f>""</f>
        <v/>
      </c>
      <c r="CU641" t="str">
        <f>""</f>
        <v/>
      </c>
      <c r="CV641" t="str">
        <f>""</f>
        <v/>
      </c>
      <c r="CW641" t="str">
        <f>""</f>
        <v/>
      </c>
      <c r="CX641" t="str">
        <f>""</f>
        <v/>
      </c>
      <c r="CY641" t="str">
        <f>""</f>
        <v/>
      </c>
      <c r="CZ641" t="str">
        <f>""</f>
        <v/>
      </c>
      <c r="DA641" t="str">
        <f>""</f>
        <v/>
      </c>
      <c r="DB641" t="str">
        <f>""</f>
        <v/>
      </c>
      <c r="DC641" t="str">
        <f>""</f>
        <v/>
      </c>
      <c r="DD641" t="str">
        <f>""</f>
        <v/>
      </c>
      <c r="DE641" t="str">
        <f>""</f>
        <v/>
      </c>
      <c r="DF641" t="str">
        <f>""</f>
        <v/>
      </c>
      <c r="DG641" t="str">
        <f>""</f>
        <v/>
      </c>
      <c r="DH641" t="str">
        <f>""</f>
        <v/>
      </c>
      <c r="DI641" t="str">
        <f>""</f>
        <v/>
      </c>
      <c r="DJ641" t="str">
        <f>""</f>
        <v/>
      </c>
      <c r="DK641" t="str">
        <f>""</f>
        <v/>
      </c>
      <c r="DL641" t="str">
        <f>""</f>
        <v/>
      </c>
      <c r="DM641" t="str">
        <f>""</f>
        <v/>
      </c>
      <c r="DN641" t="str">
        <f>""</f>
        <v/>
      </c>
      <c r="DO641" t="str">
        <f>""</f>
        <v/>
      </c>
      <c r="DP641" t="str">
        <f>""</f>
        <v/>
      </c>
      <c r="DQ641" t="str">
        <f>""</f>
        <v/>
      </c>
      <c r="DR641" t="str">
        <f>""</f>
        <v/>
      </c>
      <c r="DS641" t="str">
        <f>""</f>
        <v/>
      </c>
      <c r="DT641" t="str">
        <f>""</f>
        <v/>
      </c>
      <c r="DU641" t="str">
        <f>""</f>
        <v/>
      </c>
    </row>
    <row r="642" spans="1:125">
      <c r="A642" t="str">
        <f>$A$192</f>
        <v xml:space="preserve">    Tanger Factory Outlet Centers</v>
      </c>
      <c r="B642" t="str">
        <f>$B$192</f>
        <v>SKT US Equity</v>
      </c>
      <c r="C642" t="str">
        <f>$C$192</f>
        <v>BE592</v>
      </c>
      <c r="D642" t="str">
        <f>$D$192</f>
        <v>BEST_FFOPS_YOY_GTH</v>
      </c>
      <c r="E642" t="str">
        <f>$E$192</f>
        <v>动态</v>
      </c>
      <c r="F642" t="str">
        <f ca="1">BDH($B$192,$C$192,$B$417,$B$418,CONCATENATE("Per=",$B$415),"Dts=H","Dir=H",CONCATENATE("Points=",$B$416),"Sort=R","Days=A","Fill=B","BE997=1GY",CONCATENATE("FX=", $B$414) )</f>
        <v>#N/A Authorization</v>
      </c>
      <c r="BN642" t="str">
        <f>""</f>
        <v/>
      </c>
      <c r="BO642" t="str">
        <f>""</f>
        <v/>
      </c>
      <c r="BP642" t="str">
        <f>""</f>
        <v/>
      </c>
      <c r="BQ642" t="str">
        <f>""</f>
        <v/>
      </c>
      <c r="BR642" t="str">
        <f>""</f>
        <v/>
      </c>
      <c r="BS642" t="str">
        <f>""</f>
        <v/>
      </c>
      <c r="BT642" t="str">
        <f>""</f>
        <v/>
      </c>
      <c r="BU642" t="str">
        <f>""</f>
        <v/>
      </c>
      <c r="BV642" t="str">
        <f>""</f>
        <v/>
      </c>
      <c r="BW642" t="str">
        <f>""</f>
        <v/>
      </c>
      <c r="BX642" t="str">
        <f>""</f>
        <v/>
      </c>
      <c r="BY642" t="str">
        <f>""</f>
        <v/>
      </c>
      <c r="BZ642" t="str">
        <f>""</f>
        <v/>
      </c>
      <c r="CA642" t="str">
        <f>""</f>
        <v/>
      </c>
      <c r="CB642" t="str">
        <f>""</f>
        <v/>
      </c>
      <c r="CC642" t="str">
        <f>""</f>
        <v/>
      </c>
      <c r="CD642" t="str">
        <f>""</f>
        <v/>
      </c>
      <c r="CE642" t="str">
        <f>""</f>
        <v/>
      </c>
      <c r="CF642" t="str">
        <f>""</f>
        <v/>
      </c>
      <c r="CG642" t="str">
        <f>""</f>
        <v/>
      </c>
      <c r="CH642" t="str">
        <f>""</f>
        <v/>
      </c>
      <c r="CI642" t="str">
        <f>""</f>
        <v/>
      </c>
      <c r="CJ642" t="str">
        <f>""</f>
        <v/>
      </c>
      <c r="CK642" t="str">
        <f>""</f>
        <v/>
      </c>
      <c r="CL642" t="str">
        <f>""</f>
        <v/>
      </c>
      <c r="CM642" t="str">
        <f>""</f>
        <v/>
      </c>
      <c r="CN642" t="str">
        <f>""</f>
        <v/>
      </c>
      <c r="CO642" t="str">
        <f>""</f>
        <v/>
      </c>
      <c r="CP642" t="str">
        <f>""</f>
        <v/>
      </c>
      <c r="CQ642" t="str">
        <f>""</f>
        <v/>
      </c>
      <c r="CR642" t="str">
        <f>""</f>
        <v/>
      </c>
      <c r="CS642" t="str">
        <f>""</f>
        <v/>
      </c>
      <c r="CT642" t="str">
        <f>""</f>
        <v/>
      </c>
      <c r="CU642" t="str">
        <f>""</f>
        <v/>
      </c>
      <c r="CV642" t="str">
        <f>""</f>
        <v/>
      </c>
      <c r="CW642" t="str">
        <f>""</f>
        <v/>
      </c>
      <c r="CX642" t="str">
        <f>""</f>
        <v/>
      </c>
      <c r="CY642" t="str">
        <f>""</f>
        <v/>
      </c>
      <c r="CZ642" t="str">
        <f>""</f>
        <v/>
      </c>
      <c r="DA642" t="str">
        <f>""</f>
        <v/>
      </c>
      <c r="DB642" t="str">
        <f>""</f>
        <v/>
      </c>
      <c r="DC642" t="str">
        <f>""</f>
        <v/>
      </c>
      <c r="DD642" t="str">
        <f>""</f>
        <v/>
      </c>
      <c r="DE642" t="str">
        <f>""</f>
        <v/>
      </c>
      <c r="DF642" t="str">
        <f>""</f>
        <v/>
      </c>
      <c r="DG642" t="str">
        <f>""</f>
        <v/>
      </c>
      <c r="DH642" t="str">
        <f>""</f>
        <v/>
      </c>
      <c r="DI642" t="str">
        <f>""</f>
        <v/>
      </c>
      <c r="DJ642" t="str">
        <f>""</f>
        <v/>
      </c>
      <c r="DK642" t="str">
        <f>""</f>
        <v/>
      </c>
      <c r="DL642" t="str">
        <f>""</f>
        <v/>
      </c>
      <c r="DM642" t="str">
        <f>""</f>
        <v/>
      </c>
      <c r="DN642" t="str">
        <f>""</f>
        <v/>
      </c>
      <c r="DO642" t="str">
        <f>""</f>
        <v/>
      </c>
      <c r="DP642" t="str">
        <f>""</f>
        <v/>
      </c>
      <c r="DQ642" t="str">
        <f>""</f>
        <v/>
      </c>
      <c r="DR642" t="str">
        <f>""</f>
        <v/>
      </c>
      <c r="DS642" t="str">
        <f>""</f>
        <v/>
      </c>
      <c r="DT642" t="str">
        <f>""</f>
        <v/>
      </c>
      <c r="DU642" t="str">
        <f>""</f>
        <v/>
      </c>
    </row>
    <row r="643" spans="1:125">
      <c r="A643" t="str">
        <f>$A$193</f>
        <v xml:space="preserve">    VEREIT Inc</v>
      </c>
      <c r="B643" t="str">
        <f>$B$193</f>
        <v>VER US Equity</v>
      </c>
      <c r="C643" t="str">
        <f>$C$193</f>
        <v>BE592</v>
      </c>
      <c r="D643" t="str">
        <f>$D$193</f>
        <v>BEST_FFOPS_YOY_GTH</v>
      </c>
      <c r="E643" t="str">
        <f>$E$193</f>
        <v>动态</v>
      </c>
      <c r="F643" t="str">
        <f ca="1">BDH($B$193,$C$193,$B$417,$B$418,CONCATENATE("Per=",$B$415),"Dts=H","Dir=H",CONCATENATE("Points=",$B$416),"Sort=R","Days=A","Fill=B","BE997=1GY",CONCATENATE("FX=", $B$414) )</f>
        <v>#N/A Authorization</v>
      </c>
      <c r="BN643" t="str">
        <f>""</f>
        <v/>
      </c>
      <c r="BO643" t="str">
        <f>""</f>
        <v/>
      </c>
      <c r="BP643" t="str">
        <f>""</f>
        <v/>
      </c>
      <c r="BQ643" t="str">
        <f>""</f>
        <v/>
      </c>
      <c r="BR643" t="str">
        <f>""</f>
        <v/>
      </c>
      <c r="BS643" t="str">
        <f>""</f>
        <v/>
      </c>
      <c r="BT643" t="str">
        <f>""</f>
        <v/>
      </c>
      <c r="BU643" t="str">
        <f>""</f>
        <v/>
      </c>
      <c r="BV643" t="str">
        <f>""</f>
        <v/>
      </c>
      <c r="BW643" t="str">
        <f>""</f>
        <v/>
      </c>
      <c r="BX643" t="str">
        <f>""</f>
        <v/>
      </c>
      <c r="BY643" t="str">
        <f>""</f>
        <v/>
      </c>
      <c r="BZ643" t="str">
        <f>""</f>
        <v/>
      </c>
      <c r="CA643" t="str">
        <f>""</f>
        <v/>
      </c>
      <c r="CB643" t="str">
        <f>""</f>
        <v/>
      </c>
      <c r="CC643" t="str">
        <f>""</f>
        <v/>
      </c>
      <c r="CD643" t="str">
        <f>""</f>
        <v/>
      </c>
      <c r="CE643" t="str">
        <f>""</f>
        <v/>
      </c>
      <c r="CF643" t="str">
        <f>""</f>
        <v/>
      </c>
      <c r="CG643" t="str">
        <f>""</f>
        <v/>
      </c>
      <c r="CH643" t="str">
        <f>""</f>
        <v/>
      </c>
      <c r="CI643" t="str">
        <f>""</f>
        <v/>
      </c>
      <c r="CJ643" t="str">
        <f>""</f>
        <v/>
      </c>
      <c r="CK643" t="str">
        <f>""</f>
        <v/>
      </c>
      <c r="CL643" t="str">
        <f>""</f>
        <v/>
      </c>
      <c r="CM643" t="str">
        <f>""</f>
        <v/>
      </c>
      <c r="CN643" t="str">
        <f>""</f>
        <v/>
      </c>
      <c r="CO643" t="str">
        <f>""</f>
        <v/>
      </c>
      <c r="CP643" t="str">
        <f>""</f>
        <v/>
      </c>
      <c r="CQ643" t="str">
        <f>""</f>
        <v/>
      </c>
      <c r="CR643" t="str">
        <f>""</f>
        <v/>
      </c>
      <c r="CS643" t="str">
        <f>""</f>
        <v/>
      </c>
      <c r="CT643" t="str">
        <f>""</f>
        <v/>
      </c>
      <c r="CU643" t="str">
        <f>""</f>
        <v/>
      </c>
      <c r="CV643" t="str">
        <f>""</f>
        <v/>
      </c>
      <c r="CW643" t="str">
        <f>""</f>
        <v/>
      </c>
      <c r="CX643" t="str">
        <f>""</f>
        <v/>
      </c>
      <c r="CY643" t="str">
        <f>""</f>
        <v/>
      </c>
      <c r="CZ643" t="str">
        <f>""</f>
        <v/>
      </c>
      <c r="DA643" t="str">
        <f>""</f>
        <v/>
      </c>
      <c r="DB643" t="str">
        <f>""</f>
        <v/>
      </c>
      <c r="DC643" t="str">
        <f>""</f>
        <v/>
      </c>
      <c r="DD643" t="str">
        <f>""</f>
        <v/>
      </c>
      <c r="DE643" t="str">
        <f>""</f>
        <v/>
      </c>
      <c r="DF643" t="str">
        <f>""</f>
        <v/>
      </c>
      <c r="DG643" t="str">
        <f>""</f>
        <v/>
      </c>
      <c r="DH643" t="str">
        <f>""</f>
        <v/>
      </c>
      <c r="DI643" t="str">
        <f>""</f>
        <v/>
      </c>
      <c r="DJ643" t="str">
        <f>""</f>
        <v/>
      </c>
      <c r="DK643" t="str">
        <f>""</f>
        <v/>
      </c>
      <c r="DL643" t="str">
        <f>""</f>
        <v/>
      </c>
      <c r="DM643" t="str">
        <f>""</f>
        <v/>
      </c>
      <c r="DN643" t="str">
        <f>""</f>
        <v/>
      </c>
      <c r="DO643" t="str">
        <f>""</f>
        <v/>
      </c>
      <c r="DP643" t="str">
        <f>""</f>
        <v/>
      </c>
      <c r="DQ643" t="str">
        <f>""</f>
        <v/>
      </c>
      <c r="DR643" t="str">
        <f>""</f>
        <v/>
      </c>
      <c r="DS643" t="str">
        <f>""</f>
        <v/>
      </c>
      <c r="DT643" t="str">
        <f>""</f>
        <v/>
      </c>
      <c r="DU643" t="str">
        <f>""</f>
        <v/>
      </c>
    </row>
    <row r="644" spans="1:125">
      <c r="A644" t="str">
        <f>$A$194</f>
        <v xml:space="preserve">    Washington Prime Group Inc</v>
      </c>
      <c r="B644" t="str">
        <f>$B$194</f>
        <v>WPG US Equity</v>
      </c>
      <c r="C644" t="str">
        <f>$C$194</f>
        <v>BE592</v>
      </c>
      <c r="D644" t="str">
        <f>$D$194</f>
        <v>BEST_FFOPS_YOY_GTH</v>
      </c>
      <c r="E644" t="str">
        <f>$E$194</f>
        <v>动态</v>
      </c>
      <c r="F644" t="str">
        <f ca="1">BDH($B$194,$C$194,$B$417,$B$418,CONCATENATE("Per=",$B$415),"Dts=H","Dir=H",CONCATENATE("Points=",$B$416),"Sort=R","Days=A","Fill=B","BE997=1GY",CONCATENATE("FX=", $B$414) )</f>
        <v>#N/A Authorization</v>
      </c>
      <c r="BN644" t="str">
        <f>""</f>
        <v/>
      </c>
      <c r="BO644" t="str">
        <f>""</f>
        <v/>
      </c>
      <c r="BP644" t="str">
        <f>""</f>
        <v/>
      </c>
      <c r="BQ644" t="str">
        <f>""</f>
        <v/>
      </c>
      <c r="BR644" t="str">
        <f>""</f>
        <v/>
      </c>
      <c r="BS644" t="str">
        <f>""</f>
        <v/>
      </c>
      <c r="BT644" t="str">
        <f>""</f>
        <v/>
      </c>
      <c r="BU644" t="str">
        <f>""</f>
        <v/>
      </c>
      <c r="BV644" t="str">
        <f>""</f>
        <v/>
      </c>
      <c r="BW644" t="str">
        <f>""</f>
        <v/>
      </c>
      <c r="BX644" t="str">
        <f>""</f>
        <v/>
      </c>
      <c r="BY644" t="str">
        <f>""</f>
        <v/>
      </c>
      <c r="BZ644" t="str">
        <f>""</f>
        <v/>
      </c>
      <c r="CA644" t="str">
        <f>""</f>
        <v/>
      </c>
      <c r="CB644" t="str">
        <f>""</f>
        <v/>
      </c>
      <c r="CC644" t="str">
        <f>""</f>
        <v/>
      </c>
      <c r="CD644" t="str">
        <f>""</f>
        <v/>
      </c>
      <c r="CE644" t="str">
        <f>""</f>
        <v/>
      </c>
      <c r="CF644" t="str">
        <f>""</f>
        <v/>
      </c>
      <c r="CG644" t="str">
        <f>""</f>
        <v/>
      </c>
      <c r="CH644" t="str">
        <f>""</f>
        <v/>
      </c>
      <c r="CI644" t="str">
        <f>""</f>
        <v/>
      </c>
      <c r="CJ644" t="str">
        <f>""</f>
        <v/>
      </c>
      <c r="CK644" t="str">
        <f>""</f>
        <v/>
      </c>
      <c r="CL644" t="str">
        <f>""</f>
        <v/>
      </c>
      <c r="CM644" t="str">
        <f>""</f>
        <v/>
      </c>
      <c r="CN644" t="str">
        <f>""</f>
        <v/>
      </c>
      <c r="CO644" t="str">
        <f>""</f>
        <v/>
      </c>
      <c r="CP644" t="str">
        <f>""</f>
        <v/>
      </c>
      <c r="CQ644" t="str">
        <f>""</f>
        <v/>
      </c>
      <c r="CR644" t="str">
        <f>""</f>
        <v/>
      </c>
      <c r="CS644" t="str">
        <f>""</f>
        <v/>
      </c>
      <c r="CT644" t="str">
        <f>""</f>
        <v/>
      </c>
      <c r="CU644" t="str">
        <f>""</f>
        <v/>
      </c>
      <c r="CV644" t="str">
        <f>""</f>
        <v/>
      </c>
      <c r="CW644" t="str">
        <f>""</f>
        <v/>
      </c>
      <c r="CX644" t="str">
        <f>""</f>
        <v/>
      </c>
      <c r="CY644" t="str">
        <f>""</f>
        <v/>
      </c>
      <c r="CZ644" t="str">
        <f>""</f>
        <v/>
      </c>
      <c r="DA644" t="str">
        <f>""</f>
        <v/>
      </c>
      <c r="DB644" t="str">
        <f>""</f>
        <v/>
      </c>
      <c r="DC644" t="str">
        <f>""</f>
        <v/>
      </c>
      <c r="DD644" t="str">
        <f>""</f>
        <v/>
      </c>
      <c r="DE644" t="str">
        <f>""</f>
        <v/>
      </c>
      <c r="DF644" t="str">
        <f>""</f>
        <v/>
      </c>
      <c r="DG644" t="str">
        <f>""</f>
        <v/>
      </c>
      <c r="DH644" t="str">
        <f>""</f>
        <v/>
      </c>
      <c r="DI644" t="str">
        <f>""</f>
        <v/>
      </c>
      <c r="DJ644" t="str">
        <f>""</f>
        <v/>
      </c>
      <c r="DK644" t="str">
        <f>""</f>
        <v/>
      </c>
      <c r="DL644" t="str">
        <f>""</f>
        <v/>
      </c>
      <c r="DM644" t="str">
        <f>""</f>
        <v/>
      </c>
      <c r="DN644" t="str">
        <f>""</f>
        <v/>
      </c>
      <c r="DO644" t="str">
        <f>""</f>
        <v/>
      </c>
      <c r="DP644" t="str">
        <f>""</f>
        <v/>
      </c>
      <c r="DQ644" t="str">
        <f>""</f>
        <v/>
      </c>
      <c r="DR644" t="str">
        <f>""</f>
        <v/>
      </c>
      <c r="DS644" t="str">
        <f>""</f>
        <v/>
      </c>
      <c r="DT644" t="str">
        <f>""</f>
        <v/>
      </c>
      <c r="DU644" t="str">
        <f>""</f>
        <v/>
      </c>
    </row>
    <row r="645" spans="1:125">
      <c r="A645" t="str">
        <f>$A$195</f>
        <v xml:space="preserve">    Weingarten Realty Investors</v>
      </c>
      <c r="B645" t="str">
        <f>$B$195</f>
        <v>WRI US Equity</v>
      </c>
      <c r="C645" t="str">
        <f>$C$195</f>
        <v>BE592</v>
      </c>
      <c r="D645" t="str">
        <f>$D$195</f>
        <v>BEST_FFOPS_YOY_GTH</v>
      </c>
      <c r="E645" t="str">
        <f>$E$195</f>
        <v>动态</v>
      </c>
      <c r="F645" t="str">
        <f ca="1">BDH($B$195,$C$195,$B$417,$B$418,CONCATENATE("Per=",$B$415),"Dts=H","Dir=H",CONCATENATE("Points=",$B$416),"Sort=R","Days=A","Fill=B","BE997=1GY",CONCATENATE("FX=", $B$414) )</f>
        <v>#N/A Authorization</v>
      </c>
      <c r="BN645" t="str">
        <f>""</f>
        <v/>
      </c>
      <c r="BO645" t="str">
        <f>""</f>
        <v/>
      </c>
      <c r="BP645" t="str">
        <f>""</f>
        <v/>
      </c>
      <c r="BQ645" t="str">
        <f>""</f>
        <v/>
      </c>
      <c r="BR645" t="str">
        <f>""</f>
        <v/>
      </c>
      <c r="BS645" t="str">
        <f>""</f>
        <v/>
      </c>
      <c r="BT645" t="str">
        <f>""</f>
        <v/>
      </c>
      <c r="BU645" t="str">
        <f>""</f>
        <v/>
      </c>
      <c r="BV645" t="str">
        <f>""</f>
        <v/>
      </c>
      <c r="BW645" t="str">
        <f>""</f>
        <v/>
      </c>
      <c r="BX645" t="str">
        <f>""</f>
        <v/>
      </c>
      <c r="BY645" t="str">
        <f>""</f>
        <v/>
      </c>
      <c r="BZ645" t="str">
        <f>""</f>
        <v/>
      </c>
      <c r="CA645" t="str">
        <f>""</f>
        <v/>
      </c>
      <c r="CB645" t="str">
        <f>""</f>
        <v/>
      </c>
      <c r="CC645" t="str">
        <f>""</f>
        <v/>
      </c>
      <c r="CD645" t="str">
        <f>""</f>
        <v/>
      </c>
      <c r="CE645" t="str">
        <f>""</f>
        <v/>
      </c>
      <c r="CF645" t="str">
        <f>""</f>
        <v/>
      </c>
      <c r="CG645" t="str">
        <f>""</f>
        <v/>
      </c>
      <c r="CH645" t="str">
        <f>""</f>
        <v/>
      </c>
      <c r="CI645" t="str">
        <f>""</f>
        <v/>
      </c>
      <c r="CJ645" t="str">
        <f>""</f>
        <v/>
      </c>
      <c r="CK645" t="str">
        <f>""</f>
        <v/>
      </c>
      <c r="CL645" t="str">
        <f>""</f>
        <v/>
      </c>
      <c r="CM645" t="str">
        <f>""</f>
        <v/>
      </c>
      <c r="CN645" t="str">
        <f>""</f>
        <v/>
      </c>
      <c r="CO645" t="str">
        <f>""</f>
        <v/>
      </c>
      <c r="CP645" t="str">
        <f>""</f>
        <v/>
      </c>
      <c r="CQ645" t="str">
        <f>""</f>
        <v/>
      </c>
      <c r="CR645" t="str">
        <f>""</f>
        <v/>
      </c>
      <c r="CS645" t="str">
        <f>""</f>
        <v/>
      </c>
      <c r="CT645" t="str">
        <f>""</f>
        <v/>
      </c>
      <c r="CU645" t="str">
        <f>""</f>
        <v/>
      </c>
      <c r="CV645" t="str">
        <f>""</f>
        <v/>
      </c>
      <c r="CW645" t="str">
        <f>""</f>
        <v/>
      </c>
      <c r="CX645" t="str">
        <f>""</f>
        <v/>
      </c>
      <c r="CY645" t="str">
        <f>""</f>
        <v/>
      </c>
      <c r="CZ645" t="str">
        <f>""</f>
        <v/>
      </c>
      <c r="DA645" t="str">
        <f>""</f>
        <v/>
      </c>
      <c r="DB645" t="str">
        <f>""</f>
        <v/>
      </c>
      <c r="DC645" t="str">
        <f>""</f>
        <v/>
      </c>
      <c r="DD645" t="str">
        <f>""</f>
        <v/>
      </c>
      <c r="DE645" t="str">
        <f>""</f>
        <v/>
      </c>
      <c r="DF645" t="str">
        <f>""</f>
        <v/>
      </c>
      <c r="DG645" t="str">
        <f>""</f>
        <v/>
      </c>
      <c r="DH645" t="str">
        <f>""</f>
        <v/>
      </c>
      <c r="DI645" t="str">
        <f>""</f>
        <v/>
      </c>
      <c r="DJ645" t="str">
        <f>""</f>
        <v/>
      </c>
      <c r="DK645" t="str">
        <f>""</f>
        <v/>
      </c>
      <c r="DL645" t="str">
        <f>""</f>
        <v/>
      </c>
      <c r="DM645" t="str">
        <f>""</f>
        <v/>
      </c>
      <c r="DN645" t="str">
        <f>""</f>
        <v/>
      </c>
      <c r="DO645" t="str">
        <f>""</f>
        <v/>
      </c>
      <c r="DP645" t="str">
        <f>""</f>
        <v/>
      </c>
      <c r="DQ645" t="str">
        <f>""</f>
        <v/>
      </c>
      <c r="DR645" t="str">
        <f>""</f>
        <v/>
      </c>
      <c r="DS645" t="str">
        <f>""</f>
        <v/>
      </c>
      <c r="DT645" t="str">
        <f>""</f>
        <v/>
      </c>
      <c r="DU645" t="str">
        <f>""</f>
        <v/>
      </c>
    </row>
    <row r="646" spans="1:125">
      <c r="A646" t="str">
        <f>$A$197</f>
        <v xml:space="preserve">    Brixmor Property Group Inc</v>
      </c>
      <c r="B646" t="str">
        <f>$B$197</f>
        <v>BRX US Equity</v>
      </c>
      <c r="C646" t="str">
        <f>$C$197</f>
        <v>RX225</v>
      </c>
      <c r="D646" t="str">
        <f>$D$197</f>
        <v>EBITDA_TO_REVENUE</v>
      </c>
      <c r="E646" t="str">
        <f>$E$197</f>
        <v>动态</v>
      </c>
      <c r="F646" t="str">
        <f ca="1">BDH($B$197,$C$197,$B$417,$B$418,CONCATENATE("Per=",$B$415),"Dts=H","Dir=H",CONCATENATE("Points=",$B$416),"Sort=R","Days=A","Fill=B",CONCATENATE("FX=", $B$414) )</f>
        <v>#N/A Authorization</v>
      </c>
      <c r="BN646" t="str">
        <f>""</f>
        <v/>
      </c>
      <c r="BO646" t="str">
        <f>""</f>
        <v/>
      </c>
      <c r="BP646" t="str">
        <f>""</f>
        <v/>
      </c>
      <c r="BQ646" t="str">
        <f>""</f>
        <v/>
      </c>
      <c r="BR646" t="str">
        <f>""</f>
        <v/>
      </c>
      <c r="BS646" t="str">
        <f>""</f>
        <v/>
      </c>
      <c r="BT646" t="str">
        <f>""</f>
        <v/>
      </c>
      <c r="BU646" t="str">
        <f>""</f>
        <v/>
      </c>
      <c r="BV646" t="str">
        <f>""</f>
        <v/>
      </c>
      <c r="BW646" t="str">
        <f>""</f>
        <v/>
      </c>
      <c r="BX646" t="str">
        <f>""</f>
        <v/>
      </c>
      <c r="BY646" t="str">
        <f>""</f>
        <v/>
      </c>
      <c r="BZ646" t="str">
        <f>""</f>
        <v/>
      </c>
      <c r="CA646" t="str">
        <f>""</f>
        <v/>
      </c>
      <c r="CB646" t="str">
        <f>""</f>
        <v/>
      </c>
      <c r="CC646" t="str">
        <f>""</f>
        <v/>
      </c>
      <c r="CD646" t="str">
        <f>""</f>
        <v/>
      </c>
      <c r="CE646" t="str">
        <f>""</f>
        <v/>
      </c>
      <c r="CF646" t="str">
        <f>""</f>
        <v/>
      </c>
      <c r="CG646" t="str">
        <f>""</f>
        <v/>
      </c>
      <c r="CH646" t="str">
        <f>""</f>
        <v/>
      </c>
      <c r="CI646" t="str">
        <f>""</f>
        <v/>
      </c>
      <c r="CJ646" t="str">
        <f>""</f>
        <v/>
      </c>
      <c r="CK646" t="str">
        <f>""</f>
        <v/>
      </c>
      <c r="CL646" t="str">
        <f>""</f>
        <v/>
      </c>
      <c r="CM646" t="str">
        <f>""</f>
        <v/>
      </c>
      <c r="CN646" t="str">
        <f>""</f>
        <v/>
      </c>
      <c r="CO646" t="str">
        <f>""</f>
        <v/>
      </c>
      <c r="CP646" t="str">
        <f>""</f>
        <v/>
      </c>
      <c r="CQ646" t="str">
        <f>""</f>
        <v/>
      </c>
      <c r="CR646" t="str">
        <f>""</f>
        <v/>
      </c>
      <c r="CS646" t="str">
        <f>""</f>
        <v/>
      </c>
      <c r="CT646" t="str">
        <f>""</f>
        <v/>
      </c>
      <c r="CU646" t="str">
        <f>""</f>
        <v/>
      </c>
      <c r="CV646" t="str">
        <f>""</f>
        <v/>
      </c>
      <c r="CW646" t="str">
        <f>""</f>
        <v/>
      </c>
      <c r="CX646" t="str">
        <f>""</f>
        <v/>
      </c>
      <c r="CY646" t="str">
        <f>""</f>
        <v/>
      </c>
      <c r="CZ646" t="str">
        <f>""</f>
        <v/>
      </c>
      <c r="DA646" t="str">
        <f>""</f>
        <v/>
      </c>
      <c r="DB646" t="str">
        <f>""</f>
        <v/>
      </c>
      <c r="DC646" t="str">
        <f>""</f>
        <v/>
      </c>
      <c r="DD646" t="str">
        <f>""</f>
        <v/>
      </c>
      <c r="DE646" t="str">
        <f>""</f>
        <v/>
      </c>
      <c r="DF646" t="str">
        <f>""</f>
        <v/>
      </c>
      <c r="DG646" t="str">
        <f>""</f>
        <v/>
      </c>
      <c r="DH646" t="str">
        <f>""</f>
        <v/>
      </c>
      <c r="DI646" t="str">
        <f>""</f>
        <v/>
      </c>
      <c r="DJ646" t="str">
        <f>""</f>
        <v/>
      </c>
      <c r="DK646" t="str">
        <f>""</f>
        <v/>
      </c>
      <c r="DL646" t="str">
        <f>""</f>
        <v/>
      </c>
      <c r="DM646" t="str">
        <f>""</f>
        <v/>
      </c>
      <c r="DN646" t="str">
        <f>""</f>
        <v/>
      </c>
      <c r="DO646" t="str">
        <f>""</f>
        <v/>
      </c>
      <c r="DP646" t="str">
        <f>""</f>
        <v/>
      </c>
      <c r="DQ646" t="str">
        <f>""</f>
        <v/>
      </c>
      <c r="DR646" t="str">
        <f>""</f>
        <v/>
      </c>
      <c r="DS646" t="str">
        <f>""</f>
        <v/>
      </c>
      <c r="DT646" t="str">
        <f>""</f>
        <v/>
      </c>
      <c r="DU646" t="str">
        <f>""</f>
        <v/>
      </c>
    </row>
    <row r="647" spans="1:125">
      <c r="A647" t="str">
        <f>$A$198</f>
        <v xml:space="preserve">    CBL &amp; Associates Properties In</v>
      </c>
      <c r="B647" t="str">
        <f>$B$198</f>
        <v>CBL US Equity</v>
      </c>
      <c r="C647" t="str">
        <f>$C$198</f>
        <v>RX225</v>
      </c>
      <c r="D647" t="str">
        <f>$D$198</f>
        <v>EBITDA_TO_REVENUE</v>
      </c>
      <c r="E647" t="str">
        <f>$E$198</f>
        <v>动态</v>
      </c>
      <c r="F647" t="str">
        <f ca="1">BDH($B$198,$C$198,$B$417,$B$418,CONCATENATE("Per=",$B$415),"Dts=H","Dir=H",CONCATENATE("Points=",$B$416),"Sort=R","Days=A","Fill=B",CONCATENATE("FX=", $B$414) )</f>
        <v>#N/A Authorization</v>
      </c>
      <c r="BN647" t="str">
        <f>""</f>
        <v/>
      </c>
      <c r="BO647" t="str">
        <f>""</f>
        <v/>
      </c>
      <c r="BP647" t="str">
        <f>""</f>
        <v/>
      </c>
      <c r="BQ647" t="str">
        <f>""</f>
        <v/>
      </c>
      <c r="BR647" t="str">
        <f>""</f>
        <v/>
      </c>
      <c r="BS647" t="str">
        <f>""</f>
        <v/>
      </c>
      <c r="BT647" t="str">
        <f>""</f>
        <v/>
      </c>
      <c r="BU647" t="str">
        <f>""</f>
        <v/>
      </c>
      <c r="BV647" t="str">
        <f>""</f>
        <v/>
      </c>
      <c r="BW647" t="str">
        <f>""</f>
        <v/>
      </c>
      <c r="BX647" t="str">
        <f>""</f>
        <v/>
      </c>
      <c r="BY647" t="str">
        <f>""</f>
        <v/>
      </c>
      <c r="BZ647" t="str">
        <f>""</f>
        <v/>
      </c>
      <c r="CA647" t="str">
        <f>""</f>
        <v/>
      </c>
      <c r="CB647" t="str">
        <f>""</f>
        <v/>
      </c>
      <c r="CC647" t="str">
        <f>""</f>
        <v/>
      </c>
      <c r="CD647" t="str">
        <f>""</f>
        <v/>
      </c>
      <c r="CE647" t="str">
        <f>""</f>
        <v/>
      </c>
      <c r="CF647" t="str">
        <f>""</f>
        <v/>
      </c>
      <c r="CG647" t="str">
        <f>""</f>
        <v/>
      </c>
      <c r="CH647" t="str">
        <f>""</f>
        <v/>
      </c>
      <c r="CI647" t="str">
        <f>""</f>
        <v/>
      </c>
      <c r="CJ647" t="str">
        <f>""</f>
        <v/>
      </c>
      <c r="CK647" t="str">
        <f>""</f>
        <v/>
      </c>
      <c r="CL647" t="str">
        <f>""</f>
        <v/>
      </c>
      <c r="CM647" t="str">
        <f>""</f>
        <v/>
      </c>
      <c r="CN647" t="str">
        <f>""</f>
        <v/>
      </c>
      <c r="CO647" t="str">
        <f>""</f>
        <v/>
      </c>
      <c r="CP647" t="str">
        <f>""</f>
        <v/>
      </c>
      <c r="CQ647" t="str">
        <f>""</f>
        <v/>
      </c>
      <c r="CR647" t="str">
        <f>""</f>
        <v/>
      </c>
      <c r="CS647" t="str">
        <f>""</f>
        <v/>
      </c>
      <c r="CT647" t="str">
        <f>""</f>
        <v/>
      </c>
      <c r="CU647" t="str">
        <f>""</f>
        <v/>
      </c>
      <c r="CV647" t="str">
        <f>""</f>
        <v/>
      </c>
      <c r="CW647" t="str">
        <f>""</f>
        <v/>
      </c>
      <c r="CX647" t="str">
        <f>""</f>
        <v/>
      </c>
      <c r="CY647" t="str">
        <f>""</f>
        <v/>
      </c>
      <c r="CZ647" t="str">
        <f>""</f>
        <v/>
      </c>
      <c r="DA647" t="str">
        <f>""</f>
        <v/>
      </c>
      <c r="DB647" t="str">
        <f>""</f>
        <v/>
      </c>
      <c r="DC647" t="str">
        <f>""</f>
        <v/>
      </c>
      <c r="DD647" t="str">
        <f>""</f>
        <v/>
      </c>
      <c r="DE647" t="str">
        <f>""</f>
        <v/>
      </c>
      <c r="DF647" t="str">
        <f>""</f>
        <v/>
      </c>
      <c r="DG647" t="str">
        <f>""</f>
        <v/>
      </c>
      <c r="DH647" t="str">
        <f>""</f>
        <v/>
      </c>
      <c r="DI647" t="str">
        <f>""</f>
        <v/>
      </c>
      <c r="DJ647" t="str">
        <f>""</f>
        <v/>
      </c>
      <c r="DK647" t="str">
        <f>""</f>
        <v/>
      </c>
      <c r="DL647" t="str">
        <f>""</f>
        <v/>
      </c>
      <c r="DM647" t="str">
        <f>""</f>
        <v/>
      </c>
      <c r="DN647" t="str">
        <f>""</f>
        <v/>
      </c>
      <c r="DO647" t="str">
        <f>""</f>
        <v/>
      </c>
      <c r="DP647" t="str">
        <f>""</f>
        <v/>
      </c>
      <c r="DQ647" t="str">
        <f>""</f>
        <v/>
      </c>
      <c r="DR647" t="str">
        <f>""</f>
        <v/>
      </c>
      <c r="DS647" t="str">
        <f>""</f>
        <v/>
      </c>
      <c r="DT647" t="str">
        <f>""</f>
        <v/>
      </c>
      <c r="DU647" t="str">
        <f>""</f>
        <v/>
      </c>
    </row>
    <row r="648" spans="1:125">
      <c r="A648" t="str">
        <f>$A$199</f>
        <v xml:space="preserve">    DDR Corp</v>
      </c>
      <c r="B648" t="str">
        <f>$B$199</f>
        <v>DDR US Equity</v>
      </c>
      <c r="C648" t="str">
        <f>$C$199</f>
        <v>RX225</v>
      </c>
      <c r="D648" t="str">
        <f>$D$199</f>
        <v>EBITDA_TO_REVENUE</v>
      </c>
      <c r="E648" t="str">
        <f>$E$199</f>
        <v>动态</v>
      </c>
      <c r="F648" t="str">
        <f ca="1">BDH($B$199,$C$199,$B$417,$B$418,CONCATENATE("Per=",$B$415),"Dts=H","Dir=H",CONCATENATE("Points=",$B$416),"Sort=R","Days=A","Fill=B",CONCATENATE("FX=", $B$414) )</f>
        <v>#N/A Authorization</v>
      </c>
      <c r="BN648" t="str">
        <f>""</f>
        <v/>
      </c>
      <c r="BO648" t="str">
        <f>""</f>
        <v/>
      </c>
      <c r="BP648" t="str">
        <f>""</f>
        <v/>
      </c>
      <c r="BQ648" t="str">
        <f>""</f>
        <v/>
      </c>
      <c r="BR648" t="str">
        <f>""</f>
        <v/>
      </c>
      <c r="BS648" t="str">
        <f>""</f>
        <v/>
      </c>
      <c r="BT648" t="str">
        <f>""</f>
        <v/>
      </c>
      <c r="BU648" t="str">
        <f>""</f>
        <v/>
      </c>
      <c r="BV648" t="str">
        <f>""</f>
        <v/>
      </c>
      <c r="BW648" t="str">
        <f>""</f>
        <v/>
      </c>
      <c r="BX648" t="str">
        <f>""</f>
        <v/>
      </c>
      <c r="BY648" t="str">
        <f>""</f>
        <v/>
      </c>
      <c r="BZ648" t="str">
        <f>""</f>
        <v/>
      </c>
      <c r="CA648" t="str">
        <f>""</f>
        <v/>
      </c>
      <c r="CB648" t="str">
        <f>""</f>
        <v/>
      </c>
      <c r="CC648" t="str">
        <f>""</f>
        <v/>
      </c>
      <c r="CD648" t="str">
        <f>""</f>
        <v/>
      </c>
      <c r="CE648" t="str">
        <f>""</f>
        <v/>
      </c>
      <c r="CF648" t="str">
        <f>""</f>
        <v/>
      </c>
      <c r="CG648" t="str">
        <f>""</f>
        <v/>
      </c>
      <c r="CH648" t="str">
        <f>""</f>
        <v/>
      </c>
      <c r="CI648" t="str">
        <f>""</f>
        <v/>
      </c>
      <c r="CJ648" t="str">
        <f>""</f>
        <v/>
      </c>
      <c r="CK648" t="str">
        <f>""</f>
        <v/>
      </c>
      <c r="CL648" t="str">
        <f>""</f>
        <v/>
      </c>
      <c r="CM648" t="str">
        <f>""</f>
        <v/>
      </c>
      <c r="CN648" t="str">
        <f>""</f>
        <v/>
      </c>
      <c r="CO648" t="str">
        <f>""</f>
        <v/>
      </c>
      <c r="CP648" t="str">
        <f>""</f>
        <v/>
      </c>
      <c r="CQ648" t="str">
        <f>""</f>
        <v/>
      </c>
      <c r="CR648" t="str">
        <f>""</f>
        <v/>
      </c>
      <c r="CS648" t="str">
        <f>""</f>
        <v/>
      </c>
      <c r="CT648" t="str">
        <f>""</f>
        <v/>
      </c>
      <c r="CU648" t="str">
        <f>""</f>
        <v/>
      </c>
      <c r="CV648" t="str">
        <f>""</f>
        <v/>
      </c>
      <c r="CW648" t="str">
        <f>""</f>
        <v/>
      </c>
      <c r="CX648" t="str">
        <f>""</f>
        <v/>
      </c>
      <c r="CY648" t="str">
        <f>""</f>
        <v/>
      </c>
      <c r="CZ648" t="str">
        <f>""</f>
        <v/>
      </c>
      <c r="DA648" t="str">
        <f>""</f>
        <v/>
      </c>
      <c r="DB648" t="str">
        <f>""</f>
        <v/>
      </c>
      <c r="DC648" t="str">
        <f>""</f>
        <v/>
      </c>
      <c r="DD648" t="str">
        <f>""</f>
        <v/>
      </c>
      <c r="DE648" t="str">
        <f>""</f>
        <v/>
      </c>
      <c r="DF648" t="str">
        <f>""</f>
        <v/>
      </c>
      <c r="DG648" t="str">
        <f>""</f>
        <v/>
      </c>
      <c r="DH648" t="str">
        <f>""</f>
        <v/>
      </c>
      <c r="DI648" t="str">
        <f>""</f>
        <v/>
      </c>
      <c r="DJ648" t="str">
        <f>""</f>
        <v/>
      </c>
      <c r="DK648" t="str">
        <f>""</f>
        <v/>
      </c>
      <c r="DL648" t="str">
        <f>""</f>
        <v/>
      </c>
      <c r="DM648" t="str">
        <f>""</f>
        <v/>
      </c>
      <c r="DN648" t="str">
        <f>""</f>
        <v/>
      </c>
      <c r="DO648" t="str">
        <f>""</f>
        <v/>
      </c>
      <c r="DP648" t="str">
        <f>""</f>
        <v/>
      </c>
      <c r="DQ648" t="str">
        <f>""</f>
        <v/>
      </c>
      <c r="DR648" t="str">
        <f>""</f>
        <v/>
      </c>
      <c r="DS648" t="str">
        <f>""</f>
        <v/>
      </c>
      <c r="DT648" t="str">
        <f>""</f>
        <v/>
      </c>
      <c r="DU648" t="str">
        <f>""</f>
        <v/>
      </c>
    </row>
    <row r="649" spans="1:125">
      <c r="A649" t="str">
        <f>$A$200</f>
        <v xml:space="preserve">    Federal Realty Investment Trus</v>
      </c>
      <c r="B649" t="str">
        <f>$B$200</f>
        <v>FRT US Equity</v>
      </c>
      <c r="C649" t="str">
        <f>$C$200</f>
        <v>RX225</v>
      </c>
      <c r="D649" t="str">
        <f>$D$200</f>
        <v>EBITDA_TO_REVENUE</v>
      </c>
      <c r="E649" t="str">
        <f>$E$200</f>
        <v>动态</v>
      </c>
      <c r="F649" t="str">
        <f ca="1">BDH($B$200,$C$200,$B$417,$B$418,CONCATENATE("Per=",$B$415),"Dts=H","Dir=H",CONCATENATE("Points=",$B$416),"Sort=R","Days=A","Fill=B",CONCATENATE("FX=", $B$414) )</f>
        <v>#N/A Authorization</v>
      </c>
      <c r="BN649" t="str">
        <f>""</f>
        <v/>
      </c>
      <c r="BO649" t="str">
        <f>""</f>
        <v/>
      </c>
      <c r="BP649" t="str">
        <f>""</f>
        <v/>
      </c>
      <c r="BQ649" t="str">
        <f>""</f>
        <v/>
      </c>
      <c r="BR649" t="str">
        <f>""</f>
        <v/>
      </c>
      <c r="BS649" t="str">
        <f>""</f>
        <v/>
      </c>
      <c r="BT649" t="str">
        <f>""</f>
        <v/>
      </c>
      <c r="BU649" t="str">
        <f>""</f>
        <v/>
      </c>
      <c r="BV649" t="str">
        <f>""</f>
        <v/>
      </c>
      <c r="BW649" t="str">
        <f>""</f>
        <v/>
      </c>
      <c r="BX649" t="str">
        <f>""</f>
        <v/>
      </c>
      <c r="BY649" t="str">
        <f>""</f>
        <v/>
      </c>
      <c r="BZ649" t="str">
        <f>""</f>
        <v/>
      </c>
      <c r="CA649" t="str">
        <f>""</f>
        <v/>
      </c>
      <c r="CB649" t="str">
        <f>""</f>
        <v/>
      </c>
      <c r="CC649" t="str">
        <f>""</f>
        <v/>
      </c>
      <c r="CD649" t="str">
        <f>""</f>
        <v/>
      </c>
      <c r="CE649" t="str">
        <f>""</f>
        <v/>
      </c>
      <c r="CF649" t="str">
        <f>""</f>
        <v/>
      </c>
      <c r="CG649" t="str">
        <f>""</f>
        <v/>
      </c>
      <c r="CH649" t="str">
        <f>""</f>
        <v/>
      </c>
      <c r="CI649" t="str">
        <f>""</f>
        <v/>
      </c>
      <c r="CJ649" t="str">
        <f>""</f>
        <v/>
      </c>
      <c r="CK649" t="str">
        <f>""</f>
        <v/>
      </c>
      <c r="CL649" t="str">
        <f>""</f>
        <v/>
      </c>
      <c r="CM649" t="str">
        <f>""</f>
        <v/>
      </c>
      <c r="CN649" t="str">
        <f>""</f>
        <v/>
      </c>
      <c r="CO649" t="str">
        <f>""</f>
        <v/>
      </c>
      <c r="CP649" t="str">
        <f>""</f>
        <v/>
      </c>
      <c r="CQ649" t="str">
        <f>""</f>
        <v/>
      </c>
      <c r="CR649" t="str">
        <f>""</f>
        <v/>
      </c>
      <c r="CS649" t="str">
        <f>""</f>
        <v/>
      </c>
      <c r="CT649" t="str">
        <f>""</f>
        <v/>
      </c>
      <c r="CU649" t="str">
        <f>""</f>
        <v/>
      </c>
      <c r="CV649" t="str">
        <f>""</f>
        <v/>
      </c>
      <c r="CW649" t="str">
        <f>""</f>
        <v/>
      </c>
      <c r="CX649" t="str">
        <f>""</f>
        <v/>
      </c>
      <c r="CY649" t="str">
        <f>""</f>
        <v/>
      </c>
      <c r="CZ649" t="str">
        <f>""</f>
        <v/>
      </c>
      <c r="DA649" t="str">
        <f>""</f>
        <v/>
      </c>
      <c r="DB649" t="str">
        <f>""</f>
        <v/>
      </c>
      <c r="DC649" t="str">
        <f>""</f>
        <v/>
      </c>
      <c r="DD649" t="str">
        <f>""</f>
        <v/>
      </c>
      <c r="DE649" t="str">
        <f>""</f>
        <v/>
      </c>
      <c r="DF649" t="str">
        <f>""</f>
        <v/>
      </c>
      <c r="DG649" t="str">
        <f>""</f>
        <v/>
      </c>
      <c r="DH649" t="str">
        <f>""</f>
        <v/>
      </c>
      <c r="DI649" t="str">
        <f>""</f>
        <v/>
      </c>
      <c r="DJ649" t="str">
        <f>""</f>
        <v/>
      </c>
      <c r="DK649" t="str">
        <f>""</f>
        <v/>
      </c>
      <c r="DL649" t="str">
        <f>""</f>
        <v/>
      </c>
      <c r="DM649" t="str">
        <f>""</f>
        <v/>
      </c>
      <c r="DN649" t="str">
        <f>""</f>
        <v/>
      </c>
      <c r="DO649" t="str">
        <f>""</f>
        <v/>
      </c>
      <c r="DP649" t="str">
        <f>""</f>
        <v/>
      </c>
      <c r="DQ649" t="str">
        <f>""</f>
        <v/>
      </c>
      <c r="DR649" t="str">
        <f>""</f>
        <v/>
      </c>
      <c r="DS649" t="str">
        <f>""</f>
        <v/>
      </c>
      <c r="DT649" t="str">
        <f>""</f>
        <v/>
      </c>
      <c r="DU649" t="str">
        <f>""</f>
        <v/>
      </c>
    </row>
    <row r="650" spans="1:125">
      <c r="A650" t="str">
        <f>$A$201</f>
        <v xml:space="preserve">    Kimco Realty Corp</v>
      </c>
      <c r="B650" t="str">
        <f>$B$201</f>
        <v>KIM US Equity</v>
      </c>
      <c r="C650" t="str">
        <f>$C$201</f>
        <v>RX225</v>
      </c>
      <c r="D650" t="str">
        <f>$D$201</f>
        <v>EBITDA_TO_REVENUE</v>
      </c>
      <c r="E650" t="str">
        <f>$E$201</f>
        <v>动态</v>
      </c>
      <c r="F650" t="str">
        <f ca="1">BDH($B$201,$C$201,$B$417,$B$418,CONCATENATE("Per=",$B$415),"Dts=H","Dir=H",CONCATENATE("Points=",$B$416),"Sort=R","Days=A","Fill=B",CONCATENATE("FX=", $B$414) )</f>
        <v>#N/A Authorization</v>
      </c>
      <c r="BN650" t="str">
        <f>""</f>
        <v/>
      </c>
      <c r="BO650" t="str">
        <f>""</f>
        <v/>
      </c>
      <c r="BP650" t="str">
        <f>""</f>
        <v/>
      </c>
      <c r="BQ650" t="str">
        <f>""</f>
        <v/>
      </c>
      <c r="BR650" t="str">
        <f>""</f>
        <v/>
      </c>
      <c r="BS650" t="str">
        <f>""</f>
        <v/>
      </c>
      <c r="BT650" t="str">
        <f>""</f>
        <v/>
      </c>
      <c r="BU650" t="str">
        <f>""</f>
        <v/>
      </c>
      <c r="BV650" t="str">
        <f>""</f>
        <v/>
      </c>
      <c r="BW650" t="str">
        <f>""</f>
        <v/>
      </c>
      <c r="BX650" t="str">
        <f>""</f>
        <v/>
      </c>
      <c r="BY650" t="str">
        <f>""</f>
        <v/>
      </c>
      <c r="BZ650" t="str">
        <f>""</f>
        <v/>
      </c>
      <c r="CA650" t="str">
        <f>""</f>
        <v/>
      </c>
      <c r="CB650" t="str">
        <f>""</f>
        <v/>
      </c>
      <c r="CC650" t="str">
        <f>""</f>
        <v/>
      </c>
      <c r="CD650" t="str">
        <f>""</f>
        <v/>
      </c>
      <c r="CE650" t="str">
        <f>""</f>
        <v/>
      </c>
      <c r="CF650" t="str">
        <f>""</f>
        <v/>
      </c>
      <c r="CG650" t="str">
        <f>""</f>
        <v/>
      </c>
      <c r="CH650" t="str">
        <f>""</f>
        <v/>
      </c>
      <c r="CI650" t="str">
        <f>""</f>
        <v/>
      </c>
      <c r="CJ650" t="str">
        <f>""</f>
        <v/>
      </c>
      <c r="CK650" t="str">
        <f>""</f>
        <v/>
      </c>
      <c r="CL650" t="str">
        <f>""</f>
        <v/>
      </c>
      <c r="CM650" t="str">
        <f>""</f>
        <v/>
      </c>
      <c r="CN650" t="str">
        <f>""</f>
        <v/>
      </c>
      <c r="CO650" t="str">
        <f>""</f>
        <v/>
      </c>
      <c r="CP650" t="str">
        <f>""</f>
        <v/>
      </c>
      <c r="CQ650" t="str">
        <f>""</f>
        <v/>
      </c>
      <c r="CR650" t="str">
        <f>""</f>
        <v/>
      </c>
      <c r="CS650" t="str">
        <f>""</f>
        <v/>
      </c>
      <c r="CT650" t="str">
        <f>""</f>
        <v/>
      </c>
      <c r="CU650" t="str">
        <f>""</f>
        <v/>
      </c>
      <c r="CV650" t="str">
        <f>""</f>
        <v/>
      </c>
      <c r="CW650" t="str">
        <f>""</f>
        <v/>
      </c>
      <c r="CX650" t="str">
        <f>""</f>
        <v/>
      </c>
      <c r="CY650" t="str">
        <f>""</f>
        <v/>
      </c>
      <c r="CZ650" t="str">
        <f>""</f>
        <v/>
      </c>
      <c r="DA650" t="str">
        <f>""</f>
        <v/>
      </c>
      <c r="DB650" t="str">
        <f>""</f>
        <v/>
      </c>
      <c r="DC650" t="str">
        <f>""</f>
        <v/>
      </c>
      <c r="DD650" t="str">
        <f>""</f>
        <v/>
      </c>
      <c r="DE650" t="str">
        <f>""</f>
        <v/>
      </c>
      <c r="DF650" t="str">
        <f>""</f>
        <v/>
      </c>
      <c r="DG650" t="str">
        <f>""</f>
        <v/>
      </c>
      <c r="DH650" t="str">
        <f>""</f>
        <v/>
      </c>
      <c r="DI650" t="str">
        <f>""</f>
        <v/>
      </c>
      <c r="DJ650" t="str">
        <f>""</f>
        <v/>
      </c>
      <c r="DK650" t="str">
        <f>""</f>
        <v/>
      </c>
      <c r="DL650" t="str">
        <f>""</f>
        <v/>
      </c>
      <c r="DM650" t="str">
        <f>""</f>
        <v/>
      </c>
      <c r="DN650" t="str">
        <f>""</f>
        <v/>
      </c>
      <c r="DO650" t="str">
        <f>""</f>
        <v/>
      </c>
      <c r="DP650" t="str">
        <f>""</f>
        <v/>
      </c>
      <c r="DQ650" t="str">
        <f>""</f>
        <v/>
      </c>
      <c r="DR650" t="str">
        <f>""</f>
        <v/>
      </c>
      <c r="DS650" t="str">
        <f>""</f>
        <v/>
      </c>
      <c r="DT650" t="str">
        <f>""</f>
        <v/>
      </c>
      <c r="DU650" t="str">
        <f>""</f>
        <v/>
      </c>
    </row>
    <row r="651" spans="1:125">
      <c r="A651" t="str">
        <f>$A$202</f>
        <v xml:space="preserve">    National Retail Properties Inc</v>
      </c>
      <c r="B651" t="str">
        <f>$B$202</f>
        <v>NNN US Equity</v>
      </c>
      <c r="C651" t="str">
        <f>$C$202</f>
        <v>RX225</v>
      </c>
      <c r="D651" t="str">
        <f>$D$202</f>
        <v>EBITDA_TO_REVENUE</v>
      </c>
      <c r="E651" t="str">
        <f>$E$202</f>
        <v>动态</v>
      </c>
      <c r="F651" t="str">
        <f ca="1">BDH($B$202,$C$202,$B$417,$B$418,CONCATENATE("Per=",$B$415),"Dts=H","Dir=H",CONCATENATE("Points=",$B$416),"Sort=R","Days=A","Fill=B",CONCATENATE("FX=", $B$414) )</f>
        <v>#N/A Authorization</v>
      </c>
      <c r="BN651" t="str">
        <f>""</f>
        <v/>
      </c>
      <c r="BO651" t="str">
        <f>""</f>
        <v/>
      </c>
      <c r="BP651" t="str">
        <f>""</f>
        <v/>
      </c>
      <c r="BQ651" t="str">
        <f>""</f>
        <v/>
      </c>
      <c r="BR651" t="str">
        <f>""</f>
        <v/>
      </c>
      <c r="BS651" t="str">
        <f>""</f>
        <v/>
      </c>
      <c r="BT651" t="str">
        <f>""</f>
        <v/>
      </c>
      <c r="BU651" t="str">
        <f>""</f>
        <v/>
      </c>
      <c r="BV651" t="str">
        <f>""</f>
        <v/>
      </c>
      <c r="BW651" t="str">
        <f>""</f>
        <v/>
      </c>
      <c r="BX651" t="str">
        <f>""</f>
        <v/>
      </c>
      <c r="BY651" t="str">
        <f>""</f>
        <v/>
      </c>
      <c r="BZ651" t="str">
        <f>""</f>
        <v/>
      </c>
      <c r="CA651" t="str">
        <f>""</f>
        <v/>
      </c>
      <c r="CB651" t="str">
        <f>""</f>
        <v/>
      </c>
      <c r="CC651" t="str">
        <f>""</f>
        <v/>
      </c>
      <c r="CD651" t="str">
        <f>""</f>
        <v/>
      </c>
      <c r="CE651" t="str">
        <f>""</f>
        <v/>
      </c>
      <c r="CF651" t="str">
        <f>""</f>
        <v/>
      </c>
      <c r="CG651" t="str">
        <f>""</f>
        <v/>
      </c>
      <c r="CH651" t="str">
        <f>""</f>
        <v/>
      </c>
      <c r="CI651" t="str">
        <f>""</f>
        <v/>
      </c>
      <c r="CJ651" t="str">
        <f>""</f>
        <v/>
      </c>
      <c r="CK651" t="str">
        <f>""</f>
        <v/>
      </c>
      <c r="CL651" t="str">
        <f>""</f>
        <v/>
      </c>
      <c r="CM651" t="str">
        <f>""</f>
        <v/>
      </c>
      <c r="CN651" t="str">
        <f>""</f>
        <v/>
      </c>
      <c r="CO651" t="str">
        <f>""</f>
        <v/>
      </c>
      <c r="CP651" t="str">
        <f>""</f>
        <v/>
      </c>
      <c r="CQ651" t="str">
        <f>""</f>
        <v/>
      </c>
      <c r="CR651" t="str">
        <f>""</f>
        <v/>
      </c>
      <c r="CS651" t="str">
        <f>""</f>
        <v/>
      </c>
      <c r="CT651" t="str">
        <f>""</f>
        <v/>
      </c>
      <c r="CU651" t="str">
        <f>""</f>
        <v/>
      </c>
      <c r="CV651" t="str">
        <f>""</f>
        <v/>
      </c>
      <c r="CW651" t="str">
        <f>""</f>
        <v/>
      </c>
      <c r="CX651" t="str">
        <f>""</f>
        <v/>
      </c>
      <c r="CY651" t="str">
        <f>""</f>
        <v/>
      </c>
      <c r="CZ651" t="str">
        <f>""</f>
        <v/>
      </c>
      <c r="DA651" t="str">
        <f>""</f>
        <v/>
      </c>
      <c r="DB651" t="str">
        <f>""</f>
        <v/>
      </c>
      <c r="DC651" t="str">
        <f>""</f>
        <v/>
      </c>
      <c r="DD651" t="str">
        <f>""</f>
        <v/>
      </c>
      <c r="DE651" t="str">
        <f>""</f>
        <v/>
      </c>
      <c r="DF651" t="str">
        <f>""</f>
        <v/>
      </c>
      <c r="DG651" t="str">
        <f>""</f>
        <v/>
      </c>
      <c r="DH651" t="str">
        <f>""</f>
        <v/>
      </c>
      <c r="DI651" t="str">
        <f>""</f>
        <v/>
      </c>
      <c r="DJ651" t="str">
        <f>""</f>
        <v/>
      </c>
      <c r="DK651" t="str">
        <f>""</f>
        <v/>
      </c>
      <c r="DL651" t="str">
        <f>""</f>
        <v/>
      </c>
      <c r="DM651" t="str">
        <f>""</f>
        <v/>
      </c>
      <c r="DN651" t="str">
        <f>""</f>
        <v/>
      </c>
      <c r="DO651" t="str">
        <f>""</f>
        <v/>
      </c>
      <c r="DP651" t="str">
        <f>""</f>
        <v/>
      </c>
      <c r="DQ651" t="str">
        <f>""</f>
        <v/>
      </c>
      <c r="DR651" t="str">
        <f>""</f>
        <v/>
      </c>
      <c r="DS651" t="str">
        <f>""</f>
        <v/>
      </c>
      <c r="DT651" t="str">
        <f>""</f>
        <v/>
      </c>
      <c r="DU651" t="str">
        <f>""</f>
        <v/>
      </c>
    </row>
    <row r="652" spans="1:125">
      <c r="A652" t="str">
        <f>$A$203</f>
        <v xml:space="preserve">    Realty Income Corp</v>
      </c>
      <c r="B652" t="str">
        <f>$B$203</f>
        <v>O US Equity</v>
      </c>
      <c r="C652" t="str">
        <f>$C$203</f>
        <v>RX225</v>
      </c>
      <c r="D652" t="str">
        <f>$D$203</f>
        <v>EBITDA_TO_REVENUE</v>
      </c>
      <c r="E652" t="str">
        <f>$E$203</f>
        <v>动态</v>
      </c>
      <c r="F652" t="str">
        <f ca="1">BDH($B$203,$C$203,$B$417,$B$418,CONCATENATE("Per=",$B$415),"Dts=H","Dir=H",CONCATENATE("Points=",$B$416),"Sort=R","Days=A","Fill=B",CONCATENATE("FX=", $B$414) )</f>
        <v>#N/A Authorization</v>
      </c>
      <c r="BN652" t="str">
        <f>""</f>
        <v/>
      </c>
      <c r="BO652" t="str">
        <f>""</f>
        <v/>
      </c>
      <c r="BP652" t="str">
        <f>""</f>
        <v/>
      </c>
      <c r="BQ652" t="str">
        <f>""</f>
        <v/>
      </c>
      <c r="BR652" t="str">
        <f>""</f>
        <v/>
      </c>
      <c r="BS652" t="str">
        <f>""</f>
        <v/>
      </c>
      <c r="BT652" t="str">
        <f>""</f>
        <v/>
      </c>
      <c r="BU652" t="str">
        <f>""</f>
        <v/>
      </c>
      <c r="BV652" t="str">
        <f>""</f>
        <v/>
      </c>
      <c r="BW652" t="str">
        <f>""</f>
        <v/>
      </c>
      <c r="BX652" t="str">
        <f>""</f>
        <v/>
      </c>
      <c r="BY652" t="str">
        <f>""</f>
        <v/>
      </c>
      <c r="BZ652" t="str">
        <f>""</f>
        <v/>
      </c>
      <c r="CA652" t="str">
        <f>""</f>
        <v/>
      </c>
      <c r="CB652" t="str">
        <f>""</f>
        <v/>
      </c>
      <c r="CC652" t="str">
        <f>""</f>
        <v/>
      </c>
      <c r="CD652" t="str">
        <f>""</f>
        <v/>
      </c>
      <c r="CE652" t="str">
        <f>""</f>
        <v/>
      </c>
      <c r="CF652" t="str">
        <f>""</f>
        <v/>
      </c>
      <c r="CG652" t="str">
        <f>""</f>
        <v/>
      </c>
      <c r="CH652" t="str">
        <f>""</f>
        <v/>
      </c>
      <c r="CI652" t="str">
        <f>""</f>
        <v/>
      </c>
      <c r="CJ652" t="str">
        <f>""</f>
        <v/>
      </c>
      <c r="CK652" t="str">
        <f>""</f>
        <v/>
      </c>
      <c r="CL652" t="str">
        <f>""</f>
        <v/>
      </c>
      <c r="CM652" t="str">
        <f>""</f>
        <v/>
      </c>
      <c r="CN652" t="str">
        <f>""</f>
        <v/>
      </c>
      <c r="CO652" t="str">
        <f>""</f>
        <v/>
      </c>
      <c r="CP652" t="str">
        <f>""</f>
        <v/>
      </c>
      <c r="CQ652" t="str">
        <f>""</f>
        <v/>
      </c>
      <c r="CR652" t="str">
        <f>""</f>
        <v/>
      </c>
      <c r="CS652" t="str">
        <f>""</f>
        <v/>
      </c>
      <c r="CT652" t="str">
        <f>""</f>
        <v/>
      </c>
      <c r="CU652" t="str">
        <f>""</f>
        <v/>
      </c>
      <c r="CV652" t="str">
        <f>""</f>
        <v/>
      </c>
      <c r="CW652" t="str">
        <f>""</f>
        <v/>
      </c>
      <c r="CX652" t="str">
        <f>""</f>
        <v/>
      </c>
      <c r="CY652" t="str">
        <f>""</f>
        <v/>
      </c>
      <c r="CZ652" t="str">
        <f>""</f>
        <v/>
      </c>
      <c r="DA652" t="str">
        <f>""</f>
        <v/>
      </c>
      <c r="DB652" t="str">
        <f>""</f>
        <v/>
      </c>
      <c r="DC652" t="str">
        <f>""</f>
        <v/>
      </c>
      <c r="DD652" t="str">
        <f>""</f>
        <v/>
      </c>
      <c r="DE652" t="str">
        <f>""</f>
        <v/>
      </c>
      <c r="DF652" t="str">
        <f>""</f>
        <v/>
      </c>
      <c r="DG652" t="str">
        <f>""</f>
        <v/>
      </c>
      <c r="DH652" t="str">
        <f>""</f>
        <v/>
      </c>
      <c r="DI652" t="str">
        <f>""</f>
        <v/>
      </c>
      <c r="DJ652" t="str">
        <f>""</f>
        <v/>
      </c>
      <c r="DK652" t="str">
        <f>""</f>
        <v/>
      </c>
      <c r="DL652" t="str">
        <f>""</f>
        <v/>
      </c>
      <c r="DM652" t="str">
        <f>""</f>
        <v/>
      </c>
      <c r="DN652" t="str">
        <f>""</f>
        <v/>
      </c>
      <c r="DO652" t="str">
        <f>""</f>
        <v/>
      </c>
      <c r="DP652" t="str">
        <f>""</f>
        <v/>
      </c>
      <c r="DQ652" t="str">
        <f>""</f>
        <v/>
      </c>
      <c r="DR652" t="str">
        <f>""</f>
        <v/>
      </c>
      <c r="DS652" t="str">
        <f>""</f>
        <v/>
      </c>
      <c r="DT652" t="str">
        <f>""</f>
        <v/>
      </c>
      <c r="DU652" t="str">
        <f>""</f>
        <v/>
      </c>
    </row>
    <row r="653" spans="1:125">
      <c r="A653" t="str">
        <f>$A$204</f>
        <v xml:space="preserve">    Regency Centers Corp</v>
      </c>
      <c r="B653" t="str">
        <f>$B$204</f>
        <v>REG US Equity</v>
      </c>
      <c r="C653" t="str">
        <f>$C$204</f>
        <v>RX225</v>
      </c>
      <c r="D653" t="str">
        <f>$D$204</f>
        <v>EBITDA_TO_REVENUE</v>
      </c>
      <c r="E653" t="str">
        <f>$E$204</f>
        <v>动态</v>
      </c>
      <c r="F653" t="str">
        <f ca="1">BDH($B$204,$C$204,$B$417,$B$418,CONCATENATE("Per=",$B$415),"Dts=H","Dir=H",CONCATENATE("Points=",$B$416),"Sort=R","Days=A","Fill=B",CONCATENATE("FX=", $B$414) )</f>
        <v>#N/A Authorization</v>
      </c>
      <c r="BN653" t="str">
        <f>""</f>
        <v/>
      </c>
      <c r="BO653" t="str">
        <f>""</f>
        <v/>
      </c>
      <c r="BP653" t="str">
        <f>""</f>
        <v/>
      </c>
      <c r="BQ653" t="str">
        <f>""</f>
        <v/>
      </c>
      <c r="BR653" t="str">
        <f>""</f>
        <v/>
      </c>
      <c r="BS653" t="str">
        <f>""</f>
        <v/>
      </c>
      <c r="BT653" t="str">
        <f>""</f>
        <v/>
      </c>
      <c r="BU653" t="str">
        <f>""</f>
        <v/>
      </c>
      <c r="BV653" t="str">
        <f>""</f>
        <v/>
      </c>
      <c r="BW653" t="str">
        <f>""</f>
        <v/>
      </c>
      <c r="BX653" t="str">
        <f>""</f>
        <v/>
      </c>
      <c r="BY653" t="str">
        <f>""</f>
        <v/>
      </c>
      <c r="BZ653" t="str">
        <f>""</f>
        <v/>
      </c>
      <c r="CA653" t="str">
        <f>""</f>
        <v/>
      </c>
      <c r="CB653" t="str">
        <f>""</f>
        <v/>
      </c>
      <c r="CC653" t="str">
        <f>""</f>
        <v/>
      </c>
      <c r="CD653" t="str">
        <f>""</f>
        <v/>
      </c>
      <c r="CE653" t="str">
        <f>""</f>
        <v/>
      </c>
      <c r="CF653" t="str">
        <f>""</f>
        <v/>
      </c>
      <c r="CG653" t="str">
        <f>""</f>
        <v/>
      </c>
      <c r="CH653" t="str">
        <f>""</f>
        <v/>
      </c>
      <c r="CI653" t="str">
        <f>""</f>
        <v/>
      </c>
      <c r="CJ653" t="str">
        <f>""</f>
        <v/>
      </c>
      <c r="CK653" t="str">
        <f>""</f>
        <v/>
      </c>
      <c r="CL653" t="str">
        <f>""</f>
        <v/>
      </c>
      <c r="CM653" t="str">
        <f>""</f>
        <v/>
      </c>
      <c r="CN653" t="str">
        <f>""</f>
        <v/>
      </c>
      <c r="CO653" t="str">
        <f>""</f>
        <v/>
      </c>
      <c r="CP653" t="str">
        <f>""</f>
        <v/>
      </c>
      <c r="CQ653" t="str">
        <f>""</f>
        <v/>
      </c>
      <c r="CR653" t="str">
        <f>""</f>
        <v/>
      </c>
      <c r="CS653" t="str">
        <f>""</f>
        <v/>
      </c>
      <c r="CT653" t="str">
        <f>""</f>
        <v/>
      </c>
      <c r="CU653" t="str">
        <f>""</f>
        <v/>
      </c>
      <c r="CV653" t="str">
        <f>""</f>
        <v/>
      </c>
      <c r="CW653" t="str">
        <f>""</f>
        <v/>
      </c>
      <c r="CX653" t="str">
        <f>""</f>
        <v/>
      </c>
      <c r="CY653" t="str">
        <f>""</f>
        <v/>
      </c>
      <c r="CZ653" t="str">
        <f>""</f>
        <v/>
      </c>
      <c r="DA653" t="str">
        <f>""</f>
        <v/>
      </c>
      <c r="DB653" t="str">
        <f>""</f>
        <v/>
      </c>
      <c r="DC653" t="str">
        <f>""</f>
        <v/>
      </c>
      <c r="DD653" t="str">
        <f>""</f>
        <v/>
      </c>
      <c r="DE653" t="str">
        <f>""</f>
        <v/>
      </c>
      <c r="DF653" t="str">
        <f>""</f>
        <v/>
      </c>
      <c r="DG653" t="str">
        <f>""</f>
        <v/>
      </c>
      <c r="DH653" t="str">
        <f>""</f>
        <v/>
      </c>
      <c r="DI653" t="str">
        <f>""</f>
        <v/>
      </c>
      <c r="DJ653" t="str">
        <f>""</f>
        <v/>
      </c>
      <c r="DK653" t="str">
        <f>""</f>
        <v/>
      </c>
      <c r="DL653" t="str">
        <f>""</f>
        <v/>
      </c>
      <c r="DM653" t="str">
        <f>""</f>
        <v/>
      </c>
      <c r="DN653" t="str">
        <f>""</f>
        <v/>
      </c>
      <c r="DO653" t="str">
        <f>""</f>
        <v/>
      </c>
      <c r="DP653" t="str">
        <f>""</f>
        <v/>
      </c>
      <c r="DQ653" t="str">
        <f>""</f>
        <v/>
      </c>
      <c r="DR653" t="str">
        <f>""</f>
        <v/>
      </c>
      <c r="DS653" t="str">
        <f>""</f>
        <v/>
      </c>
      <c r="DT653" t="str">
        <f>""</f>
        <v/>
      </c>
      <c r="DU653" t="str">
        <f>""</f>
        <v/>
      </c>
    </row>
    <row r="654" spans="1:125">
      <c r="A654" t="str">
        <f>$A$205</f>
        <v xml:space="preserve">    Retail Opportunity Investments</v>
      </c>
      <c r="B654" t="str">
        <f>$B$205</f>
        <v>ROIC US Equity</v>
      </c>
      <c r="C654" t="str">
        <f>$C$205</f>
        <v>RX225</v>
      </c>
      <c r="D654" t="str">
        <f>$D$205</f>
        <v>EBITDA_TO_REVENUE</v>
      </c>
      <c r="E654" t="str">
        <f>$E$205</f>
        <v>动态</v>
      </c>
      <c r="F654" t="str">
        <f ca="1">BDH($B$205,$C$205,$B$417,$B$418,CONCATENATE("Per=",$B$415),"Dts=H","Dir=H",CONCATENATE("Points=",$B$416),"Sort=R","Days=A","Fill=B",CONCATENATE("FX=", $B$414) )</f>
        <v>#N/A Authorization</v>
      </c>
      <c r="BN654" t="str">
        <f>""</f>
        <v/>
      </c>
      <c r="BO654" t="str">
        <f>""</f>
        <v/>
      </c>
      <c r="BP654" t="str">
        <f>""</f>
        <v/>
      </c>
      <c r="BQ654" t="str">
        <f>""</f>
        <v/>
      </c>
      <c r="BR654" t="str">
        <f>""</f>
        <v/>
      </c>
      <c r="BS654" t="str">
        <f>""</f>
        <v/>
      </c>
      <c r="BT654" t="str">
        <f>""</f>
        <v/>
      </c>
      <c r="BU654" t="str">
        <f>""</f>
        <v/>
      </c>
      <c r="BV654" t="str">
        <f>""</f>
        <v/>
      </c>
      <c r="BW654" t="str">
        <f>""</f>
        <v/>
      </c>
      <c r="BX654" t="str">
        <f>""</f>
        <v/>
      </c>
      <c r="BY654" t="str">
        <f>""</f>
        <v/>
      </c>
      <c r="BZ654" t="str">
        <f>""</f>
        <v/>
      </c>
      <c r="CA654" t="str">
        <f>""</f>
        <v/>
      </c>
      <c r="CB654" t="str">
        <f>""</f>
        <v/>
      </c>
      <c r="CC654" t="str">
        <f>""</f>
        <v/>
      </c>
      <c r="CD654" t="str">
        <f>""</f>
        <v/>
      </c>
      <c r="CE654" t="str">
        <f>""</f>
        <v/>
      </c>
      <c r="CF654" t="str">
        <f>""</f>
        <v/>
      </c>
      <c r="CG654" t="str">
        <f>""</f>
        <v/>
      </c>
      <c r="CH654" t="str">
        <f>""</f>
        <v/>
      </c>
      <c r="CI654" t="str">
        <f>""</f>
        <v/>
      </c>
      <c r="CJ654" t="str">
        <f>""</f>
        <v/>
      </c>
      <c r="CK654" t="str">
        <f>""</f>
        <v/>
      </c>
      <c r="CL654" t="str">
        <f>""</f>
        <v/>
      </c>
      <c r="CM654" t="str">
        <f>""</f>
        <v/>
      </c>
      <c r="CN654" t="str">
        <f>""</f>
        <v/>
      </c>
      <c r="CO654" t="str">
        <f>""</f>
        <v/>
      </c>
      <c r="CP654" t="str">
        <f>""</f>
        <v/>
      </c>
      <c r="CQ654" t="str">
        <f>""</f>
        <v/>
      </c>
      <c r="CR654" t="str">
        <f>""</f>
        <v/>
      </c>
      <c r="CS654" t="str">
        <f>""</f>
        <v/>
      </c>
      <c r="CT654" t="str">
        <f>""</f>
        <v/>
      </c>
      <c r="CU654" t="str">
        <f>""</f>
        <v/>
      </c>
      <c r="CV654" t="str">
        <f>""</f>
        <v/>
      </c>
      <c r="CW654" t="str">
        <f>""</f>
        <v/>
      </c>
      <c r="CX654" t="str">
        <f>""</f>
        <v/>
      </c>
      <c r="CY654" t="str">
        <f>""</f>
        <v/>
      </c>
      <c r="CZ654" t="str">
        <f>""</f>
        <v/>
      </c>
      <c r="DA654" t="str">
        <f>""</f>
        <v/>
      </c>
      <c r="DB654" t="str">
        <f>""</f>
        <v/>
      </c>
      <c r="DC654" t="str">
        <f>""</f>
        <v/>
      </c>
      <c r="DD654" t="str">
        <f>""</f>
        <v/>
      </c>
      <c r="DE654" t="str">
        <f>""</f>
        <v/>
      </c>
      <c r="DF654" t="str">
        <f>""</f>
        <v/>
      </c>
      <c r="DG654" t="str">
        <f>""</f>
        <v/>
      </c>
      <c r="DH654" t="str">
        <f>""</f>
        <v/>
      </c>
      <c r="DI654" t="str">
        <f>""</f>
        <v/>
      </c>
      <c r="DJ654" t="str">
        <f>""</f>
        <v/>
      </c>
      <c r="DK654" t="str">
        <f>""</f>
        <v/>
      </c>
      <c r="DL654" t="str">
        <f>""</f>
        <v/>
      </c>
      <c r="DM654" t="str">
        <f>""</f>
        <v/>
      </c>
      <c r="DN654" t="str">
        <f>""</f>
        <v/>
      </c>
      <c r="DO654" t="str">
        <f>""</f>
        <v/>
      </c>
      <c r="DP654" t="str">
        <f>""</f>
        <v/>
      </c>
      <c r="DQ654" t="str">
        <f>""</f>
        <v/>
      </c>
      <c r="DR654" t="str">
        <f>""</f>
        <v/>
      </c>
      <c r="DS654" t="str">
        <f>""</f>
        <v/>
      </c>
      <c r="DT654" t="str">
        <f>""</f>
        <v/>
      </c>
      <c r="DU654" t="str">
        <f>""</f>
        <v/>
      </c>
    </row>
    <row r="655" spans="1:125">
      <c r="A655" t="str">
        <f>$A$206</f>
        <v xml:space="preserve">    Retail Properties of America I</v>
      </c>
      <c r="B655" t="str">
        <f>$B$206</f>
        <v>RPAI US Equity</v>
      </c>
      <c r="C655" t="str">
        <f>$C$206</f>
        <v>RX225</v>
      </c>
      <c r="D655" t="str">
        <f>$D$206</f>
        <v>EBITDA_TO_REVENUE</v>
      </c>
      <c r="E655" t="str">
        <f>$E$206</f>
        <v>动态</v>
      </c>
      <c r="F655" t="str">
        <f ca="1">BDH($B$206,$C$206,$B$417,$B$418,CONCATENATE("Per=",$B$415),"Dts=H","Dir=H",CONCATENATE("Points=",$B$416),"Sort=R","Days=A","Fill=B",CONCATENATE("FX=", $B$414) )</f>
        <v>#N/A Authorization</v>
      </c>
      <c r="BN655" t="str">
        <f>""</f>
        <v/>
      </c>
      <c r="BO655" t="str">
        <f>""</f>
        <v/>
      </c>
      <c r="BP655" t="str">
        <f>""</f>
        <v/>
      </c>
      <c r="BQ655" t="str">
        <f>""</f>
        <v/>
      </c>
      <c r="BR655" t="str">
        <f>""</f>
        <v/>
      </c>
      <c r="BS655" t="str">
        <f>""</f>
        <v/>
      </c>
      <c r="BT655" t="str">
        <f>""</f>
        <v/>
      </c>
      <c r="BU655" t="str">
        <f>""</f>
        <v/>
      </c>
      <c r="BV655" t="str">
        <f>""</f>
        <v/>
      </c>
      <c r="BW655" t="str">
        <f>""</f>
        <v/>
      </c>
      <c r="BX655" t="str">
        <f>""</f>
        <v/>
      </c>
      <c r="BY655" t="str">
        <f>""</f>
        <v/>
      </c>
      <c r="BZ655" t="str">
        <f>""</f>
        <v/>
      </c>
      <c r="CA655" t="str">
        <f>""</f>
        <v/>
      </c>
      <c r="CB655" t="str">
        <f>""</f>
        <v/>
      </c>
      <c r="CC655" t="str">
        <f>""</f>
        <v/>
      </c>
      <c r="CD655" t="str">
        <f>""</f>
        <v/>
      </c>
      <c r="CE655" t="str">
        <f>""</f>
        <v/>
      </c>
      <c r="CF655" t="str">
        <f>""</f>
        <v/>
      </c>
      <c r="CG655" t="str">
        <f>""</f>
        <v/>
      </c>
      <c r="CH655" t="str">
        <f>""</f>
        <v/>
      </c>
      <c r="CI655" t="str">
        <f>""</f>
        <v/>
      </c>
      <c r="CJ655" t="str">
        <f>""</f>
        <v/>
      </c>
      <c r="CK655" t="str">
        <f>""</f>
        <v/>
      </c>
      <c r="CL655" t="str">
        <f>""</f>
        <v/>
      </c>
      <c r="CM655" t="str">
        <f>""</f>
        <v/>
      </c>
      <c r="CN655" t="str">
        <f>""</f>
        <v/>
      </c>
      <c r="CO655" t="str">
        <f>""</f>
        <v/>
      </c>
      <c r="CP655" t="str">
        <f>""</f>
        <v/>
      </c>
      <c r="CQ655" t="str">
        <f>""</f>
        <v/>
      </c>
      <c r="CR655" t="str">
        <f>""</f>
        <v/>
      </c>
      <c r="CS655" t="str">
        <f>""</f>
        <v/>
      </c>
      <c r="CT655" t="str">
        <f>""</f>
        <v/>
      </c>
      <c r="CU655" t="str">
        <f>""</f>
        <v/>
      </c>
      <c r="CV655" t="str">
        <f>""</f>
        <v/>
      </c>
      <c r="CW655" t="str">
        <f>""</f>
        <v/>
      </c>
      <c r="CX655" t="str">
        <f>""</f>
        <v/>
      </c>
      <c r="CY655" t="str">
        <f>""</f>
        <v/>
      </c>
      <c r="CZ655" t="str">
        <f>""</f>
        <v/>
      </c>
      <c r="DA655" t="str">
        <f>""</f>
        <v/>
      </c>
      <c r="DB655" t="str">
        <f>""</f>
        <v/>
      </c>
      <c r="DC655" t="str">
        <f>""</f>
        <v/>
      </c>
      <c r="DD655" t="str">
        <f>""</f>
        <v/>
      </c>
      <c r="DE655" t="str">
        <f>""</f>
        <v/>
      </c>
      <c r="DF655" t="str">
        <f>""</f>
        <v/>
      </c>
      <c r="DG655" t="str">
        <f>""</f>
        <v/>
      </c>
      <c r="DH655" t="str">
        <f>""</f>
        <v/>
      </c>
      <c r="DI655" t="str">
        <f>""</f>
        <v/>
      </c>
      <c r="DJ655" t="str">
        <f>""</f>
        <v/>
      </c>
      <c r="DK655" t="str">
        <f>""</f>
        <v/>
      </c>
      <c r="DL655" t="str">
        <f>""</f>
        <v/>
      </c>
      <c r="DM655" t="str">
        <f>""</f>
        <v/>
      </c>
      <c r="DN655" t="str">
        <f>""</f>
        <v/>
      </c>
      <c r="DO655" t="str">
        <f>""</f>
        <v/>
      </c>
      <c r="DP655" t="str">
        <f>""</f>
        <v/>
      </c>
      <c r="DQ655" t="str">
        <f>""</f>
        <v/>
      </c>
      <c r="DR655" t="str">
        <f>""</f>
        <v/>
      </c>
      <c r="DS655" t="str">
        <f>""</f>
        <v/>
      </c>
      <c r="DT655" t="str">
        <f>""</f>
        <v/>
      </c>
      <c r="DU655" t="str">
        <f>""</f>
        <v/>
      </c>
    </row>
    <row r="656" spans="1:125">
      <c r="A656" t="str">
        <f>$A$207</f>
        <v xml:space="preserve">    Simon Property Group Inc</v>
      </c>
      <c r="B656" t="str">
        <f>$B$207</f>
        <v>SPG US Equity</v>
      </c>
      <c r="C656" t="str">
        <f>$C$207</f>
        <v>RX225</v>
      </c>
      <c r="D656" t="str">
        <f>$D$207</f>
        <v>EBITDA_TO_REVENUE</v>
      </c>
      <c r="E656" t="str">
        <f>$E$207</f>
        <v>动态</v>
      </c>
      <c r="F656" t="str">
        <f ca="1">BDH($B$207,$C$207,$B$417,$B$418,CONCATENATE("Per=",$B$415),"Dts=H","Dir=H",CONCATENATE("Points=",$B$416),"Sort=R","Days=A","Fill=B",CONCATENATE("FX=", $B$414) )</f>
        <v>#N/A Authorization</v>
      </c>
      <c r="BN656" t="str">
        <f>""</f>
        <v/>
      </c>
      <c r="BO656" t="str">
        <f>""</f>
        <v/>
      </c>
      <c r="BP656" t="str">
        <f>""</f>
        <v/>
      </c>
      <c r="BQ656" t="str">
        <f>""</f>
        <v/>
      </c>
      <c r="BR656" t="str">
        <f>""</f>
        <v/>
      </c>
      <c r="BS656" t="str">
        <f>""</f>
        <v/>
      </c>
      <c r="BT656" t="str">
        <f>""</f>
        <v/>
      </c>
      <c r="BU656" t="str">
        <f>""</f>
        <v/>
      </c>
      <c r="BV656" t="str">
        <f>""</f>
        <v/>
      </c>
      <c r="BW656" t="str">
        <f>""</f>
        <v/>
      </c>
      <c r="BX656" t="str">
        <f>""</f>
        <v/>
      </c>
      <c r="BY656" t="str">
        <f>""</f>
        <v/>
      </c>
      <c r="BZ656" t="str">
        <f>""</f>
        <v/>
      </c>
      <c r="CA656" t="str">
        <f>""</f>
        <v/>
      </c>
      <c r="CB656" t="str">
        <f>""</f>
        <v/>
      </c>
      <c r="CC656" t="str">
        <f>""</f>
        <v/>
      </c>
      <c r="CD656" t="str">
        <f>""</f>
        <v/>
      </c>
      <c r="CE656" t="str">
        <f>""</f>
        <v/>
      </c>
      <c r="CF656" t="str">
        <f>""</f>
        <v/>
      </c>
      <c r="CG656" t="str">
        <f>""</f>
        <v/>
      </c>
      <c r="CH656" t="str">
        <f>""</f>
        <v/>
      </c>
      <c r="CI656" t="str">
        <f>""</f>
        <v/>
      </c>
      <c r="CJ656" t="str">
        <f>""</f>
        <v/>
      </c>
      <c r="CK656" t="str">
        <f>""</f>
        <v/>
      </c>
      <c r="CL656" t="str">
        <f>""</f>
        <v/>
      </c>
      <c r="CM656" t="str">
        <f>""</f>
        <v/>
      </c>
      <c r="CN656" t="str">
        <f>""</f>
        <v/>
      </c>
      <c r="CO656" t="str">
        <f>""</f>
        <v/>
      </c>
      <c r="CP656" t="str">
        <f>""</f>
        <v/>
      </c>
      <c r="CQ656" t="str">
        <f>""</f>
        <v/>
      </c>
      <c r="CR656" t="str">
        <f>""</f>
        <v/>
      </c>
      <c r="CS656" t="str">
        <f>""</f>
        <v/>
      </c>
      <c r="CT656" t="str">
        <f>""</f>
        <v/>
      </c>
      <c r="CU656" t="str">
        <f>""</f>
        <v/>
      </c>
      <c r="CV656" t="str">
        <f>""</f>
        <v/>
      </c>
      <c r="CW656" t="str">
        <f>""</f>
        <v/>
      </c>
      <c r="CX656" t="str">
        <f>""</f>
        <v/>
      </c>
      <c r="CY656" t="str">
        <f>""</f>
        <v/>
      </c>
      <c r="CZ656" t="str">
        <f>""</f>
        <v/>
      </c>
      <c r="DA656" t="str">
        <f>""</f>
        <v/>
      </c>
      <c r="DB656" t="str">
        <f>""</f>
        <v/>
      </c>
      <c r="DC656" t="str">
        <f>""</f>
        <v/>
      </c>
      <c r="DD656" t="str">
        <f>""</f>
        <v/>
      </c>
      <c r="DE656" t="str">
        <f>""</f>
        <v/>
      </c>
      <c r="DF656" t="str">
        <f>""</f>
        <v/>
      </c>
      <c r="DG656" t="str">
        <f>""</f>
        <v/>
      </c>
      <c r="DH656" t="str">
        <f>""</f>
        <v/>
      </c>
      <c r="DI656" t="str">
        <f>""</f>
        <v/>
      </c>
      <c r="DJ656" t="str">
        <f>""</f>
        <v/>
      </c>
      <c r="DK656" t="str">
        <f>""</f>
        <v/>
      </c>
      <c r="DL656" t="str">
        <f>""</f>
        <v/>
      </c>
      <c r="DM656" t="str">
        <f>""</f>
        <v/>
      </c>
      <c r="DN656" t="str">
        <f>""</f>
        <v/>
      </c>
      <c r="DO656" t="str">
        <f>""</f>
        <v/>
      </c>
      <c r="DP656" t="str">
        <f>""</f>
        <v/>
      </c>
      <c r="DQ656" t="str">
        <f>""</f>
        <v/>
      </c>
      <c r="DR656" t="str">
        <f>""</f>
        <v/>
      </c>
      <c r="DS656" t="str">
        <f>""</f>
        <v/>
      </c>
      <c r="DT656" t="str">
        <f>""</f>
        <v/>
      </c>
      <c r="DU656" t="str">
        <f>""</f>
        <v/>
      </c>
    </row>
    <row r="657" spans="1:125">
      <c r="A657" t="str">
        <f>$A$208</f>
        <v xml:space="preserve">    Tanger Factory Outlet Centers</v>
      </c>
      <c r="B657" t="str">
        <f>$B$208</f>
        <v>SKT US Equity</v>
      </c>
      <c r="C657" t="str">
        <f>$C$208</f>
        <v>RX225</v>
      </c>
      <c r="D657" t="str">
        <f>$D$208</f>
        <v>EBITDA_TO_REVENUE</v>
      </c>
      <c r="E657" t="str">
        <f>$E$208</f>
        <v>动态</v>
      </c>
      <c r="F657" t="str">
        <f ca="1">BDH($B$208,$C$208,$B$417,$B$418,CONCATENATE("Per=",$B$415),"Dts=H","Dir=H",CONCATENATE("Points=",$B$416),"Sort=R","Days=A","Fill=B",CONCATENATE("FX=", $B$414) )</f>
        <v>#N/A Authorization</v>
      </c>
      <c r="BN657" t="str">
        <f>""</f>
        <v/>
      </c>
      <c r="BO657" t="str">
        <f>""</f>
        <v/>
      </c>
      <c r="BP657" t="str">
        <f>""</f>
        <v/>
      </c>
      <c r="BQ657" t="str">
        <f>""</f>
        <v/>
      </c>
      <c r="BR657" t="str">
        <f>""</f>
        <v/>
      </c>
      <c r="BS657" t="str">
        <f>""</f>
        <v/>
      </c>
      <c r="BT657" t="str">
        <f>""</f>
        <v/>
      </c>
      <c r="BU657" t="str">
        <f>""</f>
        <v/>
      </c>
      <c r="BV657" t="str">
        <f>""</f>
        <v/>
      </c>
      <c r="BW657" t="str">
        <f>""</f>
        <v/>
      </c>
      <c r="BX657" t="str">
        <f>""</f>
        <v/>
      </c>
      <c r="BY657" t="str">
        <f>""</f>
        <v/>
      </c>
      <c r="BZ657" t="str">
        <f>""</f>
        <v/>
      </c>
      <c r="CA657" t="str">
        <f>""</f>
        <v/>
      </c>
      <c r="CB657" t="str">
        <f>""</f>
        <v/>
      </c>
      <c r="CC657" t="str">
        <f>""</f>
        <v/>
      </c>
      <c r="CD657" t="str">
        <f>""</f>
        <v/>
      </c>
      <c r="CE657" t="str">
        <f>""</f>
        <v/>
      </c>
      <c r="CF657" t="str">
        <f>""</f>
        <v/>
      </c>
      <c r="CG657" t="str">
        <f>""</f>
        <v/>
      </c>
      <c r="CH657" t="str">
        <f>""</f>
        <v/>
      </c>
      <c r="CI657" t="str">
        <f>""</f>
        <v/>
      </c>
      <c r="CJ657" t="str">
        <f>""</f>
        <v/>
      </c>
      <c r="CK657" t="str">
        <f>""</f>
        <v/>
      </c>
      <c r="CL657" t="str">
        <f>""</f>
        <v/>
      </c>
      <c r="CM657" t="str">
        <f>""</f>
        <v/>
      </c>
      <c r="CN657" t="str">
        <f>""</f>
        <v/>
      </c>
      <c r="CO657" t="str">
        <f>""</f>
        <v/>
      </c>
      <c r="CP657" t="str">
        <f>""</f>
        <v/>
      </c>
      <c r="CQ657" t="str">
        <f>""</f>
        <v/>
      </c>
      <c r="CR657" t="str">
        <f>""</f>
        <v/>
      </c>
      <c r="CS657" t="str">
        <f>""</f>
        <v/>
      </c>
      <c r="CT657" t="str">
        <f>""</f>
        <v/>
      </c>
      <c r="CU657" t="str">
        <f>""</f>
        <v/>
      </c>
      <c r="CV657" t="str">
        <f>""</f>
        <v/>
      </c>
      <c r="CW657" t="str">
        <f>""</f>
        <v/>
      </c>
      <c r="CX657" t="str">
        <f>""</f>
        <v/>
      </c>
      <c r="CY657" t="str">
        <f>""</f>
        <v/>
      </c>
      <c r="CZ657" t="str">
        <f>""</f>
        <v/>
      </c>
      <c r="DA657" t="str">
        <f>""</f>
        <v/>
      </c>
      <c r="DB657" t="str">
        <f>""</f>
        <v/>
      </c>
      <c r="DC657" t="str">
        <f>""</f>
        <v/>
      </c>
      <c r="DD657" t="str">
        <f>""</f>
        <v/>
      </c>
      <c r="DE657" t="str">
        <f>""</f>
        <v/>
      </c>
      <c r="DF657" t="str">
        <f>""</f>
        <v/>
      </c>
      <c r="DG657" t="str">
        <f>""</f>
        <v/>
      </c>
      <c r="DH657" t="str">
        <f>""</f>
        <v/>
      </c>
      <c r="DI657" t="str">
        <f>""</f>
        <v/>
      </c>
      <c r="DJ657" t="str">
        <f>""</f>
        <v/>
      </c>
      <c r="DK657" t="str">
        <f>""</f>
        <v/>
      </c>
      <c r="DL657" t="str">
        <f>""</f>
        <v/>
      </c>
      <c r="DM657" t="str">
        <f>""</f>
        <v/>
      </c>
      <c r="DN657" t="str">
        <f>""</f>
        <v/>
      </c>
      <c r="DO657" t="str">
        <f>""</f>
        <v/>
      </c>
      <c r="DP657" t="str">
        <f>""</f>
        <v/>
      </c>
      <c r="DQ657" t="str">
        <f>""</f>
        <v/>
      </c>
      <c r="DR657" t="str">
        <f>""</f>
        <v/>
      </c>
      <c r="DS657" t="str">
        <f>""</f>
        <v/>
      </c>
      <c r="DT657" t="str">
        <f>""</f>
        <v/>
      </c>
      <c r="DU657" t="str">
        <f>""</f>
        <v/>
      </c>
    </row>
    <row r="658" spans="1:125">
      <c r="A658" t="str">
        <f>$A$209</f>
        <v xml:space="preserve">    VEREIT Inc</v>
      </c>
      <c r="B658" t="str">
        <f>$B$209</f>
        <v>VER US Equity</v>
      </c>
      <c r="C658" t="str">
        <f>$C$209</f>
        <v>RX225</v>
      </c>
      <c r="D658" t="str">
        <f>$D$209</f>
        <v>EBITDA_TO_REVENUE</v>
      </c>
      <c r="E658" t="str">
        <f>$E$209</f>
        <v>动态</v>
      </c>
      <c r="F658" t="str">
        <f ca="1">BDH($B$209,$C$209,$B$417,$B$418,CONCATENATE("Per=",$B$415),"Dts=H","Dir=H",CONCATENATE("Points=",$B$416),"Sort=R","Days=A","Fill=B",CONCATENATE("FX=", $B$414) )</f>
        <v>#N/A Authorization</v>
      </c>
      <c r="BN658" t="str">
        <f>""</f>
        <v/>
      </c>
      <c r="BO658" t="str">
        <f>""</f>
        <v/>
      </c>
      <c r="BP658" t="str">
        <f>""</f>
        <v/>
      </c>
      <c r="BQ658" t="str">
        <f>""</f>
        <v/>
      </c>
      <c r="BR658" t="str">
        <f>""</f>
        <v/>
      </c>
      <c r="BS658" t="str">
        <f>""</f>
        <v/>
      </c>
      <c r="BT658" t="str">
        <f>""</f>
        <v/>
      </c>
      <c r="BU658" t="str">
        <f>""</f>
        <v/>
      </c>
      <c r="BV658" t="str">
        <f>""</f>
        <v/>
      </c>
      <c r="BW658" t="str">
        <f>""</f>
        <v/>
      </c>
      <c r="BX658" t="str">
        <f>""</f>
        <v/>
      </c>
      <c r="BY658" t="str">
        <f>""</f>
        <v/>
      </c>
      <c r="BZ658" t="str">
        <f>""</f>
        <v/>
      </c>
      <c r="CA658" t="str">
        <f>""</f>
        <v/>
      </c>
      <c r="CB658" t="str">
        <f>""</f>
        <v/>
      </c>
      <c r="CC658" t="str">
        <f>""</f>
        <v/>
      </c>
      <c r="CD658" t="str">
        <f>""</f>
        <v/>
      </c>
      <c r="CE658" t="str">
        <f>""</f>
        <v/>
      </c>
      <c r="CF658" t="str">
        <f>""</f>
        <v/>
      </c>
      <c r="CG658" t="str">
        <f>""</f>
        <v/>
      </c>
      <c r="CH658" t="str">
        <f>""</f>
        <v/>
      </c>
      <c r="CI658" t="str">
        <f>""</f>
        <v/>
      </c>
      <c r="CJ658" t="str">
        <f>""</f>
        <v/>
      </c>
      <c r="CK658" t="str">
        <f>""</f>
        <v/>
      </c>
      <c r="CL658" t="str">
        <f>""</f>
        <v/>
      </c>
      <c r="CM658" t="str">
        <f>""</f>
        <v/>
      </c>
      <c r="CN658" t="str">
        <f>""</f>
        <v/>
      </c>
      <c r="CO658" t="str">
        <f>""</f>
        <v/>
      </c>
      <c r="CP658" t="str">
        <f>""</f>
        <v/>
      </c>
      <c r="CQ658" t="str">
        <f>""</f>
        <v/>
      </c>
      <c r="CR658" t="str">
        <f>""</f>
        <v/>
      </c>
      <c r="CS658" t="str">
        <f>""</f>
        <v/>
      </c>
      <c r="CT658" t="str">
        <f>""</f>
        <v/>
      </c>
      <c r="CU658" t="str">
        <f>""</f>
        <v/>
      </c>
      <c r="CV658" t="str">
        <f>""</f>
        <v/>
      </c>
      <c r="CW658" t="str">
        <f>""</f>
        <v/>
      </c>
      <c r="CX658" t="str">
        <f>""</f>
        <v/>
      </c>
      <c r="CY658" t="str">
        <f>""</f>
        <v/>
      </c>
      <c r="CZ658" t="str">
        <f>""</f>
        <v/>
      </c>
      <c r="DA658" t="str">
        <f>""</f>
        <v/>
      </c>
      <c r="DB658" t="str">
        <f>""</f>
        <v/>
      </c>
      <c r="DC658" t="str">
        <f>""</f>
        <v/>
      </c>
      <c r="DD658" t="str">
        <f>""</f>
        <v/>
      </c>
      <c r="DE658" t="str">
        <f>""</f>
        <v/>
      </c>
      <c r="DF658" t="str">
        <f>""</f>
        <v/>
      </c>
      <c r="DG658" t="str">
        <f>""</f>
        <v/>
      </c>
      <c r="DH658" t="str">
        <f>""</f>
        <v/>
      </c>
      <c r="DI658" t="str">
        <f>""</f>
        <v/>
      </c>
      <c r="DJ658" t="str">
        <f>""</f>
        <v/>
      </c>
      <c r="DK658" t="str">
        <f>""</f>
        <v/>
      </c>
      <c r="DL658" t="str">
        <f>""</f>
        <v/>
      </c>
      <c r="DM658" t="str">
        <f>""</f>
        <v/>
      </c>
      <c r="DN658" t="str">
        <f>""</f>
        <v/>
      </c>
      <c r="DO658" t="str">
        <f>""</f>
        <v/>
      </c>
      <c r="DP658" t="str">
        <f>""</f>
        <v/>
      </c>
      <c r="DQ658" t="str">
        <f>""</f>
        <v/>
      </c>
      <c r="DR658" t="str">
        <f>""</f>
        <v/>
      </c>
      <c r="DS658" t="str">
        <f>""</f>
        <v/>
      </c>
      <c r="DT658" t="str">
        <f>""</f>
        <v/>
      </c>
      <c r="DU658" t="str">
        <f>""</f>
        <v/>
      </c>
    </row>
    <row r="659" spans="1:125">
      <c r="A659" t="str">
        <f>$A$210</f>
        <v xml:space="preserve">    Washington Prime Group Inc</v>
      </c>
      <c r="B659" t="str">
        <f>$B$210</f>
        <v>WPG US Equity</v>
      </c>
      <c r="C659" t="str">
        <f>$C$210</f>
        <v>RX225</v>
      </c>
      <c r="D659" t="str">
        <f>$D$210</f>
        <v>EBITDA_TO_REVENUE</v>
      </c>
      <c r="E659" t="str">
        <f>$E$210</f>
        <v>动态</v>
      </c>
      <c r="F659" t="str">
        <f ca="1">BDH($B$210,$C$210,$B$417,$B$418,CONCATENATE("Per=",$B$415),"Dts=H","Dir=H",CONCATENATE("Points=",$B$416),"Sort=R","Days=A","Fill=B",CONCATENATE("FX=", $B$414) )</f>
        <v>#N/A Authorization</v>
      </c>
      <c r="BN659" t="str">
        <f>""</f>
        <v/>
      </c>
      <c r="BO659" t="str">
        <f>""</f>
        <v/>
      </c>
      <c r="BP659" t="str">
        <f>""</f>
        <v/>
      </c>
      <c r="BQ659" t="str">
        <f>""</f>
        <v/>
      </c>
      <c r="BR659" t="str">
        <f>""</f>
        <v/>
      </c>
      <c r="BS659" t="str">
        <f>""</f>
        <v/>
      </c>
      <c r="BT659" t="str">
        <f>""</f>
        <v/>
      </c>
      <c r="BU659" t="str">
        <f>""</f>
        <v/>
      </c>
      <c r="BV659" t="str">
        <f>""</f>
        <v/>
      </c>
      <c r="BW659" t="str">
        <f>""</f>
        <v/>
      </c>
      <c r="BX659" t="str">
        <f>""</f>
        <v/>
      </c>
      <c r="BY659" t="str">
        <f>""</f>
        <v/>
      </c>
      <c r="BZ659" t="str">
        <f>""</f>
        <v/>
      </c>
      <c r="CA659" t="str">
        <f>""</f>
        <v/>
      </c>
      <c r="CB659" t="str">
        <f>""</f>
        <v/>
      </c>
      <c r="CC659" t="str">
        <f>""</f>
        <v/>
      </c>
      <c r="CD659" t="str">
        <f>""</f>
        <v/>
      </c>
      <c r="CE659" t="str">
        <f>""</f>
        <v/>
      </c>
      <c r="CF659" t="str">
        <f>""</f>
        <v/>
      </c>
      <c r="CG659" t="str">
        <f>""</f>
        <v/>
      </c>
      <c r="CH659" t="str">
        <f>""</f>
        <v/>
      </c>
      <c r="CI659" t="str">
        <f>""</f>
        <v/>
      </c>
      <c r="CJ659" t="str">
        <f>""</f>
        <v/>
      </c>
      <c r="CK659" t="str">
        <f>""</f>
        <v/>
      </c>
      <c r="CL659" t="str">
        <f>""</f>
        <v/>
      </c>
      <c r="CM659" t="str">
        <f>""</f>
        <v/>
      </c>
      <c r="CN659" t="str">
        <f>""</f>
        <v/>
      </c>
      <c r="CO659" t="str">
        <f>""</f>
        <v/>
      </c>
      <c r="CP659" t="str">
        <f>""</f>
        <v/>
      </c>
      <c r="CQ659" t="str">
        <f>""</f>
        <v/>
      </c>
      <c r="CR659" t="str">
        <f>""</f>
        <v/>
      </c>
      <c r="CS659" t="str">
        <f>""</f>
        <v/>
      </c>
      <c r="CT659" t="str">
        <f>""</f>
        <v/>
      </c>
      <c r="CU659" t="str">
        <f>""</f>
        <v/>
      </c>
      <c r="CV659" t="str">
        <f>""</f>
        <v/>
      </c>
      <c r="CW659" t="str">
        <f>""</f>
        <v/>
      </c>
      <c r="CX659" t="str">
        <f>""</f>
        <v/>
      </c>
      <c r="CY659" t="str">
        <f>""</f>
        <v/>
      </c>
      <c r="CZ659" t="str">
        <f>""</f>
        <v/>
      </c>
      <c r="DA659" t="str">
        <f>""</f>
        <v/>
      </c>
      <c r="DB659" t="str">
        <f>""</f>
        <v/>
      </c>
      <c r="DC659" t="str">
        <f>""</f>
        <v/>
      </c>
      <c r="DD659" t="str">
        <f>""</f>
        <v/>
      </c>
      <c r="DE659" t="str">
        <f>""</f>
        <v/>
      </c>
      <c r="DF659" t="str">
        <f>""</f>
        <v/>
      </c>
      <c r="DG659" t="str">
        <f>""</f>
        <v/>
      </c>
      <c r="DH659" t="str">
        <f>""</f>
        <v/>
      </c>
      <c r="DI659" t="str">
        <f>""</f>
        <v/>
      </c>
      <c r="DJ659" t="str">
        <f>""</f>
        <v/>
      </c>
      <c r="DK659" t="str">
        <f>""</f>
        <v/>
      </c>
      <c r="DL659" t="str">
        <f>""</f>
        <v/>
      </c>
      <c r="DM659" t="str">
        <f>""</f>
        <v/>
      </c>
      <c r="DN659" t="str">
        <f>""</f>
        <v/>
      </c>
      <c r="DO659" t="str">
        <f>""</f>
        <v/>
      </c>
      <c r="DP659" t="str">
        <f>""</f>
        <v/>
      </c>
      <c r="DQ659" t="str">
        <f>""</f>
        <v/>
      </c>
      <c r="DR659" t="str">
        <f>""</f>
        <v/>
      </c>
      <c r="DS659" t="str">
        <f>""</f>
        <v/>
      </c>
      <c r="DT659" t="str">
        <f>""</f>
        <v/>
      </c>
      <c r="DU659" t="str">
        <f>""</f>
        <v/>
      </c>
    </row>
    <row r="660" spans="1:125">
      <c r="A660" t="str">
        <f>$A$211</f>
        <v xml:space="preserve">    Weingarten Realty Investors</v>
      </c>
      <c r="B660" t="str">
        <f>$B$211</f>
        <v>WRI US Equity</v>
      </c>
      <c r="C660" t="str">
        <f>$C$211</f>
        <v>RX225</v>
      </c>
      <c r="D660" t="str">
        <f>$D$211</f>
        <v>EBITDA_TO_REVENUE</v>
      </c>
      <c r="E660" t="str">
        <f>$E$211</f>
        <v>动态</v>
      </c>
      <c r="F660" t="str">
        <f ca="1">BDH($B$211,$C$211,$B$417,$B$418,CONCATENATE("Per=",$B$415),"Dts=H","Dir=H",CONCATENATE("Points=",$B$416),"Sort=R","Days=A","Fill=B",CONCATENATE("FX=", $B$414) )</f>
        <v>#N/A Authorization</v>
      </c>
      <c r="BN660" t="str">
        <f>""</f>
        <v/>
      </c>
      <c r="BO660" t="str">
        <f>""</f>
        <v/>
      </c>
      <c r="BP660" t="str">
        <f>""</f>
        <v/>
      </c>
      <c r="BQ660" t="str">
        <f>""</f>
        <v/>
      </c>
      <c r="BR660" t="str">
        <f>""</f>
        <v/>
      </c>
      <c r="BS660" t="str">
        <f>""</f>
        <v/>
      </c>
      <c r="BT660" t="str">
        <f>""</f>
        <v/>
      </c>
      <c r="BU660" t="str">
        <f>""</f>
        <v/>
      </c>
      <c r="BV660" t="str">
        <f>""</f>
        <v/>
      </c>
      <c r="BW660" t="str">
        <f>""</f>
        <v/>
      </c>
      <c r="BX660" t="str">
        <f>""</f>
        <v/>
      </c>
      <c r="BY660" t="str">
        <f>""</f>
        <v/>
      </c>
      <c r="BZ660" t="str">
        <f>""</f>
        <v/>
      </c>
      <c r="CA660" t="str">
        <f>""</f>
        <v/>
      </c>
      <c r="CB660" t="str">
        <f>""</f>
        <v/>
      </c>
      <c r="CC660" t="str">
        <f>""</f>
        <v/>
      </c>
      <c r="CD660" t="str">
        <f>""</f>
        <v/>
      </c>
      <c r="CE660" t="str">
        <f>""</f>
        <v/>
      </c>
      <c r="CF660" t="str">
        <f>""</f>
        <v/>
      </c>
      <c r="CG660" t="str">
        <f>""</f>
        <v/>
      </c>
      <c r="CH660" t="str">
        <f>""</f>
        <v/>
      </c>
      <c r="CI660" t="str">
        <f>""</f>
        <v/>
      </c>
      <c r="CJ660" t="str">
        <f>""</f>
        <v/>
      </c>
      <c r="CK660" t="str">
        <f>""</f>
        <v/>
      </c>
      <c r="CL660" t="str">
        <f>""</f>
        <v/>
      </c>
      <c r="CM660" t="str">
        <f>""</f>
        <v/>
      </c>
      <c r="CN660" t="str">
        <f>""</f>
        <v/>
      </c>
      <c r="CO660" t="str">
        <f>""</f>
        <v/>
      </c>
      <c r="CP660" t="str">
        <f>""</f>
        <v/>
      </c>
      <c r="CQ660" t="str">
        <f>""</f>
        <v/>
      </c>
      <c r="CR660" t="str">
        <f>""</f>
        <v/>
      </c>
      <c r="CS660" t="str">
        <f>""</f>
        <v/>
      </c>
      <c r="CT660" t="str">
        <f>""</f>
        <v/>
      </c>
      <c r="CU660" t="str">
        <f>""</f>
        <v/>
      </c>
      <c r="CV660" t="str">
        <f>""</f>
        <v/>
      </c>
      <c r="CW660" t="str">
        <f>""</f>
        <v/>
      </c>
      <c r="CX660" t="str">
        <f>""</f>
        <v/>
      </c>
      <c r="CY660" t="str">
        <f>""</f>
        <v/>
      </c>
      <c r="CZ660" t="str">
        <f>""</f>
        <v/>
      </c>
      <c r="DA660" t="str">
        <f>""</f>
        <v/>
      </c>
      <c r="DB660" t="str">
        <f>""</f>
        <v/>
      </c>
      <c r="DC660" t="str">
        <f>""</f>
        <v/>
      </c>
      <c r="DD660" t="str">
        <f>""</f>
        <v/>
      </c>
      <c r="DE660" t="str">
        <f>""</f>
        <v/>
      </c>
      <c r="DF660" t="str">
        <f>""</f>
        <v/>
      </c>
      <c r="DG660" t="str">
        <f>""</f>
        <v/>
      </c>
      <c r="DH660" t="str">
        <f>""</f>
        <v/>
      </c>
      <c r="DI660" t="str">
        <f>""</f>
        <v/>
      </c>
      <c r="DJ660" t="str">
        <f>""</f>
        <v/>
      </c>
      <c r="DK660" t="str">
        <f>""</f>
        <v/>
      </c>
      <c r="DL660" t="str">
        <f>""</f>
        <v/>
      </c>
      <c r="DM660" t="str">
        <f>""</f>
        <v/>
      </c>
      <c r="DN660" t="str">
        <f>""</f>
        <v/>
      </c>
      <c r="DO660" t="str">
        <f>""</f>
        <v/>
      </c>
      <c r="DP660" t="str">
        <f>""</f>
        <v/>
      </c>
      <c r="DQ660" t="str">
        <f>""</f>
        <v/>
      </c>
      <c r="DR660" t="str">
        <f>""</f>
        <v/>
      </c>
      <c r="DS660" t="str">
        <f>""</f>
        <v/>
      </c>
      <c r="DT660" t="str">
        <f>""</f>
        <v/>
      </c>
      <c r="DU660" t="str">
        <f>""</f>
        <v/>
      </c>
    </row>
    <row r="661" spans="1:125">
      <c r="A661" t="str">
        <f>$A$213</f>
        <v xml:space="preserve">    Brixmor Property Group Inc</v>
      </c>
      <c r="B661" t="str">
        <f>$B$213</f>
        <v>BRX US Equity</v>
      </c>
      <c r="C661" t="str">
        <f>$C$213</f>
        <v>RX902</v>
      </c>
      <c r="D661" t="str">
        <f>$D$213</f>
        <v>ANN_NOI_GR_AST_NET_RTL_DEV_CTD_%</v>
      </c>
      <c r="E661" t="str">
        <f>$E$213</f>
        <v>动态</v>
      </c>
      <c r="F661" t="str">
        <f ca="1">BDH($B$213,$C$213,$B$417,$B$418,CONCATENATE("Per=",$B$415),"Dts=H","Dir=H",CONCATENATE("Points=",$B$416),"Sort=R","Days=A","Fill=B",CONCATENATE("FX=", $B$414) )</f>
        <v>#N/A Authorization</v>
      </c>
      <c r="BN661" t="str">
        <f>""</f>
        <v/>
      </c>
      <c r="BO661" t="str">
        <f>""</f>
        <v/>
      </c>
      <c r="BP661" t="str">
        <f>""</f>
        <v/>
      </c>
      <c r="BQ661" t="str">
        <f>""</f>
        <v/>
      </c>
      <c r="BR661" t="str">
        <f>""</f>
        <v/>
      </c>
      <c r="BS661" t="str">
        <f>""</f>
        <v/>
      </c>
      <c r="BT661" t="str">
        <f>""</f>
        <v/>
      </c>
      <c r="BU661" t="str">
        <f>""</f>
        <v/>
      </c>
      <c r="BV661" t="str">
        <f>""</f>
        <v/>
      </c>
      <c r="BW661" t="str">
        <f>""</f>
        <v/>
      </c>
      <c r="BX661" t="str">
        <f>""</f>
        <v/>
      </c>
      <c r="BY661" t="str">
        <f>""</f>
        <v/>
      </c>
      <c r="BZ661" t="str">
        <f>""</f>
        <v/>
      </c>
      <c r="CA661" t="str">
        <f>""</f>
        <v/>
      </c>
      <c r="CB661" t="str">
        <f>""</f>
        <v/>
      </c>
      <c r="CC661" t="str">
        <f>""</f>
        <v/>
      </c>
      <c r="CD661" t="str">
        <f>""</f>
        <v/>
      </c>
      <c r="CE661" t="str">
        <f>""</f>
        <v/>
      </c>
      <c r="CF661" t="str">
        <f>""</f>
        <v/>
      </c>
      <c r="CG661" t="str">
        <f>""</f>
        <v/>
      </c>
      <c r="CH661" t="str">
        <f>""</f>
        <v/>
      </c>
      <c r="CI661" t="str">
        <f>""</f>
        <v/>
      </c>
      <c r="CJ661" t="str">
        <f>""</f>
        <v/>
      </c>
      <c r="CK661" t="str">
        <f>""</f>
        <v/>
      </c>
      <c r="CL661" t="str">
        <f>""</f>
        <v/>
      </c>
      <c r="CM661" t="str">
        <f>""</f>
        <v/>
      </c>
      <c r="CN661" t="str">
        <f>""</f>
        <v/>
      </c>
      <c r="CO661" t="str">
        <f>""</f>
        <v/>
      </c>
      <c r="CP661" t="str">
        <f>""</f>
        <v/>
      </c>
      <c r="CQ661" t="str">
        <f>""</f>
        <v/>
      </c>
      <c r="CR661" t="str">
        <f>""</f>
        <v/>
      </c>
      <c r="CS661" t="str">
        <f>""</f>
        <v/>
      </c>
      <c r="CT661" t="str">
        <f>""</f>
        <v/>
      </c>
      <c r="CU661" t="str">
        <f>""</f>
        <v/>
      </c>
      <c r="CV661" t="str">
        <f>""</f>
        <v/>
      </c>
      <c r="CW661" t="str">
        <f>""</f>
        <v/>
      </c>
      <c r="CX661" t="str">
        <f>""</f>
        <v/>
      </c>
      <c r="CY661" t="str">
        <f>""</f>
        <v/>
      </c>
      <c r="CZ661" t="str">
        <f>""</f>
        <v/>
      </c>
      <c r="DA661" t="str">
        <f>""</f>
        <v/>
      </c>
      <c r="DB661" t="str">
        <f>""</f>
        <v/>
      </c>
      <c r="DC661" t="str">
        <f>""</f>
        <v/>
      </c>
      <c r="DD661" t="str">
        <f>""</f>
        <v/>
      </c>
      <c r="DE661" t="str">
        <f>""</f>
        <v/>
      </c>
      <c r="DF661" t="str">
        <f>""</f>
        <v/>
      </c>
      <c r="DG661" t="str">
        <f>""</f>
        <v/>
      </c>
      <c r="DH661" t="str">
        <f>""</f>
        <v/>
      </c>
      <c r="DI661" t="str">
        <f>""</f>
        <v/>
      </c>
      <c r="DJ661" t="str">
        <f>""</f>
        <v/>
      </c>
      <c r="DK661" t="str">
        <f>""</f>
        <v/>
      </c>
      <c r="DL661" t="str">
        <f>""</f>
        <v/>
      </c>
      <c r="DM661" t="str">
        <f>""</f>
        <v/>
      </c>
      <c r="DN661" t="str">
        <f>""</f>
        <v/>
      </c>
      <c r="DO661" t="str">
        <f>""</f>
        <v/>
      </c>
      <c r="DP661" t="str">
        <f>""</f>
        <v/>
      </c>
      <c r="DQ661" t="str">
        <f>""</f>
        <v/>
      </c>
      <c r="DR661" t="str">
        <f>""</f>
        <v/>
      </c>
      <c r="DS661" t="str">
        <f>""</f>
        <v/>
      </c>
      <c r="DT661" t="str">
        <f>""</f>
        <v/>
      </c>
      <c r="DU661" t="str">
        <f>""</f>
        <v/>
      </c>
    </row>
    <row r="662" spans="1:125">
      <c r="A662" t="str">
        <f>$A$214</f>
        <v xml:space="preserve">    CBL &amp; Associates Properties In</v>
      </c>
      <c r="B662" t="str">
        <f>$B$214</f>
        <v>CBL US Equity</v>
      </c>
      <c r="C662" t="str">
        <f>$C$214</f>
        <v>RX902</v>
      </c>
      <c r="D662" t="str">
        <f>$D$214</f>
        <v>ANN_NOI_GR_AST_NET_RTL_DEV_CTD_%</v>
      </c>
      <c r="E662" t="str">
        <f>$E$214</f>
        <v>动态</v>
      </c>
      <c r="F662" t="str">
        <f ca="1">BDH($B$214,$C$214,$B$417,$B$418,CONCATENATE("Per=",$B$415),"Dts=H","Dir=H",CONCATENATE("Points=",$B$416),"Sort=R","Days=A","Fill=B",CONCATENATE("FX=", $B$414) )</f>
        <v>#N/A Authorization</v>
      </c>
      <c r="BN662" t="str">
        <f>""</f>
        <v/>
      </c>
      <c r="BO662" t="str">
        <f>""</f>
        <v/>
      </c>
      <c r="BP662" t="str">
        <f>""</f>
        <v/>
      </c>
      <c r="BQ662" t="str">
        <f>""</f>
        <v/>
      </c>
      <c r="BR662" t="str">
        <f>""</f>
        <v/>
      </c>
      <c r="BS662" t="str">
        <f>""</f>
        <v/>
      </c>
      <c r="BT662" t="str">
        <f>""</f>
        <v/>
      </c>
      <c r="BU662" t="str">
        <f>""</f>
        <v/>
      </c>
      <c r="BV662" t="str">
        <f>""</f>
        <v/>
      </c>
      <c r="BW662" t="str">
        <f>""</f>
        <v/>
      </c>
      <c r="BX662" t="str">
        <f>""</f>
        <v/>
      </c>
      <c r="BY662" t="str">
        <f>""</f>
        <v/>
      </c>
      <c r="BZ662" t="str">
        <f>""</f>
        <v/>
      </c>
      <c r="CA662" t="str">
        <f>""</f>
        <v/>
      </c>
      <c r="CB662" t="str">
        <f>""</f>
        <v/>
      </c>
      <c r="CC662" t="str">
        <f>""</f>
        <v/>
      </c>
      <c r="CD662" t="str">
        <f>""</f>
        <v/>
      </c>
      <c r="CE662" t="str">
        <f>""</f>
        <v/>
      </c>
      <c r="CF662" t="str">
        <f>""</f>
        <v/>
      </c>
      <c r="CG662" t="str">
        <f>""</f>
        <v/>
      </c>
      <c r="CH662" t="str">
        <f>""</f>
        <v/>
      </c>
      <c r="CI662" t="str">
        <f>""</f>
        <v/>
      </c>
      <c r="CJ662" t="str">
        <f>""</f>
        <v/>
      </c>
      <c r="CK662" t="str">
        <f>""</f>
        <v/>
      </c>
      <c r="CL662" t="str">
        <f>""</f>
        <v/>
      </c>
      <c r="CM662" t="str">
        <f>""</f>
        <v/>
      </c>
      <c r="CN662" t="str">
        <f>""</f>
        <v/>
      </c>
      <c r="CO662" t="str">
        <f>""</f>
        <v/>
      </c>
      <c r="CP662" t="str">
        <f>""</f>
        <v/>
      </c>
      <c r="CQ662" t="str">
        <f>""</f>
        <v/>
      </c>
      <c r="CR662" t="str">
        <f>""</f>
        <v/>
      </c>
      <c r="CS662" t="str">
        <f>""</f>
        <v/>
      </c>
      <c r="CT662" t="str">
        <f>""</f>
        <v/>
      </c>
      <c r="CU662" t="str">
        <f>""</f>
        <v/>
      </c>
      <c r="CV662" t="str">
        <f>""</f>
        <v/>
      </c>
      <c r="CW662" t="str">
        <f>""</f>
        <v/>
      </c>
      <c r="CX662" t="str">
        <f>""</f>
        <v/>
      </c>
      <c r="CY662" t="str">
        <f>""</f>
        <v/>
      </c>
      <c r="CZ662" t="str">
        <f>""</f>
        <v/>
      </c>
      <c r="DA662" t="str">
        <f>""</f>
        <v/>
      </c>
      <c r="DB662" t="str">
        <f>""</f>
        <v/>
      </c>
      <c r="DC662" t="str">
        <f>""</f>
        <v/>
      </c>
      <c r="DD662" t="str">
        <f>""</f>
        <v/>
      </c>
      <c r="DE662" t="str">
        <f>""</f>
        <v/>
      </c>
      <c r="DF662" t="str">
        <f>""</f>
        <v/>
      </c>
      <c r="DG662" t="str">
        <f>""</f>
        <v/>
      </c>
      <c r="DH662" t="str">
        <f>""</f>
        <v/>
      </c>
      <c r="DI662" t="str">
        <f>""</f>
        <v/>
      </c>
      <c r="DJ662" t="str">
        <f>""</f>
        <v/>
      </c>
      <c r="DK662" t="str">
        <f>""</f>
        <v/>
      </c>
      <c r="DL662" t="str">
        <f>""</f>
        <v/>
      </c>
      <c r="DM662" t="str">
        <f>""</f>
        <v/>
      </c>
      <c r="DN662" t="str">
        <f>""</f>
        <v/>
      </c>
      <c r="DO662" t="str">
        <f>""</f>
        <v/>
      </c>
      <c r="DP662" t="str">
        <f>""</f>
        <v/>
      </c>
      <c r="DQ662" t="str">
        <f>""</f>
        <v/>
      </c>
      <c r="DR662" t="str">
        <f>""</f>
        <v/>
      </c>
      <c r="DS662" t="str">
        <f>""</f>
        <v/>
      </c>
      <c r="DT662" t="str">
        <f>""</f>
        <v/>
      </c>
      <c r="DU662" t="str">
        <f>""</f>
        <v/>
      </c>
    </row>
    <row r="663" spans="1:125">
      <c r="A663" t="str">
        <f>$A$215</f>
        <v xml:space="preserve">    DDR Corp</v>
      </c>
      <c r="B663" t="str">
        <f>$B$215</f>
        <v>DDR US Equity</v>
      </c>
      <c r="C663" t="str">
        <f>$C$215</f>
        <v>RX902</v>
      </c>
      <c r="D663" t="str">
        <f>$D$215</f>
        <v>ANN_NOI_GR_AST_NET_RTL_DEV_CTD_%</v>
      </c>
      <c r="E663" t="str">
        <f>$E$215</f>
        <v>动态</v>
      </c>
      <c r="F663" t="str">
        <f ca="1">BDH($B$215,$C$215,$B$417,$B$418,CONCATENATE("Per=",$B$415),"Dts=H","Dir=H",CONCATENATE("Points=",$B$416),"Sort=R","Days=A","Fill=B",CONCATENATE("FX=", $B$414) )</f>
        <v>#N/A Authorization</v>
      </c>
      <c r="BN663" t="str">
        <f>""</f>
        <v/>
      </c>
      <c r="BO663" t="str">
        <f>""</f>
        <v/>
      </c>
      <c r="BP663" t="str">
        <f>""</f>
        <v/>
      </c>
      <c r="BQ663" t="str">
        <f>""</f>
        <v/>
      </c>
      <c r="BR663" t="str">
        <f>""</f>
        <v/>
      </c>
      <c r="BS663" t="str">
        <f>""</f>
        <v/>
      </c>
      <c r="BT663" t="str">
        <f>""</f>
        <v/>
      </c>
      <c r="BU663" t="str">
        <f>""</f>
        <v/>
      </c>
      <c r="BV663" t="str">
        <f>""</f>
        <v/>
      </c>
      <c r="BW663" t="str">
        <f>""</f>
        <v/>
      </c>
      <c r="BX663" t="str">
        <f>""</f>
        <v/>
      </c>
      <c r="BY663" t="str">
        <f>""</f>
        <v/>
      </c>
      <c r="BZ663" t="str">
        <f>""</f>
        <v/>
      </c>
      <c r="CA663" t="str">
        <f>""</f>
        <v/>
      </c>
      <c r="CB663" t="str">
        <f>""</f>
        <v/>
      </c>
      <c r="CC663" t="str">
        <f>""</f>
        <v/>
      </c>
      <c r="CD663" t="str">
        <f>""</f>
        <v/>
      </c>
      <c r="CE663" t="str">
        <f>""</f>
        <v/>
      </c>
      <c r="CF663" t="str">
        <f>""</f>
        <v/>
      </c>
      <c r="CG663" t="str">
        <f>""</f>
        <v/>
      </c>
      <c r="CH663" t="str">
        <f>""</f>
        <v/>
      </c>
      <c r="CI663" t="str">
        <f>""</f>
        <v/>
      </c>
      <c r="CJ663" t="str">
        <f>""</f>
        <v/>
      </c>
      <c r="CK663" t="str">
        <f>""</f>
        <v/>
      </c>
      <c r="CL663" t="str">
        <f>""</f>
        <v/>
      </c>
      <c r="CM663" t="str">
        <f>""</f>
        <v/>
      </c>
      <c r="CN663" t="str">
        <f>""</f>
        <v/>
      </c>
      <c r="CO663" t="str">
        <f>""</f>
        <v/>
      </c>
      <c r="CP663" t="str">
        <f>""</f>
        <v/>
      </c>
      <c r="CQ663" t="str">
        <f>""</f>
        <v/>
      </c>
      <c r="CR663" t="str">
        <f>""</f>
        <v/>
      </c>
      <c r="CS663" t="str">
        <f>""</f>
        <v/>
      </c>
      <c r="CT663" t="str">
        <f>""</f>
        <v/>
      </c>
      <c r="CU663" t="str">
        <f>""</f>
        <v/>
      </c>
      <c r="CV663" t="str">
        <f>""</f>
        <v/>
      </c>
      <c r="CW663" t="str">
        <f>""</f>
        <v/>
      </c>
      <c r="CX663" t="str">
        <f>""</f>
        <v/>
      </c>
      <c r="CY663" t="str">
        <f>""</f>
        <v/>
      </c>
      <c r="CZ663" t="str">
        <f>""</f>
        <v/>
      </c>
      <c r="DA663" t="str">
        <f>""</f>
        <v/>
      </c>
      <c r="DB663" t="str">
        <f>""</f>
        <v/>
      </c>
      <c r="DC663" t="str">
        <f>""</f>
        <v/>
      </c>
      <c r="DD663" t="str">
        <f>""</f>
        <v/>
      </c>
      <c r="DE663" t="str">
        <f>""</f>
        <v/>
      </c>
      <c r="DF663" t="str">
        <f>""</f>
        <v/>
      </c>
      <c r="DG663" t="str">
        <f>""</f>
        <v/>
      </c>
      <c r="DH663" t="str">
        <f>""</f>
        <v/>
      </c>
      <c r="DI663" t="str">
        <f>""</f>
        <v/>
      </c>
      <c r="DJ663" t="str">
        <f>""</f>
        <v/>
      </c>
      <c r="DK663" t="str">
        <f>""</f>
        <v/>
      </c>
      <c r="DL663" t="str">
        <f>""</f>
        <v/>
      </c>
      <c r="DM663" t="str">
        <f>""</f>
        <v/>
      </c>
      <c r="DN663" t="str">
        <f>""</f>
        <v/>
      </c>
      <c r="DO663" t="str">
        <f>""</f>
        <v/>
      </c>
      <c r="DP663" t="str">
        <f>""</f>
        <v/>
      </c>
      <c r="DQ663" t="str">
        <f>""</f>
        <v/>
      </c>
      <c r="DR663" t="str">
        <f>""</f>
        <v/>
      </c>
      <c r="DS663" t="str">
        <f>""</f>
        <v/>
      </c>
      <c r="DT663" t="str">
        <f>""</f>
        <v/>
      </c>
      <c r="DU663" t="str">
        <f>""</f>
        <v/>
      </c>
    </row>
    <row r="664" spans="1:125">
      <c r="A664" t="str">
        <f>$A$216</f>
        <v xml:space="preserve">    Federal Realty Investment Trus</v>
      </c>
      <c r="B664" t="str">
        <f>$B$216</f>
        <v>FRT US Equity</v>
      </c>
      <c r="C664" t="str">
        <f>$C$216</f>
        <v>RX902</v>
      </c>
      <c r="D664" t="str">
        <f>$D$216</f>
        <v>ANN_NOI_GR_AST_NET_RTL_DEV_CTD_%</v>
      </c>
      <c r="E664" t="str">
        <f>$E$216</f>
        <v>动态</v>
      </c>
      <c r="F664" t="str">
        <f ca="1">BDH($B$216,$C$216,$B$417,$B$418,CONCATENATE("Per=",$B$415),"Dts=H","Dir=H",CONCATENATE("Points=",$B$416),"Sort=R","Days=A","Fill=B",CONCATENATE("FX=", $B$414) )</f>
        <v>#N/A Authorization</v>
      </c>
      <c r="BN664" t="str">
        <f>""</f>
        <v/>
      </c>
      <c r="BO664" t="str">
        <f>""</f>
        <v/>
      </c>
      <c r="BP664" t="str">
        <f>""</f>
        <v/>
      </c>
      <c r="BQ664" t="str">
        <f>""</f>
        <v/>
      </c>
      <c r="BR664" t="str">
        <f>""</f>
        <v/>
      </c>
      <c r="BS664" t="str">
        <f>""</f>
        <v/>
      </c>
      <c r="BT664" t="str">
        <f>""</f>
        <v/>
      </c>
      <c r="BU664" t="str">
        <f>""</f>
        <v/>
      </c>
      <c r="BV664" t="str">
        <f>""</f>
        <v/>
      </c>
      <c r="BW664" t="str">
        <f>""</f>
        <v/>
      </c>
      <c r="BX664" t="str">
        <f>""</f>
        <v/>
      </c>
      <c r="BY664" t="str">
        <f>""</f>
        <v/>
      </c>
      <c r="BZ664" t="str">
        <f>""</f>
        <v/>
      </c>
      <c r="CA664" t="str">
        <f>""</f>
        <v/>
      </c>
      <c r="CB664" t="str">
        <f>""</f>
        <v/>
      </c>
      <c r="CC664" t="str">
        <f>""</f>
        <v/>
      </c>
      <c r="CD664" t="str">
        <f>""</f>
        <v/>
      </c>
      <c r="CE664" t="str">
        <f>""</f>
        <v/>
      </c>
      <c r="CF664" t="str">
        <f>""</f>
        <v/>
      </c>
      <c r="CG664" t="str">
        <f>""</f>
        <v/>
      </c>
      <c r="CH664" t="str">
        <f>""</f>
        <v/>
      </c>
      <c r="CI664" t="str">
        <f>""</f>
        <v/>
      </c>
      <c r="CJ664" t="str">
        <f>""</f>
        <v/>
      </c>
      <c r="CK664" t="str">
        <f>""</f>
        <v/>
      </c>
      <c r="CL664" t="str">
        <f>""</f>
        <v/>
      </c>
      <c r="CM664" t="str">
        <f>""</f>
        <v/>
      </c>
      <c r="CN664" t="str">
        <f>""</f>
        <v/>
      </c>
      <c r="CO664" t="str">
        <f>""</f>
        <v/>
      </c>
      <c r="CP664" t="str">
        <f>""</f>
        <v/>
      </c>
      <c r="CQ664" t="str">
        <f>""</f>
        <v/>
      </c>
      <c r="CR664" t="str">
        <f>""</f>
        <v/>
      </c>
      <c r="CS664" t="str">
        <f>""</f>
        <v/>
      </c>
      <c r="CT664" t="str">
        <f>""</f>
        <v/>
      </c>
      <c r="CU664" t="str">
        <f>""</f>
        <v/>
      </c>
      <c r="CV664" t="str">
        <f>""</f>
        <v/>
      </c>
      <c r="CW664" t="str">
        <f>""</f>
        <v/>
      </c>
      <c r="CX664" t="str">
        <f>""</f>
        <v/>
      </c>
      <c r="CY664" t="str">
        <f>""</f>
        <v/>
      </c>
      <c r="CZ664" t="str">
        <f>""</f>
        <v/>
      </c>
      <c r="DA664" t="str">
        <f>""</f>
        <v/>
      </c>
      <c r="DB664" t="str">
        <f>""</f>
        <v/>
      </c>
      <c r="DC664" t="str">
        <f>""</f>
        <v/>
      </c>
      <c r="DD664" t="str">
        <f>""</f>
        <v/>
      </c>
      <c r="DE664" t="str">
        <f>""</f>
        <v/>
      </c>
      <c r="DF664" t="str">
        <f>""</f>
        <v/>
      </c>
      <c r="DG664" t="str">
        <f>""</f>
        <v/>
      </c>
      <c r="DH664" t="str">
        <f>""</f>
        <v/>
      </c>
      <c r="DI664" t="str">
        <f>""</f>
        <v/>
      </c>
      <c r="DJ664" t="str">
        <f>""</f>
        <v/>
      </c>
      <c r="DK664" t="str">
        <f>""</f>
        <v/>
      </c>
      <c r="DL664" t="str">
        <f>""</f>
        <v/>
      </c>
      <c r="DM664" t="str">
        <f>""</f>
        <v/>
      </c>
      <c r="DN664" t="str">
        <f>""</f>
        <v/>
      </c>
      <c r="DO664" t="str">
        <f>""</f>
        <v/>
      </c>
      <c r="DP664" t="str">
        <f>""</f>
        <v/>
      </c>
      <c r="DQ664" t="str">
        <f>""</f>
        <v/>
      </c>
      <c r="DR664" t="str">
        <f>""</f>
        <v/>
      </c>
      <c r="DS664" t="str">
        <f>""</f>
        <v/>
      </c>
      <c r="DT664" t="str">
        <f>""</f>
        <v/>
      </c>
      <c r="DU664" t="str">
        <f>""</f>
        <v/>
      </c>
    </row>
    <row r="665" spans="1:125">
      <c r="A665" t="str">
        <f>$A$217</f>
        <v xml:space="preserve">    Kimco Realty Corp</v>
      </c>
      <c r="B665" t="str">
        <f>$B$217</f>
        <v>KIM US Equity</v>
      </c>
      <c r="C665" t="str">
        <f>$C$217</f>
        <v>RX902</v>
      </c>
      <c r="D665" t="str">
        <f>$D$217</f>
        <v>ANN_NOI_GR_AST_NET_RTL_DEV_CTD_%</v>
      </c>
      <c r="E665" t="str">
        <f>$E$217</f>
        <v>动态</v>
      </c>
      <c r="F665" t="str">
        <f ca="1">BDH($B$217,$C$217,$B$417,$B$418,CONCATENATE("Per=",$B$415),"Dts=H","Dir=H",CONCATENATE("Points=",$B$416),"Sort=R","Days=A","Fill=B",CONCATENATE("FX=", $B$414) )</f>
        <v>#N/A Authorization</v>
      </c>
      <c r="BN665" t="str">
        <f>""</f>
        <v/>
      </c>
      <c r="BO665" t="str">
        <f>""</f>
        <v/>
      </c>
      <c r="BP665" t="str">
        <f>""</f>
        <v/>
      </c>
      <c r="BQ665" t="str">
        <f>""</f>
        <v/>
      </c>
      <c r="BR665" t="str">
        <f>""</f>
        <v/>
      </c>
      <c r="BS665" t="str">
        <f>""</f>
        <v/>
      </c>
      <c r="BT665" t="str">
        <f>""</f>
        <v/>
      </c>
      <c r="BU665" t="str">
        <f>""</f>
        <v/>
      </c>
      <c r="BV665" t="str">
        <f>""</f>
        <v/>
      </c>
      <c r="BW665" t="str">
        <f>""</f>
        <v/>
      </c>
      <c r="BX665" t="str">
        <f>""</f>
        <v/>
      </c>
      <c r="BY665" t="str">
        <f>""</f>
        <v/>
      </c>
      <c r="BZ665" t="str">
        <f>""</f>
        <v/>
      </c>
      <c r="CA665" t="str">
        <f>""</f>
        <v/>
      </c>
      <c r="CB665" t="str">
        <f>""</f>
        <v/>
      </c>
      <c r="CC665" t="str">
        <f>""</f>
        <v/>
      </c>
      <c r="CD665" t="str">
        <f>""</f>
        <v/>
      </c>
      <c r="CE665" t="str">
        <f>""</f>
        <v/>
      </c>
      <c r="CF665" t="str">
        <f>""</f>
        <v/>
      </c>
      <c r="CG665" t="str">
        <f>""</f>
        <v/>
      </c>
      <c r="CH665" t="str">
        <f>""</f>
        <v/>
      </c>
      <c r="CI665" t="str">
        <f>""</f>
        <v/>
      </c>
      <c r="CJ665" t="str">
        <f>""</f>
        <v/>
      </c>
      <c r="CK665" t="str">
        <f>""</f>
        <v/>
      </c>
      <c r="CL665" t="str">
        <f>""</f>
        <v/>
      </c>
      <c r="CM665" t="str">
        <f>""</f>
        <v/>
      </c>
      <c r="CN665" t="str">
        <f>""</f>
        <v/>
      </c>
      <c r="CO665" t="str">
        <f>""</f>
        <v/>
      </c>
      <c r="CP665" t="str">
        <f>""</f>
        <v/>
      </c>
      <c r="CQ665" t="str">
        <f>""</f>
        <v/>
      </c>
      <c r="CR665" t="str">
        <f>""</f>
        <v/>
      </c>
      <c r="CS665" t="str">
        <f>""</f>
        <v/>
      </c>
      <c r="CT665" t="str">
        <f>""</f>
        <v/>
      </c>
      <c r="CU665" t="str">
        <f>""</f>
        <v/>
      </c>
      <c r="CV665" t="str">
        <f>""</f>
        <v/>
      </c>
      <c r="CW665" t="str">
        <f>""</f>
        <v/>
      </c>
      <c r="CX665" t="str">
        <f>""</f>
        <v/>
      </c>
      <c r="CY665" t="str">
        <f>""</f>
        <v/>
      </c>
      <c r="CZ665" t="str">
        <f>""</f>
        <v/>
      </c>
      <c r="DA665" t="str">
        <f>""</f>
        <v/>
      </c>
      <c r="DB665" t="str">
        <f>""</f>
        <v/>
      </c>
      <c r="DC665" t="str">
        <f>""</f>
        <v/>
      </c>
      <c r="DD665" t="str">
        <f>""</f>
        <v/>
      </c>
      <c r="DE665" t="str">
        <f>""</f>
        <v/>
      </c>
      <c r="DF665" t="str">
        <f>""</f>
        <v/>
      </c>
      <c r="DG665" t="str">
        <f>""</f>
        <v/>
      </c>
      <c r="DH665" t="str">
        <f>""</f>
        <v/>
      </c>
      <c r="DI665" t="str">
        <f>""</f>
        <v/>
      </c>
      <c r="DJ665" t="str">
        <f>""</f>
        <v/>
      </c>
      <c r="DK665" t="str">
        <f>""</f>
        <v/>
      </c>
      <c r="DL665" t="str">
        <f>""</f>
        <v/>
      </c>
      <c r="DM665" t="str">
        <f>""</f>
        <v/>
      </c>
      <c r="DN665" t="str">
        <f>""</f>
        <v/>
      </c>
      <c r="DO665" t="str">
        <f>""</f>
        <v/>
      </c>
      <c r="DP665" t="str">
        <f>""</f>
        <v/>
      </c>
      <c r="DQ665" t="str">
        <f>""</f>
        <v/>
      </c>
      <c r="DR665" t="str">
        <f>""</f>
        <v/>
      </c>
      <c r="DS665" t="str">
        <f>""</f>
        <v/>
      </c>
      <c r="DT665" t="str">
        <f>""</f>
        <v/>
      </c>
      <c r="DU665" t="str">
        <f>""</f>
        <v/>
      </c>
    </row>
    <row r="666" spans="1:125">
      <c r="A666" t="str">
        <f>$A$218</f>
        <v xml:space="preserve">    National Retail Properties Inc</v>
      </c>
      <c r="B666" t="str">
        <f>$B$218</f>
        <v>NNN US Equity</v>
      </c>
      <c r="C666" t="str">
        <f>$C$218</f>
        <v>RX902</v>
      </c>
      <c r="D666" t="str">
        <f>$D$218</f>
        <v>ANN_NOI_GR_AST_NET_RTL_DEV_CTD_%</v>
      </c>
      <c r="E666" t="str">
        <f>$E$218</f>
        <v>动态</v>
      </c>
      <c r="F666" t="str">
        <f ca="1">BDH($B$218,$C$218,$B$417,$B$418,CONCATENATE("Per=",$B$415),"Dts=H","Dir=H",CONCATENATE("Points=",$B$416),"Sort=R","Days=A","Fill=B",CONCATENATE("FX=", $B$414) )</f>
        <v>#N/A Authorization</v>
      </c>
      <c r="BN666" t="str">
        <f>""</f>
        <v/>
      </c>
      <c r="BO666" t="str">
        <f>""</f>
        <v/>
      </c>
      <c r="BP666" t="str">
        <f>""</f>
        <v/>
      </c>
      <c r="BQ666" t="str">
        <f>""</f>
        <v/>
      </c>
      <c r="BR666" t="str">
        <f>""</f>
        <v/>
      </c>
      <c r="BS666" t="str">
        <f>""</f>
        <v/>
      </c>
      <c r="BT666" t="str">
        <f>""</f>
        <v/>
      </c>
      <c r="BU666" t="str">
        <f>""</f>
        <v/>
      </c>
      <c r="BV666" t="str">
        <f>""</f>
        <v/>
      </c>
      <c r="BW666" t="str">
        <f>""</f>
        <v/>
      </c>
      <c r="BX666" t="str">
        <f>""</f>
        <v/>
      </c>
      <c r="BY666" t="str">
        <f>""</f>
        <v/>
      </c>
      <c r="BZ666" t="str">
        <f>""</f>
        <v/>
      </c>
      <c r="CA666" t="str">
        <f>""</f>
        <v/>
      </c>
      <c r="CB666" t="str">
        <f>""</f>
        <v/>
      </c>
      <c r="CC666" t="str">
        <f>""</f>
        <v/>
      </c>
      <c r="CD666" t="str">
        <f>""</f>
        <v/>
      </c>
      <c r="CE666" t="str">
        <f>""</f>
        <v/>
      </c>
      <c r="CF666" t="str">
        <f>""</f>
        <v/>
      </c>
      <c r="CG666" t="str">
        <f>""</f>
        <v/>
      </c>
      <c r="CH666" t="str">
        <f>""</f>
        <v/>
      </c>
      <c r="CI666" t="str">
        <f>""</f>
        <v/>
      </c>
      <c r="CJ666" t="str">
        <f>""</f>
        <v/>
      </c>
      <c r="CK666" t="str">
        <f>""</f>
        <v/>
      </c>
      <c r="CL666" t="str">
        <f>""</f>
        <v/>
      </c>
      <c r="CM666" t="str">
        <f>""</f>
        <v/>
      </c>
      <c r="CN666" t="str">
        <f>""</f>
        <v/>
      </c>
      <c r="CO666" t="str">
        <f>""</f>
        <v/>
      </c>
      <c r="CP666" t="str">
        <f>""</f>
        <v/>
      </c>
      <c r="CQ666" t="str">
        <f>""</f>
        <v/>
      </c>
      <c r="CR666" t="str">
        <f>""</f>
        <v/>
      </c>
      <c r="CS666" t="str">
        <f>""</f>
        <v/>
      </c>
      <c r="CT666" t="str">
        <f>""</f>
        <v/>
      </c>
      <c r="CU666" t="str">
        <f>""</f>
        <v/>
      </c>
      <c r="CV666" t="str">
        <f>""</f>
        <v/>
      </c>
      <c r="CW666" t="str">
        <f>""</f>
        <v/>
      </c>
      <c r="CX666" t="str">
        <f>""</f>
        <v/>
      </c>
      <c r="CY666" t="str">
        <f>""</f>
        <v/>
      </c>
      <c r="CZ666" t="str">
        <f>""</f>
        <v/>
      </c>
      <c r="DA666" t="str">
        <f>""</f>
        <v/>
      </c>
      <c r="DB666" t="str">
        <f>""</f>
        <v/>
      </c>
      <c r="DC666" t="str">
        <f>""</f>
        <v/>
      </c>
      <c r="DD666" t="str">
        <f>""</f>
        <v/>
      </c>
      <c r="DE666" t="str">
        <f>""</f>
        <v/>
      </c>
      <c r="DF666" t="str">
        <f>""</f>
        <v/>
      </c>
      <c r="DG666" t="str">
        <f>""</f>
        <v/>
      </c>
      <c r="DH666" t="str">
        <f>""</f>
        <v/>
      </c>
      <c r="DI666" t="str">
        <f>""</f>
        <v/>
      </c>
      <c r="DJ666" t="str">
        <f>""</f>
        <v/>
      </c>
      <c r="DK666" t="str">
        <f>""</f>
        <v/>
      </c>
      <c r="DL666" t="str">
        <f>""</f>
        <v/>
      </c>
      <c r="DM666" t="str">
        <f>""</f>
        <v/>
      </c>
      <c r="DN666" t="str">
        <f>""</f>
        <v/>
      </c>
      <c r="DO666" t="str">
        <f>""</f>
        <v/>
      </c>
      <c r="DP666" t="str">
        <f>""</f>
        <v/>
      </c>
      <c r="DQ666" t="str">
        <f>""</f>
        <v/>
      </c>
      <c r="DR666" t="str">
        <f>""</f>
        <v/>
      </c>
      <c r="DS666" t="str">
        <f>""</f>
        <v/>
      </c>
      <c r="DT666" t="str">
        <f>""</f>
        <v/>
      </c>
      <c r="DU666" t="str">
        <f>""</f>
        <v/>
      </c>
    </row>
    <row r="667" spans="1:125">
      <c r="A667" t="str">
        <f>$A$219</f>
        <v xml:space="preserve">    Realty Income Corp</v>
      </c>
      <c r="B667" t="str">
        <f>$B$219</f>
        <v>O US Equity</v>
      </c>
      <c r="C667" t="str">
        <f>$C$219</f>
        <v>RX902</v>
      </c>
      <c r="D667" t="str">
        <f>$D$219</f>
        <v>ANN_NOI_GR_AST_NET_RTL_DEV_CTD_%</v>
      </c>
      <c r="E667" t="str">
        <f>$E$219</f>
        <v>动态</v>
      </c>
      <c r="F667" t="str">
        <f ca="1">BDH($B$219,$C$219,$B$417,$B$418,CONCATENATE("Per=",$B$415),"Dts=H","Dir=H",CONCATENATE("Points=",$B$416),"Sort=R","Days=A","Fill=B",CONCATENATE("FX=", $B$414) )</f>
        <v>#N/A Authorization</v>
      </c>
      <c r="BN667" t="str">
        <f>""</f>
        <v/>
      </c>
      <c r="BO667" t="str">
        <f>""</f>
        <v/>
      </c>
      <c r="BP667" t="str">
        <f>""</f>
        <v/>
      </c>
      <c r="BQ667" t="str">
        <f>""</f>
        <v/>
      </c>
      <c r="BR667" t="str">
        <f>""</f>
        <v/>
      </c>
      <c r="BS667" t="str">
        <f>""</f>
        <v/>
      </c>
      <c r="BT667" t="str">
        <f>""</f>
        <v/>
      </c>
      <c r="BU667" t="str">
        <f>""</f>
        <v/>
      </c>
      <c r="BV667" t="str">
        <f>""</f>
        <v/>
      </c>
      <c r="BW667" t="str">
        <f>""</f>
        <v/>
      </c>
      <c r="BX667" t="str">
        <f>""</f>
        <v/>
      </c>
      <c r="BY667" t="str">
        <f>""</f>
        <v/>
      </c>
      <c r="BZ667" t="str">
        <f>""</f>
        <v/>
      </c>
      <c r="CA667" t="str">
        <f>""</f>
        <v/>
      </c>
      <c r="CB667" t="str">
        <f>""</f>
        <v/>
      </c>
      <c r="CC667" t="str">
        <f>""</f>
        <v/>
      </c>
      <c r="CD667" t="str">
        <f>""</f>
        <v/>
      </c>
      <c r="CE667" t="str">
        <f>""</f>
        <v/>
      </c>
      <c r="CF667" t="str">
        <f>""</f>
        <v/>
      </c>
      <c r="CG667" t="str">
        <f>""</f>
        <v/>
      </c>
      <c r="CH667" t="str">
        <f>""</f>
        <v/>
      </c>
      <c r="CI667" t="str">
        <f>""</f>
        <v/>
      </c>
      <c r="CJ667" t="str">
        <f>""</f>
        <v/>
      </c>
      <c r="CK667" t="str">
        <f>""</f>
        <v/>
      </c>
      <c r="CL667" t="str">
        <f>""</f>
        <v/>
      </c>
      <c r="CM667" t="str">
        <f>""</f>
        <v/>
      </c>
      <c r="CN667" t="str">
        <f>""</f>
        <v/>
      </c>
      <c r="CO667" t="str">
        <f>""</f>
        <v/>
      </c>
      <c r="CP667" t="str">
        <f>""</f>
        <v/>
      </c>
      <c r="CQ667" t="str">
        <f>""</f>
        <v/>
      </c>
      <c r="CR667" t="str">
        <f>""</f>
        <v/>
      </c>
      <c r="CS667" t="str">
        <f>""</f>
        <v/>
      </c>
      <c r="CT667" t="str">
        <f>""</f>
        <v/>
      </c>
      <c r="CU667" t="str">
        <f>""</f>
        <v/>
      </c>
      <c r="CV667" t="str">
        <f>""</f>
        <v/>
      </c>
      <c r="CW667" t="str">
        <f>""</f>
        <v/>
      </c>
      <c r="CX667" t="str">
        <f>""</f>
        <v/>
      </c>
      <c r="CY667" t="str">
        <f>""</f>
        <v/>
      </c>
      <c r="CZ667" t="str">
        <f>""</f>
        <v/>
      </c>
      <c r="DA667" t="str">
        <f>""</f>
        <v/>
      </c>
      <c r="DB667" t="str">
        <f>""</f>
        <v/>
      </c>
      <c r="DC667" t="str">
        <f>""</f>
        <v/>
      </c>
      <c r="DD667" t="str">
        <f>""</f>
        <v/>
      </c>
      <c r="DE667" t="str">
        <f>""</f>
        <v/>
      </c>
      <c r="DF667" t="str">
        <f>""</f>
        <v/>
      </c>
      <c r="DG667" t="str">
        <f>""</f>
        <v/>
      </c>
      <c r="DH667" t="str">
        <f>""</f>
        <v/>
      </c>
      <c r="DI667" t="str">
        <f>""</f>
        <v/>
      </c>
      <c r="DJ667" t="str">
        <f>""</f>
        <v/>
      </c>
      <c r="DK667" t="str">
        <f>""</f>
        <v/>
      </c>
      <c r="DL667" t="str">
        <f>""</f>
        <v/>
      </c>
      <c r="DM667" t="str">
        <f>""</f>
        <v/>
      </c>
      <c r="DN667" t="str">
        <f>""</f>
        <v/>
      </c>
      <c r="DO667" t="str">
        <f>""</f>
        <v/>
      </c>
      <c r="DP667" t="str">
        <f>""</f>
        <v/>
      </c>
      <c r="DQ667" t="str">
        <f>""</f>
        <v/>
      </c>
      <c r="DR667" t="str">
        <f>""</f>
        <v/>
      </c>
      <c r="DS667" t="str">
        <f>""</f>
        <v/>
      </c>
      <c r="DT667" t="str">
        <f>""</f>
        <v/>
      </c>
      <c r="DU667" t="str">
        <f>""</f>
        <v/>
      </c>
    </row>
    <row r="668" spans="1:125">
      <c r="A668" t="str">
        <f>$A$220</f>
        <v xml:space="preserve">    Regency Centers Corp</v>
      </c>
      <c r="B668" t="str">
        <f>$B$220</f>
        <v>REG US Equity</v>
      </c>
      <c r="C668" t="str">
        <f>$C$220</f>
        <v>RX902</v>
      </c>
      <c r="D668" t="str">
        <f>$D$220</f>
        <v>ANN_NOI_GR_AST_NET_RTL_DEV_CTD_%</v>
      </c>
      <c r="E668" t="str">
        <f>$E$220</f>
        <v>动态</v>
      </c>
      <c r="F668" t="str">
        <f ca="1">BDH($B$220,$C$220,$B$417,$B$418,CONCATENATE("Per=",$B$415),"Dts=H","Dir=H",CONCATENATE("Points=",$B$416),"Sort=R","Days=A","Fill=B",CONCATENATE("FX=", $B$414) )</f>
        <v>#N/A Authorization</v>
      </c>
      <c r="BN668" t="str">
        <f>""</f>
        <v/>
      </c>
      <c r="BO668" t="str">
        <f>""</f>
        <v/>
      </c>
      <c r="BP668" t="str">
        <f>""</f>
        <v/>
      </c>
      <c r="BQ668" t="str">
        <f>""</f>
        <v/>
      </c>
      <c r="BR668" t="str">
        <f>""</f>
        <v/>
      </c>
      <c r="BS668" t="str">
        <f>""</f>
        <v/>
      </c>
      <c r="BT668" t="str">
        <f>""</f>
        <v/>
      </c>
      <c r="BU668" t="str">
        <f>""</f>
        <v/>
      </c>
      <c r="BV668" t="str">
        <f>""</f>
        <v/>
      </c>
      <c r="BW668" t="str">
        <f>""</f>
        <v/>
      </c>
      <c r="BX668" t="str">
        <f>""</f>
        <v/>
      </c>
      <c r="BY668" t="str">
        <f>""</f>
        <v/>
      </c>
      <c r="BZ668" t="str">
        <f>""</f>
        <v/>
      </c>
      <c r="CA668" t="str">
        <f>""</f>
        <v/>
      </c>
      <c r="CB668" t="str">
        <f>""</f>
        <v/>
      </c>
      <c r="CC668" t="str">
        <f>""</f>
        <v/>
      </c>
      <c r="CD668" t="str">
        <f>""</f>
        <v/>
      </c>
      <c r="CE668" t="str">
        <f>""</f>
        <v/>
      </c>
      <c r="CF668" t="str">
        <f>""</f>
        <v/>
      </c>
      <c r="CG668" t="str">
        <f>""</f>
        <v/>
      </c>
      <c r="CH668" t="str">
        <f>""</f>
        <v/>
      </c>
      <c r="CI668" t="str">
        <f>""</f>
        <v/>
      </c>
      <c r="CJ668" t="str">
        <f>""</f>
        <v/>
      </c>
      <c r="CK668" t="str">
        <f>""</f>
        <v/>
      </c>
      <c r="CL668" t="str">
        <f>""</f>
        <v/>
      </c>
      <c r="CM668" t="str">
        <f>""</f>
        <v/>
      </c>
      <c r="CN668" t="str">
        <f>""</f>
        <v/>
      </c>
      <c r="CO668" t="str">
        <f>""</f>
        <v/>
      </c>
      <c r="CP668" t="str">
        <f>""</f>
        <v/>
      </c>
      <c r="CQ668" t="str">
        <f>""</f>
        <v/>
      </c>
      <c r="CR668" t="str">
        <f>""</f>
        <v/>
      </c>
      <c r="CS668" t="str">
        <f>""</f>
        <v/>
      </c>
      <c r="CT668" t="str">
        <f>""</f>
        <v/>
      </c>
      <c r="CU668" t="str">
        <f>""</f>
        <v/>
      </c>
      <c r="CV668" t="str">
        <f>""</f>
        <v/>
      </c>
      <c r="CW668" t="str">
        <f>""</f>
        <v/>
      </c>
      <c r="CX668" t="str">
        <f>""</f>
        <v/>
      </c>
      <c r="CY668" t="str">
        <f>""</f>
        <v/>
      </c>
      <c r="CZ668" t="str">
        <f>""</f>
        <v/>
      </c>
      <c r="DA668" t="str">
        <f>""</f>
        <v/>
      </c>
      <c r="DB668" t="str">
        <f>""</f>
        <v/>
      </c>
      <c r="DC668" t="str">
        <f>""</f>
        <v/>
      </c>
      <c r="DD668" t="str">
        <f>""</f>
        <v/>
      </c>
      <c r="DE668" t="str">
        <f>""</f>
        <v/>
      </c>
      <c r="DF668" t="str">
        <f>""</f>
        <v/>
      </c>
      <c r="DG668" t="str">
        <f>""</f>
        <v/>
      </c>
      <c r="DH668" t="str">
        <f>""</f>
        <v/>
      </c>
      <c r="DI668" t="str">
        <f>""</f>
        <v/>
      </c>
      <c r="DJ668" t="str">
        <f>""</f>
        <v/>
      </c>
      <c r="DK668" t="str">
        <f>""</f>
        <v/>
      </c>
      <c r="DL668" t="str">
        <f>""</f>
        <v/>
      </c>
      <c r="DM668" t="str">
        <f>""</f>
        <v/>
      </c>
      <c r="DN668" t="str">
        <f>""</f>
        <v/>
      </c>
      <c r="DO668" t="str">
        <f>""</f>
        <v/>
      </c>
      <c r="DP668" t="str">
        <f>""</f>
        <v/>
      </c>
      <c r="DQ668" t="str">
        <f>""</f>
        <v/>
      </c>
      <c r="DR668" t="str">
        <f>""</f>
        <v/>
      </c>
      <c r="DS668" t="str">
        <f>""</f>
        <v/>
      </c>
      <c r="DT668" t="str">
        <f>""</f>
        <v/>
      </c>
      <c r="DU668" t="str">
        <f>""</f>
        <v/>
      </c>
    </row>
    <row r="669" spans="1:125">
      <c r="A669" t="str">
        <f>$A$221</f>
        <v xml:space="preserve">    Retail Opportunity Investments</v>
      </c>
      <c r="B669" t="str">
        <f>$B$221</f>
        <v>ROIC US Equity</v>
      </c>
      <c r="C669" t="str">
        <f>$C$221</f>
        <v>RX902</v>
      </c>
      <c r="D669" t="str">
        <f>$D$221</f>
        <v>ANN_NOI_GR_AST_NET_RTL_DEV_CTD_%</v>
      </c>
      <c r="E669" t="str">
        <f>$E$221</f>
        <v>动态</v>
      </c>
      <c r="F669" t="str">
        <f ca="1">BDH($B$221,$C$221,$B$417,$B$418,CONCATENATE("Per=",$B$415),"Dts=H","Dir=H",CONCATENATE("Points=",$B$416),"Sort=R","Days=A","Fill=B",CONCATENATE("FX=", $B$414) )</f>
        <v>#N/A Authorization</v>
      </c>
      <c r="BN669" t="str">
        <f>""</f>
        <v/>
      </c>
      <c r="BO669" t="str">
        <f>""</f>
        <v/>
      </c>
      <c r="BP669" t="str">
        <f>""</f>
        <v/>
      </c>
      <c r="BQ669" t="str">
        <f>""</f>
        <v/>
      </c>
      <c r="BR669" t="str">
        <f>""</f>
        <v/>
      </c>
      <c r="BS669" t="str">
        <f>""</f>
        <v/>
      </c>
      <c r="BT669" t="str">
        <f>""</f>
        <v/>
      </c>
      <c r="BU669" t="str">
        <f>""</f>
        <v/>
      </c>
      <c r="BV669" t="str">
        <f>""</f>
        <v/>
      </c>
      <c r="BW669" t="str">
        <f>""</f>
        <v/>
      </c>
      <c r="BX669" t="str">
        <f>""</f>
        <v/>
      </c>
      <c r="BY669" t="str">
        <f>""</f>
        <v/>
      </c>
      <c r="BZ669" t="str">
        <f>""</f>
        <v/>
      </c>
      <c r="CA669" t="str">
        <f>""</f>
        <v/>
      </c>
      <c r="CB669" t="str">
        <f>""</f>
        <v/>
      </c>
      <c r="CC669" t="str">
        <f>""</f>
        <v/>
      </c>
      <c r="CD669" t="str">
        <f>""</f>
        <v/>
      </c>
      <c r="CE669" t="str">
        <f>""</f>
        <v/>
      </c>
      <c r="CF669" t="str">
        <f>""</f>
        <v/>
      </c>
      <c r="CG669" t="str">
        <f>""</f>
        <v/>
      </c>
      <c r="CH669" t="str">
        <f>""</f>
        <v/>
      </c>
      <c r="CI669" t="str">
        <f>""</f>
        <v/>
      </c>
      <c r="CJ669" t="str">
        <f>""</f>
        <v/>
      </c>
      <c r="CK669" t="str">
        <f>""</f>
        <v/>
      </c>
      <c r="CL669" t="str">
        <f>""</f>
        <v/>
      </c>
      <c r="CM669" t="str">
        <f>""</f>
        <v/>
      </c>
      <c r="CN669" t="str">
        <f>""</f>
        <v/>
      </c>
      <c r="CO669" t="str">
        <f>""</f>
        <v/>
      </c>
      <c r="CP669" t="str">
        <f>""</f>
        <v/>
      </c>
      <c r="CQ669" t="str">
        <f>""</f>
        <v/>
      </c>
      <c r="CR669" t="str">
        <f>""</f>
        <v/>
      </c>
      <c r="CS669" t="str">
        <f>""</f>
        <v/>
      </c>
      <c r="CT669" t="str">
        <f>""</f>
        <v/>
      </c>
      <c r="CU669" t="str">
        <f>""</f>
        <v/>
      </c>
      <c r="CV669" t="str">
        <f>""</f>
        <v/>
      </c>
      <c r="CW669" t="str">
        <f>""</f>
        <v/>
      </c>
      <c r="CX669" t="str">
        <f>""</f>
        <v/>
      </c>
      <c r="CY669" t="str">
        <f>""</f>
        <v/>
      </c>
      <c r="CZ669" t="str">
        <f>""</f>
        <v/>
      </c>
      <c r="DA669" t="str">
        <f>""</f>
        <v/>
      </c>
      <c r="DB669" t="str">
        <f>""</f>
        <v/>
      </c>
      <c r="DC669" t="str">
        <f>""</f>
        <v/>
      </c>
      <c r="DD669" t="str">
        <f>""</f>
        <v/>
      </c>
      <c r="DE669" t="str">
        <f>""</f>
        <v/>
      </c>
      <c r="DF669" t="str">
        <f>""</f>
        <v/>
      </c>
      <c r="DG669" t="str">
        <f>""</f>
        <v/>
      </c>
      <c r="DH669" t="str">
        <f>""</f>
        <v/>
      </c>
      <c r="DI669" t="str">
        <f>""</f>
        <v/>
      </c>
      <c r="DJ669" t="str">
        <f>""</f>
        <v/>
      </c>
      <c r="DK669" t="str">
        <f>""</f>
        <v/>
      </c>
      <c r="DL669" t="str">
        <f>""</f>
        <v/>
      </c>
      <c r="DM669" t="str">
        <f>""</f>
        <v/>
      </c>
      <c r="DN669" t="str">
        <f>""</f>
        <v/>
      </c>
      <c r="DO669" t="str">
        <f>""</f>
        <v/>
      </c>
      <c r="DP669" t="str">
        <f>""</f>
        <v/>
      </c>
      <c r="DQ669" t="str">
        <f>""</f>
        <v/>
      </c>
      <c r="DR669" t="str">
        <f>""</f>
        <v/>
      </c>
      <c r="DS669" t="str">
        <f>""</f>
        <v/>
      </c>
      <c r="DT669" t="str">
        <f>""</f>
        <v/>
      </c>
      <c r="DU669" t="str">
        <f>""</f>
        <v/>
      </c>
    </row>
    <row r="670" spans="1:125">
      <c r="A670" t="str">
        <f>$A$222</f>
        <v xml:space="preserve">    Retail Properties of America I</v>
      </c>
      <c r="B670" t="str">
        <f>$B$222</f>
        <v>RPAI US Equity</v>
      </c>
      <c r="C670" t="str">
        <f>$C$222</f>
        <v>RX902</v>
      </c>
      <c r="D670" t="str">
        <f>$D$222</f>
        <v>ANN_NOI_GR_AST_NET_RTL_DEV_CTD_%</v>
      </c>
      <c r="E670" t="str">
        <f>$E$222</f>
        <v>动态</v>
      </c>
      <c r="F670" t="str">
        <f ca="1">BDH($B$222,$C$222,$B$417,$B$418,CONCATENATE("Per=",$B$415),"Dts=H","Dir=H",CONCATENATE("Points=",$B$416),"Sort=R","Days=A","Fill=B",CONCATENATE("FX=", $B$414) )</f>
        <v>#N/A Authorization</v>
      </c>
      <c r="BN670" t="str">
        <f>""</f>
        <v/>
      </c>
      <c r="BO670" t="str">
        <f>""</f>
        <v/>
      </c>
      <c r="BP670" t="str">
        <f>""</f>
        <v/>
      </c>
      <c r="BQ670" t="str">
        <f>""</f>
        <v/>
      </c>
      <c r="BR670" t="str">
        <f>""</f>
        <v/>
      </c>
      <c r="BS670" t="str">
        <f>""</f>
        <v/>
      </c>
      <c r="BT670" t="str">
        <f>""</f>
        <v/>
      </c>
      <c r="BU670" t="str">
        <f>""</f>
        <v/>
      </c>
      <c r="BV670" t="str">
        <f>""</f>
        <v/>
      </c>
      <c r="BW670" t="str">
        <f>""</f>
        <v/>
      </c>
      <c r="BX670" t="str">
        <f>""</f>
        <v/>
      </c>
      <c r="BY670" t="str">
        <f>""</f>
        <v/>
      </c>
      <c r="BZ670" t="str">
        <f>""</f>
        <v/>
      </c>
      <c r="CA670" t="str">
        <f>""</f>
        <v/>
      </c>
      <c r="CB670" t="str">
        <f>""</f>
        <v/>
      </c>
      <c r="CC670" t="str">
        <f>""</f>
        <v/>
      </c>
      <c r="CD670" t="str">
        <f>""</f>
        <v/>
      </c>
      <c r="CE670" t="str">
        <f>""</f>
        <v/>
      </c>
      <c r="CF670" t="str">
        <f>""</f>
        <v/>
      </c>
      <c r="CG670" t="str">
        <f>""</f>
        <v/>
      </c>
      <c r="CH670" t="str">
        <f>""</f>
        <v/>
      </c>
      <c r="CI670" t="str">
        <f>""</f>
        <v/>
      </c>
      <c r="CJ670" t="str">
        <f>""</f>
        <v/>
      </c>
      <c r="CK670" t="str">
        <f>""</f>
        <v/>
      </c>
      <c r="CL670" t="str">
        <f>""</f>
        <v/>
      </c>
      <c r="CM670" t="str">
        <f>""</f>
        <v/>
      </c>
      <c r="CN670" t="str">
        <f>""</f>
        <v/>
      </c>
      <c r="CO670" t="str">
        <f>""</f>
        <v/>
      </c>
      <c r="CP670" t="str">
        <f>""</f>
        <v/>
      </c>
      <c r="CQ670" t="str">
        <f>""</f>
        <v/>
      </c>
      <c r="CR670" t="str">
        <f>""</f>
        <v/>
      </c>
      <c r="CS670" t="str">
        <f>""</f>
        <v/>
      </c>
      <c r="CT670" t="str">
        <f>""</f>
        <v/>
      </c>
      <c r="CU670" t="str">
        <f>""</f>
        <v/>
      </c>
      <c r="CV670" t="str">
        <f>""</f>
        <v/>
      </c>
      <c r="CW670" t="str">
        <f>""</f>
        <v/>
      </c>
      <c r="CX670" t="str">
        <f>""</f>
        <v/>
      </c>
      <c r="CY670" t="str">
        <f>""</f>
        <v/>
      </c>
      <c r="CZ670" t="str">
        <f>""</f>
        <v/>
      </c>
      <c r="DA670" t="str">
        <f>""</f>
        <v/>
      </c>
      <c r="DB670" t="str">
        <f>""</f>
        <v/>
      </c>
      <c r="DC670" t="str">
        <f>""</f>
        <v/>
      </c>
      <c r="DD670" t="str">
        <f>""</f>
        <v/>
      </c>
      <c r="DE670" t="str">
        <f>""</f>
        <v/>
      </c>
      <c r="DF670" t="str">
        <f>""</f>
        <v/>
      </c>
      <c r="DG670" t="str">
        <f>""</f>
        <v/>
      </c>
      <c r="DH670" t="str">
        <f>""</f>
        <v/>
      </c>
      <c r="DI670" t="str">
        <f>""</f>
        <v/>
      </c>
      <c r="DJ670" t="str">
        <f>""</f>
        <v/>
      </c>
      <c r="DK670" t="str">
        <f>""</f>
        <v/>
      </c>
      <c r="DL670" t="str">
        <f>""</f>
        <v/>
      </c>
      <c r="DM670" t="str">
        <f>""</f>
        <v/>
      </c>
      <c r="DN670" t="str">
        <f>""</f>
        <v/>
      </c>
      <c r="DO670" t="str">
        <f>""</f>
        <v/>
      </c>
      <c r="DP670" t="str">
        <f>""</f>
        <v/>
      </c>
      <c r="DQ670" t="str">
        <f>""</f>
        <v/>
      </c>
      <c r="DR670" t="str">
        <f>""</f>
        <v/>
      </c>
      <c r="DS670" t="str">
        <f>""</f>
        <v/>
      </c>
      <c r="DT670" t="str">
        <f>""</f>
        <v/>
      </c>
      <c r="DU670" t="str">
        <f>""</f>
        <v/>
      </c>
    </row>
    <row r="671" spans="1:125">
      <c r="A671" t="str">
        <f>$A$223</f>
        <v xml:space="preserve">    Simon Property Group Inc</v>
      </c>
      <c r="B671" t="str">
        <f>$B$223</f>
        <v>SPG US Equity</v>
      </c>
      <c r="C671" t="str">
        <f>$C$223</f>
        <v>RX902</v>
      </c>
      <c r="D671" t="str">
        <f>$D$223</f>
        <v>ANN_NOI_GR_AST_NET_RTL_DEV_CTD_%</v>
      </c>
      <c r="E671" t="str">
        <f>$E$223</f>
        <v>动态</v>
      </c>
      <c r="F671" t="str">
        <f ca="1">BDH($B$223,$C$223,$B$417,$B$418,CONCATENATE("Per=",$B$415),"Dts=H","Dir=H",CONCATENATE("Points=",$B$416),"Sort=R","Days=A","Fill=B",CONCATENATE("FX=", $B$414) )</f>
        <v>#N/A Authorization</v>
      </c>
      <c r="BN671" t="str">
        <f>""</f>
        <v/>
      </c>
      <c r="BO671" t="str">
        <f>""</f>
        <v/>
      </c>
      <c r="BP671" t="str">
        <f>""</f>
        <v/>
      </c>
      <c r="BQ671" t="str">
        <f>""</f>
        <v/>
      </c>
      <c r="BR671" t="str">
        <f>""</f>
        <v/>
      </c>
      <c r="BS671" t="str">
        <f>""</f>
        <v/>
      </c>
      <c r="BT671" t="str">
        <f>""</f>
        <v/>
      </c>
      <c r="BU671" t="str">
        <f>""</f>
        <v/>
      </c>
      <c r="BV671" t="str">
        <f>""</f>
        <v/>
      </c>
      <c r="BW671" t="str">
        <f>""</f>
        <v/>
      </c>
      <c r="BX671" t="str">
        <f>""</f>
        <v/>
      </c>
      <c r="BY671" t="str">
        <f>""</f>
        <v/>
      </c>
      <c r="BZ671" t="str">
        <f>""</f>
        <v/>
      </c>
      <c r="CA671" t="str">
        <f>""</f>
        <v/>
      </c>
      <c r="CB671" t="str">
        <f>""</f>
        <v/>
      </c>
      <c r="CC671" t="str">
        <f>""</f>
        <v/>
      </c>
      <c r="CD671" t="str">
        <f>""</f>
        <v/>
      </c>
      <c r="CE671" t="str">
        <f>""</f>
        <v/>
      </c>
      <c r="CF671" t="str">
        <f>""</f>
        <v/>
      </c>
      <c r="CG671" t="str">
        <f>""</f>
        <v/>
      </c>
      <c r="CH671" t="str">
        <f>""</f>
        <v/>
      </c>
      <c r="CI671" t="str">
        <f>""</f>
        <v/>
      </c>
      <c r="CJ671" t="str">
        <f>""</f>
        <v/>
      </c>
      <c r="CK671" t="str">
        <f>""</f>
        <v/>
      </c>
      <c r="CL671" t="str">
        <f>""</f>
        <v/>
      </c>
      <c r="CM671" t="str">
        <f>""</f>
        <v/>
      </c>
      <c r="CN671" t="str">
        <f>""</f>
        <v/>
      </c>
      <c r="CO671" t="str">
        <f>""</f>
        <v/>
      </c>
      <c r="CP671" t="str">
        <f>""</f>
        <v/>
      </c>
      <c r="CQ671" t="str">
        <f>""</f>
        <v/>
      </c>
      <c r="CR671" t="str">
        <f>""</f>
        <v/>
      </c>
      <c r="CS671" t="str">
        <f>""</f>
        <v/>
      </c>
      <c r="CT671" t="str">
        <f>""</f>
        <v/>
      </c>
      <c r="CU671" t="str">
        <f>""</f>
        <v/>
      </c>
      <c r="CV671" t="str">
        <f>""</f>
        <v/>
      </c>
      <c r="CW671" t="str">
        <f>""</f>
        <v/>
      </c>
      <c r="CX671" t="str">
        <f>""</f>
        <v/>
      </c>
      <c r="CY671" t="str">
        <f>""</f>
        <v/>
      </c>
      <c r="CZ671" t="str">
        <f>""</f>
        <v/>
      </c>
      <c r="DA671" t="str">
        <f>""</f>
        <v/>
      </c>
      <c r="DB671" t="str">
        <f>""</f>
        <v/>
      </c>
      <c r="DC671" t="str">
        <f>""</f>
        <v/>
      </c>
      <c r="DD671" t="str">
        <f>""</f>
        <v/>
      </c>
      <c r="DE671" t="str">
        <f>""</f>
        <v/>
      </c>
      <c r="DF671" t="str">
        <f>""</f>
        <v/>
      </c>
      <c r="DG671" t="str">
        <f>""</f>
        <v/>
      </c>
      <c r="DH671" t="str">
        <f>""</f>
        <v/>
      </c>
      <c r="DI671" t="str">
        <f>""</f>
        <v/>
      </c>
      <c r="DJ671" t="str">
        <f>""</f>
        <v/>
      </c>
      <c r="DK671" t="str">
        <f>""</f>
        <v/>
      </c>
      <c r="DL671" t="str">
        <f>""</f>
        <v/>
      </c>
      <c r="DM671" t="str">
        <f>""</f>
        <v/>
      </c>
      <c r="DN671" t="str">
        <f>""</f>
        <v/>
      </c>
      <c r="DO671" t="str">
        <f>""</f>
        <v/>
      </c>
      <c r="DP671" t="str">
        <f>""</f>
        <v/>
      </c>
      <c r="DQ671" t="str">
        <f>""</f>
        <v/>
      </c>
      <c r="DR671" t="str">
        <f>""</f>
        <v/>
      </c>
      <c r="DS671" t="str">
        <f>""</f>
        <v/>
      </c>
      <c r="DT671" t="str">
        <f>""</f>
        <v/>
      </c>
      <c r="DU671" t="str">
        <f>""</f>
        <v/>
      </c>
    </row>
    <row r="672" spans="1:125">
      <c r="A672" t="str">
        <f>$A$224</f>
        <v xml:space="preserve">    Tanger Factory Outlet Centers</v>
      </c>
      <c r="B672" t="str">
        <f>$B$224</f>
        <v>SKT US Equity</v>
      </c>
      <c r="C672" t="str">
        <f>$C$224</f>
        <v>RX902</v>
      </c>
      <c r="D672" t="str">
        <f>$D$224</f>
        <v>ANN_NOI_GR_AST_NET_RTL_DEV_CTD_%</v>
      </c>
      <c r="E672" t="str">
        <f>$E$224</f>
        <v>动态</v>
      </c>
      <c r="F672" t="str">
        <f ca="1">BDH($B$224,$C$224,$B$417,$B$418,CONCATENATE("Per=",$B$415),"Dts=H","Dir=H",CONCATENATE("Points=",$B$416),"Sort=R","Days=A","Fill=B",CONCATENATE("FX=", $B$414) )</f>
        <v>#N/A Authorization</v>
      </c>
      <c r="BN672" t="str">
        <f>""</f>
        <v/>
      </c>
      <c r="BO672" t="str">
        <f>""</f>
        <v/>
      </c>
      <c r="BP672" t="str">
        <f>""</f>
        <v/>
      </c>
      <c r="BQ672" t="str">
        <f>""</f>
        <v/>
      </c>
      <c r="BR672" t="str">
        <f>""</f>
        <v/>
      </c>
      <c r="BS672" t="str">
        <f>""</f>
        <v/>
      </c>
      <c r="BT672" t="str">
        <f>""</f>
        <v/>
      </c>
      <c r="BU672" t="str">
        <f>""</f>
        <v/>
      </c>
      <c r="BV672" t="str">
        <f>""</f>
        <v/>
      </c>
      <c r="BW672" t="str">
        <f>""</f>
        <v/>
      </c>
      <c r="BX672" t="str">
        <f>""</f>
        <v/>
      </c>
      <c r="BY672" t="str">
        <f>""</f>
        <v/>
      </c>
      <c r="BZ672" t="str">
        <f>""</f>
        <v/>
      </c>
      <c r="CA672" t="str">
        <f>""</f>
        <v/>
      </c>
      <c r="CB672" t="str">
        <f>""</f>
        <v/>
      </c>
      <c r="CC672" t="str">
        <f>""</f>
        <v/>
      </c>
      <c r="CD672" t="str">
        <f>""</f>
        <v/>
      </c>
      <c r="CE672" t="str">
        <f>""</f>
        <v/>
      </c>
      <c r="CF672" t="str">
        <f>""</f>
        <v/>
      </c>
      <c r="CG672" t="str">
        <f>""</f>
        <v/>
      </c>
      <c r="CH672" t="str">
        <f>""</f>
        <v/>
      </c>
      <c r="CI672" t="str">
        <f>""</f>
        <v/>
      </c>
      <c r="CJ672" t="str">
        <f>""</f>
        <v/>
      </c>
      <c r="CK672" t="str">
        <f>""</f>
        <v/>
      </c>
      <c r="CL672" t="str">
        <f>""</f>
        <v/>
      </c>
      <c r="CM672" t="str">
        <f>""</f>
        <v/>
      </c>
      <c r="CN672" t="str">
        <f>""</f>
        <v/>
      </c>
      <c r="CO672" t="str">
        <f>""</f>
        <v/>
      </c>
      <c r="CP672" t="str">
        <f>""</f>
        <v/>
      </c>
      <c r="CQ672" t="str">
        <f>""</f>
        <v/>
      </c>
      <c r="CR672" t="str">
        <f>""</f>
        <v/>
      </c>
      <c r="CS672" t="str">
        <f>""</f>
        <v/>
      </c>
      <c r="CT672" t="str">
        <f>""</f>
        <v/>
      </c>
      <c r="CU672" t="str">
        <f>""</f>
        <v/>
      </c>
      <c r="CV672" t="str">
        <f>""</f>
        <v/>
      </c>
      <c r="CW672" t="str">
        <f>""</f>
        <v/>
      </c>
      <c r="CX672" t="str">
        <f>""</f>
        <v/>
      </c>
      <c r="CY672" t="str">
        <f>""</f>
        <v/>
      </c>
      <c r="CZ672" t="str">
        <f>""</f>
        <v/>
      </c>
      <c r="DA672" t="str">
        <f>""</f>
        <v/>
      </c>
      <c r="DB672" t="str">
        <f>""</f>
        <v/>
      </c>
      <c r="DC672" t="str">
        <f>""</f>
        <v/>
      </c>
      <c r="DD672" t="str">
        <f>""</f>
        <v/>
      </c>
      <c r="DE672" t="str">
        <f>""</f>
        <v/>
      </c>
      <c r="DF672" t="str">
        <f>""</f>
        <v/>
      </c>
      <c r="DG672" t="str">
        <f>""</f>
        <v/>
      </c>
      <c r="DH672" t="str">
        <f>""</f>
        <v/>
      </c>
      <c r="DI672" t="str">
        <f>""</f>
        <v/>
      </c>
      <c r="DJ672" t="str">
        <f>""</f>
        <v/>
      </c>
      <c r="DK672" t="str">
        <f>""</f>
        <v/>
      </c>
      <c r="DL672" t="str">
        <f>""</f>
        <v/>
      </c>
      <c r="DM672" t="str">
        <f>""</f>
        <v/>
      </c>
      <c r="DN672" t="str">
        <f>""</f>
        <v/>
      </c>
      <c r="DO672" t="str">
        <f>""</f>
        <v/>
      </c>
      <c r="DP672" t="str">
        <f>""</f>
        <v/>
      </c>
      <c r="DQ672" t="str">
        <f>""</f>
        <v/>
      </c>
      <c r="DR672" t="str">
        <f>""</f>
        <v/>
      </c>
      <c r="DS672" t="str">
        <f>""</f>
        <v/>
      </c>
      <c r="DT672" t="str">
        <f>""</f>
        <v/>
      </c>
      <c r="DU672" t="str">
        <f>""</f>
        <v/>
      </c>
    </row>
    <row r="673" spans="1:125">
      <c r="A673" t="str">
        <f>$A$225</f>
        <v xml:space="preserve">    VEREIT Inc</v>
      </c>
      <c r="B673" t="str">
        <f>$B$225</f>
        <v>VER US Equity</v>
      </c>
      <c r="C673" t="str">
        <f>$C$225</f>
        <v>RX902</v>
      </c>
      <c r="D673" t="str">
        <f>$D$225</f>
        <v>ANN_NOI_GR_AST_NET_RTL_DEV_CTD_%</v>
      </c>
      <c r="E673" t="str">
        <f>$E$225</f>
        <v>动态</v>
      </c>
      <c r="F673" t="str">
        <f ca="1">BDH($B$225,$C$225,$B$417,$B$418,CONCATENATE("Per=",$B$415),"Dts=H","Dir=H",CONCATENATE("Points=",$B$416),"Sort=R","Days=A","Fill=B",CONCATENATE("FX=", $B$414) )</f>
        <v>#N/A Authorization</v>
      </c>
      <c r="BN673" t="str">
        <f>""</f>
        <v/>
      </c>
      <c r="BO673" t="str">
        <f>""</f>
        <v/>
      </c>
      <c r="BP673" t="str">
        <f>""</f>
        <v/>
      </c>
      <c r="BQ673" t="str">
        <f>""</f>
        <v/>
      </c>
      <c r="BR673" t="str">
        <f>""</f>
        <v/>
      </c>
      <c r="BS673" t="str">
        <f>""</f>
        <v/>
      </c>
      <c r="BT673" t="str">
        <f>""</f>
        <v/>
      </c>
      <c r="BU673" t="str">
        <f>""</f>
        <v/>
      </c>
      <c r="BV673" t="str">
        <f>""</f>
        <v/>
      </c>
      <c r="BW673" t="str">
        <f>""</f>
        <v/>
      </c>
      <c r="BX673" t="str">
        <f>""</f>
        <v/>
      </c>
      <c r="BY673" t="str">
        <f>""</f>
        <v/>
      </c>
      <c r="BZ673" t="str">
        <f>""</f>
        <v/>
      </c>
      <c r="CA673" t="str">
        <f>""</f>
        <v/>
      </c>
      <c r="CB673" t="str">
        <f>""</f>
        <v/>
      </c>
      <c r="CC673" t="str">
        <f>""</f>
        <v/>
      </c>
      <c r="CD673" t="str">
        <f>""</f>
        <v/>
      </c>
      <c r="CE673" t="str">
        <f>""</f>
        <v/>
      </c>
      <c r="CF673" t="str">
        <f>""</f>
        <v/>
      </c>
      <c r="CG673" t="str">
        <f>""</f>
        <v/>
      </c>
      <c r="CH673" t="str">
        <f>""</f>
        <v/>
      </c>
      <c r="CI673" t="str">
        <f>""</f>
        <v/>
      </c>
      <c r="CJ673" t="str">
        <f>""</f>
        <v/>
      </c>
      <c r="CK673" t="str">
        <f>""</f>
        <v/>
      </c>
      <c r="CL673" t="str">
        <f>""</f>
        <v/>
      </c>
      <c r="CM673" t="str">
        <f>""</f>
        <v/>
      </c>
      <c r="CN673" t="str">
        <f>""</f>
        <v/>
      </c>
      <c r="CO673" t="str">
        <f>""</f>
        <v/>
      </c>
      <c r="CP673" t="str">
        <f>""</f>
        <v/>
      </c>
      <c r="CQ673" t="str">
        <f>""</f>
        <v/>
      </c>
      <c r="CR673" t="str">
        <f>""</f>
        <v/>
      </c>
      <c r="CS673" t="str">
        <f>""</f>
        <v/>
      </c>
      <c r="CT673" t="str">
        <f>""</f>
        <v/>
      </c>
      <c r="CU673" t="str">
        <f>""</f>
        <v/>
      </c>
      <c r="CV673" t="str">
        <f>""</f>
        <v/>
      </c>
      <c r="CW673" t="str">
        <f>""</f>
        <v/>
      </c>
      <c r="CX673" t="str">
        <f>""</f>
        <v/>
      </c>
      <c r="CY673" t="str">
        <f>""</f>
        <v/>
      </c>
      <c r="CZ673" t="str">
        <f>""</f>
        <v/>
      </c>
      <c r="DA673" t="str">
        <f>""</f>
        <v/>
      </c>
      <c r="DB673" t="str">
        <f>""</f>
        <v/>
      </c>
      <c r="DC673" t="str">
        <f>""</f>
        <v/>
      </c>
      <c r="DD673" t="str">
        <f>""</f>
        <v/>
      </c>
      <c r="DE673" t="str">
        <f>""</f>
        <v/>
      </c>
      <c r="DF673" t="str">
        <f>""</f>
        <v/>
      </c>
      <c r="DG673" t="str">
        <f>""</f>
        <v/>
      </c>
      <c r="DH673" t="str">
        <f>""</f>
        <v/>
      </c>
      <c r="DI673" t="str">
        <f>""</f>
        <v/>
      </c>
      <c r="DJ673" t="str">
        <f>""</f>
        <v/>
      </c>
      <c r="DK673" t="str">
        <f>""</f>
        <v/>
      </c>
      <c r="DL673" t="str">
        <f>""</f>
        <v/>
      </c>
      <c r="DM673" t="str">
        <f>""</f>
        <v/>
      </c>
      <c r="DN673" t="str">
        <f>""</f>
        <v/>
      </c>
      <c r="DO673" t="str">
        <f>""</f>
        <v/>
      </c>
      <c r="DP673" t="str">
        <f>""</f>
        <v/>
      </c>
      <c r="DQ673" t="str">
        <f>""</f>
        <v/>
      </c>
      <c r="DR673" t="str">
        <f>""</f>
        <v/>
      </c>
      <c r="DS673" t="str">
        <f>""</f>
        <v/>
      </c>
      <c r="DT673" t="str">
        <f>""</f>
        <v/>
      </c>
      <c r="DU673" t="str">
        <f>""</f>
        <v/>
      </c>
    </row>
    <row r="674" spans="1:125">
      <c r="A674" t="str">
        <f>$A$226</f>
        <v xml:space="preserve">    Washington Prime Group Inc</v>
      </c>
      <c r="B674" t="str">
        <f>$B$226</f>
        <v>WPG US Equity</v>
      </c>
      <c r="C674" t="str">
        <f>$C$226</f>
        <v>RX902</v>
      </c>
      <c r="D674" t="str">
        <f>$D$226</f>
        <v>ANN_NOI_GR_AST_NET_RTL_DEV_CTD_%</v>
      </c>
      <c r="E674" t="str">
        <f>$E$226</f>
        <v>动态</v>
      </c>
      <c r="F674" t="str">
        <f ca="1">BDH($B$226,$C$226,$B$417,$B$418,CONCATENATE("Per=",$B$415),"Dts=H","Dir=H",CONCATENATE("Points=",$B$416),"Sort=R","Days=A","Fill=B",CONCATENATE("FX=", $B$414) )</f>
        <v>#N/A Authorization</v>
      </c>
      <c r="BN674" t="str">
        <f>""</f>
        <v/>
      </c>
      <c r="BO674" t="str">
        <f>""</f>
        <v/>
      </c>
      <c r="BP674" t="str">
        <f>""</f>
        <v/>
      </c>
      <c r="BQ674" t="str">
        <f>""</f>
        <v/>
      </c>
      <c r="BR674" t="str">
        <f>""</f>
        <v/>
      </c>
      <c r="BS674" t="str">
        <f>""</f>
        <v/>
      </c>
      <c r="BT674" t="str">
        <f>""</f>
        <v/>
      </c>
      <c r="BU674" t="str">
        <f>""</f>
        <v/>
      </c>
      <c r="BV674" t="str">
        <f>""</f>
        <v/>
      </c>
      <c r="BW674" t="str">
        <f>""</f>
        <v/>
      </c>
      <c r="BX674" t="str">
        <f>""</f>
        <v/>
      </c>
      <c r="BY674" t="str">
        <f>""</f>
        <v/>
      </c>
      <c r="BZ674" t="str">
        <f>""</f>
        <v/>
      </c>
      <c r="CA674" t="str">
        <f>""</f>
        <v/>
      </c>
      <c r="CB674" t="str">
        <f>""</f>
        <v/>
      </c>
      <c r="CC674" t="str">
        <f>""</f>
        <v/>
      </c>
      <c r="CD674" t="str">
        <f>""</f>
        <v/>
      </c>
      <c r="CE674" t="str">
        <f>""</f>
        <v/>
      </c>
      <c r="CF674" t="str">
        <f>""</f>
        <v/>
      </c>
      <c r="CG674" t="str">
        <f>""</f>
        <v/>
      </c>
      <c r="CH674" t="str">
        <f>""</f>
        <v/>
      </c>
      <c r="CI674" t="str">
        <f>""</f>
        <v/>
      </c>
      <c r="CJ674" t="str">
        <f>""</f>
        <v/>
      </c>
      <c r="CK674" t="str">
        <f>""</f>
        <v/>
      </c>
      <c r="CL674" t="str">
        <f>""</f>
        <v/>
      </c>
      <c r="CM674" t="str">
        <f>""</f>
        <v/>
      </c>
      <c r="CN674" t="str">
        <f>""</f>
        <v/>
      </c>
      <c r="CO674" t="str">
        <f>""</f>
        <v/>
      </c>
      <c r="CP674" t="str">
        <f>""</f>
        <v/>
      </c>
      <c r="CQ674" t="str">
        <f>""</f>
        <v/>
      </c>
      <c r="CR674" t="str">
        <f>""</f>
        <v/>
      </c>
      <c r="CS674" t="str">
        <f>""</f>
        <v/>
      </c>
      <c r="CT674" t="str">
        <f>""</f>
        <v/>
      </c>
      <c r="CU674" t="str">
        <f>""</f>
        <v/>
      </c>
      <c r="CV674" t="str">
        <f>""</f>
        <v/>
      </c>
      <c r="CW674" t="str">
        <f>""</f>
        <v/>
      </c>
      <c r="CX674" t="str">
        <f>""</f>
        <v/>
      </c>
      <c r="CY674" t="str">
        <f>""</f>
        <v/>
      </c>
      <c r="CZ674" t="str">
        <f>""</f>
        <v/>
      </c>
      <c r="DA674" t="str">
        <f>""</f>
        <v/>
      </c>
      <c r="DB674" t="str">
        <f>""</f>
        <v/>
      </c>
      <c r="DC674" t="str">
        <f>""</f>
        <v/>
      </c>
      <c r="DD674" t="str">
        <f>""</f>
        <v/>
      </c>
      <c r="DE674" t="str">
        <f>""</f>
        <v/>
      </c>
      <c r="DF674" t="str">
        <f>""</f>
        <v/>
      </c>
      <c r="DG674" t="str">
        <f>""</f>
        <v/>
      </c>
      <c r="DH674" t="str">
        <f>""</f>
        <v/>
      </c>
      <c r="DI674" t="str">
        <f>""</f>
        <v/>
      </c>
      <c r="DJ674" t="str">
        <f>""</f>
        <v/>
      </c>
      <c r="DK674" t="str">
        <f>""</f>
        <v/>
      </c>
      <c r="DL674" t="str">
        <f>""</f>
        <v/>
      </c>
      <c r="DM674" t="str">
        <f>""</f>
        <v/>
      </c>
      <c r="DN674" t="str">
        <f>""</f>
        <v/>
      </c>
      <c r="DO674" t="str">
        <f>""</f>
        <v/>
      </c>
      <c r="DP674" t="str">
        <f>""</f>
        <v/>
      </c>
      <c r="DQ674" t="str">
        <f>""</f>
        <v/>
      </c>
      <c r="DR674" t="str">
        <f>""</f>
        <v/>
      </c>
      <c r="DS674" t="str">
        <f>""</f>
        <v/>
      </c>
      <c r="DT674" t="str">
        <f>""</f>
        <v/>
      </c>
      <c r="DU674" t="str">
        <f>""</f>
        <v/>
      </c>
    </row>
    <row r="675" spans="1:125">
      <c r="A675" t="str">
        <f>$A$227</f>
        <v xml:space="preserve">    Weingarten Realty Investors</v>
      </c>
      <c r="B675" t="str">
        <f>$B$227</f>
        <v>WRI US Equity</v>
      </c>
      <c r="C675" t="str">
        <f>$C$227</f>
        <v>RX902</v>
      </c>
      <c r="D675" t="str">
        <f>$D$227</f>
        <v>ANN_NOI_GR_AST_NET_RTL_DEV_CTD_%</v>
      </c>
      <c r="E675" t="str">
        <f>$E$227</f>
        <v>动态</v>
      </c>
      <c r="F675" t="str">
        <f ca="1">BDH($B$227,$C$227,$B$417,$B$418,CONCATENATE("Per=",$B$415),"Dts=H","Dir=H",CONCATENATE("Points=",$B$416),"Sort=R","Days=A","Fill=B",CONCATENATE("FX=", $B$414) )</f>
        <v>#N/A Authorization</v>
      </c>
      <c r="BN675" t="str">
        <f>""</f>
        <v/>
      </c>
      <c r="BO675" t="str">
        <f>""</f>
        <v/>
      </c>
      <c r="BP675" t="str">
        <f>""</f>
        <v/>
      </c>
      <c r="BQ675" t="str">
        <f>""</f>
        <v/>
      </c>
      <c r="BR675" t="str">
        <f>""</f>
        <v/>
      </c>
      <c r="BS675" t="str">
        <f>""</f>
        <v/>
      </c>
      <c r="BT675" t="str">
        <f>""</f>
        <v/>
      </c>
      <c r="BU675" t="str">
        <f>""</f>
        <v/>
      </c>
      <c r="BV675" t="str">
        <f>""</f>
        <v/>
      </c>
      <c r="BW675" t="str">
        <f>""</f>
        <v/>
      </c>
      <c r="BX675" t="str">
        <f>""</f>
        <v/>
      </c>
      <c r="BY675" t="str">
        <f>""</f>
        <v/>
      </c>
      <c r="BZ675" t="str">
        <f>""</f>
        <v/>
      </c>
      <c r="CA675" t="str">
        <f>""</f>
        <v/>
      </c>
      <c r="CB675" t="str">
        <f>""</f>
        <v/>
      </c>
      <c r="CC675" t="str">
        <f>""</f>
        <v/>
      </c>
      <c r="CD675" t="str">
        <f>""</f>
        <v/>
      </c>
      <c r="CE675" t="str">
        <f>""</f>
        <v/>
      </c>
      <c r="CF675" t="str">
        <f>""</f>
        <v/>
      </c>
      <c r="CG675" t="str">
        <f>""</f>
        <v/>
      </c>
      <c r="CH675" t="str">
        <f>""</f>
        <v/>
      </c>
      <c r="CI675" t="str">
        <f>""</f>
        <v/>
      </c>
      <c r="CJ675" t="str">
        <f>""</f>
        <v/>
      </c>
      <c r="CK675" t="str">
        <f>""</f>
        <v/>
      </c>
      <c r="CL675" t="str">
        <f>""</f>
        <v/>
      </c>
      <c r="CM675" t="str">
        <f>""</f>
        <v/>
      </c>
      <c r="CN675" t="str">
        <f>""</f>
        <v/>
      </c>
      <c r="CO675" t="str">
        <f>""</f>
        <v/>
      </c>
      <c r="CP675" t="str">
        <f>""</f>
        <v/>
      </c>
      <c r="CQ675" t="str">
        <f>""</f>
        <v/>
      </c>
      <c r="CR675" t="str">
        <f>""</f>
        <v/>
      </c>
      <c r="CS675" t="str">
        <f>""</f>
        <v/>
      </c>
      <c r="CT675" t="str">
        <f>""</f>
        <v/>
      </c>
      <c r="CU675" t="str">
        <f>""</f>
        <v/>
      </c>
      <c r="CV675" t="str">
        <f>""</f>
        <v/>
      </c>
      <c r="CW675" t="str">
        <f>""</f>
        <v/>
      </c>
      <c r="CX675" t="str">
        <f>""</f>
        <v/>
      </c>
      <c r="CY675" t="str">
        <f>""</f>
        <v/>
      </c>
      <c r="CZ675" t="str">
        <f>""</f>
        <v/>
      </c>
      <c r="DA675" t="str">
        <f>""</f>
        <v/>
      </c>
      <c r="DB675" t="str">
        <f>""</f>
        <v/>
      </c>
      <c r="DC675" t="str">
        <f>""</f>
        <v/>
      </c>
      <c r="DD675" t="str">
        <f>""</f>
        <v/>
      </c>
      <c r="DE675" t="str">
        <f>""</f>
        <v/>
      </c>
      <c r="DF675" t="str">
        <f>""</f>
        <v/>
      </c>
      <c r="DG675" t="str">
        <f>""</f>
        <v/>
      </c>
      <c r="DH675" t="str">
        <f>""</f>
        <v/>
      </c>
      <c r="DI675" t="str">
        <f>""</f>
        <v/>
      </c>
      <c r="DJ675" t="str">
        <f>""</f>
        <v/>
      </c>
      <c r="DK675" t="str">
        <f>""</f>
        <v/>
      </c>
      <c r="DL675" t="str">
        <f>""</f>
        <v/>
      </c>
      <c r="DM675" t="str">
        <f>""</f>
        <v/>
      </c>
      <c r="DN675" t="str">
        <f>""</f>
        <v/>
      </c>
      <c r="DO675" t="str">
        <f>""</f>
        <v/>
      </c>
      <c r="DP675" t="str">
        <f>""</f>
        <v/>
      </c>
      <c r="DQ675" t="str">
        <f>""</f>
        <v/>
      </c>
      <c r="DR675" t="str">
        <f>""</f>
        <v/>
      </c>
      <c r="DS675" t="str">
        <f>""</f>
        <v/>
      </c>
      <c r="DT675" t="str">
        <f>""</f>
        <v/>
      </c>
      <c r="DU675" t="str">
        <f>""</f>
        <v/>
      </c>
    </row>
    <row r="676" spans="1:125">
      <c r="A676" t="str">
        <f>$A$229</f>
        <v xml:space="preserve">    Brixmor Property Group Inc</v>
      </c>
      <c r="B676" t="str">
        <f>$B$229</f>
        <v>BRX US Equity</v>
      </c>
      <c r="C676" t="str">
        <f>$C$229</f>
        <v>RR553</v>
      </c>
      <c r="D676" t="str">
        <f>$D$229</f>
        <v>EBITDA_RE_ASSET</v>
      </c>
      <c r="E676" t="str">
        <f>$E$229</f>
        <v>动态</v>
      </c>
      <c r="F676" t="str">
        <f ca="1">BDH($B$229,$C$229,$B$417,$B$418,CONCATENATE("Per=",$B$415),"Dts=H","Dir=H",CONCATENATE("Points=",$B$416),"Sort=R","Days=A","Fill=B",CONCATENATE("FX=", $B$414) )</f>
        <v>#N/A Authorization</v>
      </c>
      <c r="BN676" t="str">
        <f>""</f>
        <v/>
      </c>
      <c r="BO676" t="str">
        <f>""</f>
        <v/>
      </c>
      <c r="BP676" t="str">
        <f>""</f>
        <v/>
      </c>
      <c r="BQ676" t="str">
        <f>""</f>
        <v/>
      </c>
      <c r="BR676" t="str">
        <f>""</f>
        <v/>
      </c>
      <c r="BS676" t="str">
        <f>""</f>
        <v/>
      </c>
      <c r="BT676" t="str">
        <f>""</f>
        <v/>
      </c>
      <c r="BU676" t="str">
        <f>""</f>
        <v/>
      </c>
      <c r="BV676" t="str">
        <f>""</f>
        <v/>
      </c>
      <c r="BW676" t="str">
        <f>""</f>
        <v/>
      </c>
      <c r="BX676" t="str">
        <f>""</f>
        <v/>
      </c>
      <c r="BY676" t="str">
        <f>""</f>
        <v/>
      </c>
      <c r="BZ676" t="str">
        <f>""</f>
        <v/>
      </c>
      <c r="CA676" t="str">
        <f>""</f>
        <v/>
      </c>
      <c r="CB676" t="str">
        <f>""</f>
        <v/>
      </c>
      <c r="CC676" t="str">
        <f>""</f>
        <v/>
      </c>
      <c r="CD676" t="str">
        <f>""</f>
        <v/>
      </c>
      <c r="CE676" t="str">
        <f>""</f>
        <v/>
      </c>
      <c r="CF676" t="str">
        <f>""</f>
        <v/>
      </c>
      <c r="CG676" t="str">
        <f>""</f>
        <v/>
      </c>
      <c r="CH676" t="str">
        <f>""</f>
        <v/>
      </c>
      <c r="CI676" t="str">
        <f>""</f>
        <v/>
      </c>
      <c r="CJ676" t="str">
        <f>""</f>
        <v/>
      </c>
      <c r="CK676" t="str">
        <f>""</f>
        <v/>
      </c>
      <c r="CL676" t="str">
        <f>""</f>
        <v/>
      </c>
      <c r="CM676" t="str">
        <f>""</f>
        <v/>
      </c>
      <c r="CN676" t="str">
        <f>""</f>
        <v/>
      </c>
      <c r="CO676" t="str">
        <f>""</f>
        <v/>
      </c>
      <c r="CP676" t="str">
        <f>""</f>
        <v/>
      </c>
      <c r="CQ676" t="str">
        <f>""</f>
        <v/>
      </c>
      <c r="CR676" t="str">
        <f>""</f>
        <v/>
      </c>
      <c r="CS676" t="str">
        <f>""</f>
        <v/>
      </c>
      <c r="CT676" t="str">
        <f>""</f>
        <v/>
      </c>
      <c r="CU676" t="str">
        <f>""</f>
        <v/>
      </c>
      <c r="CV676" t="str">
        <f>""</f>
        <v/>
      </c>
      <c r="CW676" t="str">
        <f>""</f>
        <v/>
      </c>
      <c r="CX676" t="str">
        <f>""</f>
        <v/>
      </c>
      <c r="CY676" t="str">
        <f>""</f>
        <v/>
      </c>
      <c r="CZ676" t="str">
        <f>""</f>
        <v/>
      </c>
      <c r="DA676" t="str">
        <f>""</f>
        <v/>
      </c>
      <c r="DB676" t="str">
        <f>""</f>
        <v/>
      </c>
      <c r="DC676" t="str">
        <f>""</f>
        <v/>
      </c>
      <c r="DD676" t="str">
        <f>""</f>
        <v/>
      </c>
      <c r="DE676" t="str">
        <f>""</f>
        <v/>
      </c>
      <c r="DF676" t="str">
        <f>""</f>
        <v/>
      </c>
      <c r="DG676" t="str">
        <f>""</f>
        <v/>
      </c>
      <c r="DH676" t="str">
        <f>""</f>
        <v/>
      </c>
      <c r="DI676" t="str">
        <f>""</f>
        <v/>
      </c>
      <c r="DJ676" t="str">
        <f>""</f>
        <v/>
      </c>
      <c r="DK676" t="str">
        <f>""</f>
        <v/>
      </c>
      <c r="DL676" t="str">
        <f>""</f>
        <v/>
      </c>
      <c r="DM676" t="str">
        <f>""</f>
        <v/>
      </c>
      <c r="DN676" t="str">
        <f>""</f>
        <v/>
      </c>
      <c r="DO676" t="str">
        <f>""</f>
        <v/>
      </c>
      <c r="DP676" t="str">
        <f>""</f>
        <v/>
      </c>
      <c r="DQ676" t="str">
        <f>""</f>
        <v/>
      </c>
      <c r="DR676" t="str">
        <f>""</f>
        <v/>
      </c>
      <c r="DS676" t="str">
        <f>""</f>
        <v/>
      </c>
      <c r="DT676" t="str">
        <f>""</f>
        <v/>
      </c>
      <c r="DU676" t="str">
        <f>""</f>
        <v/>
      </c>
    </row>
    <row r="677" spans="1:125">
      <c r="A677" t="str">
        <f>$A$230</f>
        <v xml:space="preserve">    CBL &amp; Associates Properties In</v>
      </c>
      <c r="B677" t="str">
        <f>$B$230</f>
        <v>CBL US Equity</v>
      </c>
      <c r="C677" t="str">
        <f>$C$230</f>
        <v>RR553</v>
      </c>
      <c r="D677" t="str">
        <f>$D$230</f>
        <v>EBITDA_RE_ASSET</v>
      </c>
      <c r="E677" t="str">
        <f>$E$230</f>
        <v>动态</v>
      </c>
      <c r="F677" t="str">
        <f ca="1">BDH($B$230,$C$230,$B$417,$B$418,CONCATENATE("Per=",$B$415),"Dts=H","Dir=H",CONCATENATE("Points=",$B$416),"Sort=R","Days=A","Fill=B",CONCATENATE("FX=", $B$414) )</f>
        <v>#N/A Authorization</v>
      </c>
      <c r="BN677" t="str">
        <f>""</f>
        <v/>
      </c>
      <c r="BO677" t="str">
        <f>""</f>
        <v/>
      </c>
      <c r="BP677" t="str">
        <f>""</f>
        <v/>
      </c>
      <c r="BQ677" t="str">
        <f>""</f>
        <v/>
      </c>
      <c r="BR677" t="str">
        <f>""</f>
        <v/>
      </c>
      <c r="BS677" t="str">
        <f>""</f>
        <v/>
      </c>
      <c r="BT677" t="str">
        <f>""</f>
        <v/>
      </c>
      <c r="BU677" t="str">
        <f>""</f>
        <v/>
      </c>
      <c r="BV677" t="str">
        <f>""</f>
        <v/>
      </c>
      <c r="BW677" t="str">
        <f>""</f>
        <v/>
      </c>
      <c r="BX677" t="str">
        <f>""</f>
        <v/>
      </c>
      <c r="BY677" t="str">
        <f>""</f>
        <v/>
      </c>
      <c r="BZ677" t="str">
        <f>""</f>
        <v/>
      </c>
      <c r="CA677" t="str">
        <f>""</f>
        <v/>
      </c>
      <c r="CB677" t="str">
        <f>""</f>
        <v/>
      </c>
      <c r="CC677" t="str">
        <f>""</f>
        <v/>
      </c>
      <c r="CD677" t="str">
        <f>""</f>
        <v/>
      </c>
      <c r="CE677" t="str">
        <f>""</f>
        <v/>
      </c>
      <c r="CF677" t="str">
        <f>""</f>
        <v/>
      </c>
      <c r="CG677" t="str">
        <f>""</f>
        <v/>
      </c>
      <c r="CH677" t="str">
        <f>""</f>
        <v/>
      </c>
      <c r="CI677" t="str">
        <f>""</f>
        <v/>
      </c>
      <c r="CJ677" t="str">
        <f>""</f>
        <v/>
      </c>
      <c r="CK677" t="str">
        <f>""</f>
        <v/>
      </c>
      <c r="CL677" t="str">
        <f>""</f>
        <v/>
      </c>
      <c r="CM677" t="str">
        <f>""</f>
        <v/>
      </c>
      <c r="CN677" t="str">
        <f>""</f>
        <v/>
      </c>
      <c r="CO677" t="str">
        <f>""</f>
        <v/>
      </c>
      <c r="CP677" t="str">
        <f>""</f>
        <v/>
      </c>
      <c r="CQ677" t="str">
        <f>""</f>
        <v/>
      </c>
      <c r="CR677" t="str">
        <f>""</f>
        <v/>
      </c>
      <c r="CS677" t="str">
        <f>""</f>
        <v/>
      </c>
      <c r="CT677" t="str">
        <f>""</f>
        <v/>
      </c>
      <c r="CU677" t="str">
        <f>""</f>
        <v/>
      </c>
      <c r="CV677" t="str">
        <f>""</f>
        <v/>
      </c>
      <c r="CW677" t="str">
        <f>""</f>
        <v/>
      </c>
      <c r="CX677" t="str">
        <f>""</f>
        <v/>
      </c>
      <c r="CY677" t="str">
        <f>""</f>
        <v/>
      </c>
      <c r="CZ677" t="str">
        <f>""</f>
        <v/>
      </c>
      <c r="DA677" t="str">
        <f>""</f>
        <v/>
      </c>
      <c r="DB677" t="str">
        <f>""</f>
        <v/>
      </c>
      <c r="DC677" t="str">
        <f>""</f>
        <v/>
      </c>
      <c r="DD677" t="str">
        <f>""</f>
        <v/>
      </c>
      <c r="DE677" t="str">
        <f>""</f>
        <v/>
      </c>
      <c r="DF677" t="str">
        <f>""</f>
        <v/>
      </c>
      <c r="DG677" t="str">
        <f>""</f>
        <v/>
      </c>
      <c r="DH677" t="str">
        <f>""</f>
        <v/>
      </c>
      <c r="DI677" t="str">
        <f>""</f>
        <v/>
      </c>
      <c r="DJ677" t="str">
        <f>""</f>
        <v/>
      </c>
      <c r="DK677" t="str">
        <f>""</f>
        <v/>
      </c>
      <c r="DL677" t="str">
        <f>""</f>
        <v/>
      </c>
      <c r="DM677" t="str">
        <f>""</f>
        <v/>
      </c>
      <c r="DN677" t="str">
        <f>""</f>
        <v/>
      </c>
      <c r="DO677" t="str">
        <f>""</f>
        <v/>
      </c>
      <c r="DP677" t="str">
        <f>""</f>
        <v/>
      </c>
      <c r="DQ677" t="str">
        <f>""</f>
        <v/>
      </c>
      <c r="DR677" t="str">
        <f>""</f>
        <v/>
      </c>
      <c r="DS677" t="str">
        <f>""</f>
        <v/>
      </c>
      <c r="DT677" t="str">
        <f>""</f>
        <v/>
      </c>
      <c r="DU677" t="str">
        <f>""</f>
        <v/>
      </c>
    </row>
    <row r="678" spans="1:125">
      <c r="A678" t="str">
        <f>$A$231</f>
        <v xml:space="preserve">    DDR Corp</v>
      </c>
      <c r="B678" t="str">
        <f>$B$231</f>
        <v>DDR US Equity</v>
      </c>
      <c r="C678" t="str">
        <f>$C$231</f>
        <v>RR553</v>
      </c>
      <c r="D678" t="str">
        <f>$D$231</f>
        <v>EBITDA_RE_ASSET</v>
      </c>
      <c r="E678" t="str">
        <f>$E$231</f>
        <v>动态</v>
      </c>
      <c r="F678" t="str">
        <f ca="1">BDH($B$231,$C$231,$B$417,$B$418,CONCATENATE("Per=",$B$415),"Dts=H","Dir=H",CONCATENATE("Points=",$B$416),"Sort=R","Days=A","Fill=B",CONCATENATE("FX=", $B$414) )</f>
        <v>#N/A Authorization</v>
      </c>
      <c r="BN678" t="str">
        <f>""</f>
        <v/>
      </c>
      <c r="BO678" t="str">
        <f>""</f>
        <v/>
      </c>
      <c r="BP678" t="str">
        <f>""</f>
        <v/>
      </c>
      <c r="BQ678" t="str">
        <f>""</f>
        <v/>
      </c>
      <c r="BR678" t="str">
        <f>""</f>
        <v/>
      </c>
      <c r="BS678" t="str">
        <f>""</f>
        <v/>
      </c>
      <c r="BT678" t="str">
        <f>""</f>
        <v/>
      </c>
      <c r="BU678" t="str">
        <f>""</f>
        <v/>
      </c>
      <c r="BV678" t="str">
        <f>""</f>
        <v/>
      </c>
      <c r="BW678" t="str">
        <f>""</f>
        <v/>
      </c>
      <c r="BX678" t="str">
        <f>""</f>
        <v/>
      </c>
      <c r="BY678" t="str">
        <f>""</f>
        <v/>
      </c>
      <c r="BZ678" t="str">
        <f>""</f>
        <v/>
      </c>
      <c r="CA678" t="str">
        <f>""</f>
        <v/>
      </c>
      <c r="CB678" t="str">
        <f>""</f>
        <v/>
      </c>
      <c r="CC678" t="str">
        <f>""</f>
        <v/>
      </c>
      <c r="CD678" t="str">
        <f>""</f>
        <v/>
      </c>
      <c r="CE678" t="str">
        <f>""</f>
        <v/>
      </c>
      <c r="CF678" t="str">
        <f>""</f>
        <v/>
      </c>
      <c r="CG678" t="str">
        <f>""</f>
        <v/>
      </c>
      <c r="CH678" t="str">
        <f>""</f>
        <v/>
      </c>
      <c r="CI678" t="str">
        <f>""</f>
        <v/>
      </c>
      <c r="CJ678" t="str">
        <f>""</f>
        <v/>
      </c>
      <c r="CK678" t="str">
        <f>""</f>
        <v/>
      </c>
      <c r="CL678" t="str">
        <f>""</f>
        <v/>
      </c>
      <c r="CM678" t="str">
        <f>""</f>
        <v/>
      </c>
      <c r="CN678" t="str">
        <f>""</f>
        <v/>
      </c>
      <c r="CO678" t="str">
        <f>""</f>
        <v/>
      </c>
      <c r="CP678" t="str">
        <f>""</f>
        <v/>
      </c>
      <c r="CQ678" t="str">
        <f>""</f>
        <v/>
      </c>
      <c r="CR678" t="str">
        <f>""</f>
        <v/>
      </c>
      <c r="CS678" t="str">
        <f>""</f>
        <v/>
      </c>
      <c r="CT678" t="str">
        <f>""</f>
        <v/>
      </c>
      <c r="CU678" t="str">
        <f>""</f>
        <v/>
      </c>
      <c r="CV678" t="str">
        <f>""</f>
        <v/>
      </c>
      <c r="CW678" t="str">
        <f>""</f>
        <v/>
      </c>
      <c r="CX678" t="str">
        <f>""</f>
        <v/>
      </c>
      <c r="CY678" t="str">
        <f>""</f>
        <v/>
      </c>
      <c r="CZ678" t="str">
        <f>""</f>
        <v/>
      </c>
      <c r="DA678" t="str">
        <f>""</f>
        <v/>
      </c>
      <c r="DB678" t="str">
        <f>""</f>
        <v/>
      </c>
      <c r="DC678" t="str">
        <f>""</f>
        <v/>
      </c>
      <c r="DD678" t="str">
        <f>""</f>
        <v/>
      </c>
      <c r="DE678" t="str">
        <f>""</f>
        <v/>
      </c>
      <c r="DF678" t="str">
        <f>""</f>
        <v/>
      </c>
      <c r="DG678" t="str">
        <f>""</f>
        <v/>
      </c>
      <c r="DH678" t="str">
        <f>""</f>
        <v/>
      </c>
      <c r="DI678" t="str">
        <f>""</f>
        <v/>
      </c>
      <c r="DJ678" t="str">
        <f>""</f>
        <v/>
      </c>
      <c r="DK678" t="str">
        <f>""</f>
        <v/>
      </c>
      <c r="DL678" t="str">
        <f>""</f>
        <v/>
      </c>
      <c r="DM678" t="str">
        <f>""</f>
        <v/>
      </c>
      <c r="DN678" t="str">
        <f>""</f>
        <v/>
      </c>
      <c r="DO678" t="str">
        <f>""</f>
        <v/>
      </c>
      <c r="DP678" t="str">
        <f>""</f>
        <v/>
      </c>
      <c r="DQ678" t="str">
        <f>""</f>
        <v/>
      </c>
      <c r="DR678" t="str">
        <f>""</f>
        <v/>
      </c>
      <c r="DS678" t="str">
        <f>""</f>
        <v/>
      </c>
      <c r="DT678" t="str">
        <f>""</f>
        <v/>
      </c>
      <c r="DU678" t="str">
        <f>""</f>
        <v/>
      </c>
    </row>
    <row r="679" spans="1:125">
      <c r="A679" t="str">
        <f>$A$232</f>
        <v xml:space="preserve">    Federal Realty Investment Trus</v>
      </c>
      <c r="B679" t="str">
        <f>$B$232</f>
        <v>FRT US Equity</v>
      </c>
      <c r="C679" t="str">
        <f>$C$232</f>
        <v>RR553</v>
      </c>
      <c r="D679" t="str">
        <f>$D$232</f>
        <v>EBITDA_RE_ASSET</v>
      </c>
      <c r="E679" t="str">
        <f>$E$232</f>
        <v>动态</v>
      </c>
      <c r="F679" t="str">
        <f ca="1">BDH($B$232,$C$232,$B$417,$B$418,CONCATENATE("Per=",$B$415),"Dts=H","Dir=H",CONCATENATE("Points=",$B$416),"Sort=R","Days=A","Fill=B",CONCATENATE("FX=", $B$414) )</f>
        <v>#N/A Authorization</v>
      </c>
      <c r="BN679" t="str">
        <f>""</f>
        <v/>
      </c>
      <c r="BO679" t="str">
        <f>""</f>
        <v/>
      </c>
      <c r="BP679" t="str">
        <f>""</f>
        <v/>
      </c>
      <c r="BQ679" t="str">
        <f>""</f>
        <v/>
      </c>
      <c r="BR679" t="str">
        <f>""</f>
        <v/>
      </c>
      <c r="BS679" t="str">
        <f>""</f>
        <v/>
      </c>
      <c r="BT679" t="str">
        <f>""</f>
        <v/>
      </c>
      <c r="BU679" t="str">
        <f>""</f>
        <v/>
      </c>
      <c r="BV679" t="str">
        <f>""</f>
        <v/>
      </c>
      <c r="BW679" t="str">
        <f>""</f>
        <v/>
      </c>
      <c r="BX679" t="str">
        <f>""</f>
        <v/>
      </c>
      <c r="BY679" t="str">
        <f>""</f>
        <v/>
      </c>
      <c r="BZ679" t="str">
        <f>""</f>
        <v/>
      </c>
      <c r="CA679" t="str">
        <f>""</f>
        <v/>
      </c>
      <c r="CB679" t="str">
        <f>""</f>
        <v/>
      </c>
      <c r="CC679" t="str">
        <f>""</f>
        <v/>
      </c>
      <c r="CD679" t="str">
        <f>""</f>
        <v/>
      </c>
      <c r="CE679" t="str">
        <f>""</f>
        <v/>
      </c>
      <c r="CF679" t="str">
        <f>""</f>
        <v/>
      </c>
      <c r="CG679" t="str">
        <f>""</f>
        <v/>
      </c>
      <c r="CH679" t="str">
        <f>""</f>
        <v/>
      </c>
      <c r="CI679" t="str">
        <f>""</f>
        <v/>
      </c>
      <c r="CJ679" t="str">
        <f>""</f>
        <v/>
      </c>
      <c r="CK679" t="str">
        <f>""</f>
        <v/>
      </c>
      <c r="CL679" t="str">
        <f>""</f>
        <v/>
      </c>
      <c r="CM679" t="str">
        <f>""</f>
        <v/>
      </c>
      <c r="CN679" t="str">
        <f>""</f>
        <v/>
      </c>
      <c r="CO679" t="str">
        <f>""</f>
        <v/>
      </c>
      <c r="CP679" t="str">
        <f>""</f>
        <v/>
      </c>
      <c r="CQ679" t="str">
        <f>""</f>
        <v/>
      </c>
      <c r="CR679" t="str">
        <f>""</f>
        <v/>
      </c>
      <c r="CS679" t="str">
        <f>""</f>
        <v/>
      </c>
      <c r="CT679" t="str">
        <f>""</f>
        <v/>
      </c>
      <c r="CU679" t="str">
        <f>""</f>
        <v/>
      </c>
      <c r="CV679" t="str">
        <f>""</f>
        <v/>
      </c>
      <c r="CW679" t="str">
        <f>""</f>
        <v/>
      </c>
      <c r="CX679" t="str">
        <f>""</f>
        <v/>
      </c>
      <c r="CY679" t="str">
        <f>""</f>
        <v/>
      </c>
      <c r="CZ679" t="str">
        <f>""</f>
        <v/>
      </c>
      <c r="DA679" t="str">
        <f>""</f>
        <v/>
      </c>
      <c r="DB679" t="str">
        <f>""</f>
        <v/>
      </c>
      <c r="DC679" t="str">
        <f>""</f>
        <v/>
      </c>
      <c r="DD679" t="str">
        <f>""</f>
        <v/>
      </c>
      <c r="DE679" t="str">
        <f>""</f>
        <v/>
      </c>
      <c r="DF679" t="str">
        <f>""</f>
        <v/>
      </c>
      <c r="DG679" t="str">
        <f>""</f>
        <v/>
      </c>
      <c r="DH679" t="str">
        <f>""</f>
        <v/>
      </c>
      <c r="DI679" t="str">
        <f>""</f>
        <v/>
      </c>
      <c r="DJ679" t="str">
        <f>""</f>
        <v/>
      </c>
      <c r="DK679" t="str">
        <f>""</f>
        <v/>
      </c>
      <c r="DL679" t="str">
        <f>""</f>
        <v/>
      </c>
      <c r="DM679" t="str">
        <f>""</f>
        <v/>
      </c>
      <c r="DN679" t="str">
        <f>""</f>
        <v/>
      </c>
      <c r="DO679" t="str">
        <f>""</f>
        <v/>
      </c>
      <c r="DP679" t="str">
        <f>""</f>
        <v/>
      </c>
      <c r="DQ679" t="str">
        <f>""</f>
        <v/>
      </c>
      <c r="DR679" t="str">
        <f>""</f>
        <v/>
      </c>
      <c r="DS679" t="str">
        <f>""</f>
        <v/>
      </c>
      <c r="DT679" t="str">
        <f>""</f>
        <v/>
      </c>
      <c r="DU679" t="str">
        <f>""</f>
        <v/>
      </c>
    </row>
    <row r="680" spans="1:125">
      <c r="A680" t="str">
        <f>$A$233</f>
        <v xml:space="preserve">    Kimco Realty Corp</v>
      </c>
      <c r="B680" t="str">
        <f>$B$233</f>
        <v>KIM US Equity</v>
      </c>
      <c r="C680" t="str">
        <f>$C$233</f>
        <v>RR553</v>
      </c>
      <c r="D680" t="str">
        <f>$D$233</f>
        <v>EBITDA_RE_ASSET</v>
      </c>
      <c r="E680" t="str">
        <f>$E$233</f>
        <v>动态</v>
      </c>
      <c r="F680" t="str">
        <f ca="1">BDH($B$233,$C$233,$B$417,$B$418,CONCATENATE("Per=",$B$415),"Dts=H","Dir=H",CONCATENATE("Points=",$B$416),"Sort=R","Days=A","Fill=B",CONCATENATE("FX=", $B$414) )</f>
        <v>#N/A Authorization</v>
      </c>
      <c r="BN680" t="str">
        <f>""</f>
        <v/>
      </c>
      <c r="BO680" t="str">
        <f>""</f>
        <v/>
      </c>
      <c r="BP680" t="str">
        <f>""</f>
        <v/>
      </c>
      <c r="BQ680" t="str">
        <f>""</f>
        <v/>
      </c>
      <c r="BR680" t="str">
        <f>""</f>
        <v/>
      </c>
      <c r="BS680" t="str">
        <f>""</f>
        <v/>
      </c>
      <c r="BT680" t="str">
        <f>""</f>
        <v/>
      </c>
      <c r="BU680" t="str">
        <f>""</f>
        <v/>
      </c>
      <c r="BV680" t="str">
        <f>""</f>
        <v/>
      </c>
      <c r="BW680" t="str">
        <f>""</f>
        <v/>
      </c>
      <c r="BX680" t="str">
        <f>""</f>
        <v/>
      </c>
      <c r="BY680" t="str">
        <f>""</f>
        <v/>
      </c>
      <c r="BZ680" t="str">
        <f>""</f>
        <v/>
      </c>
      <c r="CA680" t="str">
        <f>""</f>
        <v/>
      </c>
      <c r="CB680" t="str">
        <f>""</f>
        <v/>
      </c>
      <c r="CC680" t="str">
        <f>""</f>
        <v/>
      </c>
      <c r="CD680" t="str">
        <f>""</f>
        <v/>
      </c>
      <c r="CE680" t="str">
        <f>""</f>
        <v/>
      </c>
      <c r="CF680" t="str">
        <f>""</f>
        <v/>
      </c>
      <c r="CG680" t="str">
        <f>""</f>
        <v/>
      </c>
      <c r="CH680" t="str">
        <f>""</f>
        <v/>
      </c>
      <c r="CI680" t="str">
        <f>""</f>
        <v/>
      </c>
      <c r="CJ680" t="str">
        <f>""</f>
        <v/>
      </c>
      <c r="CK680" t="str">
        <f>""</f>
        <v/>
      </c>
      <c r="CL680" t="str">
        <f>""</f>
        <v/>
      </c>
      <c r="CM680" t="str">
        <f>""</f>
        <v/>
      </c>
      <c r="CN680" t="str">
        <f>""</f>
        <v/>
      </c>
      <c r="CO680" t="str">
        <f>""</f>
        <v/>
      </c>
      <c r="CP680" t="str">
        <f>""</f>
        <v/>
      </c>
      <c r="CQ680" t="str">
        <f>""</f>
        <v/>
      </c>
      <c r="CR680" t="str">
        <f>""</f>
        <v/>
      </c>
      <c r="CS680" t="str">
        <f>""</f>
        <v/>
      </c>
      <c r="CT680" t="str">
        <f>""</f>
        <v/>
      </c>
      <c r="CU680" t="str">
        <f>""</f>
        <v/>
      </c>
      <c r="CV680" t="str">
        <f>""</f>
        <v/>
      </c>
      <c r="CW680" t="str">
        <f>""</f>
        <v/>
      </c>
      <c r="CX680" t="str">
        <f>""</f>
        <v/>
      </c>
      <c r="CY680" t="str">
        <f>""</f>
        <v/>
      </c>
      <c r="CZ680" t="str">
        <f>""</f>
        <v/>
      </c>
      <c r="DA680" t="str">
        <f>""</f>
        <v/>
      </c>
      <c r="DB680" t="str">
        <f>""</f>
        <v/>
      </c>
      <c r="DC680" t="str">
        <f>""</f>
        <v/>
      </c>
      <c r="DD680" t="str">
        <f>""</f>
        <v/>
      </c>
      <c r="DE680" t="str">
        <f>""</f>
        <v/>
      </c>
      <c r="DF680" t="str">
        <f>""</f>
        <v/>
      </c>
      <c r="DG680" t="str">
        <f>""</f>
        <v/>
      </c>
      <c r="DH680" t="str">
        <f>""</f>
        <v/>
      </c>
      <c r="DI680" t="str">
        <f>""</f>
        <v/>
      </c>
      <c r="DJ680" t="str">
        <f>""</f>
        <v/>
      </c>
      <c r="DK680" t="str">
        <f>""</f>
        <v/>
      </c>
      <c r="DL680" t="str">
        <f>""</f>
        <v/>
      </c>
      <c r="DM680" t="str">
        <f>""</f>
        <v/>
      </c>
      <c r="DN680" t="str">
        <f>""</f>
        <v/>
      </c>
      <c r="DO680" t="str">
        <f>""</f>
        <v/>
      </c>
      <c r="DP680" t="str">
        <f>""</f>
        <v/>
      </c>
      <c r="DQ680" t="str">
        <f>""</f>
        <v/>
      </c>
      <c r="DR680" t="str">
        <f>""</f>
        <v/>
      </c>
      <c r="DS680" t="str">
        <f>""</f>
        <v/>
      </c>
      <c r="DT680" t="str">
        <f>""</f>
        <v/>
      </c>
      <c r="DU680" t="str">
        <f>""</f>
        <v/>
      </c>
    </row>
    <row r="681" spans="1:125">
      <c r="A681" t="str">
        <f>$A$234</f>
        <v xml:space="preserve">    National Retail Properties Inc</v>
      </c>
      <c r="B681" t="str">
        <f>$B$234</f>
        <v>NNN US Equity</v>
      </c>
      <c r="C681" t="str">
        <f>$C$234</f>
        <v>RR553</v>
      </c>
      <c r="D681" t="str">
        <f>$D$234</f>
        <v>EBITDA_RE_ASSET</v>
      </c>
      <c r="E681" t="str">
        <f>$E$234</f>
        <v>动态</v>
      </c>
      <c r="F681" t="str">
        <f ca="1">BDH($B$234,$C$234,$B$417,$B$418,CONCATENATE("Per=",$B$415),"Dts=H","Dir=H",CONCATENATE("Points=",$B$416),"Sort=R","Days=A","Fill=B",CONCATENATE("FX=", $B$414) )</f>
        <v>#N/A Authorization</v>
      </c>
      <c r="BN681" t="str">
        <f>""</f>
        <v/>
      </c>
      <c r="BO681" t="str">
        <f>""</f>
        <v/>
      </c>
      <c r="BP681" t="str">
        <f>""</f>
        <v/>
      </c>
      <c r="BQ681" t="str">
        <f>""</f>
        <v/>
      </c>
      <c r="BR681" t="str">
        <f>""</f>
        <v/>
      </c>
      <c r="BS681" t="str">
        <f>""</f>
        <v/>
      </c>
      <c r="BT681" t="str">
        <f>""</f>
        <v/>
      </c>
      <c r="BU681" t="str">
        <f>""</f>
        <v/>
      </c>
      <c r="BV681" t="str">
        <f>""</f>
        <v/>
      </c>
      <c r="BW681" t="str">
        <f>""</f>
        <v/>
      </c>
      <c r="BX681" t="str">
        <f>""</f>
        <v/>
      </c>
      <c r="BY681" t="str">
        <f>""</f>
        <v/>
      </c>
      <c r="BZ681" t="str">
        <f>""</f>
        <v/>
      </c>
      <c r="CA681" t="str">
        <f>""</f>
        <v/>
      </c>
      <c r="CB681" t="str">
        <f>""</f>
        <v/>
      </c>
      <c r="CC681" t="str">
        <f>""</f>
        <v/>
      </c>
      <c r="CD681" t="str">
        <f>""</f>
        <v/>
      </c>
      <c r="CE681" t="str">
        <f>""</f>
        <v/>
      </c>
      <c r="CF681" t="str">
        <f>""</f>
        <v/>
      </c>
      <c r="CG681" t="str">
        <f>""</f>
        <v/>
      </c>
      <c r="CH681" t="str">
        <f>""</f>
        <v/>
      </c>
      <c r="CI681" t="str">
        <f>""</f>
        <v/>
      </c>
      <c r="CJ681" t="str">
        <f>""</f>
        <v/>
      </c>
      <c r="CK681" t="str">
        <f>""</f>
        <v/>
      </c>
      <c r="CL681" t="str">
        <f>""</f>
        <v/>
      </c>
      <c r="CM681" t="str">
        <f>""</f>
        <v/>
      </c>
      <c r="CN681" t="str">
        <f>""</f>
        <v/>
      </c>
      <c r="CO681" t="str">
        <f>""</f>
        <v/>
      </c>
      <c r="CP681" t="str">
        <f>""</f>
        <v/>
      </c>
      <c r="CQ681" t="str">
        <f>""</f>
        <v/>
      </c>
      <c r="CR681" t="str">
        <f>""</f>
        <v/>
      </c>
      <c r="CS681" t="str">
        <f>""</f>
        <v/>
      </c>
      <c r="CT681" t="str">
        <f>""</f>
        <v/>
      </c>
      <c r="CU681" t="str">
        <f>""</f>
        <v/>
      </c>
      <c r="CV681" t="str">
        <f>""</f>
        <v/>
      </c>
      <c r="CW681" t="str">
        <f>""</f>
        <v/>
      </c>
      <c r="CX681" t="str">
        <f>""</f>
        <v/>
      </c>
      <c r="CY681" t="str">
        <f>""</f>
        <v/>
      </c>
      <c r="CZ681" t="str">
        <f>""</f>
        <v/>
      </c>
      <c r="DA681" t="str">
        <f>""</f>
        <v/>
      </c>
      <c r="DB681" t="str">
        <f>""</f>
        <v/>
      </c>
      <c r="DC681" t="str">
        <f>""</f>
        <v/>
      </c>
      <c r="DD681" t="str">
        <f>""</f>
        <v/>
      </c>
      <c r="DE681" t="str">
        <f>""</f>
        <v/>
      </c>
      <c r="DF681" t="str">
        <f>""</f>
        <v/>
      </c>
      <c r="DG681" t="str">
        <f>""</f>
        <v/>
      </c>
      <c r="DH681" t="str">
        <f>""</f>
        <v/>
      </c>
      <c r="DI681" t="str">
        <f>""</f>
        <v/>
      </c>
      <c r="DJ681" t="str">
        <f>""</f>
        <v/>
      </c>
      <c r="DK681" t="str">
        <f>""</f>
        <v/>
      </c>
      <c r="DL681" t="str">
        <f>""</f>
        <v/>
      </c>
      <c r="DM681" t="str">
        <f>""</f>
        <v/>
      </c>
      <c r="DN681" t="str">
        <f>""</f>
        <v/>
      </c>
      <c r="DO681" t="str">
        <f>""</f>
        <v/>
      </c>
      <c r="DP681" t="str">
        <f>""</f>
        <v/>
      </c>
      <c r="DQ681" t="str">
        <f>""</f>
        <v/>
      </c>
      <c r="DR681" t="str">
        <f>""</f>
        <v/>
      </c>
      <c r="DS681" t="str">
        <f>""</f>
        <v/>
      </c>
      <c r="DT681" t="str">
        <f>""</f>
        <v/>
      </c>
      <c r="DU681" t="str">
        <f>""</f>
        <v/>
      </c>
    </row>
    <row r="682" spans="1:125">
      <c r="A682" t="str">
        <f>$A$235</f>
        <v xml:space="preserve">    Realty Income Corp</v>
      </c>
      <c r="B682" t="str">
        <f>$B$235</f>
        <v>O US Equity</v>
      </c>
      <c r="C682" t="str">
        <f>$C$235</f>
        <v>RR553</v>
      </c>
      <c r="D682" t="str">
        <f>$D$235</f>
        <v>EBITDA_RE_ASSET</v>
      </c>
      <c r="E682" t="str">
        <f>$E$235</f>
        <v>动态</v>
      </c>
      <c r="F682" t="str">
        <f ca="1">BDH($B$235,$C$235,$B$417,$B$418,CONCATENATE("Per=",$B$415),"Dts=H","Dir=H",CONCATENATE("Points=",$B$416),"Sort=R","Days=A","Fill=B",CONCATENATE("FX=", $B$414) )</f>
        <v>#N/A Authorization</v>
      </c>
      <c r="BN682" t="str">
        <f>""</f>
        <v/>
      </c>
      <c r="BO682" t="str">
        <f>""</f>
        <v/>
      </c>
      <c r="BP682" t="str">
        <f>""</f>
        <v/>
      </c>
      <c r="BQ682" t="str">
        <f>""</f>
        <v/>
      </c>
      <c r="BR682" t="str">
        <f>""</f>
        <v/>
      </c>
      <c r="BS682" t="str">
        <f>""</f>
        <v/>
      </c>
      <c r="BT682" t="str">
        <f>""</f>
        <v/>
      </c>
      <c r="BU682" t="str">
        <f>""</f>
        <v/>
      </c>
      <c r="BV682" t="str">
        <f>""</f>
        <v/>
      </c>
      <c r="BW682" t="str">
        <f>""</f>
        <v/>
      </c>
      <c r="BX682" t="str">
        <f>""</f>
        <v/>
      </c>
      <c r="BY682" t="str">
        <f>""</f>
        <v/>
      </c>
      <c r="BZ682" t="str">
        <f>""</f>
        <v/>
      </c>
      <c r="CA682" t="str">
        <f>""</f>
        <v/>
      </c>
      <c r="CB682" t="str">
        <f>""</f>
        <v/>
      </c>
      <c r="CC682" t="str">
        <f>""</f>
        <v/>
      </c>
      <c r="CD682" t="str">
        <f>""</f>
        <v/>
      </c>
      <c r="CE682" t="str">
        <f>""</f>
        <v/>
      </c>
      <c r="CF682" t="str">
        <f>""</f>
        <v/>
      </c>
      <c r="CG682" t="str">
        <f>""</f>
        <v/>
      </c>
      <c r="CH682" t="str">
        <f>""</f>
        <v/>
      </c>
      <c r="CI682" t="str">
        <f>""</f>
        <v/>
      </c>
      <c r="CJ682" t="str">
        <f>""</f>
        <v/>
      </c>
      <c r="CK682" t="str">
        <f>""</f>
        <v/>
      </c>
      <c r="CL682" t="str">
        <f>""</f>
        <v/>
      </c>
      <c r="CM682" t="str">
        <f>""</f>
        <v/>
      </c>
      <c r="CN682" t="str">
        <f>""</f>
        <v/>
      </c>
      <c r="CO682" t="str">
        <f>""</f>
        <v/>
      </c>
      <c r="CP682" t="str">
        <f>""</f>
        <v/>
      </c>
      <c r="CQ682" t="str">
        <f>""</f>
        <v/>
      </c>
      <c r="CR682" t="str">
        <f>""</f>
        <v/>
      </c>
      <c r="CS682" t="str">
        <f>""</f>
        <v/>
      </c>
      <c r="CT682" t="str">
        <f>""</f>
        <v/>
      </c>
      <c r="CU682" t="str">
        <f>""</f>
        <v/>
      </c>
      <c r="CV682" t="str">
        <f>""</f>
        <v/>
      </c>
      <c r="CW682" t="str">
        <f>""</f>
        <v/>
      </c>
      <c r="CX682" t="str">
        <f>""</f>
        <v/>
      </c>
      <c r="CY682" t="str">
        <f>""</f>
        <v/>
      </c>
      <c r="CZ682" t="str">
        <f>""</f>
        <v/>
      </c>
      <c r="DA682" t="str">
        <f>""</f>
        <v/>
      </c>
      <c r="DB682" t="str">
        <f>""</f>
        <v/>
      </c>
      <c r="DC682" t="str">
        <f>""</f>
        <v/>
      </c>
      <c r="DD682" t="str">
        <f>""</f>
        <v/>
      </c>
      <c r="DE682" t="str">
        <f>""</f>
        <v/>
      </c>
      <c r="DF682" t="str">
        <f>""</f>
        <v/>
      </c>
      <c r="DG682" t="str">
        <f>""</f>
        <v/>
      </c>
      <c r="DH682" t="str">
        <f>""</f>
        <v/>
      </c>
      <c r="DI682" t="str">
        <f>""</f>
        <v/>
      </c>
      <c r="DJ682" t="str">
        <f>""</f>
        <v/>
      </c>
      <c r="DK682" t="str">
        <f>""</f>
        <v/>
      </c>
      <c r="DL682" t="str">
        <f>""</f>
        <v/>
      </c>
      <c r="DM682" t="str">
        <f>""</f>
        <v/>
      </c>
      <c r="DN682" t="str">
        <f>""</f>
        <v/>
      </c>
      <c r="DO682" t="str">
        <f>""</f>
        <v/>
      </c>
      <c r="DP682" t="str">
        <f>""</f>
        <v/>
      </c>
      <c r="DQ682" t="str">
        <f>""</f>
        <v/>
      </c>
      <c r="DR682" t="str">
        <f>""</f>
        <v/>
      </c>
      <c r="DS682" t="str">
        <f>""</f>
        <v/>
      </c>
      <c r="DT682" t="str">
        <f>""</f>
        <v/>
      </c>
      <c r="DU682" t="str">
        <f>""</f>
        <v/>
      </c>
    </row>
    <row r="683" spans="1:125">
      <c r="A683" t="str">
        <f>$A$236</f>
        <v xml:space="preserve">    Regency Centers Corp</v>
      </c>
      <c r="B683" t="str">
        <f>$B$236</f>
        <v>REG US Equity</v>
      </c>
      <c r="C683" t="str">
        <f>$C$236</f>
        <v>RR553</v>
      </c>
      <c r="D683" t="str">
        <f>$D$236</f>
        <v>EBITDA_RE_ASSET</v>
      </c>
      <c r="E683" t="str">
        <f>$E$236</f>
        <v>动态</v>
      </c>
      <c r="F683" t="str">
        <f ca="1">BDH($B$236,$C$236,$B$417,$B$418,CONCATENATE("Per=",$B$415),"Dts=H","Dir=H",CONCATENATE("Points=",$B$416),"Sort=R","Days=A","Fill=B",CONCATENATE("FX=", $B$414) )</f>
        <v>#N/A Authorization</v>
      </c>
      <c r="BN683" t="str">
        <f>""</f>
        <v/>
      </c>
      <c r="BO683" t="str">
        <f>""</f>
        <v/>
      </c>
      <c r="BP683" t="str">
        <f>""</f>
        <v/>
      </c>
      <c r="BQ683" t="str">
        <f>""</f>
        <v/>
      </c>
      <c r="BR683" t="str">
        <f>""</f>
        <v/>
      </c>
      <c r="BS683" t="str">
        <f>""</f>
        <v/>
      </c>
      <c r="BT683" t="str">
        <f>""</f>
        <v/>
      </c>
      <c r="BU683" t="str">
        <f>""</f>
        <v/>
      </c>
      <c r="BV683" t="str">
        <f>""</f>
        <v/>
      </c>
      <c r="BW683" t="str">
        <f>""</f>
        <v/>
      </c>
      <c r="BX683" t="str">
        <f>""</f>
        <v/>
      </c>
      <c r="BY683" t="str">
        <f>""</f>
        <v/>
      </c>
      <c r="BZ683" t="str">
        <f>""</f>
        <v/>
      </c>
      <c r="CA683" t="str">
        <f>""</f>
        <v/>
      </c>
      <c r="CB683" t="str">
        <f>""</f>
        <v/>
      </c>
      <c r="CC683" t="str">
        <f>""</f>
        <v/>
      </c>
      <c r="CD683" t="str">
        <f>""</f>
        <v/>
      </c>
      <c r="CE683" t="str">
        <f>""</f>
        <v/>
      </c>
      <c r="CF683" t="str">
        <f>""</f>
        <v/>
      </c>
      <c r="CG683" t="str">
        <f>""</f>
        <v/>
      </c>
      <c r="CH683" t="str">
        <f>""</f>
        <v/>
      </c>
      <c r="CI683" t="str">
        <f>""</f>
        <v/>
      </c>
      <c r="CJ683" t="str">
        <f>""</f>
        <v/>
      </c>
      <c r="CK683" t="str">
        <f>""</f>
        <v/>
      </c>
      <c r="CL683" t="str">
        <f>""</f>
        <v/>
      </c>
      <c r="CM683" t="str">
        <f>""</f>
        <v/>
      </c>
      <c r="CN683" t="str">
        <f>""</f>
        <v/>
      </c>
      <c r="CO683" t="str">
        <f>""</f>
        <v/>
      </c>
      <c r="CP683" t="str">
        <f>""</f>
        <v/>
      </c>
      <c r="CQ683" t="str">
        <f>""</f>
        <v/>
      </c>
      <c r="CR683" t="str">
        <f>""</f>
        <v/>
      </c>
      <c r="CS683" t="str">
        <f>""</f>
        <v/>
      </c>
      <c r="CT683" t="str">
        <f>""</f>
        <v/>
      </c>
      <c r="CU683" t="str">
        <f>""</f>
        <v/>
      </c>
      <c r="CV683" t="str">
        <f>""</f>
        <v/>
      </c>
      <c r="CW683" t="str">
        <f>""</f>
        <v/>
      </c>
      <c r="CX683" t="str">
        <f>""</f>
        <v/>
      </c>
      <c r="CY683" t="str">
        <f>""</f>
        <v/>
      </c>
      <c r="CZ683" t="str">
        <f>""</f>
        <v/>
      </c>
      <c r="DA683" t="str">
        <f>""</f>
        <v/>
      </c>
      <c r="DB683" t="str">
        <f>""</f>
        <v/>
      </c>
      <c r="DC683" t="str">
        <f>""</f>
        <v/>
      </c>
      <c r="DD683" t="str">
        <f>""</f>
        <v/>
      </c>
      <c r="DE683" t="str">
        <f>""</f>
        <v/>
      </c>
      <c r="DF683" t="str">
        <f>""</f>
        <v/>
      </c>
      <c r="DG683" t="str">
        <f>""</f>
        <v/>
      </c>
      <c r="DH683" t="str">
        <f>""</f>
        <v/>
      </c>
      <c r="DI683" t="str">
        <f>""</f>
        <v/>
      </c>
      <c r="DJ683" t="str">
        <f>""</f>
        <v/>
      </c>
      <c r="DK683" t="str">
        <f>""</f>
        <v/>
      </c>
      <c r="DL683" t="str">
        <f>""</f>
        <v/>
      </c>
      <c r="DM683" t="str">
        <f>""</f>
        <v/>
      </c>
      <c r="DN683" t="str">
        <f>""</f>
        <v/>
      </c>
      <c r="DO683" t="str">
        <f>""</f>
        <v/>
      </c>
      <c r="DP683" t="str">
        <f>""</f>
        <v/>
      </c>
      <c r="DQ683" t="str">
        <f>""</f>
        <v/>
      </c>
      <c r="DR683" t="str">
        <f>""</f>
        <v/>
      </c>
      <c r="DS683" t="str">
        <f>""</f>
        <v/>
      </c>
      <c r="DT683" t="str">
        <f>""</f>
        <v/>
      </c>
      <c r="DU683" t="str">
        <f>""</f>
        <v/>
      </c>
    </row>
    <row r="684" spans="1:125">
      <c r="A684" t="str">
        <f>$A$237</f>
        <v xml:space="preserve">    Retail Opportunity Investments</v>
      </c>
      <c r="B684" t="str">
        <f>$B$237</f>
        <v>ROIC US Equity</v>
      </c>
      <c r="C684" t="str">
        <f>$C$237</f>
        <v>RR553</v>
      </c>
      <c r="D684" t="str">
        <f>$D$237</f>
        <v>EBITDA_RE_ASSET</v>
      </c>
      <c r="E684" t="str">
        <f>$E$237</f>
        <v>动态</v>
      </c>
      <c r="F684" t="str">
        <f ca="1">BDH($B$237,$C$237,$B$417,$B$418,CONCATENATE("Per=",$B$415),"Dts=H","Dir=H",CONCATENATE("Points=",$B$416),"Sort=R","Days=A","Fill=B",CONCATENATE("FX=", $B$414) )</f>
        <v>#N/A Authorization</v>
      </c>
      <c r="BN684" t="str">
        <f>""</f>
        <v/>
      </c>
      <c r="BO684" t="str">
        <f>""</f>
        <v/>
      </c>
      <c r="BP684" t="str">
        <f>""</f>
        <v/>
      </c>
      <c r="BQ684" t="str">
        <f>""</f>
        <v/>
      </c>
      <c r="BR684" t="str">
        <f>""</f>
        <v/>
      </c>
      <c r="BS684" t="str">
        <f>""</f>
        <v/>
      </c>
      <c r="BT684" t="str">
        <f>""</f>
        <v/>
      </c>
      <c r="BU684" t="str">
        <f>""</f>
        <v/>
      </c>
      <c r="BV684" t="str">
        <f>""</f>
        <v/>
      </c>
      <c r="BW684" t="str">
        <f>""</f>
        <v/>
      </c>
      <c r="BX684" t="str">
        <f>""</f>
        <v/>
      </c>
      <c r="BY684" t="str">
        <f>""</f>
        <v/>
      </c>
      <c r="BZ684" t="str">
        <f>""</f>
        <v/>
      </c>
      <c r="CA684" t="str">
        <f>""</f>
        <v/>
      </c>
      <c r="CB684" t="str">
        <f>""</f>
        <v/>
      </c>
      <c r="CC684" t="str">
        <f>""</f>
        <v/>
      </c>
      <c r="CD684" t="str">
        <f>""</f>
        <v/>
      </c>
      <c r="CE684" t="str">
        <f>""</f>
        <v/>
      </c>
      <c r="CF684" t="str">
        <f>""</f>
        <v/>
      </c>
      <c r="CG684" t="str">
        <f>""</f>
        <v/>
      </c>
      <c r="CH684" t="str">
        <f>""</f>
        <v/>
      </c>
      <c r="CI684" t="str">
        <f>""</f>
        <v/>
      </c>
      <c r="CJ684" t="str">
        <f>""</f>
        <v/>
      </c>
      <c r="CK684" t="str">
        <f>""</f>
        <v/>
      </c>
      <c r="CL684" t="str">
        <f>""</f>
        <v/>
      </c>
      <c r="CM684" t="str">
        <f>""</f>
        <v/>
      </c>
      <c r="CN684" t="str">
        <f>""</f>
        <v/>
      </c>
      <c r="CO684" t="str">
        <f>""</f>
        <v/>
      </c>
      <c r="CP684" t="str">
        <f>""</f>
        <v/>
      </c>
      <c r="CQ684" t="str">
        <f>""</f>
        <v/>
      </c>
      <c r="CR684" t="str">
        <f>""</f>
        <v/>
      </c>
      <c r="CS684" t="str">
        <f>""</f>
        <v/>
      </c>
      <c r="CT684" t="str">
        <f>""</f>
        <v/>
      </c>
      <c r="CU684" t="str">
        <f>""</f>
        <v/>
      </c>
      <c r="CV684" t="str">
        <f>""</f>
        <v/>
      </c>
      <c r="CW684" t="str">
        <f>""</f>
        <v/>
      </c>
      <c r="CX684" t="str">
        <f>""</f>
        <v/>
      </c>
      <c r="CY684" t="str">
        <f>""</f>
        <v/>
      </c>
      <c r="CZ684" t="str">
        <f>""</f>
        <v/>
      </c>
      <c r="DA684" t="str">
        <f>""</f>
        <v/>
      </c>
      <c r="DB684" t="str">
        <f>""</f>
        <v/>
      </c>
      <c r="DC684" t="str">
        <f>""</f>
        <v/>
      </c>
      <c r="DD684" t="str">
        <f>""</f>
        <v/>
      </c>
      <c r="DE684" t="str">
        <f>""</f>
        <v/>
      </c>
      <c r="DF684" t="str">
        <f>""</f>
        <v/>
      </c>
      <c r="DG684" t="str">
        <f>""</f>
        <v/>
      </c>
      <c r="DH684" t="str">
        <f>""</f>
        <v/>
      </c>
      <c r="DI684" t="str">
        <f>""</f>
        <v/>
      </c>
      <c r="DJ684" t="str">
        <f>""</f>
        <v/>
      </c>
      <c r="DK684" t="str">
        <f>""</f>
        <v/>
      </c>
      <c r="DL684" t="str">
        <f>""</f>
        <v/>
      </c>
      <c r="DM684" t="str">
        <f>""</f>
        <v/>
      </c>
      <c r="DN684" t="str">
        <f>""</f>
        <v/>
      </c>
      <c r="DO684" t="str">
        <f>""</f>
        <v/>
      </c>
      <c r="DP684" t="str">
        <f>""</f>
        <v/>
      </c>
      <c r="DQ684" t="str">
        <f>""</f>
        <v/>
      </c>
      <c r="DR684" t="str">
        <f>""</f>
        <v/>
      </c>
      <c r="DS684" t="str">
        <f>""</f>
        <v/>
      </c>
      <c r="DT684" t="str">
        <f>""</f>
        <v/>
      </c>
      <c r="DU684" t="str">
        <f>""</f>
        <v/>
      </c>
    </row>
    <row r="685" spans="1:125">
      <c r="A685" t="str">
        <f>$A$238</f>
        <v xml:space="preserve">    Retail Properties of America I</v>
      </c>
      <c r="B685" t="str">
        <f>$B$238</f>
        <v>RPAI US Equity</v>
      </c>
      <c r="C685" t="str">
        <f>$C$238</f>
        <v>RR553</v>
      </c>
      <c r="D685" t="str">
        <f>$D$238</f>
        <v>EBITDA_RE_ASSET</v>
      </c>
      <c r="E685" t="str">
        <f>$E$238</f>
        <v>动态</v>
      </c>
      <c r="F685" t="str">
        <f ca="1">BDH($B$238,$C$238,$B$417,$B$418,CONCATENATE("Per=",$B$415),"Dts=H","Dir=H",CONCATENATE("Points=",$B$416),"Sort=R","Days=A","Fill=B",CONCATENATE("FX=", $B$414) )</f>
        <v>#N/A Authorization</v>
      </c>
      <c r="BN685" t="str">
        <f>""</f>
        <v/>
      </c>
      <c r="BO685" t="str">
        <f>""</f>
        <v/>
      </c>
      <c r="BP685" t="str">
        <f>""</f>
        <v/>
      </c>
      <c r="BQ685" t="str">
        <f>""</f>
        <v/>
      </c>
      <c r="BR685" t="str">
        <f>""</f>
        <v/>
      </c>
      <c r="BS685" t="str">
        <f>""</f>
        <v/>
      </c>
      <c r="BT685" t="str">
        <f>""</f>
        <v/>
      </c>
      <c r="BU685" t="str">
        <f>""</f>
        <v/>
      </c>
      <c r="BV685" t="str">
        <f>""</f>
        <v/>
      </c>
      <c r="BW685" t="str">
        <f>""</f>
        <v/>
      </c>
      <c r="BX685" t="str">
        <f>""</f>
        <v/>
      </c>
      <c r="BY685" t="str">
        <f>""</f>
        <v/>
      </c>
      <c r="BZ685" t="str">
        <f>""</f>
        <v/>
      </c>
      <c r="CA685" t="str">
        <f>""</f>
        <v/>
      </c>
      <c r="CB685" t="str">
        <f>""</f>
        <v/>
      </c>
      <c r="CC685" t="str">
        <f>""</f>
        <v/>
      </c>
      <c r="CD685" t="str">
        <f>""</f>
        <v/>
      </c>
      <c r="CE685" t="str">
        <f>""</f>
        <v/>
      </c>
      <c r="CF685" t="str">
        <f>""</f>
        <v/>
      </c>
      <c r="CG685" t="str">
        <f>""</f>
        <v/>
      </c>
      <c r="CH685" t="str">
        <f>""</f>
        <v/>
      </c>
      <c r="CI685" t="str">
        <f>""</f>
        <v/>
      </c>
      <c r="CJ685" t="str">
        <f>""</f>
        <v/>
      </c>
      <c r="CK685" t="str">
        <f>""</f>
        <v/>
      </c>
      <c r="CL685" t="str">
        <f>""</f>
        <v/>
      </c>
      <c r="CM685" t="str">
        <f>""</f>
        <v/>
      </c>
      <c r="CN685" t="str">
        <f>""</f>
        <v/>
      </c>
      <c r="CO685" t="str">
        <f>""</f>
        <v/>
      </c>
      <c r="CP685" t="str">
        <f>""</f>
        <v/>
      </c>
      <c r="CQ685" t="str">
        <f>""</f>
        <v/>
      </c>
      <c r="CR685" t="str">
        <f>""</f>
        <v/>
      </c>
      <c r="CS685" t="str">
        <f>""</f>
        <v/>
      </c>
      <c r="CT685" t="str">
        <f>""</f>
        <v/>
      </c>
      <c r="CU685" t="str">
        <f>""</f>
        <v/>
      </c>
      <c r="CV685" t="str">
        <f>""</f>
        <v/>
      </c>
      <c r="CW685" t="str">
        <f>""</f>
        <v/>
      </c>
      <c r="CX685" t="str">
        <f>""</f>
        <v/>
      </c>
      <c r="CY685" t="str">
        <f>""</f>
        <v/>
      </c>
      <c r="CZ685" t="str">
        <f>""</f>
        <v/>
      </c>
      <c r="DA685" t="str">
        <f>""</f>
        <v/>
      </c>
      <c r="DB685" t="str">
        <f>""</f>
        <v/>
      </c>
      <c r="DC685" t="str">
        <f>""</f>
        <v/>
      </c>
      <c r="DD685" t="str">
        <f>""</f>
        <v/>
      </c>
      <c r="DE685" t="str">
        <f>""</f>
        <v/>
      </c>
      <c r="DF685" t="str">
        <f>""</f>
        <v/>
      </c>
      <c r="DG685" t="str">
        <f>""</f>
        <v/>
      </c>
      <c r="DH685" t="str">
        <f>""</f>
        <v/>
      </c>
      <c r="DI685" t="str">
        <f>""</f>
        <v/>
      </c>
      <c r="DJ685" t="str">
        <f>""</f>
        <v/>
      </c>
      <c r="DK685" t="str">
        <f>""</f>
        <v/>
      </c>
      <c r="DL685" t="str">
        <f>""</f>
        <v/>
      </c>
      <c r="DM685" t="str">
        <f>""</f>
        <v/>
      </c>
      <c r="DN685" t="str">
        <f>""</f>
        <v/>
      </c>
      <c r="DO685" t="str">
        <f>""</f>
        <v/>
      </c>
      <c r="DP685" t="str">
        <f>""</f>
        <v/>
      </c>
      <c r="DQ685" t="str">
        <f>""</f>
        <v/>
      </c>
      <c r="DR685" t="str">
        <f>""</f>
        <v/>
      </c>
      <c r="DS685" t="str">
        <f>""</f>
        <v/>
      </c>
      <c r="DT685" t="str">
        <f>""</f>
        <v/>
      </c>
      <c r="DU685" t="str">
        <f>""</f>
        <v/>
      </c>
    </row>
    <row r="686" spans="1:125">
      <c r="A686" t="str">
        <f>$A$239</f>
        <v xml:space="preserve">    Simon Property Group Inc</v>
      </c>
      <c r="B686" t="str">
        <f>$B$239</f>
        <v>SPG US Equity</v>
      </c>
      <c r="C686" t="str">
        <f>$C$239</f>
        <v>RR553</v>
      </c>
      <c r="D686" t="str">
        <f>$D$239</f>
        <v>EBITDA_RE_ASSET</v>
      </c>
      <c r="E686" t="str">
        <f>$E$239</f>
        <v>动态</v>
      </c>
      <c r="F686" t="str">
        <f ca="1">BDH($B$239,$C$239,$B$417,$B$418,CONCATENATE("Per=",$B$415),"Dts=H","Dir=H",CONCATENATE("Points=",$B$416),"Sort=R","Days=A","Fill=B",CONCATENATE("FX=", $B$414) )</f>
        <v>#N/A Authorization</v>
      </c>
      <c r="BN686" t="str">
        <f>""</f>
        <v/>
      </c>
      <c r="BO686" t="str">
        <f>""</f>
        <v/>
      </c>
      <c r="BP686" t="str">
        <f>""</f>
        <v/>
      </c>
      <c r="BQ686" t="str">
        <f>""</f>
        <v/>
      </c>
      <c r="BR686" t="str">
        <f>""</f>
        <v/>
      </c>
      <c r="BS686" t="str">
        <f>""</f>
        <v/>
      </c>
      <c r="BT686" t="str">
        <f>""</f>
        <v/>
      </c>
      <c r="BU686" t="str">
        <f>""</f>
        <v/>
      </c>
      <c r="BV686" t="str">
        <f>""</f>
        <v/>
      </c>
      <c r="BW686" t="str">
        <f>""</f>
        <v/>
      </c>
      <c r="BX686" t="str">
        <f>""</f>
        <v/>
      </c>
      <c r="BY686" t="str">
        <f>""</f>
        <v/>
      </c>
      <c r="BZ686" t="str">
        <f>""</f>
        <v/>
      </c>
      <c r="CA686" t="str">
        <f>""</f>
        <v/>
      </c>
      <c r="CB686" t="str">
        <f>""</f>
        <v/>
      </c>
      <c r="CC686" t="str">
        <f>""</f>
        <v/>
      </c>
      <c r="CD686" t="str">
        <f>""</f>
        <v/>
      </c>
      <c r="CE686" t="str">
        <f>""</f>
        <v/>
      </c>
      <c r="CF686" t="str">
        <f>""</f>
        <v/>
      </c>
      <c r="CG686" t="str">
        <f>""</f>
        <v/>
      </c>
      <c r="CH686" t="str">
        <f>""</f>
        <v/>
      </c>
      <c r="CI686" t="str">
        <f>""</f>
        <v/>
      </c>
      <c r="CJ686" t="str">
        <f>""</f>
        <v/>
      </c>
      <c r="CK686" t="str">
        <f>""</f>
        <v/>
      </c>
      <c r="CL686" t="str">
        <f>""</f>
        <v/>
      </c>
      <c r="CM686" t="str">
        <f>""</f>
        <v/>
      </c>
      <c r="CN686" t="str">
        <f>""</f>
        <v/>
      </c>
      <c r="CO686" t="str">
        <f>""</f>
        <v/>
      </c>
      <c r="CP686" t="str">
        <f>""</f>
        <v/>
      </c>
      <c r="CQ686" t="str">
        <f>""</f>
        <v/>
      </c>
      <c r="CR686" t="str">
        <f>""</f>
        <v/>
      </c>
      <c r="CS686" t="str">
        <f>""</f>
        <v/>
      </c>
      <c r="CT686" t="str">
        <f>""</f>
        <v/>
      </c>
      <c r="CU686" t="str">
        <f>""</f>
        <v/>
      </c>
      <c r="CV686" t="str">
        <f>""</f>
        <v/>
      </c>
      <c r="CW686" t="str">
        <f>""</f>
        <v/>
      </c>
      <c r="CX686" t="str">
        <f>""</f>
        <v/>
      </c>
      <c r="CY686" t="str">
        <f>""</f>
        <v/>
      </c>
      <c r="CZ686" t="str">
        <f>""</f>
        <v/>
      </c>
      <c r="DA686" t="str">
        <f>""</f>
        <v/>
      </c>
      <c r="DB686" t="str">
        <f>""</f>
        <v/>
      </c>
      <c r="DC686" t="str">
        <f>""</f>
        <v/>
      </c>
      <c r="DD686" t="str">
        <f>""</f>
        <v/>
      </c>
      <c r="DE686" t="str">
        <f>""</f>
        <v/>
      </c>
      <c r="DF686" t="str">
        <f>""</f>
        <v/>
      </c>
      <c r="DG686" t="str">
        <f>""</f>
        <v/>
      </c>
      <c r="DH686" t="str">
        <f>""</f>
        <v/>
      </c>
      <c r="DI686" t="str">
        <f>""</f>
        <v/>
      </c>
      <c r="DJ686" t="str">
        <f>""</f>
        <v/>
      </c>
      <c r="DK686" t="str">
        <f>""</f>
        <v/>
      </c>
      <c r="DL686" t="str">
        <f>""</f>
        <v/>
      </c>
      <c r="DM686" t="str">
        <f>""</f>
        <v/>
      </c>
      <c r="DN686" t="str">
        <f>""</f>
        <v/>
      </c>
      <c r="DO686" t="str">
        <f>""</f>
        <v/>
      </c>
      <c r="DP686" t="str">
        <f>""</f>
        <v/>
      </c>
      <c r="DQ686" t="str">
        <f>""</f>
        <v/>
      </c>
      <c r="DR686" t="str">
        <f>""</f>
        <v/>
      </c>
      <c r="DS686" t="str">
        <f>""</f>
        <v/>
      </c>
      <c r="DT686" t="str">
        <f>""</f>
        <v/>
      </c>
      <c r="DU686" t="str">
        <f>""</f>
        <v/>
      </c>
    </row>
    <row r="687" spans="1:125">
      <c r="A687" t="str">
        <f>$A$240</f>
        <v xml:space="preserve">    Tanger Factory Outlet Centers</v>
      </c>
      <c r="B687" t="str">
        <f>$B$240</f>
        <v>SKT US Equity</v>
      </c>
      <c r="C687" t="str">
        <f>$C$240</f>
        <v>RR553</v>
      </c>
      <c r="D687" t="str">
        <f>$D$240</f>
        <v>EBITDA_RE_ASSET</v>
      </c>
      <c r="E687" t="str">
        <f>$E$240</f>
        <v>动态</v>
      </c>
      <c r="F687" t="str">
        <f ca="1">BDH($B$240,$C$240,$B$417,$B$418,CONCATENATE("Per=",$B$415),"Dts=H","Dir=H",CONCATENATE("Points=",$B$416),"Sort=R","Days=A","Fill=B",CONCATENATE("FX=", $B$414) )</f>
        <v>#N/A Authorization</v>
      </c>
      <c r="BN687" t="str">
        <f>""</f>
        <v/>
      </c>
      <c r="BO687" t="str">
        <f>""</f>
        <v/>
      </c>
      <c r="BP687" t="str">
        <f>""</f>
        <v/>
      </c>
      <c r="BQ687" t="str">
        <f>""</f>
        <v/>
      </c>
      <c r="BR687" t="str">
        <f>""</f>
        <v/>
      </c>
      <c r="BS687" t="str">
        <f>""</f>
        <v/>
      </c>
      <c r="BT687" t="str">
        <f>""</f>
        <v/>
      </c>
      <c r="BU687" t="str">
        <f>""</f>
        <v/>
      </c>
      <c r="BV687" t="str">
        <f>""</f>
        <v/>
      </c>
      <c r="BW687" t="str">
        <f>""</f>
        <v/>
      </c>
      <c r="BX687" t="str">
        <f>""</f>
        <v/>
      </c>
      <c r="BY687" t="str">
        <f>""</f>
        <v/>
      </c>
      <c r="BZ687" t="str">
        <f>""</f>
        <v/>
      </c>
      <c r="CA687" t="str">
        <f>""</f>
        <v/>
      </c>
      <c r="CB687" t="str">
        <f>""</f>
        <v/>
      </c>
      <c r="CC687" t="str">
        <f>""</f>
        <v/>
      </c>
      <c r="CD687" t="str">
        <f>""</f>
        <v/>
      </c>
      <c r="CE687" t="str">
        <f>""</f>
        <v/>
      </c>
      <c r="CF687" t="str">
        <f>""</f>
        <v/>
      </c>
      <c r="CG687" t="str">
        <f>""</f>
        <v/>
      </c>
      <c r="CH687" t="str">
        <f>""</f>
        <v/>
      </c>
      <c r="CI687" t="str">
        <f>""</f>
        <v/>
      </c>
      <c r="CJ687" t="str">
        <f>""</f>
        <v/>
      </c>
      <c r="CK687" t="str">
        <f>""</f>
        <v/>
      </c>
      <c r="CL687" t="str">
        <f>""</f>
        <v/>
      </c>
      <c r="CM687" t="str">
        <f>""</f>
        <v/>
      </c>
      <c r="CN687" t="str">
        <f>""</f>
        <v/>
      </c>
      <c r="CO687" t="str">
        <f>""</f>
        <v/>
      </c>
      <c r="CP687" t="str">
        <f>""</f>
        <v/>
      </c>
      <c r="CQ687" t="str">
        <f>""</f>
        <v/>
      </c>
      <c r="CR687" t="str">
        <f>""</f>
        <v/>
      </c>
      <c r="CS687" t="str">
        <f>""</f>
        <v/>
      </c>
      <c r="CT687" t="str">
        <f>""</f>
        <v/>
      </c>
      <c r="CU687" t="str">
        <f>""</f>
        <v/>
      </c>
      <c r="CV687" t="str">
        <f>""</f>
        <v/>
      </c>
      <c r="CW687" t="str">
        <f>""</f>
        <v/>
      </c>
      <c r="CX687" t="str">
        <f>""</f>
        <v/>
      </c>
      <c r="CY687" t="str">
        <f>""</f>
        <v/>
      </c>
      <c r="CZ687" t="str">
        <f>""</f>
        <v/>
      </c>
      <c r="DA687" t="str">
        <f>""</f>
        <v/>
      </c>
      <c r="DB687" t="str">
        <f>""</f>
        <v/>
      </c>
      <c r="DC687" t="str">
        <f>""</f>
        <v/>
      </c>
      <c r="DD687" t="str">
        <f>""</f>
        <v/>
      </c>
      <c r="DE687" t="str">
        <f>""</f>
        <v/>
      </c>
      <c r="DF687" t="str">
        <f>""</f>
        <v/>
      </c>
      <c r="DG687" t="str">
        <f>""</f>
        <v/>
      </c>
      <c r="DH687" t="str">
        <f>""</f>
        <v/>
      </c>
      <c r="DI687" t="str">
        <f>""</f>
        <v/>
      </c>
      <c r="DJ687" t="str">
        <f>""</f>
        <v/>
      </c>
      <c r="DK687" t="str">
        <f>""</f>
        <v/>
      </c>
      <c r="DL687" t="str">
        <f>""</f>
        <v/>
      </c>
      <c r="DM687" t="str">
        <f>""</f>
        <v/>
      </c>
      <c r="DN687" t="str">
        <f>""</f>
        <v/>
      </c>
      <c r="DO687" t="str">
        <f>""</f>
        <v/>
      </c>
      <c r="DP687" t="str">
        <f>""</f>
        <v/>
      </c>
      <c r="DQ687" t="str">
        <f>""</f>
        <v/>
      </c>
      <c r="DR687" t="str">
        <f>""</f>
        <v/>
      </c>
      <c r="DS687" t="str">
        <f>""</f>
        <v/>
      </c>
      <c r="DT687" t="str">
        <f>""</f>
        <v/>
      </c>
      <c r="DU687" t="str">
        <f>""</f>
        <v/>
      </c>
    </row>
    <row r="688" spans="1:125">
      <c r="A688" t="str">
        <f>$A$241</f>
        <v xml:space="preserve">    VEREIT Inc</v>
      </c>
      <c r="B688" t="str">
        <f>$B$241</f>
        <v>VER US Equity</v>
      </c>
      <c r="C688" t="str">
        <f>$C$241</f>
        <v>RR553</v>
      </c>
      <c r="D688" t="str">
        <f>$D$241</f>
        <v>EBITDA_RE_ASSET</v>
      </c>
      <c r="E688" t="str">
        <f>$E$241</f>
        <v>动态</v>
      </c>
      <c r="F688" t="str">
        <f ca="1">BDH($B$241,$C$241,$B$417,$B$418,CONCATENATE("Per=",$B$415),"Dts=H","Dir=H",CONCATENATE("Points=",$B$416),"Sort=R","Days=A","Fill=B",CONCATENATE("FX=", $B$414) )</f>
        <v>#N/A Authorization</v>
      </c>
      <c r="BN688" t="str">
        <f>""</f>
        <v/>
      </c>
      <c r="BO688" t="str">
        <f>""</f>
        <v/>
      </c>
      <c r="BP688" t="str">
        <f>""</f>
        <v/>
      </c>
      <c r="BQ688" t="str">
        <f>""</f>
        <v/>
      </c>
      <c r="BR688" t="str">
        <f>""</f>
        <v/>
      </c>
      <c r="BS688" t="str">
        <f>""</f>
        <v/>
      </c>
      <c r="BT688" t="str">
        <f>""</f>
        <v/>
      </c>
      <c r="BU688" t="str">
        <f>""</f>
        <v/>
      </c>
      <c r="BV688" t="str">
        <f>""</f>
        <v/>
      </c>
      <c r="BW688" t="str">
        <f>""</f>
        <v/>
      </c>
      <c r="BX688" t="str">
        <f>""</f>
        <v/>
      </c>
      <c r="BY688" t="str">
        <f>""</f>
        <v/>
      </c>
      <c r="BZ688" t="str">
        <f>""</f>
        <v/>
      </c>
      <c r="CA688" t="str">
        <f>""</f>
        <v/>
      </c>
      <c r="CB688" t="str">
        <f>""</f>
        <v/>
      </c>
      <c r="CC688" t="str">
        <f>""</f>
        <v/>
      </c>
      <c r="CD688" t="str">
        <f>""</f>
        <v/>
      </c>
      <c r="CE688" t="str">
        <f>""</f>
        <v/>
      </c>
      <c r="CF688" t="str">
        <f>""</f>
        <v/>
      </c>
      <c r="CG688" t="str">
        <f>""</f>
        <v/>
      </c>
      <c r="CH688" t="str">
        <f>""</f>
        <v/>
      </c>
      <c r="CI688" t="str">
        <f>""</f>
        <v/>
      </c>
      <c r="CJ688" t="str">
        <f>""</f>
        <v/>
      </c>
      <c r="CK688" t="str">
        <f>""</f>
        <v/>
      </c>
      <c r="CL688" t="str">
        <f>""</f>
        <v/>
      </c>
      <c r="CM688" t="str">
        <f>""</f>
        <v/>
      </c>
      <c r="CN688" t="str">
        <f>""</f>
        <v/>
      </c>
      <c r="CO688" t="str">
        <f>""</f>
        <v/>
      </c>
      <c r="CP688" t="str">
        <f>""</f>
        <v/>
      </c>
      <c r="CQ688" t="str">
        <f>""</f>
        <v/>
      </c>
      <c r="CR688" t="str">
        <f>""</f>
        <v/>
      </c>
      <c r="CS688" t="str">
        <f>""</f>
        <v/>
      </c>
      <c r="CT688" t="str">
        <f>""</f>
        <v/>
      </c>
      <c r="CU688" t="str">
        <f>""</f>
        <v/>
      </c>
      <c r="CV688" t="str">
        <f>""</f>
        <v/>
      </c>
      <c r="CW688" t="str">
        <f>""</f>
        <v/>
      </c>
      <c r="CX688" t="str">
        <f>""</f>
        <v/>
      </c>
      <c r="CY688" t="str">
        <f>""</f>
        <v/>
      </c>
      <c r="CZ688" t="str">
        <f>""</f>
        <v/>
      </c>
      <c r="DA688" t="str">
        <f>""</f>
        <v/>
      </c>
      <c r="DB688" t="str">
        <f>""</f>
        <v/>
      </c>
      <c r="DC688" t="str">
        <f>""</f>
        <v/>
      </c>
      <c r="DD688" t="str">
        <f>""</f>
        <v/>
      </c>
      <c r="DE688" t="str">
        <f>""</f>
        <v/>
      </c>
      <c r="DF688" t="str">
        <f>""</f>
        <v/>
      </c>
      <c r="DG688" t="str">
        <f>""</f>
        <v/>
      </c>
      <c r="DH688" t="str">
        <f>""</f>
        <v/>
      </c>
      <c r="DI688" t="str">
        <f>""</f>
        <v/>
      </c>
      <c r="DJ688" t="str">
        <f>""</f>
        <v/>
      </c>
      <c r="DK688" t="str">
        <f>""</f>
        <v/>
      </c>
      <c r="DL688" t="str">
        <f>""</f>
        <v/>
      </c>
      <c r="DM688" t="str">
        <f>""</f>
        <v/>
      </c>
      <c r="DN688" t="str">
        <f>""</f>
        <v/>
      </c>
      <c r="DO688" t="str">
        <f>""</f>
        <v/>
      </c>
      <c r="DP688" t="str">
        <f>""</f>
        <v/>
      </c>
      <c r="DQ688" t="str">
        <f>""</f>
        <v/>
      </c>
      <c r="DR688" t="str">
        <f>""</f>
        <v/>
      </c>
      <c r="DS688" t="str">
        <f>""</f>
        <v/>
      </c>
      <c r="DT688" t="str">
        <f>""</f>
        <v/>
      </c>
      <c r="DU688" t="str">
        <f>""</f>
        <v/>
      </c>
    </row>
    <row r="689" spans="1:125">
      <c r="A689" t="str">
        <f>$A$242</f>
        <v xml:space="preserve">    Washington Prime Group Inc</v>
      </c>
      <c r="B689" t="str">
        <f>$B$242</f>
        <v>WPG US Equity</v>
      </c>
      <c r="C689" t="str">
        <f>$C$242</f>
        <v>RR553</v>
      </c>
      <c r="D689" t="str">
        <f>$D$242</f>
        <v>EBITDA_RE_ASSET</v>
      </c>
      <c r="E689" t="str">
        <f>$E$242</f>
        <v>动态</v>
      </c>
      <c r="F689" t="str">
        <f ca="1">BDH($B$242,$C$242,$B$417,$B$418,CONCATENATE("Per=",$B$415),"Dts=H","Dir=H",CONCATENATE("Points=",$B$416),"Sort=R","Days=A","Fill=B",CONCATENATE("FX=", $B$414) )</f>
        <v>#N/A Authorization</v>
      </c>
      <c r="BN689" t="str">
        <f>""</f>
        <v/>
      </c>
      <c r="BO689" t="str">
        <f>""</f>
        <v/>
      </c>
      <c r="BP689" t="str">
        <f>""</f>
        <v/>
      </c>
      <c r="BQ689" t="str">
        <f>""</f>
        <v/>
      </c>
      <c r="BR689" t="str">
        <f>""</f>
        <v/>
      </c>
      <c r="BS689" t="str">
        <f>""</f>
        <v/>
      </c>
      <c r="BT689" t="str">
        <f>""</f>
        <v/>
      </c>
      <c r="BU689" t="str">
        <f>""</f>
        <v/>
      </c>
      <c r="BV689" t="str">
        <f>""</f>
        <v/>
      </c>
      <c r="BW689" t="str">
        <f>""</f>
        <v/>
      </c>
      <c r="BX689" t="str">
        <f>""</f>
        <v/>
      </c>
      <c r="BY689" t="str">
        <f>""</f>
        <v/>
      </c>
      <c r="BZ689" t="str">
        <f>""</f>
        <v/>
      </c>
      <c r="CA689" t="str">
        <f>""</f>
        <v/>
      </c>
      <c r="CB689" t="str">
        <f>""</f>
        <v/>
      </c>
      <c r="CC689" t="str">
        <f>""</f>
        <v/>
      </c>
      <c r="CD689" t="str">
        <f>""</f>
        <v/>
      </c>
      <c r="CE689" t="str">
        <f>""</f>
        <v/>
      </c>
      <c r="CF689" t="str">
        <f>""</f>
        <v/>
      </c>
      <c r="CG689" t="str">
        <f>""</f>
        <v/>
      </c>
      <c r="CH689" t="str">
        <f>""</f>
        <v/>
      </c>
      <c r="CI689" t="str">
        <f>""</f>
        <v/>
      </c>
      <c r="CJ689" t="str">
        <f>""</f>
        <v/>
      </c>
      <c r="CK689" t="str">
        <f>""</f>
        <v/>
      </c>
      <c r="CL689" t="str">
        <f>""</f>
        <v/>
      </c>
      <c r="CM689" t="str">
        <f>""</f>
        <v/>
      </c>
      <c r="CN689" t="str">
        <f>""</f>
        <v/>
      </c>
      <c r="CO689" t="str">
        <f>""</f>
        <v/>
      </c>
      <c r="CP689" t="str">
        <f>""</f>
        <v/>
      </c>
      <c r="CQ689" t="str">
        <f>""</f>
        <v/>
      </c>
      <c r="CR689" t="str">
        <f>""</f>
        <v/>
      </c>
      <c r="CS689" t="str">
        <f>""</f>
        <v/>
      </c>
      <c r="CT689" t="str">
        <f>""</f>
        <v/>
      </c>
      <c r="CU689" t="str">
        <f>""</f>
        <v/>
      </c>
      <c r="CV689" t="str">
        <f>""</f>
        <v/>
      </c>
      <c r="CW689" t="str">
        <f>""</f>
        <v/>
      </c>
      <c r="CX689" t="str">
        <f>""</f>
        <v/>
      </c>
      <c r="CY689" t="str">
        <f>""</f>
        <v/>
      </c>
      <c r="CZ689" t="str">
        <f>""</f>
        <v/>
      </c>
      <c r="DA689" t="str">
        <f>""</f>
        <v/>
      </c>
      <c r="DB689" t="str">
        <f>""</f>
        <v/>
      </c>
      <c r="DC689" t="str">
        <f>""</f>
        <v/>
      </c>
      <c r="DD689" t="str">
        <f>""</f>
        <v/>
      </c>
      <c r="DE689" t="str">
        <f>""</f>
        <v/>
      </c>
      <c r="DF689" t="str">
        <f>""</f>
        <v/>
      </c>
      <c r="DG689" t="str">
        <f>""</f>
        <v/>
      </c>
      <c r="DH689" t="str">
        <f>""</f>
        <v/>
      </c>
      <c r="DI689" t="str">
        <f>""</f>
        <v/>
      </c>
      <c r="DJ689" t="str">
        <f>""</f>
        <v/>
      </c>
      <c r="DK689" t="str">
        <f>""</f>
        <v/>
      </c>
      <c r="DL689" t="str">
        <f>""</f>
        <v/>
      </c>
      <c r="DM689" t="str">
        <f>""</f>
        <v/>
      </c>
      <c r="DN689" t="str">
        <f>""</f>
        <v/>
      </c>
      <c r="DO689" t="str">
        <f>""</f>
        <v/>
      </c>
      <c r="DP689" t="str">
        <f>""</f>
        <v/>
      </c>
      <c r="DQ689" t="str">
        <f>""</f>
        <v/>
      </c>
      <c r="DR689" t="str">
        <f>""</f>
        <v/>
      </c>
      <c r="DS689" t="str">
        <f>""</f>
        <v/>
      </c>
      <c r="DT689" t="str">
        <f>""</f>
        <v/>
      </c>
      <c r="DU689" t="str">
        <f>""</f>
        <v/>
      </c>
    </row>
    <row r="690" spans="1:125">
      <c r="A690" t="str">
        <f>$A$243</f>
        <v xml:space="preserve">    Weingarten Realty Investors</v>
      </c>
      <c r="B690" t="str">
        <f>$B$243</f>
        <v>WRI US Equity</v>
      </c>
      <c r="C690" t="str">
        <f>$C$243</f>
        <v>RR553</v>
      </c>
      <c r="D690" t="str">
        <f>$D$243</f>
        <v>EBITDA_RE_ASSET</v>
      </c>
      <c r="E690" t="str">
        <f>$E$243</f>
        <v>动态</v>
      </c>
      <c r="F690" t="str">
        <f ca="1">BDH($B$243,$C$243,$B$417,$B$418,CONCATENATE("Per=",$B$415),"Dts=H","Dir=H",CONCATENATE("Points=",$B$416),"Sort=R","Days=A","Fill=B",CONCATENATE("FX=", $B$414) )</f>
        <v>#N/A Authorization</v>
      </c>
      <c r="BN690" t="str">
        <f>""</f>
        <v/>
      </c>
      <c r="BO690" t="str">
        <f>""</f>
        <v/>
      </c>
      <c r="BP690" t="str">
        <f>""</f>
        <v/>
      </c>
      <c r="BQ690" t="str">
        <f>""</f>
        <v/>
      </c>
      <c r="BR690" t="str">
        <f>""</f>
        <v/>
      </c>
      <c r="BS690" t="str">
        <f>""</f>
        <v/>
      </c>
      <c r="BT690" t="str">
        <f>""</f>
        <v/>
      </c>
      <c r="BU690" t="str">
        <f>""</f>
        <v/>
      </c>
      <c r="BV690" t="str">
        <f>""</f>
        <v/>
      </c>
      <c r="BW690" t="str">
        <f>""</f>
        <v/>
      </c>
      <c r="BX690" t="str">
        <f>""</f>
        <v/>
      </c>
      <c r="BY690" t="str">
        <f>""</f>
        <v/>
      </c>
      <c r="BZ690" t="str">
        <f>""</f>
        <v/>
      </c>
      <c r="CA690" t="str">
        <f>""</f>
        <v/>
      </c>
      <c r="CB690" t="str">
        <f>""</f>
        <v/>
      </c>
      <c r="CC690" t="str">
        <f>""</f>
        <v/>
      </c>
      <c r="CD690" t="str">
        <f>""</f>
        <v/>
      </c>
      <c r="CE690" t="str">
        <f>""</f>
        <v/>
      </c>
      <c r="CF690" t="str">
        <f>""</f>
        <v/>
      </c>
      <c r="CG690" t="str">
        <f>""</f>
        <v/>
      </c>
      <c r="CH690" t="str">
        <f>""</f>
        <v/>
      </c>
      <c r="CI690" t="str">
        <f>""</f>
        <v/>
      </c>
      <c r="CJ690" t="str">
        <f>""</f>
        <v/>
      </c>
      <c r="CK690" t="str">
        <f>""</f>
        <v/>
      </c>
      <c r="CL690" t="str">
        <f>""</f>
        <v/>
      </c>
      <c r="CM690" t="str">
        <f>""</f>
        <v/>
      </c>
      <c r="CN690" t="str">
        <f>""</f>
        <v/>
      </c>
      <c r="CO690" t="str">
        <f>""</f>
        <v/>
      </c>
      <c r="CP690" t="str">
        <f>""</f>
        <v/>
      </c>
      <c r="CQ690" t="str">
        <f>""</f>
        <v/>
      </c>
      <c r="CR690" t="str">
        <f>""</f>
        <v/>
      </c>
      <c r="CS690" t="str">
        <f>""</f>
        <v/>
      </c>
      <c r="CT690" t="str">
        <f>""</f>
        <v/>
      </c>
      <c r="CU690" t="str">
        <f>""</f>
        <v/>
      </c>
      <c r="CV690" t="str">
        <f>""</f>
        <v/>
      </c>
      <c r="CW690" t="str">
        <f>""</f>
        <v/>
      </c>
      <c r="CX690" t="str">
        <f>""</f>
        <v/>
      </c>
      <c r="CY690" t="str">
        <f>""</f>
        <v/>
      </c>
      <c r="CZ690" t="str">
        <f>""</f>
        <v/>
      </c>
      <c r="DA690" t="str">
        <f>""</f>
        <v/>
      </c>
      <c r="DB690" t="str">
        <f>""</f>
        <v/>
      </c>
      <c r="DC690" t="str">
        <f>""</f>
        <v/>
      </c>
      <c r="DD690" t="str">
        <f>""</f>
        <v/>
      </c>
      <c r="DE690" t="str">
        <f>""</f>
        <v/>
      </c>
      <c r="DF690" t="str">
        <f>""</f>
        <v/>
      </c>
      <c r="DG690" t="str">
        <f>""</f>
        <v/>
      </c>
      <c r="DH690" t="str">
        <f>""</f>
        <v/>
      </c>
      <c r="DI690" t="str">
        <f>""</f>
        <v/>
      </c>
      <c r="DJ690" t="str">
        <f>""</f>
        <v/>
      </c>
      <c r="DK690" t="str">
        <f>""</f>
        <v/>
      </c>
      <c r="DL690" t="str">
        <f>""</f>
        <v/>
      </c>
      <c r="DM690" t="str">
        <f>""</f>
        <v/>
      </c>
      <c r="DN690" t="str">
        <f>""</f>
        <v/>
      </c>
      <c r="DO690" t="str">
        <f>""</f>
        <v/>
      </c>
      <c r="DP690" t="str">
        <f>""</f>
        <v/>
      </c>
      <c r="DQ690" t="str">
        <f>""</f>
        <v/>
      </c>
      <c r="DR690" t="str">
        <f>""</f>
        <v/>
      </c>
      <c r="DS690" t="str">
        <f>""</f>
        <v/>
      </c>
      <c r="DT690" t="str">
        <f>""</f>
        <v/>
      </c>
      <c r="DU690" t="str">
        <f>""</f>
        <v/>
      </c>
    </row>
    <row r="691" spans="1:125">
      <c r="A691" t="str">
        <f>$A$245</f>
        <v xml:space="preserve">    Brixmor Property Group Inc</v>
      </c>
      <c r="B691" t="str">
        <f>$B$245</f>
        <v>BRX US Equity</v>
      </c>
      <c r="C691" t="str">
        <f>$C$245</f>
        <v>RR554</v>
      </c>
      <c r="D691" t="str">
        <f>$D$245</f>
        <v>FFO_RE_ASSET</v>
      </c>
      <c r="E691" t="str">
        <f>$E$245</f>
        <v>动态</v>
      </c>
      <c r="F691" t="str">
        <f ca="1">BDH($B$245,$C$245,$B$417,$B$418,CONCATENATE("Per=",$B$415),"Dts=H","Dir=H",CONCATENATE("Points=",$B$416),"Sort=R","Days=A","Fill=B",CONCATENATE("FX=", $B$414) )</f>
        <v>#N/A Authorization</v>
      </c>
      <c r="BN691" t="str">
        <f>""</f>
        <v/>
      </c>
      <c r="BO691" t="str">
        <f>""</f>
        <v/>
      </c>
      <c r="BP691" t="str">
        <f>""</f>
        <v/>
      </c>
      <c r="BQ691" t="str">
        <f>""</f>
        <v/>
      </c>
      <c r="BR691" t="str">
        <f>""</f>
        <v/>
      </c>
      <c r="BS691" t="str">
        <f>""</f>
        <v/>
      </c>
      <c r="BT691" t="str">
        <f>""</f>
        <v/>
      </c>
      <c r="BU691" t="str">
        <f>""</f>
        <v/>
      </c>
      <c r="BV691" t="str">
        <f>""</f>
        <v/>
      </c>
      <c r="BW691" t="str">
        <f>""</f>
        <v/>
      </c>
      <c r="BX691" t="str">
        <f>""</f>
        <v/>
      </c>
      <c r="BY691" t="str">
        <f>""</f>
        <v/>
      </c>
      <c r="BZ691" t="str">
        <f>""</f>
        <v/>
      </c>
      <c r="CA691" t="str">
        <f>""</f>
        <v/>
      </c>
      <c r="CB691" t="str">
        <f>""</f>
        <v/>
      </c>
      <c r="CC691" t="str">
        <f>""</f>
        <v/>
      </c>
      <c r="CD691" t="str">
        <f>""</f>
        <v/>
      </c>
      <c r="CE691" t="str">
        <f>""</f>
        <v/>
      </c>
      <c r="CF691" t="str">
        <f>""</f>
        <v/>
      </c>
      <c r="CG691" t="str">
        <f>""</f>
        <v/>
      </c>
      <c r="CH691" t="str">
        <f>""</f>
        <v/>
      </c>
      <c r="CI691" t="str">
        <f>""</f>
        <v/>
      </c>
      <c r="CJ691" t="str">
        <f>""</f>
        <v/>
      </c>
      <c r="CK691" t="str">
        <f>""</f>
        <v/>
      </c>
      <c r="CL691" t="str">
        <f>""</f>
        <v/>
      </c>
      <c r="CM691" t="str">
        <f>""</f>
        <v/>
      </c>
      <c r="CN691" t="str">
        <f>""</f>
        <v/>
      </c>
      <c r="CO691" t="str">
        <f>""</f>
        <v/>
      </c>
      <c r="CP691" t="str">
        <f>""</f>
        <v/>
      </c>
      <c r="CQ691" t="str">
        <f>""</f>
        <v/>
      </c>
      <c r="CR691" t="str">
        <f>""</f>
        <v/>
      </c>
      <c r="CS691" t="str">
        <f>""</f>
        <v/>
      </c>
      <c r="CT691" t="str">
        <f>""</f>
        <v/>
      </c>
      <c r="CU691" t="str">
        <f>""</f>
        <v/>
      </c>
      <c r="CV691" t="str">
        <f>""</f>
        <v/>
      </c>
      <c r="CW691" t="str">
        <f>""</f>
        <v/>
      </c>
      <c r="CX691" t="str">
        <f>""</f>
        <v/>
      </c>
      <c r="CY691" t="str">
        <f>""</f>
        <v/>
      </c>
      <c r="CZ691" t="str">
        <f>""</f>
        <v/>
      </c>
      <c r="DA691" t="str">
        <f>""</f>
        <v/>
      </c>
      <c r="DB691" t="str">
        <f>""</f>
        <v/>
      </c>
      <c r="DC691" t="str">
        <f>""</f>
        <v/>
      </c>
      <c r="DD691" t="str">
        <f>""</f>
        <v/>
      </c>
      <c r="DE691" t="str">
        <f>""</f>
        <v/>
      </c>
      <c r="DF691" t="str">
        <f>""</f>
        <v/>
      </c>
      <c r="DG691" t="str">
        <f>""</f>
        <v/>
      </c>
      <c r="DH691" t="str">
        <f>""</f>
        <v/>
      </c>
      <c r="DI691" t="str">
        <f>""</f>
        <v/>
      </c>
      <c r="DJ691" t="str">
        <f>""</f>
        <v/>
      </c>
      <c r="DK691" t="str">
        <f>""</f>
        <v/>
      </c>
      <c r="DL691" t="str">
        <f>""</f>
        <v/>
      </c>
      <c r="DM691" t="str">
        <f>""</f>
        <v/>
      </c>
      <c r="DN691" t="str">
        <f>""</f>
        <v/>
      </c>
      <c r="DO691" t="str">
        <f>""</f>
        <v/>
      </c>
      <c r="DP691" t="str">
        <f>""</f>
        <v/>
      </c>
      <c r="DQ691" t="str">
        <f>""</f>
        <v/>
      </c>
      <c r="DR691" t="str">
        <f>""</f>
        <v/>
      </c>
      <c r="DS691" t="str">
        <f>""</f>
        <v/>
      </c>
      <c r="DT691" t="str">
        <f>""</f>
        <v/>
      </c>
      <c r="DU691" t="str">
        <f>""</f>
        <v/>
      </c>
    </row>
    <row r="692" spans="1:125">
      <c r="A692" t="str">
        <f>$A$246</f>
        <v xml:space="preserve">    CBL &amp; Associates Properties In</v>
      </c>
      <c r="B692" t="str">
        <f>$B$246</f>
        <v>CBL US Equity</v>
      </c>
      <c r="C692" t="str">
        <f>$C$246</f>
        <v>RR554</v>
      </c>
      <c r="D692" t="str">
        <f>$D$246</f>
        <v>FFO_RE_ASSET</v>
      </c>
      <c r="E692" t="str">
        <f>$E$246</f>
        <v>动态</v>
      </c>
      <c r="F692" t="str">
        <f ca="1">BDH($B$246,$C$246,$B$417,$B$418,CONCATENATE("Per=",$B$415),"Dts=H","Dir=H",CONCATENATE("Points=",$B$416),"Sort=R","Days=A","Fill=B",CONCATENATE("FX=", $B$414) )</f>
        <v>#N/A Authorization</v>
      </c>
      <c r="BN692" t="str">
        <f>""</f>
        <v/>
      </c>
      <c r="BO692" t="str">
        <f>""</f>
        <v/>
      </c>
      <c r="BP692" t="str">
        <f>""</f>
        <v/>
      </c>
      <c r="BQ692" t="str">
        <f>""</f>
        <v/>
      </c>
      <c r="BR692" t="str">
        <f>""</f>
        <v/>
      </c>
      <c r="BS692" t="str">
        <f>""</f>
        <v/>
      </c>
      <c r="BT692" t="str">
        <f>""</f>
        <v/>
      </c>
      <c r="BU692" t="str">
        <f>""</f>
        <v/>
      </c>
      <c r="BV692" t="str">
        <f>""</f>
        <v/>
      </c>
      <c r="BW692" t="str">
        <f>""</f>
        <v/>
      </c>
      <c r="BX692" t="str">
        <f>""</f>
        <v/>
      </c>
      <c r="BY692" t="str">
        <f>""</f>
        <v/>
      </c>
      <c r="BZ692" t="str">
        <f>""</f>
        <v/>
      </c>
      <c r="CA692" t="str">
        <f>""</f>
        <v/>
      </c>
      <c r="CB692" t="str">
        <f>""</f>
        <v/>
      </c>
      <c r="CC692" t="str">
        <f>""</f>
        <v/>
      </c>
      <c r="CD692" t="str">
        <f>""</f>
        <v/>
      </c>
      <c r="CE692" t="str">
        <f>""</f>
        <v/>
      </c>
      <c r="CF692" t="str">
        <f>""</f>
        <v/>
      </c>
      <c r="CG692" t="str">
        <f>""</f>
        <v/>
      </c>
      <c r="CH692" t="str">
        <f>""</f>
        <v/>
      </c>
      <c r="CI692" t="str">
        <f>""</f>
        <v/>
      </c>
      <c r="CJ692" t="str">
        <f>""</f>
        <v/>
      </c>
      <c r="CK692" t="str">
        <f>""</f>
        <v/>
      </c>
      <c r="CL692" t="str">
        <f>""</f>
        <v/>
      </c>
      <c r="CM692" t="str">
        <f>""</f>
        <v/>
      </c>
      <c r="CN692" t="str">
        <f>""</f>
        <v/>
      </c>
      <c r="CO692" t="str">
        <f>""</f>
        <v/>
      </c>
      <c r="CP692" t="str">
        <f>""</f>
        <v/>
      </c>
      <c r="CQ692" t="str">
        <f>""</f>
        <v/>
      </c>
      <c r="CR692" t="str">
        <f>""</f>
        <v/>
      </c>
      <c r="CS692" t="str">
        <f>""</f>
        <v/>
      </c>
      <c r="CT692" t="str">
        <f>""</f>
        <v/>
      </c>
      <c r="CU692" t="str">
        <f>""</f>
        <v/>
      </c>
      <c r="CV692" t="str">
        <f>""</f>
        <v/>
      </c>
      <c r="CW692" t="str">
        <f>""</f>
        <v/>
      </c>
      <c r="CX692" t="str">
        <f>""</f>
        <v/>
      </c>
      <c r="CY692" t="str">
        <f>""</f>
        <v/>
      </c>
      <c r="CZ692" t="str">
        <f>""</f>
        <v/>
      </c>
      <c r="DA692" t="str">
        <f>""</f>
        <v/>
      </c>
      <c r="DB692" t="str">
        <f>""</f>
        <v/>
      </c>
      <c r="DC692" t="str">
        <f>""</f>
        <v/>
      </c>
      <c r="DD692" t="str">
        <f>""</f>
        <v/>
      </c>
      <c r="DE692" t="str">
        <f>""</f>
        <v/>
      </c>
      <c r="DF692" t="str">
        <f>""</f>
        <v/>
      </c>
      <c r="DG692" t="str">
        <f>""</f>
        <v/>
      </c>
      <c r="DH692" t="str">
        <f>""</f>
        <v/>
      </c>
      <c r="DI692" t="str">
        <f>""</f>
        <v/>
      </c>
      <c r="DJ692" t="str">
        <f>""</f>
        <v/>
      </c>
      <c r="DK692" t="str">
        <f>""</f>
        <v/>
      </c>
      <c r="DL692" t="str">
        <f>""</f>
        <v/>
      </c>
      <c r="DM692" t="str">
        <f>""</f>
        <v/>
      </c>
      <c r="DN692" t="str">
        <f>""</f>
        <v/>
      </c>
      <c r="DO692" t="str">
        <f>""</f>
        <v/>
      </c>
      <c r="DP692" t="str">
        <f>""</f>
        <v/>
      </c>
      <c r="DQ692" t="str">
        <f>""</f>
        <v/>
      </c>
      <c r="DR692" t="str">
        <f>""</f>
        <v/>
      </c>
      <c r="DS692" t="str">
        <f>""</f>
        <v/>
      </c>
      <c r="DT692" t="str">
        <f>""</f>
        <v/>
      </c>
      <c r="DU692" t="str">
        <f>""</f>
        <v/>
      </c>
    </row>
    <row r="693" spans="1:125">
      <c r="A693" t="str">
        <f>$A$247</f>
        <v xml:space="preserve">    DDR Corp</v>
      </c>
      <c r="B693" t="str">
        <f>$B$247</f>
        <v>DDR US Equity</v>
      </c>
      <c r="C693" t="str">
        <f>$C$247</f>
        <v>RR554</v>
      </c>
      <c r="D693" t="str">
        <f>$D$247</f>
        <v>FFO_RE_ASSET</v>
      </c>
      <c r="E693" t="str">
        <f>$E$247</f>
        <v>动态</v>
      </c>
      <c r="F693" t="str">
        <f ca="1">BDH($B$247,$C$247,$B$417,$B$418,CONCATENATE("Per=",$B$415),"Dts=H","Dir=H",CONCATENATE("Points=",$B$416),"Sort=R","Days=A","Fill=B",CONCATENATE("FX=", $B$414) )</f>
        <v>#N/A Authorization</v>
      </c>
      <c r="BN693" t="str">
        <f>""</f>
        <v/>
      </c>
      <c r="BO693" t="str">
        <f>""</f>
        <v/>
      </c>
      <c r="BP693" t="str">
        <f>""</f>
        <v/>
      </c>
      <c r="BQ693" t="str">
        <f>""</f>
        <v/>
      </c>
      <c r="BR693" t="str">
        <f>""</f>
        <v/>
      </c>
      <c r="BS693" t="str">
        <f>""</f>
        <v/>
      </c>
      <c r="BT693" t="str">
        <f>""</f>
        <v/>
      </c>
      <c r="BU693" t="str">
        <f>""</f>
        <v/>
      </c>
      <c r="BV693" t="str">
        <f>""</f>
        <v/>
      </c>
      <c r="BW693" t="str">
        <f>""</f>
        <v/>
      </c>
      <c r="BX693" t="str">
        <f>""</f>
        <v/>
      </c>
      <c r="BY693" t="str">
        <f>""</f>
        <v/>
      </c>
      <c r="BZ693" t="str">
        <f>""</f>
        <v/>
      </c>
      <c r="CA693" t="str">
        <f>""</f>
        <v/>
      </c>
      <c r="CB693" t="str">
        <f>""</f>
        <v/>
      </c>
      <c r="CC693" t="str">
        <f>""</f>
        <v/>
      </c>
      <c r="CD693" t="str">
        <f>""</f>
        <v/>
      </c>
      <c r="CE693" t="str">
        <f>""</f>
        <v/>
      </c>
      <c r="CF693" t="str">
        <f>""</f>
        <v/>
      </c>
      <c r="CG693" t="str">
        <f>""</f>
        <v/>
      </c>
      <c r="CH693" t="str">
        <f>""</f>
        <v/>
      </c>
      <c r="CI693" t="str">
        <f>""</f>
        <v/>
      </c>
      <c r="CJ693" t="str">
        <f>""</f>
        <v/>
      </c>
      <c r="CK693" t="str">
        <f>""</f>
        <v/>
      </c>
      <c r="CL693" t="str">
        <f>""</f>
        <v/>
      </c>
      <c r="CM693" t="str">
        <f>""</f>
        <v/>
      </c>
      <c r="CN693" t="str">
        <f>""</f>
        <v/>
      </c>
      <c r="CO693" t="str">
        <f>""</f>
        <v/>
      </c>
      <c r="CP693" t="str">
        <f>""</f>
        <v/>
      </c>
      <c r="CQ693" t="str">
        <f>""</f>
        <v/>
      </c>
      <c r="CR693" t="str">
        <f>""</f>
        <v/>
      </c>
      <c r="CS693" t="str">
        <f>""</f>
        <v/>
      </c>
      <c r="CT693" t="str">
        <f>""</f>
        <v/>
      </c>
      <c r="CU693" t="str">
        <f>""</f>
        <v/>
      </c>
      <c r="CV693" t="str">
        <f>""</f>
        <v/>
      </c>
      <c r="CW693" t="str">
        <f>""</f>
        <v/>
      </c>
      <c r="CX693" t="str">
        <f>""</f>
        <v/>
      </c>
      <c r="CY693" t="str">
        <f>""</f>
        <v/>
      </c>
      <c r="CZ693" t="str">
        <f>""</f>
        <v/>
      </c>
      <c r="DA693" t="str">
        <f>""</f>
        <v/>
      </c>
      <c r="DB693" t="str">
        <f>""</f>
        <v/>
      </c>
      <c r="DC693" t="str">
        <f>""</f>
        <v/>
      </c>
      <c r="DD693" t="str">
        <f>""</f>
        <v/>
      </c>
      <c r="DE693" t="str">
        <f>""</f>
        <v/>
      </c>
      <c r="DF693" t="str">
        <f>""</f>
        <v/>
      </c>
      <c r="DG693" t="str">
        <f>""</f>
        <v/>
      </c>
      <c r="DH693" t="str">
        <f>""</f>
        <v/>
      </c>
      <c r="DI693" t="str">
        <f>""</f>
        <v/>
      </c>
      <c r="DJ693" t="str">
        <f>""</f>
        <v/>
      </c>
      <c r="DK693" t="str">
        <f>""</f>
        <v/>
      </c>
      <c r="DL693" t="str">
        <f>""</f>
        <v/>
      </c>
      <c r="DM693" t="str">
        <f>""</f>
        <v/>
      </c>
      <c r="DN693" t="str">
        <f>""</f>
        <v/>
      </c>
      <c r="DO693" t="str">
        <f>""</f>
        <v/>
      </c>
      <c r="DP693" t="str">
        <f>""</f>
        <v/>
      </c>
      <c r="DQ693" t="str">
        <f>""</f>
        <v/>
      </c>
      <c r="DR693" t="str">
        <f>""</f>
        <v/>
      </c>
      <c r="DS693" t="str">
        <f>""</f>
        <v/>
      </c>
      <c r="DT693" t="str">
        <f>""</f>
        <v/>
      </c>
      <c r="DU693" t="str">
        <f>""</f>
        <v/>
      </c>
    </row>
    <row r="694" spans="1:125">
      <c r="A694" t="str">
        <f>$A$248</f>
        <v xml:space="preserve">    Federal Realty Investment Trus</v>
      </c>
      <c r="B694" t="str">
        <f>$B$248</f>
        <v>FRT US Equity</v>
      </c>
      <c r="C694" t="str">
        <f>$C$248</f>
        <v>RR554</v>
      </c>
      <c r="D694" t="str">
        <f>$D$248</f>
        <v>FFO_RE_ASSET</v>
      </c>
      <c r="E694" t="str">
        <f>$E$248</f>
        <v>动态</v>
      </c>
      <c r="F694" t="str">
        <f ca="1">BDH($B$248,$C$248,$B$417,$B$418,CONCATENATE("Per=",$B$415),"Dts=H","Dir=H",CONCATENATE("Points=",$B$416),"Sort=R","Days=A","Fill=B",CONCATENATE("FX=", $B$414) )</f>
        <v>#N/A Authorization</v>
      </c>
      <c r="BN694" t="str">
        <f>""</f>
        <v/>
      </c>
      <c r="BO694" t="str">
        <f>""</f>
        <v/>
      </c>
      <c r="BP694" t="str">
        <f>""</f>
        <v/>
      </c>
      <c r="BQ694" t="str">
        <f>""</f>
        <v/>
      </c>
      <c r="BR694" t="str">
        <f>""</f>
        <v/>
      </c>
      <c r="BS694" t="str">
        <f>""</f>
        <v/>
      </c>
      <c r="BT694" t="str">
        <f>""</f>
        <v/>
      </c>
      <c r="BU694" t="str">
        <f>""</f>
        <v/>
      </c>
      <c r="BV694" t="str">
        <f>""</f>
        <v/>
      </c>
      <c r="BW694" t="str">
        <f>""</f>
        <v/>
      </c>
      <c r="BX694" t="str">
        <f>""</f>
        <v/>
      </c>
      <c r="BY694" t="str">
        <f>""</f>
        <v/>
      </c>
      <c r="BZ694" t="str">
        <f>""</f>
        <v/>
      </c>
      <c r="CA694" t="str">
        <f>""</f>
        <v/>
      </c>
      <c r="CB694" t="str">
        <f>""</f>
        <v/>
      </c>
      <c r="CC694" t="str">
        <f>""</f>
        <v/>
      </c>
      <c r="CD694" t="str">
        <f>""</f>
        <v/>
      </c>
      <c r="CE694" t="str">
        <f>""</f>
        <v/>
      </c>
      <c r="CF694" t="str">
        <f>""</f>
        <v/>
      </c>
      <c r="CG694" t="str">
        <f>""</f>
        <v/>
      </c>
      <c r="CH694" t="str">
        <f>""</f>
        <v/>
      </c>
      <c r="CI694" t="str">
        <f>""</f>
        <v/>
      </c>
      <c r="CJ694" t="str">
        <f>""</f>
        <v/>
      </c>
      <c r="CK694" t="str">
        <f>""</f>
        <v/>
      </c>
      <c r="CL694" t="str">
        <f>""</f>
        <v/>
      </c>
      <c r="CM694" t="str">
        <f>""</f>
        <v/>
      </c>
      <c r="CN694" t="str">
        <f>""</f>
        <v/>
      </c>
      <c r="CO694" t="str">
        <f>""</f>
        <v/>
      </c>
      <c r="CP694" t="str">
        <f>""</f>
        <v/>
      </c>
      <c r="CQ694" t="str">
        <f>""</f>
        <v/>
      </c>
      <c r="CR694" t="str">
        <f>""</f>
        <v/>
      </c>
      <c r="CS694" t="str">
        <f>""</f>
        <v/>
      </c>
      <c r="CT694" t="str">
        <f>""</f>
        <v/>
      </c>
      <c r="CU694" t="str">
        <f>""</f>
        <v/>
      </c>
      <c r="CV694" t="str">
        <f>""</f>
        <v/>
      </c>
      <c r="CW694" t="str">
        <f>""</f>
        <v/>
      </c>
      <c r="CX694" t="str">
        <f>""</f>
        <v/>
      </c>
      <c r="CY694" t="str">
        <f>""</f>
        <v/>
      </c>
      <c r="CZ694" t="str">
        <f>""</f>
        <v/>
      </c>
      <c r="DA694" t="str">
        <f>""</f>
        <v/>
      </c>
      <c r="DB694" t="str">
        <f>""</f>
        <v/>
      </c>
      <c r="DC694" t="str">
        <f>""</f>
        <v/>
      </c>
      <c r="DD694" t="str">
        <f>""</f>
        <v/>
      </c>
      <c r="DE694" t="str">
        <f>""</f>
        <v/>
      </c>
      <c r="DF694" t="str">
        <f>""</f>
        <v/>
      </c>
      <c r="DG694" t="str">
        <f>""</f>
        <v/>
      </c>
      <c r="DH694" t="str">
        <f>""</f>
        <v/>
      </c>
      <c r="DI694" t="str">
        <f>""</f>
        <v/>
      </c>
      <c r="DJ694" t="str">
        <f>""</f>
        <v/>
      </c>
      <c r="DK694" t="str">
        <f>""</f>
        <v/>
      </c>
      <c r="DL694" t="str">
        <f>""</f>
        <v/>
      </c>
      <c r="DM694" t="str">
        <f>""</f>
        <v/>
      </c>
      <c r="DN694" t="str">
        <f>""</f>
        <v/>
      </c>
      <c r="DO694" t="str">
        <f>""</f>
        <v/>
      </c>
      <c r="DP694" t="str">
        <f>""</f>
        <v/>
      </c>
      <c r="DQ694" t="str">
        <f>""</f>
        <v/>
      </c>
      <c r="DR694" t="str">
        <f>""</f>
        <v/>
      </c>
      <c r="DS694" t="str">
        <f>""</f>
        <v/>
      </c>
      <c r="DT694" t="str">
        <f>""</f>
        <v/>
      </c>
      <c r="DU694" t="str">
        <f>""</f>
        <v/>
      </c>
    </row>
    <row r="695" spans="1:125">
      <c r="A695" t="str">
        <f>$A$249</f>
        <v xml:space="preserve">    Kimco Realty Corp</v>
      </c>
      <c r="B695" t="str">
        <f>$B$249</f>
        <v>KIM US Equity</v>
      </c>
      <c r="C695" t="str">
        <f>$C$249</f>
        <v>RR554</v>
      </c>
      <c r="D695" t="str">
        <f>$D$249</f>
        <v>FFO_RE_ASSET</v>
      </c>
      <c r="E695" t="str">
        <f>$E$249</f>
        <v>动态</v>
      </c>
      <c r="F695" t="str">
        <f ca="1">BDH($B$249,$C$249,$B$417,$B$418,CONCATENATE("Per=",$B$415),"Dts=H","Dir=H",CONCATENATE("Points=",$B$416),"Sort=R","Days=A","Fill=B",CONCATENATE("FX=", $B$414) )</f>
        <v>#N/A Authorization</v>
      </c>
      <c r="BN695" t="str">
        <f>""</f>
        <v/>
      </c>
      <c r="BO695" t="str">
        <f>""</f>
        <v/>
      </c>
      <c r="BP695" t="str">
        <f>""</f>
        <v/>
      </c>
      <c r="BQ695" t="str">
        <f>""</f>
        <v/>
      </c>
      <c r="BR695" t="str">
        <f>""</f>
        <v/>
      </c>
      <c r="BS695" t="str">
        <f>""</f>
        <v/>
      </c>
      <c r="BT695" t="str">
        <f>""</f>
        <v/>
      </c>
      <c r="BU695" t="str">
        <f>""</f>
        <v/>
      </c>
      <c r="BV695" t="str">
        <f>""</f>
        <v/>
      </c>
      <c r="BW695" t="str">
        <f>""</f>
        <v/>
      </c>
      <c r="BX695" t="str">
        <f>""</f>
        <v/>
      </c>
      <c r="BY695" t="str">
        <f>""</f>
        <v/>
      </c>
      <c r="BZ695" t="str">
        <f>""</f>
        <v/>
      </c>
      <c r="CA695" t="str">
        <f>""</f>
        <v/>
      </c>
      <c r="CB695" t="str">
        <f>""</f>
        <v/>
      </c>
      <c r="CC695" t="str">
        <f>""</f>
        <v/>
      </c>
      <c r="CD695" t="str">
        <f>""</f>
        <v/>
      </c>
      <c r="CE695" t="str">
        <f>""</f>
        <v/>
      </c>
      <c r="CF695" t="str">
        <f>""</f>
        <v/>
      </c>
      <c r="CG695" t="str">
        <f>""</f>
        <v/>
      </c>
      <c r="CH695" t="str">
        <f>""</f>
        <v/>
      </c>
      <c r="CI695" t="str">
        <f>""</f>
        <v/>
      </c>
      <c r="CJ695" t="str">
        <f>""</f>
        <v/>
      </c>
      <c r="CK695" t="str">
        <f>""</f>
        <v/>
      </c>
      <c r="CL695" t="str">
        <f>""</f>
        <v/>
      </c>
      <c r="CM695" t="str">
        <f>""</f>
        <v/>
      </c>
      <c r="CN695" t="str">
        <f>""</f>
        <v/>
      </c>
      <c r="CO695" t="str">
        <f>""</f>
        <v/>
      </c>
      <c r="CP695" t="str">
        <f>""</f>
        <v/>
      </c>
      <c r="CQ695" t="str">
        <f>""</f>
        <v/>
      </c>
      <c r="CR695" t="str">
        <f>""</f>
        <v/>
      </c>
      <c r="CS695" t="str">
        <f>""</f>
        <v/>
      </c>
      <c r="CT695" t="str">
        <f>""</f>
        <v/>
      </c>
      <c r="CU695" t="str">
        <f>""</f>
        <v/>
      </c>
      <c r="CV695" t="str">
        <f>""</f>
        <v/>
      </c>
      <c r="CW695" t="str">
        <f>""</f>
        <v/>
      </c>
      <c r="CX695" t="str">
        <f>""</f>
        <v/>
      </c>
      <c r="CY695" t="str">
        <f>""</f>
        <v/>
      </c>
      <c r="CZ695" t="str">
        <f>""</f>
        <v/>
      </c>
      <c r="DA695" t="str">
        <f>""</f>
        <v/>
      </c>
      <c r="DB695" t="str">
        <f>""</f>
        <v/>
      </c>
      <c r="DC695" t="str">
        <f>""</f>
        <v/>
      </c>
      <c r="DD695" t="str">
        <f>""</f>
        <v/>
      </c>
      <c r="DE695" t="str">
        <f>""</f>
        <v/>
      </c>
      <c r="DF695" t="str">
        <f>""</f>
        <v/>
      </c>
      <c r="DG695" t="str">
        <f>""</f>
        <v/>
      </c>
      <c r="DH695" t="str">
        <f>""</f>
        <v/>
      </c>
      <c r="DI695" t="str">
        <f>""</f>
        <v/>
      </c>
      <c r="DJ695" t="str">
        <f>""</f>
        <v/>
      </c>
      <c r="DK695" t="str">
        <f>""</f>
        <v/>
      </c>
      <c r="DL695" t="str">
        <f>""</f>
        <v/>
      </c>
      <c r="DM695" t="str">
        <f>""</f>
        <v/>
      </c>
      <c r="DN695" t="str">
        <f>""</f>
        <v/>
      </c>
      <c r="DO695" t="str">
        <f>""</f>
        <v/>
      </c>
      <c r="DP695" t="str">
        <f>""</f>
        <v/>
      </c>
      <c r="DQ695" t="str">
        <f>""</f>
        <v/>
      </c>
      <c r="DR695" t="str">
        <f>""</f>
        <v/>
      </c>
      <c r="DS695" t="str">
        <f>""</f>
        <v/>
      </c>
      <c r="DT695" t="str">
        <f>""</f>
        <v/>
      </c>
      <c r="DU695" t="str">
        <f>""</f>
        <v/>
      </c>
    </row>
    <row r="696" spans="1:125">
      <c r="A696" t="str">
        <f>$A$250</f>
        <v xml:space="preserve">    National Retail Properties Inc</v>
      </c>
      <c r="B696" t="str">
        <f>$B$250</f>
        <v>NNN US Equity</v>
      </c>
      <c r="C696" t="str">
        <f>$C$250</f>
        <v>RR554</v>
      </c>
      <c r="D696" t="str">
        <f>$D$250</f>
        <v>FFO_RE_ASSET</v>
      </c>
      <c r="E696" t="str">
        <f>$E$250</f>
        <v>动态</v>
      </c>
      <c r="F696" t="str">
        <f ca="1">BDH($B$250,$C$250,$B$417,$B$418,CONCATENATE("Per=",$B$415),"Dts=H","Dir=H",CONCATENATE("Points=",$B$416),"Sort=R","Days=A","Fill=B",CONCATENATE("FX=", $B$414) )</f>
        <v>#N/A Authorization</v>
      </c>
      <c r="BN696" t="str">
        <f>""</f>
        <v/>
      </c>
      <c r="BO696" t="str">
        <f>""</f>
        <v/>
      </c>
      <c r="BP696" t="str">
        <f>""</f>
        <v/>
      </c>
      <c r="BQ696" t="str">
        <f>""</f>
        <v/>
      </c>
      <c r="BR696" t="str">
        <f>""</f>
        <v/>
      </c>
      <c r="BS696" t="str">
        <f>""</f>
        <v/>
      </c>
      <c r="BT696" t="str">
        <f>""</f>
        <v/>
      </c>
      <c r="BU696" t="str">
        <f>""</f>
        <v/>
      </c>
      <c r="BV696" t="str">
        <f>""</f>
        <v/>
      </c>
      <c r="BW696" t="str">
        <f>""</f>
        <v/>
      </c>
      <c r="BX696" t="str">
        <f>""</f>
        <v/>
      </c>
      <c r="BY696" t="str">
        <f>""</f>
        <v/>
      </c>
      <c r="BZ696" t="str">
        <f>""</f>
        <v/>
      </c>
      <c r="CA696" t="str">
        <f>""</f>
        <v/>
      </c>
      <c r="CB696" t="str">
        <f>""</f>
        <v/>
      </c>
      <c r="CC696" t="str">
        <f>""</f>
        <v/>
      </c>
      <c r="CD696" t="str">
        <f>""</f>
        <v/>
      </c>
      <c r="CE696" t="str">
        <f>""</f>
        <v/>
      </c>
      <c r="CF696" t="str">
        <f>""</f>
        <v/>
      </c>
      <c r="CG696" t="str">
        <f>""</f>
        <v/>
      </c>
      <c r="CH696" t="str">
        <f>""</f>
        <v/>
      </c>
      <c r="CI696" t="str">
        <f>""</f>
        <v/>
      </c>
      <c r="CJ696" t="str">
        <f>""</f>
        <v/>
      </c>
      <c r="CK696" t="str">
        <f>""</f>
        <v/>
      </c>
      <c r="CL696" t="str">
        <f>""</f>
        <v/>
      </c>
      <c r="CM696" t="str">
        <f>""</f>
        <v/>
      </c>
      <c r="CN696" t="str">
        <f>""</f>
        <v/>
      </c>
      <c r="CO696" t="str">
        <f>""</f>
        <v/>
      </c>
      <c r="CP696" t="str">
        <f>""</f>
        <v/>
      </c>
      <c r="CQ696" t="str">
        <f>""</f>
        <v/>
      </c>
      <c r="CR696" t="str">
        <f>""</f>
        <v/>
      </c>
      <c r="CS696" t="str">
        <f>""</f>
        <v/>
      </c>
      <c r="CT696" t="str">
        <f>""</f>
        <v/>
      </c>
      <c r="CU696" t="str">
        <f>""</f>
        <v/>
      </c>
      <c r="CV696" t="str">
        <f>""</f>
        <v/>
      </c>
      <c r="CW696" t="str">
        <f>""</f>
        <v/>
      </c>
      <c r="CX696" t="str">
        <f>""</f>
        <v/>
      </c>
      <c r="CY696" t="str">
        <f>""</f>
        <v/>
      </c>
      <c r="CZ696" t="str">
        <f>""</f>
        <v/>
      </c>
      <c r="DA696" t="str">
        <f>""</f>
        <v/>
      </c>
      <c r="DB696" t="str">
        <f>""</f>
        <v/>
      </c>
      <c r="DC696" t="str">
        <f>""</f>
        <v/>
      </c>
      <c r="DD696" t="str">
        <f>""</f>
        <v/>
      </c>
      <c r="DE696" t="str">
        <f>""</f>
        <v/>
      </c>
      <c r="DF696" t="str">
        <f>""</f>
        <v/>
      </c>
      <c r="DG696" t="str">
        <f>""</f>
        <v/>
      </c>
      <c r="DH696" t="str">
        <f>""</f>
        <v/>
      </c>
      <c r="DI696" t="str">
        <f>""</f>
        <v/>
      </c>
      <c r="DJ696" t="str">
        <f>""</f>
        <v/>
      </c>
      <c r="DK696" t="str">
        <f>""</f>
        <v/>
      </c>
      <c r="DL696" t="str">
        <f>""</f>
        <v/>
      </c>
      <c r="DM696" t="str">
        <f>""</f>
        <v/>
      </c>
      <c r="DN696" t="str">
        <f>""</f>
        <v/>
      </c>
      <c r="DO696" t="str">
        <f>""</f>
        <v/>
      </c>
      <c r="DP696" t="str">
        <f>""</f>
        <v/>
      </c>
      <c r="DQ696" t="str">
        <f>""</f>
        <v/>
      </c>
      <c r="DR696" t="str">
        <f>""</f>
        <v/>
      </c>
      <c r="DS696" t="str">
        <f>""</f>
        <v/>
      </c>
      <c r="DT696" t="str">
        <f>""</f>
        <v/>
      </c>
      <c r="DU696" t="str">
        <f>""</f>
        <v/>
      </c>
    </row>
    <row r="697" spans="1:125">
      <c r="A697" t="str">
        <f>$A$251</f>
        <v xml:space="preserve">    Realty Income Corp</v>
      </c>
      <c r="B697" t="str">
        <f>$B$251</f>
        <v>O US Equity</v>
      </c>
      <c r="C697" t="str">
        <f>$C$251</f>
        <v>RR554</v>
      </c>
      <c r="D697" t="str">
        <f>$D$251</f>
        <v>FFO_RE_ASSET</v>
      </c>
      <c r="E697" t="str">
        <f>$E$251</f>
        <v>动态</v>
      </c>
      <c r="F697" t="str">
        <f ca="1">BDH($B$251,$C$251,$B$417,$B$418,CONCATENATE("Per=",$B$415),"Dts=H","Dir=H",CONCATENATE("Points=",$B$416),"Sort=R","Days=A","Fill=B",CONCATENATE("FX=", $B$414) )</f>
        <v>#N/A Authorization</v>
      </c>
      <c r="BN697" t="str">
        <f>""</f>
        <v/>
      </c>
      <c r="BO697" t="str">
        <f>""</f>
        <v/>
      </c>
      <c r="BP697" t="str">
        <f>""</f>
        <v/>
      </c>
      <c r="BQ697" t="str">
        <f>""</f>
        <v/>
      </c>
      <c r="BR697" t="str">
        <f>""</f>
        <v/>
      </c>
      <c r="BS697" t="str">
        <f>""</f>
        <v/>
      </c>
      <c r="BT697" t="str">
        <f>""</f>
        <v/>
      </c>
      <c r="BU697" t="str">
        <f>""</f>
        <v/>
      </c>
      <c r="BV697" t="str">
        <f>""</f>
        <v/>
      </c>
      <c r="BW697" t="str">
        <f>""</f>
        <v/>
      </c>
      <c r="BX697" t="str">
        <f>""</f>
        <v/>
      </c>
      <c r="BY697" t="str">
        <f>""</f>
        <v/>
      </c>
      <c r="BZ697" t="str">
        <f>""</f>
        <v/>
      </c>
      <c r="CA697" t="str">
        <f>""</f>
        <v/>
      </c>
      <c r="CB697" t="str">
        <f>""</f>
        <v/>
      </c>
      <c r="CC697" t="str">
        <f>""</f>
        <v/>
      </c>
      <c r="CD697" t="str">
        <f>""</f>
        <v/>
      </c>
      <c r="CE697" t="str">
        <f>""</f>
        <v/>
      </c>
      <c r="CF697" t="str">
        <f>""</f>
        <v/>
      </c>
      <c r="CG697" t="str">
        <f>""</f>
        <v/>
      </c>
      <c r="CH697" t="str">
        <f>""</f>
        <v/>
      </c>
      <c r="CI697" t="str">
        <f>""</f>
        <v/>
      </c>
      <c r="CJ697" t="str">
        <f>""</f>
        <v/>
      </c>
      <c r="CK697" t="str">
        <f>""</f>
        <v/>
      </c>
      <c r="CL697" t="str">
        <f>""</f>
        <v/>
      </c>
      <c r="CM697" t="str">
        <f>""</f>
        <v/>
      </c>
      <c r="CN697" t="str">
        <f>""</f>
        <v/>
      </c>
      <c r="CO697" t="str">
        <f>""</f>
        <v/>
      </c>
      <c r="CP697" t="str">
        <f>""</f>
        <v/>
      </c>
      <c r="CQ697" t="str">
        <f>""</f>
        <v/>
      </c>
      <c r="CR697" t="str">
        <f>""</f>
        <v/>
      </c>
      <c r="CS697" t="str">
        <f>""</f>
        <v/>
      </c>
      <c r="CT697" t="str">
        <f>""</f>
        <v/>
      </c>
      <c r="CU697" t="str">
        <f>""</f>
        <v/>
      </c>
      <c r="CV697" t="str">
        <f>""</f>
        <v/>
      </c>
      <c r="CW697" t="str">
        <f>""</f>
        <v/>
      </c>
      <c r="CX697" t="str">
        <f>""</f>
        <v/>
      </c>
      <c r="CY697" t="str">
        <f>""</f>
        <v/>
      </c>
      <c r="CZ697" t="str">
        <f>""</f>
        <v/>
      </c>
      <c r="DA697" t="str">
        <f>""</f>
        <v/>
      </c>
      <c r="DB697" t="str">
        <f>""</f>
        <v/>
      </c>
      <c r="DC697" t="str">
        <f>""</f>
        <v/>
      </c>
      <c r="DD697" t="str">
        <f>""</f>
        <v/>
      </c>
      <c r="DE697" t="str">
        <f>""</f>
        <v/>
      </c>
      <c r="DF697" t="str">
        <f>""</f>
        <v/>
      </c>
      <c r="DG697" t="str">
        <f>""</f>
        <v/>
      </c>
      <c r="DH697" t="str">
        <f>""</f>
        <v/>
      </c>
      <c r="DI697" t="str">
        <f>""</f>
        <v/>
      </c>
      <c r="DJ697" t="str">
        <f>""</f>
        <v/>
      </c>
      <c r="DK697" t="str">
        <f>""</f>
        <v/>
      </c>
      <c r="DL697" t="str">
        <f>""</f>
        <v/>
      </c>
      <c r="DM697" t="str">
        <f>""</f>
        <v/>
      </c>
      <c r="DN697" t="str">
        <f>""</f>
        <v/>
      </c>
      <c r="DO697" t="str">
        <f>""</f>
        <v/>
      </c>
      <c r="DP697" t="str">
        <f>""</f>
        <v/>
      </c>
      <c r="DQ697" t="str">
        <f>""</f>
        <v/>
      </c>
      <c r="DR697" t="str">
        <f>""</f>
        <v/>
      </c>
      <c r="DS697" t="str">
        <f>""</f>
        <v/>
      </c>
      <c r="DT697" t="str">
        <f>""</f>
        <v/>
      </c>
      <c r="DU697" t="str">
        <f>""</f>
        <v/>
      </c>
    </row>
    <row r="698" spans="1:125">
      <c r="A698" t="str">
        <f>$A$252</f>
        <v xml:space="preserve">    Regency Centers Corp</v>
      </c>
      <c r="B698" t="str">
        <f>$B$252</f>
        <v>REG US Equity</v>
      </c>
      <c r="C698" t="str">
        <f>$C$252</f>
        <v>RR554</v>
      </c>
      <c r="D698" t="str">
        <f>$D$252</f>
        <v>FFO_RE_ASSET</v>
      </c>
      <c r="E698" t="str">
        <f>$E$252</f>
        <v>动态</v>
      </c>
      <c r="F698" t="str">
        <f ca="1">BDH($B$252,$C$252,$B$417,$B$418,CONCATENATE("Per=",$B$415),"Dts=H","Dir=H",CONCATENATE("Points=",$B$416),"Sort=R","Days=A","Fill=B",CONCATENATE("FX=", $B$414) )</f>
        <v>#N/A Authorization</v>
      </c>
      <c r="BN698" t="str">
        <f>""</f>
        <v/>
      </c>
      <c r="BO698" t="str">
        <f>""</f>
        <v/>
      </c>
      <c r="BP698" t="str">
        <f>""</f>
        <v/>
      </c>
      <c r="BQ698" t="str">
        <f>""</f>
        <v/>
      </c>
      <c r="BR698" t="str">
        <f>""</f>
        <v/>
      </c>
      <c r="BS698" t="str">
        <f>""</f>
        <v/>
      </c>
      <c r="BT698" t="str">
        <f>""</f>
        <v/>
      </c>
      <c r="BU698" t="str">
        <f>""</f>
        <v/>
      </c>
      <c r="BV698" t="str">
        <f>""</f>
        <v/>
      </c>
      <c r="BW698" t="str">
        <f>""</f>
        <v/>
      </c>
      <c r="BX698" t="str">
        <f>""</f>
        <v/>
      </c>
      <c r="BY698" t="str">
        <f>""</f>
        <v/>
      </c>
      <c r="BZ698" t="str">
        <f>""</f>
        <v/>
      </c>
      <c r="CA698" t="str">
        <f>""</f>
        <v/>
      </c>
      <c r="CB698" t="str">
        <f>""</f>
        <v/>
      </c>
      <c r="CC698" t="str">
        <f>""</f>
        <v/>
      </c>
      <c r="CD698" t="str">
        <f>""</f>
        <v/>
      </c>
      <c r="CE698" t="str">
        <f>""</f>
        <v/>
      </c>
      <c r="CF698" t="str">
        <f>""</f>
        <v/>
      </c>
      <c r="CG698" t="str">
        <f>""</f>
        <v/>
      </c>
      <c r="CH698" t="str">
        <f>""</f>
        <v/>
      </c>
      <c r="CI698" t="str">
        <f>""</f>
        <v/>
      </c>
      <c r="CJ698" t="str">
        <f>""</f>
        <v/>
      </c>
      <c r="CK698" t="str">
        <f>""</f>
        <v/>
      </c>
      <c r="CL698" t="str">
        <f>""</f>
        <v/>
      </c>
      <c r="CM698" t="str">
        <f>""</f>
        <v/>
      </c>
      <c r="CN698" t="str">
        <f>""</f>
        <v/>
      </c>
      <c r="CO698" t="str">
        <f>""</f>
        <v/>
      </c>
      <c r="CP698" t="str">
        <f>""</f>
        <v/>
      </c>
      <c r="CQ698" t="str">
        <f>""</f>
        <v/>
      </c>
      <c r="CR698" t="str">
        <f>""</f>
        <v/>
      </c>
      <c r="CS698" t="str">
        <f>""</f>
        <v/>
      </c>
      <c r="CT698" t="str">
        <f>""</f>
        <v/>
      </c>
      <c r="CU698" t="str">
        <f>""</f>
        <v/>
      </c>
      <c r="CV698" t="str">
        <f>""</f>
        <v/>
      </c>
      <c r="CW698" t="str">
        <f>""</f>
        <v/>
      </c>
      <c r="CX698" t="str">
        <f>""</f>
        <v/>
      </c>
      <c r="CY698" t="str">
        <f>""</f>
        <v/>
      </c>
      <c r="CZ698" t="str">
        <f>""</f>
        <v/>
      </c>
      <c r="DA698" t="str">
        <f>""</f>
        <v/>
      </c>
      <c r="DB698" t="str">
        <f>""</f>
        <v/>
      </c>
      <c r="DC698" t="str">
        <f>""</f>
        <v/>
      </c>
      <c r="DD698" t="str">
        <f>""</f>
        <v/>
      </c>
      <c r="DE698" t="str">
        <f>""</f>
        <v/>
      </c>
      <c r="DF698" t="str">
        <f>""</f>
        <v/>
      </c>
      <c r="DG698" t="str">
        <f>""</f>
        <v/>
      </c>
      <c r="DH698" t="str">
        <f>""</f>
        <v/>
      </c>
      <c r="DI698" t="str">
        <f>""</f>
        <v/>
      </c>
      <c r="DJ698" t="str">
        <f>""</f>
        <v/>
      </c>
      <c r="DK698" t="str">
        <f>""</f>
        <v/>
      </c>
      <c r="DL698" t="str">
        <f>""</f>
        <v/>
      </c>
      <c r="DM698" t="str">
        <f>""</f>
        <v/>
      </c>
      <c r="DN698" t="str">
        <f>""</f>
        <v/>
      </c>
      <c r="DO698" t="str">
        <f>""</f>
        <v/>
      </c>
      <c r="DP698" t="str">
        <f>""</f>
        <v/>
      </c>
      <c r="DQ698" t="str">
        <f>""</f>
        <v/>
      </c>
      <c r="DR698" t="str">
        <f>""</f>
        <v/>
      </c>
      <c r="DS698" t="str">
        <f>""</f>
        <v/>
      </c>
      <c r="DT698" t="str">
        <f>""</f>
        <v/>
      </c>
      <c r="DU698" t="str">
        <f>""</f>
        <v/>
      </c>
    </row>
    <row r="699" spans="1:125">
      <c r="A699" t="str">
        <f>$A$253</f>
        <v xml:space="preserve">    Retail Opportunity Investments</v>
      </c>
      <c r="B699" t="str">
        <f>$B$253</f>
        <v>ROIC US Equity</v>
      </c>
      <c r="C699" t="str">
        <f>$C$253</f>
        <v>RR554</v>
      </c>
      <c r="D699" t="str">
        <f>$D$253</f>
        <v>FFO_RE_ASSET</v>
      </c>
      <c r="E699" t="str">
        <f>$E$253</f>
        <v>动态</v>
      </c>
      <c r="F699" t="str">
        <f ca="1">BDH($B$253,$C$253,$B$417,$B$418,CONCATENATE("Per=",$B$415),"Dts=H","Dir=H",CONCATENATE("Points=",$B$416),"Sort=R","Days=A","Fill=B",CONCATENATE("FX=", $B$414) )</f>
        <v>#N/A Authorization</v>
      </c>
      <c r="BN699" t="str">
        <f>""</f>
        <v/>
      </c>
      <c r="BO699" t="str">
        <f>""</f>
        <v/>
      </c>
      <c r="BP699" t="str">
        <f>""</f>
        <v/>
      </c>
      <c r="BQ699" t="str">
        <f>""</f>
        <v/>
      </c>
      <c r="BR699" t="str">
        <f>""</f>
        <v/>
      </c>
      <c r="BS699" t="str">
        <f>""</f>
        <v/>
      </c>
      <c r="BT699" t="str">
        <f>""</f>
        <v/>
      </c>
      <c r="BU699" t="str">
        <f>""</f>
        <v/>
      </c>
      <c r="BV699" t="str">
        <f>""</f>
        <v/>
      </c>
      <c r="BW699" t="str">
        <f>""</f>
        <v/>
      </c>
      <c r="BX699" t="str">
        <f>""</f>
        <v/>
      </c>
      <c r="BY699" t="str">
        <f>""</f>
        <v/>
      </c>
      <c r="BZ699" t="str">
        <f>""</f>
        <v/>
      </c>
      <c r="CA699" t="str">
        <f>""</f>
        <v/>
      </c>
      <c r="CB699" t="str">
        <f>""</f>
        <v/>
      </c>
      <c r="CC699" t="str">
        <f>""</f>
        <v/>
      </c>
      <c r="CD699" t="str">
        <f>""</f>
        <v/>
      </c>
      <c r="CE699" t="str">
        <f>""</f>
        <v/>
      </c>
      <c r="CF699" t="str">
        <f>""</f>
        <v/>
      </c>
      <c r="CG699" t="str">
        <f>""</f>
        <v/>
      </c>
      <c r="CH699" t="str">
        <f>""</f>
        <v/>
      </c>
      <c r="CI699" t="str">
        <f>""</f>
        <v/>
      </c>
      <c r="CJ699" t="str">
        <f>""</f>
        <v/>
      </c>
      <c r="CK699" t="str">
        <f>""</f>
        <v/>
      </c>
      <c r="CL699" t="str">
        <f>""</f>
        <v/>
      </c>
      <c r="CM699" t="str">
        <f>""</f>
        <v/>
      </c>
      <c r="CN699" t="str">
        <f>""</f>
        <v/>
      </c>
      <c r="CO699" t="str">
        <f>""</f>
        <v/>
      </c>
      <c r="CP699" t="str">
        <f>""</f>
        <v/>
      </c>
      <c r="CQ699" t="str">
        <f>""</f>
        <v/>
      </c>
      <c r="CR699" t="str">
        <f>""</f>
        <v/>
      </c>
      <c r="CS699" t="str">
        <f>""</f>
        <v/>
      </c>
      <c r="CT699" t="str">
        <f>""</f>
        <v/>
      </c>
      <c r="CU699" t="str">
        <f>""</f>
        <v/>
      </c>
      <c r="CV699" t="str">
        <f>""</f>
        <v/>
      </c>
      <c r="CW699" t="str">
        <f>""</f>
        <v/>
      </c>
      <c r="CX699" t="str">
        <f>""</f>
        <v/>
      </c>
      <c r="CY699" t="str">
        <f>""</f>
        <v/>
      </c>
      <c r="CZ699" t="str">
        <f>""</f>
        <v/>
      </c>
      <c r="DA699" t="str">
        <f>""</f>
        <v/>
      </c>
      <c r="DB699" t="str">
        <f>""</f>
        <v/>
      </c>
      <c r="DC699" t="str">
        <f>""</f>
        <v/>
      </c>
      <c r="DD699" t="str">
        <f>""</f>
        <v/>
      </c>
      <c r="DE699" t="str">
        <f>""</f>
        <v/>
      </c>
      <c r="DF699" t="str">
        <f>""</f>
        <v/>
      </c>
      <c r="DG699" t="str">
        <f>""</f>
        <v/>
      </c>
      <c r="DH699" t="str">
        <f>""</f>
        <v/>
      </c>
      <c r="DI699" t="str">
        <f>""</f>
        <v/>
      </c>
      <c r="DJ699" t="str">
        <f>""</f>
        <v/>
      </c>
      <c r="DK699" t="str">
        <f>""</f>
        <v/>
      </c>
      <c r="DL699" t="str">
        <f>""</f>
        <v/>
      </c>
      <c r="DM699" t="str">
        <f>""</f>
        <v/>
      </c>
      <c r="DN699" t="str">
        <f>""</f>
        <v/>
      </c>
      <c r="DO699" t="str">
        <f>""</f>
        <v/>
      </c>
      <c r="DP699" t="str">
        <f>""</f>
        <v/>
      </c>
      <c r="DQ699" t="str">
        <f>""</f>
        <v/>
      </c>
      <c r="DR699" t="str">
        <f>""</f>
        <v/>
      </c>
      <c r="DS699" t="str">
        <f>""</f>
        <v/>
      </c>
      <c r="DT699" t="str">
        <f>""</f>
        <v/>
      </c>
      <c r="DU699" t="str">
        <f>""</f>
        <v/>
      </c>
    </row>
    <row r="700" spans="1:125">
      <c r="A700" t="str">
        <f>$A$254</f>
        <v xml:space="preserve">    Retail Properties of America I</v>
      </c>
      <c r="B700" t="str">
        <f>$B$254</f>
        <v>RPAI US Equity</v>
      </c>
      <c r="C700" t="str">
        <f>$C$254</f>
        <v>RR554</v>
      </c>
      <c r="D700" t="str">
        <f>$D$254</f>
        <v>FFO_RE_ASSET</v>
      </c>
      <c r="E700" t="str">
        <f>$E$254</f>
        <v>动态</v>
      </c>
      <c r="F700" t="str">
        <f ca="1">BDH($B$254,$C$254,$B$417,$B$418,CONCATENATE("Per=",$B$415),"Dts=H","Dir=H",CONCATENATE("Points=",$B$416),"Sort=R","Days=A","Fill=B",CONCATENATE("FX=", $B$414) )</f>
        <v>#N/A Authorization</v>
      </c>
      <c r="BN700" t="str">
        <f>""</f>
        <v/>
      </c>
      <c r="BO700" t="str">
        <f>""</f>
        <v/>
      </c>
      <c r="BP700" t="str">
        <f>""</f>
        <v/>
      </c>
      <c r="BQ700" t="str">
        <f>""</f>
        <v/>
      </c>
      <c r="BR700" t="str">
        <f>""</f>
        <v/>
      </c>
      <c r="BS700" t="str">
        <f>""</f>
        <v/>
      </c>
      <c r="BT700" t="str">
        <f>""</f>
        <v/>
      </c>
      <c r="BU700" t="str">
        <f>""</f>
        <v/>
      </c>
      <c r="BV700" t="str">
        <f>""</f>
        <v/>
      </c>
      <c r="BW700" t="str">
        <f>""</f>
        <v/>
      </c>
      <c r="BX700" t="str">
        <f>""</f>
        <v/>
      </c>
      <c r="BY700" t="str">
        <f>""</f>
        <v/>
      </c>
      <c r="BZ700" t="str">
        <f>""</f>
        <v/>
      </c>
      <c r="CA700" t="str">
        <f>""</f>
        <v/>
      </c>
      <c r="CB700" t="str">
        <f>""</f>
        <v/>
      </c>
      <c r="CC700" t="str">
        <f>""</f>
        <v/>
      </c>
      <c r="CD700" t="str">
        <f>""</f>
        <v/>
      </c>
      <c r="CE700" t="str">
        <f>""</f>
        <v/>
      </c>
      <c r="CF700" t="str">
        <f>""</f>
        <v/>
      </c>
      <c r="CG700" t="str">
        <f>""</f>
        <v/>
      </c>
      <c r="CH700" t="str">
        <f>""</f>
        <v/>
      </c>
      <c r="CI700" t="str">
        <f>""</f>
        <v/>
      </c>
      <c r="CJ700" t="str">
        <f>""</f>
        <v/>
      </c>
      <c r="CK700" t="str">
        <f>""</f>
        <v/>
      </c>
      <c r="CL700" t="str">
        <f>""</f>
        <v/>
      </c>
      <c r="CM700" t="str">
        <f>""</f>
        <v/>
      </c>
      <c r="CN700" t="str">
        <f>""</f>
        <v/>
      </c>
      <c r="CO700" t="str">
        <f>""</f>
        <v/>
      </c>
      <c r="CP700" t="str">
        <f>""</f>
        <v/>
      </c>
      <c r="CQ700" t="str">
        <f>""</f>
        <v/>
      </c>
      <c r="CR700" t="str">
        <f>""</f>
        <v/>
      </c>
      <c r="CS700" t="str">
        <f>""</f>
        <v/>
      </c>
      <c r="CT700" t="str">
        <f>""</f>
        <v/>
      </c>
      <c r="CU700" t="str">
        <f>""</f>
        <v/>
      </c>
      <c r="CV700" t="str">
        <f>""</f>
        <v/>
      </c>
      <c r="CW700" t="str">
        <f>""</f>
        <v/>
      </c>
      <c r="CX700" t="str">
        <f>""</f>
        <v/>
      </c>
      <c r="CY700" t="str">
        <f>""</f>
        <v/>
      </c>
      <c r="CZ700" t="str">
        <f>""</f>
        <v/>
      </c>
      <c r="DA700" t="str">
        <f>""</f>
        <v/>
      </c>
      <c r="DB700" t="str">
        <f>""</f>
        <v/>
      </c>
      <c r="DC700" t="str">
        <f>""</f>
        <v/>
      </c>
      <c r="DD700" t="str">
        <f>""</f>
        <v/>
      </c>
      <c r="DE700" t="str">
        <f>""</f>
        <v/>
      </c>
      <c r="DF700" t="str">
        <f>""</f>
        <v/>
      </c>
      <c r="DG700" t="str">
        <f>""</f>
        <v/>
      </c>
      <c r="DH700" t="str">
        <f>""</f>
        <v/>
      </c>
      <c r="DI700" t="str">
        <f>""</f>
        <v/>
      </c>
      <c r="DJ700" t="str">
        <f>""</f>
        <v/>
      </c>
      <c r="DK700" t="str">
        <f>""</f>
        <v/>
      </c>
      <c r="DL700" t="str">
        <f>""</f>
        <v/>
      </c>
      <c r="DM700" t="str">
        <f>""</f>
        <v/>
      </c>
      <c r="DN700" t="str">
        <f>""</f>
        <v/>
      </c>
      <c r="DO700" t="str">
        <f>""</f>
        <v/>
      </c>
      <c r="DP700" t="str">
        <f>""</f>
        <v/>
      </c>
      <c r="DQ700" t="str">
        <f>""</f>
        <v/>
      </c>
      <c r="DR700" t="str">
        <f>""</f>
        <v/>
      </c>
      <c r="DS700" t="str">
        <f>""</f>
        <v/>
      </c>
      <c r="DT700" t="str">
        <f>""</f>
        <v/>
      </c>
      <c r="DU700" t="str">
        <f>""</f>
        <v/>
      </c>
    </row>
    <row r="701" spans="1:125">
      <c r="A701" t="str">
        <f>$A$255</f>
        <v xml:space="preserve">    Simon Property Group Inc</v>
      </c>
      <c r="B701" t="str">
        <f>$B$255</f>
        <v>SPG US Equity</v>
      </c>
      <c r="C701" t="str">
        <f>$C$255</f>
        <v>RR554</v>
      </c>
      <c r="D701" t="str">
        <f>$D$255</f>
        <v>FFO_RE_ASSET</v>
      </c>
      <c r="E701" t="str">
        <f>$E$255</f>
        <v>动态</v>
      </c>
      <c r="F701" t="str">
        <f ca="1">BDH($B$255,$C$255,$B$417,$B$418,CONCATENATE("Per=",$B$415),"Dts=H","Dir=H",CONCATENATE("Points=",$B$416),"Sort=R","Days=A","Fill=B",CONCATENATE("FX=", $B$414) )</f>
        <v>#N/A Authorization</v>
      </c>
      <c r="BN701" t="str">
        <f>""</f>
        <v/>
      </c>
      <c r="BO701" t="str">
        <f>""</f>
        <v/>
      </c>
      <c r="BP701" t="str">
        <f>""</f>
        <v/>
      </c>
      <c r="BQ701" t="str">
        <f>""</f>
        <v/>
      </c>
      <c r="BR701" t="str">
        <f>""</f>
        <v/>
      </c>
      <c r="BS701" t="str">
        <f>""</f>
        <v/>
      </c>
      <c r="BT701" t="str">
        <f>""</f>
        <v/>
      </c>
      <c r="BU701" t="str">
        <f>""</f>
        <v/>
      </c>
      <c r="BV701" t="str">
        <f>""</f>
        <v/>
      </c>
      <c r="BW701" t="str">
        <f>""</f>
        <v/>
      </c>
      <c r="BX701" t="str">
        <f>""</f>
        <v/>
      </c>
      <c r="BY701" t="str">
        <f>""</f>
        <v/>
      </c>
      <c r="BZ701" t="str">
        <f>""</f>
        <v/>
      </c>
      <c r="CA701" t="str">
        <f>""</f>
        <v/>
      </c>
      <c r="CB701" t="str">
        <f>""</f>
        <v/>
      </c>
      <c r="CC701" t="str">
        <f>""</f>
        <v/>
      </c>
      <c r="CD701" t="str">
        <f>""</f>
        <v/>
      </c>
      <c r="CE701" t="str">
        <f>""</f>
        <v/>
      </c>
      <c r="CF701" t="str">
        <f>""</f>
        <v/>
      </c>
      <c r="CG701" t="str">
        <f>""</f>
        <v/>
      </c>
      <c r="CH701" t="str">
        <f>""</f>
        <v/>
      </c>
      <c r="CI701" t="str">
        <f>""</f>
        <v/>
      </c>
      <c r="CJ701" t="str">
        <f>""</f>
        <v/>
      </c>
      <c r="CK701" t="str">
        <f>""</f>
        <v/>
      </c>
      <c r="CL701" t="str">
        <f>""</f>
        <v/>
      </c>
      <c r="CM701" t="str">
        <f>""</f>
        <v/>
      </c>
      <c r="CN701" t="str">
        <f>""</f>
        <v/>
      </c>
      <c r="CO701" t="str">
        <f>""</f>
        <v/>
      </c>
      <c r="CP701" t="str">
        <f>""</f>
        <v/>
      </c>
      <c r="CQ701" t="str">
        <f>""</f>
        <v/>
      </c>
      <c r="CR701" t="str">
        <f>""</f>
        <v/>
      </c>
      <c r="CS701" t="str">
        <f>""</f>
        <v/>
      </c>
      <c r="CT701" t="str">
        <f>""</f>
        <v/>
      </c>
      <c r="CU701" t="str">
        <f>""</f>
        <v/>
      </c>
      <c r="CV701" t="str">
        <f>""</f>
        <v/>
      </c>
      <c r="CW701" t="str">
        <f>""</f>
        <v/>
      </c>
      <c r="CX701" t="str">
        <f>""</f>
        <v/>
      </c>
      <c r="CY701" t="str">
        <f>""</f>
        <v/>
      </c>
      <c r="CZ701" t="str">
        <f>""</f>
        <v/>
      </c>
      <c r="DA701" t="str">
        <f>""</f>
        <v/>
      </c>
      <c r="DB701" t="str">
        <f>""</f>
        <v/>
      </c>
      <c r="DC701" t="str">
        <f>""</f>
        <v/>
      </c>
      <c r="DD701" t="str">
        <f>""</f>
        <v/>
      </c>
      <c r="DE701" t="str">
        <f>""</f>
        <v/>
      </c>
      <c r="DF701" t="str">
        <f>""</f>
        <v/>
      </c>
      <c r="DG701" t="str">
        <f>""</f>
        <v/>
      </c>
      <c r="DH701" t="str">
        <f>""</f>
        <v/>
      </c>
      <c r="DI701" t="str">
        <f>""</f>
        <v/>
      </c>
      <c r="DJ701" t="str">
        <f>""</f>
        <v/>
      </c>
      <c r="DK701" t="str">
        <f>""</f>
        <v/>
      </c>
      <c r="DL701" t="str">
        <f>""</f>
        <v/>
      </c>
      <c r="DM701" t="str">
        <f>""</f>
        <v/>
      </c>
      <c r="DN701" t="str">
        <f>""</f>
        <v/>
      </c>
      <c r="DO701" t="str">
        <f>""</f>
        <v/>
      </c>
      <c r="DP701" t="str">
        <f>""</f>
        <v/>
      </c>
      <c r="DQ701" t="str">
        <f>""</f>
        <v/>
      </c>
      <c r="DR701" t="str">
        <f>""</f>
        <v/>
      </c>
      <c r="DS701" t="str">
        <f>""</f>
        <v/>
      </c>
      <c r="DT701" t="str">
        <f>""</f>
        <v/>
      </c>
      <c r="DU701" t="str">
        <f>""</f>
        <v/>
      </c>
    </row>
    <row r="702" spans="1:125">
      <c r="A702" t="str">
        <f>$A$256</f>
        <v xml:space="preserve">    Tanger Factory Outlet Centers</v>
      </c>
      <c r="B702" t="str">
        <f>$B$256</f>
        <v>SKT US Equity</v>
      </c>
      <c r="C702" t="str">
        <f>$C$256</f>
        <v>RR554</v>
      </c>
      <c r="D702" t="str">
        <f>$D$256</f>
        <v>FFO_RE_ASSET</v>
      </c>
      <c r="E702" t="str">
        <f>$E$256</f>
        <v>动态</v>
      </c>
      <c r="F702" t="str">
        <f ca="1">BDH($B$256,$C$256,$B$417,$B$418,CONCATENATE("Per=",$B$415),"Dts=H","Dir=H",CONCATENATE("Points=",$B$416),"Sort=R","Days=A","Fill=B",CONCATENATE("FX=", $B$414) )</f>
        <v>#N/A Authorization</v>
      </c>
      <c r="BN702" t="str">
        <f>""</f>
        <v/>
      </c>
      <c r="BO702" t="str">
        <f>""</f>
        <v/>
      </c>
      <c r="BP702" t="str">
        <f>""</f>
        <v/>
      </c>
      <c r="BQ702" t="str">
        <f>""</f>
        <v/>
      </c>
      <c r="BR702" t="str">
        <f>""</f>
        <v/>
      </c>
      <c r="BS702" t="str">
        <f>""</f>
        <v/>
      </c>
      <c r="BT702" t="str">
        <f>""</f>
        <v/>
      </c>
      <c r="BU702" t="str">
        <f>""</f>
        <v/>
      </c>
      <c r="BV702" t="str">
        <f>""</f>
        <v/>
      </c>
      <c r="BW702" t="str">
        <f>""</f>
        <v/>
      </c>
      <c r="BX702" t="str">
        <f>""</f>
        <v/>
      </c>
      <c r="BY702" t="str">
        <f>""</f>
        <v/>
      </c>
      <c r="BZ702" t="str">
        <f>""</f>
        <v/>
      </c>
      <c r="CA702" t="str">
        <f>""</f>
        <v/>
      </c>
      <c r="CB702" t="str">
        <f>""</f>
        <v/>
      </c>
      <c r="CC702" t="str">
        <f>""</f>
        <v/>
      </c>
      <c r="CD702" t="str">
        <f>""</f>
        <v/>
      </c>
      <c r="CE702" t="str">
        <f>""</f>
        <v/>
      </c>
      <c r="CF702" t="str">
        <f>""</f>
        <v/>
      </c>
      <c r="CG702" t="str">
        <f>""</f>
        <v/>
      </c>
      <c r="CH702" t="str">
        <f>""</f>
        <v/>
      </c>
      <c r="CI702" t="str">
        <f>""</f>
        <v/>
      </c>
      <c r="CJ702" t="str">
        <f>""</f>
        <v/>
      </c>
      <c r="CK702" t="str">
        <f>""</f>
        <v/>
      </c>
      <c r="CL702" t="str">
        <f>""</f>
        <v/>
      </c>
      <c r="CM702" t="str">
        <f>""</f>
        <v/>
      </c>
      <c r="CN702" t="str">
        <f>""</f>
        <v/>
      </c>
      <c r="CO702" t="str">
        <f>""</f>
        <v/>
      </c>
      <c r="CP702" t="str">
        <f>""</f>
        <v/>
      </c>
      <c r="CQ702" t="str">
        <f>""</f>
        <v/>
      </c>
      <c r="CR702" t="str">
        <f>""</f>
        <v/>
      </c>
      <c r="CS702" t="str">
        <f>""</f>
        <v/>
      </c>
      <c r="CT702" t="str">
        <f>""</f>
        <v/>
      </c>
      <c r="CU702" t="str">
        <f>""</f>
        <v/>
      </c>
      <c r="CV702" t="str">
        <f>""</f>
        <v/>
      </c>
      <c r="CW702" t="str">
        <f>""</f>
        <v/>
      </c>
      <c r="CX702" t="str">
        <f>""</f>
        <v/>
      </c>
      <c r="CY702" t="str">
        <f>""</f>
        <v/>
      </c>
      <c r="CZ702" t="str">
        <f>""</f>
        <v/>
      </c>
      <c r="DA702" t="str">
        <f>""</f>
        <v/>
      </c>
      <c r="DB702" t="str">
        <f>""</f>
        <v/>
      </c>
      <c r="DC702" t="str">
        <f>""</f>
        <v/>
      </c>
      <c r="DD702" t="str">
        <f>""</f>
        <v/>
      </c>
      <c r="DE702" t="str">
        <f>""</f>
        <v/>
      </c>
      <c r="DF702" t="str">
        <f>""</f>
        <v/>
      </c>
      <c r="DG702" t="str">
        <f>""</f>
        <v/>
      </c>
      <c r="DH702" t="str">
        <f>""</f>
        <v/>
      </c>
      <c r="DI702" t="str">
        <f>""</f>
        <v/>
      </c>
      <c r="DJ702" t="str">
        <f>""</f>
        <v/>
      </c>
      <c r="DK702" t="str">
        <f>""</f>
        <v/>
      </c>
      <c r="DL702" t="str">
        <f>""</f>
        <v/>
      </c>
      <c r="DM702" t="str">
        <f>""</f>
        <v/>
      </c>
      <c r="DN702" t="str">
        <f>""</f>
        <v/>
      </c>
      <c r="DO702" t="str">
        <f>""</f>
        <v/>
      </c>
      <c r="DP702" t="str">
        <f>""</f>
        <v/>
      </c>
      <c r="DQ702" t="str">
        <f>""</f>
        <v/>
      </c>
      <c r="DR702" t="str">
        <f>""</f>
        <v/>
      </c>
      <c r="DS702" t="str">
        <f>""</f>
        <v/>
      </c>
      <c r="DT702" t="str">
        <f>""</f>
        <v/>
      </c>
      <c r="DU702" t="str">
        <f>""</f>
        <v/>
      </c>
    </row>
    <row r="703" spans="1:125">
      <c r="A703" t="str">
        <f>$A$257</f>
        <v xml:space="preserve">    VEREIT Inc</v>
      </c>
      <c r="B703" t="str">
        <f>$B$257</f>
        <v>VER US Equity</v>
      </c>
      <c r="C703" t="str">
        <f>$C$257</f>
        <v>RR554</v>
      </c>
      <c r="D703" t="str">
        <f>$D$257</f>
        <v>FFO_RE_ASSET</v>
      </c>
      <c r="E703" t="str">
        <f>$E$257</f>
        <v>动态</v>
      </c>
      <c r="F703" t="str">
        <f ca="1">BDH($B$257,$C$257,$B$417,$B$418,CONCATENATE("Per=",$B$415),"Dts=H","Dir=H",CONCATENATE("Points=",$B$416),"Sort=R","Days=A","Fill=B",CONCATENATE("FX=", $B$414) )</f>
        <v>#N/A Authorization</v>
      </c>
      <c r="BN703" t="str">
        <f>""</f>
        <v/>
      </c>
      <c r="BO703" t="str">
        <f>""</f>
        <v/>
      </c>
      <c r="BP703" t="str">
        <f>""</f>
        <v/>
      </c>
      <c r="BQ703" t="str">
        <f>""</f>
        <v/>
      </c>
      <c r="BR703" t="str">
        <f>""</f>
        <v/>
      </c>
      <c r="BS703" t="str">
        <f>""</f>
        <v/>
      </c>
      <c r="BT703" t="str">
        <f>""</f>
        <v/>
      </c>
      <c r="BU703" t="str">
        <f>""</f>
        <v/>
      </c>
      <c r="BV703" t="str">
        <f>""</f>
        <v/>
      </c>
      <c r="BW703" t="str">
        <f>""</f>
        <v/>
      </c>
      <c r="BX703" t="str">
        <f>""</f>
        <v/>
      </c>
      <c r="BY703" t="str">
        <f>""</f>
        <v/>
      </c>
      <c r="BZ703" t="str">
        <f>""</f>
        <v/>
      </c>
      <c r="CA703" t="str">
        <f>""</f>
        <v/>
      </c>
      <c r="CB703" t="str">
        <f>""</f>
        <v/>
      </c>
      <c r="CC703" t="str">
        <f>""</f>
        <v/>
      </c>
      <c r="CD703" t="str">
        <f>""</f>
        <v/>
      </c>
      <c r="CE703" t="str">
        <f>""</f>
        <v/>
      </c>
      <c r="CF703" t="str">
        <f>""</f>
        <v/>
      </c>
      <c r="CG703" t="str">
        <f>""</f>
        <v/>
      </c>
      <c r="CH703" t="str">
        <f>""</f>
        <v/>
      </c>
      <c r="CI703" t="str">
        <f>""</f>
        <v/>
      </c>
      <c r="CJ703" t="str">
        <f>""</f>
        <v/>
      </c>
      <c r="CK703" t="str">
        <f>""</f>
        <v/>
      </c>
      <c r="CL703" t="str">
        <f>""</f>
        <v/>
      </c>
      <c r="CM703" t="str">
        <f>""</f>
        <v/>
      </c>
      <c r="CN703" t="str">
        <f>""</f>
        <v/>
      </c>
      <c r="CO703" t="str">
        <f>""</f>
        <v/>
      </c>
      <c r="CP703" t="str">
        <f>""</f>
        <v/>
      </c>
      <c r="CQ703" t="str">
        <f>""</f>
        <v/>
      </c>
      <c r="CR703" t="str">
        <f>""</f>
        <v/>
      </c>
      <c r="CS703" t="str">
        <f>""</f>
        <v/>
      </c>
      <c r="CT703" t="str">
        <f>""</f>
        <v/>
      </c>
      <c r="CU703" t="str">
        <f>""</f>
        <v/>
      </c>
      <c r="CV703" t="str">
        <f>""</f>
        <v/>
      </c>
      <c r="CW703" t="str">
        <f>""</f>
        <v/>
      </c>
      <c r="CX703" t="str">
        <f>""</f>
        <v/>
      </c>
      <c r="CY703" t="str">
        <f>""</f>
        <v/>
      </c>
      <c r="CZ703" t="str">
        <f>""</f>
        <v/>
      </c>
      <c r="DA703" t="str">
        <f>""</f>
        <v/>
      </c>
      <c r="DB703" t="str">
        <f>""</f>
        <v/>
      </c>
      <c r="DC703" t="str">
        <f>""</f>
        <v/>
      </c>
      <c r="DD703" t="str">
        <f>""</f>
        <v/>
      </c>
      <c r="DE703" t="str">
        <f>""</f>
        <v/>
      </c>
      <c r="DF703" t="str">
        <f>""</f>
        <v/>
      </c>
      <c r="DG703" t="str">
        <f>""</f>
        <v/>
      </c>
      <c r="DH703" t="str">
        <f>""</f>
        <v/>
      </c>
      <c r="DI703" t="str">
        <f>""</f>
        <v/>
      </c>
      <c r="DJ703" t="str">
        <f>""</f>
        <v/>
      </c>
      <c r="DK703" t="str">
        <f>""</f>
        <v/>
      </c>
      <c r="DL703" t="str">
        <f>""</f>
        <v/>
      </c>
      <c r="DM703" t="str">
        <f>""</f>
        <v/>
      </c>
      <c r="DN703" t="str">
        <f>""</f>
        <v/>
      </c>
      <c r="DO703" t="str">
        <f>""</f>
        <v/>
      </c>
      <c r="DP703" t="str">
        <f>""</f>
        <v/>
      </c>
      <c r="DQ703" t="str">
        <f>""</f>
        <v/>
      </c>
      <c r="DR703" t="str">
        <f>""</f>
        <v/>
      </c>
      <c r="DS703" t="str">
        <f>""</f>
        <v/>
      </c>
      <c r="DT703" t="str">
        <f>""</f>
        <v/>
      </c>
      <c r="DU703" t="str">
        <f>""</f>
        <v/>
      </c>
    </row>
    <row r="704" spans="1:125">
      <c r="A704" t="str">
        <f>$A$258</f>
        <v xml:space="preserve">    Washington Prime Group Inc</v>
      </c>
      <c r="B704" t="str">
        <f>$B$258</f>
        <v>WPG US Equity</v>
      </c>
      <c r="C704" t="str">
        <f>$C$258</f>
        <v>RR554</v>
      </c>
      <c r="D704" t="str">
        <f>$D$258</f>
        <v>FFO_RE_ASSET</v>
      </c>
      <c r="E704" t="str">
        <f>$E$258</f>
        <v>动态</v>
      </c>
      <c r="F704" t="str">
        <f ca="1">BDH($B$258,$C$258,$B$417,$B$418,CONCATENATE("Per=",$B$415),"Dts=H","Dir=H",CONCATENATE("Points=",$B$416),"Sort=R","Days=A","Fill=B",CONCATENATE("FX=", $B$414) )</f>
        <v>#N/A Authorization</v>
      </c>
      <c r="BN704" t="str">
        <f>""</f>
        <v/>
      </c>
      <c r="BO704" t="str">
        <f>""</f>
        <v/>
      </c>
      <c r="BP704" t="str">
        <f>""</f>
        <v/>
      </c>
      <c r="BQ704" t="str">
        <f>""</f>
        <v/>
      </c>
      <c r="BR704" t="str">
        <f>""</f>
        <v/>
      </c>
      <c r="BS704" t="str">
        <f>""</f>
        <v/>
      </c>
      <c r="BT704" t="str">
        <f>""</f>
        <v/>
      </c>
      <c r="BU704" t="str">
        <f>""</f>
        <v/>
      </c>
      <c r="BV704" t="str">
        <f>""</f>
        <v/>
      </c>
      <c r="BW704" t="str">
        <f>""</f>
        <v/>
      </c>
      <c r="BX704" t="str">
        <f>""</f>
        <v/>
      </c>
      <c r="BY704" t="str">
        <f>""</f>
        <v/>
      </c>
      <c r="BZ704" t="str">
        <f>""</f>
        <v/>
      </c>
      <c r="CA704" t="str">
        <f>""</f>
        <v/>
      </c>
      <c r="CB704" t="str">
        <f>""</f>
        <v/>
      </c>
      <c r="CC704" t="str">
        <f>""</f>
        <v/>
      </c>
      <c r="CD704" t="str">
        <f>""</f>
        <v/>
      </c>
      <c r="CE704" t="str">
        <f>""</f>
        <v/>
      </c>
      <c r="CF704" t="str">
        <f>""</f>
        <v/>
      </c>
      <c r="CG704" t="str">
        <f>""</f>
        <v/>
      </c>
      <c r="CH704" t="str">
        <f>""</f>
        <v/>
      </c>
      <c r="CI704" t="str">
        <f>""</f>
        <v/>
      </c>
      <c r="CJ704" t="str">
        <f>""</f>
        <v/>
      </c>
      <c r="CK704" t="str">
        <f>""</f>
        <v/>
      </c>
      <c r="CL704" t="str">
        <f>""</f>
        <v/>
      </c>
      <c r="CM704" t="str">
        <f>""</f>
        <v/>
      </c>
      <c r="CN704" t="str">
        <f>""</f>
        <v/>
      </c>
      <c r="CO704" t="str">
        <f>""</f>
        <v/>
      </c>
      <c r="CP704" t="str">
        <f>""</f>
        <v/>
      </c>
      <c r="CQ704" t="str">
        <f>""</f>
        <v/>
      </c>
      <c r="CR704" t="str">
        <f>""</f>
        <v/>
      </c>
      <c r="CS704" t="str">
        <f>""</f>
        <v/>
      </c>
      <c r="CT704" t="str">
        <f>""</f>
        <v/>
      </c>
      <c r="CU704" t="str">
        <f>""</f>
        <v/>
      </c>
      <c r="CV704" t="str">
        <f>""</f>
        <v/>
      </c>
      <c r="CW704" t="str">
        <f>""</f>
        <v/>
      </c>
      <c r="CX704" t="str">
        <f>""</f>
        <v/>
      </c>
      <c r="CY704" t="str">
        <f>""</f>
        <v/>
      </c>
      <c r="CZ704" t="str">
        <f>""</f>
        <v/>
      </c>
      <c r="DA704" t="str">
        <f>""</f>
        <v/>
      </c>
      <c r="DB704" t="str">
        <f>""</f>
        <v/>
      </c>
      <c r="DC704" t="str">
        <f>""</f>
        <v/>
      </c>
      <c r="DD704" t="str">
        <f>""</f>
        <v/>
      </c>
      <c r="DE704" t="str">
        <f>""</f>
        <v/>
      </c>
      <c r="DF704" t="str">
        <f>""</f>
        <v/>
      </c>
      <c r="DG704" t="str">
        <f>""</f>
        <v/>
      </c>
      <c r="DH704" t="str">
        <f>""</f>
        <v/>
      </c>
      <c r="DI704" t="str">
        <f>""</f>
        <v/>
      </c>
      <c r="DJ704" t="str">
        <f>""</f>
        <v/>
      </c>
      <c r="DK704" t="str">
        <f>""</f>
        <v/>
      </c>
      <c r="DL704" t="str">
        <f>""</f>
        <v/>
      </c>
      <c r="DM704" t="str">
        <f>""</f>
        <v/>
      </c>
      <c r="DN704" t="str">
        <f>""</f>
        <v/>
      </c>
      <c r="DO704" t="str">
        <f>""</f>
        <v/>
      </c>
      <c r="DP704" t="str">
        <f>""</f>
        <v/>
      </c>
      <c r="DQ704" t="str">
        <f>""</f>
        <v/>
      </c>
      <c r="DR704" t="str">
        <f>""</f>
        <v/>
      </c>
      <c r="DS704" t="str">
        <f>""</f>
        <v/>
      </c>
      <c r="DT704" t="str">
        <f>""</f>
        <v/>
      </c>
      <c r="DU704" t="str">
        <f>""</f>
        <v/>
      </c>
    </row>
    <row r="705" spans="1:125">
      <c r="A705" t="str">
        <f>$A$259</f>
        <v xml:space="preserve">    Weingarten Realty Investors</v>
      </c>
      <c r="B705" t="str">
        <f>$B$259</f>
        <v>WRI US Equity</v>
      </c>
      <c r="C705" t="str">
        <f>$C$259</f>
        <v>RR554</v>
      </c>
      <c r="D705" t="str">
        <f>$D$259</f>
        <v>FFO_RE_ASSET</v>
      </c>
      <c r="E705" t="str">
        <f>$E$259</f>
        <v>动态</v>
      </c>
      <c r="F705" t="str">
        <f ca="1">BDH($B$259,$C$259,$B$417,$B$418,CONCATENATE("Per=",$B$415),"Dts=H","Dir=H",CONCATENATE("Points=",$B$416),"Sort=R","Days=A","Fill=B",CONCATENATE("FX=", $B$414) )</f>
        <v>#N/A Authorization</v>
      </c>
      <c r="BN705" t="str">
        <f>""</f>
        <v/>
      </c>
      <c r="BO705" t="str">
        <f>""</f>
        <v/>
      </c>
      <c r="BP705" t="str">
        <f>""</f>
        <v/>
      </c>
      <c r="BQ705" t="str">
        <f>""</f>
        <v/>
      </c>
      <c r="BR705" t="str">
        <f>""</f>
        <v/>
      </c>
      <c r="BS705" t="str">
        <f>""</f>
        <v/>
      </c>
      <c r="BT705" t="str">
        <f>""</f>
        <v/>
      </c>
      <c r="BU705" t="str">
        <f>""</f>
        <v/>
      </c>
      <c r="BV705" t="str">
        <f>""</f>
        <v/>
      </c>
      <c r="BW705" t="str">
        <f>""</f>
        <v/>
      </c>
      <c r="BX705" t="str">
        <f>""</f>
        <v/>
      </c>
      <c r="BY705" t="str">
        <f>""</f>
        <v/>
      </c>
      <c r="BZ705" t="str">
        <f>""</f>
        <v/>
      </c>
      <c r="CA705" t="str">
        <f>""</f>
        <v/>
      </c>
      <c r="CB705" t="str">
        <f>""</f>
        <v/>
      </c>
      <c r="CC705" t="str">
        <f>""</f>
        <v/>
      </c>
      <c r="CD705" t="str">
        <f>""</f>
        <v/>
      </c>
      <c r="CE705" t="str">
        <f>""</f>
        <v/>
      </c>
      <c r="CF705" t="str">
        <f>""</f>
        <v/>
      </c>
      <c r="CG705" t="str">
        <f>""</f>
        <v/>
      </c>
      <c r="CH705" t="str">
        <f>""</f>
        <v/>
      </c>
      <c r="CI705" t="str">
        <f>""</f>
        <v/>
      </c>
      <c r="CJ705" t="str">
        <f>""</f>
        <v/>
      </c>
      <c r="CK705" t="str">
        <f>""</f>
        <v/>
      </c>
      <c r="CL705" t="str">
        <f>""</f>
        <v/>
      </c>
      <c r="CM705" t="str">
        <f>""</f>
        <v/>
      </c>
      <c r="CN705" t="str">
        <f>""</f>
        <v/>
      </c>
      <c r="CO705" t="str">
        <f>""</f>
        <v/>
      </c>
      <c r="CP705" t="str">
        <f>""</f>
        <v/>
      </c>
      <c r="CQ705" t="str">
        <f>""</f>
        <v/>
      </c>
      <c r="CR705" t="str">
        <f>""</f>
        <v/>
      </c>
      <c r="CS705" t="str">
        <f>""</f>
        <v/>
      </c>
      <c r="CT705" t="str">
        <f>""</f>
        <v/>
      </c>
      <c r="CU705" t="str">
        <f>""</f>
        <v/>
      </c>
      <c r="CV705" t="str">
        <f>""</f>
        <v/>
      </c>
      <c r="CW705" t="str">
        <f>""</f>
        <v/>
      </c>
      <c r="CX705" t="str">
        <f>""</f>
        <v/>
      </c>
      <c r="CY705" t="str">
        <f>""</f>
        <v/>
      </c>
      <c r="CZ705" t="str">
        <f>""</f>
        <v/>
      </c>
      <c r="DA705" t="str">
        <f>""</f>
        <v/>
      </c>
      <c r="DB705" t="str">
        <f>""</f>
        <v/>
      </c>
      <c r="DC705" t="str">
        <f>""</f>
        <v/>
      </c>
      <c r="DD705" t="str">
        <f>""</f>
        <v/>
      </c>
      <c r="DE705" t="str">
        <f>""</f>
        <v/>
      </c>
      <c r="DF705" t="str">
        <f>""</f>
        <v/>
      </c>
      <c r="DG705" t="str">
        <f>""</f>
        <v/>
      </c>
      <c r="DH705" t="str">
        <f>""</f>
        <v/>
      </c>
      <c r="DI705" t="str">
        <f>""</f>
        <v/>
      </c>
      <c r="DJ705" t="str">
        <f>""</f>
        <v/>
      </c>
      <c r="DK705" t="str">
        <f>""</f>
        <v/>
      </c>
      <c r="DL705" t="str">
        <f>""</f>
        <v/>
      </c>
      <c r="DM705" t="str">
        <f>""</f>
        <v/>
      </c>
      <c r="DN705" t="str">
        <f>""</f>
        <v/>
      </c>
      <c r="DO705" t="str">
        <f>""</f>
        <v/>
      </c>
      <c r="DP705" t="str">
        <f>""</f>
        <v/>
      </c>
      <c r="DQ705" t="str">
        <f>""</f>
        <v/>
      </c>
      <c r="DR705" t="str">
        <f>""</f>
        <v/>
      </c>
      <c r="DS705" t="str">
        <f>""</f>
        <v/>
      </c>
      <c r="DT705" t="str">
        <f>""</f>
        <v/>
      </c>
      <c r="DU705" t="str">
        <f>""</f>
        <v/>
      </c>
    </row>
    <row r="706" spans="1:125">
      <c r="A706" t="str">
        <f>$A$261</f>
        <v xml:space="preserve">    Brixmor Property Group Inc</v>
      </c>
      <c r="B706" t="str">
        <f>$B$261</f>
        <v>BRX US Equity</v>
      </c>
      <c r="C706" t="str">
        <f>$C$261</f>
        <v>RR052</v>
      </c>
      <c r="D706" t="str">
        <f>$D$261</f>
        <v>TOT_DEBT_TO_EBITDA</v>
      </c>
      <c r="E706" t="str">
        <f>$E$261</f>
        <v>动态</v>
      </c>
      <c r="F706" t="str">
        <f ca="1">BDH($B$261,$C$261,$B$417,$B$418,CONCATENATE("Per=",$B$415),"Dts=H","Dir=H",CONCATENATE("Points=",$B$416),"Sort=R","Days=A","Fill=B",CONCATENATE("FX=", $B$414) )</f>
        <v>#N/A Authorization</v>
      </c>
      <c r="BN706" t="str">
        <f>""</f>
        <v/>
      </c>
      <c r="BO706" t="str">
        <f>""</f>
        <v/>
      </c>
      <c r="BP706" t="str">
        <f>""</f>
        <v/>
      </c>
      <c r="BQ706" t="str">
        <f>""</f>
        <v/>
      </c>
      <c r="BR706" t="str">
        <f>""</f>
        <v/>
      </c>
      <c r="BS706" t="str">
        <f>""</f>
        <v/>
      </c>
      <c r="BT706" t="str">
        <f>""</f>
        <v/>
      </c>
      <c r="BU706" t="str">
        <f>""</f>
        <v/>
      </c>
      <c r="BV706" t="str">
        <f>""</f>
        <v/>
      </c>
      <c r="BW706" t="str">
        <f>""</f>
        <v/>
      </c>
      <c r="BX706" t="str">
        <f>""</f>
        <v/>
      </c>
      <c r="BY706" t="str">
        <f>""</f>
        <v/>
      </c>
      <c r="BZ706" t="str">
        <f>""</f>
        <v/>
      </c>
      <c r="CA706" t="str">
        <f>""</f>
        <v/>
      </c>
      <c r="CB706" t="str">
        <f>""</f>
        <v/>
      </c>
      <c r="CC706" t="str">
        <f>""</f>
        <v/>
      </c>
      <c r="CD706" t="str">
        <f>""</f>
        <v/>
      </c>
      <c r="CE706" t="str">
        <f>""</f>
        <v/>
      </c>
      <c r="CF706" t="str">
        <f>""</f>
        <v/>
      </c>
      <c r="CG706" t="str">
        <f>""</f>
        <v/>
      </c>
      <c r="CH706" t="str">
        <f>""</f>
        <v/>
      </c>
      <c r="CI706" t="str">
        <f>""</f>
        <v/>
      </c>
      <c r="CJ706" t="str">
        <f>""</f>
        <v/>
      </c>
      <c r="CK706" t="str">
        <f>""</f>
        <v/>
      </c>
      <c r="CL706" t="str">
        <f>""</f>
        <v/>
      </c>
      <c r="CM706" t="str">
        <f>""</f>
        <v/>
      </c>
      <c r="CN706" t="str">
        <f>""</f>
        <v/>
      </c>
      <c r="CO706" t="str">
        <f>""</f>
        <v/>
      </c>
      <c r="CP706" t="str">
        <f>""</f>
        <v/>
      </c>
      <c r="CQ706" t="str">
        <f>""</f>
        <v/>
      </c>
      <c r="CR706" t="str">
        <f>""</f>
        <v/>
      </c>
      <c r="CS706" t="str">
        <f>""</f>
        <v/>
      </c>
      <c r="CT706" t="str">
        <f>""</f>
        <v/>
      </c>
      <c r="CU706" t="str">
        <f>""</f>
        <v/>
      </c>
      <c r="CV706" t="str">
        <f>""</f>
        <v/>
      </c>
      <c r="CW706" t="str">
        <f>""</f>
        <v/>
      </c>
      <c r="CX706" t="str">
        <f>""</f>
        <v/>
      </c>
      <c r="CY706" t="str">
        <f>""</f>
        <v/>
      </c>
      <c r="CZ706" t="str">
        <f>""</f>
        <v/>
      </c>
      <c r="DA706" t="str">
        <f>""</f>
        <v/>
      </c>
      <c r="DB706" t="str">
        <f>""</f>
        <v/>
      </c>
      <c r="DC706" t="str">
        <f>""</f>
        <v/>
      </c>
      <c r="DD706" t="str">
        <f>""</f>
        <v/>
      </c>
      <c r="DE706" t="str">
        <f>""</f>
        <v/>
      </c>
      <c r="DF706" t="str">
        <f>""</f>
        <v/>
      </c>
      <c r="DG706" t="str">
        <f>""</f>
        <v/>
      </c>
      <c r="DH706" t="str">
        <f>""</f>
        <v/>
      </c>
      <c r="DI706" t="str">
        <f>""</f>
        <v/>
      </c>
      <c r="DJ706" t="str">
        <f>""</f>
        <v/>
      </c>
      <c r="DK706" t="str">
        <f>""</f>
        <v/>
      </c>
      <c r="DL706" t="str">
        <f>""</f>
        <v/>
      </c>
      <c r="DM706" t="str">
        <f>""</f>
        <v/>
      </c>
      <c r="DN706" t="str">
        <f>""</f>
        <v/>
      </c>
      <c r="DO706" t="str">
        <f>""</f>
        <v/>
      </c>
      <c r="DP706" t="str">
        <f>""</f>
        <v/>
      </c>
      <c r="DQ706" t="str">
        <f>""</f>
        <v/>
      </c>
      <c r="DR706" t="str">
        <f>""</f>
        <v/>
      </c>
      <c r="DS706" t="str">
        <f>""</f>
        <v/>
      </c>
      <c r="DT706" t="str">
        <f>""</f>
        <v/>
      </c>
      <c r="DU706" t="str">
        <f>""</f>
        <v/>
      </c>
    </row>
    <row r="707" spans="1:125">
      <c r="A707" t="str">
        <f>$A$262</f>
        <v xml:space="preserve">    CBL &amp; Associates Properties In</v>
      </c>
      <c r="B707" t="str">
        <f>$B$262</f>
        <v>CBL US Equity</v>
      </c>
      <c r="C707" t="str">
        <f>$C$262</f>
        <v>RR052</v>
      </c>
      <c r="D707" t="str">
        <f>$D$262</f>
        <v>TOT_DEBT_TO_EBITDA</v>
      </c>
      <c r="E707" t="str">
        <f>$E$262</f>
        <v>动态</v>
      </c>
      <c r="F707" t="str">
        <f ca="1">BDH($B$262,$C$262,$B$417,$B$418,CONCATENATE("Per=",$B$415),"Dts=H","Dir=H",CONCATENATE("Points=",$B$416),"Sort=R","Days=A","Fill=B",CONCATENATE("FX=", $B$414) )</f>
        <v>#N/A Authorization</v>
      </c>
      <c r="BN707" t="str">
        <f>""</f>
        <v/>
      </c>
      <c r="BO707" t="str">
        <f>""</f>
        <v/>
      </c>
      <c r="BP707" t="str">
        <f>""</f>
        <v/>
      </c>
      <c r="BQ707" t="str">
        <f>""</f>
        <v/>
      </c>
      <c r="BR707" t="str">
        <f>""</f>
        <v/>
      </c>
      <c r="BS707" t="str">
        <f>""</f>
        <v/>
      </c>
      <c r="BT707" t="str">
        <f>""</f>
        <v/>
      </c>
      <c r="BU707" t="str">
        <f>""</f>
        <v/>
      </c>
      <c r="BV707" t="str">
        <f>""</f>
        <v/>
      </c>
      <c r="BW707" t="str">
        <f>""</f>
        <v/>
      </c>
      <c r="BX707" t="str">
        <f>""</f>
        <v/>
      </c>
      <c r="BY707" t="str">
        <f>""</f>
        <v/>
      </c>
      <c r="BZ707" t="str">
        <f>""</f>
        <v/>
      </c>
      <c r="CA707" t="str">
        <f>""</f>
        <v/>
      </c>
      <c r="CB707" t="str">
        <f>""</f>
        <v/>
      </c>
      <c r="CC707" t="str">
        <f>""</f>
        <v/>
      </c>
      <c r="CD707" t="str">
        <f>""</f>
        <v/>
      </c>
      <c r="CE707" t="str">
        <f>""</f>
        <v/>
      </c>
      <c r="CF707" t="str">
        <f>""</f>
        <v/>
      </c>
      <c r="CG707" t="str">
        <f>""</f>
        <v/>
      </c>
      <c r="CH707" t="str">
        <f>""</f>
        <v/>
      </c>
      <c r="CI707" t="str">
        <f>""</f>
        <v/>
      </c>
      <c r="CJ707" t="str">
        <f>""</f>
        <v/>
      </c>
      <c r="CK707" t="str">
        <f>""</f>
        <v/>
      </c>
      <c r="CL707" t="str">
        <f>""</f>
        <v/>
      </c>
      <c r="CM707" t="str">
        <f>""</f>
        <v/>
      </c>
      <c r="CN707" t="str">
        <f>""</f>
        <v/>
      </c>
      <c r="CO707" t="str">
        <f>""</f>
        <v/>
      </c>
      <c r="CP707" t="str">
        <f>""</f>
        <v/>
      </c>
      <c r="CQ707" t="str">
        <f>""</f>
        <v/>
      </c>
      <c r="CR707" t="str">
        <f>""</f>
        <v/>
      </c>
      <c r="CS707" t="str">
        <f>""</f>
        <v/>
      </c>
      <c r="CT707" t="str">
        <f>""</f>
        <v/>
      </c>
      <c r="CU707" t="str">
        <f>""</f>
        <v/>
      </c>
      <c r="CV707" t="str">
        <f>""</f>
        <v/>
      </c>
      <c r="CW707" t="str">
        <f>""</f>
        <v/>
      </c>
      <c r="CX707" t="str">
        <f>""</f>
        <v/>
      </c>
      <c r="CY707" t="str">
        <f>""</f>
        <v/>
      </c>
      <c r="CZ707" t="str">
        <f>""</f>
        <v/>
      </c>
      <c r="DA707" t="str">
        <f>""</f>
        <v/>
      </c>
      <c r="DB707" t="str">
        <f>""</f>
        <v/>
      </c>
      <c r="DC707" t="str">
        <f>""</f>
        <v/>
      </c>
      <c r="DD707" t="str">
        <f>""</f>
        <v/>
      </c>
      <c r="DE707" t="str">
        <f>""</f>
        <v/>
      </c>
      <c r="DF707" t="str">
        <f>""</f>
        <v/>
      </c>
      <c r="DG707" t="str">
        <f>""</f>
        <v/>
      </c>
      <c r="DH707" t="str">
        <f>""</f>
        <v/>
      </c>
      <c r="DI707" t="str">
        <f>""</f>
        <v/>
      </c>
      <c r="DJ707" t="str">
        <f>""</f>
        <v/>
      </c>
      <c r="DK707" t="str">
        <f>""</f>
        <v/>
      </c>
      <c r="DL707" t="str">
        <f>""</f>
        <v/>
      </c>
      <c r="DM707" t="str">
        <f>""</f>
        <v/>
      </c>
      <c r="DN707" t="str">
        <f>""</f>
        <v/>
      </c>
      <c r="DO707" t="str">
        <f>""</f>
        <v/>
      </c>
      <c r="DP707" t="str">
        <f>""</f>
        <v/>
      </c>
      <c r="DQ707" t="str">
        <f>""</f>
        <v/>
      </c>
      <c r="DR707" t="str">
        <f>""</f>
        <v/>
      </c>
      <c r="DS707" t="str">
        <f>""</f>
        <v/>
      </c>
      <c r="DT707" t="str">
        <f>""</f>
        <v/>
      </c>
      <c r="DU707" t="str">
        <f>""</f>
        <v/>
      </c>
    </row>
    <row r="708" spans="1:125">
      <c r="A708" t="str">
        <f>$A$263</f>
        <v xml:space="preserve">    DDR Corp</v>
      </c>
      <c r="B708" t="str">
        <f>$B$263</f>
        <v>DDR US Equity</v>
      </c>
      <c r="C708" t="str">
        <f>$C$263</f>
        <v>RR052</v>
      </c>
      <c r="D708" t="str">
        <f>$D$263</f>
        <v>TOT_DEBT_TO_EBITDA</v>
      </c>
      <c r="E708" t="str">
        <f>$E$263</f>
        <v>动态</v>
      </c>
      <c r="F708" t="str">
        <f ca="1">BDH($B$263,$C$263,$B$417,$B$418,CONCATENATE("Per=",$B$415),"Dts=H","Dir=H",CONCATENATE("Points=",$B$416),"Sort=R","Days=A","Fill=B",CONCATENATE("FX=", $B$414) )</f>
        <v>#N/A Authorization</v>
      </c>
      <c r="BN708" t="str">
        <f>""</f>
        <v/>
      </c>
      <c r="BO708" t="str">
        <f>""</f>
        <v/>
      </c>
      <c r="BP708" t="str">
        <f>""</f>
        <v/>
      </c>
      <c r="BQ708" t="str">
        <f>""</f>
        <v/>
      </c>
      <c r="BR708" t="str">
        <f>""</f>
        <v/>
      </c>
      <c r="BS708" t="str">
        <f>""</f>
        <v/>
      </c>
      <c r="BT708" t="str">
        <f>""</f>
        <v/>
      </c>
      <c r="BU708" t="str">
        <f>""</f>
        <v/>
      </c>
      <c r="BV708" t="str">
        <f>""</f>
        <v/>
      </c>
      <c r="BW708" t="str">
        <f>""</f>
        <v/>
      </c>
      <c r="BX708" t="str">
        <f>""</f>
        <v/>
      </c>
      <c r="BY708" t="str">
        <f>""</f>
        <v/>
      </c>
      <c r="BZ708" t="str">
        <f>""</f>
        <v/>
      </c>
      <c r="CA708" t="str">
        <f>""</f>
        <v/>
      </c>
      <c r="CB708" t="str">
        <f>""</f>
        <v/>
      </c>
      <c r="CC708" t="str">
        <f>""</f>
        <v/>
      </c>
      <c r="CD708" t="str">
        <f>""</f>
        <v/>
      </c>
      <c r="CE708" t="str">
        <f>""</f>
        <v/>
      </c>
      <c r="CF708" t="str">
        <f>""</f>
        <v/>
      </c>
      <c r="CG708" t="str">
        <f>""</f>
        <v/>
      </c>
      <c r="CH708" t="str">
        <f>""</f>
        <v/>
      </c>
      <c r="CI708" t="str">
        <f>""</f>
        <v/>
      </c>
      <c r="CJ708" t="str">
        <f>""</f>
        <v/>
      </c>
      <c r="CK708" t="str">
        <f>""</f>
        <v/>
      </c>
      <c r="CL708" t="str">
        <f>""</f>
        <v/>
      </c>
      <c r="CM708" t="str">
        <f>""</f>
        <v/>
      </c>
      <c r="CN708" t="str">
        <f>""</f>
        <v/>
      </c>
      <c r="CO708" t="str">
        <f>""</f>
        <v/>
      </c>
      <c r="CP708" t="str">
        <f>""</f>
        <v/>
      </c>
      <c r="CQ708" t="str">
        <f>""</f>
        <v/>
      </c>
      <c r="CR708" t="str">
        <f>""</f>
        <v/>
      </c>
      <c r="CS708" t="str">
        <f>""</f>
        <v/>
      </c>
      <c r="CT708" t="str">
        <f>""</f>
        <v/>
      </c>
      <c r="CU708" t="str">
        <f>""</f>
        <v/>
      </c>
      <c r="CV708" t="str">
        <f>""</f>
        <v/>
      </c>
      <c r="CW708" t="str">
        <f>""</f>
        <v/>
      </c>
      <c r="CX708" t="str">
        <f>""</f>
        <v/>
      </c>
      <c r="CY708" t="str">
        <f>""</f>
        <v/>
      </c>
      <c r="CZ708" t="str">
        <f>""</f>
        <v/>
      </c>
      <c r="DA708" t="str">
        <f>""</f>
        <v/>
      </c>
      <c r="DB708" t="str">
        <f>""</f>
        <v/>
      </c>
      <c r="DC708" t="str">
        <f>""</f>
        <v/>
      </c>
      <c r="DD708" t="str">
        <f>""</f>
        <v/>
      </c>
      <c r="DE708" t="str">
        <f>""</f>
        <v/>
      </c>
      <c r="DF708" t="str">
        <f>""</f>
        <v/>
      </c>
      <c r="DG708" t="str">
        <f>""</f>
        <v/>
      </c>
      <c r="DH708" t="str">
        <f>""</f>
        <v/>
      </c>
      <c r="DI708" t="str">
        <f>""</f>
        <v/>
      </c>
      <c r="DJ708" t="str">
        <f>""</f>
        <v/>
      </c>
      <c r="DK708" t="str">
        <f>""</f>
        <v/>
      </c>
      <c r="DL708" t="str">
        <f>""</f>
        <v/>
      </c>
      <c r="DM708" t="str">
        <f>""</f>
        <v/>
      </c>
      <c r="DN708" t="str">
        <f>""</f>
        <v/>
      </c>
      <c r="DO708" t="str">
        <f>""</f>
        <v/>
      </c>
      <c r="DP708" t="str">
        <f>""</f>
        <v/>
      </c>
      <c r="DQ708" t="str">
        <f>""</f>
        <v/>
      </c>
      <c r="DR708" t="str">
        <f>""</f>
        <v/>
      </c>
      <c r="DS708" t="str">
        <f>""</f>
        <v/>
      </c>
      <c r="DT708" t="str">
        <f>""</f>
        <v/>
      </c>
      <c r="DU708" t="str">
        <f>""</f>
        <v/>
      </c>
    </row>
    <row r="709" spans="1:125">
      <c r="A709" t="str">
        <f>$A$264</f>
        <v xml:space="preserve">    Federal Realty Investment Trus</v>
      </c>
      <c r="B709" t="str">
        <f>$B$264</f>
        <v>FRT US Equity</v>
      </c>
      <c r="C709" t="str">
        <f>$C$264</f>
        <v>RR052</v>
      </c>
      <c r="D709" t="str">
        <f>$D$264</f>
        <v>TOT_DEBT_TO_EBITDA</v>
      </c>
      <c r="E709" t="str">
        <f>$E$264</f>
        <v>动态</v>
      </c>
      <c r="F709" t="str">
        <f ca="1">BDH($B$264,$C$264,$B$417,$B$418,CONCATENATE("Per=",$B$415),"Dts=H","Dir=H",CONCATENATE("Points=",$B$416),"Sort=R","Days=A","Fill=B",CONCATENATE("FX=", $B$414) )</f>
        <v>#N/A Authorization</v>
      </c>
      <c r="BN709" t="str">
        <f>""</f>
        <v/>
      </c>
      <c r="BO709" t="str">
        <f>""</f>
        <v/>
      </c>
      <c r="BP709" t="str">
        <f>""</f>
        <v/>
      </c>
      <c r="BQ709" t="str">
        <f>""</f>
        <v/>
      </c>
      <c r="BR709" t="str">
        <f>""</f>
        <v/>
      </c>
      <c r="BS709" t="str">
        <f>""</f>
        <v/>
      </c>
      <c r="BT709" t="str">
        <f>""</f>
        <v/>
      </c>
      <c r="BU709" t="str">
        <f>""</f>
        <v/>
      </c>
      <c r="BV709" t="str">
        <f>""</f>
        <v/>
      </c>
      <c r="BW709" t="str">
        <f>""</f>
        <v/>
      </c>
      <c r="BX709" t="str">
        <f>""</f>
        <v/>
      </c>
      <c r="BY709" t="str">
        <f>""</f>
        <v/>
      </c>
      <c r="BZ709" t="str">
        <f>""</f>
        <v/>
      </c>
      <c r="CA709" t="str">
        <f>""</f>
        <v/>
      </c>
      <c r="CB709" t="str">
        <f>""</f>
        <v/>
      </c>
      <c r="CC709" t="str">
        <f>""</f>
        <v/>
      </c>
      <c r="CD709" t="str">
        <f>""</f>
        <v/>
      </c>
      <c r="CE709" t="str">
        <f>""</f>
        <v/>
      </c>
      <c r="CF709" t="str">
        <f>""</f>
        <v/>
      </c>
      <c r="CG709" t="str">
        <f>""</f>
        <v/>
      </c>
      <c r="CH709" t="str">
        <f>""</f>
        <v/>
      </c>
      <c r="CI709" t="str">
        <f>""</f>
        <v/>
      </c>
      <c r="CJ709" t="str">
        <f>""</f>
        <v/>
      </c>
      <c r="CK709" t="str">
        <f>""</f>
        <v/>
      </c>
      <c r="CL709" t="str">
        <f>""</f>
        <v/>
      </c>
      <c r="CM709" t="str">
        <f>""</f>
        <v/>
      </c>
      <c r="CN709" t="str">
        <f>""</f>
        <v/>
      </c>
      <c r="CO709" t="str">
        <f>""</f>
        <v/>
      </c>
      <c r="CP709" t="str">
        <f>""</f>
        <v/>
      </c>
      <c r="CQ709" t="str">
        <f>""</f>
        <v/>
      </c>
      <c r="CR709" t="str">
        <f>""</f>
        <v/>
      </c>
      <c r="CS709" t="str">
        <f>""</f>
        <v/>
      </c>
      <c r="CT709" t="str">
        <f>""</f>
        <v/>
      </c>
      <c r="CU709" t="str">
        <f>""</f>
        <v/>
      </c>
      <c r="CV709" t="str">
        <f>""</f>
        <v/>
      </c>
      <c r="CW709" t="str">
        <f>""</f>
        <v/>
      </c>
      <c r="CX709" t="str">
        <f>""</f>
        <v/>
      </c>
      <c r="CY709" t="str">
        <f>""</f>
        <v/>
      </c>
      <c r="CZ709" t="str">
        <f>""</f>
        <v/>
      </c>
      <c r="DA709" t="str">
        <f>""</f>
        <v/>
      </c>
      <c r="DB709" t="str">
        <f>""</f>
        <v/>
      </c>
      <c r="DC709" t="str">
        <f>""</f>
        <v/>
      </c>
      <c r="DD709" t="str">
        <f>""</f>
        <v/>
      </c>
      <c r="DE709" t="str">
        <f>""</f>
        <v/>
      </c>
      <c r="DF709" t="str">
        <f>""</f>
        <v/>
      </c>
      <c r="DG709" t="str">
        <f>""</f>
        <v/>
      </c>
      <c r="DH709" t="str">
        <f>""</f>
        <v/>
      </c>
      <c r="DI709" t="str">
        <f>""</f>
        <v/>
      </c>
      <c r="DJ709" t="str">
        <f>""</f>
        <v/>
      </c>
      <c r="DK709" t="str">
        <f>""</f>
        <v/>
      </c>
      <c r="DL709" t="str">
        <f>""</f>
        <v/>
      </c>
      <c r="DM709" t="str">
        <f>""</f>
        <v/>
      </c>
      <c r="DN709" t="str">
        <f>""</f>
        <v/>
      </c>
      <c r="DO709" t="str">
        <f>""</f>
        <v/>
      </c>
      <c r="DP709" t="str">
        <f>""</f>
        <v/>
      </c>
      <c r="DQ709" t="str">
        <f>""</f>
        <v/>
      </c>
      <c r="DR709" t="str">
        <f>""</f>
        <v/>
      </c>
      <c r="DS709" t="str">
        <f>""</f>
        <v/>
      </c>
      <c r="DT709" t="str">
        <f>""</f>
        <v/>
      </c>
      <c r="DU709" t="str">
        <f>""</f>
        <v/>
      </c>
    </row>
    <row r="710" spans="1:125">
      <c r="A710" t="str">
        <f>$A$265</f>
        <v xml:space="preserve">    Kimco Realty Corp</v>
      </c>
      <c r="B710" t="str">
        <f>$B$265</f>
        <v>KIM US Equity</v>
      </c>
      <c r="C710" t="str">
        <f>$C$265</f>
        <v>RR052</v>
      </c>
      <c r="D710" t="str">
        <f>$D$265</f>
        <v>TOT_DEBT_TO_EBITDA</v>
      </c>
      <c r="E710" t="str">
        <f>$E$265</f>
        <v>动态</v>
      </c>
      <c r="F710" t="str">
        <f ca="1">BDH($B$265,$C$265,$B$417,$B$418,CONCATENATE("Per=",$B$415),"Dts=H","Dir=H",CONCATENATE("Points=",$B$416),"Sort=R","Days=A","Fill=B",CONCATENATE("FX=", $B$414) )</f>
        <v>#N/A Authorization</v>
      </c>
      <c r="BN710" t="str">
        <f>""</f>
        <v/>
      </c>
      <c r="BO710" t="str">
        <f>""</f>
        <v/>
      </c>
      <c r="BP710" t="str">
        <f>""</f>
        <v/>
      </c>
      <c r="BQ710" t="str">
        <f>""</f>
        <v/>
      </c>
      <c r="BR710" t="str">
        <f>""</f>
        <v/>
      </c>
      <c r="BS710" t="str">
        <f>""</f>
        <v/>
      </c>
      <c r="BT710" t="str">
        <f>""</f>
        <v/>
      </c>
      <c r="BU710" t="str">
        <f>""</f>
        <v/>
      </c>
      <c r="BV710" t="str">
        <f>""</f>
        <v/>
      </c>
      <c r="BW710" t="str">
        <f>""</f>
        <v/>
      </c>
      <c r="BX710" t="str">
        <f>""</f>
        <v/>
      </c>
      <c r="BY710" t="str">
        <f>""</f>
        <v/>
      </c>
      <c r="BZ710" t="str">
        <f>""</f>
        <v/>
      </c>
      <c r="CA710" t="str">
        <f>""</f>
        <v/>
      </c>
      <c r="CB710" t="str">
        <f>""</f>
        <v/>
      </c>
      <c r="CC710" t="str">
        <f>""</f>
        <v/>
      </c>
      <c r="CD710" t="str">
        <f>""</f>
        <v/>
      </c>
      <c r="CE710" t="str">
        <f>""</f>
        <v/>
      </c>
      <c r="CF710" t="str">
        <f>""</f>
        <v/>
      </c>
      <c r="CG710" t="str">
        <f>""</f>
        <v/>
      </c>
      <c r="CH710" t="str">
        <f>""</f>
        <v/>
      </c>
      <c r="CI710" t="str">
        <f>""</f>
        <v/>
      </c>
      <c r="CJ710" t="str">
        <f>""</f>
        <v/>
      </c>
      <c r="CK710" t="str">
        <f>""</f>
        <v/>
      </c>
      <c r="CL710" t="str">
        <f>""</f>
        <v/>
      </c>
      <c r="CM710" t="str">
        <f>""</f>
        <v/>
      </c>
      <c r="CN710" t="str">
        <f>""</f>
        <v/>
      </c>
      <c r="CO710" t="str">
        <f>""</f>
        <v/>
      </c>
      <c r="CP710" t="str">
        <f>""</f>
        <v/>
      </c>
      <c r="CQ710" t="str">
        <f>""</f>
        <v/>
      </c>
      <c r="CR710" t="str">
        <f>""</f>
        <v/>
      </c>
      <c r="CS710" t="str">
        <f>""</f>
        <v/>
      </c>
      <c r="CT710" t="str">
        <f>""</f>
        <v/>
      </c>
      <c r="CU710" t="str">
        <f>""</f>
        <v/>
      </c>
      <c r="CV710" t="str">
        <f>""</f>
        <v/>
      </c>
      <c r="CW710" t="str">
        <f>""</f>
        <v/>
      </c>
      <c r="CX710" t="str">
        <f>""</f>
        <v/>
      </c>
      <c r="CY710" t="str">
        <f>""</f>
        <v/>
      </c>
      <c r="CZ710" t="str">
        <f>""</f>
        <v/>
      </c>
      <c r="DA710" t="str">
        <f>""</f>
        <v/>
      </c>
      <c r="DB710" t="str">
        <f>""</f>
        <v/>
      </c>
      <c r="DC710" t="str">
        <f>""</f>
        <v/>
      </c>
      <c r="DD710" t="str">
        <f>""</f>
        <v/>
      </c>
      <c r="DE710" t="str">
        <f>""</f>
        <v/>
      </c>
      <c r="DF710" t="str">
        <f>""</f>
        <v/>
      </c>
      <c r="DG710" t="str">
        <f>""</f>
        <v/>
      </c>
      <c r="DH710" t="str">
        <f>""</f>
        <v/>
      </c>
      <c r="DI710" t="str">
        <f>""</f>
        <v/>
      </c>
      <c r="DJ710" t="str">
        <f>""</f>
        <v/>
      </c>
      <c r="DK710" t="str">
        <f>""</f>
        <v/>
      </c>
      <c r="DL710" t="str">
        <f>""</f>
        <v/>
      </c>
      <c r="DM710" t="str">
        <f>""</f>
        <v/>
      </c>
      <c r="DN710" t="str">
        <f>""</f>
        <v/>
      </c>
      <c r="DO710" t="str">
        <f>""</f>
        <v/>
      </c>
      <c r="DP710" t="str">
        <f>""</f>
        <v/>
      </c>
      <c r="DQ710" t="str">
        <f>""</f>
        <v/>
      </c>
      <c r="DR710" t="str">
        <f>""</f>
        <v/>
      </c>
      <c r="DS710" t="str">
        <f>""</f>
        <v/>
      </c>
      <c r="DT710" t="str">
        <f>""</f>
        <v/>
      </c>
      <c r="DU710" t="str">
        <f>""</f>
        <v/>
      </c>
    </row>
    <row r="711" spans="1:125">
      <c r="A711" t="str">
        <f>$A$266</f>
        <v xml:space="preserve">    National Retail Properties Inc</v>
      </c>
      <c r="B711" t="str">
        <f>$B$266</f>
        <v>NNN US Equity</v>
      </c>
      <c r="C711" t="str">
        <f>$C$266</f>
        <v>RR052</v>
      </c>
      <c r="D711" t="str">
        <f>$D$266</f>
        <v>TOT_DEBT_TO_EBITDA</v>
      </c>
      <c r="E711" t="str">
        <f>$E$266</f>
        <v>动态</v>
      </c>
      <c r="F711" t="str">
        <f ca="1">BDH($B$266,$C$266,$B$417,$B$418,CONCATENATE("Per=",$B$415),"Dts=H","Dir=H",CONCATENATE("Points=",$B$416),"Sort=R","Days=A","Fill=B",CONCATENATE("FX=", $B$414) )</f>
        <v>#N/A Authorization</v>
      </c>
      <c r="BN711" t="str">
        <f>""</f>
        <v/>
      </c>
      <c r="BO711" t="str">
        <f>""</f>
        <v/>
      </c>
      <c r="BP711" t="str">
        <f>""</f>
        <v/>
      </c>
      <c r="BQ711" t="str">
        <f>""</f>
        <v/>
      </c>
      <c r="BR711" t="str">
        <f>""</f>
        <v/>
      </c>
      <c r="BS711" t="str">
        <f>""</f>
        <v/>
      </c>
      <c r="BT711" t="str">
        <f>""</f>
        <v/>
      </c>
      <c r="BU711" t="str">
        <f>""</f>
        <v/>
      </c>
      <c r="BV711" t="str">
        <f>""</f>
        <v/>
      </c>
      <c r="BW711" t="str">
        <f>""</f>
        <v/>
      </c>
      <c r="BX711" t="str">
        <f>""</f>
        <v/>
      </c>
      <c r="BY711" t="str">
        <f>""</f>
        <v/>
      </c>
      <c r="BZ711" t="str">
        <f>""</f>
        <v/>
      </c>
      <c r="CA711" t="str">
        <f>""</f>
        <v/>
      </c>
      <c r="CB711" t="str">
        <f>""</f>
        <v/>
      </c>
      <c r="CC711" t="str">
        <f>""</f>
        <v/>
      </c>
      <c r="CD711" t="str">
        <f>""</f>
        <v/>
      </c>
      <c r="CE711" t="str">
        <f>""</f>
        <v/>
      </c>
      <c r="CF711" t="str">
        <f>""</f>
        <v/>
      </c>
      <c r="CG711" t="str">
        <f>""</f>
        <v/>
      </c>
      <c r="CH711" t="str">
        <f>""</f>
        <v/>
      </c>
      <c r="CI711" t="str">
        <f>""</f>
        <v/>
      </c>
      <c r="CJ711" t="str">
        <f>""</f>
        <v/>
      </c>
      <c r="CK711" t="str">
        <f>""</f>
        <v/>
      </c>
      <c r="CL711" t="str">
        <f>""</f>
        <v/>
      </c>
      <c r="CM711" t="str">
        <f>""</f>
        <v/>
      </c>
      <c r="CN711" t="str">
        <f>""</f>
        <v/>
      </c>
      <c r="CO711" t="str">
        <f>""</f>
        <v/>
      </c>
      <c r="CP711" t="str">
        <f>""</f>
        <v/>
      </c>
      <c r="CQ711" t="str">
        <f>""</f>
        <v/>
      </c>
      <c r="CR711" t="str">
        <f>""</f>
        <v/>
      </c>
      <c r="CS711" t="str">
        <f>""</f>
        <v/>
      </c>
      <c r="CT711" t="str">
        <f>""</f>
        <v/>
      </c>
      <c r="CU711" t="str">
        <f>""</f>
        <v/>
      </c>
      <c r="CV711" t="str">
        <f>""</f>
        <v/>
      </c>
      <c r="CW711" t="str">
        <f>""</f>
        <v/>
      </c>
      <c r="CX711" t="str">
        <f>""</f>
        <v/>
      </c>
      <c r="CY711" t="str">
        <f>""</f>
        <v/>
      </c>
      <c r="CZ711" t="str">
        <f>""</f>
        <v/>
      </c>
      <c r="DA711" t="str">
        <f>""</f>
        <v/>
      </c>
      <c r="DB711" t="str">
        <f>""</f>
        <v/>
      </c>
      <c r="DC711" t="str">
        <f>""</f>
        <v/>
      </c>
      <c r="DD711" t="str">
        <f>""</f>
        <v/>
      </c>
      <c r="DE711" t="str">
        <f>""</f>
        <v/>
      </c>
      <c r="DF711" t="str">
        <f>""</f>
        <v/>
      </c>
      <c r="DG711" t="str">
        <f>""</f>
        <v/>
      </c>
      <c r="DH711" t="str">
        <f>""</f>
        <v/>
      </c>
      <c r="DI711" t="str">
        <f>""</f>
        <v/>
      </c>
      <c r="DJ711" t="str">
        <f>""</f>
        <v/>
      </c>
      <c r="DK711" t="str">
        <f>""</f>
        <v/>
      </c>
      <c r="DL711" t="str">
        <f>""</f>
        <v/>
      </c>
      <c r="DM711" t="str">
        <f>""</f>
        <v/>
      </c>
      <c r="DN711" t="str">
        <f>""</f>
        <v/>
      </c>
      <c r="DO711" t="str">
        <f>""</f>
        <v/>
      </c>
      <c r="DP711" t="str">
        <f>""</f>
        <v/>
      </c>
      <c r="DQ711" t="str">
        <f>""</f>
        <v/>
      </c>
      <c r="DR711" t="str">
        <f>""</f>
        <v/>
      </c>
      <c r="DS711" t="str">
        <f>""</f>
        <v/>
      </c>
      <c r="DT711" t="str">
        <f>""</f>
        <v/>
      </c>
      <c r="DU711" t="str">
        <f>""</f>
        <v/>
      </c>
    </row>
    <row r="712" spans="1:125">
      <c r="A712" t="str">
        <f>$A$267</f>
        <v xml:space="preserve">    Realty Income Corp</v>
      </c>
      <c r="B712" t="str">
        <f>$B$267</f>
        <v>O US Equity</v>
      </c>
      <c r="C712" t="str">
        <f>$C$267</f>
        <v>RR052</v>
      </c>
      <c r="D712" t="str">
        <f>$D$267</f>
        <v>TOT_DEBT_TO_EBITDA</v>
      </c>
      <c r="E712" t="str">
        <f>$E$267</f>
        <v>动态</v>
      </c>
      <c r="F712" t="str">
        <f ca="1">BDH($B$267,$C$267,$B$417,$B$418,CONCATENATE("Per=",$B$415),"Dts=H","Dir=H",CONCATENATE("Points=",$B$416),"Sort=R","Days=A","Fill=B",CONCATENATE("FX=", $B$414) )</f>
        <v>#N/A Authorization</v>
      </c>
      <c r="BN712" t="str">
        <f>""</f>
        <v/>
      </c>
      <c r="BO712" t="str">
        <f>""</f>
        <v/>
      </c>
      <c r="BP712" t="str">
        <f>""</f>
        <v/>
      </c>
      <c r="BQ712" t="str">
        <f>""</f>
        <v/>
      </c>
      <c r="BR712" t="str">
        <f>""</f>
        <v/>
      </c>
      <c r="BS712" t="str">
        <f>""</f>
        <v/>
      </c>
      <c r="BT712" t="str">
        <f>""</f>
        <v/>
      </c>
      <c r="BU712" t="str">
        <f>""</f>
        <v/>
      </c>
      <c r="BV712" t="str">
        <f>""</f>
        <v/>
      </c>
      <c r="BW712" t="str">
        <f>""</f>
        <v/>
      </c>
      <c r="BX712" t="str">
        <f>""</f>
        <v/>
      </c>
      <c r="BY712" t="str">
        <f>""</f>
        <v/>
      </c>
      <c r="BZ712" t="str">
        <f>""</f>
        <v/>
      </c>
      <c r="CA712" t="str">
        <f>""</f>
        <v/>
      </c>
      <c r="CB712" t="str">
        <f>""</f>
        <v/>
      </c>
      <c r="CC712" t="str">
        <f>""</f>
        <v/>
      </c>
      <c r="CD712" t="str">
        <f>""</f>
        <v/>
      </c>
      <c r="CE712" t="str">
        <f>""</f>
        <v/>
      </c>
      <c r="CF712" t="str">
        <f>""</f>
        <v/>
      </c>
      <c r="CG712" t="str">
        <f>""</f>
        <v/>
      </c>
      <c r="CH712" t="str">
        <f>""</f>
        <v/>
      </c>
      <c r="CI712" t="str">
        <f>""</f>
        <v/>
      </c>
      <c r="CJ712" t="str">
        <f>""</f>
        <v/>
      </c>
      <c r="CK712" t="str">
        <f>""</f>
        <v/>
      </c>
      <c r="CL712" t="str">
        <f>""</f>
        <v/>
      </c>
      <c r="CM712" t="str">
        <f>""</f>
        <v/>
      </c>
      <c r="CN712" t="str">
        <f>""</f>
        <v/>
      </c>
      <c r="CO712" t="str">
        <f>""</f>
        <v/>
      </c>
      <c r="CP712" t="str">
        <f>""</f>
        <v/>
      </c>
      <c r="CQ712" t="str">
        <f>""</f>
        <v/>
      </c>
      <c r="CR712" t="str">
        <f>""</f>
        <v/>
      </c>
      <c r="CS712" t="str">
        <f>""</f>
        <v/>
      </c>
      <c r="CT712" t="str">
        <f>""</f>
        <v/>
      </c>
      <c r="CU712" t="str">
        <f>""</f>
        <v/>
      </c>
      <c r="CV712" t="str">
        <f>""</f>
        <v/>
      </c>
      <c r="CW712" t="str">
        <f>""</f>
        <v/>
      </c>
      <c r="CX712" t="str">
        <f>""</f>
        <v/>
      </c>
      <c r="CY712" t="str">
        <f>""</f>
        <v/>
      </c>
      <c r="CZ712" t="str">
        <f>""</f>
        <v/>
      </c>
      <c r="DA712" t="str">
        <f>""</f>
        <v/>
      </c>
      <c r="DB712" t="str">
        <f>""</f>
        <v/>
      </c>
      <c r="DC712" t="str">
        <f>""</f>
        <v/>
      </c>
      <c r="DD712" t="str">
        <f>""</f>
        <v/>
      </c>
      <c r="DE712" t="str">
        <f>""</f>
        <v/>
      </c>
      <c r="DF712" t="str">
        <f>""</f>
        <v/>
      </c>
      <c r="DG712" t="str">
        <f>""</f>
        <v/>
      </c>
      <c r="DH712" t="str">
        <f>""</f>
        <v/>
      </c>
      <c r="DI712" t="str">
        <f>""</f>
        <v/>
      </c>
      <c r="DJ712" t="str">
        <f>""</f>
        <v/>
      </c>
      <c r="DK712" t="str">
        <f>""</f>
        <v/>
      </c>
      <c r="DL712" t="str">
        <f>""</f>
        <v/>
      </c>
      <c r="DM712" t="str">
        <f>""</f>
        <v/>
      </c>
      <c r="DN712" t="str">
        <f>""</f>
        <v/>
      </c>
      <c r="DO712" t="str">
        <f>""</f>
        <v/>
      </c>
      <c r="DP712" t="str">
        <f>""</f>
        <v/>
      </c>
      <c r="DQ712" t="str">
        <f>""</f>
        <v/>
      </c>
      <c r="DR712" t="str">
        <f>""</f>
        <v/>
      </c>
      <c r="DS712" t="str">
        <f>""</f>
        <v/>
      </c>
      <c r="DT712" t="str">
        <f>""</f>
        <v/>
      </c>
      <c r="DU712" t="str">
        <f>""</f>
        <v/>
      </c>
    </row>
    <row r="713" spans="1:125">
      <c r="A713" t="str">
        <f>$A$268</f>
        <v xml:space="preserve">    Regency Centers Corp</v>
      </c>
      <c r="B713" t="str">
        <f>$B$268</f>
        <v>REG US Equity</v>
      </c>
      <c r="C713" t="str">
        <f>$C$268</f>
        <v>RR052</v>
      </c>
      <c r="D713" t="str">
        <f>$D$268</f>
        <v>TOT_DEBT_TO_EBITDA</v>
      </c>
      <c r="E713" t="str">
        <f>$E$268</f>
        <v>动态</v>
      </c>
      <c r="F713" t="str">
        <f ca="1">BDH($B$268,$C$268,$B$417,$B$418,CONCATENATE("Per=",$B$415),"Dts=H","Dir=H",CONCATENATE("Points=",$B$416),"Sort=R","Days=A","Fill=B",CONCATENATE("FX=", $B$414) )</f>
        <v>#N/A Authorization</v>
      </c>
      <c r="BN713" t="str">
        <f>""</f>
        <v/>
      </c>
      <c r="BO713" t="str">
        <f>""</f>
        <v/>
      </c>
      <c r="BP713" t="str">
        <f>""</f>
        <v/>
      </c>
      <c r="BQ713" t="str">
        <f>""</f>
        <v/>
      </c>
      <c r="BR713" t="str">
        <f>""</f>
        <v/>
      </c>
      <c r="BS713" t="str">
        <f>""</f>
        <v/>
      </c>
      <c r="BT713" t="str">
        <f>""</f>
        <v/>
      </c>
      <c r="BU713" t="str">
        <f>""</f>
        <v/>
      </c>
      <c r="BV713" t="str">
        <f>""</f>
        <v/>
      </c>
      <c r="BW713" t="str">
        <f>""</f>
        <v/>
      </c>
      <c r="BX713" t="str">
        <f>""</f>
        <v/>
      </c>
      <c r="BY713" t="str">
        <f>""</f>
        <v/>
      </c>
      <c r="BZ713" t="str">
        <f>""</f>
        <v/>
      </c>
      <c r="CA713" t="str">
        <f>""</f>
        <v/>
      </c>
      <c r="CB713" t="str">
        <f>""</f>
        <v/>
      </c>
      <c r="CC713" t="str">
        <f>""</f>
        <v/>
      </c>
      <c r="CD713" t="str">
        <f>""</f>
        <v/>
      </c>
      <c r="CE713" t="str">
        <f>""</f>
        <v/>
      </c>
      <c r="CF713" t="str">
        <f>""</f>
        <v/>
      </c>
      <c r="CG713" t="str">
        <f>""</f>
        <v/>
      </c>
      <c r="CH713" t="str">
        <f>""</f>
        <v/>
      </c>
      <c r="CI713" t="str">
        <f>""</f>
        <v/>
      </c>
      <c r="CJ713" t="str">
        <f>""</f>
        <v/>
      </c>
      <c r="CK713" t="str">
        <f>""</f>
        <v/>
      </c>
      <c r="CL713" t="str">
        <f>""</f>
        <v/>
      </c>
      <c r="CM713" t="str">
        <f>""</f>
        <v/>
      </c>
      <c r="CN713" t="str">
        <f>""</f>
        <v/>
      </c>
      <c r="CO713" t="str">
        <f>""</f>
        <v/>
      </c>
      <c r="CP713" t="str">
        <f>""</f>
        <v/>
      </c>
      <c r="CQ713" t="str">
        <f>""</f>
        <v/>
      </c>
      <c r="CR713" t="str">
        <f>""</f>
        <v/>
      </c>
      <c r="CS713" t="str">
        <f>""</f>
        <v/>
      </c>
      <c r="CT713" t="str">
        <f>""</f>
        <v/>
      </c>
      <c r="CU713" t="str">
        <f>""</f>
        <v/>
      </c>
      <c r="CV713" t="str">
        <f>""</f>
        <v/>
      </c>
      <c r="CW713" t="str">
        <f>""</f>
        <v/>
      </c>
      <c r="CX713" t="str">
        <f>""</f>
        <v/>
      </c>
      <c r="CY713" t="str">
        <f>""</f>
        <v/>
      </c>
      <c r="CZ713" t="str">
        <f>""</f>
        <v/>
      </c>
      <c r="DA713" t="str">
        <f>""</f>
        <v/>
      </c>
      <c r="DB713" t="str">
        <f>""</f>
        <v/>
      </c>
      <c r="DC713" t="str">
        <f>""</f>
        <v/>
      </c>
      <c r="DD713" t="str">
        <f>""</f>
        <v/>
      </c>
      <c r="DE713" t="str">
        <f>""</f>
        <v/>
      </c>
      <c r="DF713" t="str">
        <f>""</f>
        <v/>
      </c>
      <c r="DG713" t="str">
        <f>""</f>
        <v/>
      </c>
      <c r="DH713" t="str">
        <f>""</f>
        <v/>
      </c>
      <c r="DI713" t="str">
        <f>""</f>
        <v/>
      </c>
      <c r="DJ713" t="str">
        <f>""</f>
        <v/>
      </c>
      <c r="DK713" t="str">
        <f>""</f>
        <v/>
      </c>
      <c r="DL713" t="str">
        <f>""</f>
        <v/>
      </c>
      <c r="DM713" t="str">
        <f>""</f>
        <v/>
      </c>
      <c r="DN713" t="str">
        <f>""</f>
        <v/>
      </c>
      <c r="DO713" t="str">
        <f>""</f>
        <v/>
      </c>
      <c r="DP713" t="str">
        <f>""</f>
        <v/>
      </c>
      <c r="DQ713" t="str">
        <f>""</f>
        <v/>
      </c>
      <c r="DR713" t="str">
        <f>""</f>
        <v/>
      </c>
      <c r="DS713" t="str">
        <f>""</f>
        <v/>
      </c>
      <c r="DT713" t="str">
        <f>""</f>
        <v/>
      </c>
      <c r="DU713" t="str">
        <f>""</f>
        <v/>
      </c>
    </row>
    <row r="714" spans="1:125">
      <c r="A714" t="str">
        <f>$A$269</f>
        <v xml:space="preserve">    Retail Opportunity Investments</v>
      </c>
      <c r="B714" t="str">
        <f>$B$269</f>
        <v>ROIC US Equity</v>
      </c>
      <c r="C714" t="str">
        <f>$C$269</f>
        <v>RR052</v>
      </c>
      <c r="D714" t="str">
        <f>$D$269</f>
        <v>TOT_DEBT_TO_EBITDA</v>
      </c>
      <c r="E714" t="str">
        <f>$E$269</f>
        <v>动态</v>
      </c>
      <c r="F714" t="str">
        <f ca="1">BDH($B$269,$C$269,$B$417,$B$418,CONCATENATE("Per=",$B$415),"Dts=H","Dir=H",CONCATENATE("Points=",$B$416),"Sort=R","Days=A","Fill=B",CONCATENATE("FX=", $B$414) )</f>
        <v>#N/A Authorization</v>
      </c>
      <c r="BN714" t="str">
        <f>""</f>
        <v/>
      </c>
      <c r="BO714" t="str">
        <f>""</f>
        <v/>
      </c>
      <c r="BP714" t="str">
        <f>""</f>
        <v/>
      </c>
      <c r="BQ714" t="str">
        <f>""</f>
        <v/>
      </c>
      <c r="BR714" t="str">
        <f>""</f>
        <v/>
      </c>
      <c r="BS714" t="str">
        <f>""</f>
        <v/>
      </c>
      <c r="BT714" t="str">
        <f>""</f>
        <v/>
      </c>
      <c r="BU714" t="str">
        <f>""</f>
        <v/>
      </c>
      <c r="BV714" t="str">
        <f>""</f>
        <v/>
      </c>
      <c r="BW714" t="str">
        <f>""</f>
        <v/>
      </c>
      <c r="BX714" t="str">
        <f>""</f>
        <v/>
      </c>
      <c r="BY714" t="str">
        <f>""</f>
        <v/>
      </c>
      <c r="BZ714" t="str">
        <f>""</f>
        <v/>
      </c>
      <c r="CA714" t="str">
        <f>""</f>
        <v/>
      </c>
      <c r="CB714" t="str">
        <f>""</f>
        <v/>
      </c>
      <c r="CC714" t="str">
        <f>""</f>
        <v/>
      </c>
      <c r="CD714" t="str">
        <f>""</f>
        <v/>
      </c>
      <c r="CE714" t="str">
        <f>""</f>
        <v/>
      </c>
      <c r="CF714" t="str">
        <f>""</f>
        <v/>
      </c>
      <c r="CG714" t="str">
        <f>""</f>
        <v/>
      </c>
      <c r="CH714" t="str">
        <f>""</f>
        <v/>
      </c>
      <c r="CI714" t="str">
        <f>""</f>
        <v/>
      </c>
      <c r="CJ714" t="str">
        <f>""</f>
        <v/>
      </c>
      <c r="CK714" t="str">
        <f>""</f>
        <v/>
      </c>
      <c r="CL714" t="str">
        <f>""</f>
        <v/>
      </c>
      <c r="CM714" t="str">
        <f>""</f>
        <v/>
      </c>
      <c r="CN714" t="str">
        <f>""</f>
        <v/>
      </c>
      <c r="CO714" t="str">
        <f>""</f>
        <v/>
      </c>
      <c r="CP714" t="str">
        <f>""</f>
        <v/>
      </c>
      <c r="CQ714" t="str">
        <f>""</f>
        <v/>
      </c>
      <c r="CR714" t="str">
        <f>""</f>
        <v/>
      </c>
      <c r="CS714" t="str">
        <f>""</f>
        <v/>
      </c>
      <c r="CT714" t="str">
        <f>""</f>
        <v/>
      </c>
      <c r="CU714" t="str">
        <f>""</f>
        <v/>
      </c>
      <c r="CV714" t="str">
        <f>""</f>
        <v/>
      </c>
      <c r="CW714" t="str">
        <f>""</f>
        <v/>
      </c>
      <c r="CX714" t="str">
        <f>""</f>
        <v/>
      </c>
      <c r="CY714" t="str">
        <f>""</f>
        <v/>
      </c>
      <c r="CZ714" t="str">
        <f>""</f>
        <v/>
      </c>
      <c r="DA714" t="str">
        <f>""</f>
        <v/>
      </c>
      <c r="DB714" t="str">
        <f>""</f>
        <v/>
      </c>
      <c r="DC714" t="str">
        <f>""</f>
        <v/>
      </c>
      <c r="DD714" t="str">
        <f>""</f>
        <v/>
      </c>
      <c r="DE714" t="str">
        <f>""</f>
        <v/>
      </c>
      <c r="DF714" t="str">
        <f>""</f>
        <v/>
      </c>
      <c r="DG714" t="str">
        <f>""</f>
        <v/>
      </c>
      <c r="DH714" t="str">
        <f>""</f>
        <v/>
      </c>
      <c r="DI714" t="str">
        <f>""</f>
        <v/>
      </c>
      <c r="DJ714" t="str">
        <f>""</f>
        <v/>
      </c>
      <c r="DK714" t="str">
        <f>""</f>
        <v/>
      </c>
      <c r="DL714" t="str">
        <f>""</f>
        <v/>
      </c>
      <c r="DM714" t="str">
        <f>""</f>
        <v/>
      </c>
      <c r="DN714" t="str">
        <f>""</f>
        <v/>
      </c>
      <c r="DO714" t="str">
        <f>""</f>
        <v/>
      </c>
      <c r="DP714" t="str">
        <f>""</f>
        <v/>
      </c>
      <c r="DQ714" t="str">
        <f>""</f>
        <v/>
      </c>
      <c r="DR714" t="str">
        <f>""</f>
        <v/>
      </c>
      <c r="DS714" t="str">
        <f>""</f>
        <v/>
      </c>
      <c r="DT714" t="str">
        <f>""</f>
        <v/>
      </c>
      <c r="DU714" t="str">
        <f>""</f>
        <v/>
      </c>
    </row>
    <row r="715" spans="1:125">
      <c r="A715" t="str">
        <f>$A$270</f>
        <v xml:space="preserve">    Retail Properties of America I</v>
      </c>
      <c r="B715" t="str">
        <f>$B$270</f>
        <v>RPAI US Equity</v>
      </c>
      <c r="C715" t="str">
        <f>$C$270</f>
        <v>RR052</v>
      </c>
      <c r="D715" t="str">
        <f>$D$270</f>
        <v>TOT_DEBT_TO_EBITDA</v>
      </c>
      <c r="E715" t="str">
        <f>$E$270</f>
        <v>动态</v>
      </c>
      <c r="F715" t="str">
        <f ca="1">BDH($B$270,$C$270,$B$417,$B$418,CONCATENATE("Per=",$B$415),"Dts=H","Dir=H",CONCATENATE("Points=",$B$416),"Sort=R","Days=A","Fill=B",CONCATENATE("FX=", $B$414) )</f>
        <v>#N/A Authorization</v>
      </c>
      <c r="BN715" t="str">
        <f>""</f>
        <v/>
      </c>
      <c r="BO715" t="str">
        <f>""</f>
        <v/>
      </c>
      <c r="BP715" t="str">
        <f>""</f>
        <v/>
      </c>
      <c r="BQ715" t="str">
        <f>""</f>
        <v/>
      </c>
      <c r="BR715" t="str">
        <f>""</f>
        <v/>
      </c>
      <c r="BS715" t="str">
        <f>""</f>
        <v/>
      </c>
      <c r="BT715" t="str">
        <f>""</f>
        <v/>
      </c>
      <c r="BU715" t="str">
        <f>""</f>
        <v/>
      </c>
      <c r="BV715" t="str">
        <f>""</f>
        <v/>
      </c>
      <c r="BW715" t="str">
        <f>""</f>
        <v/>
      </c>
      <c r="BX715" t="str">
        <f>""</f>
        <v/>
      </c>
      <c r="BY715" t="str">
        <f>""</f>
        <v/>
      </c>
      <c r="BZ715" t="str">
        <f>""</f>
        <v/>
      </c>
      <c r="CA715" t="str">
        <f>""</f>
        <v/>
      </c>
      <c r="CB715" t="str">
        <f>""</f>
        <v/>
      </c>
      <c r="CC715" t="str">
        <f>""</f>
        <v/>
      </c>
      <c r="CD715" t="str">
        <f>""</f>
        <v/>
      </c>
      <c r="CE715" t="str">
        <f>""</f>
        <v/>
      </c>
      <c r="CF715" t="str">
        <f>""</f>
        <v/>
      </c>
      <c r="CG715" t="str">
        <f>""</f>
        <v/>
      </c>
      <c r="CH715" t="str">
        <f>""</f>
        <v/>
      </c>
      <c r="CI715" t="str">
        <f>""</f>
        <v/>
      </c>
      <c r="CJ715" t="str">
        <f>""</f>
        <v/>
      </c>
      <c r="CK715" t="str">
        <f>""</f>
        <v/>
      </c>
      <c r="CL715" t="str">
        <f>""</f>
        <v/>
      </c>
      <c r="CM715" t="str">
        <f>""</f>
        <v/>
      </c>
      <c r="CN715" t="str">
        <f>""</f>
        <v/>
      </c>
      <c r="CO715" t="str">
        <f>""</f>
        <v/>
      </c>
      <c r="CP715" t="str">
        <f>""</f>
        <v/>
      </c>
      <c r="CQ715" t="str">
        <f>""</f>
        <v/>
      </c>
      <c r="CR715" t="str">
        <f>""</f>
        <v/>
      </c>
      <c r="CS715" t="str">
        <f>""</f>
        <v/>
      </c>
      <c r="CT715" t="str">
        <f>""</f>
        <v/>
      </c>
      <c r="CU715" t="str">
        <f>""</f>
        <v/>
      </c>
      <c r="CV715" t="str">
        <f>""</f>
        <v/>
      </c>
      <c r="CW715" t="str">
        <f>""</f>
        <v/>
      </c>
      <c r="CX715" t="str">
        <f>""</f>
        <v/>
      </c>
      <c r="CY715" t="str">
        <f>""</f>
        <v/>
      </c>
      <c r="CZ715" t="str">
        <f>""</f>
        <v/>
      </c>
      <c r="DA715" t="str">
        <f>""</f>
        <v/>
      </c>
      <c r="DB715" t="str">
        <f>""</f>
        <v/>
      </c>
      <c r="DC715" t="str">
        <f>""</f>
        <v/>
      </c>
      <c r="DD715" t="str">
        <f>""</f>
        <v/>
      </c>
      <c r="DE715" t="str">
        <f>""</f>
        <v/>
      </c>
      <c r="DF715" t="str">
        <f>""</f>
        <v/>
      </c>
      <c r="DG715" t="str">
        <f>""</f>
        <v/>
      </c>
      <c r="DH715" t="str">
        <f>""</f>
        <v/>
      </c>
      <c r="DI715" t="str">
        <f>""</f>
        <v/>
      </c>
      <c r="DJ715" t="str">
        <f>""</f>
        <v/>
      </c>
      <c r="DK715" t="str">
        <f>""</f>
        <v/>
      </c>
      <c r="DL715" t="str">
        <f>""</f>
        <v/>
      </c>
      <c r="DM715" t="str">
        <f>""</f>
        <v/>
      </c>
      <c r="DN715" t="str">
        <f>""</f>
        <v/>
      </c>
      <c r="DO715" t="str">
        <f>""</f>
        <v/>
      </c>
      <c r="DP715" t="str">
        <f>""</f>
        <v/>
      </c>
      <c r="DQ715" t="str">
        <f>""</f>
        <v/>
      </c>
      <c r="DR715" t="str">
        <f>""</f>
        <v/>
      </c>
      <c r="DS715" t="str">
        <f>""</f>
        <v/>
      </c>
      <c r="DT715" t="str">
        <f>""</f>
        <v/>
      </c>
      <c r="DU715" t="str">
        <f>""</f>
        <v/>
      </c>
    </row>
    <row r="716" spans="1:125">
      <c r="A716" t="str">
        <f>$A$271</f>
        <v xml:space="preserve">    Simon Property Group Inc</v>
      </c>
      <c r="B716" t="str">
        <f>$B$271</f>
        <v>SPG US Equity</v>
      </c>
      <c r="C716" t="str">
        <f>$C$271</f>
        <v>RR052</v>
      </c>
      <c r="D716" t="str">
        <f>$D$271</f>
        <v>TOT_DEBT_TO_EBITDA</v>
      </c>
      <c r="E716" t="str">
        <f>$E$271</f>
        <v>动态</v>
      </c>
      <c r="F716" t="str">
        <f ca="1">BDH($B$271,$C$271,$B$417,$B$418,CONCATENATE("Per=",$B$415),"Dts=H","Dir=H",CONCATENATE("Points=",$B$416),"Sort=R","Days=A","Fill=B",CONCATENATE("FX=", $B$414) )</f>
        <v>#N/A Authorization</v>
      </c>
      <c r="BN716" t="str">
        <f>""</f>
        <v/>
      </c>
      <c r="BO716" t="str">
        <f>""</f>
        <v/>
      </c>
      <c r="BP716" t="str">
        <f>""</f>
        <v/>
      </c>
      <c r="BQ716" t="str">
        <f>""</f>
        <v/>
      </c>
      <c r="BR716" t="str">
        <f>""</f>
        <v/>
      </c>
      <c r="BS716" t="str">
        <f>""</f>
        <v/>
      </c>
      <c r="BT716" t="str">
        <f>""</f>
        <v/>
      </c>
      <c r="BU716" t="str">
        <f>""</f>
        <v/>
      </c>
      <c r="BV716" t="str">
        <f>""</f>
        <v/>
      </c>
      <c r="BW716" t="str">
        <f>""</f>
        <v/>
      </c>
      <c r="BX716" t="str">
        <f>""</f>
        <v/>
      </c>
      <c r="BY716" t="str">
        <f>""</f>
        <v/>
      </c>
      <c r="BZ716" t="str">
        <f>""</f>
        <v/>
      </c>
      <c r="CA716" t="str">
        <f>""</f>
        <v/>
      </c>
      <c r="CB716" t="str">
        <f>""</f>
        <v/>
      </c>
      <c r="CC716" t="str">
        <f>""</f>
        <v/>
      </c>
      <c r="CD716" t="str">
        <f>""</f>
        <v/>
      </c>
      <c r="CE716" t="str">
        <f>""</f>
        <v/>
      </c>
      <c r="CF716" t="str">
        <f>""</f>
        <v/>
      </c>
      <c r="CG716" t="str">
        <f>""</f>
        <v/>
      </c>
      <c r="CH716" t="str">
        <f>""</f>
        <v/>
      </c>
      <c r="CI716" t="str">
        <f>""</f>
        <v/>
      </c>
      <c r="CJ716" t="str">
        <f>""</f>
        <v/>
      </c>
      <c r="CK716" t="str">
        <f>""</f>
        <v/>
      </c>
      <c r="CL716" t="str">
        <f>""</f>
        <v/>
      </c>
      <c r="CM716" t="str">
        <f>""</f>
        <v/>
      </c>
      <c r="CN716" t="str">
        <f>""</f>
        <v/>
      </c>
      <c r="CO716" t="str">
        <f>""</f>
        <v/>
      </c>
      <c r="CP716" t="str">
        <f>""</f>
        <v/>
      </c>
      <c r="CQ716" t="str">
        <f>""</f>
        <v/>
      </c>
      <c r="CR716" t="str">
        <f>""</f>
        <v/>
      </c>
      <c r="CS716" t="str">
        <f>""</f>
        <v/>
      </c>
      <c r="CT716" t="str">
        <f>""</f>
        <v/>
      </c>
      <c r="CU716" t="str">
        <f>""</f>
        <v/>
      </c>
      <c r="CV716" t="str">
        <f>""</f>
        <v/>
      </c>
      <c r="CW716" t="str">
        <f>""</f>
        <v/>
      </c>
      <c r="CX716" t="str">
        <f>""</f>
        <v/>
      </c>
      <c r="CY716" t="str">
        <f>""</f>
        <v/>
      </c>
      <c r="CZ716" t="str">
        <f>""</f>
        <v/>
      </c>
      <c r="DA716" t="str">
        <f>""</f>
        <v/>
      </c>
      <c r="DB716" t="str">
        <f>""</f>
        <v/>
      </c>
      <c r="DC716" t="str">
        <f>""</f>
        <v/>
      </c>
      <c r="DD716" t="str">
        <f>""</f>
        <v/>
      </c>
      <c r="DE716" t="str">
        <f>""</f>
        <v/>
      </c>
      <c r="DF716" t="str">
        <f>""</f>
        <v/>
      </c>
      <c r="DG716" t="str">
        <f>""</f>
        <v/>
      </c>
      <c r="DH716" t="str">
        <f>""</f>
        <v/>
      </c>
      <c r="DI716" t="str">
        <f>""</f>
        <v/>
      </c>
      <c r="DJ716" t="str">
        <f>""</f>
        <v/>
      </c>
      <c r="DK716" t="str">
        <f>""</f>
        <v/>
      </c>
      <c r="DL716" t="str">
        <f>""</f>
        <v/>
      </c>
      <c r="DM716" t="str">
        <f>""</f>
        <v/>
      </c>
      <c r="DN716" t="str">
        <f>""</f>
        <v/>
      </c>
      <c r="DO716" t="str">
        <f>""</f>
        <v/>
      </c>
      <c r="DP716" t="str">
        <f>""</f>
        <v/>
      </c>
      <c r="DQ716" t="str">
        <f>""</f>
        <v/>
      </c>
      <c r="DR716" t="str">
        <f>""</f>
        <v/>
      </c>
      <c r="DS716" t="str">
        <f>""</f>
        <v/>
      </c>
      <c r="DT716" t="str">
        <f>""</f>
        <v/>
      </c>
      <c r="DU716" t="str">
        <f>""</f>
        <v/>
      </c>
    </row>
    <row r="717" spans="1:125">
      <c r="A717" t="str">
        <f>$A$272</f>
        <v xml:space="preserve">    Tanger Factory Outlet Centers</v>
      </c>
      <c r="B717" t="str">
        <f>$B$272</f>
        <v>SKT US Equity</v>
      </c>
      <c r="C717" t="str">
        <f>$C$272</f>
        <v>RR052</v>
      </c>
      <c r="D717" t="str">
        <f>$D$272</f>
        <v>TOT_DEBT_TO_EBITDA</v>
      </c>
      <c r="E717" t="str">
        <f>$E$272</f>
        <v>动态</v>
      </c>
      <c r="F717" t="str">
        <f ca="1">BDH($B$272,$C$272,$B$417,$B$418,CONCATENATE("Per=",$B$415),"Dts=H","Dir=H",CONCATENATE("Points=",$B$416),"Sort=R","Days=A","Fill=B",CONCATENATE("FX=", $B$414) )</f>
        <v>#N/A Authorization</v>
      </c>
      <c r="BN717" t="str">
        <f>""</f>
        <v/>
      </c>
      <c r="BO717" t="str">
        <f>""</f>
        <v/>
      </c>
      <c r="BP717" t="str">
        <f>""</f>
        <v/>
      </c>
      <c r="BQ717" t="str">
        <f>""</f>
        <v/>
      </c>
      <c r="BR717" t="str">
        <f>""</f>
        <v/>
      </c>
      <c r="BS717" t="str">
        <f>""</f>
        <v/>
      </c>
      <c r="BT717" t="str">
        <f>""</f>
        <v/>
      </c>
      <c r="BU717" t="str">
        <f>""</f>
        <v/>
      </c>
      <c r="BV717" t="str">
        <f>""</f>
        <v/>
      </c>
      <c r="BW717" t="str">
        <f>""</f>
        <v/>
      </c>
      <c r="BX717" t="str">
        <f>""</f>
        <v/>
      </c>
      <c r="BY717" t="str">
        <f>""</f>
        <v/>
      </c>
      <c r="BZ717" t="str">
        <f>""</f>
        <v/>
      </c>
      <c r="CA717" t="str">
        <f>""</f>
        <v/>
      </c>
      <c r="CB717" t="str">
        <f>""</f>
        <v/>
      </c>
      <c r="CC717" t="str">
        <f>""</f>
        <v/>
      </c>
      <c r="CD717" t="str">
        <f>""</f>
        <v/>
      </c>
      <c r="CE717" t="str">
        <f>""</f>
        <v/>
      </c>
      <c r="CF717" t="str">
        <f>""</f>
        <v/>
      </c>
      <c r="CG717" t="str">
        <f>""</f>
        <v/>
      </c>
      <c r="CH717" t="str">
        <f>""</f>
        <v/>
      </c>
      <c r="CI717" t="str">
        <f>""</f>
        <v/>
      </c>
      <c r="CJ717" t="str">
        <f>""</f>
        <v/>
      </c>
      <c r="CK717" t="str">
        <f>""</f>
        <v/>
      </c>
      <c r="CL717" t="str">
        <f>""</f>
        <v/>
      </c>
      <c r="CM717" t="str">
        <f>""</f>
        <v/>
      </c>
      <c r="CN717" t="str">
        <f>""</f>
        <v/>
      </c>
      <c r="CO717" t="str">
        <f>""</f>
        <v/>
      </c>
      <c r="CP717" t="str">
        <f>""</f>
        <v/>
      </c>
      <c r="CQ717" t="str">
        <f>""</f>
        <v/>
      </c>
      <c r="CR717" t="str">
        <f>""</f>
        <v/>
      </c>
      <c r="CS717" t="str">
        <f>""</f>
        <v/>
      </c>
      <c r="CT717" t="str">
        <f>""</f>
        <v/>
      </c>
      <c r="CU717" t="str">
        <f>""</f>
        <v/>
      </c>
      <c r="CV717" t="str">
        <f>""</f>
        <v/>
      </c>
      <c r="CW717" t="str">
        <f>""</f>
        <v/>
      </c>
      <c r="CX717" t="str">
        <f>""</f>
        <v/>
      </c>
      <c r="CY717" t="str">
        <f>""</f>
        <v/>
      </c>
      <c r="CZ717" t="str">
        <f>""</f>
        <v/>
      </c>
      <c r="DA717" t="str">
        <f>""</f>
        <v/>
      </c>
      <c r="DB717" t="str">
        <f>""</f>
        <v/>
      </c>
      <c r="DC717" t="str">
        <f>""</f>
        <v/>
      </c>
      <c r="DD717" t="str">
        <f>""</f>
        <v/>
      </c>
      <c r="DE717" t="str">
        <f>""</f>
        <v/>
      </c>
      <c r="DF717" t="str">
        <f>""</f>
        <v/>
      </c>
      <c r="DG717" t="str">
        <f>""</f>
        <v/>
      </c>
      <c r="DH717" t="str">
        <f>""</f>
        <v/>
      </c>
      <c r="DI717" t="str">
        <f>""</f>
        <v/>
      </c>
      <c r="DJ717" t="str">
        <f>""</f>
        <v/>
      </c>
      <c r="DK717" t="str">
        <f>""</f>
        <v/>
      </c>
      <c r="DL717" t="str">
        <f>""</f>
        <v/>
      </c>
      <c r="DM717" t="str">
        <f>""</f>
        <v/>
      </c>
      <c r="DN717" t="str">
        <f>""</f>
        <v/>
      </c>
      <c r="DO717" t="str">
        <f>""</f>
        <v/>
      </c>
      <c r="DP717" t="str">
        <f>""</f>
        <v/>
      </c>
      <c r="DQ717" t="str">
        <f>""</f>
        <v/>
      </c>
      <c r="DR717" t="str">
        <f>""</f>
        <v/>
      </c>
      <c r="DS717" t="str">
        <f>""</f>
        <v/>
      </c>
      <c r="DT717" t="str">
        <f>""</f>
        <v/>
      </c>
      <c r="DU717" t="str">
        <f>""</f>
        <v/>
      </c>
    </row>
    <row r="718" spans="1:125">
      <c r="A718" t="str">
        <f>$A$273</f>
        <v xml:space="preserve">    VEREIT Inc</v>
      </c>
      <c r="B718" t="str">
        <f>$B$273</f>
        <v>VER US Equity</v>
      </c>
      <c r="C718" t="str">
        <f>$C$273</f>
        <v>RR052</v>
      </c>
      <c r="D718" t="str">
        <f>$D$273</f>
        <v>TOT_DEBT_TO_EBITDA</v>
      </c>
      <c r="E718" t="str">
        <f>$E$273</f>
        <v>动态</v>
      </c>
      <c r="F718" t="str">
        <f ca="1">BDH($B$273,$C$273,$B$417,$B$418,CONCATENATE("Per=",$B$415),"Dts=H","Dir=H",CONCATENATE("Points=",$B$416),"Sort=R","Days=A","Fill=B",CONCATENATE("FX=", $B$414) )</f>
        <v>#N/A Authorization</v>
      </c>
      <c r="BN718" t="str">
        <f>""</f>
        <v/>
      </c>
      <c r="BO718" t="str">
        <f>""</f>
        <v/>
      </c>
      <c r="BP718" t="str">
        <f>""</f>
        <v/>
      </c>
      <c r="BQ718" t="str">
        <f>""</f>
        <v/>
      </c>
      <c r="BR718" t="str">
        <f>""</f>
        <v/>
      </c>
      <c r="BS718" t="str">
        <f>""</f>
        <v/>
      </c>
      <c r="BT718" t="str">
        <f>""</f>
        <v/>
      </c>
      <c r="BU718" t="str">
        <f>""</f>
        <v/>
      </c>
      <c r="BV718" t="str">
        <f>""</f>
        <v/>
      </c>
      <c r="BW718" t="str">
        <f>""</f>
        <v/>
      </c>
      <c r="BX718" t="str">
        <f>""</f>
        <v/>
      </c>
      <c r="BY718" t="str">
        <f>""</f>
        <v/>
      </c>
      <c r="BZ718" t="str">
        <f>""</f>
        <v/>
      </c>
      <c r="CA718" t="str">
        <f>""</f>
        <v/>
      </c>
      <c r="CB718" t="str">
        <f>""</f>
        <v/>
      </c>
      <c r="CC718" t="str">
        <f>""</f>
        <v/>
      </c>
      <c r="CD718" t="str">
        <f>""</f>
        <v/>
      </c>
      <c r="CE718" t="str">
        <f>""</f>
        <v/>
      </c>
      <c r="CF718" t="str">
        <f>""</f>
        <v/>
      </c>
      <c r="CG718" t="str">
        <f>""</f>
        <v/>
      </c>
      <c r="CH718" t="str">
        <f>""</f>
        <v/>
      </c>
      <c r="CI718" t="str">
        <f>""</f>
        <v/>
      </c>
      <c r="CJ718" t="str">
        <f>""</f>
        <v/>
      </c>
      <c r="CK718" t="str">
        <f>""</f>
        <v/>
      </c>
      <c r="CL718" t="str">
        <f>""</f>
        <v/>
      </c>
      <c r="CM718" t="str">
        <f>""</f>
        <v/>
      </c>
      <c r="CN718" t="str">
        <f>""</f>
        <v/>
      </c>
      <c r="CO718" t="str">
        <f>""</f>
        <v/>
      </c>
      <c r="CP718" t="str">
        <f>""</f>
        <v/>
      </c>
      <c r="CQ718" t="str">
        <f>""</f>
        <v/>
      </c>
      <c r="CR718" t="str">
        <f>""</f>
        <v/>
      </c>
      <c r="CS718" t="str">
        <f>""</f>
        <v/>
      </c>
      <c r="CT718" t="str">
        <f>""</f>
        <v/>
      </c>
      <c r="CU718" t="str">
        <f>""</f>
        <v/>
      </c>
      <c r="CV718" t="str">
        <f>""</f>
        <v/>
      </c>
      <c r="CW718" t="str">
        <f>""</f>
        <v/>
      </c>
      <c r="CX718" t="str">
        <f>""</f>
        <v/>
      </c>
      <c r="CY718" t="str">
        <f>""</f>
        <v/>
      </c>
      <c r="CZ718" t="str">
        <f>""</f>
        <v/>
      </c>
      <c r="DA718" t="str">
        <f>""</f>
        <v/>
      </c>
      <c r="DB718" t="str">
        <f>""</f>
        <v/>
      </c>
      <c r="DC718" t="str">
        <f>""</f>
        <v/>
      </c>
      <c r="DD718" t="str">
        <f>""</f>
        <v/>
      </c>
      <c r="DE718" t="str">
        <f>""</f>
        <v/>
      </c>
      <c r="DF718" t="str">
        <f>""</f>
        <v/>
      </c>
      <c r="DG718" t="str">
        <f>""</f>
        <v/>
      </c>
      <c r="DH718" t="str">
        <f>""</f>
        <v/>
      </c>
      <c r="DI718" t="str">
        <f>""</f>
        <v/>
      </c>
      <c r="DJ718" t="str">
        <f>""</f>
        <v/>
      </c>
      <c r="DK718" t="str">
        <f>""</f>
        <v/>
      </c>
      <c r="DL718" t="str">
        <f>""</f>
        <v/>
      </c>
      <c r="DM718" t="str">
        <f>""</f>
        <v/>
      </c>
      <c r="DN718" t="str">
        <f>""</f>
        <v/>
      </c>
      <c r="DO718" t="str">
        <f>""</f>
        <v/>
      </c>
      <c r="DP718" t="str">
        <f>""</f>
        <v/>
      </c>
      <c r="DQ718" t="str">
        <f>""</f>
        <v/>
      </c>
      <c r="DR718" t="str">
        <f>""</f>
        <v/>
      </c>
      <c r="DS718" t="str">
        <f>""</f>
        <v/>
      </c>
      <c r="DT718" t="str">
        <f>""</f>
        <v/>
      </c>
      <c r="DU718" t="str">
        <f>""</f>
        <v/>
      </c>
    </row>
    <row r="719" spans="1:125">
      <c r="A719" t="str">
        <f>$A$274</f>
        <v xml:space="preserve">    Washington Prime Group Inc</v>
      </c>
      <c r="B719" t="str">
        <f>$B$274</f>
        <v>WPG US Equity</v>
      </c>
      <c r="C719" t="str">
        <f>$C$274</f>
        <v>RR052</v>
      </c>
      <c r="D719" t="str">
        <f>$D$274</f>
        <v>TOT_DEBT_TO_EBITDA</v>
      </c>
      <c r="E719" t="str">
        <f>$E$274</f>
        <v>动态</v>
      </c>
      <c r="F719" t="str">
        <f ca="1">BDH($B$274,$C$274,$B$417,$B$418,CONCATENATE("Per=",$B$415),"Dts=H","Dir=H",CONCATENATE("Points=",$B$416),"Sort=R","Days=A","Fill=B",CONCATENATE("FX=", $B$414) )</f>
        <v>#N/A Authorization</v>
      </c>
      <c r="BN719" t="str">
        <f>""</f>
        <v/>
      </c>
      <c r="BO719" t="str">
        <f>""</f>
        <v/>
      </c>
      <c r="BP719" t="str">
        <f>""</f>
        <v/>
      </c>
      <c r="BQ719" t="str">
        <f>""</f>
        <v/>
      </c>
      <c r="BR719" t="str">
        <f>""</f>
        <v/>
      </c>
      <c r="BS719" t="str">
        <f>""</f>
        <v/>
      </c>
      <c r="BT719" t="str">
        <f>""</f>
        <v/>
      </c>
      <c r="BU719" t="str">
        <f>""</f>
        <v/>
      </c>
      <c r="BV719" t="str">
        <f>""</f>
        <v/>
      </c>
      <c r="BW719" t="str">
        <f>""</f>
        <v/>
      </c>
      <c r="BX719" t="str">
        <f>""</f>
        <v/>
      </c>
      <c r="BY719" t="str">
        <f>""</f>
        <v/>
      </c>
      <c r="BZ719" t="str">
        <f>""</f>
        <v/>
      </c>
      <c r="CA719" t="str">
        <f>""</f>
        <v/>
      </c>
      <c r="CB719" t="str">
        <f>""</f>
        <v/>
      </c>
      <c r="CC719" t="str">
        <f>""</f>
        <v/>
      </c>
      <c r="CD719" t="str">
        <f>""</f>
        <v/>
      </c>
      <c r="CE719" t="str">
        <f>""</f>
        <v/>
      </c>
      <c r="CF719" t="str">
        <f>""</f>
        <v/>
      </c>
      <c r="CG719" t="str">
        <f>""</f>
        <v/>
      </c>
      <c r="CH719" t="str">
        <f>""</f>
        <v/>
      </c>
      <c r="CI719" t="str">
        <f>""</f>
        <v/>
      </c>
      <c r="CJ719" t="str">
        <f>""</f>
        <v/>
      </c>
      <c r="CK719" t="str">
        <f>""</f>
        <v/>
      </c>
      <c r="CL719" t="str">
        <f>""</f>
        <v/>
      </c>
      <c r="CM719" t="str">
        <f>""</f>
        <v/>
      </c>
      <c r="CN719" t="str">
        <f>""</f>
        <v/>
      </c>
      <c r="CO719" t="str">
        <f>""</f>
        <v/>
      </c>
      <c r="CP719" t="str">
        <f>""</f>
        <v/>
      </c>
      <c r="CQ719" t="str">
        <f>""</f>
        <v/>
      </c>
      <c r="CR719" t="str">
        <f>""</f>
        <v/>
      </c>
      <c r="CS719" t="str">
        <f>""</f>
        <v/>
      </c>
      <c r="CT719" t="str">
        <f>""</f>
        <v/>
      </c>
      <c r="CU719" t="str">
        <f>""</f>
        <v/>
      </c>
      <c r="CV719" t="str">
        <f>""</f>
        <v/>
      </c>
      <c r="CW719" t="str">
        <f>""</f>
        <v/>
      </c>
      <c r="CX719" t="str">
        <f>""</f>
        <v/>
      </c>
      <c r="CY719" t="str">
        <f>""</f>
        <v/>
      </c>
      <c r="CZ719" t="str">
        <f>""</f>
        <v/>
      </c>
      <c r="DA719" t="str">
        <f>""</f>
        <v/>
      </c>
      <c r="DB719" t="str">
        <f>""</f>
        <v/>
      </c>
      <c r="DC719" t="str">
        <f>""</f>
        <v/>
      </c>
      <c r="DD719" t="str">
        <f>""</f>
        <v/>
      </c>
      <c r="DE719" t="str">
        <f>""</f>
        <v/>
      </c>
      <c r="DF719" t="str">
        <f>""</f>
        <v/>
      </c>
      <c r="DG719" t="str">
        <f>""</f>
        <v/>
      </c>
      <c r="DH719" t="str">
        <f>""</f>
        <v/>
      </c>
      <c r="DI719" t="str">
        <f>""</f>
        <v/>
      </c>
      <c r="DJ719" t="str">
        <f>""</f>
        <v/>
      </c>
      <c r="DK719" t="str">
        <f>""</f>
        <v/>
      </c>
      <c r="DL719" t="str">
        <f>""</f>
        <v/>
      </c>
      <c r="DM719" t="str">
        <f>""</f>
        <v/>
      </c>
      <c r="DN719" t="str">
        <f>""</f>
        <v/>
      </c>
      <c r="DO719" t="str">
        <f>""</f>
        <v/>
      </c>
      <c r="DP719" t="str">
        <f>""</f>
        <v/>
      </c>
      <c r="DQ719" t="str">
        <f>""</f>
        <v/>
      </c>
      <c r="DR719" t="str">
        <f>""</f>
        <v/>
      </c>
      <c r="DS719" t="str">
        <f>""</f>
        <v/>
      </c>
      <c r="DT719" t="str">
        <f>""</f>
        <v/>
      </c>
      <c r="DU719" t="str">
        <f>""</f>
        <v/>
      </c>
    </row>
    <row r="720" spans="1:125">
      <c r="A720" t="str">
        <f>$A$275</f>
        <v xml:space="preserve">    Weingarten Realty Investors</v>
      </c>
      <c r="B720" t="str">
        <f>$B$275</f>
        <v>WRI US Equity</v>
      </c>
      <c r="C720" t="str">
        <f>$C$275</f>
        <v>RR052</v>
      </c>
      <c r="D720" t="str">
        <f>$D$275</f>
        <v>TOT_DEBT_TO_EBITDA</v>
      </c>
      <c r="E720" t="str">
        <f>$E$275</f>
        <v>动态</v>
      </c>
      <c r="F720" t="str">
        <f ca="1">BDH($B$275,$C$275,$B$417,$B$418,CONCATENATE("Per=",$B$415),"Dts=H","Dir=H",CONCATENATE("Points=",$B$416),"Sort=R","Days=A","Fill=B",CONCATENATE("FX=", $B$414) )</f>
        <v>#N/A Authorization</v>
      </c>
      <c r="BN720" t="str">
        <f>""</f>
        <v/>
      </c>
      <c r="BO720" t="str">
        <f>""</f>
        <v/>
      </c>
      <c r="BP720" t="str">
        <f>""</f>
        <v/>
      </c>
      <c r="BQ720" t="str">
        <f>""</f>
        <v/>
      </c>
      <c r="BR720" t="str">
        <f>""</f>
        <v/>
      </c>
      <c r="BS720" t="str">
        <f>""</f>
        <v/>
      </c>
      <c r="BT720" t="str">
        <f>""</f>
        <v/>
      </c>
      <c r="BU720" t="str">
        <f>""</f>
        <v/>
      </c>
      <c r="BV720" t="str">
        <f>""</f>
        <v/>
      </c>
      <c r="BW720" t="str">
        <f>""</f>
        <v/>
      </c>
      <c r="BX720" t="str">
        <f>""</f>
        <v/>
      </c>
      <c r="BY720" t="str">
        <f>""</f>
        <v/>
      </c>
      <c r="BZ720" t="str">
        <f>""</f>
        <v/>
      </c>
      <c r="CA720" t="str">
        <f>""</f>
        <v/>
      </c>
      <c r="CB720" t="str">
        <f>""</f>
        <v/>
      </c>
      <c r="CC720" t="str">
        <f>""</f>
        <v/>
      </c>
      <c r="CD720" t="str">
        <f>""</f>
        <v/>
      </c>
      <c r="CE720" t="str">
        <f>""</f>
        <v/>
      </c>
      <c r="CF720" t="str">
        <f>""</f>
        <v/>
      </c>
      <c r="CG720" t="str">
        <f>""</f>
        <v/>
      </c>
      <c r="CH720" t="str">
        <f>""</f>
        <v/>
      </c>
      <c r="CI720" t="str">
        <f>""</f>
        <v/>
      </c>
      <c r="CJ720" t="str">
        <f>""</f>
        <v/>
      </c>
      <c r="CK720" t="str">
        <f>""</f>
        <v/>
      </c>
      <c r="CL720" t="str">
        <f>""</f>
        <v/>
      </c>
      <c r="CM720" t="str">
        <f>""</f>
        <v/>
      </c>
      <c r="CN720" t="str">
        <f>""</f>
        <v/>
      </c>
      <c r="CO720" t="str">
        <f>""</f>
        <v/>
      </c>
      <c r="CP720" t="str">
        <f>""</f>
        <v/>
      </c>
      <c r="CQ720" t="str">
        <f>""</f>
        <v/>
      </c>
      <c r="CR720" t="str">
        <f>""</f>
        <v/>
      </c>
      <c r="CS720" t="str">
        <f>""</f>
        <v/>
      </c>
      <c r="CT720" t="str">
        <f>""</f>
        <v/>
      </c>
      <c r="CU720" t="str">
        <f>""</f>
        <v/>
      </c>
      <c r="CV720" t="str">
        <f>""</f>
        <v/>
      </c>
      <c r="CW720" t="str">
        <f>""</f>
        <v/>
      </c>
      <c r="CX720" t="str">
        <f>""</f>
        <v/>
      </c>
      <c r="CY720" t="str">
        <f>""</f>
        <v/>
      </c>
      <c r="CZ720" t="str">
        <f>""</f>
        <v/>
      </c>
      <c r="DA720" t="str">
        <f>""</f>
        <v/>
      </c>
      <c r="DB720" t="str">
        <f>""</f>
        <v/>
      </c>
      <c r="DC720" t="str">
        <f>""</f>
        <v/>
      </c>
      <c r="DD720" t="str">
        <f>""</f>
        <v/>
      </c>
      <c r="DE720" t="str">
        <f>""</f>
        <v/>
      </c>
      <c r="DF720" t="str">
        <f>""</f>
        <v/>
      </c>
      <c r="DG720" t="str">
        <f>""</f>
        <v/>
      </c>
      <c r="DH720" t="str">
        <f>""</f>
        <v/>
      </c>
      <c r="DI720" t="str">
        <f>""</f>
        <v/>
      </c>
      <c r="DJ720" t="str">
        <f>""</f>
        <v/>
      </c>
      <c r="DK720" t="str">
        <f>""</f>
        <v/>
      </c>
      <c r="DL720" t="str">
        <f>""</f>
        <v/>
      </c>
      <c r="DM720" t="str">
        <f>""</f>
        <v/>
      </c>
      <c r="DN720" t="str">
        <f>""</f>
        <v/>
      </c>
      <c r="DO720" t="str">
        <f>""</f>
        <v/>
      </c>
      <c r="DP720" t="str">
        <f>""</f>
        <v/>
      </c>
      <c r="DQ720" t="str">
        <f>""</f>
        <v/>
      </c>
      <c r="DR720" t="str">
        <f>""</f>
        <v/>
      </c>
      <c r="DS720" t="str">
        <f>""</f>
        <v/>
      </c>
      <c r="DT720" t="str">
        <f>""</f>
        <v/>
      </c>
      <c r="DU720" t="str">
        <f>""</f>
        <v/>
      </c>
    </row>
    <row r="721" spans="1:125">
      <c r="A721" t="str">
        <f>$A$277</f>
        <v xml:space="preserve">    Brixmor Property Group Inc</v>
      </c>
      <c r="B721" t="str">
        <f>$B$277</f>
        <v>BRX US Equity</v>
      </c>
      <c r="C721" t="str">
        <f>$C$277</f>
        <v>F1178</v>
      </c>
      <c r="D721" t="str">
        <f>$D$277</f>
        <v>NET_DEBT_EBITDA_ADJUSTED</v>
      </c>
      <c r="E721" t="str">
        <f>$E$277</f>
        <v>动态</v>
      </c>
      <c r="F721" t="str">
        <f ca="1">BDH($B$277,$C$277,$B$417,$B$418,CONCATENATE("Per=",$B$415),"Dts=H","Dir=H",CONCATENATE("Points=",$B$416),"Sort=R","Days=A","Fill=B",CONCATENATE("FX=", $B$414) )</f>
        <v>#N/A Authorization</v>
      </c>
      <c r="BN721" t="str">
        <f>""</f>
        <v/>
      </c>
      <c r="BO721" t="str">
        <f>""</f>
        <v/>
      </c>
      <c r="BP721" t="str">
        <f>""</f>
        <v/>
      </c>
      <c r="BQ721" t="str">
        <f>""</f>
        <v/>
      </c>
      <c r="BR721" t="str">
        <f>""</f>
        <v/>
      </c>
      <c r="BS721" t="str">
        <f>""</f>
        <v/>
      </c>
      <c r="BT721" t="str">
        <f>""</f>
        <v/>
      </c>
      <c r="BU721" t="str">
        <f>""</f>
        <v/>
      </c>
      <c r="BV721" t="str">
        <f>""</f>
        <v/>
      </c>
      <c r="BW721" t="str">
        <f>""</f>
        <v/>
      </c>
      <c r="BX721" t="str">
        <f>""</f>
        <v/>
      </c>
      <c r="BY721" t="str">
        <f>""</f>
        <v/>
      </c>
      <c r="BZ721" t="str">
        <f>""</f>
        <v/>
      </c>
      <c r="CA721" t="str">
        <f>""</f>
        <v/>
      </c>
      <c r="CB721" t="str">
        <f>""</f>
        <v/>
      </c>
      <c r="CC721" t="str">
        <f>""</f>
        <v/>
      </c>
      <c r="CD721" t="str">
        <f>""</f>
        <v/>
      </c>
      <c r="CE721" t="str">
        <f>""</f>
        <v/>
      </c>
      <c r="CF721" t="str">
        <f>""</f>
        <v/>
      </c>
      <c r="CG721" t="str">
        <f>""</f>
        <v/>
      </c>
      <c r="CH721" t="str">
        <f>""</f>
        <v/>
      </c>
      <c r="CI721" t="str">
        <f>""</f>
        <v/>
      </c>
      <c r="CJ721" t="str">
        <f>""</f>
        <v/>
      </c>
      <c r="CK721" t="str">
        <f>""</f>
        <v/>
      </c>
      <c r="CL721" t="str">
        <f>""</f>
        <v/>
      </c>
      <c r="CM721" t="str">
        <f>""</f>
        <v/>
      </c>
      <c r="CN721" t="str">
        <f>""</f>
        <v/>
      </c>
      <c r="CO721" t="str">
        <f>""</f>
        <v/>
      </c>
      <c r="CP721" t="str">
        <f>""</f>
        <v/>
      </c>
      <c r="CQ721" t="str">
        <f>""</f>
        <v/>
      </c>
      <c r="CR721" t="str">
        <f>""</f>
        <v/>
      </c>
      <c r="CS721" t="str">
        <f>""</f>
        <v/>
      </c>
      <c r="CT721" t="str">
        <f>""</f>
        <v/>
      </c>
      <c r="CU721" t="str">
        <f>""</f>
        <v/>
      </c>
      <c r="CV721" t="str">
        <f>""</f>
        <v/>
      </c>
      <c r="CW721" t="str">
        <f>""</f>
        <v/>
      </c>
      <c r="CX721" t="str">
        <f>""</f>
        <v/>
      </c>
      <c r="CY721" t="str">
        <f>""</f>
        <v/>
      </c>
      <c r="CZ721" t="str">
        <f>""</f>
        <v/>
      </c>
      <c r="DA721" t="str">
        <f>""</f>
        <v/>
      </c>
      <c r="DB721" t="str">
        <f>""</f>
        <v/>
      </c>
      <c r="DC721" t="str">
        <f>""</f>
        <v/>
      </c>
      <c r="DD721" t="str">
        <f>""</f>
        <v/>
      </c>
      <c r="DE721" t="str">
        <f>""</f>
        <v/>
      </c>
      <c r="DF721" t="str">
        <f>""</f>
        <v/>
      </c>
      <c r="DG721" t="str">
        <f>""</f>
        <v/>
      </c>
      <c r="DH721" t="str">
        <f>""</f>
        <v/>
      </c>
      <c r="DI721" t="str">
        <f>""</f>
        <v/>
      </c>
      <c r="DJ721" t="str">
        <f>""</f>
        <v/>
      </c>
      <c r="DK721" t="str">
        <f>""</f>
        <v/>
      </c>
      <c r="DL721" t="str">
        <f>""</f>
        <v/>
      </c>
      <c r="DM721" t="str">
        <f>""</f>
        <v/>
      </c>
      <c r="DN721" t="str">
        <f>""</f>
        <v/>
      </c>
      <c r="DO721" t="str">
        <f>""</f>
        <v/>
      </c>
      <c r="DP721" t="str">
        <f>""</f>
        <v/>
      </c>
      <c r="DQ721" t="str">
        <f>""</f>
        <v/>
      </c>
      <c r="DR721" t="str">
        <f>""</f>
        <v/>
      </c>
      <c r="DS721" t="str">
        <f>""</f>
        <v/>
      </c>
      <c r="DT721" t="str">
        <f>""</f>
        <v/>
      </c>
      <c r="DU721" t="str">
        <f>""</f>
        <v/>
      </c>
    </row>
    <row r="722" spans="1:125">
      <c r="A722" t="str">
        <f>$A$278</f>
        <v xml:space="preserve">    CBL &amp; Associates Properties In</v>
      </c>
      <c r="B722" t="str">
        <f>$B$278</f>
        <v>CBL US Equity</v>
      </c>
      <c r="C722" t="str">
        <f>$C$278</f>
        <v>F1178</v>
      </c>
      <c r="D722" t="str">
        <f>$D$278</f>
        <v>NET_DEBT_EBITDA_ADJUSTED</v>
      </c>
      <c r="E722" t="str">
        <f>$E$278</f>
        <v>动态</v>
      </c>
      <c r="F722" t="str">
        <f ca="1">BDH($B$278,$C$278,$B$417,$B$418,CONCATENATE("Per=",$B$415),"Dts=H","Dir=H",CONCATENATE("Points=",$B$416),"Sort=R","Days=A","Fill=B",CONCATENATE("FX=", $B$414) )</f>
        <v>#N/A Authorization</v>
      </c>
      <c r="BN722" t="str">
        <f>""</f>
        <v/>
      </c>
      <c r="BO722" t="str">
        <f>""</f>
        <v/>
      </c>
      <c r="BP722" t="str">
        <f>""</f>
        <v/>
      </c>
      <c r="BQ722" t="str">
        <f>""</f>
        <v/>
      </c>
      <c r="BR722" t="str">
        <f>""</f>
        <v/>
      </c>
      <c r="BS722" t="str">
        <f>""</f>
        <v/>
      </c>
      <c r="BT722" t="str">
        <f>""</f>
        <v/>
      </c>
      <c r="BU722" t="str">
        <f>""</f>
        <v/>
      </c>
      <c r="BV722" t="str">
        <f>""</f>
        <v/>
      </c>
      <c r="BW722" t="str">
        <f>""</f>
        <v/>
      </c>
      <c r="BX722" t="str">
        <f>""</f>
        <v/>
      </c>
      <c r="BY722" t="str">
        <f>""</f>
        <v/>
      </c>
      <c r="BZ722" t="str">
        <f>""</f>
        <v/>
      </c>
      <c r="CA722" t="str">
        <f>""</f>
        <v/>
      </c>
      <c r="CB722" t="str">
        <f>""</f>
        <v/>
      </c>
      <c r="CC722" t="str">
        <f>""</f>
        <v/>
      </c>
      <c r="CD722" t="str">
        <f>""</f>
        <v/>
      </c>
      <c r="CE722" t="str">
        <f>""</f>
        <v/>
      </c>
      <c r="CF722" t="str">
        <f>""</f>
        <v/>
      </c>
      <c r="CG722" t="str">
        <f>""</f>
        <v/>
      </c>
      <c r="CH722" t="str">
        <f>""</f>
        <v/>
      </c>
      <c r="CI722" t="str">
        <f>""</f>
        <v/>
      </c>
      <c r="CJ722" t="str">
        <f>""</f>
        <v/>
      </c>
      <c r="CK722" t="str">
        <f>""</f>
        <v/>
      </c>
      <c r="CL722" t="str">
        <f>""</f>
        <v/>
      </c>
      <c r="CM722" t="str">
        <f>""</f>
        <v/>
      </c>
      <c r="CN722" t="str">
        <f>""</f>
        <v/>
      </c>
      <c r="CO722" t="str">
        <f>""</f>
        <v/>
      </c>
      <c r="CP722" t="str">
        <f>""</f>
        <v/>
      </c>
      <c r="CQ722" t="str">
        <f>""</f>
        <v/>
      </c>
      <c r="CR722" t="str">
        <f>""</f>
        <v/>
      </c>
      <c r="CS722" t="str">
        <f>""</f>
        <v/>
      </c>
      <c r="CT722" t="str">
        <f>""</f>
        <v/>
      </c>
      <c r="CU722" t="str">
        <f>""</f>
        <v/>
      </c>
      <c r="CV722" t="str">
        <f>""</f>
        <v/>
      </c>
      <c r="CW722" t="str">
        <f>""</f>
        <v/>
      </c>
      <c r="CX722" t="str">
        <f>""</f>
        <v/>
      </c>
      <c r="CY722" t="str">
        <f>""</f>
        <v/>
      </c>
      <c r="CZ722" t="str">
        <f>""</f>
        <v/>
      </c>
      <c r="DA722" t="str">
        <f>""</f>
        <v/>
      </c>
      <c r="DB722" t="str">
        <f>""</f>
        <v/>
      </c>
      <c r="DC722" t="str">
        <f>""</f>
        <v/>
      </c>
      <c r="DD722" t="str">
        <f>""</f>
        <v/>
      </c>
      <c r="DE722" t="str">
        <f>""</f>
        <v/>
      </c>
      <c r="DF722" t="str">
        <f>""</f>
        <v/>
      </c>
      <c r="DG722" t="str">
        <f>""</f>
        <v/>
      </c>
      <c r="DH722" t="str">
        <f>""</f>
        <v/>
      </c>
      <c r="DI722" t="str">
        <f>""</f>
        <v/>
      </c>
      <c r="DJ722" t="str">
        <f>""</f>
        <v/>
      </c>
      <c r="DK722" t="str">
        <f>""</f>
        <v/>
      </c>
      <c r="DL722" t="str">
        <f>""</f>
        <v/>
      </c>
      <c r="DM722" t="str">
        <f>""</f>
        <v/>
      </c>
      <c r="DN722" t="str">
        <f>""</f>
        <v/>
      </c>
      <c r="DO722" t="str">
        <f>""</f>
        <v/>
      </c>
      <c r="DP722" t="str">
        <f>""</f>
        <v/>
      </c>
      <c r="DQ722" t="str">
        <f>""</f>
        <v/>
      </c>
      <c r="DR722" t="str">
        <f>""</f>
        <v/>
      </c>
      <c r="DS722" t="str">
        <f>""</f>
        <v/>
      </c>
      <c r="DT722" t="str">
        <f>""</f>
        <v/>
      </c>
      <c r="DU722" t="str">
        <f>""</f>
        <v/>
      </c>
    </row>
    <row r="723" spans="1:125">
      <c r="A723" t="str">
        <f>$A$279</f>
        <v xml:space="preserve">    DDR Corp</v>
      </c>
      <c r="B723" t="str">
        <f>$B$279</f>
        <v>DDR US Equity</v>
      </c>
      <c r="C723" t="str">
        <f>$C$279</f>
        <v>F1178</v>
      </c>
      <c r="D723" t="str">
        <f>$D$279</f>
        <v>NET_DEBT_EBITDA_ADJUSTED</v>
      </c>
      <c r="E723" t="str">
        <f>$E$279</f>
        <v>动态</v>
      </c>
      <c r="F723" t="str">
        <f ca="1">BDH($B$279,$C$279,$B$417,$B$418,CONCATENATE("Per=",$B$415),"Dts=H","Dir=H",CONCATENATE("Points=",$B$416),"Sort=R","Days=A","Fill=B",CONCATENATE("FX=", $B$414) )</f>
        <v>#N/A Authorization</v>
      </c>
      <c r="BN723" t="str">
        <f>""</f>
        <v/>
      </c>
      <c r="BO723" t="str">
        <f>""</f>
        <v/>
      </c>
      <c r="BP723" t="str">
        <f>""</f>
        <v/>
      </c>
      <c r="BQ723" t="str">
        <f>""</f>
        <v/>
      </c>
      <c r="BR723" t="str">
        <f>""</f>
        <v/>
      </c>
      <c r="BS723" t="str">
        <f>""</f>
        <v/>
      </c>
      <c r="BT723" t="str">
        <f>""</f>
        <v/>
      </c>
      <c r="BU723" t="str">
        <f>""</f>
        <v/>
      </c>
      <c r="BV723" t="str">
        <f>""</f>
        <v/>
      </c>
      <c r="BW723" t="str">
        <f>""</f>
        <v/>
      </c>
      <c r="BX723" t="str">
        <f>""</f>
        <v/>
      </c>
      <c r="BY723" t="str">
        <f>""</f>
        <v/>
      </c>
      <c r="BZ723" t="str">
        <f>""</f>
        <v/>
      </c>
      <c r="CA723" t="str">
        <f>""</f>
        <v/>
      </c>
      <c r="CB723" t="str">
        <f>""</f>
        <v/>
      </c>
      <c r="CC723" t="str">
        <f>""</f>
        <v/>
      </c>
      <c r="CD723" t="str">
        <f>""</f>
        <v/>
      </c>
      <c r="CE723" t="str">
        <f>""</f>
        <v/>
      </c>
      <c r="CF723" t="str">
        <f>""</f>
        <v/>
      </c>
      <c r="CG723" t="str">
        <f>""</f>
        <v/>
      </c>
      <c r="CH723" t="str">
        <f>""</f>
        <v/>
      </c>
      <c r="CI723" t="str">
        <f>""</f>
        <v/>
      </c>
      <c r="CJ723" t="str">
        <f>""</f>
        <v/>
      </c>
      <c r="CK723" t="str">
        <f>""</f>
        <v/>
      </c>
      <c r="CL723" t="str">
        <f>""</f>
        <v/>
      </c>
      <c r="CM723" t="str">
        <f>""</f>
        <v/>
      </c>
      <c r="CN723" t="str">
        <f>""</f>
        <v/>
      </c>
      <c r="CO723" t="str">
        <f>""</f>
        <v/>
      </c>
      <c r="CP723" t="str">
        <f>""</f>
        <v/>
      </c>
      <c r="CQ723" t="str">
        <f>""</f>
        <v/>
      </c>
      <c r="CR723" t="str">
        <f>""</f>
        <v/>
      </c>
      <c r="CS723" t="str">
        <f>""</f>
        <v/>
      </c>
      <c r="CT723" t="str">
        <f>""</f>
        <v/>
      </c>
      <c r="CU723" t="str">
        <f>""</f>
        <v/>
      </c>
      <c r="CV723" t="str">
        <f>""</f>
        <v/>
      </c>
      <c r="CW723" t="str">
        <f>""</f>
        <v/>
      </c>
      <c r="CX723" t="str">
        <f>""</f>
        <v/>
      </c>
      <c r="CY723" t="str">
        <f>""</f>
        <v/>
      </c>
      <c r="CZ723" t="str">
        <f>""</f>
        <v/>
      </c>
      <c r="DA723" t="str">
        <f>""</f>
        <v/>
      </c>
      <c r="DB723" t="str">
        <f>""</f>
        <v/>
      </c>
      <c r="DC723" t="str">
        <f>""</f>
        <v/>
      </c>
      <c r="DD723" t="str">
        <f>""</f>
        <v/>
      </c>
      <c r="DE723" t="str">
        <f>""</f>
        <v/>
      </c>
      <c r="DF723" t="str">
        <f>""</f>
        <v/>
      </c>
      <c r="DG723" t="str">
        <f>""</f>
        <v/>
      </c>
      <c r="DH723" t="str">
        <f>""</f>
        <v/>
      </c>
      <c r="DI723" t="str">
        <f>""</f>
        <v/>
      </c>
      <c r="DJ723" t="str">
        <f>""</f>
        <v/>
      </c>
      <c r="DK723" t="str">
        <f>""</f>
        <v/>
      </c>
      <c r="DL723" t="str">
        <f>""</f>
        <v/>
      </c>
      <c r="DM723" t="str">
        <f>""</f>
        <v/>
      </c>
      <c r="DN723" t="str">
        <f>""</f>
        <v/>
      </c>
      <c r="DO723" t="str">
        <f>""</f>
        <v/>
      </c>
      <c r="DP723" t="str">
        <f>""</f>
        <v/>
      </c>
      <c r="DQ723" t="str">
        <f>""</f>
        <v/>
      </c>
      <c r="DR723" t="str">
        <f>""</f>
        <v/>
      </c>
      <c r="DS723" t="str">
        <f>""</f>
        <v/>
      </c>
      <c r="DT723" t="str">
        <f>""</f>
        <v/>
      </c>
      <c r="DU723" t="str">
        <f>""</f>
        <v/>
      </c>
    </row>
    <row r="724" spans="1:125">
      <c r="A724" t="str">
        <f>$A$280</f>
        <v xml:space="preserve">    Federal Realty Investment Trus</v>
      </c>
      <c r="B724" t="str">
        <f>$B$280</f>
        <v>FRT US Equity</v>
      </c>
      <c r="C724" t="str">
        <f>$C$280</f>
        <v>F1178</v>
      </c>
      <c r="D724" t="str">
        <f>$D$280</f>
        <v>NET_DEBT_EBITDA_ADJUSTED</v>
      </c>
      <c r="E724" t="str">
        <f>$E$280</f>
        <v>动态</v>
      </c>
      <c r="F724" t="str">
        <f ca="1">BDH($B$280,$C$280,$B$417,$B$418,CONCATENATE("Per=",$B$415),"Dts=H","Dir=H",CONCATENATE("Points=",$B$416),"Sort=R","Days=A","Fill=B",CONCATENATE("FX=", $B$414) )</f>
        <v>#N/A Authorization</v>
      </c>
      <c r="BN724" t="str">
        <f>""</f>
        <v/>
      </c>
      <c r="BO724" t="str">
        <f>""</f>
        <v/>
      </c>
      <c r="BP724" t="str">
        <f>""</f>
        <v/>
      </c>
      <c r="BQ724" t="str">
        <f>""</f>
        <v/>
      </c>
      <c r="BR724" t="str">
        <f>""</f>
        <v/>
      </c>
      <c r="BS724" t="str">
        <f>""</f>
        <v/>
      </c>
      <c r="BT724" t="str">
        <f>""</f>
        <v/>
      </c>
      <c r="BU724" t="str">
        <f>""</f>
        <v/>
      </c>
      <c r="BV724" t="str">
        <f>""</f>
        <v/>
      </c>
      <c r="BW724" t="str">
        <f>""</f>
        <v/>
      </c>
      <c r="BX724" t="str">
        <f>""</f>
        <v/>
      </c>
      <c r="BY724" t="str">
        <f>""</f>
        <v/>
      </c>
      <c r="BZ724" t="str">
        <f>""</f>
        <v/>
      </c>
      <c r="CA724" t="str">
        <f>""</f>
        <v/>
      </c>
      <c r="CB724" t="str">
        <f>""</f>
        <v/>
      </c>
      <c r="CC724" t="str">
        <f>""</f>
        <v/>
      </c>
      <c r="CD724" t="str">
        <f>""</f>
        <v/>
      </c>
      <c r="CE724" t="str">
        <f>""</f>
        <v/>
      </c>
      <c r="CF724" t="str">
        <f>""</f>
        <v/>
      </c>
      <c r="CG724" t="str">
        <f>""</f>
        <v/>
      </c>
      <c r="CH724" t="str">
        <f>""</f>
        <v/>
      </c>
      <c r="CI724" t="str">
        <f>""</f>
        <v/>
      </c>
      <c r="CJ724" t="str">
        <f>""</f>
        <v/>
      </c>
      <c r="CK724" t="str">
        <f>""</f>
        <v/>
      </c>
      <c r="CL724" t="str">
        <f>""</f>
        <v/>
      </c>
      <c r="CM724" t="str">
        <f>""</f>
        <v/>
      </c>
      <c r="CN724" t="str">
        <f>""</f>
        <v/>
      </c>
      <c r="CO724" t="str">
        <f>""</f>
        <v/>
      </c>
      <c r="CP724" t="str">
        <f>""</f>
        <v/>
      </c>
      <c r="CQ724" t="str">
        <f>""</f>
        <v/>
      </c>
      <c r="CR724" t="str">
        <f>""</f>
        <v/>
      </c>
      <c r="CS724" t="str">
        <f>""</f>
        <v/>
      </c>
      <c r="CT724" t="str">
        <f>""</f>
        <v/>
      </c>
      <c r="CU724" t="str">
        <f>""</f>
        <v/>
      </c>
      <c r="CV724" t="str">
        <f>""</f>
        <v/>
      </c>
      <c r="CW724" t="str">
        <f>""</f>
        <v/>
      </c>
      <c r="CX724" t="str">
        <f>""</f>
        <v/>
      </c>
      <c r="CY724" t="str">
        <f>""</f>
        <v/>
      </c>
      <c r="CZ724" t="str">
        <f>""</f>
        <v/>
      </c>
      <c r="DA724" t="str">
        <f>""</f>
        <v/>
      </c>
      <c r="DB724" t="str">
        <f>""</f>
        <v/>
      </c>
      <c r="DC724" t="str">
        <f>""</f>
        <v/>
      </c>
      <c r="DD724" t="str">
        <f>""</f>
        <v/>
      </c>
      <c r="DE724" t="str">
        <f>""</f>
        <v/>
      </c>
      <c r="DF724" t="str">
        <f>""</f>
        <v/>
      </c>
      <c r="DG724" t="str">
        <f>""</f>
        <v/>
      </c>
      <c r="DH724" t="str">
        <f>""</f>
        <v/>
      </c>
      <c r="DI724" t="str">
        <f>""</f>
        <v/>
      </c>
      <c r="DJ724" t="str">
        <f>""</f>
        <v/>
      </c>
      <c r="DK724" t="str">
        <f>""</f>
        <v/>
      </c>
      <c r="DL724" t="str">
        <f>""</f>
        <v/>
      </c>
      <c r="DM724" t="str">
        <f>""</f>
        <v/>
      </c>
      <c r="DN724" t="str">
        <f>""</f>
        <v/>
      </c>
      <c r="DO724" t="str">
        <f>""</f>
        <v/>
      </c>
      <c r="DP724" t="str">
        <f>""</f>
        <v/>
      </c>
      <c r="DQ724" t="str">
        <f>""</f>
        <v/>
      </c>
      <c r="DR724" t="str">
        <f>""</f>
        <v/>
      </c>
      <c r="DS724" t="str">
        <f>""</f>
        <v/>
      </c>
      <c r="DT724" t="str">
        <f>""</f>
        <v/>
      </c>
      <c r="DU724" t="str">
        <f>""</f>
        <v/>
      </c>
    </row>
    <row r="725" spans="1:125">
      <c r="A725" t="str">
        <f>$A$281</f>
        <v xml:space="preserve">    Kimco Realty Corp</v>
      </c>
      <c r="B725" t="str">
        <f>$B$281</f>
        <v>KIM US Equity</v>
      </c>
      <c r="C725" t="str">
        <f>$C$281</f>
        <v>F1178</v>
      </c>
      <c r="D725" t="str">
        <f>$D$281</f>
        <v>NET_DEBT_EBITDA_ADJUSTED</v>
      </c>
      <c r="E725" t="str">
        <f>$E$281</f>
        <v>动态</v>
      </c>
      <c r="F725" t="str">
        <f ca="1">BDH($B$281,$C$281,$B$417,$B$418,CONCATENATE("Per=",$B$415),"Dts=H","Dir=H",CONCATENATE("Points=",$B$416),"Sort=R","Days=A","Fill=B",CONCATENATE("FX=", $B$414) )</f>
        <v>#N/A Authorization</v>
      </c>
      <c r="BN725" t="str">
        <f>""</f>
        <v/>
      </c>
      <c r="BO725" t="str">
        <f>""</f>
        <v/>
      </c>
      <c r="BP725" t="str">
        <f>""</f>
        <v/>
      </c>
      <c r="BQ725" t="str">
        <f>""</f>
        <v/>
      </c>
      <c r="BR725" t="str">
        <f>""</f>
        <v/>
      </c>
      <c r="BS725" t="str">
        <f>""</f>
        <v/>
      </c>
      <c r="BT725" t="str">
        <f>""</f>
        <v/>
      </c>
      <c r="BU725" t="str">
        <f>""</f>
        <v/>
      </c>
      <c r="BV725" t="str">
        <f>""</f>
        <v/>
      </c>
      <c r="BW725" t="str">
        <f>""</f>
        <v/>
      </c>
      <c r="BX725" t="str">
        <f>""</f>
        <v/>
      </c>
      <c r="BY725" t="str">
        <f>""</f>
        <v/>
      </c>
      <c r="BZ725" t="str">
        <f>""</f>
        <v/>
      </c>
      <c r="CA725" t="str">
        <f>""</f>
        <v/>
      </c>
      <c r="CB725" t="str">
        <f>""</f>
        <v/>
      </c>
      <c r="CC725" t="str">
        <f>""</f>
        <v/>
      </c>
      <c r="CD725" t="str">
        <f>""</f>
        <v/>
      </c>
      <c r="CE725" t="str">
        <f>""</f>
        <v/>
      </c>
      <c r="CF725" t="str">
        <f>""</f>
        <v/>
      </c>
      <c r="CG725" t="str">
        <f>""</f>
        <v/>
      </c>
      <c r="CH725" t="str">
        <f>""</f>
        <v/>
      </c>
      <c r="CI725" t="str">
        <f>""</f>
        <v/>
      </c>
      <c r="CJ725" t="str">
        <f>""</f>
        <v/>
      </c>
      <c r="CK725" t="str">
        <f>""</f>
        <v/>
      </c>
      <c r="CL725" t="str">
        <f>""</f>
        <v/>
      </c>
      <c r="CM725" t="str">
        <f>""</f>
        <v/>
      </c>
      <c r="CN725" t="str">
        <f>""</f>
        <v/>
      </c>
      <c r="CO725" t="str">
        <f>""</f>
        <v/>
      </c>
      <c r="CP725" t="str">
        <f>""</f>
        <v/>
      </c>
      <c r="CQ725" t="str">
        <f>""</f>
        <v/>
      </c>
      <c r="CR725" t="str">
        <f>""</f>
        <v/>
      </c>
      <c r="CS725" t="str">
        <f>""</f>
        <v/>
      </c>
      <c r="CT725" t="str">
        <f>""</f>
        <v/>
      </c>
      <c r="CU725" t="str">
        <f>""</f>
        <v/>
      </c>
      <c r="CV725" t="str">
        <f>""</f>
        <v/>
      </c>
      <c r="CW725" t="str">
        <f>""</f>
        <v/>
      </c>
      <c r="CX725" t="str">
        <f>""</f>
        <v/>
      </c>
      <c r="CY725" t="str">
        <f>""</f>
        <v/>
      </c>
      <c r="CZ725" t="str">
        <f>""</f>
        <v/>
      </c>
      <c r="DA725" t="str">
        <f>""</f>
        <v/>
      </c>
      <c r="DB725" t="str">
        <f>""</f>
        <v/>
      </c>
      <c r="DC725" t="str">
        <f>""</f>
        <v/>
      </c>
      <c r="DD725" t="str">
        <f>""</f>
        <v/>
      </c>
      <c r="DE725" t="str">
        <f>""</f>
        <v/>
      </c>
      <c r="DF725" t="str">
        <f>""</f>
        <v/>
      </c>
      <c r="DG725" t="str">
        <f>""</f>
        <v/>
      </c>
      <c r="DH725" t="str">
        <f>""</f>
        <v/>
      </c>
      <c r="DI725" t="str">
        <f>""</f>
        <v/>
      </c>
      <c r="DJ725" t="str">
        <f>""</f>
        <v/>
      </c>
      <c r="DK725" t="str">
        <f>""</f>
        <v/>
      </c>
      <c r="DL725" t="str">
        <f>""</f>
        <v/>
      </c>
      <c r="DM725" t="str">
        <f>""</f>
        <v/>
      </c>
      <c r="DN725" t="str">
        <f>""</f>
        <v/>
      </c>
      <c r="DO725" t="str">
        <f>""</f>
        <v/>
      </c>
      <c r="DP725" t="str">
        <f>""</f>
        <v/>
      </c>
      <c r="DQ725" t="str">
        <f>""</f>
        <v/>
      </c>
      <c r="DR725" t="str">
        <f>""</f>
        <v/>
      </c>
      <c r="DS725" t="str">
        <f>""</f>
        <v/>
      </c>
      <c r="DT725" t="str">
        <f>""</f>
        <v/>
      </c>
      <c r="DU725" t="str">
        <f>""</f>
        <v/>
      </c>
    </row>
    <row r="726" spans="1:125">
      <c r="A726" t="str">
        <f>$A$282</f>
        <v xml:space="preserve">    National Retail Properties Inc</v>
      </c>
      <c r="B726" t="str">
        <f>$B$282</f>
        <v>NNN US Equity</v>
      </c>
      <c r="C726" t="str">
        <f>$C$282</f>
        <v>F1178</v>
      </c>
      <c r="D726" t="str">
        <f>$D$282</f>
        <v>NET_DEBT_EBITDA_ADJUSTED</v>
      </c>
      <c r="E726" t="str">
        <f>$E$282</f>
        <v>动态</v>
      </c>
      <c r="F726" t="str">
        <f ca="1">BDH($B$282,$C$282,$B$417,$B$418,CONCATENATE("Per=",$B$415),"Dts=H","Dir=H",CONCATENATE("Points=",$B$416),"Sort=R","Days=A","Fill=B",CONCATENATE("FX=", $B$414) )</f>
        <v>#N/A Authorization</v>
      </c>
      <c r="BN726" t="str">
        <f>""</f>
        <v/>
      </c>
      <c r="BO726" t="str">
        <f>""</f>
        <v/>
      </c>
      <c r="BP726" t="str">
        <f>""</f>
        <v/>
      </c>
      <c r="BQ726" t="str">
        <f>""</f>
        <v/>
      </c>
      <c r="BR726" t="str">
        <f>""</f>
        <v/>
      </c>
      <c r="BS726" t="str">
        <f>""</f>
        <v/>
      </c>
      <c r="BT726" t="str">
        <f>""</f>
        <v/>
      </c>
      <c r="BU726" t="str">
        <f>""</f>
        <v/>
      </c>
      <c r="BV726" t="str">
        <f>""</f>
        <v/>
      </c>
      <c r="BW726" t="str">
        <f>""</f>
        <v/>
      </c>
      <c r="BX726" t="str">
        <f>""</f>
        <v/>
      </c>
      <c r="BY726" t="str">
        <f>""</f>
        <v/>
      </c>
      <c r="BZ726" t="str">
        <f>""</f>
        <v/>
      </c>
      <c r="CA726" t="str">
        <f>""</f>
        <v/>
      </c>
      <c r="CB726" t="str">
        <f>""</f>
        <v/>
      </c>
      <c r="CC726" t="str">
        <f>""</f>
        <v/>
      </c>
      <c r="CD726" t="str">
        <f>""</f>
        <v/>
      </c>
      <c r="CE726" t="str">
        <f>""</f>
        <v/>
      </c>
      <c r="CF726" t="str">
        <f>""</f>
        <v/>
      </c>
      <c r="CG726" t="str">
        <f>""</f>
        <v/>
      </c>
      <c r="CH726" t="str">
        <f>""</f>
        <v/>
      </c>
      <c r="CI726" t="str">
        <f>""</f>
        <v/>
      </c>
      <c r="CJ726" t="str">
        <f>""</f>
        <v/>
      </c>
      <c r="CK726" t="str">
        <f>""</f>
        <v/>
      </c>
      <c r="CL726" t="str">
        <f>""</f>
        <v/>
      </c>
      <c r="CM726" t="str">
        <f>""</f>
        <v/>
      </c>
      <c r="CN726" t="str">
        <f>""</f>
        <v/>
      </c>
      <c r="CO726" t="str">
        <f>""</f>
        <v/>
      </c>
      <c r="CP726" t="str">
        <f>""</f>
        <v/>
      </c>
      <c r="CQ726" t="str">
        <f>""</f>
        <v/>
      </c>
      <c r="CR726" t="str">
        <f>""</f>
        <v/>
      </c>
      <c r="CS726" t="str">
        <f>""</f>
        <v/>
      </c>
      <c r="CT726" t="str">
        <f>""</f>
        <v/>
      </c>
      <c r="CU726" t="str">
        <f>""</f>
        <v/>
      </c>
      <c r="CV726" t="str">
        <f>""</f>
        <v/>
      </c>
      <c r="CW726" t="str">
        <f>""</f>
        <v/>
      </c>
      <c r="CX726" t="str">
        <f>""</f>
        <v/>
      </c>
      <c r="CY726" t="str">
        <f>""</f>
        <v/>
      </c>
      <c r="CZ726" t="str">
        <f>""</f>
        <v/>
      </c>
      <c r="DA726" t="str">
        <f>""</f>
        <v/>
      </c>
      <c r="DB726" t="str">
        <f>""</f>
        <v/>
      </c>
      <c r="DC726" t="str">
        <f>""</f>
        <v/>
      </c>
      <c r="DD726" t="str">
        <f>""</f>
        <v/>
      </c>
      <c r="DE726" t="str">
        <f>""</f>
        <v/>
      </c>
      <c r="DF726" t="str">
        <f>""</f>
        <v/>
      </c>
      <c r="DG726" t="str">
        <f>""</f>
        <v/>
      </c>
      <c r="DH726" t="str">
        <f>""</f>
        <v/>
      </c>
      <c r="DI726" t="str">
        <f>""</f>
        <v/>
      </c>
      <c r="DJ726" t="str">
        <f>""</f>
        <v/>
      </c>
      <c r="DK726" t="str">
        <f>""</f>
        <v/>
      </c>
      <c r="DL726" t="str">
        <f>""</f>
        <v/>
      </c>
      <c r="DM726" t="str">
        <f>""</f>
        <v/>
      </c>
      <c r="DN726" t="str">
        <f>""</f>
        <v/>
      </c>
      <c r="DO726" t="str">
        <f>""</f>
        <v/>
      </c>
      <c r="DP726" t="str">
        <f>""</f>
        <v/>
      </c>
      <c r="DQ726" t="str">
        <f>""</f>
        <v/>
      </c>
      <c r="DR726" t="str">
        <f>""</f>
        <v/>
      </c>
      <c r="DS726" t="str">
        <f>""</f>
        <v/>
      </c>
      <c r="DT726" t="str">
        <f>""</f>
        <v/>
      </c>
      <c r="DU726" t="str">
        <f>""</f>
        <v/>
      </c>
    </row>
    <row r="727" spans="1:125">
      <c r="A727" t="str">
        <f>$A$283</f>
        <v xml:space="preserve">    Realty Income Corp</v>
      </c>
      <c r="B727" t="str">
        <f>$B$283</f>
        <v>O US Equity</v>
      </c>
      <c r="C727" t="str">
        <f>$C$283</f>
        <v>F1178</v>
      </c>
      <c r="D727" t="str">
        <f>$D$283</f>
        <v>NET_DEBT_EBITDA_ADJUSTED</v>
      </c>
      <c r="E727" t="str">
        <f>$E$283</f>
        <v>动态</v>
      </c>
      <c r="F727" t="str">
        <f ca="1">BDH($B$283,$C$283,$B$417,$B$418,CONCATENATE("Per=",$B$415),"Dts=H","Dir=H",CONCATENATE("Points=",$B$416),"Sort=R","Days=A","Fill=B",CONCATENATE("FX=", $B$414) )</f>
        <v>#N/A Authorization</v>
      </c>
      <c r="BN727" t="str">
        <f>""</f>
        <v/>
      </c>
      <c r="BO727" t="str">
        <f>""</f>
        <v/>
      </c>
      <c r="BP727" t="str">
        <f>""</f>
        <v/>
      </c>
      <c r="BQ727" t="str">
        <f>""</f>
        <v/>
      </c>
      <c r="BR727" t="str">
        <f>""</f>
        <v/>
      </c>
      <c r="BS727" t="str">
        <f>""</f>
        <v/>
      </c>
      <c r="BT727" t="str">
        <f>""</f>
        <v/>
      </c>
      <c r="BU727" t="str">
        <f>""</f>
        <v/>
      </c>
      <c r="BV727" t="str">
        <f>""</f>
        <v/>
      </c>
      <c r="BW727" t="str">
        <f>""</f>
        <v/>
      </c>
      <c r="BX727" t="str">
        <f>""</f>
        <v/>
      </c>
      <c r="BY727" t="str">
        <f>""</f>
        <v/>
      </c>
      <c r="BZ727" t="str">
        <f>""</f>
        <v/>
      </c>
      <c r="CA727" t="str">
        <f>""</f>
        <v/>
      </c>
      <c r="CB727" t="str">
        <f>""</f>
        <v/>
      </c>
      <c r="CC727" t="str">
        <f>""</f>
        <v/>
      </c>
      <c r="CD727" t="str">
        <f>""</f>
        <v/>
      </c>
      <c r="CE727" t="str">
        <f>""</f>
        <v/>
      </c>
      <c r="CF727" t="str">
        <f>""</f>
        <v/>
      </c>
      <c r="CG727" t="str">
        <f>""</f>
        <v/>
      </c>
      <c r="CH727" t="str">
        <f>""</f>
        <v/>
      </c>
      <c r="CI727" t="str">
        <f>""</f>
        <v/>
      </c>
      <c r="CJ727" t="str">
        <f>""</f>
        <v/>
      </c>
      <c r="CK727" t="str">
        <f>""</f>
        <v/>
      </c>
      <c r="CL727" t="str">
        <f>""</f>
        <v/>
      </c>
      <c r="CM727" t="str">
        <f>""</f>
        <v/>
      </c>
      <c r="CN727" t="str">
        <f>""</f>
        <v/>
      </c>
      <c r="CO727" t="str">
        <f>""</f>
        <v/>
      </c>
      <c r="CP727" t="str">
        <f>""</f>
        <v/>
      </c>
      <c r="CQ727" t="str">
        <f>""</f>
        <v/>
      </c>
      <c r="CR727" t="str">
        <f>""</f>
        <v/>
      </c>
      <c r="CS727" t="str">
        <f>""</f>
        <v/>
      </c>
      <c r="CT727" t="str">
        <f>""</f>
        <v/>
      </c>
      <c r="CU727" t="str">
        <f>""</f>
        <v/>
      </c>
      <c r="CV727" t="str">
        <f>""</f>
        <v/>
      </c>
      <c r="CW727" t="str">
        <f>""</f>
        <v/>
      </c>
      <c r="CX727" t="str">
        <f>""</f>
        <v/>
      </c>
      <c r="CY727" t="str">
        <f>""</f>
        <v/>
      </c>
      <c r="CZ727" t="str">
        <f>""</f>
        <v/>
      </c>
      <c r="DA727" t="str">
        <f>""</f>
        <v/>
      </c>
      <c r="DB727" t="str">
        <f>""</f>
        <v/>
      </c>
      <c r="DC727" t="str">
        <f>""</f>
        <v/>
      </c>
      <c r="DD727" t="str">
        <f>""</f>
        <v/>
      </c>
      <c r="DE727" t="str">
        <f>""</f>
        <v/>
      </c>
      <c r="DF727" t="str">
        <f>""</f>
        <v/>
      </c>
      <c r="DG727" t="str">
        <f>""</f>
        <v/>
      </c>
      <c r="DH727" t="str">
        <f>""</f>
        <v/>
      </c>
      <c r="DI727" t="str">
        <f>""</f>
        <v/>
      </c>
      <c r="DJ727" t="str">
        <f>""</f>
        <v/>
      </c>
      <c r="DK727" t="str">
        <f>""</f>
        <v/>
      </c>
      <c r="DL727" t="str">
        <f>""</f>
        <v/>
      </c>
      <c r="DM727" t="str">
        <f>""</f>
        <v/>
      </c>
      <c r="DN727" t="str">
        <f>""</f>
        <v/>
      </c>
      <c r="DO727" t="str">
        <f>""</f>
        <v/>
      </c>
      <c r="DP727" t="str">
        <f>""</f>
        <v/>
      </c>
      <c r="DQ727" t="str">
        <f>""</f>
        <v/>
      </c>
      <c r="DR727" t="str">
        <f>""</f>
        <v/>
      </c>
      <c r="DS727" t="str">
        <f>""</f>
        <v/>
      </c>
      <c r="DT727" t="str">
        <f>""</f>
        <v/>
      </c>
      <c r="DU727" t="str">
        <f>""</f>
        <v/>
      </c>
    </row>
    <row r="728" spans="1:125">
      <c r="A728" t="str">
        <f>$A$284</f>
        <v xml:space="preserve">    Regency Centers Corp</v>
      </c>
      <c r="B728" t="str">
        <f>$B$284</f>
        <v>REG US Equity</v>
      </c>
      <c r="C728" t="str">
        <f>$C$284</f>
        <v>F1178</v>
      </c>
      <c r="D728" t="str">
        <f>$D$284</f>
        <v>NET_DEBT_EBITDA_ADJUSTED</v>
      </c>
      <c r="E728" t="str">
        <f>$E$284</f>
        <v>动态</v>
      </c>
      <c r="F728" t="str">
        <f ca="1">BDH($B$284,$C$284,$B$417,$B$418,CONCATENATE("Per=",$B$415),"Dts=H","Dir=H",CONCATENATE("Points=",$B$416),"Sort=R","Days=A","Fill=B",CONCATENATE("FX=", $B$414) )</f>
        <v>#N/A Authorization</v>
      </c>
      <c r="BN728" t="str">
        <f>""</f>
        <v/>
      </c>
      <c r="BO728" t="str">
        <f>""</f>
        <v/>
      </c>
      <c r="BP728" t="str">
        <f>""</f>
        <v/>
      </c>
      <c r="BQ728" t="str">
        <f>""</f>
        <v/>
      </c>
      <c r="BR728" t="str">
        <f>""</f>
        <v/>
      </c>
      <c r="BS728" t="str">
        <f>""</f>
        <v/>
      </c>
      <c r="BT728" t="str">
        <f>""</f>
        <v/>
      </c>
      <c r="BU728" t="str">
        <f>""</f>
        <v/>
      </c>
      <c r="BV728" t="str">
        <f>""</f>
        <v/>
      </c>
      <c r="BW728" t="str">
        <f>""</f>
        <v/>
      </c>
      <c r="BX728" t="str">
        <f>""</f>
        <v/>
      </c>
      <c r="BY728" t="str">
        <f>""</f>
        <v/>
      </c>
      <c r="BZ728" t="str">
        <f>""</f>
        <v/>
      </c>
      <c r="CA728" t="str">
        <f>""</f>
        <v/>
      </c>
      <c r="CB728" t="str">
        <f>""</f>
        <v/>
      </c>
      <c r="CC728" t="str">
        <f>""</f>
        <v/>
      </c>
      <c r="CD728" t="str">
        <f>""</f>
        <v/>
      </c>
      <c r="CE728" t="str">
        <f>""</f>
        <v/>
      </c>
      <c r="CF728" t="str">
        <f>""</f>
        <v/>
      </c>
      <c r="CG728" t="str">
        <f>""</f>
        <v/>
      </c>
      <c r="CH728" t="str">
        <f>""</f>
        <v/>
      </c>
      <c r="CI728" t="str">
        <f>""</f>
        <v/>
      </c>
      <c r="CJ728" t="str">
        <f>""</f>
        <v/>
      </c>
      <c r="CK728" t="str">
        <f>""</f>
        <v/>
      </c>
      <c r="CL728" t="str">
        <f>""</f>
        <v/>
      </c>
      <c r="CM728" t="str">
        <f>""</f>
        <v/>
      </c>
      <c r="CN728" t="str">
        <f>""</f>
        <v/>
      </c>
      <c r="CO728" t="str">
        <f>""</f>
        <v/>
      </c>
      <c r="CP728" t="str">
        <f>""</f>
        <v/>
      </c>
      <c r="CQ728" t="str">
        <f>""</f>
        <v/>
      </c>
      <c r="CR728" t="str">
        <f>""</f>
        <v/>
      </c>
      <c r="CS728" t="str">
        <f>""</f>
        <v/>
      </c>
      <c r="CT728" t="str">
        <f>""</f>
        <v/>
      </c>
      <c r="CU728" t="str">
        <f>""</f>
        <v/>
      </c>
      <c r="CV728" t="str">
        <f>""</f>
        <v/>
      </c>
      <c r="CW728" t="str">
        <f>""</f>
        <v/>
      </c>
      <c r="CX728" t="str">
        <f>""</f>
        <v/>
      </c>
      <c r="CY728" t="str">
        <f>""</f>
        <v/>
      </c>
      <c r="CZ728" t="str">
        <f>""</f>
        <v/>
      </c>
      <c r="DA728" t="str">
        <f>""</f>
        <v/>
      </c>
      <c r="DB728" t="str">
        <f>""</f>
        <v/>
      </c>
      <c r="DC728" t="str">
        <f>""</f>
        <v/>
      </c>
      <c r="DD728" t="str">
        <f>""</f>
        <v/>
      </c>
      <c r="DE728" t="str">
        <f>""</f>
        <v/>
      </c>
      <c r="DF728" t="str">
        <f>""</f>
        <v/>
      </c>
      <c r="DG728" t="str">
        <f>""</f>
        <v/>
      </c>
      <c r="DH728" t="str">
        <f>""</f>
        <v/>
      </c>
      <c r="DI728" t="str">
        <f>""</f>
        <v/>
      </c>
      <c r="DJ728" t="str">
        <f>""</f>
        <v/>
      </c>
      <c r="DK728" t="str">
        <f>""</f>
        <v/>
      </c>
      <c r="DL728" t="str">
        <f>""</f>
        <v/>
      </c>
      <c r="DM728" t="str">
        <f>""</f>
        <v/>
      </c>
      <c r="DN728" t="str">
        <f>""</f>
        <v/>
      </c>
      <c r="DO728" t="str">
        <f>""</f>
        <v/>
      </c>
      <c r="DP728" t="str">
        <f>""</f>
        <v/>
      </c>
      <c r="DQ728" t="str">
        <f>""</f>
        <v/>
      </c>
      <c r="DR728" t="str">
        <f>""</f>
        <v/>
      </c>
      <c r="DS728" t="str">
        <f>""</f>
        <v/>
      </c>
      <c r="DT728" t="str">
        <f>""</f>
        <v/>
      </c>
      <c r="DU728" t="str">
        <f>""</f>
        <v/>
      </c>
    </row>
    <row r="729" spans="1:125">
      <c r="A729" t="str">
        <f>$A$285</f>
        <v xml:space="preserve">    Retail Opportunity Investments</v>
      </c>
      <c r="B729" t="str">
        <f>$B$285</f>
        <v>ROIC US Equity</v>
      </c>
      <c r="C729" t="str">
        <f>$C$285</f>
        <v>F1178</v>
      </c>
      <c r="D729" t="str">
        <f>$D$285</f>
        <v>NET_DEBT_EBITDA_ADJUSTED</v>
      </c>
      <c r="E729" t="str">
        <f>$E$285</f>
        <v>动态</v>
      </c>
      <c r="F729" t="str">
        <f ca="1">BDH($B$285,$C$285,$B$417,$B$418,CONCATENATE("Per=",$B$415),"Dts=H","Dir=H",CONCATENATE("Points=",$B$416),"Sort=R","Days=A","Fill=B",CONCATENATE("FX=", $B$414) )</f>
        <v>#N/A Authorization</v>
      </c>
      <c r="BN729" t="str">
        <f>""</f>
        <v/>
      </c>
      <c r="BO729" t="str">
        <f>""</f>
        <v/>
      </c>
      <c r="BP729" t="str">
        <f>""</f>
        <v/>
      </c>
      <c r="BQ729" t="str">
        <f>""</f>
        <v/>
      </c>
      <c r="BR729" t="str">
        <f>""</f>
        <v/>
      </c>
      <c r="BS729" t="str">
        <f>""</f>
        <v/>
      </c>
      <c r="BT729" t="str">
        <f>""</f>
        <v/>
      </c>
      <c r="BU729" t="str">
        <f>""</f>
        <v/>
      </c>
      <c r="BV729" t="str">
        <f>""</f>
        <v/>
      </c>
      <c r="BW729" t="str">
        <f>""</f>
        <v/>
      </c>
      <c r="BX729" t="str">
        <f>""</f>
        <v/>
      </c>
      <c r="BY729" t="str">
        <f>""</f>
        <v/>
      </c>
      <c r="BZ729" t="str">
        <f>""</f>
        <v/>
      </c>
      <c r="CA729" t="str">
        <f>""</f>
        <v/>
      </c>
      <c r="CB729" t="str">
        <f>""</f>
        <v/>
      </c>
      <c r="CC729" t="str">
        <f>""</f>
        <v/>
      </c>
      <c r="CD729" t="str">
        <f>""</f>
        <v/>
      </c>
      <c r="CE729" t="str">
        <f>""</f>
        <v/>
      </c>
      <c r="CF729" t="str">
        <f>""</f>
        <v/>
      </c>
      <c r="CG729" t="str">
        <f>""</f>
        <v/>
      </c>
      <c r="CH729" t="str">
        <f>""</f>
        <v/>
      </c>
      <c r="CI729" t="str">
        <f>""</f>
        <v/>
      </c>
      <c r="CJ729" t="str">
        <f>""</f>
        <v/>
      </c>
      <c r="CK729" t="str">
        <f>""</f>
        <v/>
      </c>
      <c r="CL729" t="str">
        <f>""</f>
        <v/>
      </c>
      <c r="CM729" t="str">
        <f>""</f>
        <v/>
      </c>
      <c r="CN729" t="str">
        <f>""</f>
        <v/>
      </c>
      <c r="CO729" t="str">
        <f>""</f>
        <v/>
      </c>
      <c r="CP729" t="str">
        <f>""</f>
        <v/>
      </c>
      <c r="CQ729" t="str">
        <f>""</f>
        <v/>
      </c>
      <c r="CR729" t="str">
        <f>""</f>
        <v/>
      </c>
      <c r="CS729" t="str">
        <f>""</f>
        <v/>
      </c>
      <c r="CT729" t="str">
        <f>""</f>
        <v/>
      </c>
      <c r="CU729" t="str">
        <f>""</f>
        <v/>
      </c>
      <c r="CV729" t="str">
        <f>""</f>
        <v/>
      </c>
      <c r="CW729" t="str">
        <f>""</f>
        <v/>
      </c>
      <c r="CX729" t="str">
        <f>""</f>
        <v/>
      </c>
      <c r="CY729" t="str">
        <f>""</f>
        <v/>
      </c>
      <c r="CZ729" t="str">
        <f>""</f>
        <v/>
      </c>
      <c r="DA729" t="str">
        <f>""</f>
        <v/>
      </c>
      <c r="DB729" t="str">
        <f>""</f>
        <v/>
      </c>
      <c r="DC729" t="str">
        <f>""</f>
        <v/>
      </c>
      <c r="DD729" t="str">
        <f>""</f>
        <v/>
      </c>
      <c r="DE729" t="str">
        <f>""</f>
        <v/>
      </c>
      <c r="DF729" t="str">
        <f>""</f>
        <v/>
      </c>
      <c r="DG729" t="str">
        <f>""</f>
        <v/>
      </c>
      <c r="DH729" t="str">
        <f>""</f>
        <v/>
      </c>
      <c r="DI729" t="str">
        <f>""</f>
        <v/>
      </c>
      <c r="DJ729" t="str">
        <f>""</f>
        <v/>
      </c>
      <c r="DK729" t="str">
        <f>""</f>
        <v/>
      </c>
      <c r="DL729" t="str">
        <f>""</f>
        <v/>
      </c>
      <c r="DM729" t="str">
        <f>""</f>
        <v/>
      </c>
      <c r="DN729" t="str">
        <f>""</f>
        <v/>
      </c>
      <c r="DO729" t="str">
        <f>""</f>
        <v/>
      </c>
      <c r="DP729" t="str">
        <f>""</f>
        <v/>
      </c>
      <c r="DQ729" t="str">
        <f>""</f>
        <v/>
      </c>
      <c r="DR729" t="str">
        <f>""</f>
        <v/>
      </c>
      <c r="DS729" t="str">
        <f>""</f>
        <v/>
      </c>
      <c r="DT729" t="str">
        <f>""</f>
        <v/>
      </c>
      <c r="DU729" t="str">
        <f>""</f>
        <v/>
      </c>
    </row>
    <row r="730" spans="1:125">
      <c r="A730" t="str">
        <f>$A$286</f>
        <v xml:space="preserve">    Retail Properties of America I</v>
      </c>
      <c r="B730" t="str">
        <f>$B$286</f>
        <v>RPAI US Equity</v>
      </c>
      <c r="C730" t="str">
        <f>$C$286</f>
        <v>F1178</v>
      </c>
      <c r="D730" t="str">
        <f>$D$286</f>
        <v>NET_DEBT_EBITDA_ADJUSTED</v>
      </c>
      <c r="E730" t="str">
        <f>$E$286</f>
        <v>动态</v>
      </c>
      <c r="F730" t="str">
        <f ca="1">BDH($B$286,$C$286,$B$417,$B$418,CONCATENATE("Per=",$B$415),"Dts=H","Dir=H",CONCATENATE("Points=",$B$416),"Sort=R","Days=A","Fill=B",CONCATENATE("FX=", $B$414) )</f>
        <v>#N/A Authorization</v>
      </c>
      <c r="BN730" t="str">
        <f>""</f>
        <v/>
      </c>
      <c r="BO730" t="str">
        <f>""</f>
        <v/>
      </c>
      <c r="BP730" t="str">
        <f>""</f>
        <v/>
      </c>
      <c r="BQ730" t="str">
        <f>""</f>
        <v/>
      </c>
      <c r="BR730" t="str">
        <f>""</f>
        <v/>
      </c>
      <c r="BS730" t="str">
        <f>""</f>
        <v/>
      </c>
      <c r="BT730" t="str">
        <f>""</f>
        <v/>
      </c>
      <c r="BU730" t="str">
        <f>""</f>
        <v/>
      </c>
      <c r="BV730" t="str">
        <f>""</f>
        <v/>
      </c>
      <c r="BW730" t="str">
        <f>""</f>
        <v/>
      </c>
      <c r="BX730" t="str">
        <f>""</f>
        <v/>
      </c>
      <c r="BY730" t="str">
        <f>""</f>
        <v/>
      </c>
      <c r="BZ730" t="str">
        <f>""</f>
        <v/>
      </c>
      <c r="CA730" t="str">
        <f>""</f>
        <v/>
      </c>
      <c r="CB730" t="str">
        <f>""</f>
        <v/>
      </c>
      <c r="CC730" t="str">
        <f>""</f>
        <v/>
      </c>
      <c r="CD730" t="str">
        <f>""</f>
        <v/>
      </c>
      <c r="CE730" t="str">
        <f>""</f>
        <v/>
      </c>
      <c r="CF730" t="str">
        <f>""</f>
        <v/>
      </c>
      <c r="CG730" t="str">
        <f>""</f>
        <v/>
      </c>
      <c r="CH730" t="str">
        <f>""</f>
        <v/>
      </c>
      <c r="CI730" t="str">
        <f>""</f>
        <v/>
      </c>
      <c r="CJ730" t="str">
        <f>""</f>
        <v/>
      </c>
      <c r="CK730" t="str">
        <f>""</f>
        <v/>
      </c>
      <c r="CL730" t="str">
        <f>""</f>
        <v/>
      </c>
      <c r="CM730" t="str">
        <f>""</f>
        <v/>
      </c>
      <c r="CN730" t="str">
        <f>""</f>
        <v/>
      </c>
      <c r="CO730" t="str">
        <f>""</f>
        <v/>
      </c>
      <c r="CP730" t="str">
        <f>""</f>
        <v/>
      </c>
      <c r="CQ730" t="str">
        <f>""</f>
        <v/>
      </c>
      <c r="CR730" t="str">
        <f>""</f>
        <v/>
      </c>
      <c r="CS730" t="str">
        <f>""</f>
        <v/>
      </c>
      <c r="CT730" t="str">
        <f>""</f>
        <v/>
      </c>
      <c r="CU730" t="str">
        <f>""</f>
        <v/>
      </c>
      <c r="CV730" t="str">
        <f>""</f>
        <v/>
      </c>
      <c r="CW730" t="str">
        <f>""</f>
        <v/>
      </c>
      <c r="CX730" t="str">
        <f>""</f>
        <v/>
      </c>
      <c r="CY730" t="str">
        <f>""</f>
        <v/>
      </c>
      <c r="CZ730" t="str">
        <f>""</f>
        <v/>
      </c>
      <c r="DA730" t="str">
        <f>""</f>
        <v/>
      </c>
      <c r="DB730" t="str">
        <f>""</f>
        <v/>
      </c>
      <c r="DC730" t="str">
        <f>""</f>
        <v/>
      </c>
      <c r="DD730" t="str">
        <f>""</f>
        <v/>
      </c>
      <c r="DE730" t="str">
        <f>""</f>
        <v/>
      </c>
      <c r="DF730" t="str">
        <f>""</f>
        <v/>
      </c>
      <c r="DG730" t="str">
        <f>""</f>
        <v/>
      </c>
      <c r="DH730" t="str">
        <f>""</f>
        <v/>
      </c>
      <c r="DI730" t="str">
        <f>""</f>
        <v/>
      </c>
      <c r="DJ730" t="str">
        <f>""</f>
        <v/>
      </c>
      <c r="DK730" t="str">
        <f>""</f>
        <v/>
      </c>
      <c r="DL730" t="str">
        <f>""</f>
        <v/>
      </c>
      <c r="DM730" t="str">
        <f>""</f>
        <v/>
      </c>
      <c r="DN730" t="str">
        <f>""</f>
        <v/>
      </c>
      <c r="DO730" t="str">
        <f>""</f>
        <v/>
      </c>
      <c r="DP730" t="str">
        <f>""</f>
        <v/>
      </c>
      <c r="DQ730" t="str">
        <f>""</f>
        <v/>
      </c>
      <c r="DR730" t="str">
        <f>""</f>
        <v/>
      </c>
      <c r="DS730" t="str">
        <f>""</f>
        <v/>
      </c>
      <c r="DT730" t="str">
        <f>""</f>
        <v/>
      </c>
      <c r="DU730" t="str">
        <f>""</f>
        <v/>
      </c>
    </row>
    <row r="731" spans="1:125">
      <c r="A731" t="str">
        <f>$A$287</f>
        <v xml:space="preserve">    Simon Property Group Inc</v>
      </c>
      <c r="B731" t="str">
        <f>$B$287</f>
        <v>SPG US Equity</v>
      </c>
      <c r="C731" t="str">
        <f>$C$287</f>
        <v>F1178</v>
      </c>
      <c r="D731" t="str">
        <f>$D$287</f>
        <v>NET_DEBT_EBITDA_ADJUSTED</v>
      </c>
      <c r="E731" t="str">
        <f>$E$287</f>
        <v>动态</v>
      </c>
      <c r="F731" t="str">
        <f ca="1">BDH($B$287,$C$287,$B$417,$B$418,CONCATENATE("Per=",$B$415),"Dts=H","Dir=H",CONCATENATE("Points=",$B$416),"Sort=R","Days=A","Fill=B",CONCATENATE("FX=", $B$414) )</f>
        <v>#N/A Authorization</v>
      </c>
      <c r="BN731" t="str">
        <f>""</f>
        <v/>
      </c>
      <c r="BO731" t="str">
        <f>""</f>
        <v/>
      </c>
      <c r="BP731" t="str">
        <f>""</f>
        <v/>
      </c>
      <c r="BQ731" t="str">
        <f>""</f>
        <v/>
      </c>
      <c r="BR731" t="str">
        <f>""</f>
        <v/>
      </c>
      <c r="BS731" t="str">
        <f>""</f>
        <v/>
      </c>
      <c r="BT731" t="str">
        <f>""</f>
        <v/>
      </c>
      <c r="BU731" t="str">
        <f>""</f>
        <v/>
      </c>
      <c r="BV731" t="str">
        <f>""</f>
        <v/>
      </c>
      <c r="BW731" t="str">
        <f>""</f>
        <v/>
      </c>
      <c r="BX731" t="str">
        <f>""</f>
        <v/>
      </c>
      <c r="BY731" t="str">
        <f>""</f>
        <v/>
      </c>
      <c r="BZ731" t="str">
        <f>""</f>
        <v/>
      </c>
      <c r="CA731" t="str">
        <f>""</f>
        <v/>
      </c>
      <c r="CB731" t="str">
        <f>""</f>
        <v/>
      </c>
      <c r="CC731" t="str">
        <f>""</f>
        <v/>
      </c>
      <c r="CD731" t="str">
        <f>""</f>
        <v/>
      </c>
      <c r="CE731" t="str">
        <f>""</f>
        <v/>
      </c>
      <c r="CF731" t="str">
        <f>""</f>
        <v/>
      </c>
      <c r="CG731" t="str">
        <f>""</f>
        <v/>
      </c>
      <c r="CH731" t="str">
        <f>""</f>
        <v/>
      </c>
      <c r="CI731" t="str">
        <f>""</f>
        <v/>
      </c>
      <c r="CJ731" t="str">
        <f>""</f>
        <v/>
      </c>
      <c r="CK731" t="str">
        <f>""</f>
        <v/>
      </c>
      <c r="CL731" t="str">
        <f>""</f>
        <v/>
      </c>
      <c r="CM731" t="str">
        <f>""</f>
        <v/>
      </c>
      <c r="CN731" t="str">
        <f>""</f>
        <v/>
      </c>
      <c r="CO731" t="str">
        <f>""</f>
        <v/>
      </c>
      <c r="CP731" t="str">
        <f>""</f>
        <v/>
      </c>
      <c r="CQ731" t="str">
        <f>""</f>
        <v/>
      </c>
      <c r="CR731" t="str">
        <f>""</f>
        <v/>
      </c>
      <c r="CS731" t="str">
        <f>""</f>
        <v/>
      </c>
      <c r="CT731" t="str">
        <f>""</f>
        <v/>
      </c>
      <c r="CU731" t="str">
        <f>""</f>
        <v/>
      </c>
      <c r="CV731" t="str">
        <f>""</f>
        <v/>
      </c>
      <c r="CW731" t="str">
        <f>""</f>
        <v/>
      </c>
      <c r="CX731" t="str">
        <f>""</f>
        <v/>
      </c>
      <c r="CY731" t="str">
        <f>""</f>
        <v/>
      </c>
      <c r="CZ731" t="str">
        <f>""</f>
        <v/>
      </c>
      <c r="DA731" t="str">
        <f>""</f>
        <v/>
      </c>
      <c r="DB731" t="str">
        <f>""</f>
        <v/>
      </c>
      <c r="DC731" t="str">
        <f>""</f>
        <v/>
      </c>
      <c r="DD731" t="str">
        <f>""</f>
        <v/>
      </c>
      <c r="DE731" t="str">
        <f>""</f>
        <v/>
      </c>
      <c r="DF731" t="str">
        <f>""</f>
        <v/>
      </c>
      <c r="DG731" t="str">
        <f>""</f>
        <v/>
      </c>
      <c r="DH731" t="str">
        <f>""</f>
        <v/>
      </c>
      <c r="DI731" t="str">
        <f>""</f>
        <v/>
      </c>
      <c r="DJ731" t="str">
        <f>""</f>
        <v/>
      </c>
      <c r="DK731" t="str">
        <f>""</f>
        <v/>
      </c>
      <c r="DL731" t="str">
        <f>""</f>
        <v/>
      </c>
      <c r="DM731" t="str">
        <f>""</f>
        <v/>
      </c>
      <c r="DN731" t="str">
        <f>""</f>
        <v/>
      </c>
      <c r="DO731" t="str">
        <f>""</f>
        <v/>
      </c>
      <c r="DP731" t="str">
        <f>""</f>
        <v/>
      </c>
      <c r="DQ731" t="str">
        <f>""</f>
        <v/>
      </c>
      <c r="DR731" t="str">
        <f>""</f>
        <v/>
      </c>
      <c r="DS731" t="str">
        <f>""</f>
        <v/>
      </c>
      <c r="DT731" t="str">
        <f>""</f>
        <v/>
      </c>
      <c r="DU731" t="str">
        <f>""</f>
        <v/>
      </c>
    </row>
    <row r="732" spans="1:125">
      <c r="A732" t="str">
        <f>$A$288</f>
        <v xml:space="preserve">    Tanger Factory Outlet Centers</v>
      </c>
      <c r="B732" t="str">
        <f>$B$288</f>
        <v>SKT US Equity</v>
      </c>
      <c r="C732" t="str">
        <f>$C$288</f>
        <v>F1178</v>
      </c>
      <c r="D732" t="str">
        <f>$D$288</f>
        <v>NET_DEBT_EBITDA_ADJUSTED</v>
      </c>
      <c r="E732" t="str">
        <f>$E$288</f>
        <v>动态</v>
      </c>
      <c r="F732" t="str">
        <f ca="1">BDH($B$288,$C$288,$B$417,$B$418,CONCATENATE("Per=",$B$415),"Dts=H","Dir=H",CONCATENATE("Points=",$B$416),"Sort=R","Days=A","Fill=B",CONCATENATE("FX=", $B$414) )</f>
        <v>#N/A Authorization</v>
      </c>
      <c r="BN732" t="str">
        <f>""</f>
        <v/>
      </c>
      <c r="BO732" t="str">
        <f>""</f>
        <v/>
      </c>
      <c r="BP732" t="str">
        <f>""</f>
        <v/>
      </c>
      <c r="BQ732" t="str">
        <f>""</f>
        <v/>
      </c>
      <c r="BR732" t="str">
        <f>""</f>
        <v/>
      </c>
      <c r="BS732" t="str">
        <f>""</f>
        <v/>
      </c>
      <c r="BT732" t="str">
        <f>""</f>
        <v/>
      </c>
      <c r="BU732" t="str">
        <f>""</f>
        <v/>
      </c>
      <c r="BV732" t="str">
        <f>""</f>
        <v/>
      </c>
      <c r="BW732" t="str">
        <f>""</f>
        <v/>
      </c>
      <c r="BX732" t="str">
        <f>""</f>
        <v/>
      </c>
      <c r="BY732" t="str">
        <f>""</f>
        <v/>
      </c>
      <c r="BZ732" t="str">
        <f>""</f>
        <v/>
      </c>
      <c r="CA732" t="str">
        <f>""</f>
        <v/>
      </c>
      <c r="CB732" t="str">
        <f>""</f>
        <v/>
      </c>
      <c r="CC732" t="str">
        <f>""</f>
        <v/>
      </c>
      <c r="CD732" t="str">
        <f>""</f>
        <v/>
      </c>
      <c r="CE732" t="str">
        <f>""</f>
        <v/>
      </c>
      <c r="CF732" t="str">
        <f>""</f>
        <v/>
      </c>
      <c r="CG732" t="str">
        <f>""</f>
        <v/>
      </c>
      <c r="CH732" t="str">
        <f>""</f>
        <v/>
      </c>
      <c r="CI732" t="str">
        <f>""</f>
        <v/>
      </c>
      <c r="CJ732" t="str">
        <f>""</f>
        <v/>
      </c>
      <c r="CK732" t="str">
        <f>""</f>
        <v/>
      </c>
      <c r="CL732" t="str">
        <f>""</f>
        <v/>
      </c>
      <c r="CM732" t="str">
        <f>""</f>
        <v/>
      </c>
      <c r="CN732" t="str">
        <f>""</f>
        <v/>
      </c>
      <c r="CO732" t="str">
        <f>""</f>
        <v/>
      </c>
      <c r="CP732" t="str">
        <f>""</f>
        <v/>
      </c>
      <c r="CQ732" t="str">
        <f>""</f>
        <v/>
      </c>
      <c r="CR732" t="str">
        <f>""</f>
        <v/>
      </c>
      <c r="CS732" t="str">
        <f>""</f>
        <v/>
      </c>
      <c r="CT732" t="str">
        <f>""</f>
        <v/>
      </c>
      <c r="CU732" t="str">
        <f>""</f>
        <v/>
      </c>
      <c r="CV732" t="str">
        <f>""</f>
        <v/>
      </c>
      <c r="CW732" t="str">
        <f>""</f>
        <v/>
      </c>
      <c r="CX732" t="str">
        <f>""</f>
        <v/>
      </c>
      <c r="CY732" t="str">
        <f>""</f>
        <v/>
      </c>
      <c r="CZ732" t="str">
        <f>""</f>
        <v/>
      </c>
      <c r="DA732" t="str">
        <f>""</f>
        <v/>
      </c>
      <c r="DB732" t="str">
        <f>""</f>
        <v/>
      </c>
      <c r="DC732" t="str">
        <f>""</f>
        <v/>
      </c>
      <c r="DD732" t="str">
        <f>""</f>
        <v/>
      </c>
      <c r="DE732" t="str">
        <f>""</f>
        <v/>
      </c>
      <c r="DF732" t="str">
        <f>""</f>
        <v/>
      </c>
      <c r="DG732" t="str">
        <f>""</f>
        <v/>
      </c>
      <c r="DH732" t="str">
        <f>""</f>
        <v/>
      </c>
      <c r="DI732" t="str">
        <f>""</f>
        <v/>
      </c>
      <c r="DJ732" t="str">
        <f>""</f>
        <v/>
      </c>
      <c r="DK732" t="str">
        <f>""</f>
        <v/>
      </c>
      <c r="DL732" t="str">
        <f>""</f>
        <v/>
      </c>
      <c r="DM732" t="str">
        <f>""</f>
        <v/>
      </c>
      <c r="DN732" t="str">
        <f>""</f>
        <v/>
      </c>
      <c r="DO732" t="str">
        <f>""</f>
        <v/>
      </c>
      <c r="DP732" t="str">
        <f>""</f>
        <v/>
      </c>
      <c r="DQ732" t="str">
        <f>""</f>
        <v/>
      </c>
      <c r="DR732" t="str">
        <f>""</f>
        <v/>
      </c>
      <c r="DS732" t="str">
        <f>""</f>
        <v/>
      </c>
      <c r="DT732" t="str">
        <f>""</f>
        <v/>
      </c>
      <c r="DU732" t="str">
        <f>""</f>
        <v/>
      </c>
    </row>
    <row r="733" spans="1:125">
      <c r="A733" t="str">
        <f>$A$289</f>
        <v xml:space="preserve">    VEREIT Inc</v>
      </c>
      <c r="B733" t="str">
        <f>$B$289</f>
        <v>VER US Equity</v>
      </c>
      <c r="C733" t="str">
        <f>$C$289</f>
        <v>F1178</v>
      </c>
      <c r="D733" t="str">
        <f>$D$289</f>
        <v>NET_DEBT_EBITDA_ADJUSTED</v>
      </c>
      <c r="E733" t="str">
        <f>$E$289</f>
        <v>动态</v>
      </c>
      <c r="F733" t="str">
        <f ca="1">BDH($B$289,$C$289,$B$417,$B$418,CONCATENATE("Per=",$B$415),"Dts=H","Dir=H",CONCATENATE("Points=",$B$416),"Sort=R","Days=A","Fill=B",CONCATENATE("FX=", $B$414) )</f>
        <v>#N/A Authorization</v>
      </c>
      <c r="BN733" t="str">
        <f>""</f>
        <v/>
      </c>
      <c r="BO733" t="str">
        <f>""</f>
        <v/>
      </c>
      <c r="BP733" t="str">
        <f>""</f>
        <v/>
      </c>
      <c r="BQ733" t="str">
        <f>""</f>
        <v/>
      </c>
      <c r="BR733" t="str">
        <f>""</f>
        <v/>
      </c>
      <c r="BS733" t="str">
        <f>""</f>
        <v/>
      </c>
      <c r="BT733" t="str">
        <f>""</f>
        <v/>
      </c>
      <c r="BU733" t="str">
        <f>""</f>
        <v/>
      </c>
      <c r="BV733" t="str">
        <f>""</f>
        <v/>
      </c>
      <c r="BW733" t="str">
        <f>""</f>
        <v/>
      </c>
      <c r="BX733" t="str">
        <f>""</f>
        <v/>
      </c>
      <c r="BY733" t="str">
        <f>""</f>
        <v/>
      </c>
      <c r="BZ733" t="str">
        <f>""</f>
        <v/>
      </c>
      <c r="CA733" t="str">
        <f>""</f>
        <v/>
      </c>
      <c r="CB733" t="str">
        <f>""</f>
        <v/>
      </c>
      <c r="CC733" t="str">
        <f>""</f>
        <v/>
      </c>
      <c r="CD733" t="str">
        <f>""</f>
        <v/>
      </c>
      <c r="CE733" t="str">
        <f>""</f>
        <v/>
      </c>
      <c r="CF733" t="str">
        <f>""</f>
        <v/>
      </c>
      <c r="CG733" t="str">
        <f>""</f>
        <v/>
      </c>
      <c r="CH733" t="str">
        <f>""</f>
        <v/>
      </c>
      <c r="CI733" t="str">
        <f>""</f>
        <v/>
      </c>
      <c r="CJ733" t="str">
        <f>""</f>
        <v/>
      </c>
      <c r="CK733" t="str">
        <f>""</f>
        <v/>
      </c>
      <c r="CL733" t="str">
        <f>""</f>
        <v/>
      </c>
      <c r="CM733" t="str">
        <f>""</f>
        <v/>
      </c>
      <c r="CN733" t="str">
        <f>""</f>
        <v/>
      </c>
      <c r="CO733" t="str">
        <f>""</f>
        <v/>
      </c>
      <c r="CP733" t="str">
        <f>""</f>
        <v/>
      </c>
      <c r="CQ733" t="str">
        <f>""</f>
        <v/>
      </c>
      <c r="CR733" t="str">
        <f>""</f>
        <v/>
      </c>
      <c r="CS733" t="str">
        <f>""</f>
        <v/>
      </c>
      <c r="CT733" t="str">
        <f>""</f>
        <v/>
      </c>
      <c r="CU733" t="str">
        <f>""</f>
        <v/>
      </c>
      <c r="CV733" t="str">
        <f>""</f>
        <v/>
      </c>
      <c r="CW733" t="str">
        <f>""</f>
        <v/>
      </c>
      <c r="CX733" t="str">
        <f>""</f>
        <v/>
      </c>
      <c r="CY733" t="str">
        <f>""</f>
        <v/>
      </c>
      <c r="CZ733" t="str">
        <f>""</f>
        <v/>
      </c>
      <c r="DA733" t="str">
        <f>""</f>
        <v/>
      </c>
      <c r="DB733" t="str">
        <f>""</f>
        <v/>
      </c>
      <c r="DC733" t="str">
        <f>""</f>
        <v/>
      </c>
      <c r="DD733" t="str">
        <f>""</f>
        <v/>
      </c>
      <c r="DE733" t="str">
        <f>""</f>
        <v/>
      </c>
      <c r="DF733" t="str">
        <f>""</f>
        <v/>
      </c>
      <c r="DG733" t="str">
        <f>""</f>
        <v/>
      </c>
      <c r="DH733" t="str">
        <f>""</f>
        <v/>
      </c>
      <c r="DI733" t="str">
        <f>""</f>
        <v/>
      </c>
      <c r="DJ733" t="str">
        <f>""</f>
        <v/>
      </c>
      <c r="DK733" t="str">
        <f>""</f>
        <v/>
      </c>
      <c r="DL733" t="str">
        <f>""</f>
        <v/>
      </c>
      <c r="DM733" t="str">
        <f>""</f>
        <v/>
      </c>
      <c r="DN733" t="str">
        <f>""</f>
        <v/>
      </c>
      <c r="DO733" t="str">
        <f>""</f>
        <v/>
      </c>
      <c r="DP733" t="str">
        <f>""</f>
        <v/>
      </c>
      <c r="DQ733" t="str">
        <f>""</f>
        <v/>
      </c>
      <c r="DR733" t="str">
        <f>""</f>
        <v/>
      </c>
      <c r="DS733" t="str">
        <f>""</f>
        <v/>
      </c>
      <c r="DT733" t="str">
        <f>""</f>
        <v/>
      </c>
      <c r="DU733" t="str">
        <f>""</f>
        <v/>
      </c>
    </row>
    <row r="734" spans="1:125">
      <c r="A734" t="str">
        <f>$A$290</f>
        <v xml:space="preserve">    Washington Prime Group Inc</v>
      </c>
      <c r="B734" t="str">
        <f>$B$290</f>
        <v>WPG US Equity</v>
      </c>
      <c r="C734" t="str">
        <f>$C$290</f>
        <v>F1178</v>
      </c>
      <c r="D734" t="str">
        <f>$D$290</f>
        <v>NET_DEBT_EBITDA_ADJUSTED</v>
      </c>
      <c r="E734" t="str">
        <f>$E$290</f>
        <v>动态</v>
      </c>
      <c r="F734" t="str">
        <f ca="1">BDH($B$290,$C$290,$B$417,$B$418,CONCATENATE("Per=",$B$415),"Dts=H","Dir=H",CONCATENATE("Points=",$B$416),"Sort=R","Days=A","Fill=B",CONCATENATE("FX=", $B$414) )</f>
        <v>#N/A Authorization</v>
      </c>
      <c r="BN734" t="str">
        <f>""</f>
        <v/>
      </c>
      <c r="BO734" t="str">
        <f>""</f>
        <v/>
      </c>
      <c r="BP734" t="str">
        <f>""</f>
        <v/>
      </c>
      <c r="BQ734" t="str">
        <f>""</f>
        <v/>
      </c>
      <c r="BR734" t="str">
        <f>""</f>
        <v/>
      </c>
      <c r="BS734" t="str">
        <f>""</f>
        <v/>
      </c>
      <c r="BT734" t="str">
        <f>""</f>
        <v/>
      </c>
      <c r="BU734" t="str">
        <f>""</f>
        <v/>
      </c>
      <c r="BV734" t="str">
        <f>""</f>
        <v/>
      </c>
      <c r="BW734" t="str">
        <f>""</f>
        <v/>
      </c>
      <c r="BX734" t="str">
        <f>""</f>
        <v/>
      </c>
      <c r="BY734" t="str">
        <f>""</f>
        <v/>
      </c>
      <c r="BZ734" t="str">
        <f>""</f>
        <v/>
      </c>
      <c r="CA734" t="str">
        <f>""</f>
        <v/>
      </c>
      <c r="CB734" t="str">
        <f>""</f>
        <v/>
      </c>
      <c r="CC734" t="str">
        <f>""</f>
        <v/>
      </c>
      <c r="CD734" t="str">
        <f>""</f>
        <v/>
      </c>
      <c r="CE734" t="str">
        <f>""</f>
        <v/>
      </c>
      <c r="CF734" t="str">
        <f>""</f>
        <v/>
      </c>
      <c r="CG734" t="str">
        <f>""</f>
        <v/>
      </c>
      <c r="CH734" t="str">
        <f>""</f>
        <v/>
      </c>
      <c r="CI734" t="str">
        <f>""</f>
        <v/>
      </c>
      <c r="CJ734" t="str">
        <f>""</f>
        <v/>
      </c>
      <c r="CK734" t="str">
        <f>""</f>
        <v/>
      </c>
      <c r="CL734" t="str">
        <f>""</f>
        <v/>
      </c>
      <c r="CM734" t="str">
        <f>""</f>
        <v/>
      </c>
      <c r="CN734" t="str">
        <f>""</f>
        <v/>
      </c>
      <c r="CO734" t="str">
        <f>""</f>
        <v/>
      </c>
      <c r="CP734" t="str">
        <f>""</f>
        <v/>
      </c>
      <c r="CQ734" t="str">
        <f>""</f>
        <v/>
      </c>
      <c r="CR734" t="str">
        <f>""</f>
        <v/>
      </c>
      <c r="CS734" t="str">
        <f>""</f>
        <v/>
      </c>
      <c r="CT734" t="str">
        <f>""</f>
        <v/>
      </c>
      <c r="CU734" t="str">
        <f>""</f>
        <v/>
      </c>
      <c r="CV734" t="str">
        <f>""</f>
        <v/>
      </c>
      <c r="CW734" t="str">
        <f>""</f>
        <v/>
      </c>
      <c r="CX734" t="str">
        <f>""</f>
        <v/>
      </c>
      <c r="CY734" t="str">
        <f>""</f>
        <v/>
      </c>
      <c r="CZ734" t="str">
        <f>""</f>
        <v/>
      </c>
      <c r="DA734" t="str">
        <f>""</f>
        <v/>
      </c>
      <c r="DB734" t="str">
        <f>""</f>
        <v/>
      </c>
      <c r="DC734" t="str">
        <f>""</f>
        <v/>
      </c>
      <c r="DD734" t="str">
        <f>""</f>
        <v/>
      </c>
      <c r="DE734" t="str">
        <f>""</f>
        <v/>
      </c>
      <c r="DF734" t="str">
        <f>""</f>
        <v/>
      </c>
      <c r="DG734" t="str">
        <f>""</f>
        <v/>
      </c>
      <c r="DH734" t="str">
        <f>""</f>
        <v/>
      </c>
      <c r="DI734" t="str">
        <f>""</f>
        <v/>
      </c>
      <c r="DJ734" t="str">
        <f>""</f>
        <v/>
      </c>
      <c r="DK734" t="str">
        <f>""</f>
        <v/>
      </c>
      <c r="DL734" t="str">
        <f>""</f>
        <v/>
      </c>
      <c r="DM734" t="str">
        <f>""</f>
        <v/>
      </c>
      <c r="DN734" t="str">
        <f>""</f>
        <v/>
      </c>
      <c r="DO734" t="str">
        <f>""</f>
        <v/>
      </c>
      <c r="DP734" t="str">
        <f>""</f>
        <v/>
      </c>
      <c r="DQ734" t="str">
        <f>""</f>
        <v/>
      </c>
      <c r="DR734" t="str">
        <f>""</f>
        <v/>
      </c>
      <c r="DS734" t="str">
        <f>""</f>
        <v/>
      </c>
      <c r="DT734" t="str">
        <f>""</f>
        <v/>
      </c>
      <c r="DU734" t="str">
        <f>""</f>
        <v/>
      </c>
    </row>
    <row r="735" spans="1:125">
      <c r="A735" t="str">
        <f>$A$291</f>
        <v xml:space="preserve">    Weingarten Realty Investors</v>
      </c>
      <c r="B735" t="str">
        <f>$B$291</f>
        <v>WRI US Equity</v>
      </c>
      <c r="C735" t="str">
        <f>$C$291</f>
        <v>F1178</v>
      </c>
      <c r="D735" t="str">
        <f>$D$291</f>
        <v>NET_DEBT_EBITDA_ADJUSTED</v>
      </c>
      <c r="E735" t="str">
        <f>$E$291</f>
        <v>动态</v>
      </c>
      <c r="F735" t="str">
        <f ca="1">BDH($B$291,$C$291,$B$417,$B$418,CONCATENATE("Per=",$B$415),"Dts=H","Dir=H",CONCATENATE("Points=",$B$416),"Sort=R","Days=A","Fill=B",CONCATENATE("FX=", $B$414) )</f>
        <v>#N/A Authorization</v>
      </c>
      <c r="BN735" t="str">
        <f>""</f>
        <v/>
      </c>
      <c r="BO735" t="str">
        <f>""</f>
        <v/>
      </c>
      <c r="BP735" t="str">
        <f>""</f>
        <v/>
      </c>
      <c r="BQ735" t="str">
        <f>""</f>
        <v/>
      </c>
      <c r="BR735" t="str">
        <f>""</f>
        <v/>
      </c>
      <c r="BS735" t="str">
        <f>""</f>
        <v/>
      </c>
      <c r="BT735" t="str">
        <f>""</f>
        <v/>
      </c>
      <c r="BU735" t="str">
        <f>""</f>
        <v/>
      </c>
      <c r="BV735" t="str">
        <f>""</f>
        <v/>
      </c>
      <c r="BW735" t="str">
        <f>""</f>
        <v/>
      </c>
      <c r="BX735" t="str">
        <f>""</f>
        <v/>
      </c>
      <c r="BY735" t="str">
        <f>""</f>
        <v/>
      </c>
      <c r="BZ735" t="str">
        <f>""</f>
        <v/>
      </c>
      <c r="CA735" t="str">
        <f>""</f>
        <v/>
      </c>
      <c r="CB735" t="str">
        <f>""</f>
        <v/>
      </c>
      <c r="CC735" t="str">
        <f>""</f>
        <v/>
      </c>
      <c r="CD735" t="str">
        <f>""</f>
        <v/>
      </c>
      <c r="CE735" t="str">
        <f>""</f>
        <v/>
      </c>
      <c r="CF735" t="str">
        <f>""</f>
        <v/>
      </c>
      <c r="CG735" t="str">
        <f>""</f>
        <v/>
      </c>
      <c r="CH735" t="str">
        <f>""</f>
        <v/>
      </c>
      <c r="CI735" t="str">
        <f>""</f>
        <v/>
      </c>
      <c r="CJ735" t="str">
        <f>""</f>
        <v/>
      </c>
      <c r="CK735" t="str">
        <f>""</f>
        <v/>
      </c>
      <c r="CL735" t="str">
        <f>""</f>
        <v/>
      </c>
      <c r="CM735" t="str">
        <f>""</f>
        <v/>
      </c>
      <c r="CN735" t="str">
        <f>""</f>
        <v/>
      </c>
      <c r="CO735" t="str">
        <f>""</f>
        <v/>
      </c>
      <c r="CP735" t="str">
        <f>""</f>
        <v/>
      </c>
      <c r="CQ735" t="str">
        <f>""</f>
        <v/>
      </c>
      <c r="CR735" t="str">
        <f>""</f>
        <v/>
      </c>
      <c r="CS735" t="str">
        <f>""</f>
        <v/>
      </c>
      <c r="CT735" t="str">
        <f>""</f>
        <v/>
      </c>
      <c r="CU735" t="str">
        <f>""</f>
        <v/>
      </c>
      <c r="CV735" t="str">
        <f>""</f>
        <v/>
      </c>
      <c r="CW735" t="str">
        <f>""</f>
        <v/>
      </c>
      <c r="CX735" t="str">
        <f>""</f>
        <v/>
      </c>
      <c r="CY735" t="str">
        <f>""</f>
        <v/>
      </c>
      <c r="CZ735" t="str">
        <f>""</f>
        <v/>
      </c>
      <c r="DA735" t="str">
        <f>""</f>
        <v/>
      </c>
      <c r="DB735" t="str">
        <f>""</f>
        <v/>
      </c>
      <c r="DC735" t="str">
        <f>""</f>
        <v/>
      </c>
      <c r="DD735" t="str">
        <f>""</f>
        <v/>
      </c>
      <c r="DE735" t="str">
        <f>""</f>
        <v/>
      </c>
      <c r="DF735" t="str">
        <f>""</f>
        <v/>
      </c>
      <c r="DG735" t="str">
        <f>""</f>
        <v/>
      </c>
      <c r="DH735" t="str">
        <f>""</f>
        <v/>
      </c>
      <c r="DI735" t="str">
        <f>""</f>
        <v/>
      </c>
      <c r="DJ735" t="str">
        <f>""</f>
        <v/>
      </c>
      <c r="DK735" t="str">
        <f>""</f>
        <v/>
      </c>
      <c r="DL735" t="str">
        <f>""</f>
        <v/>
      </c>
      <c r="DM735" t="str">
        <f>""</f>
        <v/>
      </c>
      <c r="DN735" t="str">
        <f>""</f>
        <v/>
      </c>
      <c r="DO735" t="str">
        <f>""</f>
        <v/>
      </c>
      <c r="DP735" t="str">
        <f>""</f>
        <v/>
      </c>
      <c r="DQ735" t="str">
        <f>""</f>
        <v/>
      </c>
      <c r="DR735" t="str">
        <f>""</f>
        <v/>
      </c>
      <c r="DS735" t="str">
        <f>""</f>
        <v/>
      </c>
      <c r="DT735" t="str">
        <f>""</f>
        <v/>
      </c>
      <c r="DU735" t="str">
        <f>""</f>
        <v/>
      </c>
    </row>
    <row r="736" spans="1:125">
      <c r="A736" t="str">
        <f>$A$293</f>
        <v xml:space="preserve">    Brixmor Property Group Inc</v>
      </c>
      <c r="B736" t="str">
        <f>$B$293</f>
        <v>BRX US Equity</v>
      </c>
      <c r="C736" t="str">
        <f>$C$293</f>
        <v>RR147</v>
      </c>
      <c r="D736" t="str">
        <f>$D$293</f>
        <v>LT_DEBT_TO_TOT_ASSET</v>
      </c>
      <c r="E736" t="str">
        <f>$E$293</f>
        <v>动态</v>
      </c>
      <c r="F736" t="str">
        <f ca="1">BDH($B$293,$C$293,$B$417,$B$418,CONCATENATE("Per=",$B$415),"Dts=H","Dir=H",CONCATENATE("Points=",$B$416),"Sort=R","Days=A","Fill=B",CONCATENATE("FX=", $B$414) )</f>
        <v>#N/A Authorization</v>
      </c>
      <c r="BN736" t="str">
        <f>""</f>
        <v/>
      </c>
      <c r="BO736" t="str">
        <f>""</f>
        <v/>
      </c>
      <c r="BP736" t="str">
        <f>""</f>
        <v/>
      </c>
      <c r="BQ736" t="str">
        <f>""</f>
        <v/>
      </c>
      <c r="BR736" t="str">
        <f>""</f>
        <v/>
      </c>
      <c r="BS736" t="str">
        <f>""</f>
        <v/>
      </c>
      <c r="BT736" t="str">
        <f>""</f>
        <v/>
      </c>
      <c r="BU736" t="str">
        <f>""</f>
        <v/>
      </c>
      <c r="BV736" t="str">
        <f>""</f>
        <v/>
      </c>
      <c r="BW736" t="str">
        <f>""</f>
        <v/>
      </c>
      <c r="BX736" t="str">
        <f>""</f>
        <v/>
      </c>
      <c r="BY736" t="str">
        <f>""</f>
        <v/>
      </c>
      <c r="BZ736" t="str">
        <f>""</f>
        <v/>
      </c>
      <c r="CA736" t="str">
        <f>""</f>
        <v/>
      </c>
      <c r="CB736" t="str">
        <f>""</f>
        <v/>
      </c>
      <c r="CC736" t="str">
        <f>""</f>
        <v/>
      </c>
      <c r="CD736" t="str">
        <f>""</f>
        <v/>
      </c>
      <c r="CE736" t="str">
        <f>""</f>
        <v/>
      </c>
      <c r="CF736" t="str">
        <f>""</f>
        <v/>
      </c>
      <c r="CG736" t="str">
        <f>""</f>
        <v/>
      </c>
      <c r="CH736" t="str">
        <f>""</f>
        <v/>
      </c>
      <c r="CI736" t="str">
        <f>""</f>
        <v/>
      </c>
      <c r="CJ736" t="str">
        <f>""</f>
        <v/>
      </c>
      <c r="CK736" t="str">
        <f>""</f>
        <v/>
      </c>
      <c r="CL736" t="str">
        <f>""</f>
        <v/>
      </c>
      <c r="CM736" t="str">
        <f>""</f>
        <v/>
      </c>
      <c r="CN736" t="str">
        <f>""</f>
        <v/>
      </c>
      <c r="CO736" t="str">
        <f>""</f>
        <v/>
      </c>
      <c r="CP736" t="str">
        <f>""</f>
        <v/>
      </c>
      <c r="CQ736" t="str">
        <f>""</f>
        <v/>
      </c>
      <c r="CR736" t="str">
        <f>""</f>
        <v/>
      </c>
      <c r="CS736" t="str">
        <f>""</f>
        <v/>
      </c>
      <c r="CT736" t="str">
        <f>""</f>
        <v/>
      </c>
      <c r="CU736" t="str">
        <f>""</f>
        <v/>
      </c>
      <c r="CV736" t="str">
        <f>""</f>
        <v/>
      </c>
      <c r="CW736" t="str">
        <f>""</f>
        <v/>
      </c>
      <c r="CX736" t="str">
        <f>""</f>
        <v/>
      </c>
      <c r="CY736" t="str">
        <f>""</f>
        <v/>
      </c>
      <c r="CZ736" t="str">
        <f>""</f>
        <v/>
      </c>
      <c r="DA736" t="str">
        <f>""</f>
        <v/>
      </c>
      <c r="DB736" t="str">
        <f>""</f>
        <v/>
      </c>
      <c r="DC736" t="str">
        <f>""</f>
        <v/>
      </c>
      <c r="DD736" t="str">
        <f>""</f>
        <v/>
      </c>
      <c r="DE736" t="str">
        <f>""</f>
        <v/>
      </c>
      <c r="DF736" t="str">
        <f>""</f>
        <v/>
      </c>
      <c r="DG736" t="str">
        <f>""</f>
        <v/>
      </c>
      <c r="DH736" t="str">
        <f>""</f>
        <v/>
      </c>
      <c r="DI736" t="str">
        <f>""</f>
        <v/>
      </c>
      <c r="DJ736" t="str">
        <f>""</f>
        <v/>
      </c>
      <c r="DK736" t="str">
        <f>""</f>
        <v/>
      </c>
      <c r="DL736" t="str">
        <f>""</f>
        <v/>
      </c>
      <c r="DM736" t="str">
        <f>""</f>
        <v/>
      </c>
      <c r="DN736" t="str">
        <f>""</f>
        <v/>
      </c>
      <c r="DO736" t="str">
        <f>""</f>
        <v/>
      </c>
      <c r="DP736" t="str">
        <f>""</f>
        <v/>
      </c>
      <c r="DQ736" t="str">
        <f>""</f>
        <v/>
      </c>
      <c r="DR736" t="str">
        <f>""</f>
        <v/>
      </c>
      <c r="DS736" t="str">
        <f>""</f>
        <v/>
      </c>
      <c r="DT736" t="str">
        <f>""</f>
        <v/>
      </c>
      <c r="DU736" t="str">
        <f>""</f>
        <v/>
      </c>
    </row>
    <row r="737" spans="1:125">
      <c r="A737" t="str">
        <f>$A$294</f>
        <v xml:space="preserve">    CBL &amp; Associates Properties In</v>
      </c>
      <c r="B737" t="str">
        <f>$B$294</f>
        <v>CBL US Equity</v>
      </c>
      <c r="C737" t="str">
        <f>$C$294</f>
        <v>RR147</v>
      </c>
      <c r="D737" t="str">
        <f>$D$294</f>
        <v>LT_DEBT_TO_TOT_ASSET</v>
      </c>
      <c r="E737" t="str">
        <f>$E$294</f>
        <v>动态</v>
      </c>
      <c r="F737" t="str">
        <f ca="1">BDH($B$294,$C$294,$B$417,$B$418,CONCATENATE("Per=",$B$415),"Dts=H","Dir=H",CONCATENATE("Points=",$B$416),"Sort=R","Days=A","Fill=B",CONCATENATE("FX=", $B$414) )</f>
        <v>#N/A Authorization</v>
      </c>
      <c r="BN737" t="str">
        <f>""</f>
        <v/>
      </c>
      <c r="BO737" t="str">
        <f>""</f>
        <v/>
      </c>
      <c r="BP737" t="str">
        <f>""</f>
        <v/>
      </c>
      <c r="BQ737" t="str">
        <f>""</f>
        <v/>
      </c>
      <c r="BR737" t="str">
        <f>""</f>
        <v/>
      </c>
      <c r="BS737" t="str">
        <f>""</f>
        <v/>
      </c>
      <c r="BT737" t="str">
        <f>""</f>
        <v/>
      </c>
      <c r="BU737" t="str">
        <f>""</f>
        <v/>
      </c>
      <c r="BV737" t="str">
        <f>""</f>
        <v/>
      </c>
      <c r="BW737" t="str">
        <f>""</f>
        <v/>
      </c>
      <c r="BX737" t="str">
        <f>""</f>
        <v/>
      </c>
      <c r="BY737" t="str">
        <f>""</f>
        <v/>
      </c>
      <c r="BZ737" t="str">
        <f>""</f>
        <v/>
      </c>
      <c r="CA737" t="str">
        <f>""</f>
        <v/>
      </c>
      <c r="CB737" t="str">
        <f>""</f>
        <v/>
      </c>
      <c r="CC737" t="str">
        <f>""</f>
        <v/>
      </c>
      <c r="CD737" t="str">
        <f>""</f>
        <v/>
      </c>
      <c r="CE737" t="str">
        <f>""</f>
        <v/>
      </c>
      <c r="CF737" t="str">
        <f>""</f>
        <v/>
      </c>
      <c r="CG737" t="str">
        <f>""</f>
        <v/>
      </c>
      <c r="CH737" t="str">
        <f>""</f>
        <v/>
      </c>
      <c r="CI737" t="str">
        <f>""</f>
        <v/>
      </c>
      <c r="CJ737" t="str">
        <f>""</f>
        <v/>
      </c>
      <c r="CK737" t="str">
        <f>""</f>
        <v/>
      </c>
      <c r="CL737" t="str">
        <f>""</f>
        <v/>
      </c>
      <c r="CM737" t="str">
        <f>""</f>
        <v/>
      </c>
      <c r="CN737" t="str">
        <f>""</f>
        <v/>
      </c>
      <c r="CO737" t="str">
        <f>""</f>
        <v/>
      </c>
      <c r="CP737" t="str">
        <f>""</f>
        <v/>
      </c>
      <c r="CQ737" t="str">
        <f>""</f>
        <v/>
      </c>
      <c r="CR737" t="str">
        <f>""</f>
        <v/>
      </c>
      <c r="CS737" t="str">
        <f>""</f>
        <v/>
      </c>
      <c r="CT737" t="str">
        <f>""</f>
        <v/>
      </c>
      <c r="CU737" t="str">
        <f>""</f>
        <v/>
      </c>
      <c r="CV737" t="str">
        <f>""</f>
        <v/>
      </c>
      <c r="CW737" t="str">
        <f>""</f>
        <v/>
      </c>
      <c r="CX737" t="str">
        <f>""</f>
        <v/>
      </c>
      <c r="CY737" t="str">
        <f>""</f>
        <v/>
      </c>
      <c r="CZ737" t="str">
        <f>""</f>
        <v/>
      </c>
      <c r="DA737" t="str">
        <f>""</f>
        <v/>
      </c>
      <c r="DB737" t="str">
        <f>""</f>
        <v/>
      </c>
      <c r="DC737" t="str">
        <f>""</f>
        <v/>
      </c>
      <c r="DD737" t="str">
        <f>""</f>
        <v/>
      </c>
      <c r="DE737" t="str">
        <f>""</f>
        <v/>
      </c>
      <c r="DF737" t="str">
        <f>""</f>
        <v/>
      </c>
      <c r="DG737" t="str">
        <f>""</f>
        <v/>
      </c>
      <c r="DH737" t="str">
        <f>""</f>
        <v/>
      </c>
      <c r="DI737" t="str">
        <f>""</f>
        <v/>
      </c>
      <c r="DJ737" t="str">
        <f>""</f>
        <v/>
      </c>
      <c r="DK737" t="str">
        <f>""</f>
        <v/>
      </c>
      <c r="DL737" t="str">
        <f>""</f>
        <v/>
      </c>
      <c r="DM737" t="str">
        <f>""</f>
        <v/>
      </c>
      <c r="DN737" t="str">
        <f>""</f>
        <v/>
      </c>
      <c r="DO737" t="str">
        <f>""</f>
        <v/>
      </c>
      <c r="DP737" t="str">
        <f>""</f>
        <v/>
      </c>
      <c r="DQ737" t="str">
        <f>""</f>
        <v/>
      </c>
      <c r="DR737" t="str">
        <f>""</f>
        <v/>
      </c>
      <c r="DS737" t="str">
        <f>""</f>
        <v/>
      </c>
      <c r="DT737" t="str">
        <f>""</f>
        <v/>
      </c>
      <c r="DU737" t="str">
        <f>""</f>
        <v/>
      </c>
    </row>
    <row r="738" spans="1:125">
      <c r="A738" t="str">
        <f>$A$295</f>
        <v xml:space="preserve">    DDR Corp</v>
      </c>
      <c r="B738" t="str">
        <f>$B$295</f>
        <v>DDR US Equity</v>
      </c>
      <c r="C738" t="str">
        <f>$C$295</f>
        <v>RR147</v>
      </c>
      <c r="D738" t="str">
        <f>$D$295</f>
        <v>LT_DEBT_TO_TOT_ASSET</v>
      </c>
      <c r="E738" t="str">
        <f>$E$295</f>
        <v>动态</v>
      </c>
      <c r="F738" t="str">
        <f ca="1">BDH($B$295,$C$295,$B$417,$B$418,CONCATENATE("Per=",$B$415),"Dts=H","Dir=H",CONCATENATE("Points=",$B$416),"Sort=R","Days=A","Fill=B",CONCATENATE("FX=", $B$414) )</f>
        <v>#N/A Authorization</v>
      </c>
      <c r="BN738" t="str">
        <f>""</f>
        <v/>
      </c>
      <c r="BO738" t="str">
        <f>""</f>
        <v/>
      </c>
      <c r="BP738" t="str">
        <f>""</f>
        <v/>
      </c>
      <c r="BQ738" t="str">
        <f>""</f>
        <v/>
      </c>
      <c r="BR738" t="str">
        <f>""</f>
        <v/>
      </c>
      <c r="BS738" t="str">
        <f>""</f>
        <v/>
      </c>
      <c r="BT738" t="str">
        <f>""</f>
        <v/>
      </c>
      <c r="BU738" t="str">
        <f>""</f>
        <v/>
      </c>
      <c r="BV738" t="str">
        <f>""</f>
        <v/>
      </c>
      <c r="BW738" t="str">
        <f>""</f>
        <v/>
      </c>
      <c r="BX738" t="str">
        <f>""</f>
        <v/>
      </c>
      <c r="BY738" t="str">
        <f>""</f>
        <v/>
      </c>
      <c r="BZ738" t="str">
        <f>""</f>
        <v/>
      </c>
      <c r="CA738" t="str">
        <f>""</f>
        <v/>
      </c>
      <c r="CB738" t="str">
        <f>""</f>
        <v/>
      </c>
      <c r="CC738" t="str">
        <f>""</f>
        <v/>
      </c>
      <c r="CD738" t="str">
        <f>""</f>
        <v/>
      </c>
      <c r="CE738" t="str">
        <f>""</f>
        <v/>
      </c>
      <c r="CF738" t="str">
        <f>""</f>
        <v/>
      </c>
      <c r="CG738" t="str">
        <f>""</f>
        <v/>
      </c>
      <c r="CH738" t="str">
        <f>""</f>
        <v/>
      </c>
      <c r="CI738" t="str">
        <f>""</f>
        <v/>
      </c>
      <c r="CJ738" t="str">
        <f>""</f>
        <v/>
      </c>
      <c r="CK738" t="str">
        <f>""</f>
        <v/>
      </c>
      <c r="CL738" t="str">
        <f>""</f>
        <v/>
      </c>
      <c r="CM738" t="str">
        <f>""</f>
        <v/>
      </c>
      <c r="CN738" t="str">
        <f>""</f>
        <v/>
      </c>
      <c r="CO738" t="str">
        <f>""</f>
        <v/>
      </c>
      <c r="CP738" t="str">
        <f>""</f>
        <v/>
      </c>
      <c r="CQ738" t="str">
        <f>""</f>
        <v/>
      </c>
      <c r="CR738" t="str">
        <f>""</f>
        <v/>
      </c>
      <c r="CS738" t="str">
        <f>""</f>
        <v/>
      </c>
      <c r="CT738" t="str">
        <f>""</f>
        <v/>
      </c>
      <c r="CU738" t="str">
        <f>""</f>
        <v/>
      </c>
      <c r="CV738" t="str">
        <f>""</f>
        <v/>
      </c>
      <c r="CW738" t="str">
        <f>""</f>
        <v/>
      </c>
      <c r="CX738" t="str">
        <f>""</f>
        <v/>
      </c>
      <c r="CY738" t="str">
        <f>""</f>
        <v/>
      </c>
      <c r="CZ738" t="str">
        <f>""</f>
        <v/>
      </c>
      <c r="DA738" t="str">
        <f>""</f>
        <v/>
      </c>
      <c r="DB738" t="str">
        <f>""</f>
        <v/>
      </c>
      <c r="DC738" t="str">
        <f>""</f>
        <v/>
      </c>
      <c r="DD738" t="str">
        <f>""</f>
        <v/>
      </c>
      <c r="DE738" t="str">
        <f>""</f>
        <v/>
      </c>
      <c r="DF738" t="str">
        <f>""</f>
        <v/>
      </c>
      <c r="DG738" t="str">
        <f>""</f>
        <v/>
      </c>
      <c r="DH738" t="str">
        <f>""</f>
        <v/>
      </c>
      <c r="DI738" t="str">
        <f>""</f>
        <v/>
      </c>
      <c r="DJ738" t="str">
        <f>""</f>
        <v/>
      </c>
      <c r="DK738" t="str">
        <f>""</f>
        <v/>
      </c>
      <c r="DL738" t="str">
        <f>""</f>
        <v/>
      </c>
      <c r="DM738" t="str">
        <f>""</f>
        <v/>
      </c>
      <c r="DN738" t="str">
        <f>""</f>
        <v/>
      </c>
      <c r="DO738" t="str">
        <f>""</f>
        <v/>
      </c>
      <c r="DP738" t="str">
        <f>""</f>
        <v/>
      </c>
      <c r="DQ738" t="str">
        <f>""</f>
        <v/>
      </c>
      <c r="DR738" t="str">
        <f>""</f>
        <v/>
      </c>
      <c r="DS738" t="str">
        <f>""</f>
        <v/>
      </c>
      <c r="DT738" t="str">
        <f>""</f>
        <v/>
      </c>
      <c r="DU738" t="str">
        <f>""</f>
        <v/>
      </c>
    </row>
    <row r="739" spans="1:125">
      <c r="A739" t="str">
        <f>$A$296</f>
        <v xml:space="preserve">    Federal Realty Investment Trus</v>
      </c>
      <c r="B739" t="str">
        <f>$B$296</f>
        <v>FRT US Equity</v>
      </c>
      <c r="C739" t="str">
        <f>$C$296</f>
        <v>RR147</v>
      </c>
      <c r="D739" t="str">
        <f>$D$296</f>
        <v>LT_DEBT_TO_TOT_ASSET</v>
      </c>
      <c r="E739" t="str">
        <f>$E$296</f>
        <v>动态</v>
      </c>
      <c r="F739" t="str">
        <f ca="1">BDH($B$296,$C$296,$B$417,$B$418,CONCATENATE("Per=",$B$415),"Dts=H","Dir=H",CONCATENATE("Points=",$B$416),"Sort=R","Days=A","Fill=B",CONCATENATE("FX=", $B$414) )</f>
        <v>#N/A Authorization</v>
      </c>
      <c r="BN739" t="str">
        <f>""</f>
        <v/>
      </c>
      <c r="BO739" t="str">
        <f>""</f>
        <v/>
      </c>
      <c r="BP739" t="str">
        <f>""</f>
        <v/>
      </c>
      <c r="BQ739" t="str">
        <f>""</f>
        <v/>
      </c>
      <c r="BR739" t="str">
        <f>""</f>
        <v/>
      </c>
      <c r="BS739" t="str">
        <f>""</f>
        <v/>
      </c>
      <c r="BT739" t="str">
        <f>""</f>
        <v/>
      </c>
      <c r="BU739" t="str">
        <f>""</f>
        <v/>
      </c>
      <c r="BV739" t="str">
        <f>""</f>
        <v/>
      </c>
      <c r="BW739" t="str">
        <f>""</f>
        <v/>
      </c>
      <c r="BX739" t="str">
        <f>""</f>
        <v/>
      </c>
      <c r="BY739" t="str">
        <f>""</f>
        <v/>
      </c>
      <c r="BZ739" t="str">
        <f>""</f>
        <v/>
      </c>
      <c r="CA739" t="str">
        <f>""</f>
        <v/>
      </c>
      <c r="CB739" t="str">
        <f>""</f>
        <v/>
      </c>
      <c r="CC739" t="str">
        <f>""</f>
        <v/>
      </c>
      <c r="CD739" t="str">
        <f>""</f>
        <v/>
      </c>
      <c r="CE739" t="str">
        <f>""</f>
        <v/>
      </c>
      <c r="CF739" t="str">
        <f>""</f>
        <v/>
      </c>
      <c r="CG739" t="str">
        <f>""</f>
        <v/>
      </c>
      <c r="CH739" t="str">
        <f>""</f>
        <v/>
      </c>
      <c r="CI739" t="str">
        <f>""</f>
        <v/>
      </c>
      <c r="CJ739" t="str">
        <f>""</f>
        <v/>
      </c>
      <c r="CK739" t="str">
        <f>""</f>
        <v/>
      </c>
      <c r="CL739" t="str">
        <f>""</f>
        <v/>
      </c>
      <c r="CM739" t="str">
        <f>""</f>
        <v/>
      </c>
      <c r="CN739" t="str">
        <f>""</f>
        <v/>
      </c>
      <c r="CO739" t="str">
        <f>""</f>
        <v/>
      </c>
      <c r="CP739" t="str">
        <f>""</f>
        <v/>
      </c>
      <c r="CQ739" t="str">
        <f>""</f>
        <v/>
      </c>
      <c r="CR739" t="str">
        <f>""</f>
        <v/>
      </c>
      <c r="CS739" t="str">
        <f>""</f>
        <v/>
      </c>
      <c r="CT739" t="str">
        <f>""</f>
        <v/>
      </c>
      <c r="CU739" t="str">
        <f>""</f>
        <v/>
      </c>
      <c r="CV739" t="str">
        <f>""</f>
        <v/>
      </c>
      <c r="CW739" t="str">
        <f>""</f>
        <v/>
      </c>
      <c r="CX739" t="str">
        <f>""</f>
        <v/>
      </c>
      <c r="CY739" t="str">
        <f>""</f>
        <v/>
      </c>
      <c r="CZ739" t="str">
        <f>""</f>
        <v/>
      </c>
      <c r="DA739" t="str">
        <f>""</f>
        <v/>
      </c>
      <c r="DB739" t="str">
        <f>""</f>
        <v/>
      </c>
      <c r="DC739" t="str">
        <f>""</f>
        <v/>
      </c>
      <c r="DD739" t="str">
        <f>""</f>
        <v/>
      </c>
      <c r="DE739" t="str">
        <f>""</f>
        <v/>
      </c>
      <c r="DF739" t="str">
        <f>""</f>
        <v/>
      </c>
      <c r="DG739" t="str">
        <f>""</f>
        <v/>
      </c>
      <c r="DH739" t="str">
        <f>""</f>
        <v/>
      </c>
      <c r="DI739" t="str">
        <f>""</f>
        <v/>
      </c>
      <c r="DJ739" t="str">
        <f>""</f>
        <v/>
      </c>
      <c r="DK739" t="str">
        <f>""</f>
        <v/>
      </c>
      <c r="DL739" t="str">
        <f>""</f>
        <v/>
      </c>
      <c r="DM739" t="str">
        <f>""</f>
        <v/>
      </c>
      <c r="DN739" t="str">
        <f>""</f>
        <v/>
      </c>
      <c r="DO739" t="str">
        <f>""</f>
        <v/>
      </c>
      <c r="DP739" t="str">
        <f>""</f>
        <v/>
      </c>
      <c r="DQ739" t="str">
        <f>""</f>
        <v/>
      </c>
      <c r="DR739" t="str">
        <f>""</f>
        <v/>
      </c>
      <c r="DS739" t="str">
        <f>""</f>
        <v/>
      </c>
      <c r="DT739" t="str">
        <f>""</f>
        <v/>
      </c>
      <c r="DU739" t="str">
        <f>""</f>
        <v/>
      </c>
    </row>
    <row r="740" spans="1:125">
      <c r="A740" t="str">
        <f>$A$297</f>
        <v xml:space="preserve">    Kimco Realty Corp</v>
      </c>
      <c r="B740" t="str">
        <f>$B$297</f>
        <v>KIM US Equity</v>
      </c>
      <c r="C740" t="str">
        <f>$C$297</f>
        <v>RR147</v>
      </c>
      <c r="D740" t="str">
        <f>$D$297</f>
        <v>LT_DEBT_TO_TOT_ASSET</v>
      </c>
      <c r="E740" t="str">
        <f>$E$297</f>
        <v>动态</v>
      </c>
      <c r="F740" t="str">
        <f ca="1">BDH($B$297,$C$297,$B$417,$B$418,CONCATENATE("Per=",$B$415),"Dts=H","Dir=H",CONCATENATE("Points=",$B$416),"Sort=R","Days=A","Fill=B",CONCATENATE("FX=", $B$414) )</f>
        <v>#N/A Authorization</v>
      </c>
      <c r="BN740" t="str">
        <f>""</f>
        <v/>
      </c>
      <c r="BO740" t="str">
        <f>""</f>
        <v/>
      </c>
      <c r="BP740" t="str">
        <f>""</f>
        <v/>
      </c>
      <c r="BQ740" t="str">
        <f>""</f>
        <v/>
      </c>
      <c r="BR740" t="str">
        <f>""</f>
        <v/>
      </c>
      <c r="BS740" t="str">
        <f>""</f>
        <v/>
      </c>
      <c r="BT740" t="str">
        <f>""</f>
        <v/>
      </c>
      <c r="BU740" t="str">
        <f>""</f>
        <v/>
      </c>
      <c r="BV740" t="str">
        <f>""</f>
        <v/>
      </c>
      <c r="BW740" t="str">
        <f>""</f>
        <v/>
      </c>
      <c r="BX740" t="str">
        <f>""</f>
        <v/>
      </c>
      <c r="BY740" t="str">
        <f>""</f>
        <v/>
      </c>
      <c r="BZ740" t="str">
        <f>""</f>
        <v/>
      </c>
      <c r="CA740" t="str">
        <f>""</f>
        <v/>
      </c>
      <c r="CB740" t="str">
        <f>""</f>
        <v/>
      </c>
      <c r="CC740" t="str">
        <f>""</f>
        <v/>
      </c>
      <c r="CD740" t="str">
        <f>""</f>
        <v/>
      </c>
      <c r="CE740" t="str">
        <f>""</f>
        <v/>
      </c>
      <c r="CF740" t="str">
        <f>""</f>
        <v/>
      </c>
      <c r="CG740" t="str">
        <f>""</f>
        <v/>
      </c>
      <c r="CH740" t="str">
        <f>""</f>
        <v/>
      </c>
      <c r="CI740" t="str">
        <f>""</f>
        <v/>
      </c>
      <c r="CJ740" t="str">
        <f>""</f>
        <v/>
      </c>
      <c r="CK740" t="str">
        <f>""</f>
        <v/>
      </c>
      <c r="CL740" t="str">
        <f>""</f>
        <v/>
      </c>
      <c r="CM740" t="str">
        <f>""</f>
        <v/>
      </c>
      <c r="CN740" t="str">
        <f>""</f>
        <v/>
      </c>
      <c r="CO740" t="str">
        <f>""</f>
        <v/>
      </c>
      <c r="CP740" t="str">
        <f>""</f>
        <v/>
      </c>
      <c r="CQ740" t="str">
        <f>""</f>
        <v/>
      </c>
      <c r="CR740" t="str">
        <f>""</f>
        <v/>
      </c>
      <c r="CS740" t="str">
        <f>""</f>
        <v/>
      </c>
      <c r="CT740" t="str">
        <f>""</f>
        <v/>
      </c>
      <c r="CU740" t="str">
        <f>""</f>
        <v/>
      </c>
      <c r="CV740" t="str">
        <f>""</f>
        <v/>
      </c>
      <c r="CW740" t="str">
        <f>""</f>
        <v/>
      </c>
      <c r="CX740" t="str">
        <f>""</f>
        <v/>
      </c>
      <c r="CY740" t="str">
        <f>""</f>
        <v/>
      </c>
      <c r="CZ740" t="str">
        <f>""</f>
        <v/>
      </c>
      <c r="DA740" t="str">
        <f>""</f>
        <v/>
      </c>
      <c r="DB740" t="str">
        <f>""</f>
        <v/>
      </c>
      <c r="DC740" t="str">
        <f>""</f>
        <v/>
      </c>
      <c r="DD740" t="str">
        <f>""</f>
        <v/>
      </c>
      <c r="DE740" t="str">
        <f>""</f>
        <v/>
      </c>
      <c r="DF740" t="str">
        <f>""</f>
        <v/>
      </c>
      <c r="DG740" t="str">
        <f>""</f>
        <v/>
      </c>
      <c r="DH740" t="str">
        <f>""</f>
        <v/>
      </c>
      <c r="DI740" t="str">
        <f>""</f>
        <v/>
      </c>
      <c r="DJ740" t="str">
        <f>""</f>
        <v/>
      </c>
      <c r="DK740" t="str">
        <f>""</f>
        <v/>
      </c>
      <c r="DL740" t="str">
        <f>""</f>
        <v/>
      </c>
      <c r="DM740" t="str">
        <f>""</f>
        <v/>
      </c>
      <c r="DN740" t="str">
        <f>""</f>
        <v/>
      </c>
      <c r="DO740" t="str">
        <f>""</f>
        <v/>
      </c>
      <c r="DP740" t="str">
        <f>""</f>
        <v/>
      </c>
      <c r="DQ740" t="str">
        <f>""</f>
        <v/>
      </c>
      <c r="DR740" t="str">
        <f>""</f>
        <v/>
      </c>
      <c r="DS740" t="str">
        <f>""</f>
        <v/>
      </c>
      <c r="DT740" t="str">
        <f>""</f>
        <v/>
      </c>
      <c r="DU740" t="str">
        <f>""</f>
        <v/>
      </c>
    </row>
    <row r="741" spans="1:125">
      <c r="A741" t="str">
        <f>$A$298</f>
        <v xml:space="preserve">    National Retail Properties Inc</v>
      </c>
      <c r="B741" t="str">
        <f>$B$298</f>
        <v>NNN US Equity</v>
      </c>
      <c r="C741" t="str">
        <f>$C$298</f>
        <v>RR147</v>
      </c>
      <c r="D741" t="str">
        <f>$D$298</f>
        <v>LT_DEBT_TO_TOT_ASSET</v>
      </c>
      <c r="E741" t="str">
        <f>$E$298</f>
        <v>动态</v>
      </c>
      <c r="F741" t="str">
        <f ca="1">BDH($B$298,$C$298,$B$417,$B$418,CONCATENATE("Per=",$B$415),"Dts=H","Dir=H",CONCATENATE("Points=",$B$416),"Sort=R","Days=A","Fill=B",CONCATENATE("FX=", $B$414) )</f>
        <v>#N/A Authorization</v>
      </c>
      <c r="BN741" t="str">
        <f>""</f>
        <v/>
      </c>
      <c r="BO741" t="str">
        <f>""</f>
        <v/>
      </c>
      <c r="BP741" t="str">
        <f>""</f>
        <v/>
      </c>
      <c r="BQ741" t="str">
        <f>""</f>
        <v/>
      </c>
      <c r="BR741" t="str">
        <f>""</f>
        <v/>
      </c>
      <c r="BS741" t="str">
        <f>""</f>
        <v/>
      </c>
      <c r="BT741" t="str">
        <f>""</f>
        <v/>
      </c>
      <c r="BU741" t="str">
        <f>""</f>
        <v/>
      </c>
      <c r="BV741" t="str">
        <f>""</f>
        <v/>
      </c>
      <c r="BW741" t="str">
        <f>""</f>
        <v/>
      </c>
      <c r="BX741" t="str">
        <f>""</f>
        <v/>
      </c>
      <c r="BY741" t="str">
        <f>""</f>
        <v/>
      </c>
      <c r="BZ741" t="str">
        <f>""</f>
        <v/>
      </c>
      <c r="CA741" t="str">
        <f>""</f>
        <v/>
      </c>
      <c r="CB741" t="str">
        <f>""</f>
        <v/>
      </c>
      <c r="CC741" t="str">
        <f>""</f>
        <v/>
      </c>
      <c r="CD741" t="str">
        <f>""</f>
        <v/>
      </c>
      <c r="CE741" t="str">
        <f>""</f>
        <v/>
      </c>
      <c r="CF741" t="str">
        <f>""</f>
        <v/>
      </c>
      <c r="CG741" t="str">
        <f>""</f>
        <v/>
      </c>
      <c r="CH741" t="str">
        <f>""</f>
        <v/>
      </c>
      <c r="CI741" t="str">
        <f>""</f>
        <v/>
      </c>
      <c r="CJ741" t="str">
        <f>""</f>
        <v/>
      </c>
      <c r="CK741" t="str">
        <f>""</f>
        <v/>
      </c>
      <c r="CL741" t="str">
        <f>""</f>
        <v/>
      </c>
      <c r="CM741" t="str">
        <f>""</f>
        <v/>
      </c>
      <c r="CN741" t="str">
        <f>""</f>
        <v/>
      </c>
      <c r="CO741" t="str">
        <f>""</f>
        <v/>
      </c>
      <c r="CP741" t="str">
        <f>""</f>
        <v/>
      </c>
      <c r="CQ741" t="str">
        <f>""</f>
        <v/>
      </c>
      <c r="CR741" t="str">
        <f>""</f>
        <v/>
      </c>
      <c r="CS741" t="str">
        <f>""</f>
        <v/>
      </c>
      <c r="CT741" t="str">
        <f>""</f>
        <v/>
      </c>
      <c r="CU741" t="str">
        <f>""</f>
        <v/>
      </c>
      <c r="CV741" t="str">
        <f>""</f>
        <v/>
      </c>
      <c r="CW741" t="str">
        <f>""</f>
        <v/>
      </c>
      <c r="CX741" t="str">
        <f>""</f>
        <v/>
      </c>
      <c r="CY741" t="str">
        <f>""</f>
        <v/>
      </c>
      <c r="CZ741" t="str">
        <f>""</f>
        <v/>
      </c>
      <c r="DA741" t="str">
        <f>""</f>
        <v/>
      </c>
      <c r="DB741" t="str">
        <f>""</f>
        <v/>
      </c>
      <c r="DC741" t="str">
        <f>""</f>
        <v/>
      </c>
      <c r="DD741" t="str">
        <f>""</f>
        <v/>
      </c>
      <c r="DE741" t="str">
        <f>""</f>
        <v/>
      </c>
      <c r="DF741" t="str">
        <f>""</f>
        <v/>
      </c>
      <c r="DG741" t="str">
        <f>""</f>
        <v/>
      </c>
      <c r="DH741" t="str">
        <f>""</f>
        <v/>
      </c>
      <c r="DI741" t="str">
        <f>""</f>
        <v/>
      </c>
      <c r="DJ741" t="str">
        <f>""</f>
        <v/>
      </c>
      <c r="DK741" t="str">
        <f>""</f>
        <v/>
      </c>
      <c r="DL741" t="str">
        <f>""</f>
        <v/>
      </c>
      <c r="DM741" t="str">
        <f>""</f>
        <v/>
      </c>
      <c r="DN741" t="str">
        <f>""</f>
        <v/>
      </c>
      <c r="DO741" t="str">
        <f>""</f>
        <v/>
      </c>
      <c r="DP741" t="str">
        <f>""</f>
        <v/>
      </c>
      <c r="DQ741" t="str">
        <f>""</f>
        <v/>
      </c>
      <c r="DR741" t="str">
        <f>""</f>
        <v/>
      </c>
      <c r="DS741" t="str">
        <f>""</f>
        <v/>
      </c>
      <c r="DT741" t="str">
        <f>""</f>
        <v/>
      </c>
      <c r="DU741" t="str">
        <f>""</f>
        <v/>
      </c>
    </row>
    <row r="742" spans="1:125">
      <c r="A742" t="str">
        <f>$A$299</f>
        <v xml:space="preserve">    Realty Income Corp</v>
      </c>
      <c r="B742" t="str">
        <f>$B$299</f>
        <v>O US Equity</v>
      </c>
      <c r="C742" t="str">
        <f>$C$299</f>
        <v>RR147</v>
      </c>
      <c r="D742" t="str">
        <f>$D$299</f>
        <v>LT_DEBT_TO_TOT_ASSET</v>
      </c>
      <c r="E742" t="str">
        <f>$E$299</f>
        <v>动态</v>
      </c>
      <c r="F742" t="str">
        <f ca="1">BDH($B$299,$C$299,$B$417,$B$418,CONCATENATE("Per=",$B$415),"Dts=H","Dir=H",CONCATENATE("Points=",$B$416),"Sort=R","Days=A","Fill=B",CONCATENATE("FX=", $B$414) )</f>
        <v>#N/A Authorization</v>
      </c>
      <c r="BN742" t="str">
        <f>""</f>
        <v/>
      </c>
      <c r="BO742" t="str">
        <f>""</f>
        <v/>
      </c>
      <c r="BP742" t="str">
        <f>""</f>
        <v/>
      </c>
      <c r="BQ742" t="str">
        <f>""</f>
        <v/>
      </c>
      <c r="BR742" t="str">
        <f>""</f>
        <v/>
      </c>
      <c r="BS742" t="str">
        <f>""</f>
        <v/>
      </c>
      <c r="BT742" t="str">
        <f>""</f>
        <v/>
      </c>
      <c r="BU742" t="str">
        <f>""</f>
        <v/>
      </c>
      <c r="BV742" t="str">
        <f>""</f>
        <v/>
      </c>
      <c r="BW742" t="str">
        <f>""</f>
        <v/>
      </c>
      <c r="BX742" t="str">
        <f>""</f>
        <v/>
      </c>
      <c r="BY742" t="str">
        <f>""</f>
        <v/>
      </c>
      <c r="BZ742" t="str">
        <f>""</f>
        <v/>
      </c>
      <c r="CA742" t="str">
        <f>""</f>
        <v/>
      </c>
      <c r="CB742" t="str">
        <f>""</f>
        <v/>
      </c>
      <c r="CC742" t="str">
        <f>""</f>
        <v/>
      </c>
      <c r="CD742" t="str">
        <f>""</f>
        <v/>
      </c>
      <c r="CE742" t="str">
        <f>""</f>
        <v/>
      </c>
      <c r="CF742" t="str">
        <f>""</f>
        <v/>
      </c>
      <c r="CG742" t="str">
        <f>""</f>
        <v/>
      </c>
      <c r="CH742" t="str">
        <f>""</f>
        <v/>
      </c>
      <c r="CI742" t="str">
        <f>""</f>
        <v/>
      </c>
      <c r="CJ742" t="str">
        <f>""</f>
        <v/>
      </c>
      <c r="CK742" t="str">
        <f>""</f>
        <v/>
      </c>
      <c r="CL742" t="str">
        <f>""</f>
        <v/>
      </c>
      <c r="CM742" t="str">
        <f>""</f>
        <v/>
      </c>
      <c r="CN742" t="str">
        <f>""</f>
        <v/>
      </c>
      <c r="CO742" t="str">
        <f>""</f>
        <v/>
      </c>
      <c r="CP742" t="str">
        <f>""</f>
        <v/>
      </c>
      <c r="CQ742" t="str">
        <f>""</f>
        <v/>
      </c>
      <c r="CR742" t="str">
        <f>""</f>
        <v/>
      </c>
      <c r="CS742" t="str">
        <f>""</f>
        <v/>
      </c>
      <c r="CT742" t="str">
        <f>""</f>
        <v/>
      </c>
      <c r="CU742" t="str">
        <f>""</f>
        <v/>
      </c>
      <c r="CV742" t="str">
        <f>""</f>
        <v/>
      </c>
      <c r="CW742" t="str">
        <f>""</f>
        <v/>
      </c>
      <c r="CX742" t="str">
        <f>""</f>
        <v/>
      </c>
      <c r="CY742" t="str">
        <f>""</f>
        <v/>
      </c>
      <c r="CZ742" t="str">
        <f>""</f>
        <v/>
      </c>
      <c r="DA742" t="str">
        <f>""</f>
        <v/>
      </c>
      <c r="DB742" t="str">
        <f>""</f>
        <v/>
      </c>
      <c r="DC742" t="str">
        <f>""</f>
        <v/>
      </c>
      <c r="DD742" t="str">
        <f>""</f>
        <v/>
      </c>
      <c r="DE742" t="str">
        <f>""</f>
        <v/>
      </c>
      <c r="DF742" t="str">
        <f>""</f>
        <v/>
      </c>
      <c r="DG742" t="str">
        <f>""</f>
        <v/>
      </c>
      <c r="DH742" t="str">
        <f>""</f>
        <v/>
      </c>
      <c r="DI742" t="str">
        <f>""</f>
        <v/>
      </c>
      <c r="DJ742" t="str">
        <f>""</f>
        <v/>
      </c>
      <c r="DK742" t="str">
        <f>""</f>
        <v/>
      </c>
      <c r="DL742" t="str">
        <f>""</f>
        <v/>
      </c>
      <c r="DM742" t="str">
        <f>""</f>
        <v/>
      </c>
      <c r="DN742" t="str">
        <f>""</f>
        <v/>
      </c>
      <c r="DO742" t="str">
        <f>""</f>
        <v/>
      </c>
      <c r="DP742" t="str">
        <f>""</f>
        <v/>
      </c>
      <c r="DQ742" t="str">
        <f>""</f>
        <v/>
      </c>
      <c r="DR742" t="str">
        <f>""</f>
        <v/>
      </c>
      <c r="DS742" t="str">
        <f>""</f>
        <v/>
      </c>
      <c r="DT742" t="str">
        <f>""</f>
        <v/>
      </c>
      <c r="DU742" t="str">
        <f>""</f>
        <v/>
      </c>
    </row>
    <row r="743" spans="1:125">
      <c r="A743" t="str">
        <f>$A$300</f>
        <v xml:space="preserve">    Regency Centers Corp</v>
      </c>
      <c r="B743" t="str">
        <f>$B$300</f>
        <v>REG US Equity</v>
      </c>
      <c r="C743" t="str">
        <f>$C$300</f>
        <v>RR147</v>
      </c>
      <c r="D743" t="str">
        <f>$D$300</f>
        <v>LT_DEBT_TO_TOT_ASSET</v>
      </c>
      <c r="E743" t="str">
        <f>$E$300</f>
        <v>动态</v>
      </c>
      <c r="F743" t="str">
        <f ca="1">BDH($B$300,$C$300,$B$417,$B$418,CONCATENATE("Per=",$B$415),"Dts=H","Dir=H",CONCATENATE("Points=",$B$416),"Sort=R","Days=A","Fill=B",CONCATENATE("FX=", $B$414) )</f>
        <v>#N/A Authorization</v>
      </c>
      <c r="BN743" t="str">
        <f>""</f>
        <v/>
      </c>
      <c r="BO743" t="str">
        <f>""</f>
        <v/>
      </c>
      <c r="BP743" t="str">
        <f>""</f>
        <v/>
      </c>
      <c r="BQ743" t="str">
        <f>""</f>
        <v/>
      </c>
      <c r="BR743" t="str">
        <f>""</f>
        <v/>
      </c>
      <c r="BS743" t="str">
        <f>""</f>
        <v/>
      </c>
      <c r="BT743" t="str">
        <f>""</f>
        <v/>
      </c>
      <c r="BU743" t="str">
        <f>""</f>
        <v/>
      </c>
      <c r="BV743" t="str">
        <f>""</f>
        <v/>
      </c>
      <c r="BW743" t="str">
        <f>""</f>
        <v/>
      </c>
      <c r="BX743" t="str">
        <f>""</f>
        <v/>
      </c>
      <c r="BY743" t="str">
        <f>""</f>
        <v/>
      </c>
      <c r="BZ743" t="str">
        <f>""</f>
        <v/>
      </c>
      <c r="CA743" t="str">
        <f>""</f>
        <v/>
      </c>
      <c r="CB743" t="str">
        <f>""</f>
        <v/>
      </c>
      <c r="CC743" t="str">
        <f>""</f>
        <v/>
      </c>
      <c r="CD743" t="str">
        <f>""</f>
        <v/>
      </c>
      <c r="CE743" t="str">
        <f>""</f>
        <v/>
      </c>
      <c r="CF743" t="str">
        <f>""</f>
        <v/>
      </c>
      <c r="CG743" t="str">
        <f>""</f>
        <v/>
      </c>
      <c r="CH743" t="str">
        <f>""</f>
        <v/>
      </c>
      <c r="CI743" t="str">
        <f>""</f>
        <v/>
      </c>
      <c r="CJ743" t="str">
        <f>""</f>
        <v/>
      </c>
      <c r="CK743" t="str">
        <f>""</f>
        <v/>
      </c>
      <c r="CL743" t="str">
        <f>""</f>
        <v/>
      </c>
      <c r="CM743" t="str">
        <f>""</f>
        <v/>
      </c>
      <c r="CN743" t="str">
        <f>""</f>
        <v/>
      </c>
      <c r="CO743" t="str">
        <f>""</f>
        <v/>
      </c>
      <c r="CP743" t="str">
        <f>""</f>
        <v/>
      </c>
      <c r="CQ743" t="str">
        <f>""</f>
        <v/>
      </c>
      <c r="CR743" t="str">
        <f>""</f>
        <v/>
      </c>
      <c r="CS743" t="str">
        <f>""</f>
        <v/>
      </c>
      <c r="CT743" t="str">
        <f>""</f>
        <v/>
      </c>
      <c r="CU743" t="str">
        <f>""</f>
        <v/>
      </c>
      <c r="CV743" t="str">
        <f>""</f>
        <v/>
      </c>
      <c r="CW743" t="str">
        <f>""</f>
        <v/>
      </c>
      <c r="CX743" t="str">
        <f>""</f>
        <v/>
      </c>
      <c r="CY743" t="str">
        <f>""</f>
        <v/>
      </c>
      <c r="CZ743" t="str">
        <f>""</f>
        <v/>
      </c>
      <c r="DA743" t="str">
        <f>""</f>
        <v/>
      </c>
      <c r="DB743" t="str">
        <f>""</f>
        <v/>
      </c>
      <c r="DC743" t="str">
        <f>""</f>
        <v/>
      </c>
      <c r="DD743" t="str">
        <f>""</f>
        <v/>
      </c>
      <c r="DE743" t="str">
        <f>""</f>
        <v/>
      </c>
      <c r="DF743" t="str">
        <f>""</f>
        <v/>
      </c>
      <c r="DG743" t="str">
        <f>""</f>
        <v/>
      </c>
      <c r="DH743" t="str">
        <f>""</f>
        <v/>
      </c>
      <c r="DI743" t="str">
        <f>""</f>
        <v/>
      </c>
      <c r="DJ743" t="str">
        <f>""</f>
        <v/>
      </c>
      <c r="DK743" t="str">
        <f>""</f>
        <v/>
      </c>
      <c r="DL743" t="str">
        <f>""</f>
        <v/>
      </c>
      <c r="DM743" t="str">
        <f>""</f>
        <v/>
      </c>
      <c r="DN743" t="str">
        <f>""</f>
        <v/>
      </c>
      <c r="DO743" t="str">
        <f>""</f>
        <v/>
      </c>
      <c r="DP743" t="str">
        <f>""</f>
        <v/>
      </c>
      <c r="DQ743" t="str">
        <f>""</f>
        <v/>
      </c>
      <c r="DR743" t="str">
        <f>""</f>
        <v/>
      </c>
      <c r="DS743" t="str">
        <f>""</f>
        <v/>
      </c>
      <c r="DT743" t="str">
        <f>""</f>
        <v/>
      </c>
      <c r="DU743" t="str">
        <f>""</f>
        <v/>
      </c>
    </row>
    <row r="744" spans="1:125">
      <c r="A744" t="str">
        <f>$A$301</f>
        <v xml:space="preserve">    Retail Opportunity Investments</v>
      </c>
      <c r="B744" t="str">
        <f>$B$301</f>
        <v>ROIC US Equity</v>
      </c>
      <c r="C744" t="str">
        <f>$C$301</f>
        <v>RR147</v>
      </c>
      <c r="D744" t="str">
        <f>$D$301</f>
        <v>LT_DEBT_TO_TOT_ASSET</v>
      </c>
      <c r="E744" t="str">
        <f>$E$301</f>
        <v>动态</v>
      </c>
      <c r="F744" t="str">
        <f ca="1">BDH($B$301,$C$301,$B$417,$B$418,CONCATENATE("Per=",$B$415),"Dts=H","Dir=H",CONCATENATE("Points=",$B$416),"Sort=R","Days=A","Fill=B",CONCATENATE("FX=", $B$414) )</f>
        <v>#N/A Authorization</v>
      </c>
      <c r="BN744" t="str">
        <f>""</f>
        <v/>
      </c>
      <c r="BO744" t="str">
        <f>""</f>
        <v/>
      </c>
      <c r="BP744" t="str">
        <f>""</f>
        <v/>
      </c>
      <c r="BQ744" t="str">
        <f>""</f>
        <v/>
      </c>
      <c r="BR744" t="str">
        <f>""</f>
        <v/>
      </c>
      <c r="BS744" t="str">
        <f>""</f>
        <v/>
      </c>
      <c r="BT744" t="str">
        <f>""</f>
        <v/>
      </c>
      <c r="BU744" t="str">
        <f>""</f>
        <v/>
      </c>
      <c r="BV744" t="str">
        <f>""</f>
        <v/>
      </c>
      <c r="BW744" t="str">
        <f>""</f>
        <v/>
      </c>
      <c r="BX744" t="str">
        <f>""</f>
        <v/>
      </c>
      <c r="BY744" t="str">
        <f>""</f>
        <v/>
      </c>
      <c r="BZ744" t="str">
        <f>""</f>
        <v/>
      </c>
      <c r="CA744" t="str">
        <f>""</f>
        <v/>
      </c>
      <c r="CB744" t="str">
        <f>""</f>
        <v/>
      </c>
      <c r="CC744" t="str">
        <f>""</f>
        <v/>
      </c>
      <c r="CD744" t="str">
        <f>""</f>
        <v/>
      </c>
      <c r="CE744" t="str">
        <f>""</f>
        <v/>
      </c>
      <c r="CF744" t="str">
        <f>""</f>
        <v/>
      </c>
      <c r="CG744" t="str">
        <f>""</f>
        <v/>
      </c>
      <c r="CH744" t="str">
        <f>""</f>
        <v/>
      </c>
      <c r="CI744" t="str">
        <f>""</f>
        <v/>
      </c>
      <c r="CJ744" t="str">
        <f>""</f>
        <v/>
      </c>
      <c r="CK744" t="str">
        <f>""</f>
        <v/>
      </c>
      <c r="CL744" t="str">
        <f>""</f>
        <v/>
      </c>
      <c r="CM744" t="str">
        <f>""</f>
        <v/>
      </c>
      <c r="CN744" t="str">
        <f>""</f>
        <v/>
      </c>
      <c r="CO744" t="str">
        <f>""</f>
        <v/>
      </c>
      <c r="CP744" t="str">
        <f>""</f>
        <v/>
      </c>
      <c r="CQ744" t="str">
        <f>""</f>
        <v/>
      </c>
      <c r="CR744" t="str">
        <f>""</f>
        <v/>
      </c>
      <c r="CS744" t="str">
        <f>""</f>
        <v/>
      </c>
      <c r="CT744" t="str">
        <f>""</f>
        <v/>
      </c>
      <c r="CU744" t="str">
        <f>""</f>
        <v/>
      </c>
      <c r="CV744" t="str">
        <f>""</f>
        <v/>
      </c>
      <c r="CW744" t="str">
        <f>""</f>
        <v/>
      </c>
      <c r="CX744" t="str">
        <f>""</f>
        <v/>
      </c>
      <c r="CY744" t="str">
        <f>""</f>
        <v/>
      </c>
      <c r="CZ744" t="str">
        <f>""</f>
        <v/>
      </c>
      <c r="DA744" t="str">
        <f>""</f>
        <v/>
      </c>
      <c r="DB744" t="str">
        <f>""</f>
        <v/>
      </c>
      <c r="DC744" t="str">
        <f>""</f>
        <v/>
      </c>
      <c r="DD744" t="str">
        <f>""</f>
        <v/>
      </c>
      <c r="DE744" t="str">
        <f>""</f>
        <v/>
      </c>
      <c r="DF744" t="str">
        <f>""</f>
        <v/>
      </c>
      <c r="DG744" t="str">
        <f>""</f>
        <v/>
      </c>
      <c r="DH744" t="str">
        <f>""</f>
        <v/>
      </c>
      <c r="DI744" t="str">
        <f>""</f>
        <v/>
      </c>
      <c r="DJ744" t="str">
        <f>""</f>
        <v/>
      </c>
      <c r="DK744" t="str">
        <f>""</f>
        <v/>
      </c>
      <c r="DL744" t="str">
        <f>""</f>
        <v/>
      </c>
      <c r="DM744" t="str">
        <f>""</f>
        <v/>
      </c>
      <c r="DN744" t="str">
        <f>""</f>
        <v/>
      </c>
      <c r="DO744" t="str">
        <f>""</f>
        <v/>
      </c>
      <c r="DP744" t="str">
        <f>""</f>
        <v/>
      </c>
      <c r="DQ744" t="str">
        <f>""</f>
        <v/>
      </c>
      <c r="DR744" t="str">
        <f>""</f>
        <v/>
      </c>
      <c r="DS744" t="str">
        <f>""</f>
        <v/>
      </c>
      <c r="DT744" t="str">
        <f>""</f>
        <v/>
      </c>
      <c r="DU744" t="str">
        <f>""</f>
        <v/>
      </c>
    </row>
    <row r="745" spans="1:125">
      <c r="A745" t="str">
        <f>$A$302</f>
        <v xml:space="preserve">    Retail Properties of America I</v>
      </c>
      <c r="B745" t="str">
        <f>$B$302</f>
        <v>RPAI US Equity</v>
      </c>
      <c r="C745" t="str">
        <f>$C$302</f>
        <v>RR147</v>
      </c>
      <c r="D745" t="str">
        <f>$D$302</f>
        <v>LT_DEBT_TO_TOT_ASSET</v>
      </c>
      <c r="E745" t="str">
        <f>$E$302</f>
        <v>动态</v>
      </c>
      <c r="F745" t="str">
        <f ca="1">BDH($B$302,$C$302,$B$417,$B$418,CONCATENATE("Per=",$B$415),"Dts=H","Dir=H",CONCATENATE("Points=",$B$416),"Sort=R","Days=A","Fill=B",CONCATENATE("FX=", $B$414) )</f>
        <v>#N/A Authorization</v>
      </c>
      <c r="BN745" t="str">
        <f>""</f>
        <v/>
      </c>
      <c r="BO745" t="str">
        <f>""</f>
        <v/>
      </c>
      <c r="BP745" t="str">
        <f>""</f>
        <v/>
      </c>
      <c r="BQ745" t="str">
        <f>""</f>
        <v/>
      </c>
      <c r="BR745" t="str">
        <f>""</f>
        <v/>
      </c>
      <c r="BS745" t="str">
        <f>""</f>
        <v/>
      </c>
      <c r="BT745" t="str">
        <f>""</f>
        <v/>
      </c>
      <c r="BU745" t="str">
        <f>""</f>
        <v/>
      </c>
      <c r="BV745" t="str">
        <f>""</f>
        <v/>
      </c>
      <c r="BW745" t="str">
        <f>""</f>
        <v/>
      </c>
      <c r="BX745" t="str">
        <f>""</f>
        <v/>
      </c>
      <c r="BY745" t="str">
        <f>""</f>
        <v/>
      </c>
      <c r="BZ745" t="str">
        <f>""</f>
        <v/>
      </c>
      <c r="CA745" t="str">
        <f>""</f>
        <v/>
      </c>
      <c r="CB745" t="str">
        <f>""</f>
        <v/>
      </c>
      <c r="CC745" t="str">
        <f>""</f>
        <v/>
      </c>
      <c r="CD745" t="str">
        <f>""</f>
        <v/>
      </c>
      <c r="CE745" t="str">
        <f>""</f>
        <v/>
      </c>
      <c r="CF745" t="str">
        <f>""</f>
        <v/>
      </c>
      <c r="CG745" t="str">
        <f>""</f>
        <v/>
      </c>
      <c r="CH745" t="str">
        <f>""</f>
        <v/>
      </c>
      <c r="CI745" t="str">
        <f>""</f>
        <v/>
      </c>
      <c r="CJ745" t="str">
        <f>""</f>
        <v/>
      </c>
      <c r="CK745" t="str">
        <f>""</f>
        <v/>
      </c>
      <c r="CL745" t="str">
        <f>""</f>
        <v/>
      </c>
      <c r="CM745" t="str">
        <f>""</f>
        <v/>
      </c>
      <c r="CN745" t="str">
        <f>""</f>
        <v/>
      </c>
      <c r="CO745" t="str">
        <f>""</f>
        <v/>
      </c>
      <c r="CP745" t="str">
        <f>""</f>
        <v/>
      </c>
      <c r="CQ745" t="str">
        <f>""</f>
        <v/>
      </c>
      <c r="CR745" t="str">
        <f>""</f>
        <v/>
      </c>
      <c r="CS745" t="str">
        <f>""</f>
        <v/>
      </c>
      <c r="CT745" t="str">
        <f>""</f>
        <v/>
      </c>
      <c r="CU745" t="str">
        <f>""</f>
        <v/>
      </c>
      <c r="CV745" t="str">
        <f>""</f>
        <v/>
      </c>
      <c r="CW745" t="str">
        <f>""</f>
        <v/>
      </c>
      <c r="CX745" t="str">
        <f>""</f>
        <v/>
      </c>
      <c r="CY745" t="str">
        <f>""</f>
        <v/>
      </c>
      <c r="CZ745" t="str">
        <f>""</f>
        <v/>
      </c>
      <c r="DA745" t="str">
        <f>""</f>
        <v/>
      </c>
      <c r="DB745" t="str">
        <f>""</f>
        <v/>
      </c>
      <c r="DC745" t="str">
        <f>""</f>
        <v/>
      </c>
      <c r="DD745" t="str">
        <f>""</f>
        <v/>
      </c>
      <c r="DE745" t="str">
        <f>""</f>
        <v/>
      </c>
      <c r="DF745" t="str">
        <f>""</f>
        <v/>
      </c>
      <c r="DG745" t="str">
        <f>""</f>
        <v/>
      </c>
      <c r="DH745" t="str">
        <f>""</f>
        <v/>
      </c>
      <c r="DI745" t="str">
        <f>""</f>
        <v/>
      </c>
      <c r="DJ745" t="str">
        <f>""</f>
        <v/>
      </c>
      <c r="DK745" t="str">
        <f>""</f>
        <v/>
      </c>
      <c r="DL745" t="str">
        <f>""</f>
        <v/>
      </c>
      <c r="DM745" t="str">
        <f>""</f>
        <v/>
      </c>
      <c r="DN745" t="str">
        <f>""</f>
        <v/>
      </c>
      <c r="DO745" t="str">
        <f>""</f>
        <v/>
      </c>
      <c r="DP745" t="str">
        <f>""</f>
        <v/>
      </c>
      <c r="DQ745" t="str">
        <f>""</f>
        <v/>
      </c>
      <c r="DR745" t="str">
        <f>""</f>
        <v/>
      </c>
      <c r="DS745" t="str">
        <f>""</f>
        <v/>
      </c>
      <c r="DT745" t="str">
        <f>""</f>
        <v/>
      </c>
      <c r="DU745" t="str">
        <f>""</f>
        <v/>
      </c>
    </row>
    <row r="746" spans="1:125">
      <c r="A746" t="str">
        <f>$A$303</f>
        <v xml:space="preserve">    Simon Property Group Inc</v>
      </c>
      <c r="B746" t="str">
        <f>$B$303</f>
        <v>SPG US Equity</v>
      </c>
      <c r="C746" t="str">
        <f>$C$303</f>
        <v>RR147</v>
      </c>
      <c r="D746" t="str">
        <f>$D$303</f>
        <v>LT_DEBT_TO_TOT_ASSET</v>
      </c>
      <c r="E746" t="str">
        <f>$E$303</f>
        <v>动态</v>
      </c>
      <c r="F746" t="str">
        <f ca="1">BDH($B$303,$C$303,$B$417,$B$418,CONCATENATE("Per=",$B$415),"Dts=H","Dir=H",CONCATENATE("Points=",$B$416),"Sort=R","Days=A","Fill=B",CONCATENATE("FX=", $B$414) )</f>
        <v>#N/A Authorization</v>
      </c>
      <c r="BN746" t="str">
        <f>""</f>
        <v/>
      </c>
      <c r="BO746" t="str">
        <f>""</f>
        <v/>
      </c>
      <c r="BP746" t="str">
        <f>""</f>
        <v/>
      </c>
      <c r="BQ746" t="str">
        <f>""</f>
        <v/>
      </c>
      <c r="BR746" t="str">
        <f>""</f>
        <v/>
      </c>
      <c r="BS746" t="str">
        <f>""</f>
        <v/>
      </c>
      <c r="BT746" t="str">
        <f>""</f>
        <v/>
      </c>
      <c r="BU746" t="str">
        <f>""</f>
        <v/>
      </c>
      <c r="BV746" t="str">
        <f>""</f>
        <v/>
      </c>
      <c r="BW746" t="str">
        <f>""</f>
        <v/>
      </c>
      <c r="BX746" t="str">
        <f>""</f>
        <v/>
      </c>
      <c r="BY746" t="str">
        <f>""</f>
        <v/>
      </c>
      <c r="BZ746" t="str">
        <f>""</f>
        <v/>
      </c>
      <c r="CA746" t="str">
        <f>""</f>
        <v/>
      </c>
      <c r="CB746" t="str">
        <f>""</f>
        <v/>
      </c>
      <c r="CC746" t="str">
        <f>""</f>
        <v/>
      </c>
      <c r="CD746" t="str">
        <f>""</f>
        <v/>
      </c>
      <c r="CE746" t="str">
        <f>""</f>
        <v/>
      </c>
      <c r="CF746" t="str">
        <f>""</f>
        <v/>
      </c>
      <c r="CG746" t="str">
        <f>""</f>
        <v/>
      </c>
      <c r="CH746" t="str">
        <f>""</f>
        <v/>
      </c>
      <c r="CI746" t="str">
        <f>""</f>
        <v/>
      </c>
      <c r="CJ746" t="str">
        <f>""</f>
        <v/>
      </c>
      <c r="CK746" t="str">
        <f>""</f>
        <v/>
      </c>
      <c r="CL746" t="str">
        <f>""</f>
        <v/>
      </c>
      <c r="CM746" t="str">
        <f>""</f>
        <v/>
      </c>
      <c r="CN746" t="str">
        <f>""</f>
        <v/>
      </c>
      <c r="CO746" t="str">
        <f>""</f>
        <v/>
      </c>
      <c r="CP746" t="str">
        <f>""</f>
        <v/>
      </c>
      <c r="CQ746" t="str">
        <f>""</f>
        <v/>
      </c>
      <c r="CR746" t="str">
        <f>""</f>
        <v/>
      </c>
      <c r="CS746" t="str">
        <f>""</f>
        <v/>
      </c>
      <c r="CT746" t="str">
        <f>""</f>
        <v/>
      </c>
      <c r="CU746" t="str">
        <f>""</f>
        <v/>
      </c>
      <c r="CV746" t="str">
        <f>""</f>
        <v/>
      </c>
      <c r="CW746" t="str">
        <f>""</f>
        <v/>
      </c>
      <c r="CX746" t="str">
        <f>""</f>
        <v/>
      </c>
      <c r="CY746" t="str">
        <f>""</f>
        <v/>
      </c>
      <c r="CZ746" t="str">
        <f>""</f>
        <v/>
      </c>
      <c r="DA746" t="str">
        <f>""</f>
        <v/>
      </c>
      <c r="DB746" t="str">
        <f>""</f>
        <v/>
      </c>
      <c r="DC746" t="str">
        <f>""</f>
        <v/>
      </c>
      <c r="DD746" t="str">
        <f>""</f>
        <v/>
      </c>
      <c r="DE746" t="str">
        <f>""</f>
        <v/>
      </c>
      <c r="DF746" t="str">
        <f>""</f>
        <v/>
      </c>
      <c r="DG746" t="str">
        <f>""</f>
        <v/>
      </c>
      <c r="DH746" t="str">
        <f>""</f>
        <v/>
      </c>
      <c r="DI746" t="str">
        <f>""</f>
        <v/>
      </c>
      <c r="DJ746" t="str">
        <f>""</f>
        <v/>
      </c>
      <c r="DK746" t="str">
        <f>""</f>
        <v/>
      </c>
      <c r="DL746" t="str">
        <f>""</f>
        <v/>
      </c>
      <c r="DM746" t="str">
        <f>""</f>
        <v/>
      </c>
      <c r="DN746" t="str">
        <f>""</f>
        <v/>
      </c>
      <c r="DO746" t="str">
        <f>""</f>
        <v/>
      </c>
      <c r="DP746" t="str">
        <f>""</f>
        <v/>
      </c>
      <c r="DQ746" t="str">
        <f>""</f>
        <v/>
      </c>
      <c r="DR746" t="str">
        <f>""</f>
        <v/>
      </c>
      <c r="DS746" t="str">
        <f>""</f>
        <v/>
      </c>
      <c r="DT746" t="str">
        <f>""</f>
        <v/>
      </c>
      <c r="DU746" t="str">
        <f>""</f>
        <v/>
      </c>
    </row>
    <row r="747" spans="1:125">
      <c r="A747" t="str">
        <f>$A$304</f>
        <v xml:space="preserve">    Tanger Factory Outlet Centers</v>
      </c>
      <c r="B747" t="str">
        <f>$B$304</f>
        <v>SKT US Equity</v>
      </c>
      <c r="C747" t="str">
        <f>$C$304</f>
        <v>RR147</v>
      </c>
      <c r="D747" t="str">
        <f>$D$304</f>
        <v>LT_DEBT_TO_TOT_ASSET</v>
      </c>
      <c r="E747" t="str">
        <f>$E$304</f>
        <v>动态</v>
      </c>
      <c r="F747" t="str">
        <f ca="1">BDH($B$304,$C$304,$B$417,$B$418,CONCATENATE("Per=",$B$415),"Dts=H","Dir=H",CONCATENATE("Points=",$B$416),"Sort=R","Days=A","Fill=B",CONCATENATE("FX=", $B$414) )</f>
        <v>#N/A Authorization</v>
      </c>
      <c r="BN747" t="str">
        <f>""</f>
        <v/>
      </c>
      <c r="BO747" t="str">
        <f>""</f>
        <v/>
      </c>
      <c r="BP747" t="str">
        <f>""</f>
        <v/>
      </c>
      <c r="BQ747" t="str">
        <f>""</f>
        <v/>
      </c>
      <c r="BR747" t="str">
        <f>""</f>
        <v/>
      </c>
      <c r="BS747" t="str">
        <f>""</f>
        <v/>
      </c>
      <c r="BT747" t="str">
        <f>""</f>
        <v/>
      </c>
      <c r="BU747" t="str">
        <f>""</f>
        <v/>
      </c>
      <c r="BV747" t="str">
        <f>""</f>
        <v/>
      </c>
      <c r="BW747" t="str">
        <f>""</f>
        <v/>
      </c>
      <c r="BX747" t="str">
        <f>""</f>
        <v/>
      </c>
      <c r="BY747" t="str">
        <f>""</f>
        <v/>
      </c>
      <c r="BZ747" t="str">
        <f>""</f>
        <v/>
      </c>
      <c r="CA747" t="str">
        <f>""</f>
        <v/>
      </c>
      <c r="CB747" t="str">
        <f>""</f>
        <v/>
      </c>
      <c r="CC747" t="str">
        <f>""</f>
        <v/>
      </c>
      <c r="CD747" t="str">
        <f>""</f>
        <v/>
      </c>
      <c r="CE747" t="str">
        <f>""</f>
        <v/>
      </c>
      <c r="CF747" t="str">
        <f>""</f>
        <v/>
      </c>
      <c r="CG747" t="str">
        <f>""</f>
        <v/>
      </c>
      <c r="CH747" t="str">
        <f>""</f>
        <v/>
      </c>
      <c r="CI747" t="str">
        <f>""</f>
        <v/>
      </c>
      <c r="CJ747" t="str">
        <f>""</f>
        <v/>
      </c>
      <c r="CK747" t="str">
        <f>""</f>
        <v/>
      </c>
      <c r="CL747" t="str">
        <f>""</f>
        <v/>
      </c>
      <c r="CM747" t="str">
        <f>""</f>
        <v/>
      </c>
      <c r="CN747" t="str">
        <f>""</f>
        <v/>
      </c>
      <c r="CO747" t="str">
        <f>""</f>
        <v/>
      </c>
      <c r="CP747" t="str">
        <f>""</f>
        <v/>
      </c>
      <c r="CQ747" t="str">
        <f>""</f>
        <v/>
      </c>
      <c r="CR747" t="str">
        <f>""</f>
        <v/>
      </c>
      <c r="CS747" t="str">
        <f>""</f>
        <v/>
      </c>
      <c r="CT747" t="str">
        <f>""</f>
        <v/>
      </c>
      <c r="CU747" t="str">
        <f>""</f>
        <v/>
      </c>
      <c r="CV747" t="str">
        <f>""</f>
        <v/>
      </c>
      <c r="CW747" t="str">
        <f>""</f>
        <v/>
      </c>
      <c r="CX747" t="str">
        <f>""</f>
        <v/>
      </c>
      <c r="CY747" t="str">
        <f>""</f>
        <v/>
      </c>
      <c r="CZ747" t="str">
        <f>""</f>
        <v/>
      </c>
      <c r="DA747" t="str">
        <f>""</f>
        <v/>
      </c>
      <c r="DB747" t="str">
        <f>""</f>
        <v/>
      </c>
      <c r="DC747" t="str">
        <f>""</f>
        <v/>
      </c>
      <c r="DD747" t="str">
        <f>""</f>
        <v/>
      </c>
      <c r="DE747" t="str">
        <f>""</f>
        <v/>
      </c>
      <c r="DF747" t="str">
        <f>""</f>
        <v/>
      </c>
      <c r="DG747" t="str">
        <f>""</f>
        <v/>
      </c>
      <c r="DH747" t="str">
        <f>""</f>
        <v/>
      </c>
      <c r="DI747" t="str">
        <f>""</f>
        <v/>
      </c>
      <c r="DJ747" t="str">
        <f>""</f>
        <v/>
      </c>
      <c r="DK747" t="str">
        <f>""</f>
        <v/>
      </c>
      <c r="DL747" t="str">
        <f>""</f>
        <v/>
      </c>
      <c r="DM747" t="str">
        <f>""</f>
        <v/>
      </c>
      <c r="DN747" t="str">
        <f>""</f>
        <v/>
      </c>
      <c r="DO747" t="str">
        <f>""</f>
        <v/>
      </c>
      <c r="DP747" t="str">
        <f>""</f>
        <v/>
      </c>
      <c r="DQ747" t="str">
        <f>""</f>
        <v/>
      </c>
      <c r="DR747" t="str">
        <f>""</f>
        <v/>
      </c>
      <c r="DS747" t="str">
        <f>""</f>
        <v/>
      </c>
      <c r="DT747" t="str">
        <f>""</f>
        <v/>
      </c>
      <c r="DU747" t="str">
        <f>""</f>
        <v/>
      </c>
    </row>
    <row r="748" spans="1:125">
      <c r="A748" t="str">
        <f>$A$305</f>
        <v xml:space="preserve">    VEREIT Inc</v>
      </c>
      <c r="B748" t="str">
        <f>$B$305</f>
        <v>VER US Equity</v>
      </c>
      <c r="C748" t="str">
        <f>$C$305</f>
        <v>RR147</v>
      </c>
      <c r="D748" t="str">
        <f>$D$305</f>
        <v>LT_DEBT_TO_TOT_ASSET</v>
      </c>
      <c r="E748" t="str">
        <f>$E$305</f>
        <v>动态</v>
      </c>
      <c r="F748" t="str">
        <f ca="1">BDH($B$305,$C$305,$B$417,$B$418,CONCATENATE("Per=",$B$415),"Dts=H","Dir=H",CONCATENATE("Points=",$B$416),"Sort=R","Days=A","Fill=B",CONCATENATE("FX=", $B$414) )</f>
        <v>#N/A Authorization</v>
      </c>
      <c r="BN748" t="str">
        <f>""</f>
        <v/>
      </c>
      <c r="BO748" t="str">
        <f>""</f>
        <v/>
      </c>
      <c r="BP748" t="str">
        <f>""</f>
        <v/>
      </c>
      <c r="BQ748" t="str">
        <f>""</f>
        <v/>
      </c>
      <c r="BR748" t="str">
        <f>""</f>
        <v/>
      </c>
      <c r="BS748" t="str">
        <f>""</f>
        <v/>
      </c>
      <c r="BT748" t="str">
        <f>""</f>
        <v/>
      </c>
      <c r="BU748" t="str">
        <f>""</f>
        <v/>
      </c>
      <c r="BV748" t="str">
        <f>""</f>
        <v/>
      </c>
      <c r="BW748" t="str">
        <f>""</f>
        <v/>
      </c>
      <c r="BX748" t="str">
        <f>""</f>
        <v/>
      </c>
      <c r="BY748" t="str">
        <f>""</f>
        <v/>
      </c>
      <c r="BZ748" t="str">
        <f>""</f>
        <v/>
      </c>
      <c r="CA748" t="str">
        <f>""</f>
        <v/>
      </c>
      <c r="CB748" t="str">
        <f>""</f>
        <v/>
      </c>
      <c r="CC748" t="str">
        <f>""</f>
        <v/>
      </c>
      <c r="CD748" t="str">
        <f>""</f>
        <v/>
      </c>
      <c r="CE748" t="str">
        <f>""</f>
        <v/>
      </c>
      <c r="CF748" t="str">
        <f>""</f>
        <v/>
      </c>
      <c r="CG748" t="str">
        <f>""</f>
        <v/>
      </c>
      <c r="CH748" t="str">
        <f>""</f>
        <v/>
      </c>
      <c r="CI748" t="str">
        <f>""</f>
        <v/>
      </c>
      <c r="CJ748" t="str">
        <f>""</f>
        <v/>
      </c>
      <c r="CK748" t="str">
        <f>""</f>
        <v/>
      </c>
      <c r="CL748" t="str">
        <f>""</f>
        <v/>
      </c>
      <c r="CM748" t="str">
        <f>""</f>
        <v/>
      </c>
      <c r="CN748" t="str">
        <f>""</f>
        <v/>
      </c>
      <c r="CO748" t="str">
        <f>""</f>
        <v/>
      </c>
      <c r="CP748" t="str">
        <f>""</f>
        <v/>
      </c>
      <c r="CQ748" t="str">
        <f>""</f>
        <v/>
      </c>
      <c r="CR748" t="str">
        <f>""</f>
        <v/>
      </c>
      <c r="CS748" t="str">
        <f>""</f>
        <v/>
      </c>
      <c r="CT748" t="str">
        <f>""</f>
        <v/>
      </c>
      <c r="CU748" t="str">
        <f>""</f>
        <v/>
      </c>
      <c r="CV748" t="str">
        <f>""</f>
        <v/>
      </c>
      <c r="CW748" t="str">
        <f>""</f>
        <v/>
      </c>
      <c r="CX748" t="str">
        <f>""</f>
        <v/>
      </c>
      <c r="CY748" t="str">
        <f>""</f>
        <v/>
      </c>
      <c r="CZ748" t="str">
        <f>""</f>
        <v/>
      </c>
      <c r="DA748" t="str">
        <f>""</f>
        <v/>
      </c>
      <c r="DB748" t="str">
        <f>""</f>
        <v/>
      </c>
      <c r="DC748" t="str">
        <f>""</f>
        <v/>
      </c>
      <c r="DD748" t="str">
        <f>""</f>
        <v/>
      </c>
      <c r="DE748" t="str">
        <f>""</f>
        <v/>
      </c>
      <c r="DF748" t="str">
        <f>""</f>
        <v/>
      </c>
      <c r="DG748" t="str">
        <f>""</f>
        <v/>
      </c>
      <c r="DH748" t="str">
        <f>""</f>
        <v/>
      </c>
      <c r="DI748" t="str">
        <f>""</f>
        <v/>
      </c>
      <c r="DJ748" t="str">
        <f>""</f>
        <v/>
      </c>
      <c r="DK748" t="str">
        <f>""</f>
        <v/>
      </c>
      <c r="DL748" t="str">
        <f>""</f>
        <v/>
      </c>
      <c r="DM748" t="str">
        <f>""</f>
        <v/>
      </c>
      <c r="DN748" t="str">
        <f>""</f>
        <v/>
      </c>
      <c r="DO748" t="str">
        <f>""</f>
        <v/>
      </c>
      <c r="DP748" t="str">
        <f>""</f>
        <v/>
      </c>
      <c r="DQ748" t="str">
        <f>""</f>
        <v/>
      </c>
      <c r="DR748" t="str">
        <f>""</f>
        <v/>
      </c>
      <c r="DS748" t="str">
        <f>""</f>
        <v/>
      </c>
      <c r="DT748" t="str">
        <f>""</f>
        <v/>
      </c>
      <c r="DU748" t="str">
        <f>""</f>
        <v/>
      </c>
    </row>
    <row r="749" spans="1:125">
      <c r="A749" t="str">
        <f>$A$306</f>
        <v xml:space="preserve">    Washington Prime Group Inc</v>
      </c>
      <c r="B749" t="str">
        <f>$B$306</f>
        <v>WPG US Equity</v>
      </c>
      <c r="C749" t="str">
        <f>$C$306</f>
        <v>RR147</v>
      </c>
      <c r="D749" t="str">
        <f>$D$306</f>
        <v>LT_DEBT_TO_TOT_ASSET</v>
      </c>
      <c r="E749" t="str">
        <f>$E$306</f>
        <v>动态</v>
      </c>
      <c r="F749" t="str">
        <f ca="1">BDH($B$306,$C$306,$B$417,$B$418,CONCATENATE("Per=",$B$415),"Dts=H","Dir=H",CONCATENATE("Points=",$B$416),"Sort=R","Days=A","Fill=B",CONCATENATE("FX=", $B$414) )</f>
        <v>#N/A Authorization</v>
      </c>
      <c r="BN749" t="str">
        <f>""</f>
        <v/>
      </c>
      <c r="BO749" t="str">
        <f>""</f>
        <v/>
      </c>
      <c r="BP749" t="str">
        <f>""</f>
        <v/>
      </c>
      <c r="BQ749" t="str">
        <f>""</f>
        <v/>
      </c>
      <c r="BR749" t="str">
        <f>""</f>
        <v/>
      </c>
      <c r="BS749" t="str">
        <f>""</f>
        <v/>
      </c>
      <c r="BT749" t="str">
        <f>""</f>
        <v/>
      </c>
      <c r="BU749" t="str">
        <f>""</f>
        <v/>
      </c>
      <c r="BV749" t="str">
        <f>""</f>
        <v/>
      </c>
      <c r="BW749" t="str">
        <f>""</f>
        <v/>
      </c>
      <c r="BX749" t="str">
        <f>""</f>
        <v/>
      </c>
      <c r="BY749" t="str">
        <f>""</f>
        <v/>
      </c>
      <c r="BZ749" t="str">
        <f>""</f>
        <v/>
      </c>
      <c r="CA749" t="str">
        <f>""</f>
        <v/>
      </c>
      <c r="CB749" t="str">
        <f>""</f>
        <v/>
      </c>
      <c r="CC749" t="str">
        <f>""</f>
        <v/>
      </c>
      <c r="CD749" t="str">
        <f>""</f>
        <v/>
      </c>
      <c r="CE749" t="str">
        <f>""</f>
        <v/>
      </c>
      <c r="CF749" t="str">
        <f>""</f>
        <v/>
      </c>
      <c r="CG749" t="str">
        <f>""</f>
        <v/>
      </c>
      <c r="CH749" t="str">
        <f>""</f>
        <v/>
      </c>
      <c r="CI749" t="str">
        <f>""</f>
        <v/>
      </c>
      <c r="CJ749" t="str">
        <f>""</f>
        <v/>
      </c>
      <c r="CK749" t="str">
        <f>""</f>
        <v/>
      </c>
      <c r="CL749" t="str">
        <f>""</f>
        <v/>
      </c>
      <c r="CM749" t="str">
        <f>""</f>
        <v/>
      </c>
      <c r="CN749" t="str">
        <f>""</f>
        <v/>
      </c>
      <c r="CO749" t="str">
        <f>""</f>
        <v/>
      </c>
      <c r="CP749" t="str">
        <f>""</f>
        <v/>
      </c>
      <c r="CQ749" t="str">
        <f>""</f>
        <v/>
      </c>
      <c r="CR749" t="str">
        <f>""</f>
        <v/>
      </c>
      <c r="CS749" t="str">
        <f>""</f>
        <v/>
      </c>
      <c r="CT749" t="str">
        <f>""</f>
        <v/>
      </c>
      <c r="CU749" t="str">
        <f>""</f>
        <v/>
      </c>
      <c r="CV749" t="str">
        <f>""</f>
        <v/>
      </c>
      <c r="CW749" t="str">
        <f>""</f>
        <v/>
      </c>
      <c r="CX749" t="str">
        <f>""</f>
        <v/>
      </c>
      <c r="CY749" t="str">
        <f>""</f>
        <v/>
      </c>
      <c r="CZ749" t="str">
        <f>""</f>
        <v/>
      </c>
      <c r="DA749" t="str">
        <f>""</f>
        <v/>
      </c>
      <c r="DB749" t="str">
        <f>""</f>
        <v/>
      </c>
      <c r="DC749" t="str">
        <f>""</f>
        <v/>
      </c>
      <c r="DD749" t="str">
        <f>""</f>
        <v/>
      </c>
      <c r="DE749" t="str">
        <f>""</f>
        <v/>
      </c>
      <c r="DF749" t="str">
        <f>""</f>
        <v/>
      </c>
      <c r="DG749" t="str">
        <f>""</f>
        <v/>
      </c>
      <c r="DH749" t="str">
        <f>""</f>
        <v/>
      </c>
      <c r="DI749" t="str">
        <f>""</f>
        <v/>
      </c>
      <c r="DJ749" t="str">
        <f>""</f>
        <v/>
      </c>
      <c r="DK749" t="str">
        <f>""</f>
        <v/>
      </c>
      <c r="DL749" t="str">
        <f>""</f>
        <v/>
      </c>
      <c r="DM749" t="str">
        <f>""</f>
        <v/>
      </c>
      <c r="DN749" t="str">
        <f>""</f>
        <v/>
      </c>
      <c r="DO749" t="str">
        <f>""</f>
        <v/>
      </c>
      <c r="DP749" t="str">
        <f>""</f>
        <v/>
      </c>
      <c r="DQ749" t="str">
        <f>""</f>
        <v/>
      </c>
      <c r="DR749" t="str">
        <f>""</f>
        <v/>
      </c>
      <c r="DS749" t="str">
        <f>""</f>
        <v/>
      </c>
      <c r="DT749" t="str">
        <f>""</f>
        <v/>
      </c>
      <c r="DU749" t="str">
        <f>""</f>
        <v/>
      </c>
    </row>
    <row r="750" spans="1:125">
      <c r="A750" t="str">
        <f>$A$307</f>
        <v xml:space="preserve">    Weingarten Realty Investors</v>
      </c>
      <c r="B750" t="str">
        <f>$B$307</f>
        <v>WRI US Equity</v>
      </c>
      <c r="C750" t="str">
        <f>$C$307</f>
        <v>RR147</v>
      </c>
      <c r="D750" t="str">
        <f>$D$307</f>
        <v>LT_DEBT_TO_TOT_ASSET</v>
      </c>
      <c r="E750" t="str">
        <f>$E$307</f>
        <v>动态</v>
      </c>
      <c r="F750" t="str">
        <f ca="1">BDH($B$307,$C$307,$B$417,$B$418,CONCATENATE("Per=",$B$415),"Dts=H","Dir=H",CONCATENATE("Points=",$B$416),"Sort=R","Days=A","Fill=B",CONCATENATE("FX=", $B$414) )</f>
        <v>#N/A Authorization</v>
      </c>
      <c r="BN750" t="str">
        <f>""</f>
        <v/>
      </c>
      <c r="BO750" t="str">
        <f>""</f>
        <v/>
      </c>
      <c r="BP750" t="str">
        <f>""</f>
        <v/>
      </c>
      <c r="BQ750" t="str">
        <f>""</f>
        <v/>
      </c>
      <c r="BR750" t="str">
        <f>""</f>
        <v/>
      </c>
      <c r="BS750" t="str">
        <f>""</f>
        <v/>
      </c>
      <c r="BT750" t="str">
        <f>""</f>
        <v/>
      </c>
      <c r="BU750" t="str">
        <f>""</f>
        <v/>
      </c>
      <c r="BV750" t="str">
        <f>""</f>
        <v/>
      </c>
      <c r="BW750" t="str">
        <f>""</f>
        <v/>
      </c>
      <c r="BX750" t="str">
        <f>""</f>
        <v/>
      </c>
      <c r="BY750" t="str">
        <f>""</f>
        <v/>
      </c>
      <c r="BZ750" t="str">
        <f>""</f>
        <v/>
      </c>
      <c r="CA750" t="str">
        <f>""</f>
        <v/>
      </c>
      <c r="CB750" t="str">
        <f>""</f>
        <v/>
      </c>
      <c r="CC750" t="str">
        <f>""</f>
        <v/>
      </c>
      <c r="CD750" t="str">
        <f>""</f>
        <v/>
      </c>
      <c r="CE750" t="str">
        <f>""</f>
        <v/>
      </c>
      <c r="CF750" t="str">
        <f>""</f>
        <v/>
      </c>
      <c r="CG750" t="str">
        <f>""</f>
        <v/>
      </c>
      <c r="CH750" t="str">
        <f>""</f>
        <v/>
      </c>
      <c r="CI750" t="str">
        <f>""</f>
        <v/>
      </c>
      <c r="CJ750" t="str">
        <f>""</f>
        <v/>
      </c>
      <c r="CK750" t="str">
        <f>""</f>
        <v/>
      </c>
      <c r="CL750" t="str">
        <f>""</f>
        <v/>
      </c>
      <c r="CM750" t="str">
        <f>""</f>
        <v/>
      </c>
      <c r="CN750" t="str">
        <f>""</f>
        <v/>
      </c>
      <c r="CO750" t="str">
        <f>""</f>
        <v/>
      </c>
      <c r="CP750" t="str">
        <f>""</f>
        <v/>
      </c>
      <c r="CQ750" t="str">
        <f>""</f>
        <v/>
      </c>
      <c r="CR750" t="str">
        <f>""</f>
        <v/>
      </c>
      <c r="CS750" t="str">
        <f>""</f>
        <v/>
      </c>
      <c r="CT750" t="str">
        <f>""</f>
        <v/>
      </c>
      <c r="CU750" t="str">
        <f>""</f>
        <v/>
      </c>
      <c r="CV750" t="str">
        <f>""</f>
        <v/>
      </c>
      <c r="CW750" t="str">
        <f>""</f>
        <v/>
      </c>
      <c r="CX750" t="str">
        <f>""</f>
        <v/>
      </c>
      <c r="CY750" t="str">
        <f>""</f>
        <v/>
      </c>
      <c r="CZ750" t="str">
        <f>""</f>
        <v/>
      </c>
      <c r="DA750" t="str">
        <f>""</f>
        <v/>
      </c>
      <c r="DB750" t="str">
        <f>""</f>
        <v/>
      </c>
      <c r="DC750" t="str">
        <f>""</f>
        <v/>
      </c>
      <c r="DD750" t="str">
        <f>""</f>
        <v/>
      </c>
      <c r="DE750" t="str">
        <f>""</f>
        <v/>
      </c>
      <c r="DF750" t="str">
        <f>""</f>
        <v/>
      </c>
      <c r="DG750" t="str">
        <f>""</f>
        <v/>
      </c>
      <c r="DH750" t="str">
        <f>""</f>
        <v/>
      </c>
      <c r="DI750" t="str">
        <f>""</f>
        <v/>
      </c>
      <c r="DJ750" t="str">
        <f>""</f>
        <v/>
      </c>
      <c r="DK750" t="str">
        <f>""</f>
        <v/>
      </c>
      <c r="DL750" t="str">
        <f>""</f>
        <v/>
      </c>
      <c r="DM750" t="str">
        <f>""</f>
        <v/>
      </c>
      <c r="DN750" t="str">
        <f>""</f>
        <v/>
      </c>
      <c r="DO750" t="str">
        <f>""</f>
        <v/>
      </c>
      <c r="DP750" t="str">
        <f>""</f>
        <v/>
      </c>
      <c r="DQ750" t="str">
        <f>""</f>
        <v/>
      </c>
      <c r="DR750" t="str">
        <f>""</f>
        <v/>
      </c>
      <c r="DS750" t="str">
        <f>""</f>
        <v/>
      </c>
      <c r="DT750" t="str">
        <f>""</f>
        <v/>
      </c>
      <c r="DU750" t="str">
        <f>""</f>
        <v/>
      </c>
    </row>
    <row r="751" spans="1:125">
      <c r="A751" t="str">
        <f>$A$309</f>
        <v xml:space="preserve">    Brixmor Property Group Inc</v>
      </c>
      <c r="B751" t="str">
        <f>$B$309</f>
        <v>BRX US Equity</v>
      </c>
      <c r="C751" t="str">
        <f>$C$309</f>
        <v>RR263</v>
      </c>
      <c r="D751" t="str">
        <f>$D$309</f>
        <v>DEBT_TO_MKT_CAP</v>
      </c>
      <c r="E751" t="str">
        <f>$E$309</f>
        <v>动态</v>
      </c>
      <c r="F751" t="str">
        <f ca="1">BDH($B$309,$C$309,$B$417,$B$418,CONCATENATE("Per=",$B$415),"Dts=H","Dir=H",CONCATENATE("Points=",$B$416),"Sort=R","Days=A","Fill=B",CONCATENATE("FX=", $B$414) )</f>
        <v>#N/A Authorization</v>
      </c>
      <c r="BN751" t="str">
        <f>""</f>
        <v/>
      </c>
      <c r="BO751" t="str">
        <f>""</f>
        <v/>
      </c>
      <c r="BP751" t="str">
        <f>""</f>
        <v/>
      </c>
      <c r="BQ751" t="str">
        <f>""</f>
        <v/>
      </c>
      <c r="BR751" t="str">
        <f>""</f>
        <v/>
      </c>
      <c r="BS751" t="str">
        <f>""</f>
        <v/>
      </c>
      <c r="BT751" t="str">
        <f>""</f>
        <v/>
      </c>
      <c r="BU751" t="str">
        <f>""</f>
        <v/>
      </c>
      <c r="BV751" t="str">
        <f>""</f>
        <v/>
      </c>
      <c r="BW751" t="str">
        <f>""</f>
        <v/>
      </c>
      <c r="BX751" t="str">
        <f>""</f>
        <v/>
      </c>
      <c r="BY751" t="str">
        <f>""</f>
        <v/>
      </c>
      <c r="BZ751" t="str">
        <f>""</f>
        <v/>
      </c>
      <c r="CA751" t="str">
        <f>""</f>
        <v/>
      </c>
      <c r="CB751" t="str">
        <f>""</f>
        <v/>
      </c>
      <c r="CC751" t="str">
        <f>""</f>
        <v/>
      </c>
      <c r="CD751" t="str">
        <f>""</f>
        <v/>
      </c>
      <c r="CE751" t="str">
        <f>""</f>
        <v/>
      </c>
      <c r="CF751" t="str">
        <f>""</f>
        <v/>
      </c>
      <c r="CG751" t="str">
        <f>""</f>
        <v/>
      </c>
      <c r="CH751" t="str">
        <f>""</f>
        <v/>
      </c>
      <c r="CI751" t="str">
        <f>""</f>
        <v/>
      </c>
      <c r="CJ751" t="str">
        <f>""</f>
        <v/>
      </c>
      <c r="CK751" t="str">
        <f>""</f>
        <v/>
      </c>
      <c r="CL751" t="str">
        <f>""</f>
        <v/>
      </c>
      <c r="CM751" t="str">
        <f>""</f>
        <v/>
      </c>
      <c r="CN751" t="str">
        <f>""</f>
        <v/>
      </c>
      <c r="CO751" t="str">
        <f>""</f>
        <v/>
      </c>
      <c r="CP751" t="str">
        <f>""</f>
        <v/>
      </c>
      <c r="CQ751" t="str">
        <f>""</f>
        <v/>
      </c>
      <c r="CR751" t="str">
        <f>""</f>
        <v/>
      </c>
      <c r="CS751" t="str">
        <f>""</f>
        <v/>
      </c>
      <c r="CT751" t="str">
        <f>""</f>
        <v/>
      </c>
      <c r="CU751" t="str">
        <f>""</f>
        <v/>
      </c>
      <c r="CV751" t="str">
        <f>""</f>
        <v/>
      </c>
      <c r="CW751" t="str">
        <f>""</f>
        <v/>
      </c>
      <c r="CX751" t="str">
        <f>""</f>
        <v/>
      </c>
      <c r="CY751" t="str">
        <f>""</f>
        <v/>
      </c>
      <c r="CZ751" t="str">
        <f>""</f>
        <v/>
      </c>
      <c r="DA751" t="str">
        <f>""</f>
        <v/>
      </c>
      <c r="DB751" t="str">
        <f>""</f>
        <v/>
      </c>
      <c r="DC751" t="str">
        <f>""</f>
        <v/>
      </c>
      <c r="DD751" t="str">
        <f>""</f>
        <v/>
      </c>
      <c r="DE751" t="str">
        <f>""</f>
        <v/>
      </c>
      <c r="DF751" t="str">
        <f>""</f>
        <v/>
      </c>
      <c r="DG751" t="str">
        <f>""</f>
        <v/>
      </c>
      <c r="DH751" t="str">
        <f>""</f>
        <v/>
      </c>
      <c r="DI751" t="str">
        <f>""</f>
        <v/>
      </c>
      <c r="DJ751" t="str">
        <f>""</f>
        <v/>
      </c>
      <c r="DK751" t="str">
        <f>""</f>
        <v/>
      </c>
      <c r="DL751" t="str">
        <f>""</f>
        <v/>
      </c>
      <c r="DM751" t="str">
        <f>""</f>
        <v/>
      </c>
      <c r="DN751" t="str">
        <f>""</f>
        <v/>
      </c>
      <c r="DO751" t="str">
        <f>""</f>
        <v/>
      </c>
      <c r="DP751" t="str">
        <f>""</f>
        <v/>
      </c>
      <c r="DQ751" t="str">
        <f>""</f>
        <v/>
      </c>
      <c r="DR751" t="str">
        <f>""</f>
        <v/>
      </c>
      <c r="DS751" t="str">
        <f>""</f>
        <v/>
      </c>
      <c r="DT751" t="str">
        <f>""</f>
        <v/>
      </c>
      <c r="DU751" t="str">
        <f>""</f>
        <v/>
      </c>
    </row>
    <row r="752" spans="1:125">
      <c r="A752" t="str">
        <f>$A$310</f>
        <v xml:space="preserve">    CBL &amp; Associates Properties In</v>
      </c>
      <c r="B752" t="str">
        <f>$B$310</f>
        <v>CBL US Equity</v>
      </c>
      <c r="C752" t="str">
        <f>$C$310</f>
        <v>RR263</v>
      </c>
      <c r="D752" t="str">
        <f>$D$310</f>
        <v>DEBT_TO_MKT_CAP</v>
      </c>
      <c r="E752" t="str">
        <f>$E$310</f>
        <v>动态</v>
      </c>
      <c r="F752" t="str">
        <f ca="1">BDH($B$310,$C$310,$B$417,$B$418,CONCATENATE("Per=",$B$415),"Dts=H","Dir=H",CONCATENATE("Points=",$B$416),"Sort=R","Days=A","Fill=B",CONCATENATE("FX=", $B$414) )</f>
        <v>#N/A Authorization</v>
      </c>
      <c r="BN752" t="str">
        <f>""</f>
        <v/>
      </c>
      <c r="BO752" t="str">
        <f>""</f>
        <v/>
      </c>
      <c r="BP752" t="str">
        <f>""</f>
        <v/>
      </c>
      <c r="BQ752" t="str">
        <f>""</f>
        <v/>
      </c>
      <c r="BR752" t="str">
        <f>""</f>
        <v/>
      </c>
      <c r="BS752" t="str">
        <f>""</f>
        <v/>
      </c>
      <c r="BT752" t="str">
        <f>""</f>
        <v/>
      </c>
      <c r="BU752" t="str">
        <f>""</f>
        <v/>
      </c>
      <c r="BV752" t="str">
        <f>""</f>
        <v/>
      </c>
      <c r="BW752" t="str">
        <f>""</f>
        <v/>
      </c>
      <c r="BX752" t="str">
        <f>""</f>
        <v/>
      </c>
      <c r="BY752" t="str">
        <f>""</f>
        <v/>
      </c>
      <c r="BZ752" t="str">
        <f>""</f>
        <v/>
      </c>
      <c r="CA752" t="str">
        <f>""</f>
        <v/>
      </c>
      <c r="CB752" t="str">
        <f>""</f>
        <v/>
      </c>
      <c r="CC752" t="str">
        <f>""</f>
        <v/>
      </c>
      <c r="CD752" t="str">
        <f>""</f>
        <v/>
      </c>
      <c r="CE752" t="str">
        <f>""</f>
        <v/>
      </c>
      <c r="CF752" t="str">
        <f>""</f>
        <v/>
      </c>
      <c r="CG752" t="str">
        <f>""</f>
        <v/>
      </c>
      <c r="CH752" t="str">
        <f>""</f>
        <v/>
      </c>
      <c r="CI752" t="str">
        <f>""</f>
        <v/>
      </c>
      <c r="CJ752" t="str">
        <f>""</f>
        <v/>
      </c>
      <c r="CK752" t="str">
        <f>""</f>
        <v/>
      </c>
      <c r="CL752" t="str">
        <f>""</f>
        <v/>
      </c>
      <c r="CM752" t="str">
        <f>""</f>
        <v/>
      </c>
      <c r="CN752" t="str">
        <f>""</f>
        <v/>
      </c>
      <c r="CO752" t="str">
        <f>""</f>
        <v/>
      </c>
      <c r="CP752" t="str">
        <f>""</f>
        <v/>
      </c>
      <c r="CQ752" t="str">
        <f>""</f>
        <v/>
      </c>
      <c r="CR752" t="str">
        <f>""</f>
        <v/>
      </c>
      <c r="CS752" t="str">
        <f>""</f>
        <v/>
      </c>
      <c r="CT752" t="str">
        <f>""</f>
        <v/>
      </c>
      <c r="CU752" t="str">
        <f>""</f>
        <v/>
      </c>
      <c r="CV752" t="str">
        <f>""</f>
        <v/>
      </c>
      <c r="CW752" t="str">
        <f>""</f>
        <v/>
      </c>
      <c r="CX752" t="str">
        <f>""</f>
        <v/>
      </c>
      <c r="CY752" t="str">
        <f>""</f>
        <v/>
      </c>
      <c r="CZ752" t="str">
        <f>""</f>
        <v/>
      </c>
      <c r="DA752" t="str">
        <f>""</f>
        <v/>
      </c>
      <c r="DB752" t="str">
        <f>""</f>
        <v/>
      </c>
      <c r="DC752" t="str">
        <f>""</f>
        <v/>
      </c>
      <c r="DD752" t="str">
        <f>""</f>
        <v/>
      </c>
      <c r="DE752" t="str">
        <f>""</f>
        <v/>
      </c>
      <c r="DF752" t="str">
        <f>""</f>
        <v/>
      </c>
      <c r="DG752" t="str">
        <f>""</f>
        <v/>
      </c>
      <c r="DH752" t="str">
        <f>""</f>
        <v/>
      </c>
      <c r="DI752" t="str">
        <f>""</f>
        <v/>
      </c>
      <c r="DJ752" t="str">
        <f>""</f>
        <v/>
      </c>
      <c r="DK752" t="str">
        <f>""</f>
        <v/>
      </c>
      <c r="DL752" t="str">
        <f>""</f>
        <v/>
      </c>
      <c r="DM752" t="str">
        <f>""</f>
        <v/>
      </c>
      <c r="DN752" t="str">
        <f>""</f>
        <v/>
      </c>
      <c r="DO752" t="str">
        <f>""</f>
        <v/>
      </c>
      <c r="DP752" t="str">
        <f>""</f>
        <v/>
      </c>
      <c r="DQ752" t="str">
        <f>""</f>
        <v/>
      </c>
      <c r="DR752" t="str">
        <f>""</f>
        <v/>
      </c>
      <c r="DS752" t="str">
        <f>""</f>
        <v/>
      </c>
      <c r="DT752" t="str">
        <f>""</f>
        <v/>
      </c>
      <c r="DU752" t="str">
        <f>""</f>
        <v/>
      </c>
    </row>
    <row r="753" spans="1:125">
      <c r="A753" t="str">
        <f>$A$311</f>
        <v xml:space="preserve">    DDR Corp</v>
      </c>
      <c r="B753" t="str">
        <f>$B$311</f>
        <v>DDR US Equity</v>
      </c>
      <c r="C753" t="str">
        <f>$C$311</f>
        <v>RR263</v>
      </c>
      <c r="D753" t="str">
        <f>$D$311</f>
        <v>DEBT_TO_MKT_CAP</v>
      </c>
      <c r="E753" t="str">
        <f>$E$311</f>
        <v>动态</v>
      </c>
      <c r="F753" t="str">
        <f ca="1">BDH($B$311,$C$311,$B$417,$B$418,CONCATENATE("Per=",$B$415),"Dts=H","Dir=H",CONCATENATE("Points=",$B$416),"Sort=R","Days=A","Fill=B",CONCATENATE("FX=", $B$414) )</f>
        <v>#N/A Authorization</v>
      </c>
      <c r="BN753" t="str">
        <f>""</f>
        <v/>
      </c>
      <c r="BO753" t="str">
        <f>""</f>
        <v/>
      </c>
      <c r="BP753" t="str">
        <f>""</f>
        <v/>
      </c>
      <c r="BQ753" t="str">
        <f>""</f>
        <v/>
      </c>
      <c r="BR753" t="str">
        <f>""</f>
        <v/>
      </c>
      <c r="BS753" t="str">
        <f>""</f>
        <v/>
      </c>
      <c r="BT753" t="str">
        <f>""</f>
        <v/>
      </c>
      <c r="BU753" t="str">
        <f>""</f>
        <v/>
      </c>
      <c r="BV753" t="str">
        <f>""</f>
        <v/>
      </c>
      <c r="BW753" t="str">
        <f>""</f>
        <v/>
      </c>
      <c r="BX753" t="str">
        <f>""</f>
        <v/>
      </c>
      <c r="BY753" t="str">
        <f>""</f>
        <v/>
      </c>
      <c r="BZ753" t="str">
        <f>""</f>
        <v/>
      </c>
      <c r="CA753" t="str">
        <f>""</f>
        <v/>
      </c>
      <c r="CB753" t="str">
        <f>""</f>
        <v/>
      </c>
      <c r="CC753" t="str">
        <f>""</f>
        <v/>
      </c>
      <c r="CD753" t="str">
        <f>""</f>
        <v/>
      </c>
      <c r="CE753" t="str">
        <f>""</f>
        <v/>
      </c>
      <c r="CF753" t="str">
        <f>""</f>
        <v/>
      </c>
      <c r="CG753" t="str">
        <f>""</f>
        <v/>
      </c>
      <c r="CH753" t="str">
        <f>""</f>
        <v/>
      </c>
      <c r="CI753" t="str">
        <f>""</f>
        <v/>
      </c>
      <c r="CJ753" t="str">
        <f>""</f>
        <v/>
      </c>
      <c r="CK753" t="str">
        <f>""</f>
        <v/>
      </c>
      <c r="CL753" t="str">
        <f>""</f>
        <v/>
      </c>
      <c r="CM753" t="str">
        <f>""</f>
        <v/>
      </c>
      <c r="CN753" t="str">
        <f>""</f>
        <v/>
      </c>
      <c r="CO753" t="str">
        <f>""</f>
        <v/>
      </c>
      <c r="CP753" t="str">
        <f>""</f>
        <v/>
      </c>
      <c r="CQ753" t="str">
        <f>""</f>
        <v/>
      </c>
      <c r="CR753" t="str">
        <f>""</f>
        <v/>
      </c>
      <c r="CS753" t="str">
        <f>""</f>
        <v/>
      </c>
      <c r="CT753" t="str">
        <f>""</f>
        <v/>
      </c>
      <c r="CU753" t="str">
        <f>""</f>
        <v/>
      </c>
      <c r="CV753" t="str">
        <f>""</f>
        <v/>
      </c>
      <c r="CW753" t="str">
        <f>""</f>
        <v/>
      </c>
      <c r="CX753" t="str">
        <f>""</f>
        <v/>
      </c>
      <c r="CY753" t="str">
        <f>""</f>
        <v/>
      </c>
      <c r="CZ753" t="str">
        <f>""</f>
        <v/>
      </c>
      <c r="DA753" t="str">
        <f>""</f>
        <v/>
      </c>
      <c r="DB753" t="str">
        <f>""</f>
        <v/>
      </c>
      <c r="DC753" t="str">
        <f>""</f>
        <v/>
      </c>
      <c r="DD753" t="str">
        <f>""</f>
        <v/>
      </c>
      <c r="DE753" t="str">
        <f>""</f>
        <v/>
      </c>
      <c r="DF753" t="str">
        <f>""</f>
        <v/>
      </c>
      <c r="DG753" t="str">
        <f>""</f>
        <v/>
      </c>
      <c r="DH753" t="str">
        <f>""</f>
        <v/>
      </c>
      <c r="DI753" t="str">
        <f>""</f>
        <v/>
      </c>
      <c r="DJ753" t="str">
        <f>""</f>
        <v/>
      </c>
      <c r="DK753" t="str">
        <f>""</f>
        <v/>
      </c>
      <c r="DL753" t="str">
        <f>""</f>
        <v/>
      </c>
      <c r="DM753" t="str">
        <f>""</f>
        <v/>
      </c>
      <c r="DN753" t="str">
        <f>""</f>
        <v/>
      </c>
      <c r="DO753" t="str">
        <f>""</f>
        <v/>
      </c>
      <c r="DP753" t="str">
        <f>""</f>
        <v/>
      </c>
      <c r="DQ753" t="str">
        <f>""</f>
        <v/>
      </c>
      <c r="DR753" t="str">
        <f>""</f>
        <v/>
      </c>
      <c r="DS753" t="str">
        <f>""</f>
        <v/>
      </c>
      <c r="DT753" t="str">
        <f>""</f>
        <v/>
      </c>
      <c r="DU753" t="str">
        <f>""</f>
        <v/>
      </c>
    </row>
    <row r="754" spans="1:125">
      <c r="A754" t="str">
        <f>$A$312</f>
        <v xml:space="preserve">    Federal Realty Investment Trus</v>
      </c>
      <c r="B754" t="str">
        <f>$B$312</f>
        <v>FRT US Equity</v>
      </c>
      <c r="C754" t="str">
        <f>$C$312</f>
        <v>RR263</v>
      </c>
      <c r="D754" t="str">
        <f>$D$312</f>
        <v>DEBT_TO_MKT_CAP</v>
      </c>
      <c r="E754" t="str">
        <f>$E$312</f>
        <v>动态</v>
      </c>
      <c r="F754" t="str">
        <f ca="1">BDH($B$312,$C$312,$B$417,$B$418,CONCATENATE("Per=",$B$415),"Dts=H","Dir=H",CONCATENATE("Points=",$B$416),"Sort=R","Days=A","Fill=B",CONCATENATE("FX=", $B$414) )</f>
        <v>#N/A Authorization</v>
      </c>
      <c r="BN754" t="str">
        <f>""</f>
        <v/>
      </c>
      <c r="BO754" t="str">
        <f>""</f>
        <v/>
      </c>
      <c r="BP754" t="str">
        <f>""</f>
        <v/>
      </c>
      <c r="BQ754" t="str">
        <f>""</f>
        <v/>
      </c>
      <c r="BR754" t="str">
        <f>""</f>
        <v/>
      </c>
      <c r="BS754" t="str">
        <f>""</f>
        <v/>
      </c>
      <c r="BT754" t="str">
        <f>""</f>
        <v/>
      </c>
      <c r="BU754" t="str">
        <f>""</f>
        <v/>
      </c>
      <c r="BV754" t="str">
        <f>""</f>
        <v/>
      </c>
      <c r="BW754" t="str">
        <f>""</f>
        <v/>
      </c>
      <c r="BX754" t="str">
        <f>""</f>
        <v/>
      </c>
      <c r="BY754" t="str">
        <f>""</f>
        <v/>
      </c>
      <c r="BZ754" t="str">
        <f>""</f>
        <v/>
      </c>
      <c r="CA754" t="str">
        <f>""</f>
        <v/>
      </c>
      <c r="CB754" t="str">
        <f>""</f>
        <v/>
      </c>
      <c r="CC754" t="str">
        <f>""</f>
        <v/>
      </c>
      <c r="CD754" t="str">
        <f>""</f>
        <v/>
      </c>
      <c r="CE754" t="str">
        <f>""</f>
        <v/>
      </c>
      <c r="CF754" t="str">
        <f>""</f>
        <v/>
      </c>
      <c r="CG754" t="str">
        <f>""</f>
        <v/>
      </c>
      <c r="CH754" t="str">
        <f>""</f>
        <v/>
      </c>
      <c r="CI754" t="str">
        <f>""</f>
        <v/>
      </c>
      <c r="CJ754" t="str">
        <f>""</f>
        <v/>
      </c>
      <c r="CK754" t="str">
        <f>""</f>
        <v/>
      </c>
      <c r="CL754" t="str">
        <f>""</f>
        <v/>
      </c>
      <c r="CM754" t="str">
        <f>""</f>
        <v/>
      </c>
      <c r="CN754" t="str">
        <f>""</f>
        <v/>
      </c>
      <c r="CO754" t="str">
        <f>""</f>
        <v/>
      </c>
      <c r="CP754" t="str">
        <f>""</f>
        <v/>
      </c>
      <c r="CQ754" t="str">
        <f>""</f>
        <v/>
      </c>
      <c r="CR754" t="str">
        <f>""</f>
        <v/>
      </c>
      <c r="CS754" t="str">
        <f>""</f>
        <v/>
      </c>
      <c r="CT754" t="str">
        <f>""</f>
        <v/>
      </c>
      <c r="CU754" t="str">
        <f>""</f>
        <v/>
      </c>
      <c r="CV754" t="str">
        <f>""</f>
        <v/>
      </c>
      <c r="CW754" t="str">
        <f>""</f>
        <v/>
      </c>
      <c r="CX754" t="str">
        <f>""</f>
        <v/>
      </c>
      <c r="CY754" t="str">
        <f>""</f>
        <v/>
      </c>
      <c r="CZ754" t="str">
        <f>""</f>
        <v/>
      </c>
      <c r="DA754" t="str">
        <f>""</f>
        <v/>
      </c>
      <c r="DB754" t="str">
        <f>""</f>
        <v/>
      </c>
      <c r="DC754" t="str">
        <f>""</f>
        <v/>
      </c>
      <c r="DD754" t="str">
        <f>""</f>
        <v/>
      </c>
      <c r="DE754" t="str">
        <f>""</f>
        <v/>
      </c>
      <c r="DF754" t="str">
        <f>""</f>
        <v/>
      </c>
      <c r="DG754" t="str">
        <f>""</f>
        <v/>
      </c>
      <c r="DH754" t="str">
        <f>""</f>
        <v/>
      </c>
      <c r="DI754" t="str">
        <f>""</f>
        <v/>
      </c>
      <c r="DJ754" t="str">
        <f>""</f>
        <v/>
      </c>
      <c r="DK754" t="str">
        <f>""</f>
        <v/>
      </c>
      <c r="DL754" t="str">
        <f>""</f>
        <v/>
      </c>
      <c r="DM754" t="str">
        <f>""</f>
        <v/>
      </c>
      <c r="DN754" t="str">
        <f>""</f>
        <v/>
      </c>
      <c r="DO754" t="str">
        <f>""</f>
        <v/>
      </c>
      <c r="DP754" t="str">
        <f>""</f>
        <v/>
      </c>
      <c r="DQ754" t="str">
        <f>""</f>
        <v/>
      </c>
      <c r="DR754" t="str">
        <f>""</f>
        <v/>
      </c>
      <c r="DS754" t="str">
        <f>""</f>
        <v/>
      </c>
      <c r="DT754" t="str">
        <f>""</f>
        <v/>
      </c>
      <c r="DU754" t="str">
        <f>""</f>
        <v/>
      </c>
    </row>
    <row r="755" spans="1:125">
      <c r="A755" t="str">
        <f>$A$313</f>
        <v xml:space="preserve">    Kimco Realty Corp</v>
      </c>
      <c r="B755" t="str">
        <f>$B$313</f>
        <v>KIM US Equity</v>
      </c>
      <c r="C755" t="str">
        <f>$C$313</f>
        <v>RR263</v>
      </c>
      <c r="D755" t="str">
        <f>$D$313</f>
        <v>DEBT_TO_MKT_CAP</v>
      </c>
      <c r="E755" t="str">
        <f>$E$313</f>
        <v>动态</v>
      </c>
      <c r="F755" t="str">
        <f ca="1">BDH($B$313,$C$313,$B$417,$B$418,CONCATENATE("Per=",$B$415),"Dts=H","Dir=H",CONCATENATE("Points=",$B$416),"Sort=R","Days=A","Fill=B",CONCATENATE("FX=", $B$414) )</f>
        <v>#N/A Authorization</v>
      </c>
      <c r="BN755" t="str">
        <f>""</f>
        <v/>
      </c>
      <c r="BO755" t="str">
        <f>""</f>
        <v/>
      </c>
      <c r="BP755" t="str">
        <f>""</f>
        <v/>
      </c>
      <c r="BQ755" t="str">
        <f>""</f>
        <v/>
      </c>
      <c r="BR755" t="str">
        <f>""</f>
        <v/>
      </c>
      <c r="BS755" t="str">
        <f>""</f>
        <v/>
      </c>
      <c r="BT755" t="str">
        <f>""</f>
        <v/>
      </c>
      <c r="BU755" t="str">
        <f>""</f>
        <v/>
      </c>
      <c r="BV755" t="str">
        <f>""</f>
        <v/>
      </c>
      <c r="BW755" t="str">
        <f>""</f>
        <v/>
      </c>
      <c r="BX755" t="str">
        <f>""</f>
        <v/>
      </c>
      <c r="BY755" t="str">
        <f>""</f>
        <v/>
      </c>
      <c r="BZ755" t="str">
        <f>""</f>
        <v/>
      </c>
      <c r="CA755" t="str">
        <f>""</f>
        <v/>
      </c>
      <c r="CB755" t="str">
        <f>""</f>
        <v/>
      </c>
      <c r="CC755" t="str">
        <f>""</f>
        <v/>
      </c>
      <c r="CD755" t="str">
        <f>""</f>
        <v/>
      </c>
      <c r="CE755" t="str">
        <f>""</f>
        <v/>
      </c>
      <c r="CF755" t="str">
        <f>""</f>
        <v/>
      </c>
      <c r="CG755" t="str">
        <f>""</f>
        <v/>
      </c>
      <c r="CH755" t="str">
        <f>""</f>
        <v/>
      </c>
      <c r="CI755" t="str">
        <f>""</f>
        <v/>
      </c>
      <c r="CJ755" t="str">
        <f>""</f>
        <v/>
      </c>
      <c r="CK755" t="str">
        <f>""</f>
        <v/>
      </c>
      <c r="CL755" t="str">
        <f>""</f>
        <v/>
      </c>
      <c r="CM755" t="str">
        <f>""</f>
        <v/>
      </c>
      <c r="CN755" t="str">
        <f>""</f>
        <v/>
      </c>
      <c r="CO755" t="str">
        <f>""</f>
        <v/>
      </c>
      <c r="CP755" t="str">
        <f>""</f>
        <v/>
      </c>
      <c r="CQ755" t="str">
        <f>""</f>
        <v/>
      </c>
      <c r="CR755" t="str">
        <f>""</f>
        <v/>
      </c>
      <c r="CS755" t="str">
        <f>""</f>
        <v/>
      </c>
      <c r="CT755" t="str">
        <f>""</f>
        <v/>
      </c>
      <c r="CU755" t="str">
        <f>""</f>
        <v/>
      </c>
      <c r="CV755" t="str">
        <f>""</f>
        <v/>
      </c>
      <c r="CW755" t="str">
        <f>""</f>
        <v/>
      </c>
      <c r="CX755" t="str">
        <f>""</f>
        <v/>
      </c>
      <c r="CY755" t="str">
        <f>""</f>
        <v/>
      </c>
      <c r="CZ755" t="str">
        <f>""</f>
        <v/>
      </c>
      <c r="DA755" t="str">
        <f>""</f>
        <v/>
      </c>
      <c r="DB755" t="str">
        <f>""</f>
        <v/>
      </c>
      <c r="DC755" t="str">
        <f>""</f>
        <v/>
      </c>
      <c r="DD755" t="str">
        <f>""</f>
        <v/>
      </c>
      <c r="DE755" t="str">
        <f>""</f>
        <v/>
      </c>
      <c r="DF755" t="str">
        <f>""</f>
        <v/>
      </c>
      <c r="DG755" t="str">
        <f>""</f>
        <v/>
      </c>
      <c r="DH755" t="str">
        <f>""</f>
        <v/>
      </c>
      <c r="DI755" t="str">
        <f>""</f>
        <v/>
      </c>
      <c r="DJ755" t="str">
        <f>""</f>
        <v/>
      </c>
      <c r="DK755" t="str">
        <f>""</f>
        <v/>
      </c>
      <c r="DL755" t="str">
        <f>""</f>
        <v/>
      </c>
      <c r="DM755" t="str">
        <f>""</f>
        <v/>
      </c>
      <c r="DN755" t="str">
        <f>""</f>
        <v/>
      </c>
      <c r="DO755" t="str">
        <f>""</f>
        <v/>
      </c>
      <c r="DP755" t="str">
        <f>""</f>
        <v/>
      </c>
      <c r="DQ755" t="str">
        <f>""</f>
        <v/>
      </c>
      <c r="DR755" t="str">
        <f>""</f>
        <v/>
      </c>
      <c r="DS755" t="str">
        <f>""</f>
        <v/>
      </c>
      <c r="DT755" t="str">
        <f>""</f>
        <v/>
      </c>
      <c r="DU755" t="str">
        <f>""</f>
        <v/>
      </c>
    </row>
    <row r="756" spans="1:125">
      <c r="A756" t="str">
        <f>$A$314</f>
        <v xml:space="preserve">    National Retail Properties Inc</v>
      </c>
      <c r="B756" t="str">
        <f>$B$314</f>
        <v>NNN US Equity</v>
      </c>
      <c r="C756" t="str">
        <f>$C$314</f>
        <v>RR263</v>
      </c>
      <c r="D756" t="str">
        <f>$D$314</f>
        <v>DEBT_TO_MKT_CAP</v>
      </c>
      <c r="E756" t="str">
        <f>$E$314</f>
        <v>动态</v>
      </c>
      <c r="F756" t="str">
        <f ca="1">BDH($B$314,$C$314,$B$417,$B$418,CONCATENATE("Per=",$B$415),"Dts=H","Dir=H",CONCATENATE("Points=",$B$416),"Sort=R","Days=A","Fill=B",CONCATENATE("FX=", $B$414) )</f>
        <v>#N/A Authorization</v>
      </c>
      <c r="BN756" t="str">
        <f>""</f>
        <v/>
      </c>
      <c r="BO756" t="str">
        <f>""</f>
        <v/>
      </c>
      <c r="BP756" t="str">
        <f>""</f>
        <v/>
      </c>
      <c r="BQ756" t="str">
        <f>""</f>
        <v/>
      </c>
      <c r="BR756" t="str">
        <f>""</f>
        <v/>
      </c>
      <c r="BS756" t="str">
        <f>""</f>
        <v/>
      </c>
      <c r="BT756" t="str">
        <f>""</f>
        <v/>
      </c>
      <c r="BU756" t="str">
        <f>""</f>
        <v/>
      </c>
      <c r="BV756" t="str">
        <f>""</f>
        <v/>
      </c>
      <c r="BW756" t="str">
        <f>""</f>
        <v/>
      </c>
      <c r="BX756" t="str">
        <f>""</f>
        <v/>
      </c>
      <c r="BY756" t="str">
        <f>""</f>
        <v/>
      </c>
      <c r="BZ756" t="str">
        <f>""</f>
        <v/>
      </c>
      <c r="CA756" t="str">
        <f>""</f>
        <v/>
      </c>
      <c r="CB756" t="str">
        <f>""</f>
        <v/>
      </c>
      <c r="CC756" t="str">
        <f>""</f>
        <v/>
      </c>
      <c r="CD756" t="str">
        <f>""</f>
        <v/>
      </c>
      <c r="CE756" t="str">
        <f>""</f>
        <v/>
      </c>
      <c r="CF756" t="str">
        <f>""</f>
        <v/>
      </c>
      <c r="CG756" t="str">
        <f>""</f>
        <v/>
      </c>
      <c r="CH756" t="str">
        <f>""</f>
        <v/>
      </c>
      <c r="CI756" t="str">
        <f>""</f>
        <v/>
      </c>
      <c r="CJ756" t="str">
        <f>""</f>
        <v/>
      </c>
      <c r="CK756" t="str">
        <f>""</f>
        <v/>
      </c>
      <c r="CL756" t="str">
        <f>""</f>
        <v/>
      </c>
      <c r="CM756" t="str">
        <f>""</f>
        <v/>
      </c>
      <c r="CN756" t="str">
        <f>""</f>
        <v/>
      </c>
      <c r="CO756" t="str">
        <f>""</f>
        <v/>
      </c>
      <c r="CP756" t="str">
        <f>""</f>
        <v/>
      </c>
      <c r="CQ756" t="str">
        <f>""</f>
        <v/>
      </c>
      <c r="CR756" t="str">
        <f>""</f>
        <v/>
      </c>
      <c r="CS756" t="str">
        <f>""</f>
        <v/>
      </c>
      <c r="CT756" t="str">
        <f>""</f>
        <v/>
      </c>
      <c r="CU756" t="str">
        <f>""</f>
        <v/>
      </c>
      <c r="CV756" t="str">
        <f>""</f>
        <v/>
      </c>
      <c r="CW756" t="str">
        <f>""</f>
        <v/>
      </c>
      <c r="CX756" t="str">
        <f>""</f>
        <v/>
      </c>
      <c r="CY756" t="str">
        <f>""</f>
        <v/>
      </c>
      <c r="CZ756" t="str">
        <f>""</f>
        <v/>
      </c>
      <c r="DA756" t="str">
        <f>""</f>
        <v/>
      </c>
      <c r="DB756" t="str">
        <f>""</f>
        <v/>
      </c>
      <c r="DC756" t="str">
        <f>""</f>
        <v/>
      </c>
      <c r="DD756" t="str">
        <f>""</f>
        <v/>
      </c>
      <c r="DE756" t="str">
        <f>""</f>
        <v/>
      </c>
      <c r="DF756" t="str">
        <f>""</f>
        <v/>
      </c>
      <c r="DG756" t="str">
        <f>""</f>
        <v/>
      </c>
      <c r="DH756" t="str">
        <f>""</f>
        <v/>
      </c>
      <c r="DI756" t="str">
        <f>""</f>
        <v/>
      </c>
      <c r="DJ756" t="str">
        <f>""</f>
        <v/>
      </c>
      <c r="DK756" t="str">
        <f>""</f>
        <v/>
      </c>
      <c r="DL756" t="str">
        <f>""</f>
        <v/>
      </c>
      <c r="DM756" t="str">
        <f>""</f>
        <v/>
      </c>
      <c r="DN756" t="str">
        <f>""</f>
        <v/>
      </c>
      <c r="DO756" t="str">
        <f>""</f>
        <v/>
      </c>
      <c r="DP756" t="str">
        <f>""</f>
        <v/>
      </c>
      <c r="DQ756" t="str">
        <f>""</f>
        <v/>
      </c>
      <c r="DR756" t="str">
        <f>""</f>
        <v/>
      </c>
      <c r="DS756" t="str">
        <f>""</f>
        <v/>
      </c>
      <c r="DT756" t="str">
        <f>""</f>
        <v/>
      </c>
      <c r="DU756" t="str">
        <f>""</f>
        <v/>
      </c>
    </row>
    <row r="757" spans="1:125">
      <c r="A757" t="str">
        <f>$A$315</f>
        <v xml:space="preserve">    Realty Income Corp</v>
      </c>
      <c r="B757" t="str">
        <f>$B$315</f>
        <v>O US Equity</v>
      </c>
      <c r="C757" t="str">
        <f>$C$315</f>
        <v>RR263</v>
      </c>
      <c r="D757" t="str">
        <f>$D$315</f>
        <v>DEBT_TO_MKT_CAP</v>
      </c>
      <c r="E757" t="str">
        <f>$E$315</f>
        <v>动态</v>
      </c>
      <c r="F757" t="str">
        <f ca="1">BDH($B$315,$C$315,$B$417,$B$418,CONCATENATE("Per=",$B$415),"Dts=H","Dir=H",CONCATENATE("Points=",$B$416),"Sort=R","Days=A","Fill=B",CONCATENATE("FX=", $B$414) )</f>
        <v>#N/A Authorization</v>
      </c>
      <c r="BN757" t="str">
        <f>""</f>
        <v/>
      </c>
      <c r="BO757" t="str">
        <f>""</f>
        <v/>
      </c>
      <c r="BP757" t="str">
        <f>""</f>
        <v/>
      </c>
      <c r="BQ757" t="str">
        <f>""</f>
        <v/>
      </c>
      <c r="BR757" t="str">
        <f>""</f>
        <v/>
      </c>
      <c r="BS757" t="str">
        <f>""</f>
        <v/>
      </c>
      <c r="BT757" t="str">
        <f>""</f>
        <v/>
      </c>
      <c r="BU757" t="str">
        <f>""</f>
        <v/>
      </c>
      <c r="BV757" t="str">
        <f>""</f>
        <v/>
      </c>
      <c r="BW757" t="str">
        <f>""</f>
        <v/>
      </c>
      <c r="BX757" t="str">
        <f>""</f>
        <v/>
      </c>
      <c r="BY757" t="str">
        <f>""</f>
        <v/>
      </c>
      <c r="BZ757" t="str">
        <f>""</f>
        <v/>
      </c>
      <c r="CA757" t="str">
        <f>""</f>
        <v/>
      </c>
      <c r="CB757" t="str">
        <f>""</f>
        <v/>
      </c>
      <c r="CC757" t="str">
        <f>""</f>
        <v/>
      </c>
      <c r="CD757" t="str">
        <f>""</f>
        <v/>
      </c>
      <c r="CE757" t="str">
        <f>""</f>
        <v/>
      </c>
      <c r="CF757" t="str">
        <f>""</f>
        <v/>
      </c>
      <c r="CG757" t="str">
        <f>""</f>
        <v/>
      </c>
      <c r="CH757" t="str">
        <f>""</f>
        <v/>
      </c>
      <c r="CI757" t="str">
        <f>""</f>
        <v/>
      </c>
      <c r="CJ757" t="str">
        <f>""</f>
        <v/>
      </c>
      <c r="CK757" t="str">
        <f>""</f>
        <v/>
      </c>
      <c r="CL757" t="str">
        <f>""</f>
        <v/>
      </c>
      <c r="CM757" t="str">
        <f>""</f>
        <v/>
      </c>
      <c r="CN757" t="str">
        <f>""</f>
        <v/>
      </c>
      <c r="CO757" t="str">
        <f>""</f>
        <v/>
      </c>
      <c r="CP757" t="str">
        <f>""</f>
        <v/>
      </c>
      <c r="CQ757" t="str">
        <f>""</f>
        <v/>
      </c>
      <c r="CR757" t="str">
        <f>""</f>
        <v/>
      </c>
      <c r="CS757" t="str">
        <f>""</f>
        <v/>
      </c>
      <c r="CT757" t="str">
        <f>""</f>
        <v/>
      </c>
      <c r="CU757" t="str">
        <f>""</f>
        <v/>
      </c>
      <c r="CV757" t="str">
        <f>""</f>
        <v/>
      </c>
      <c r="CW757" t="str">
        <f>""</f>
        <v/>
      </c>
      <c r="CX757" t="str">
        <f>""</f>
        <v/>
      </c>
      <c r="CY757" t="str">
        <f>""</f>
        <v/>
      </c>
      <c r="CZ757" t="str">
        <f>""</f>
        <v/>
      </c>
      <c r="DA757" t="str">
        <f>""</f>
        <v/>
      </c>
      <c r="DB757" t="str">
        <f>""</f>
        <v/>
      </c>
      <c r="DC757" t="str">
        <f>""</f>
        <v/>
      </c>
      <c r="DD757" t="str">
        <f>""</f>
        <v/>
      </c>
      <c r="DE757" t="str">
        <f>""</f>
        <v/>
      </c>
      <c r="DF757" t="str">
        <f>""</f>
        <v/>
      </c>
      <c r="DG757" t="str">
        <f>""</f>
        <v/>
      </c>
      <c r="DH757" t="str">
        <f>""</f>
        <v/>
      </c>
      <c r="DI757" t="str">
        <f>""</f>
        <v/>
      </c>
      <c r="DJ757" t="str">
        <f>""</f>
        <v/>
      </c>
      <c r="DK757" t="str">
        <f>""</f>
        <v/>
      </c>
      <c r="DL757" t="str">
        <f>""</f>
        <v/>
      </c>
      <c r="DM757" t="str">
        <f>""</f>
        <v/>
      </c>
      <c r="DN757" t="str">
        <f>""</f>
        <v/>
      </c>
      <c r="DO757" t="str">
        <f>""</f>
        <v/>
      </c>
      <c r="DP757" t="str">
        <f>""</f>
        <v/>
      </c>
      <c r="DQ757" t="str">
        <f>""</f>
        <v/>
      </c>
      <c r="DR757" t="str">
        <f>""</f>
        <v/>
      </c>
      <c r="DS757" t="str">
        <f>""</f>
        <v/>
      </c>
      <c r="DT757" t="str">
        <f>""</f>
        <v/>
      </c>
      <c r="DU757" t="str">
        <f>""</f>
        <v/>
      </c>
    </row>
    <row r="758" spans="1:125">
      <c r="A758" t="str">
        <f>$A$316</f>
        <v xml:space="preserve">    Regency Centers Corp</v>
      </c>
      <c r="B758" t="str">
        <f>$B$316</f>
        <v>REG US Equity</v>
      </c>
      <c r="C758" t="str">
        <f>$C$316</f>
        <v>RR263</v>
      </c>
      <c r="D758" t="str">
        <f>$D$316</f>
        <v>DEBT_TO_MKT_CAP</v>
      </c>
      <c r="E758" t="str">
        <f>$E$316</f>
        <v>动态</v>
      </c>
      <c r="F758" t="str">
        <f ca="1">BDH($B$316,$C$316,$B$417,$B$418,CONCATENATE("Per=",$B$415),"Dts=H","Dir=H",CONCATENATE("Points=",$B$416),"Sort=R","Days=A","Fill=B",CONCATENATE("FX=", $B$414) )</f>
        <v>#N/A Authorization</v>
      </c>
      <c r="BN758" t="str">
        <f>""</f>
        <v/>
      </c>
      <c r="BO758" t="str">
        <f>""</f>
        <v/>
      </c>
      <c r="BP758" t="str">
        <f>""</f>
        <v/>
      </c>
      <c r="BQ758" t="str">
        <f>""</f>
        <v/>
      </c>
      <c r="BR758" t="str">
        <f>""</f>
        <v/>
      </c>
      <c r="BS758" t="str">
        <f>""</f>
        <v/>
      </c>
      <c r="BT758" t="str">
        <f>""</f>
        <v/>
      </c>
      <c r="BU758" t="str">
        <f>""</f>
        <v/>
      </c>
      <c r="BV758" t="str">
        <f>""</f>
        <v/>
      </c>
      <c r="BW758" t="str">
        <f>""</f>
        <v/>
      </c>
      <c r="BX758" t="str">
        <f>""</f>
        <v/>
      </c>
      <c r="BY758" t="str">
        <f>""</f>
        <v/>
      </c>
      <c r="BZ758" t="str">
        <f>""</f>
        <v/>
      </c>
      <c r="CA758" t="str">
        <f>""</f>
        <v/>
      </c>
      <c r="CB758" t="str">
        <f>""</f>
        <v/>
      </c>
      <c r="CC758" t="str">
        <f>""</f>
        <v/>
      </c>
      <c r="CD758" t="str">
        <f>""</f>
        <v/>
      </c>
      <c r="CE758" t="str">
        <f>""</f>
        <v/>
      </c>
      <c r="CF758" t="str">
        <f>""</f>
        <v/>
      </c>
      <c r="CG758" t="str">
        <f>""</f>
        <v/>
      </c>
      <c r="CH758" t="str">
        <f>""</f>
        <v/>
      </c>
      <c r="CI758" t="str">
        <f>""</f>
        <v/>
      </c>
      <c r="CJ758" t="str">
        <f>""</f>
        <v/>
      </c>
      <c r="CK758" t="str">
        <f>""</f>
        <v/>
      </c>
      <c r="CL758" t="str">
        <f>""</f>
        <v/>
      </c>
      <c r="CM758" t="str">
        <f>""</f>
        <v/>
      </c>
      <c r="CN758" t="str">
        <f>""</f>
        <v/>
      </c>
      <c r="CO758" t="str">
        <f>""</f>
        <v/>
      </c>
      <c r="CP758" t="str">
        <f>""</f>
        <v/>
      </c>
      <c r="CQ758" t="str">
        <f>""</f>
        <v/>
      </c>
      <c r="CR758" t="str">
        <f>""</f>
        <v/>
      </c>
      <c r="CS758" t="str">
        <f>""</f>
        <v/>
      </c>
      <c r="CT758" t="str">
        <f>""</f>
        <v/>
      </c>
      <c r="CU758" t="str">
        <f>""</f>
        <v/>
      </c>
      <c r="CV758" t="str">
        <f>""</f>
        <v/>
      </c>
      <c r="CW758" t="str">
        <f>""</f>
        <v/>
      </c>
      <c r="CX758" t="str">
        <f>""</f>
        <v/>
      </c>
      <c r="CY758" t="str">
        <f>""</f>
        <v/>
      </c>
      <c r="CZ758" t="str">
        <f>""</f>
        <v/>
      </c>
      <c r="DA758" t="str">
        <f>""</f>
        <v/>
      </c>
      <c r="DB758" t="str">
        <f>""</f>
        <v/>
      </c>
      <c r="DC758" t="str">
        <f>""</f>
        <v/>
      </c>
      <c r="DD758" t="str">
        <f>""</f>
        <v/>
      </c>
      <c r="DE758" t="str">
        <f>""</f>
        <v/>
      </c>
      <c r="DF758" t="str">
        <f>""</f>
        <v/>
      </c>
      <c r="DG758" t="str">
        <f>""</f>
        <v/>
      </c>
      <c r="DH758" t="str">
        <f>""</f>
        <v/>
      </c>
      <c r="DI758" t="str">
        <f>""</f>
        <v/>
      </c>
      <c r="DJ758" t="str">
        <f>""</f>
        <v/>
      </c>
      <c r="DK758" t="str">
        <f>""</f>
        <v/>
      </c>
      <c r="DL758" t="str">
        <f>""</f>
        <v/>
      </c>
      <c r="DM758" t="str">
        <f>""</f>
        <v/>
      </c>
      <c r="DN758" t="str">
        <f>""</f>
        <v/>
      </c>
      <c r="DO758" t="str">
        <f>""</f>
        <v/>
      </c>
      <c r="DP758" t="str">
        <f>""</f>
        <v/>
      </c>
      <c r="DQ758" t="str">
        <f>""</f>
        <v/>
      </c>
      <c r="DR758" t="str">
        <f>""</f>
        <v/>
      </c>
      <c r="DS758" t="str">
        <f>""</f>
        <v/>
      </c>
      <c r="DT758" t="str">
        <f>""</f>
        <v/>
      </c>
      <c r="DU758" t="str">
        <f>""</f>
        <v/>
      </c>
    </row>
    <row r="759" spans="1:125">
      <c r="A759" t="str">
        <f>$A$317</f>
        <v xml:space="preserve">    Retail Opportunity Investments</v>
      </c>
      <c r="B759" t="str">
        <f>$B$317</f>
        <v>ROIC US Equity</v>
      </c>
      <c r="C759" t="str">
        <f>$C$317</f>
        <v>RR263</v>
      </c>
      <c r="D759" t="str">
        <f>$D$317</f>
        <v>DEBT_TO_MKT_CAP</v>
      </c>
      <c r="E759" t="str">
        <f>$E$317</f>
        <v>动态</v>
      </c>
      <c r="F759" t="str">
        <f ca="1">BDH($B$317,$C$317,$B$417,$B$418,CONCATENATE("Per=",$B$415),"Dts=H","Dir=H",CONCATENATE("Points=",$B$416),"Sort=R","Days=A","Fill=B",CONCATENATE("FX=", $B$414) )</f>
        <v>#N/A Authorization</v>
      </c>
      <c r="BN759" t="str">
        <f>""</f>
        <v/>
      </c>
      <c r="BO759" t="str">
        <f>""</f>
        <v/>
      </c>
      <c r="BP759" t="str">
        <f>""</f>
        <v/>
      </c>
      <c r="BQ759" t="str">
        <f>""</f>
        <v/>
      </c>
      <c r="BR759" t="str">
        <f>""</f>
        <v/>
      </c>
      <c r="BS759" t="str">
        <f>""</f>
        <v/>
      </c>
      <c r="BT759" t="str">
        <f>""</f>
        <v/>
      </c>
      <c r="BU759" t="str">
        <f>""</f>
        <v/>
      </c>
      <c r="BV759" t="str">
        <f>""</f>
        <v/>
      </c>
      <c r="BW759" t="str">
        <f>""</f>
        <v/>
      </c>
      <c r="BX759" t="str">
        <f>""</f>
        <v/>
      </c>
      <c r="BY759" t="str">
        <f>""</f>
        <v/>
      </c>
      <c r="BZ759" t="str">
        <f>""</f>
        <v/>
      </c>
      <c r="CA759" t="str">
        <f>""</f>
        <v/>
      </c>
      <c r="CB759" t="str">
        <f>""</f>
        <v/>
      </c>
      <c r="CC759" t="str">
        <f>""</f>
        <v/>
      </c>
      <c r="CD759" t="str">
        <f>""</f>
        <v/>
      </c>
      <c r="CE759" t="str">
        <f>""</f>
        <v/>
      </c>
      <c r="CF759" t="str">
        <f>""</f>
        <v/>
      </c>
      <c r="CG759" t="str">
        <f>""</f>
        <v/>
      </c>
      <c r="CH759" t="str">
        <f>""</f>
        <v/>
      </c>
      <c r="CI759" t="str">
        <f>""</f>
        <v/>
      </c>
      <c r="CJ759" t="str">
        <f>""</f>
        <v/>
      </c>
      <c r="CK759" t="str">
        <f>""</f>
        <v/>
      </c>
      <c r="CL759" t="str">
        <f>""</f>
        <v/>
      </c>
      <c r="CM759" t="str">
        <f>""</f>
        <v/>
      </c>
      <c r="CN759" t="str">
        <f>""</f>
        <v/>
      </c>
      <c r="CO759" t="str">
        <f>""</f>
        <v/>
      </c>
      <c r="CP759" t="str">
        <f>""</f>
        <v/>
      </c>
      <c r="CQ759" t="str">
        <f>""</f>
        <v/>
      </c>
      <c r="CR759" t="str">
        <f>""</f>
        <v/>
      </c>
      <c r="CS759" t="str">
        <f>""</f>
        <v/>
      </c>
      <c r="CT759" t="str">
        <f>""</f>
        <v/>
      </c>
      <c r="CU759" t="str">
        <f>""</f>
        <v/>
      </c>
      <c r="CV759" t="str">
        <f>""</f>
        <v/>
      </c>
      <c r="CW759" t="str">
        <f>""</f>
        <v/>
      </c>
      <c r="CX759" t="str">
        <f>""</f>
        <v/>
      </c>
      <c r="CY759" t="str">
        <f>""</f>
        <v/>
      </c>
      <c r="CZ759" t="str">
        <f>""</f>
        <v/>
      </c>
      <c r="DA759" t="str">
        <f>""</f>
        <v/>
      </c>
      <c r="DB759" t="str">
        <f>""</f>
        <v/>
      </c>
      <c r="DC759" t="str">
        <f>""</f>
        <v/>
      </c>
      <c r="DD759" t="str">
        <f>""</f>
        <v/>
      </c>
      <c r="DE759" t="str">
        <f>""</f>
        <v/>
      </c>
      <c r="DF759" t="str">
        <f>""</f>
        <v/>
      </c>
      <c r="DG759" t="str">
        <f>""</f>
        <v/>
      </c>
      <c r="DH759" t="str">
        <f>""</f>
        <v/>
      </c>
      <c r="DI759" t="str">
        <f>""</f>
        <v/>
      </c>
      <c r="DJ759" t="str">
        <f>""</f>
        <v/>
      </c>
      <c r="DK759" t="str">
        <f>""</f>
        <v/>
      </c>
      <c r="DL759" t="str">
        <f>""</f>
        <v/>
      </c>
      <c r="DM759" t="str">
        <f>""</f>
        <v/>
      </c>
      <c r="DN759" t="str">
        <f>""</f>
        <v/>
      </c>
      <c r="DO759" t="str">
        <f>""</f>
        <v/>
      </c>
      <c r="DP759" t="str">
        <f>""</f>
        <v/>
      </c>
      <c r="DQ759" t="str">
        <f>""</f>
        <v/>
      </c>
      <c r="DR759" t="str">
        <f>""</f>
        <v/>
      </c>
      <c r="DS759" t="str">
        <f>""</f>
        <v/>
      </c>
      <c r="DT759" t="str">
        <f>""</f>
        <v/>
      </c>
      <c r="DU759" t="str">
        <f>""</f>
        <v/>
      </c>
    </row>
    <row r="760" spans="1:125">
      <c r="A760" t="str">
        <f>$A$318</f>
        <v xml:space="preserve">    Retail Properties of America I</v>
      </c>
      <c r="B760" t="str">
        <f>$B$318</f>
        <v>RPAI US Equity</v>
      </c>
      <c r="C760" t="str">
        <f>$C$318</f>
        <v>RR263</v>
      </c>
      <c r="D760" t="str">
        <f>$D$318</f>
        <v>DEBT_TO_MKT_CAP</v>
      </c>
      <c r="E760" t="str">
        <f>$E$318</f>
        <v>动态</v>
      </c>
      <c r="F760" t="str">
        <f ca="1">BDH($B$318,$C$318,$B$417,$B$418,CONCATENATE("Per=",$B$415),"Dts=H","Dir=H",CONCATENATE("Points=",$B$416),"Sort=R","Days=A","Fill=B",CONCATENATE("FX=", $B$414) )</f>
        <v>#N/A Authorization</v>
      </c>
      <c r="BN760" t="str">
        <f>""</f>
        <v/>
      </c>
      <c r="BO760" t="str">
        <f>""</f>
        <v/>
      </c>
      <c r="BP760" t="str">
        <f>""</f>
        <v/>
      </c>
      <c r="BQ760" t="str">
        <f>""</f>
        <v/>
      </c>
      <c r="BR760" t="str">
        <f>""</f>
        <v/>
      </c>
      <c r="BS760" t="str">
        <f>""</f>
        <v/>
      </c>
      <c r="BT760" t="str">
        <f>""</f>
        <v/>
      </c>
      <c r="BU760" t="str">
        <f>""</f>
        <v/>
      </c>
      <c r="BV760" t="str">
        <f>""</f>
        <v/>
      </c>
      <c r="BW760" t="str">
        <f>""</f>
        <v/>
      </c>
      <c r="BX760" t="str">
        <f>""</f>
        <v/>
      </c>
      <c r="BY760" t="str">
        <f>""</f>
        <v/>
      </c>
      <c r="BZ760" t="str">
        <f>""</f>
        <v/>
      </c>
      <c r="CA760" t="str">
        <f>""</f>
        <v/>
      </c>
      <c r="CB760" t="str">
        <f>""</f>
        <v/>
      </c>
      <c r="CC760" t="str">
        <f>""</f>
        <v/>
      </c>
      <c r="CD760" t="str">
        <f>""</f>
        <v/>
      </c>
      <c r="CE760" t="str">
        <f>""</f>
        <v/>
      </c>
      <c r="CF760" t="str">
        <f>""</f>
        <v/>
      </c>
      <c r="CG760" t="str">
        <f>""</f>
        <v/>
      </c>
      <c r="CH760" t="str">
        <f>""</f>
        <v/>
      </c>
      <c r="CI760" t="str">
        <f>""</f>
        <v/>
      </c>
      <c r="CJ760" t="str">
        <f>""</f>
        <v/>
      </c>
      <c r="CK760" t="str">
        <f>""</f>
        <v/>
      </c>
      <c r="CL760" t="str">
        <f>""</f>
        <v/>
      </c>
      <c r="CM760" t="str">
        <f>""</f>
        <v/>
      </c>
      <c r="CN760" t="str">
        <f>""</f>
        <v/>
      </c>
      <c r="CO760" t="str">
        <f>""</f>
        <v/>
      </c>
      <c r="CP760" t="str">
        <f>""</f>
        <v/>
      </c>
      <c r="CQ760" t="str">
        <f>""</f>
        <v/>
      </c>
      <c r="CR760" t="str">
        <f>""</f>
        <v/>
      </c>
      <c r="CS760" t="str">
        <f>""</f>
        <v/>
      </c>
      <c r="CT760" t="str">
        <f>""</f>
        <v/>
      </c>
      <c r="CU760" t="str">
        <f>""</f>
        <v/>
      </c>
      <c r="CV760" t="str">
        <f>""</f>
        <v/>
      </c>
      <c r="CW760" t="str">
        <f>""</f>
        <v/>
      </c>
      <c r="CX760" t="str">
        <f>""</f>
        <v/>
      </c>
      <c r="CY760" t="str">
        <f>""</f>
        <v/>
      </c>
      <c r="CZ760" t="str">
        <f>""</f>
        <v/>
      </c>
      <c r="DA760" t="str">
        <f>""</f>
        <v/>
      </c>
      <c r="DB760" t="str">
        <f>""</f>
        <v/>
      </c>
      <c r="DC760" t="str">
        <f>""</f>
        <v/>
      </c>
      <c r="DD760" t="str">
        <f>""</f>
        <v/>
      </c>
      <c r="DE760" t="str">
        <f>""</f>
        <v/>
      </c>
      <c r="DF760" t="str">
        <f>""</f>
        <v/>
      </c>
      <c r="DG760" t="str">
        <f>""</f>
        <v/>
      </c>
      <c r="DH760" t="str">
        <f>""</f>
        <v/>
      </c>
      <c r="DI760" t="str">
        <f>""</f>
        <v/>
      </c>
      <c r="DJ760" t="str">
        <f>""</f>
        <v/>
      </c>
      <c r="DK760" t="str">
        <f>""</f>
        <v/>
      </c>
      <c r="DL760" t="str">
        <f>""</f>
        <v/>
      </c>
      <c r="DM760" t="str">
        <f>""</f>
        <v/>
      </c>
      <c r="DN760" t="str">
        <f>""</f>
        <v/>
      </c>
      <c r="DO760" t="str">
        <f>""</f>
        <v/>
      </c>
      <c r="DP760" t="str">
        <f>""</f>
        <v/>
      </c>
      <c r="DQ760" t="str">
        <f>""</f>
        <v/>
      </c>
      <c r="DR760" t="str">
        <f>""</f>
        <v/>
      </c>
      <c r="DS760" t="str">
        <f>""</f>
        <v/>
      </c>
      <c r="DT760" t="str">
        <f>""</f>
        <v/>
      </c>
      <c r="DU760" t="str">
        <f>""</f>
        <v/>
      </c>
    </row>
    <row r="761" spans="1:125">
      <c r="A761" t="str">
        <f>$A$319</f>
        <v xml:space="preserve">    Simon Property Group Inc</v>
      </c>
      <c r="B761" t="str">
        <f>$B$319</f>
        <v>SPG US Equity</v>
      </c>
      <c r="C761" t="str">
        <f>$C$319</f>
        <v>RR263</v>
      </c>
      <c r="D761" t="str">
        <f>$D$319</f>
        <v>DEBT_TO_MKT_CAP</v>
      </c>
      <c r="E761" t="str">
        <f>$E$319</f>
        <v>动态</v>
      </c>
      <c r="F761" t="str">
        <f ca="1">BDH($B$319,$C$319,$B$417,$B$418,CONCATENATE("Per=",$B$415),"Dts=H","Dir=H",CONCATENATE("Points=",$B$416),"Sort=R","Days=A","Fill=B",CONCATENATE("FX=", $B$414) )</f>
        <v>#N/A Authorization</v>
      </c>
      <c r="BN761" t="str">
        <f>""</f>
        <v/>
      </c>
      <c r="BO761" t="str">
        <f>""</f>
        <v/>
      </c>
      <c r="BP761" t="str">
        <f>""</f>
        <v/>
      </c>
      <c r="BQ761" t="str">
        <f>""</f>
        <v/>
      </c>
      <c r="BR761" t="str">
        <f>""</f>
        <v/>
      </c>
      <c r="BS761" t="str">
        <f>""</f>
        <v/>
      </c>
      <c r="BT761" t="str">
        <f>""</f>
        <v/>
      </c>
      <c r="BU761" t="str">
        <f>""</f>
        <v/>
      </c>
      <c r="BV761" t="str">
        <f>""</f>
        <v/>
      </c>
      <c r="BW761" t="str">
        <f>""</f>
        <v/>
      </c>
      <c r="BX761" t="str">
        <f>""</f>
        <v/>
      </c>
      <c r="BY761" t="str">
        <f>""</f>
        <v/>
      </c>
      <c r="BZ761" t="str">
        <f>""</f>
        <v/>
      </c>
      <c r="CA761" t="str">
        <f>""</f>
        <v/>
      </c>
      <c r="CB761" t="str">
        <f>""</f>
        <v/>
      </c>
      <c r="CC761" t="str">
        <f>""</f>
        <v/>
      </c>
      <c r="CD761" t="str">
        <f>""</f>
        <v/>
      </c>
      <c r="CE761" t="str">
        <f>""</f>
        <v/>
      </c>
      <c r="CF761" t="str">
        <f>""</f>
        <v/>
      </c>
      <c r="CG761" t="str">
        <f>""</f>
        <v/>
      </c>
      <c r="CH761" t="str">
        <f>""</f>
        <v/>
      </c>
      <c r="CI761" t="str">
        <f>""</f>
        <v/>
      </c>
      <c r="CJ761" t="str">
        <f>""</f>
        <v/>
      </c>
      <c r="CK761" t="str">
        <f>""</f>
        <v/>
      </c>
      <c r="CL761" t="str">
        <f>""</f>
        <v/>
      </c>
      <c r="CM761" t="str">
        <f>""</f>
        <v/>
      </c>
      <c r="CN761" t="str">
        <f>""</f>
        <v/>
      </c>
      <c r="CO761" t="str">
        <f>""</f>
        <v/>
      </c>
      <c r="CP761" t="str">
        <f>""</f>
        <v/>
      </c>
      <c r="CQ761" t="str">
        <f>""</f>
        <v/>
      </c>
      <c r="CR761" t="str">
        <f>""</f>
        <v/>
      </c>
      <c r="CS761" t="str">
        <f>""</f>
        <v/>
      </c>
      <c r="CT761" t="str">
        <f>""</f>
        <v/>
      </c>
      <c r="CU761" t="str">
        <f>""</f>
        <v/>
      </c>
      <c r="CV761" t="str">
        <f>""</f>
        <v/>
      </c>
      <c r="CW761" t="str">
        <f>""</f>
        <v/>
      </c>
      <c r="CX761" t="str">
        <f>""</f>
        <v/>
      </c>
      <c r="CY761" t="str">
        <f>""</f>
        <v/>
      </c>
      <c r="CZ761" t="str">
        <f>""</f>
        <v/>
      </c>
      <c r="DA761" t="str">
        <f>""</f>
        <v/>
      </c>
      <c r="DB761" t="str">
        <f>""</f>
        <v/>
      </c>
      <c r="DC761" t="str">
        <f>""</f>
        <v/>
      </c>
      <c r="DD761" t="str">
        <f>""</f>
        <v/>
      </c>
      <c r="DE761" t="str">
        <f>""</f>
        <v/>
      </c>
      <c r="DF761" t="str">
        <f>""</f>
        <v/>
      </c>
      <c r="DG761" t="str">
        <f>""</f>
        <v/>
      </c>
      <c r="DH761" t="str">
        <f>""</f>
        <v/>
      </c>
      <c r="DI761" t="str">
        <f>""</f>
        <v/>
      </c>
      <c r="DJ761" t="str">
        <f>""</f>
        <v/>
      </c>
      <c r="DK761" t="str">
        <f>""</f>
        <v/>
      </c>
      <c r="DL761" t="str">
        <f>""</f>
        <v/>
      </c>
      <c r="DM761" t="str">
        <f>""</f>
        <v/>
      </c>
      <c r="DN761" t="str">
        <f>""</f>
        <v/>
      </c>
      <c r="DO761" t="str">
        <f>""</f>
        <v/>
      </c>
      <c r="DP761" t="str">
        <f>""</f>
        <v/>
      </c>
      <c r="DQ761" t="str">
        <f>""</f>
        <v/>
      </c>
      <c r="DR761" t="str">
        <f>""</f>
        <v/>
      </c>
      <c r="DS761" t="str">
        <f>""</f>
        <v/>
      </c>
      <c r="DT761" t="str">
        <f>""</f>
        <v/>
      </c>
      <c r="DU761" t="str">
        <f>""</f>
        <v/>
      </c>
    </row>
    <row r="762" spans="1:125">
      <c r="A762" t="str">
        <f>$A$320</f>
        <v xml:space="preserve">    Tanger Factory Outlet Centers</v>
      </c>
      <c r="B762" t="str">
        <f>$B$320</f>
        <v>SKT US Equity</v>
      </c>
      <c r="C762" t="str">
        <f>$C$320</f>
        <v>RR263</v>
      </c>
      <c r="D762" t="str">
        <f>$D$320</f>
        <v>DEBT_TO_MKT_CAP</v>
      </c>
      <c r="E762" t="str">
        <f>$E$320</f>
        <v>动态</v>
      </c>
      <c r="F762" t="str">
        <f ca="1">BDH($B$320,$C$320,$B$417,$B$418,CONCATENATE("Per=",$B$415),"Dts=H","Dir=H",CONCATENATE("Points=",$B$416),"Sort=R","Days=A","Fill=B",CONCATENATE("FX=", $B$414) )</f>
        <v>#N/A Authorization</v>
      </c>
      <c r="BN762" t="str">
        <f>""</f>
        <v/>
      </c>
      <c r="BO762" t="str">
        <f>""</f>
        <v/>
      </c>
      <c r="BP762" t="str">
        <f>""</f>
        <v/>
      </c>
      <c r="BQ762" t="str">
        <f>""</f>
        <v/>
      </c>
      <c r="BR762" t="str">
        <f>""</f>
        <v/>
      </c>
      <c r="BS762" t="str">
        <f>""</f>
        <v/>
      </c>
      <c r="BT762" t="str">
        <f>""</f>
        <v/>
      </c>
      <c r="BU762" t="str">
        <f>""</f>
        <v/>
      </c>
      <c r="BV762" t="str">
        <f>""</f>
        <v/>
      </c>
      <c r="BW762" t="str">
        <f>""</f>
        <v/>
      </c>
      <c r="BX762" t="str">
        <f>""</f>
        <v/>
      </c>
      <c r="BY762" t="str">
        <f>""</f>
        <v/>
      </c>
      <c r="BZ762" t="str">
        <f>""</f>
        <v/>
      </c>
      <c r="CA762" t="str">
        <f>""</f>
        <v/>
      </c>
      <c r="CB762" t="str">
        <f>""</f>
        <v/>
      </c>
      <c r="CC762" t="str">
        <f>""</f>
        <v/>
      </c>
      <c r="CD762" t="str">
        <f>""</f>
        <v/>
      </c>
      <c r="CE762" t="str">
        <f>""</f>
        <v/>
      </c>
      <c r="CF762" t="str">
        <f>""</f>
        <v/>
      </c>
      <c r="CG762" t="str">
        <f>""</f>
        <v/>
      </c>
      <c r="CH762" t="str">
        <f>""</f>
        <v/>
      </c>
      <c r="CI762" t="str">
        <f>""</f>
        <v/>
      </c>
      <c r="CJ762" t="str">
        <f>""</f>
        <v/>
      </c>
      <c r="CK762" t="str">
        <f>""</f>
        <v/>
      </c>
      <c r="CL762" t="str">
        <f>""</f>
        <v/>
      </c>
      <c r="CM762" t="str">
        <f>""</f>
        <v/>
      </c>
      <c r="CN762" t="str">
        <f>""</f>
        <v/>
      </c>
      <c r="CO762" t="str">
        <f>""</f>
        <v/>
      </c>
      <c r="CP762" t="str">
        <f>""</f>
        <v/>
      </c>
      <c r="CQ762" t="str">
        <f>""</f>
        <v/>
      </c>
      <c r="CR762" t="str">
        <f>""</f>
        <v/>
      </c>
      <c r="CS762" t="str">
        <f>""</f>
        <v/>
      </c>
      <c r="CT762" t="str">
        <f>""</f>
        <v/>
      </c>
      <c r="CU762" t="str">
        <f>""</f>
        <v/>
      </c>
      <c r="CV762" t="str">
        <f>""</f>
        <v/>
      </c>
      <c r="CW762" t="str">
        <f>""</f>
        <v/>
      </c>
      <c r="CX762" t="str">
        <f>""</f>
        <v/>
      </c>
      <c r="CY762" t="str">
        <f>""</f>
        <v/>
      </c>
      <c r="CZ762" t="str">
        <f>""</f>
        <v/>
      </c>
      <c r="DA762" t="str">
        <f>""</f>
        <v/>
      </c>
      <c r="DB762" t="str">
        <f>""</f>
        <v/>
      </c>
      <c r="DC762" t="str">
        <f>""</f>
        <v/>
      </c>
      <c r="DD762" t="str">
        <f>""</f>
        <v/>
      </c>
      <c r="DE762" t="str">
        <f>""</f>
        <v/>
      </c>
      <c r="DF762" t="str">
        <f>""</f>
        <v/>
      </c>
      <c r="DG762" t="str">
        <f>""</f>
        <v/>
      </c>
      <c r="DH762" t="str">
        <f>""</f>
        <v/>
      </c>
      <c r="DI762" t="str">
        <f>""</f>
        <v/>
      </c>
      <c r="DJ762" t="str">
        <f>""</f>
        <v/>
      </c>
      <c r="DK762" t="str">
        <f>""</f>
        <v/>
      </c>
      <c r="DL762" t="str">
        <f>""</f>
        <v/>
      </c>
      <c r="DM762" t="str">
        <f>""</f>
        <v/>
      </c>
      <c r="DN762" t="str">
        <f>""</f>
        <v/>
      </c>
      <c r="DO762" t="str">
        <f>""</f>
        <v/>
      </c>
      <c r="DP762" t="str">
        <f>""</f>
        <v/>
      </c>
      <c r="DQ762" t="str">
        <f>""</f>
        <v/>
      </c>
      <c r="DR762" t="str">
        <f>""</f>
        <v/>
      </c>
      <c r="DS762" t="str">
        <f>""</f>
        <v/>
      </c>
      <c r="DT762" t="str">
        <f>""</f>
        <v/>
      </c>
      <c r="DU762" t="str">
        <f>""</f>
        <v/>
      </c>
    </row>
    <row r="763" spans="1:125">
      <c r="A763" t="str">
        <f>$A$321</f>
        <v xml:space="preserve">    VEREIT Inc</v>
      </c>
      <c r="B763" t="str">
        <f>$B$321</f>
        <v>VER US Equity</v>
      </c>
      <c r="C763" t="str">
        <f>$C$321</f>
        <v>RR263</v>
      </c>
      <c r="D763" t="str">
        <f>$D$321</f>
        <v>DEBT_TO_MKT_CAP</v>
      </c>
      <c r="E763" t="str">
        <f>$E$321</f>
        <v>动态</v>
      </c>
      <c r="F763" t="str">
        <f ca="1">BDH($B$321,$C$321,$B$417,$B$418,CONCATENATE("Per=",$B$415),"Dts=H","Dir=H",CONCATENATE("Points=",$B$416),"Sort=R","Days=A","Fill=B",CONCATENATE("FX=", $B$414) )</f>
        <v>#N/A Authorization</v>
      </c>
      <c r="BN763" t="str">
        <f>""</f>
        <v/>
      </c>
      <c r="BO763" t="str">
        <f>""</f>
        <v/>
      </c>
      <c r="BP763" t="str">
        <f>""</f>
        <v/>
      </c>
      <c r="BQ763" t="str">
        <f>""</f>
        <v/>
      </c>
      <c r="BR763" t="str">
        <f>""</f>
        <v/>
      </c>
      <c r="BS763" t="str">
        <f>""</f>
        <v/>
      </c>
      <c r="BT763" t="str">
        <f>""</f>
        <v/>
      </c>
      <c r="BU763" t="str">
        <f>""</f>
        <v/>
      </c>
      <c r="BV763" t="str">
        <f>""</f>
        <v/>
      </c>
      <c r="BW763" t="str">
        <f>""</f>
        <v/>
      </c>
      <c r="BX763" t="str">
        <f>""</f>
        <v/>
      </c>
      <c r="BY763" t="str">
        <f>""</f>
        <v/>
      </c>
      <c r="BZ763" t="str">
        <f>""</f>
        <v/>
      </c>
      <c r="CA763" t="str">
        <f>""</f>
        <v/>
      </c>
      <c r="CB763" t="str">
        <f>""</f>
        <v/>
      </c>
      <c r="CC763" t="str">
        <f>""</f>
        <v/>
      </c>
      <c r="CD763" t="str">
        <f>""</f>
        <v/>
      </c>
      <c r="CE763" t="str">
        <f>""</f>
        <v/>
      </c>
      <c r="CF763" t="str">
        <f>""</f>
        <v/>
      </c>
      <c r="CG763" t="str">
        <f>""</f>
        <v/>
      </c>
      <c r="CH763" t="str">
        <f>""</f>
        <v/>
      </c>
      <c r="CI763" t="str">
        <f>""</f>
        <v/>
      </c>
      <c r="CJ763" t="str">
        <f>""</f>
        <v/>
      </c>
      <c r="CK763" t="str">
        <f>""</f>
        <v/>
      </c>
      <c r="CL763" t="str">
        <f>""</f>
        <v/>
      </c>
      <c r="CM763" t="str">
        <f>""</f>
        <v/>
      </c>
      <c r="CN763" t="str">
        <f>""</f>
        <v/>
      </c>
      <c r="CO763" t="str">
        <f>""</f>
        <v/>
      </c>
      <c r="CP763" t="str">
        <f>""</f>
        <v/>
      </c>
      <c r="CQ763" t="str">
        <f>""</f>
        <v/>
      </c>
      <c r="CR763" t="str">
        <f>""</f>
        <v/>
      </c>
      <c r="CS763" t="str">
        <f>""</f>
        <v/>
      </c>
      <c r="CT763" t="str">
        <f>""</f>
        <v/>
      </c>
      <c r="CU763" t="str">
        <f>""</f>
        <v/>
      </c>
      <c r="CV763" t="str">
        <f>""</f>
        <v/>
      </c>
      <c r="CW763" t="str">
        <f>""</f>
        <v/>
      </c>
      <c r="CX763" t="str">
        <f>""</f>
        <v/>
      </c>
      <c r="CY763" t="str">
        <f>""</f>
        <v/>
      </c>
      <c r="CZ763" t="str">
        <f>""</f>
        <v/>
      </c>
      <c r="DA763" t="str">
        <f>""</f>
        <v/>
      </c>
      <c r="DB763" t="str">
        <f>""</f>
        <v/>
      </c>
      <c r="DC763" t="str">
        <f>""</f>
        <v/>
      </c>
      <c r="DD763" t="str">
        <f>""</f>
        <v/>
      </c>
      <c r="DE763" t="str">
        <f>""</f>
        <v/>
      </c>
      <c r="DF763" t="str">
        <f>""</f>
        <v/>
      </c>
      <c r="DG763" t="str">
        <f>""</f>
        <v/>
      </c>
      <c r="DH763" t="str">
        <f>""</f>
        <v/>
      </c>
      <c r="DI763" t="str">
        <f>""</f>
        <v/>
      </c>
      <c r="DJ763" t="str">
        <f>""</f>
        <v/>
      </c>
      <c r="DK763" t="str">
        <f>""</f>
        <v/>
      </c>
      <c r="DL763" t="str">
        <f>""</f>
        <v/>
      </c>
      <c r="DM763" t="str">
        <f>""</f>
        <v/>
      </c>
      <c r="DN763" t="str">
        <f>""</f>
        <v/>
      </c>
      <c r="DO763" t="str">
        <f>""</f>
        <v/>
      </c>
      <c r="DP763" t="str">
        <f>""</f>
        <v/>
      </c>
      <c r="DQ763" t="str">
        <f>""</f>
        <v/>
      </c>
      <c r="DR763" t="str">
        <f>""</f>
        <v/>
      </c>
      <c r="DS763" t="str">
        <f>""</f>
        <v/>
      </c>
      <c r="DT763" t="str">
        <f>""</f>
        <v/>
      </c>
      <c r="DU763" t="str">
        <f>""</f>
        <v/>
      </c>
    </row>
    <row r="764" spans="1:125">
      <c r="A764" t="str">
        <f>$A$322</f>
        <v xml:space="preserve">    Washington Prime Group Inc</v>
      </c>
      <c r="B764" t="str">
        <f>$B$322</f>
        <v>WPG US Equity</v>
      </c>
      <c r="C764" t="str">
        <f>$C$322</f>
        <v>RR263</v>
      </c>
      <c r="D764" t="str">
        <f>$D$322</f>
        <v>DEBT_TO_MKT_CAP</v>
      </c>
      <c r="E764" t="str">
        <f>$E$322</f>
        <v>动态</v>
      </c>
      <c r="F764" t="str">
        <f ca="1">BDH($B$322,$C$322,$B$417,$B$418,CONCATENATE("Per=",$B$415),"Dts=H","Dir=H",CONCATENATE("Points=",$B$416),"Sort=R","Days=A","Fill=B",CONCATENATE("FX=", $B$414) )</f>
        <v>#N/A Authorization</v>
      </c>
      <c r="BN764" t="str">
        <f>""</f>
        <v/>
      </c>
      <c r="BO764" t="str">
        <f>""</f>
        <v/>
      </c>
      <c r="BP764" t="str">
        <f>""</f>
        <v/>
      </c>
      <c r="BQ764" t="str">
        <f>""</f>
        <v/>
      </c>
      <c r="BR764" t="str">
        <f>""</f>
        <v/>
      </c>
      <c r="BS764" t="str">
        <f>""</f>
        <v/>
      </c>
      <c r="BT764" t="str">
        <f>""</f>
        <v/>
      </c>
      <c r="BU764" t="str">
        <f>""</f>
        <v/>
      </c>
      <c r="BV764" t="str">
        <f>""</f>
        <v/>
      </c>
      <c r="BW764" t="str">
        <f>""</f>
        <v/>
      </c>
      <c r="BX764" t="str">
        <f>""</f>
        <v/>
      </c>
      <c r="BY764" t="str">
        <f>""</f>
        <v/>
      </c>
      <c r="BZ764" t="str">
        <f>""</f>
        <v/>
      </c>
      <c r="CA764" t="str">
        <f>""</f>
        <v/>
      </c>
      <c r="CB764" t="str">
        <f>""</f>
        <v/>
      </c>
      <c r="CC764" t="str">
        <f>""</f>
        <v/>
      </c>
      <c r="CD764" t="str">
        <f>""</f>
        <v/>
      </c>
      <c r="CE764" t="str">
        <f>""</f>
        <v/>
      </c>
      <c r="CF764" t="str">
        <f>""</f>
        <v/>
      </c>
      <c r="CG764" t="str">
        <f>""</f>
        <v/>
      </c>
      <c r="CH764" t="str">
        <f>""</f>
        <v/>
      </c>
      <c r="CI764" t="str">
        <f>""</f>
        <v/>
      </c>
      <c r="CJ764" t="str">
        <f>""</f>
        <v/>
      </c>
      <c r="CK764" t="str">
        <f>""</f>
        <v/>
      </c>
      <c r="CL764" t="str">
        <f>""</f>
        <v/>
      </c>
      <c r="CM764" t="str">
        <f>""</f>
        <v/>
      </c>
      <c r="CN764" t="str">
        <f>""</f>
        <v/>
      </c>
      <c r="CO764" t="str">
        <f>""</f>
        <v/>
      </c>
      <c r="CP764" t="str">
        <f>""</f>
        <v/>
      </c>
      <c r="CQ764" t="str">
        <f>""</f>
        <v/>
      </c>
      <c r="CR764" t="str">
        <f>""</f>
        <v/>
      </c>
      <c r="CS764" t="str">
        <f>""</f>
        <v/>
      </c>
      <c r="CT764" t="str">
        <f>""</f>
        <v/>
      </c>
      <c r="CU764" t="str">
        <f>""</f>
        <v/>
      </c>
      <c r="CV764" t="str">
        <f>""</f>
        <v/>
      </c>
      <c r="CW764" t="str">
        <f>""</f>
        <v/>
      </c>
      <c r="CX764" t="str">
        <f>""</f>
        <v/>
      </c>
      <c r="CY764" t="str">
        <f>""</f>
        <v/>
      </c>
      <c r="CZ764" t="str">
        <f>""</f>
        <v/>
      </c>
      <c r="DA764" t="str">
        <f>""</f>
        <v/>
      </c>
      <c r="DB764" t="str">
        <f>""</f>
        <v/>
      </c>
      <c r="DC764" t="str">
        <f>""</f>
        <v/>
      </c>
      <c r="DD764" t="str">
        <f>""</f>
        <v/>
      </c>
      <c r="DE764" t="str">
        <f>""</f>
        <v/>
      </c>
      <c r="DF764" t="str">
        <f>""</f>
        <v/>
      </c>
      <c r="DG764" t="str">
        <f>""</f>
        <v/>
      </c>
      <c r="DH764" t="str">
        <f>""</f>
        <v/>
      </c>
      <c r="DI764" t="str">
        <f>""</f>
        <v/>
      </c>
      <c r="DJ764" t="str">
        <f>""</f>
        <v/>
      </c>
      <c r="DK764" t="str">
        <f>""</f>
        <v/>
      </c>
      <c r="DL764" t="str">
        <f>""</f>
        <v/>
      </c>
      <c r="DM764" t="str">
        <f>""</f>
        <v/>
      </c>
      <c r="DN764" t="str">
        <f>""</f>
        <v/>
      </c>
      <c r="DO764" t="str">
        <f>""</f>
        <v/>
      </c>
      <c r="DP764" t="str">
        <f>""</f>
        <v/>
      </c>
      <c r="DQ764" t="str">
        <f>""</f>
        <v/>
      </c>
      <c r="DR764" t="str">
        <f>""</f>
        <v/>
      </c>
      <c r="DS764" t="str">
        <f>""</f>
        <v/>
      </c>
      <c r="DT764" t="str">
        <f>""</f>
        <v/>
      </c>
      <c r="DU764" t="str">
        <f>""</f>
        <v/>
      </c>
    </row>
    <row r="765" spans="1:125">
      <c r="A765" t="str">
        <f>$A$323</f>
        <v xml:space="preserve">    Weingarten Realty Investors</v>
      </c>
      <c r="B765" t="str">
        <f>$B$323</f>
        <v>WRI US Equity</v>
      </c>
      <c r="C765" t="str">
        <f>$C$323</f>
        <v>RR263</v>
      </c>
      <c r="D765" t="str">
        <f>$D$323</f>
        <v>DEBT_TO_MKT_CAP</v>
      </c>
      <c r="E765" t="str">
        <f>$E$323</f>
        <v>动态</v>
      </c>
      <c r="F765" t="str">
        <f ca="1">BDH($B$323,$C$323,$B$417,$B$418,CONCATENATE("Per=",$B$415),"Dts=H","Dir=H",CONCATENATE("Points=",$B$416),"Sort=R","Days=A","Fill=B",CONCATENATE("FX=", $B$414) )</f>
        <v>#N/A Authorization</v>
      </c>
      <c r="BN765" t="str">
        <f>""</f>
        <v/>
      </c>
      <c r="BO765" t="str">
        <f>""</f>
        <v/>
      </c>
      <c r="BP765" t="str">
        <f>""</f>
        <v/>
      </c>
      <c r="BQ765" t="str">
        <f>""</f>
        <v/>
      </c>
      <c r="BR765" t="str">
        <f>""</f>
        <v/>
      </c>
      <c r="BS765" t="str">
        <f>""</f>
        <v/>
      </c>
      <c r="BT765" t="str">
        <f>""</f>
        <v/>
      </c>
      <c r="BU765" t="str">
        <f>""</f>
        <v/>
      </c>
      <c r="BV765" t="str">
        <f>""</f>
        <v/>
      </c>
      <c r="BW765" t="str">
        <f>""</f>
        <v/>
      </c>
      <c r="BX765" t="str">
        <f>""</f>
        <v/>
      </c>
      <c r="BY765" t="str">
        <f>""</f>
        <v/>
      </c>
      <c r="BZ765" t="str">
        <f>""</f>
        <v/>
      </c>
      <c r="CA765" t="str">
        <f>""</f>
        <v/>
      </c>
      <c r="CB765" t="str">
        <f>""</f>
        <v/>
      </c>
      <c r="CC765" t="str">
        <f>""</f>
        <v/>
      </c>
      <c r="CD765" t="str">
        <f>""</f>
        <v/>
      </c>
      <c r="CE765" t="str">
        <f>""</f>
        <v/>
      </c>
      <c r="CF765" t="str">
        <f>""</f>
        <v/>
      </c>
      <c r="CG765" t="str">
        <f>""</f>
        <v/>
      </c>
      <c r="CH765" t="str">
        <f>""</f>
        <v/>
      </c>
      <c r="CI765" t="str">
        <f>""</f>
        <v/>
      </c>
      <c r="CJ765" t="str">
        <f>""</f>
        <v/>
      </c>
      <c r="CK765" t="str">
        <f>""</f>
        <v/>
      </c>
      <c r="CL765" t="str">
        <f>""</f>
        <v/>
      </c>
      <c r="CM765" t="str">
        <f>""</f>
        <v/>
      </c>
      <c r="CN765" t="str">
        <f>""</f>
        <v/>
      </c>
      <c r="CO765" t="str">
        <f>""</f>
        <v/>
      </c>
      <c r="CP765" t="str">
        <f>""</f>
        <v/>
      </c>
      <c r="CQ765" t="str">
        <f>""</f>
        <v/>
      </c>
      <c r="CR765" t="str">
        <f>""</f>
        <v/>
      </c>
      <c r="CS765" t="str">
        <f>""</f>
        <v/>
      </c>
      <c r="CT765" t="str">
        <f>""</f>
        <v/>
      </c>
      <c r="CU765" t="str">
        <f>""</f>
        <v/>
      </c>
      <c r="CV765" t="str">
        <f>""</f>
        <v/>
      </c>
      <c r="CW765" t="str">
        <f>""</f>
        <v/>
      </c>
      <c r="CX765" t="str">
        <f>""</f>
        <v/>
      </c>
      <c r="CY765" t="str">
        <f>""</f>
        <v/>
      </c>
      <c r="CZ765" t="str">
        <f>""</f>
        <v/>
      </c>
      <c r="DA765" t="str">
        <f>""</f>
        <v/>
      </c>
      <c r="DB765" t="str">
        <f>""</f>
        <v/>
      </c>
      <c r="DC765" t="str">
        <f>""</f>
        <v/>
      </c>
      <c r="DD765" t="str">
        <f>""</f>
        <v/>
      </c>
      <c r="DE765" t="str">
        <f>""</f>
        <v/>
      </c>
      <c r="DF765" t="str">
        <f>""</f>
        <v/>
      </c>
      <c r="DG765" t="str">
        <f>""</f>
        <v/>
      </c>
      <c r="DH765" t="str">
        <f>""</f>
        <v/>
      </c>
      <c r="DI765" t="str">
        <f>""</f>
        <v/>
      </c>
      <c r="DJ765" t="str">
        <f>""</f>
        <v/>
      </c>
      <c r="DK765" t="str">
        <f>""</f>
        <v/>
      </c>
      <c r="DL765" t="str">
        <f>""</f>
        <v/>
      </c>
      <c r="DM765" t="str">
        <f>""</f>
        <v/>
      </c>
      <c r="DN765" t="str">
        <f>""</f>
        <v/>
      </c>
      <c r="DO765" t="str">
        <f>""</f>
        <v/>
      </c>
      <c r="DP765" t="str">
        <f>""</f>
        <v/>
      </c>
      <c r="DQ765" t="str">
        <f>""</f>
        <v/>
      </c>
      <c r="DR765" t="str">
        <f>""</f>
        <v/>
      </c>
      <c r="DS765" t="str">
        <f>""</f>
        <v/>
      </c>
      <c r="DT765" t="str">
        <f>""</f>
        <v/>
      </c>
      <c r="DU765" t="str">
        <f>""</f>
        <v/>
      </c>
    </row>
    <row r="766" spans="1:125">
      <c r="A766" t="str">
        <f>$A$325</f>
        <v xml:space="preserve">    Brixmor Property Group Inc</v>
      </c>
      <c r="B766" t="str">
        <f>$B$325</f>
        <v>BRX US Equity</v>
      </c>
      <c r="C766" t="str">
        <f>$C$325</f>
        <v>RR253</v>
      </c>
      <c r="D766" t="str">
        <f>$D$325</f>
        <v>CASH_AND_MARKETABLE_SECURITIES</v>
      </c>
      <c r="E766" t="str">
        <f>$E$325</f>
        <v>动态</v>
      </c>
      <c r="F766" t="str">
        <f ca="1">BDH($B$325,$C$325,$B$417,$B$418,CONCATENATE("Per=",$B$415),"Dts=H","Dir=H",CONCATENATE("Points=",$B$416),"Sort=R","Days=A","Fill=B",CONCATENATE("FX=", $B$414) )</f>
        <v>#N/A Authorization</v>
      </c>
      <c r="BN766" t="str">
        <f>""</f>
        <v/>
      </c>
      <c r="BO766" t="str">
        <f>""</f>
        <v/>
      </c>
      <c r="BP766" t="str">
        <f>""</f>
        <v/>
      </c>
      <c r="BQ766" t="str">
        <f>""</f>
        <v/>
      </c>
      <c r="BR766" t="str">
        <f>""</f>
        <v/>
      </c>
      <c r="BS766" t="str">
        <f>""</f>
        <v/>
      </c>
      <c r="BT766" t="str">
        <f>""</f>
        <v/>
      </c>
      <c r="BU766" t="str">
        <f>""</f>
        <v/>
      </c>
      <c r="BV766" t="str">
        <f>""</f>
        <v/>
      </c>
      <c r="BW766" t="str">
        <f>""</f>
        <v/>
      </c>
      <c r="BX766" t="str">
        <f>""</f>
        <v/>
      </c>
      <c r="BY766" t="str">
        <f>""</f>
        <v/>
      </c>
      <c r="BZ766" t="str">
        <f>""</f>
        <v/>
      </c>
      <c r="CA766" t="str">
        <f>""</f>
        <v/>
      </c>
      <c r="CB766" t="str">
        <f>""</f>
        <v/>
      </c>
      <c r="CC766" t="str">
        <f>""</f>
        <v/>
      </c>
      <c r="CD766" t="str">
        <f>""</f>
        <v/>
      </c>
      <c r="CE766" t="str">
        <f>""</f>
        <v/>
      </c>
      <c r="CF766" t="str">
        <f>""</f>
        <v/>
      </c>
      <c r="CG766" t="str">
        <f>""</f>
        <v/>
      </c>
      <c r="CH766" t="str">
        <f>""</f>
        <v/>
      </c>
      <c r="CI766" t="str">
        <f>""</f>
        <v/>
      </c>
      <c r="CJ766" t="str">
        <f>""</f>
        <v/>
      </c>
      <c r="CK766" t="str">
        <f>""</f>
        <v/>
      </c>
      <c r="CL766" t="str">
        <f>""</f>
        <v/>
      </c>
      <c r="CM766" t="str">
        <f>""</f>
        <v/>
      </c>
      <c r="CN766" t="str">
        <f>""</f>
        <v/>
      </c>
      <c r="CO766" t="str">
        <f>""</f>
        <v/>
      </c>
      <c r="CP766" t="str">
        <f>""</f>
        <v/>
      </c>
      <c r="CQ766" t="str">
        <f>""</f>
        <v/>
      </c>
      <c r="CR766" t="str">
        <f>""</f>
        <v/>
      </c>
      <c r="CS766" t="str">
        <f>""</f>
        <v/>
      </c>
      <c r="CT766" t="str">
        <f>""</f>
        <v/>
      </c>
      <c r="CU766" t="str">
        <f>""</f>
        <v/>
      </c>
      <c r="CV766" t="str">
        <f>""</f>
        <v/>
      </c>
      <c r="CW766" t="str">
        <f>""</f>
        <v/>
      </c>
      <c r="CX766" t="str">
        <f>""</f>
        <v/>
      </c>
      <c r="CY766" t="str">
        <f>""</f>
        <v/>
      </c>
      <c r="CZ766" t="str">
        <f>""</f>
        <v/>
      </c>
      <c r="DA766" t="str">
        <f>""</f>
        <v/>
      </c>
      <c r="DB766" t="str">
        <f>""</f>
        <v/>
      </c>
      <c r="DC766" t="str">
        <f>""</f>
        <v/>
      </c>
      <c r="DD766" t="str">
        <f>""</f>
        <v/>
      </c>
      <c r="DE766" t="str">
        <f>""</f>
        <v/>
      </c>
      <c r="DF766" t="str">
        <f>""</f>
        <v/>
      </c>
      <c r="DG766" t="str">
        <f>""</f>
        <v/>
      </c>
      <c r="DH766" t="str">
        <f>""</f>
        <v/>
      </c>
      <c r="DI766" t="str">
        <f>""</f>
        <v/>
      </c>
      <c r="DJ766" t="str">
        <f>""</f>
        <v/>
      </c>
      <c r="DK766" t="str">
        <f>""</f>
        <v/>
      </c>
      <c r="DL766" t="str">
        <f>""</f>
        <v/>
      </c>
      <c r="DM766" t="str">
        <f>""</f>
        <v/>
      </c>
      <c r="DN766" t="str">
        <f>""</f>
        <v/>
      </c>
      <c r="DO766" t="str">
        <f>""</f>
        <v/>
      </c>
      <c r="DP766" t="str">
        <f>""</f>
        <v/>
      </c>
      <c r="DQ766" t="str">
        <f>""</f>
        <v/>
      </c>
      <c r="DR766" t="str">
        <f>""</f>
        <v/>
      </c>
      <c r="DS766" t="str">
        <f>""</f>
        <v/>
      </c>
      <c r="DT766" t="str">
        <f>""</f>
        <v/>
      </c>
      <c r="DU766" t="str">
        <f>""</f>
        <v/>
      </c>
    </row>
    <row r="767" spans="1:125">
      <c r="A767" t="str">
        <f>$A$326</f>
        <v xml:space="preserve">    CBL &amp; Associates Properties In</v>
      </c>
      <c r="B767" t="str">
        <f>$B$326</f>
        <v>CBL US Equity</v>
      </c>
      <c r="C767" t="str">
        <f>$C$326</f>
        <v>RR253</v>
      </c>
      <c r="D767" t="str">
        <f>$D$326</f>
        <v>CASH_AND_MARKETABLE_SECURITIES</v>
      </c>
      <c r="E767" t="str">
        <f>$E$326</f>
        <v>动态</v>
      </c>
      <c r="F767" t="str">
        <f ca="1">BDH($B$326,$C$326,$B$417,$B$418,CONCATENATE("Per=",$B$415),"Dts=H","Dir=H",CONCATENATE("Points=",$B$416),"Sort=R","Days=A","Fill=B",CONCATENATE("FX=", $B$414) )</f>
        <v>#N/A Authorization</v>
      </c>
      <c r="BN767" t="str">
        <f>""</f>
        <v/>
      </c>
      <c r="BO767" t="str">
        <f>""</f>
        <v/>
      </c>
      <c r="BP767" t="str">
        <f>""</f>
        <v/>
      </c>
      <c r="BQ767" t="str">
        <f>""</f>
        <v/>
      </c>
      <c r="BR767" t="str">
        <f>""</f>
        <v/>
      </c>
      <c r="BS767" t="str">
        <f>""</f>
        <v/>
      </c>
      <c r="BT767" t="str">
        <f>""</f>
        <v/>
      </c>
      <c r="BU767" t="str">
        <f>""</f>
        <v/>
      </c>
      <c r="BV767" t="str">
        <f>""</f>
        <v/>
      </c>
      <c r="BW767" t="str">
        <f>""</f>
        <v/>
      </c>
      <c r="BX767" t="str">
        <f>""</f>
        <v/>
      </c>
      <c r="BY767" t="str">
        <f>""</f>
        <v/>
      </c>
      <c r="BZ767" t="str">
        <f>""</f>
        <v/>
      </c>
      <c r="CA767" t="str">
        <f>""</f>
        <v/>
      </c>
      <c r="CB767" t="str">
        <f>""</f>
        <v/>
      </c>
      <c r="CC767" t="str">
        <f>""</f>
        <v/>
      </c>
      <c r="CD767" t="str">
        <f>""</f>
        <v/>
      </c>
      <c r="CE767" t="str">
        <f>""</f>
        <v/>
      </c>
      <c r="CF767" t="str">
        <f>""</f>
        <v/>
      </c>
      <c r="CG767" t="str">
        <f>""</f>
        <v/>
      </c>
      <c r="CH767" t="str">
        <f>""</f>
        <v/>
      </c>
      <c r="CI767" t="str">
        <f>""</f>
        <v/>
      </c>
      <c r="CJ767" t="str">
        <f>""</f>
        <v/>
      </c>
      <c r="CK767" t="str">
        <f>""</f>
        <v/>
      </c>
      <c r="CL767" t="str">
        <f>""</f>
        <v/>
      </c>
      <c r="CM767" t="str">
        <f>""</f>
        <v/>
      </c>
      <c r="CN767" t="str">
        <f>""</f>
        <v/>
      </c>
      <c r="CO767" t="str">
        <f>""</f>
        <v/>
      </c>
      <c r="CP767" t="str">
        <f>""</f>
        <v/>
      </c>
      <c r="CQ767" t="str">
        <f>""</f>
        <v/>
      </c>
      <c r="CR767" t="str">
        <f>""</f>
        <v/>
      </c>
      <c r="CS767" t="str">
        <f>""</f>
        <v/>
      </c>
      <c r="CT767" t="str">
        <f>""</f>
        <v/>
      </c>
      <c r="CU767" t="str">
        <f>""</f>
        <v/>
      </c>
      <c r="CV767" t="str">
        <f>""</f>
        <v/>
      </c>
      <c r="CW767" t="str">
        <f>""</f>
        <v/>
      </c>
      <c r="CX767" t="str">
        <f>""</f>
        <v/>
      </c>
      <c r="CY767" t="str">
        <f>""</f>
        <v/>
      </c>
      <c r="CZ767" t="str">
        <f>""</f>
        <v/>
      </c>
      <c r="DA767" t="str">
        <f>""</f>
        <v/>
      </c>
      <c r="DB767" t="str">
        <f>""</f>
        <v/>
      </c>
      <c r="DC767" t="str">
        <f>""</f>
        <v/>
      </c>
      <c r="DD767" t="str">
        <f>""</f>
        <v/>
      </c>
      <c r="DE767" t="str">
        <f>""</f>
        <v/>
      </c>
      <c r="DF767" t="str">
        <f>""</f>
        <v/>
      </c>
      <c r="DG767" t="str">
        <f>""</f>
        <v/>
      </c>
      <c r="DH767" t="str">
        <f>""</f>
        <v/>
      </c>
      <c r="DI767" t="str">
        <f>""</f>
        <v/>
      </c>
      <c r="DJ767" t="str">
        <f>""</f>
        <v/>
      </c>
      <c r="DK767" t="str">
        <f>""</f>
        <v/>
      </c>
      <c r="DL767" t="str">
        <f>""</f>
        <v/>
      </c>
      <c r="DM767" t="str">
        <f>""</f>
        <v/>
      </c>
      <c r="DN767" t="str">
        <f>""</f>
        <v/>
      </c>
      <c r="DO767" t="str">
        <f>""</f>
        <v/>
      </c>
      <c r="DP767" t="str">
        <f>""</f>
        <v/>
      </c>
      <c r="DQ767" t="str">
        <f>""</f>
        <v/>
      </c>
      <c r="DR767" t="str">
        <f>""</f>
        <v/>
      </c>
      <c r="DS767" t="str">
        <f>""</f>
        <v/>
      </c>
      <c r="DT767" t="str">
        <f>""</f>
        <v/>
      </c>
      <c r="DU767" t="str">
        <f>""</f>
        <v/>
      </c>
    </row>
    <row r="768" spans="1:125">
      <c r="A768" t="str">
        <f>$A$327</f>
        <v xml:space="preserve">    DDR Corp</v>
      </c>
      <c r="B768" t="str">
        <f>$B$327</f>
        <v>DDR US Equity</v>
      </c>
      <c r="C768" t="str">
        <f>$C$327</f>
        <v>RR253</v>
      </c>
      <c r="D768" t="str">
        <f>$D$327</f>
        <v>CASH_AND_MARKETABLE_SECURITIES</v>
      </c>
      <c r="E768" t="str">
        <f>$E$327</f>
        <v>动态</v>
      </c>
      <c r="F768" t="str">
        <f ca="1">BDH($B$327,$C$327,$B$417,$B$418,CONCATENATE("Per=",$B$415),"Dts=H","Dir=H",CONCATENATE("Points=",$B$416),"Sort=R","Days=A","Fill=B",CONCATENATE("FX=", $B$414) )</f>
        <v>#N/A Authorization</v>
      </c>
      <c r="BN768" t="str">
        <f>""</f>
        <v/>
      </c>
      <c r="BO768" t="str">
        <f>""</f>
        <v/>
      </c>
      <c r="BP768" t="str">
        <f>""</f>
        <v/>
      </c>
      <c r="BQ768" t="str">
        <f>""</f>
        <v/>
      </c>
      <c r="BR768" t="str">
        <f>""</f>
        <v/>
      </c>
      <c r="BS768" t="str">
        <f>""</f>
        <v/>
      </c>
      <c r="BT768" t="str">
        <f>""</f>
        <v/>
      </c>
      <c r="BU768" t="str">
        <f>""</f>
        <v/>
      </c>
      <c r="BV768" t="str">
        <f>""</f>
        <v/>
      </c>
      <c r="BW768" t="str">
        <f>""</f>
        <v/>
      </c>
      <c r="BX768" t="str">
        <f>""</f>
        <v/>
      </c>
      <c r="BY768" t="str">
        <f>""</f>
        <v/>
      </c>
      <c r="BZ768" t="str">
        <f>""</f>
        <v/>
      </c>
      <c r="CA768" t="str">
        <f>""</f>
        <v/>
      </c>
      <c r="CB768" t="str">
        <f>""</f>
        <v/>
      </c>
      <c r="CC768" t="str">
        <f>""</f>
        <v/>
      </c>
      <c r="CD768" t="str">
        <f>""</f>
        <v/>
      </c>
      <c r="CE768" t="str">
        <f>""</f>
        <v/>
      </c>
      <c r="CF768" t="str">
        <f>""</f>
        <v/>
      </c>
      <c r="CG768" t="str">
        <f>""</f>
        <v/>
      </c>
      <c r="CH768" t="str">
        <f>""</f>
        <v/>
      </c>
      <c r="CI768" t="str">
        <f>""</f>
        <v/>
      </c>
      <c r="CJ768" t="str">
        <f>""</f>
        <v/>
      </c>
      <c r="CK768" t="str">
        <f>""</f>
        <v/>
      </c>
      <c r="CL768" t="str">
        <f>""</f>
        <v/>
      </c>
      <c r="CM768" t="str">
        <f>""</f>
        <v/>
      </c>
      <c r="CN768" t="str">
        <f>""</f>
        <v/>
      </c>
      <c r="CO768" t="str">
        <f>""</f>
        <v/>
      </c>
      <c r="CP768" t="str">
        <f>""</f>
        <v/>
      </c>
      <c r="CQ768" t="str">
        <f>""</f>
        <v/>
      </c>
      <c r="CR768" t="str">
        <f>""</f>
        <v/>
      </c>
      <c r="CS768" t="str">
        <f>""</f>
        <v/>
      </c>
      <c r="CT768" t="str">
        <f>""</f>
        <v/>
      </c>
      <c r="CU768" t="str">
        <f>""</f>
        <v/>
      </c>
      <c r="CV768" t="str">
        <f>""</f>
        <v/>
      </c>
      <c r="CW768" t="str">
        <f>""</f>
        <v/>
      </c>
      <c r="CX768" t="str">
        <f>""</f>
        <v/>
      </c>
      <c r="CY768" t="str">
        <f>""</f>
        <v/>
      </c>
      <c r="CZ768" t="str">
        <f>""</f>
        <v/>
      </c>
      <c r="DA768" t="str">
        <f>""</f>
        <v/>
      </c>
      <c r="DB768" t="str">
        <f>""</f>
        <v/>
      </c>
      <c r="DC768" t="str">
        <f>""</f>
        <v/>
      </c>
      <c r="DD768" t="str">
        <f>""</f>
        <v/>
      </c>
      <c r="DE768" t="str">
        <f>""</f>
        <v/>
      </c>
      <c r="DF768" t="str">
        <f>""</f>
        <v/>
      </c>
      <c r="DG768" t="str">
        <f>""</f>
        <v/>
      </c>
      <c r="DH768" t="str">
        <f>""</f>
        <v/>
      </c>
      <c r="DI768" t="str">
        <f>""</f>
        <v/>
      </c>
      <c r="DJ768" t="str">
        <f>""</f>
        <v/>
      </c>
      <c r="DK768" t="str">
        <f>""</f>
        <v/>
      </c>
      <c r="DL768" t="str">
        <f>""</f>
        <v/>
      </c>
      <c r="DM768" t="str">
        <f>""</f>
        <v/>
      </c>
      <c r="DN768" t="str">
        <f>""</f>
        <v/>
      </c>
      <c r="DO768" t="str">
        <f>""</f>
        <v/>
      </c>
      <c r="DP768" t="str">
        <f>""</f>
        <v/>
      </c>
      <c r="DQ768" t="str">
        <f>""</f>
        <v/>
      </c>
      <c r="DR768" t="str">
        <f>""</f>
        <v/>
      </c>
      <c r="DS768" t="str">
        <f>""</f>
        <v/>
      </c>
      <c r="DT768" t="str">
        <f>""</f>
        <v/>
      </c>
      <c r="DU768" t="str">
        <f>""</f>
        <v/>
      </c>
    </row>
    <row r="769" spans="1:125">
      <c r="A769" t="str">
        <f>$A$328</f>
        <v xml:space="preserve">    Federal Realty Investment Trus</v>
      </c>
      <c r="B769" t="str">
        <f>$B$328</f>
        <v>FRT US Equity</v>
      </c>
      <c r="C769" t="str">
        <f>$C$328</f>
        <v>RR253</v>
      </c>
      <c r="D769" t="str">
        <f>$D$328</f>
        <v>CASH_AND_MARKETABLE_SECURITIES</v>
      </c>
      <c r="E769" t="str">
        <f>$E$328</f>
        <v>动态</v>
      </c>
      <c r="F769" t="str">
        <f ca="1">BDH($B$328,$C$328,$B$417,$B$418,CONCATENATE("Per=",$B$415),"Dts=H","Dir=H",CONCATENATE("Points=",$B$416),"Sort=R","Days=A","Fill=B",CONCATENATE("FX=", $B$414) )</f>
        <v>#N/A Authorization</v>
      </c>
      <c r="BN769" t="str">
        <f>""</f>
        <v/>
      </c>
      <c r="BO769" t="str">
        <f>""</f>
        <v/>
      </c>
      <c r="BP769" t="str">
        <f>""</f>
        <v/>
      </c>
      <c r="BQ769" t="str">
        <f>""</f>
        <v/>
      </c>
      <c r="BR769" t="str">
        <f>""</f>
        <v/>
      </c>
      <c r="BS769" t="str">
        <f>""</f>
        <v/>
      </c>
      <c r="BT769" t="str">
        <f>""</f>
        <v/>
      </c>
      <c r="BU769" t="str">
        <f>""</f>
        <v/>
      </c>
      <c r="BV769" t="str">
        <f>""</f>
        <v/>
      </c>
      <c r="BW769" t="str">
        <f>""</f>
        <v/>
      </c>
      <c r="BX769" t="str">
        <f>""</f>
        <v/>
      </c>
      <c r="BY769" t="str">
        <f>""</f>
        <v/>
      </c>
      <c r="BZ769" t="str">
        <f>""</f>
        <v/>
      </c>
      <c r="CA769" t="str">
        <f>""</f>
        <v/>
      </c>
      <c r="CB769" t="str">
        <f>""</f>
        <v/>
      </c>
      <c r="CC769" t="str">
        <f>""</f>
        <v/>
      </c>
      <c r="CD769" t="str">
        <f>""</f>
        <v/>
      </c>
      <c r="CE769" t="str">
        <f>""</f>
        <v/>
      </c>
      <c r="CF769" t="str">
        <f>""</f>
        <v/>
      </c>
      <c r="CG769" t="str">
        <f>""</f>
        <v/>
      </c>
      <c r="CH769" t="str">
        <f>""</f>
        <v/>
      </c>
      <c r="CI769" t="str">
        <f>""</f>
        <v/>
      </c>
      <c r="CJ769" t="str">
        <f>""</f>
        <v/>
      </c>
      <c r="CK769" t="str">
        <f>""</f>
        <v/>
      </c>
      <c r="CL769" t="str">
        <f>""</f>
        <v/>
      </c>
      <c r="CM769" t="str">
        <f>""</f>
        <v/>
      </c>
      <c r="CN769" t="str">
        <f>""</f>
        <v/>
      </c>
      <c r="CO769" t="str">
        <f>""</f>
        <v/>
      </c>
      <c r="CP769" t="str">
        <f>""</f>
        <v/>
      </c>
      <c r="CQ769" t="str">
        <f>""</f>
        <v/>
      </c>
      <c r="CR769" t="str">
        <f>""</f>
        <v/>
      </c>
      <c r="CS769" t="str">
        <f>""</f>
        <v/>
      </c>
      <c r="CT769" t="str">
        <f>""</f>
        <v/>
      </c>
      <c r="CU769" t="str">
        <f>""</f>
        <v/>
      </c>
      <c r="CV769" t="str">
        <f>""</f>
        <v/>
      </c>
      <c r="CW769" t="str">
        <f>""</f>
        <v/>
      </c>
      <c r="CX769" t="str">
        <f>""</f>
        <v/>
      </c>
      <c r="CY769" t="str">
        <f>""</f>
        <v/>
      </c>
      <c r="CZ769" t="str">
        <f>""</f>
        <v/>
      </c>
      <c r="DA769" t="str">
        <f>""</f>
        <v/>
      </c>
      <c r="DB769" t="str">
        <f>""</f>
        <v/>
      </c>
      <c r="DC769" t="str">
        <f>""</f>
        <v/>
      </c>
      <c r="DD769" t="str">
        <f>""</f>
        <v/>
      </c>
      <c r="DE769" t="str">
        <f>""</f>
        <v/>
      </c>
      <c r="DF769" t="str">
        <f>""</f>
        <v/>
      </c>
      <c r="DG769" t="str">
        <f>""</f>
        <v/>
      </c>
      <c r="DH769" t="str">
        <f>""</f>
        <v/>
      </c>
      <c r="DI769" t="str">
        <f>""</f>
        <v/>
      </c>
      <c r="DJ769" t="str">
        <f>""</f>
        <v/>
      </c>
      <c r="DK769" t="str">
        <f>""</f>
        <v/>
      </c>
      <c r="DL769" t="str">
        <f>""</f>
        <v/>
      </c>
      <c r="DM769" t="str">
        <f>""</f>
        <v/>
      </c>
      <c r="DN769" t="str">
        <f>""</f>
        <v/>
      </c>
      <c r="DO769" t="str">
        <f>""</f>
        <v/>
      </c>
      <c r="DP769" t="str">
        <f>""</f>
        <v/>
      </c>
      <c r="DQ769" t="str">
        <f>""</f>
        <v/>
      </c>
      <c r="DR769" t="str">
        <f>""</f>
        <v/>
      </c>
      <c r="DS769" t="str">
        <f>""</f>
        <v/>
      </c>
      <c r="DT769" t="str">
        <f>""</f>
        <v/>
      </c>
      <c r="DU769" t="str">
        <f>""</f>
        <v/>
      </c>
    </row>
    <row r="770" spans="1:125">
      <c r="A770" t="str">
        <f>$A$329</f>
        <v xml:space="preserve">    Kimco Realty Corp</v>
      </c>
      <c r="B770" t="str">
        <f>$B$329</f>
        <v>KIM US Equity</v>
      </c>
      <c r="C770" t="str">
        <f>$C$329</f>
        <v>RR253</v>
      </c>
      <c r="D770" t="str">
        <f>$D$329</f>
        <v>CASH_AND_MARKETABLE_SECURITIES</v>
      </c>
      <c r="E770" t="str">
        <f>$E$329</f>
        <v>动态</v>
      </c>
      <c r="F770" t="str">
        <f ca="1">BDH($B$329,$C$329,$B$417,$B$418,CONCATENATE("Per=",$B$415),"Dts=H","Dir=H",CONCATENATE("Points=",$B$416),"Sort=R","Days=A","Fill=B",CONCATENATE("FX=", $B$414) )</f>
        <v>#N/A Authorization</v>
      </c>
      <c r="BN770" t="str">
        <f>""</f>
        <v/>
      </c>
      <c r="BO770" t="str">
        <f>""</f>
        <v/>
      </c>
      <c r="BP770" t="str">
        <f>""</f>
        <v/>
      </c>
      <c r="BQ770" t="str">
        <f>""</f>
        <v/>
      </c>
      <c r="BR770" t="str">
        <f>""</f>
        <v/>
      </c>
      <c r="BS770" t="str">
        <f>""</f>
        <v/>
      </c>
      <c r="BT770" t="str">
        <f>""</f>
        <v/>
      </c>
      <c r="BU770" t="str">
        <f>""</f>
        <v/>
      </c>
      <c r="BV770" t="str">
        <f>""</f>
        <v/>
      </c>
      <c r="BW770" t="str">
        <f>""</f>
        <v/>
      </c>
      <c r="BX770" t="str">
        <f>""</f>
        <v/>
      </c>
      <c r="BY770" t="str">
        <f>""</f>
        <v/>
      </c>
      <c r="BZ770" t="str">
        <f>""</f>
        <v/>
      </c>
      <c r="CA770" t="str">
        <f>""</f>
        <v/>
      </c>
      <c r="CB770" t="str">
        <f>""</f>
        <v/>
      </c>
      <c r="CC770" t="str">
        <f>""</f>
        <v/>
      </c>
      <c r="CD770" t="str">
        <f>""</f>
        <v/>
      </c>
      <c r="CE770" t="str">
        <f>""</f>
        <v/>
      </c>
      <c r="CF770" t="str">
        <f>""</f>
        <v/>
      </c>
      <c r="CG770" t="str">
        <f>""</f>
        <v/>
      </c>
      <c r="CH770" t="str">
        <f>""</f>
        <v/>
      </c>
      <c r="CI770" t="str">
        <f>""</f>
        <v/>
      </c>
      <c r="CJ770" t="str">
        <f>""</f>
        <v/>
      </c>
      <c r="CK770" t="str">
        <f>""</f>
        <v/>
      </c>
      <c r="CL770" t="str">
        <f>""</f>
        <v/>
      </c>
      <c r="CM770" t="str">
        <f>""</f>
        <v/>
      </c>
      <c r="CN770" t="str">
        <f>""</f>
        <v/>
      </c>
      <c r="CO770" t="str">
        <f>""</f>
        <v/>
      </c>
      <c r="CP770" t="str">
        <f>""</f>
        <v/>
      </c>
      <c r="CQ770" t="str">
        <f>""</f>
        <v/>
      </c>
      <c r="CR770" t="str">
        <f>""</f>
        <v/>
      </c>
      <c r="CS770" t="str">
        <f>""</f>
        <v/>
      </c>
      <c r="CT770" t="str">
        <f>""</f>
        <v/>
      </c>
      <c r="CU770" t="str">
        <f>""</f>
        <v/>
      </c>
      <c r="CV770" t="str">
        <f>""</f>
        <v/>
      </c>
      <c r="CW770" t="str">
        <f>""</f>
        <v/>
      </c>
      <c r="CX770" t="str">
        <f>""</f>
        <v/>
      </c>
      <c r="CY770" t="str">
        <f>""</f>
        <v/>
      </c>
      <c r="CZ770" t="str">
        <f>""</f>
        <v/>
      </c>
      <c r="DA770" t="str">
        <f>""</f>
        <v/>
      </c>
      <c r="DB770" t="str">
        <f>""</f>
        <v/>
      </c>
      <c r="DC770" t="str">
        <f>""</f>
        <v/>
      </c>
      <c r="DD770" t="str">
        <f>""</f>
        <v/>
      </c>
      <c r="DE770" t="str">
        <f>""</f>
        <v/>
      </c>
      <c r="DF770" t="str">
        <f>""</f>
        <v/>
      </c>
      <c r="DG770" t="str">
        <f>""</f>
        <v/>
      </c>
      <c r="DH770" t="str">
        <f>""</f>
        <v/>
      </c>
      <c r="DI770" t="str">
        <f>""</f>
        <v/>
      </c>
      <c r="DJ770" t="str">
        <f>""</f>
        <v/>
      </c>
      <c r="DK770" t="str">
        <f>""</f>
        <v/>
      </c>
      <c r="DL770" t="str">
        <f>""</f>
        <v/>
      </c>
      <c r="DM770" t="str">
        <f>""</f>
        <v/>
      </c>
      <c r="DN770" t="str">
        <f>""</f>
        <v/>
      </c>
      <c r="DO770" t="str">
        <f>""</f>
        <v/>
      </c>
      <c r="DP770" t="str">
        <f>""</f>
        <v/>
      </c>
      <c r="DQ770" t="str">
        <f>""</f>
        <v/>
      </c>
      <c r="DR770" t="str">
        <f>""</f>
        <v/>
      </c>
      <c r="DS770" t="str">
        <f>""</f>
        <v/>
      </c>
      <c r="DT770" t="str">
        <f>""</f>
        <v/>
      </c>
      <c r="DU770" t="str">
        <f>""</f>
        <v/>
      </c>
    </row>
    <row r="771" spans="1:125">
      <c r="A771" t="str">
        <f>$A$330</f>
        <v xml:space="preserve">    National Retail Properties Inc</v>
      </c>
      <c r="B771" t="str">
        <f>$B$330</f>
        <v>NNN US Equity</v>
      </c>
      <c r="C771" t="str">
        <f>$C$330</f>
        <v>RR253</v>
      </c>
      <c r="D771" t="str">
        <f>$D$330</f>
        <v>CASH_AND_MARKETABLE_SECURITIES</v>
      </c>
      <c r="E771" t="str">
        <f>$E$330</f>
        <v>动态</v>
      </c>
      <c r="F771" t="str">
        <f ca="1">BDH($B$330,$C$330,$B$417,$B$418,CONCATENATE("Per=",$B$415),"Dts=H","Dir=H",CONCATENATE("Points=",$B$416),"Sort=R","Days=A","Fill=B",CONCATENATE("FX=", $B$414) )</f>
        <v>#N/A Authorization</v>
      </c>
      <c r="BN771" t="str">
        <f>""</f>
        <v/>
      </c>
      <c r="BO771" t="str">
        <f>""</f>
        <v/>
      </c>
      <c r="BP771" t="str">
        <f>""</f>
        <v/>
      </c>
      <c r="BQ771" t="str">
        <f>""</f>
        <v/>
      </c>
      <c r="BR771" t="str">
        <f>""</f>
        <v/>
      </c>
      <c r="BS771" t="str">
        <f>""</f>
        <v/>
      </c>
      <c r="BT771" t="str">
        <f>""</f>
        <v/>
      </c>
      <c r="BU771" t="str">
        <f>""</f>
        <v/>
      </c>
      <c r="BV771" t="str">
        <f>""</f>
        <v/>
      </c>
      <c r="BW771" t="str">
        <f>""</f>
        <v/>
      </c>
      <c r="BX771" t="str">
        <f>""</f>
        <v/>
      </c>
      <c r="BY771" t="str">
        <f>""</f>
        <v/>
      </c>
      <c r="BZ771" t="str">
        <f>""</f>
        <v/>
      </c>
      <c r="CA771" t="str">
        <f>""</f>
        <v/>
      </c>
      <c r="CB771" t="str">
        <f>""</f>
        <v/>
      </c>
      <c r="CC771" t="str">
        <f>""</f>
        <v/>
      </c>
      <c r="CD771" t="str">
        <f>""</f>
        <v/>
      </c>
      <c r="CE771" t="str">
        <f>""</f>
        <v/>
      </c>
      <c r="CF771" t="str">
        <f>""</f>
        <v/>
      </c>
      <c r="CG771" t="str">
        <f>""</f>
        <v/>
      </c>
      <c r="CH771" t="str">
        <f>""</f>
        <v/>
      </c>
      <c r="CI771" t="str">
        <f>""</f>
        <v/>
      </c>
      <c r="CJ771" t="str">
        <f>""</f>
        <v/>
      </c>
      <c r="CK771" t="str">
        <f>""</f>
        <v/>
      </c>
      <c r="CL771" t="str">
        <f>""</f>
        <v/>
      </c>
      <c r="CM771" t="str">
        <f>""</f>
        <v/>
      </c>
      <c r="CN771" t="str">
        <f>""</f>
        <v/>
      </c>
      <c r="CO771" t="str">
        <f>""</f>
        <v/>
      </c>
      <c r="CP771" t="str">
        <f>""</f>
        <v/>
      </c>
      <c r="CQ771" t="str">
        <f>""</f>
        <v/>
      </c>
      <c r="CR771" t="str">
        <f>""</f>
        <v/>
      </c>
      <c r="CS771" t="str">
        <f>""</f>
        <v/>
      </c>
      <c r="CT771" t="str">
        <f>""</f>
        <v/>
      </c>
      <c r="CU771" t="str">
        <f>""</f>
        <v/>
      </c>
      <c r="CV771" t="str">
        <f>""</f>
        <v/>
      </c>
      <c r="CW771" t="str">
        <f>""</f>
        <v/>
      </c>
      <c r="CX771" t="str">
        <f>""</f>
        <v/>
      </c>
      <c r="CY771" t="str">
        <f>""</f>
        <v/>
      </c>
      <c r="CZ771" t="str">
        <f>""</f>
        <v/>
      </c>
      <c r="DA771" t="str">
        <f>""</f>
        <v/>
      </c>
      <c r="DB771" t="str">
        <f>""</f>
        <v/>
      </c>
      <c r="DC771" t="str">
        <f>""</f>
        <v/>
      </c>
      <c r="DD771" t="str">
        <f>""</f>
        <v/>
      </c>
      <c r="DE771" t="str">
        <f>""</f>
        <v/>
      </c>
      <c r="DF771" t="str">
        <f>""</f>
        <v/>
      </c>
      <c r="DG771" t="str">
        <f>""</f>
        <v/>
      </c>
      <c r="DH771" t="str">
        <f>""</f>
        <v/>
      </c>
      <c r="DI771" t="str">
        <f>""</f>
        <v/>
      </c>
      <c r="DJ771" t="str">
        <f>""</f>
        <v/>
      </c>
      <c r="DK771" t="str">
        <f>""</f>
        <v/>
      </c>
      <c r="DL771" t="str">
        <f>""</f>
        <v/>
      </c>
      <c r="DM771" t="str">
        <f>""</f>
        <v/>
      </c>
      <c r="DN771" t="str">
        <f>""</f>
        <v/>
      </c>
      <c r="DO771" t="str">
        <f>""</f>
        <v/>
      </c>
      <c r="DP771" t="str">
        <f>""</f>
        <v/>
      </c>
      <c r="DQ771" t="str">
        <f>""</f>
        <v/>
      </c>
      <c r="DR771" t="str">
        <f>""</f>
        <v/>
      </c>
      <c r="DS771" t="str">
        <f>""</f>
        <v/>
      </c>
      <c r="DT771" t="str">
        <f>""</f>
        <v/>
      </c>
      <c r="DU771" t="str">
        <f>""</f>
        <v/>
      </c>
    </row>
    <row r="772" spans="1:125">
      <c r="A772" t="str">
        <f>$A$331</f>
        <v xml:space="preserve">    Realty Income Corp</v>
      </c>
      <c r="B772" t="str">
        <f>$B$331</f>
        <v>O US Equity</v>
      </c>
      <c r="C772" t="str">
        <f>$C$331</f>
        <v>RR253</v>
      </c>
      <c r="D772" t="str">
        <f>$D$331</f>
        <v>CASH_AND_MARKETABLE_SECURITIES</v>
      </c>
      <c r="E772" t="str">
        <f>$E$331</f>
        <v>动态</v>
      </c>
      <c r="F772" t="str">
        <f ca="1">BDH($B$331,$C$331,$B$417,$B$418,CONCATENATE("Per=",$B$415),"Dts=H","Dir=H",CONCATENATE("Points=",$B$416),"Sort=R","Days=A","Fill=B",CONCATENATE("FX=", $B$414) )</f>
        <v>#N/A Authorization</v>
      </c>
      <c r="BN772" t="str">
        <f>""</f>
        <v/>
      </c>
      <c r="BO772" t="str">
        <f>""</f>
        <v/>
      </c>
      <c r="BP772" t="str">
        <f>""</f>
        <v/>
      </c>
      <c r="BQ772" t="str">
        <f>""</f>
        <v/>
      </c>
      <c r="BR772" t="str">
        <f>""</f>
        <v/>
      </c>
      <c r="BS772" t="str">
        <f>""</f>
        <v/>
      </c>
      <c r="BT772" t="str">
        <f>""</f>
        <v/>
      </c>
      <c r="BU772" t="str">
        <f>""</f>
        <v/>
      </c>
      <c r="BV772" t="str">
        <f>""</f>
        <v/>
      </c>
      <c r="BW772" t="str">
        <f>""</f>
        <v/>
      </c>
      <c r="BX772" t="str">
        <f>""</f>
        <v/>
      </c>
      <c r="BY772" t="str">
        <f>""</f>
        <v/>
      </c>
      <c r="BZ772" t="str">
        <f>""</f>
        <v/>
      </c>
      <c r="CA772" t="str">
        <f>""</f>
        <v/>
      </c>
      <c r="CB772" t="str">
        <f>""</f>
        <v/>
      </c>
      <c r="CC772" t="str">
        <f>""</f>
        <v/>
      </c>
      <c r="CD772" t="str">
        <f>""</f>
        <v/>
      </c>
      <c r="CE772" t="str">
        <f>""</f>
        <v/>
      </c>
      <c r="CF772" t="str">
        <f>""</f>
        <v/>
      </c>
      <c r="CG772" t="str">
        <f>""</f>
        <v/>
      </c>
      <c r="CH772" t="str">
        <f>""</f>
        <v/>
      </c>
      <c r="CI772" t="str">
        <f>""</f>
        <v/>
      </c>
      <c r="CJ772" t="str">
        <f>""</f>
        <v/>
      </c>
      <c r="CK772" t="str">
        <f>""</f>
        <v/>
      </c>
      <c r="CL772" t="str">
        <f>""</f>
        <v/>
      </c>
      <c r="CM772" t="str">
        <f>""</f>
        <v/>
      </c>
      <c r="CN772" t="str">
        <f>""</f>
        <v/>
      </c>
      <c r="CO772" t="str">
        <f>""</f>
        <v/>
      </c>
      <c r="CP772" t="str">
        <f>""</f>
        <v/>
      </c>
      <c r="CQ772" t="str">
        <f>""</f>
        <v/>
      </c>
      <c r="CR772" t="str">
        <f>""</f>
        <v/>
      </c>
      <c r="CS772" t="str">
        <f>""</f>
        <v/>
      </c>
      <c r="CT772" t="str">
        <f>""</f>
        <v/>
      </c>
      <c r="CU772" t="str">
        <f>""</f>
        <v/>
      </c>
      <c r="CV772" t="str">
        <f>""</f>
        <v/>
      </c>
      <c r="CW772" t="str">
        <f>""</f>
        <v/>
      </c>
      <c r="CX772" t="str">
        <f>""</f>
        <v/>
      </c>
      <c r="CY772" t="str">
        <f>""</f>
        <v/>
      </c>
      <c r="CZ772" t="str">
        <f>""</f>
        <v/>
      </c>
      <c r="DA772" t="str">
        <f>""</f>
        <v/>
      </c>
      <c r="DB772" t="str">
        <f>""</f>
        <v/>
      </c>
      <c r="DC772" t="str">
        <f>""</f>
        <v/>
      </c>
      <c r="DD772" t="str">
        <f>""</f>
        <v/>
      </c>
      <c r="DE772" t="str">
        <f>""</f>
        <v/>
      </c>
      <c r="DF772" t="str">
        <f>""</f>
        <v/>
      </c>
      <c r="DG772" t="str">
        <f>""</f>
        <v/>
      </c>
      <c r="DH772" t="str">
        <f>""</f>
        <v/>
      </c>
      <c r="DI772" t="str">
        <f>""</f>
        <v/>
      </c>
      <c r="DJ772" t="str">
        <f>""</f>
        <v/>
      </c>
      <c r="DK772" t="str">
        <f>""</f>
        <v/>
      </c>
      <c r="DL772" t="str">
        <f>""</f>
        <v/>
      </c>
      <c r="DM772" t="str">
        <f>""</f>
        <v/>
      </c>
      <c r="DN772" t="str">
        <f>""</f>
        <v/>
      </c>
      <c r="DO772" t="str">
        <f>""</f>
        <v/>
      </c>
      <c r="DP772" t="str">
        <f>""</f>
        <v/>
      </c>
      <c r="DQ772" t="str">
        <f>""</f>
        <v/>
      </c>
      <c r="DR772" t="str">
        <f>""</f>
        <v/>
      </c>
      <c r="DS772" t="str">
        <f>""</f>
        <v/>
      </c>
      <c r="DT772" t="str">
        <f>""</f>
        <v/>
      </c>
      <c r="DU772" t="str">
        <f>""</f>
        <v/>
      </c>
    </row>
    <row r="773" spans="1:125">
      <c r="A773" t="str">
        <f>$A$332</f>
        <v xml:space="preserve">    Regency Centers Corp</v>
      </c>
      <c r="B773" t="str">
        <f>$B$332</f>
        <v>REG US Equity</v>
      </c>
      <c r="C773" t="str">
        <f>$C$332</f>
        <v>RR253</v>
      </c>
      <c r="D773" t="str">
        <f>$D$332</f>
        <v>CASH_AND_MARKETABLE_SECURITIES</v>
      </c>
      <c r="E773" t="str">
        <f>$E$332</f>
        <v>动态</v>
      </c>
      <c r="F773" t="str">
        <f ca="1">BDH($B$332,$C$332,$B$417,$B$418,CONCATENATE("Per=",$B$415),"Dts=H","Dir=H",CONCATENATE("Points=",$B$416),"Sort=R","Days=A","Fill=B",CONCATENATE("FX=", $B$414) )</f>
        <v>#N/A Authorization</v>
      </c>
      <c r="BN773" t="str">
        <f>""</f>
        <v/>
      </c>
      <c r="BO773" t="str">
        <f>""</f>
        <v/>
      </c>
      <c r="BP773" t="str">
        <f>""</f>
        <v/>
      </c>
      <c r="BQ773" t="str">
        <f>""</f>
        <v/>
      </c>
      <c r="BR773" t="str">
        <f>""</f>
        <v/>
      </c>
      <c r="BS773" t="str">
        <f>""</f>
        <v/>
      </c>
      <c r="BT773" t="str">
        <f>""</f>
        <v/>
      </c>
      <c r="BU773" t="str">
        <f>""</f>
        <v/>
      </c>
      <c r="BV773" t="str">
        <f>""</f>
        <v/>
      </c>
      <c r="BW773" t="str">
        <f>""</f>
        <v/>
      </c>
      <c r="BX773" t="str">
        <f>""</f>
        <v/>
      </c>
      <c r="BY773" t="str">
        <f>""</f>
        <v/>
      </c>
      <c r="BZ773" t="str">
        <f>""</f>
        <v/>
      </c>
      <c r="CA773" t="str">
        <f>""</f>
        <v/>
      </c>
      <c r="CB773" t="str">
        <f>""</f>
        <v/>
      </c>
      <c r="CC773" t="str">
        <f>""</f>
        <v/>
      </c>
      <c r="CD773" t="str">
        <f>""</f>
        <v/>
      </c>
      <c r="CE773" t="str">
        <f>""</f>
        <v/>
      </c>
      <c r="CF773" t="str">
        <f>""</f>
        <v/>
      </c>
      <c r="CG773" t="str">
        <f>""</f>
        <v/>
      </c>
      <c r="CH773" t="str">
        <f>""</f>
        <v/>
      </c>
      <c r="CI773" t="str">
        <f>""</f>
        <v/>
      </c>
      <c r="CJ773" t="str">
        <f>""</f>
        <v/>
      </c>
      <c r="CK773" t="str">
        <f>""</f>
        <v/>
      </c>
      <c r="CL773" t="str">
        <f>""</f>
        <v/>
      </c>
      <c r="CM773" t="str">
        <f>""</f>
        <v/>
      </c>
      <c r="CN773" t="str">
        <f>""</f>
        <v/>
      </c>
      <c r="CO773" t="str">
        <f>""</f>
        <v/>
      </c>
      <c r="CP773" t="str">
        <f>""</f>
        <v/>
      </c>
      <c r="CQ773" t="str">
        <f>""</f>
        <v/>
      </c>
      <c r="CR773" t="str">
        <f>""</f>
        <v/>
      </c>
      <c r="CS773" t="str">
        <f>""</f>
        <v/>
      </c>
      <c r="CT773" t="str">
        <f>""</f>
        <v/>
      </c>
      <c r="CU773" t="str">
        <f>""</f>
        <v/>
      </c>
      <c r="CV773" t="str">
        <f>""</f>
        <v/>
      </c>
      <c r="CW773" t="str">
        <f>""</f>
        <v/>
      </c>
      <c r="CX773" t="str">
        <f>""</f>
        <v/>
      </c>
      <c r="CY773" t="str">
        <f>""</f>
        <v/>
      </c>
      <c r="CZ773" t="str">
        <f>""</f>
        <v/>
      </c>
      <c r="DA773" t="str">
        <f>""</f>
        <v/>
      </c>
      <c r="DB773" t="str">
        <f>""</f>
        <v/>
      </c>
      <c r="DC773" t="str">
        <f>""</f>
        <v/>
      </c>
      <c r="DD773" t="str">
        <f>""</f>
        <v/>
      </c>
      <c r="DE773" t="str">
        <f>""</f>
        <v/>
      </c>
      <c r="DF773" t="str">
        <f>""</f>
        <v/>
      </c>
      <c r="DG773" t="str">
        <f>""</f>
        <v/>
      </c>
      <c r="DH773" t="str">
        <f>""</f>
        <v/>
      </c>
      <c r="DI773" t="str">
        <f>""</f>
        <v/>
      </c>
      <c r="DJ773" t="str">
        <f>""</f>
        <v/>
      </c>
      <c r="DK773" t="str">
        <f>""</f>
        <v/>
      </c>
      <c r="DL773" t="str">
        <f>""</f>
        <v/>
      </c>
      <c r="DM773" t="str">
        <f>""</f>
        <v/>
      </c>
      <c r="DN773" t="str">
        <f>""</f>
        <v/>
      </c>
      <c r="DO773" t="str">
        <f>""</f>
        <v/>
      </c>
      <c r="DP773" t="str">
        <f>""</f>
        <v/>
      </c>
      <c r="DQ773" t="str">
        <f>""</f>
        <v/>
      </c>
      <c r="DR773" t="str">
        <f>""</f>
        <v/>
      </c>
      <c r="DS773" t="str">
        <f>""</f>
        <v/>
      </c>
      <c r="DT773" t="str">
        <f>""</f>
        <v/>
      </c>
      <c r="DU773" t="str">
        <f>""</f>
        <v/>
      </c>
    </row>
    <row r="774" spans="1:125">
      <c r="A774" t="str">
        <f>$A$333</f>
        <v xml:space="preserve">    Retail Opportunity Investments</v>
      </c>
      <c r="B774" t="str">
        <f>$B$333</f>
        <v>ROIC US Equity</v>
      </c>
      <c r="C774" t="str">
        <f>$C$333</f>
        <v>RR253</v>
      </c>
      <c r="D774" t="str">
        <f>$D$333</f>
        <v>CASH_AND_MARKETABLE_SECURITIES</v>
      </c>
      <c r="E774" t="str">
        <f>$E$333</f>
        <v>动态</v>
      </c>
      <c r="F774" t="str">
        <f ca="1">BDH($B$333,$C$333,$B$417,$B$418,CONCATENATE("Per=",$B$415),"Dts=H","Dir=H",CONCATENATE("Points=",$B$416),"Sort=R","Days=A","Fill=B",CONCATENATE("FX=", $B$414) )</f>
        <v>#N/A Authorization</v>
      </c>
      <c r="BN774" t="str">
        <f>""</f>
        <v/>
      </c>
      <c r="BO774" t="str">
        <f>""</f>
        <v/>
      </c>
      <c r="BP774" t="str">
        <f>""</f>
        <v/>
      </c>
      <c r="BQ774" t="str">
        <f>""</f>
        <v/>
      </c>
      <c r="BR774" t="str">
        <f>""</f>
        <v/>
      </c>
      <c r="BS774" t="str">
        <f>""</f>
        <v/>
      </c>
      <c r="BT774" t="str">
        <f>""</f>
        <v/>
      </c>
      <c r="BU774" t="str">
        <f>""</f>
        <v/>
      </c>
      <c r="BV774" t="str">
        <f>""</f>
        <v/>
      </c>
      <c r="BW774" t="str">
        <f>""</f>
        <v/>
      </c>
      <c r="BX774" t="str">
        <f>""</f>
        <v/>
      </c>
      <c r="BY774" t="str">
        <f>""</f>
        <v/>
      </c>
      <c r="BZ774" t="str">
        <f>""</f>
        <v/>
      </c>
      <c r="CA774" t="str">
        <f>""</f>
        <v/>
      </c>
      <c r="CB774" t="str">
        <f>""</f>
        <v/>
      </c>
      <c r="CC774" t="str">
        <f>""</f>
        <v/>
      </c>
      <c r="CD774" t="str">
        <f>""</f>
        <v/>
      </c>
      <c r="CE774" t="str">
        <f>""</f>
        <v/>
      </c>
      <c r="CF774" t="str">
        <f>""</f>
        <v/>
      </c>
      <c r="CG774" t="str">
        <f>""</f>
        <v/>
      </c>
      <c r="CH774" t="str">
        <f>""</f>
        <v/>
      </c>
      <c r="CI774" t="str">
        <f>""</f>
        <v/>
      </c>
      <c r="CJ774" t="str">
        <f>""</f>
        <v/>
      </c>
      <c r="CK774" t="str">
        <f>""</f>
        <v/>
      </c>
      <c r="CL774" t="str">
        <f>""</f>
        <v/>
      </c>
      <c r="CM774" t="str">
        <f>""</f>
        <v/>
      </c>
      <c r="CN774" t="str">
        <f>""</f>
        <v/>
      </c>
      <c r="CO774" t="str">
        <f>""</f>
        <v/>
      </c>
      <c r="CP774" t="str">
        <f>""</f>
        <v/>
      </c>
      <c r="CQ774" t="str">
        <f>""</f>
        <v/>
      </c>
      <c r="CR774" t="str">
        <f>""</f>
        <v/>
      </c>
      <c r="CS774" t="str">
        <f>""</f>
        <v/>
      </c>
      <c r="CT774" t="str">
        <f>""</f>
        <v/>
      </c>
      <c r="CU774" t="str">
        <f>""</f>
        <v/>
      </c>
      <c r="CV774" t="str">
        <f>""</f>
        <v/>
      </c>
      <c r="CW774" t="str">
        <f>""</f>
        <v/>
      </c>
      <c r="CX774" t="str">
        <f>""</f>
        <v/>
      </c>
      <c r="CY774" t="str">
        <f>""</f>
        <v/>
      </c>
      <c r="CZ774" t="str">
        <f>""</f>
        <v/>
      </c>
      <c r="DA774" t="str">
        <f>""</f>
        <v/>
      </c>
      <c r="DB774" t="str">
        <f>""</f>
        <v/>
      </c>
      <c r="DC774" t="str">
        <f>""</f>
        <v/>
      </c>
      <c r="DD774" t="str">
        <f>""</f>
        <v/>
      </c>
      <c r="DE774" t="str">
        <f>""</f>
        <v/>
      </c>
      <c r="DF774" t="str">
        <f>""</f>
        <v/>
      </c>
      <c r="DG774" t="str">
        <f>""</f>
        <v/>
      </c>
      <c r="DH774" t="str">
        <f>""</f>
        <v/>
      </c>
      <c r="DI774" t="str">
        <f>""</f>
        <v/>
      </c>
      <c r="DJ774" t="str">
        <f>""</f>
        <v/>
      </c>
      <c r="DK774" t="str">
        <f>""</f>
        <v/>
      </c>
      <c r="DL774" t="str">
        <f>""</f>
        <v/>
      </c>
      <c r="DM774" t="str">
        <f>""</f>
        <v/>
      </c>
      <c r="DN774" t="str">
        <f>""</f>
        <v/>
      </c>
      <c r="DO774" t="str">
        <f>""</f>
        <v/>
      </c>
      <c r="DP774" t="str">
        <f>""</f>
        <v/>
      </c>
      <c r="DQ774" t="str">
        <f>""</f>
        <v/>
      </c>
      <c r="DR774" t="str">
        <f>""</f>
        <v/>
      </c>
      <c r="DS774" t="str">
        <f>""</f>
        <v/>
      </c>
      <c r="DT774" t="str">
        <f>""</f>
        <v/>
      </c>
      <c r="DU774" t="str">
        <f>""</f>
        <v/>
      </c>
    </row>
    <row r="775" spans="1:125">
      <c r="A775" t="str">
        <f>$A$334</f>
        <v xml:space="preserve">    Retail Properties of America I</v>
      </c>
      <c r="B775" t="str">
        <f>$B$334</f>
        <v>RPAI US Equity</v>
      </c>
      <c r="C775" t="str">
        <f>$C$334</f>
        <v>RR253</v>
      </c>
      <c r="D775" t="str">
        <f>$D$334</f>
        <v>CASH_AND_MARKETABLE_SECURITIES</v>
      </c>
      <c r="E775" t="str">
        <f>$E$334</f>
        <v>动态</v>
      </c>
      <c r="F775" t="str">
        <f ca="1">BDH($B$334,$C$334,$B$417,$B$418,CONCATENATE("Per=",$B$415),"Dts=H","Dir=H",CONCATENATE("Points=",$B$416),"Sort=R","Days=A","Fill=B",CONCATENATE("FX=", $B$414) )</f>
        <v>#N/A Authorization</v>
      </c>
      <c r="BN775" t="str">
        <f>""</f>
        <v/>
      </c>
      <c r="BO775" t="str">
        <f>""</f>
        <v/>
      </c>
      <c r="BP775" t="str">
        <f>""</f>
        <v/>
      </c>
      <c r="BQ775" t="str">
        <f>""</f>
        <v/>
      </c>
      <c r="BR775" t="str">
        <f>""</f>
        <v/>
      </c>
      <c r="BS775" t="str">
        <f>""</f>
        <v/>
      </c>
      <c r="BT775" t="str">
        <f>""</f>
        <v/>
      </c>
      <c r="BU775" t="str">
        <f>""</f>
        <v/>
      </c>
      <c r="BV775" t="str">
        <f>""</f>
        <v/>
      </c>
      <c r="BW775" t="str">
        <f>""</f>
        <v/>
      </c>
      <c r="BX775" t="str">
        <f>""</f>
        <v/>
      </c>
      <c r="BY775" t="str">
        <f>""</f>
        <v/>
      </c>
      <c r="BZ775" t="str">
        <f>""</f>
        <v/>
      </c>
      <c r="CA775" t="str">
        <f>""</f>
        <v/>
      </c>
      <c r="CB775" t="str">
        <f>""</f>
        <v/>
      </c>
      <c r="CC775" t="str">
        <f>""</f>
        <v/>
      </c>
      <c r="CD775" t="str">
        <f>""</f>
        <v/>
      </c>
      <c r="CE775" t="str">
        <f>""</f>
        <v/>
      </c>
      <c r="CF775" t="str">
        <f>""</f>
        <v/>
      </c>
      <c r="CG775" t="str">
        <f>""</f>
        <v/>
      </c>
      <c r="CH775" t="str">
        <f>""</f>
        <v/>
      </c>
      <c r="CI775" t="str">
        <f>""</f>
        <v/>
      </c>
      <c r="CJ775" t="str">
        <f>""</f>
        <v/>
      </c>
      <c r="CK775" t="str">
        <f>""</f>
        <v/>
      </c>
      <c r="CL775" t="str">
        <f>""</f>
        <v/>
      </c>
      <c r="CM775" t="str">
        <f>""</f>
        <v/>
      </c>
      <c r="CN775" t="str">
        <f>""</f>
        <v/>
      </c>
      <c r="CO775" t="str">
        <f>""</f>
        <v/>
      </c>
      <c r="CP775" t="str">
        <f>""</f>
        <v/>
      </c>
      <c r="CQ775" t="str">
        <f>""</f>
        <v/>
      </c>
      <c r="CR775" t="str">
        <f>""</f>
        <v/>
      </c>
      <c r="CS775" t="str">
        <f>""</f>
        <v/>
      </c>
      <c r="CT775" t="str">
        <f>""</f>
        <v/>
      </c>
      <c r="CU775" t="str">
        <f>""</f>
        <v/>
      </c>
      <c r="CV775" t="str">
        <f>""</f>
        <v/>
      </c>
      <c r="CW775" t="str">
        <f>""</f>
        <v/>
      </c>
      <c r="CX775" t="str">
        <f>""</f>
        <v/>
      </c>
      <c r="CY775" t="str">
        <f>""</f>
        <v/>
      </c>
      <c r="CZ775" t="str">
        <f>""</f>
        <v/>
      </c>
      <c r="DA775" t="str">
        <f>""</f>
        <v/>
      </c>
      <c r="DB775" t="str">
        <f>""</f>
        <v/>
      </c>
      <c r="DC775" t="str">
        <f>""</f>
        <v/>
      </c>
      <c r="DD775" t="str">
        <f>""</f>
        <v/>
      </c>
      <c r="DE775" t="str">
        <f>""</f>
        <v/>
      </c>
      <c r="DF775" t="str">
        <f>""</f>
        <v/>
      </c>
      <c r="DG775" t="str">
        <f>""</f>
        <v/>
      </c>
      <c r="DH775" t="str">
        <f>""</f>
        <v/>
      </c>
      <c r="DI775" t="str">
        <f>""</f>
        <v/>
      </c>
      <c r="DJ775" t="str">
        <f>""</f>
        <v/>
      </c>
      <c r="DK775" t="str">
        <f>""</f>
        <v/>
      </c>
      <c r="DL775" t="str">
        <f>""</f>
        <v/>
      </c>
      <c r="DM775" t="str">
        <f>""</f>
        <v/>
      </c>
      <c r="DN775" t="str">
        <f>""</f>
        <v/>
      </c>
      <c r="DO775" t="str">
        <f>""</f>
        <v/>
      </c>
      <c r="DP775" t="str">
        <f>""</f>
        <v/>
      </c>
      <c r="DQ775" t="str">
        <f>""</f>
        <v/>
      </c>
      <c r="DR775" t="str">
        <f>""</f>
        <v/>
      </c>
      <c r="DS775" t="str">
        <f>""</f>
        <v/>
      </c>
      <c r="DT775" t="str">
        <f>""</f>
        <v/>
      </c>
      <c r="DU775" t="str">
        <f>""</f>
        <v/>
      </c>
    </row>
    <row r="776" spans="1:125">
      <c r="A776" t="str">
        <f>$A$335</f>
        <v xml:space="preserve">    Simon Property Group Inc</v>
      </c>
      <c r="B776" t="str">
        <f>$B$335</f>
        <v>SPG US Equity</v>
      </c>
      <c r="C776" t="str">
        <f>$C$335</f>
        <v>RR253</v>
      </c>
      <c r="D776" t="str">
        <f>$D$335</f>
        <v>CASH_AND_MARKETABLE_SECURITIES</v>
      </c>
      <c r="E776" t="str">
        <f>$E$335</f>
        <v>动态</v>
      </c>
      <c r="F776" t="str">
        <f ca="1">BDH($B$335,$C$335,$B$417,$B$418,CONCATENATE("Per=",$B$415),"Dts=H","Dir=H",CONCATENATE("Points=",$B$416),"Sort=R","Days=A","Fill=B",CONCATENATE("FX=", $B$414) )</f>
        <v>#N/A Authorization</v>
      </c>
      <c r="BN776" t="str">
        <f>""</f>
        <v/>
      </c>
      <c r="BO776" t="str">
        <f>""</f>
        <v/>
      </c>
      <c r="BP776" t="str">
        <f>""</f>
        <v/>
      </c>
      <c r="BQ776" t="str">
        <f>""</f>
        <v/>
      </c>
      <c r="BR776" t="str">
        <f>""</f>
        <v/>
      </c>
      <c r="BS776" t="str">
        <f>""</f>
        <v/>
      </c>
      <c r="BT776" t="str">
        <f>""</f>
        <v/>
      </c>
      <c r="BU776" t="str">
        <f>""</f>
        <v/>
      </c>
      <c r="BV776" t="str">
        <f>""</f>
        <v/>
      </c>
      <c r="BW776" t="str">
        <f>""</f>
        <v/>
      </c>
      <c r="BX776" t="str">
        <f>""</f>
        <v/>
      </c>
      <c r="BY776" t="str">
        <f>""</f>
        <v/>
      </c>
      <c r="BZ776" t="str">
        <f>""</f>
        <v/>
      </c>
      <c r="CA776" t="str">
        <f>""</f>
        <v/>
      </c>
      <c r="CB776" t="str">
        <f>""</f>
        <v/>
      </c>
      <c r="CC776" t="str">
        <f>""</f>
        <v/>
      </c>
      <c r="CD776" t="str">
        <f>""</f>
        <v/>
      </c>
      <c r="CE776" t="str">
        <f>""</f>
        <v/>
      </c>
      <c r="CF776" t="str">
        <f>""</f>
        <v/>
      </c>
      <c r="CG776" t="str">
        <f>""</f>
        <v/>
      </c>
      <c r="CH776" t="str">
        <f>""</f>
        <v/>
      </c>
      <c r="CI776" t="str">
        <f>""</f>
        <v/>
      </c>
      <c r="CJ776" t="str">
        <f>""</f>
        <v/>
      </c>
      <c r="CK776" t="str">
        <f>""</f>
        <v/>
      </c>
      <c r="CL776" t="str">
        <f>""</f>
        <v/>
      </c>
      <c r="CM776" t="str">
        <f>""</f>
        <v/>
      </c>
      <c r="CN776" t="str">
        <f>""</f>
        <v/>
      </c>
      <c r="CO776" t="str">
        <f>""</f>
        <v/>
      </c>
      <c r="CP776" t="str">
        <f>""</f>
        <v/>
      </c>
      <c r="CQ776" t="str">
        <f>""</f>
        <v/>
      </c>
      <c r="CR776" t="str">
        <f>""</f>
        <v/>
      </c>
      <c r="CS776" t="str">
        <f>""</f>
        <v/>
      </c>
      <c r="CT776" t="str">
        <f>""</f>
        <v/>
      </c>
      <c r="CU776" t="str">
        <f>""</f>
        <v/>
      </c>
      <c r="CV776" t="str">
        <f>""</f>
        <v/>
      </c>
      <c r="CW776" t="str">
        <f>""</f>
        <v/>
      </c>
      <c r="CX776" t="str">
        <f>""</f>
        <v/>
      </c>
      <c r="CY776" t="str">
        <f>""</f>
        <v/>
      </c>
      <c r="CZ776" t="str">
        <f>""</f>
        <v/>
      </c>
      <c r="DA776" t="str">
        <f>""</f>
        <v/>
      </c>
      <c r="DB776" t="str">
        <f>""</f>
        <v/>
      </c>
      <c r="DC776" t="str">
        <f>""</f>
        <v/>
      </c>
      <c r="DD776" t="str">
        <f>""</f>
        <v/>
      </c>
      <c r="DE776" t="str">
        <f>""</f>
        <v/>
      </c>
      <c r="DF776" t="str">
        <f>""</f>
        <v/>
      </c>
      <c r="DG776" t="str">
        <f>""</f>
        <v/>
      </c>
      <c r="DH776" t="str">
        <f>""</f>
        <v/>
      </c>
      <c r="DI776" t="str">
        <f>""</f>
        <v/>
      </c>
      <c r="DJ776" t="str">
        <f>""</f>
        <v/>
      </c>
      <c r="DK776" t="str">
        <f>""</f>
        <v/>
      </c>
      <c r="DL776" t="str">
        <f>""</f>
        <v/>
      </c>
      <c r="DM776" t="str">
        <f>""</f>
        <v/>
      </c>
      <c r="DN776" t="str">
        <f>""</f>
        <v/>
      </c>
      <c r="DO776" t="str">
        <f>""</f>
        <v/>
      </c>
      <c r="DP776" t="str">
        <f>""</f>
        <v/>
      </c>
      <c r="DQ776" t="str">
        <f>""</f>
        <v/>
      </c>
      <c r="DR776" t="str">
        <f>""</f>
        <v/>
      </c>
      <c r="DS776" t="str">
        <f>""</f>
        <v/>
      </c>
      <c r="DT776" t="str">
        <f>""</f>
        <v/>
      </c>
      <c r="DU776" t="str">
        <f>""</f>
        <v/>
      </c>
    </row>
    <row r="777" spans="1:125">
      <c r="A777" t="str">
        <f>$A$336</f>
        <v xml:space="preserve">    Tanger Factory Outlet Centers</v>
      </c>
      <c r="B777" t="str">
        <f>$B$336</f>
        <v>SKT US Equity</v>
      </c>
      <c r="C777" t="str">
        <f>$C$336</f>
        <v>RR253</v>
      </c>
      <c r="D777" t="str">
        <f>$D$336</f>
        <v>CASH_AND_MARKETABLE_SECURITIES</v>
      </c>
      <c r="E777" t="str">
        <f>$E$336</f>
        <v>动态</v>
      </c>
      <c r="F777" t="str">
        <f ca="1">BDH($B$336,$C$336,$B$417,$B$418,CONCATENATE("Per=",$B$415),"Dts=H","Dir=H",CONCATENATE("Points=",$B$416),"Sort=R","Days=A","Fill=B",CONCATENATE("FX=", $B$414) )</f>
        <v>#N/A Authorization</v>
      </c>
      <c r="BN777" t="str">
        <f>""</f>
        <v/>
      </c>
      <c r="BO777" t="str">
        <f>""</f>
        <v/>
      </c>
      <c r="BP777" t="str">
        <f>""</f>
        <v/>
      </c>
      <c r="BQ777" t="str">
        <f>""</f>
        <v/>
      </c>
      <c r="BR777" t="str">
        <f>""</f>
        <v/>
      </c>
      <c r="BS777" t="str">
        <f>""</f>
        <v/>
      </c>
      <c r="BT777" t="str">
        <f>""</f>
        <v/>
      </c>
      <c r="BU777" t="str">
        <f>""</f>
        <v/>
      </c>
      <c r="BV777" t="str">
        <f>""</f>
        <v/>
      </c>
      <c r="BW777" t="str">
        <f>""</f>
        <v/>
      </c>
      <c r="BX777" t="str">
        <f>""</f>
        <v/>
      </c>
      <c r="BY777" t="str">
        <f>""</f>
        <v/>
      </c>
      <c r="BZ777" t="str">
        <f>""</f>
        <v/>
      </c>
      <c r="CA777" t="str">
        <f>""</f>
        <v/>
      </c>
      <c r="CB777" t="str">
        <f>""</f>
        <v/>
      </c>
      <c r="CC777" t="str">
        <f>""</f>
        <v/>
      </c>
      <c r="CD777" t="str">
        <f>""</f>
        <v/>
      </c>
      <c r="CE777" t="str">
        <f>""</f>
        <v/>
      </c>
      <c r="CF777" t="str">
        <f>""</f>
        <v/>
      </c>
      <c r="CG777" t="str">
        <f>""</f>
        <v/>
      </c>
      <c r="CH777" t="str">
        <f>""</f>
        <v/>
      </c>
      <c r="CI777" t="str">
        <f>""</f>
        <v/>
      </c>
      <c r="CJ777" t="str">
        <f>""</f>
        <v/>
      </c>
      <c r="CK777" t="str">
        <f>""</f>
        <v/>
      </c>
      <c r="CL777" t="str">
        <f>""</f>
        <v/>
      </c>
      <c r="CM777" t="str">
        <f>""</f>
        <v/>
      </c>
      <c r="CN777" t="str">
        <f>""</f>
        <v/>
      </c>
      <c r="CO777" t="str">
        <f>""</f>
        <v/>
      </c>
      <c r="CP777" t="str">
        <f>""</f>
        <v/>
      </c>
      <c r="CQ777" t="str">
        <f>""</f>
        <v/>
      </c>
      <c r="CR777" t="str">
        <f>""</f>
        <v/>
      </c>
      <c r="CS777" t="str">
        <f>""</f>
        <v/>
      </c>
      <c r="CT777" t="str">
        <f>""</f>
        <v/>
      </c>
      <c r="CU777" t="str">
        <f>""</f>
        <v/>
      </c>
      <c r="CV777" t="str">
        <f>""</f>
        <v/>
      </c>
      <c r="CW777" t="str">
        <f>""</f>
        <v/>
      </c>
      <c r="CX777" t="str">
        <f>""</f>
        <v/>
      </c>
      <c r="CY777" t="str">
        <f>""</f>
        <v/>
      </c>
      <c r="CZ777" t="str">
        <f>""</f>
        <v/>
      </c>
      <c r="DA777" t="str">
        <f>""</f>
        <v/>
      </c>
      <c r="DB777" t="str">
        <f>""</f>
        <v/>
      </c>
      <c r="DC777" t="str">
        <f>""</f>
        <v/>
      </c>
      <c r="DD777" t="str">
        <f>""</f>
        <v/>
      </c>
      <c r="DE777" t="str">
        <f>""</f>
        <v/>
      </c>
      <c r="DF777" t="str">
        <f>""</f>
        <v/>
      </c>
      <c r="DG777" t="str">
        <f>""</f>
        <v/>
      </c>
      <c r="DH777" t="str">
        <f>""</f>
        <v/>
      </c>
      <c r="DI777" t="str">
        <f>""</f>
        <v/>
      </c>
      <c r="DJ777" t="str">
        <f>""</f>
        <v/>
      </c>
      <c r="DK777" t="str">
        <f>""</f>
        <v/>
      </c>
      <c r="DL777" t="str">
        <f>""</f>
        <v/>
      </c>
      <c r="DM777" t="str">
        <f>""</f>
        <v/>
      </c>
      <c r="DN777" t="str">
        <f>""</f>
        <v/>
      </c>
      <c r="DO777" t="str">
        <f>""</f>
        <v/>
      </c>
      <c r="DP777" t="str">
        <f>""</f>
        <v/>
      </c>
      <c r="DQ777" t="str">
        <f>""</f>
        <v/>
      </c>
      <c r="DR777" t="str">
        <f>""</f>
        <v/>
      </c>
      <c r="DS777" t="str">
        <f>""</f>
        <v/>
      </c>
      <c r="DT777" t="str">
        <f>""</f>
        <v/>
      </c>
      <c r="DU777" t="str">
        <f>""</f>
        <v/>
      </c>
    </row>
    <row r="778" spans="1:125">
      <c r="A778" t="str">
        <f>$A$337</f>
        <v xml:space="preserve">    VEREIT Inc</v>
      </c>
      <c r="B778" t="str">
        <f>$B$337</f>
        <v>VER US Equity</v>
      </c>
      <c r="C778" t="str">
        <f>$C$337</f>
        <v>RR253</v>
      </c>
      <c r="D778" t="str">
        <f>$D$337</f>
        <v>CASH_AND_MARKETABLE_SECURITIES</v>
      </c>
      <c r="E778" t="str">
        <f>$E$337</f>
        <v>动态</v>
      </c>
      <c r="F778" t="str">
        <f ca="1">BDH($B$337,$C$337,$B$417,$B$418,CONCATENATE("Per=",$B$415),"Dts=H","Dir=H",CONCATENATE("Points=",$B$416),"Sort=R","Days=A","Fill=B",CONCATENATE("FX=", $B$414) )</f>
        <v>#N/A Authorization</v>
      </c>
      <c r="BN778" t="str">
        <f>""</f>
        <v/>
      </c>
      <c r="BO778" t="str">
        <f>""</f>
        <v/>
      </c>
      <c r="BP778" t="str">
        <f>""</f>
        <v/>
      </c>
      <c r="BQ778" t="str">
        <f>""</f>
        <v/>
      </c>
      <c r="BR778" t="str">
        <f>""</f>
        <v/>
      </c>
      <c r="BS778" t="str">
        <f>""</f>
        <v/>
      </c>
      <c r="BT778" t="str">
        <f>""</f>
        <v/>
      </c>
      <c r="BU778" t="str">
        <f>""</f>
        <v/>
      </c>
      <c r="BV778" t="str">
        <f>""</f>
        <v/>
      </c>
      <c r="BW778" t="str">
        <f>""</f>
        <v/>
      </c>
      <c r="BX778" t="str">
        <f>""</f>
        <v/>
      </c>
      <c r="BY778" t="str">
        <f>""</f>
        <v/>
      </c>
      <c r="BZ778" t="str">
        <f>""</f>
        <v/>
      </c>
      <c r="CA778" t="str">
        <f>""</f>
        <v/>
      </c>
      <c r="CB778" t="str">
        <f>""</f>
        <v/>
      </c>
      <c r="CC778" t="str">
        <f>""</f>
        <v/>
      </c>
      <c r="CD778" t="str">
        <f>""</f>
        <v/>
      </c>
      <c r="CE778" t="str">
        <f>""</f>
        <v/>
      </c>
      <c r="CF778" t="str">
        <f>""</f>
        <v/>
      </c>
      <c r="CG778" t="str">
        <f>""</f>
        <v/>
      </c>
      <c r="CH778" t="str">
        <f>""</f>
        <v/>
      </c>
      <c r="CI778" t="str">
        <f>""</f>
        <v/>
      </c>
      <c r="CJ778" t="str">
        <f>""</f>
        <v/>
      </c>
      <c r="CK778" t="str">
        <f>""</f>
        <v/>
      </c>
      <c r="CL778" t="str">
        <f>""</f>
        <v/>
      </c>
      <c r="CM778" t="str">
        <f>""</f>
        <v/>
      </c>
      <c r="CN778" t="str">
        <f>""</f>
        <v/>
      </c>
      <c r="CO778" t="str">
        <f>""</f>
        <v/>
      </c>
      <c r="CP778" t="str">
        <f>""</f>
        <v/>
      </c>
      <c r="CQ778" t="str">
        <f>""</f>
        <v/>
      </c>
      <c r="CR778" t="str">
        <f>""</f>
        <v/>
      </c>
      <c r="CS778" t="str">
        <f>""</f>
        <v/>
      </c>
      <c r="CT778" t="str">
        <f>""</f>
        <v/>
      </c>
      <c r="CU778" t="str">
        <f>""</f>
        <v/>
      </c>
      <c r="CV778" t="str">
        <f>""</f>
        <v/>
      </c>
      <c r="CW778" t="str">
        <f>""</f>
        <v/>
      </c>
      <c r="CX778" t="str">
        <f>""</f>
        <v/>
      </c>
      <c r="CY778" t="str">
        <f>""</f>
        <v/>
      </c>
      <c r="CZ778" t="str">
        <f>""</f>
        <v/>
      </c>
      <c r="DA778" t="str">
        <f>""</f>
        <v/>
      </c>
      <c r="DB778" t="str">
        <f>""</f>
        <v/>
      </c>
      <c r="DC778" t="str">
        <f>""</f>
        <v/>
      </c>
      <c r="DD778" t="str">
        <f>""</f>
        <v/>
      </c>
      <c r="DE778" t="str">
        <f>""</f>
        <v/>
      </c>
      <c r="DF778" t="str">
        <f>""</f>
        <v/>
      </c>
      <c r="DG778" t="str">
        <f>""</f>
        <v/>
      </c>
      <c r="DH778" t="str">
        <f>""</f>
        <v/>
      </c>
      <c r="DI778" t="str">
        <f>""</f>
        <v/>
      </c>
      <c r="DJ778" t="str">
        <f>""</f>
        <v/>
      </c>
      <c r="DK778" t="str">
        <f>""</f>
        <v/>
      </c>
      <c r="DL778" t="str">
        <f>""</f>
        <v/>
      </c>
      <c r="DM778" t="str">
        <f>""</f>
        <v/>
      </c>
      <c r="DN778" t="str">
        <f>""</f>
        <v/>
      </c>
      <c r="DO778" t="str">
        <f>""</f>
        <v/>
      </c>
      <c r="DP778" t="str">
        <f>""</f>
        <v/>
      </c>
      <c r="DQ778" t="str">
        <f>""</f>
        <v/>
      </c>
      <c r="DR778" t="str">
        <f>""</f>
        <v/>
      </c>
      <c r="DS778" t="str">
        <f>""</f>
        <v/>
      </c>
      <c r="DT778" t="str">
        <f>""</f>
        <v/>
      </c>
      <c r="DU778" t="str">
        <f>""</f>
        <v/>
      </c>
    </row>
    <row r="779" spans="1:125">
      <c r="A779" t="str">
        <f>$A$338</f>
        <v xml:space="preserve">    Washington Prime Group Inc</v>
      </c>
      <c r="B779" t="str">
        <f>$B$338</f>
        <v>WPG US Equity</v>
      </c>
      <c r="C779" t="str">
        <f>$C$338</f>
        <v>RR253</v>
      </c>
      <c r="D779" t="str">
        <f>$D$338</f>
        <v>CASH_AND_MARKETABLE_SECURITIES</v>
      </c>
      <c r="E779" t="str">
        <f>$E$338</f>
        <v>动态</v>
      </c>
      <c r="F779" t="str">
        <f ca="1">BDH($B$338,$C$338,$B$417,$B$418,CONCATENATE("Per=",$B$415),"Dts=H","Dir=H",CONCATENATE("Points=",$B$416),"Sort=R","Days=A","Fill=B",CONCATENATE("FX=", $B$414) )</f>
        <v>#N/A Authorization</v>
      </c>
      <c r="BN779" t="str">
        <f>""</f>
        <v/>
      </c>
      <c r="BO779" t="str">
        <f>""</f>
        <v/>
      </c>
      <c r="BP779" t="str">
        <f>""</f>
        <v/>
      </c>
      <c r="BQ779" t="str">
        <f>""</f>
        <v/>
      </c>
      <c r="BR779" t="str">
        <f>""</f>
        <v/>
      </c>
      <c r="BS779" t="str">
        <f>""</f>
        <v/>
      </c>
      <c r="BT779" t="str">
        <f>""</f>
        <v/>
      </c>
      <c r="BU779" t="str">
        <f>""</f>
        <v/>
      </c>
      <c r="BV779" t="str">
        <f>""</f>
        <v/>
      </c>
      <c r="BW779" t="str">
        <f>""</f>
        <v/>
      </c>
      <c r="BX779" t="str">
        <f>""</f>
        <v/>
      </c>
      <c r="BY779" t="str">
        <f>""</f>
        <v/>
      </c>
      <c r="BZ779" t="str">
        <f>""</f>
        <v/>
      </c>
      <c r="CA779" t="str">
        <f>""</f>
        <v/>
      </c>
      <c r="CB779" t="str">
        <f>""</f>
        <v/>
      </c>
      <c r="CC779" t="str">
        <f>""</f>
        <v/>
      </c>
      <c r="CD779" t="str">
        <f>""</f>
        <v/>
      </c>
      <c r="CE779" t="str">
        <f>""</f>
        <v/>
      </c>
      <c r="CF779" t="str">
        <f>""</f>
        <v/>
      </c>
      <c r="CG779" t="str">
        <f>""</f>
        <v/>
      </c>
      <c r="CH779" t="str">
        <f>""</f>
        <v/>
      </c>
      <c r="CI779" t="str">
        <f>""</f>
        <v/>
      </c>
      <c r="CJ779" t="str">
        <f>""</f>
        <v/>
      </c>
      <c r="CK779" t="str">
        <f>""</f>
        <v/>
      </c>
      <c r="CL779" t="str">
        <f>""</f>
        <v/>
      </c>
      <c r="CM779" t="str">
        <f>""</f>
        <v/>
      </c>
      <c r="CN779" t="str">
        <f>""</f>
        <v/>
      </c>
      <c r="CO779" t="str">
        <f>""</f>
        <v/>
      </c>
      <c r="CP779" t="str">
        <f>""</f>
        <v/>
      </c>
      <c r="CQ779" t="str">
        <f>""</f>
        <v/>
      </c>
      <c r="CR779" t="str">
        <f>""</f>
        <v/>
      </c>
      <c r="CS779" t="str">
        <f>""</f>
        <v/>
      </c>
      <c r="CT779" t="str">
        <f>""</f>
        <v/>
      </c>
      <c r="CU779" t="str">
        <f>""</f>
        <v/>
      </c>
      <c r="CV779" t="str">
        <f>""</f>
        <v/>
      </c>
      <c r="CW779" t="str">
        <f>""</f>
        <v/>
      </c>
      <c r="CX779" t="str">
        <f>""</f>
        <v/>
      </c>
      <c r="CY779" t="str">
        <f>""</f>
        <v/>
      </c>
      <c r="CZ779" t="str">
        <f>""</f>
        <v/>
      </c>
      <c r="DA779" t="str">
        <f>""</f>
        <v/>
      </c>
      <c r="DB779" t="str">
        <f>""</f>
        <v/>
      </c>
      <c r="DC779" t="str">
        <f>""</f>
        <v/>
      </c>
      <c r="DD779" t="str">
        <f>""</f>
        <v/>
      </c>
      <c r="DE779" t="str">
        <f>""</f>
        <v/>
      </c>
      <c r="DF779" t="str">
        <f>""</f>
        <v/>
      </c>
      <c r="DG779" t="str">
        <f>""</f>
        <v/>
      </c>
      <c r="DH779" t="str">
        <f>""</f>
        <v/>
      </c>
      <c r="DI779" t="str">
        <f>""</f>
        <v/>
      </c>
      <c r="DJ779" t="str">
        <f>""</f>
        <v/>
      </c>
      <c r="DK779" t="str">
        <f>""</f>
        <v/>
      </c>
      <c r="DL779" t="str">
        <f>""</f>
        <v/>
      </c>
      <c r="DM779" t="str">
        <f>""</f>
        <v/>
      </c>
      <c r="DN779" t="str">
        <f>""</f>
        <v/>
      </c>
      <c r="DO779" t="str">
        <f>""</f>
        <v/>
      </c>
      <c r="DP779" t="str">
        <f>""</f>
        <v/>
      </c>
      <c r="DQ779" t="str">
        <f>""</f>
        <v/>
      </c>
      <c r="DR779" t="str">
        <f>""</f>
        <v/>
      </c>
      <c r="DS779" t="str">
        <f>""</f>
        <v/>
      </c>
      <c r="DT779" t="str">
        <f>""</f>
        <v/>
      </c>
      <c r="DU779" t="str">
        <f>""</f>
        <v/>
      </c>
    </row>
    <row r="780" spans="1:125">
      <c r="A780" t="str">
        <f>$A$339</f>
        <v xml:space="preserve">    Weingarten Realty Investors</v>
      </c>
      <c r="B780" t="str">
        <f>$B$339</f>
        <v>WRI US Equity</v>
      </c>
      <c r="C780" t="str">
        <f>$C$339</f>
        <v>RR253</v>
      </c>
      <c r="D780" t="str">
        <f>$D$339</f>
        <v>CASH_AND_MARKETABLE_SECURITIES</v>
      </c>
      <c r="E780" t="str">
        <f>$E$339</f>
        <v>动态</v>
      </c>
      <c r="F780" t="str">
        <f ca="1">BDH($B$339,$C$339,$B$417,$B$418,CONCATENATE("Per=",$B$415),"Dts=H","Dir=H",CONCATENATE("Points=",$B$416),"Sort=R","Days=A","Fill=B",CONCATENATE("FX=", $B$414) )</f>
        <v>#N/A Authorization</v>
      </c>
      <c r="BN780" t="str">
        <f>""</f>
        <v/>
      </c>
      <c r="BO780" t="str">
        <f>""</f>
        <v/>
      </c>
      <c r="BP780" t="str">
        <f>""</f>
        <v/>
      </c>
      <c r="BQ780" t="str">
        <f>""</f>
        <v/>
      </c>
      <c r="BR780" t="str">
        <f>""</f>
        <v/>
      </c>
      <c r="BS780" t="str">
        <f>""</f>
        <v/>
      </c>
      <c r="BT780" t="str">
        <f>""</f>
        <v/>
      </c>
      <c r="BU780" t="str">
        <f>""</f>
        <v/>
      </c>
      <c r="BV780" t="str">
        <f>""</f>
        <v/>
      </c>
      <c r="BW780" t="str">
        <f>""</f>
        <v/>
      </c>
      <c r="BX780" t="str">
        <f>""</f>
        <v/>
      </c>
      <c r="BY780" t="str">
        <f>""</f>
        <v/>
      </c>
      <c r="BZ780" t="str">
        <f>""</f>
        <v/>
      </c>
      <c r="CA780" t="str">
        <f>""</f>
        <v/>
      </c>
      <c r="CB780" t="str">
        <f>""</f>
        <v/>
      </c>
      <c r="CC780" t="str">
        <f>""</f>
        <v/>
      </c>
      <c r="CD780" t="str">
        <f>""</f>
        <v/>
      </c>
      <c r="CE780" t="str">
        <f>""</f>
        <v/>
      </c>
      <c r="CF780" t="str">
        <f>""</f>
        <v/>
      </c>
      <c r="CG780" t="str">
        <f>""</f>
        <v/>
      </c>
      <c r="CH780" t="str">
        <f>""</f>
        <v/>
      </c>
      <c r="CI780" t="str">
        <f>""</f>
        <v/>
      </c>
      <c r="CJ780" t="str">
        <f>""</f>
        <v/>
      </c>
      <c r="CK780" t="str">
        <f>""</f>
        <v/>
      </c>
      <c r="CL780" t="str">
        <f>""</f>
        <v/>
      </c>
      <c r="CM780" t="str">
        <f>""</f>
        <v/>
      </c>
      <c r="CN780" t="str">
        <f>""</f>
        <v/>
      </c>
      <c r="CO780" t="str">
        <f>""</f>
        <v/>
      </c>
      <c r="CP780" t="str">
        <f>""</f>
        <v/>
      </c>
      <c r="CQ780" t="str">
        <f>""</f>
        <v/>
      </c>
      <c r="CR780" t="str">
        <f>""</f>
        <v/>
      </c>
      <c r="CS780" t="str">
        <f>""</f>
        <v/>
      </c>
      <c r="CT780" t="str">
        <f>""</f>
        <v/>
      </c>
      <c r="CU780" t="str">
        <f>""</f>
        <v/>
      </c>
      <c r="CV780" t="str">
        <f>""</f>
        <v/>
      </c>
      <c r="CW780" t="str">
        <f>""</f>
        <v/>
      </c>
      <c r="CX780" t="str">
        <f>""</f>
        <v/>
      </c>
      <c r="CY780" t="str">
        <f>""</f>
        <v/>
      </c>
      <c r="CZ780" t="str">
        <f>""</f>
        <v/>
      </c>
      <c r="DA780" t="str">
        <f>""</f>
        <v/>
      </c>
      <c r="DB780" t="str">
        <f>""</f>
        <v/>
      </c>
      <c r="DC780" t="str">
        <f>""</f>
        <v/>
      </c>
      <c r="DD780" t="str">
        <f>""</f>
        <v/>
      </c>
      <c r="DE780" t="str">
        <f>""</f>
        <v/>
      </c>
      <c r="DF780" t="str">
        <f>""</f>
        <v/>
      </c>
      <c r="DG780" t="str">
        <f>""</f>
        <v/>
      </c>
      <c r="DH780" t="str">
        <f>""</f>
        <v/>
      </c>
      <c r="DI780" t="str">
        <f>""</f>
        <v/>
      </c>
      <c r="DJ780" t="str">
        <f>""</f>
        <v/>
      </c>
      <c r="DK780" t="str">
        <f>""</f>
        <v/>
      </c>
      <c r="DL780" t="str">
        <f>""</f>
        <v/>
      </c>
      <c r="DM780" t="str">
        <f>""</f>
        <v/>
      </c>
      <c r="DN780" t="str">
        <f>""</f>
        <v/>
      </c>
      <c r="DO780" t="str">
        <f>""</f>
        <v/>
      </c>
      <c r="DP780" t="str">
        <f>""</f>
        <v/>
      </c>
      <c r="DQ780" t="str">
        <f>""</f>
        <v/>
      </c>
      <c r="DR780" t="str">
        <f>""</f>
        <v/>
      </c>
      <c r="DS780" t="str">
        <f>""</f>
        <v/>
      </c>
      <c r="DT780" t="str">
        <f>""</f>
        <v/>
      </c>
      <c r="DU780" t="str">
        <f>""</f>
        <v/>
      </c>
    </row>
    <row r="781" spans="1:125">
      <c r="A781" t="str">
        <f>$A$341</f>
        <v xml:space="preserve">    Brixmor Property Group Inc</v>
      </c>
      <c r="B781" t="str">
        <f>$B$341</f>
        <v>BRX US Equity</v>
      </c>
      <c r="C781" t="str">
        <f>$C$341</f>
        <v>BS658</v>
      </c>
      <c r="D781" t="str">
        <f>$D$341</f>
        <v>BS_YEAR_1_PRINCIPAL</v>
      </c>
      <c r="E781" t="str">
        <f>$E$341</f>
        <v>动态</v>
      </c>
      <c r="F781" t="str">
        <f ca="1">BDH($B$341,$C$341,$B$417,$B$418,CONCATENATE("Per=",$B$415),"Dts=H","Dir=H",CONCATENATE("Points=",$B$416),"Sort=R","Days=A","Fill=B",CONCATENATE("FX=", $B$414) )</f>
        <v>#N/A Authorization</v>
      </c>
      <c r="BN781" t="str">
        <f>""</f>
        <v/>
      </c>
      <c r="BO781" t="str">
        <f>""</f>
        <v/>
      </c>
      <c r="BP781" t="str">
        <f>""</f>
        <v/>
      </c>
      <c r="BQ781" t="str">
        <f>""</f>
        <v/>
      </c>
      <c r="BR781" t="str">
        <f>""</f>
        <v/>
      </c>
      <c r="BS781" t="str">
        <f>""</f>
        <v/>
      </c>
      <c r="BT781" t="str">
        <f>""</f>
        <v/>
      </c>
      <c r="BU781" t="str">
        <f>""</f>
        <v/>
      </c>
      <c r="BV781" t="str">
        <f>""</f>
        <v/>
      </c>
      <c r="BW781" t="str">
        <f>""</f>
        <v/>
      </c>
      <c r="BX781" t="str">
        <f>""</f>
        <v/>
      </c>
      <c r="BY781" t="str">
        <f>""</f>
        <v/>
      </c>
      <c r="BZ781" t="str">
        <f>""</f>
        <v/>
      </c>
      <c r="CA781" t="str">
        <f>""</f>
        <v/>
      </c>
      <c r="CB781" t="str">
        <f>""</f>
        <v/>
      </c>
      <c r="CC781" t="str">
        <f>""</f>
        <v/>
      </c>
      <c r="CD781" t="str">
        <f>""</f>
        <v/>
      </c>
      <c r="CE781" t="str">
        <f>""</f>
        <v/>
      </c>
      <c r="CF781" t="str">
        <f>""</f>
        <v/>
      </c>
      <c r="CG781" t="str">
        <f>""</f>
        <v/>
      </c>
      <c r="CH781" t="str">
        <f>""</f>
        <v/>
      </c>
      <c r="CI781" t="str">
        <f>""</f>
        <v/>
      </c>
      <c r="CJ781" t="str">
        <f>""</f>
        <v/>
      </c>
      <c r="CK781" t="str">
        <f>""</f>
        <v/>
      </c>
      <c r="CL781" t="str">
        <f>""</f>
        <v/>
      </c>
      <c r="CM781" t="str">
        <f>""</f>
        <v/>
      </c>
      <c r="CN781" t="str">
        <f>""</f>
        <v/>
      </c>
      <c r="CO781" t="str">
        <f>""</f>
        <v/>
      </c>
      <c r="CP781" t="str">
        <f>""</f>
        <v/>
      </c>
      <c r="CQ781" t="str">
        <f>""</f>
        <v/>
      </c>
      <c r="CR781" t="str">
        <f>""</f>
        <v/>
      </c>
      <c r="CS781" t="str">
        <f>""</f>
        <v/>
      </c>
      <c r="CT781" t="str">
        <f>""</f>
        <v/>
      </c>
      <c r="CU781" t="str">
        <f>""</f>
        <v/>
      </c>
      <c r="CV781" t="str">
        <f>""</f>
        <v/>
      </c>
      <c r="CW781" t="str">
        <f>""</f>
        <v/>
      </c>
      <c r="CX781" t="str">
        <f>""</f>
        <v/>
      </c>
      <c r="CY781" t="str">
        <f>""</f>
        <v/>
      </c>
      <c r="CZ781" t="str">
        <f>""</f>
        <v/>
      </c>
      <c r="DA781" t="str">
        <f>""</f>
        <v/>
      </c>
      <c r="DB781" t="str">
        <f>""</f>
        <v/>
      </c>
      <c r="DC781" t="str">
        <f>""</f>
        <v/>
      </c>
      <c r="DD781" t="str">
        <f>""</f>
        <v/>
      </c>
      <c r="DE781" t="str">
        <f>""</f>
        <v/>
      </c>
      <c r="DF781" t="str">
        <f>""</f>
        <v/>
      </c>
      <c r="DG781" t="str">
        <f>""</f>
        <v/>
      </c>
      <c r="DH781" t="str">
        <f>""</f>
        <v/>
      </c>
      <c r="DI781" t="str">
        <f>""</f>
        <v/>
      </c>
      <c r="DJ781" t="str">
        <f>""</f>
        <v/>
      </c>
      <c r="DK781" t="str">
        <f>""</f>
        <v/>
      </c>
      <c r="DL781" t="str">
        <f>""</f>
        <v/>
      </c>
      <c r="DM781" t="str">
        <f>""</f>
        <v/>
      </c>
      <c r="DN781" t="str">
        <f>""</f>
        <v/>
      </c>
      <c r="DO781" t="str">
        <f>""</f>
        <v/>
      </c>
      <c r="DP781" t="str">
        <f>""</f>
        <v/>
      </c>
      <c r="DQ781" t="str">
        <f>""</f>
        <v/>
      </c>
      <c r="DR781" t="str">
        <f>""</f>
        <v/>
      </c>
      <c r="DS781" t="str">
        <f>""</f>
        <v/>
      </c>
      <c r="DT781" t="str">
        <f>""</f>
        <v/>
      </c>
      <c r="DU781" t="str">
        <f>""</f>
        <v/>
      </c>
    </row>
    <row r="782" spans="1:125">
      <c r="A782" t="str">
        <f>$A$342</f>
        <v xml:space="preserve">    CBL &amp; Associates Properties In</v>
      </c>
      <c r="B782" t="str">
        <f>$B$342</f>
        <v>CBL US Equity</v>
      </c>
      <c r="C782" t="str">
        <f>$C$342</f>
        <v>BS658</v>
      </c>
      <c r="D782" t="str">
        <f>$D$342</f>
        <v>BS_YEAR_1_PRINCIPAL</v>
      </c>
      <c r="E782" t="str">
        <f>$E$342</f>
        <v>动态</v>
      </c>
      <c r="F782" t="str">
        <f ca="1">BDH($B$342,$C$342,$B$417,$B$418,CONCATENATE("Per=",$B$415),"Dts=H","Dir=H",CONCATENATE("Points=",$B$416),"Sort=R","Days=A","Fill=B",CONCATENATE("FX=", $B$414) )</f>
        <v>#N/A Authorization</v>
      </c>
      <c r="BN782" t="str">
        <f>""</f>
        <v/>
      </c>
      <c r="BO782" t="str">
        <f>""</f>
        <v/>
      </c>
      <c r="BP782" t="str">
        <f>""</f>
        <v/>
      </c>
      <c r="BQ782" t="str">
        <f>""</f>
        <v/>
      </c>
      <c r="BR782" t="str">
        <f>""</f>
        <v/>
      </c>
      <c r="BS782" t="str">
        <f>""</f>
        <v/>
      </c>
      <c r="BT782" t="str">
        <f>""</f>
        <v/>
      </c>
      <c r="BU782" t="str">
        <f>""</f>
        <v/>
      </c>
      <c r="BV782" t="str">
        <f>""</f>
        <v/>
      </c>
      <c r="BW782" t="str">
        <f>""</f>
        <v/>
      </c>
      <c r="BX782" t="str">
        <f>""</f>
        <v/>
      </c>
      <c r="BY782" t="str">
        <f>""</f>
        <v/>
      </c>
      <c r="BZ782" t="str">
        <f>""</f>
        <v/>
      </c>
      <c r="CA782" t="str">
        <f>""</f>
        <v/>
      </c>
      <c r="CB782" t="str">
        <f>""</f>
        <v/>
      </c>
      <c r="CC782" t="str">
        <f>""</f>
        <v/>
      </c>
      <c r="CD782" t="str">
        <f>""</f>
        <v/>
      </c>
      <c r="CE782" t="str">
        <f>""</f>
        <v/>
      </c>
      <c r="CF782" t="str">
        <f>""</f>
        <v/>
      </c>
      <c r="CG782" t="str">
        <f>""</f>
        <v/>
      </c>
      <c r="CH782" t="str">
        <f>""</f>
        <v/>
      </c>
      <c r="CI782" t="str">
        <f>""</f>
        <v/>
      </c>
      <c r="CJ782" t="str">
        <f>""</f>
        <v/>
      </c>
      <c r="CK782" t="str">
        <f>""</f>
        <v/>
      </c>
      <c r="CL782" t="str">
        <f>""</f>
        <v/>
      </c>
      <c r="CM782" t="str">
        <f>""</f>
        <v/>
      </c>
      <c r="CN782" t="str">
        <f>""</f>
        <v/>
      </c>
      <c r="CO782" t="str">
        <f>""</f>
        <v/>
      </c>
      <c r="CP782" t="str">
        <f>""</f>
        <v/>
      </c>
      <c r="CQ782" t="str">
        <f>""</f>
        <v/>
      </c>
      <c r="CR782" t="str">
        <f>""</f>
        <v/>
      </c>
      <c r="CS782" t="str">
        <f>""</f>
        <v/>
      </c>
      <c r="CT782" t="str">
        <f>""</f>
        <v/>
      </c>
      <c r="CU782" t="str">
        <f>""</f>
        <v/>
      </c>
      <c r="CV782" t="str">
        <f>""</f>
        <v/>
      </c>
      <c r="CW782" t="str">
        <f>""</f>
        <v/>
      </c>
      <c r="CX782" t="str">
        <f>""</f>
        <v/>
      </c>
      <c r="CY782" t="str">
        <f>""</f>
        <v/>
      </c>
      <c r="CZ782" t="str">
        <f>""</f>
        <v/>
      </c>
      <c r="DA782" t="str">
        <f>""</f>
        <v/>
      </c>
      <c r="DB782" t="str">
        <f>""</f>
        <v/>
      </c>
      <c r="DC782" t="str">
        <f>""</f>
        <v/>
      </c>
      <c r="DD782" t="str">
        <f>""</f>
        <v/>
      </c>
      <c r="DE782" t="str">
        <f>""</f>
        <v/>
      </c>
      <c r="DF782" t="str">
        <f>""</f>
        <v/>
      </c>
      <c r="DG782" t="str">
        <f>""</f>
        <v/>
      </c>
      <c r="DH782" t="str">
        <f>""</f>
        <v/>
      </c>
      <c r="DI782" t="str">
        <f>""</f>
        <v/>
      </c>
      <c r="DJ782" t="str">
        <f>""</f>
        <v/>
      </c>
      <c r="DK782" t="str">
        <f>""</f>
        <v/>
      </c>
      <c r="DL782" t="str">
        <f>""</f>
        <v/>
      </c>
      <c r="DM782" t="str">
        <f>""</f>
        <v/>
      </c>
      <c r="DN782" t="str">
        <f>""</f>
        <v/>
      </c>
      <c r="DO782" t="str">
        <f>""</f>
        <v/>
      </c>
      <c r="DP782" t="str">
        <f>""</f>
        <v/>
      </c>
      <c r="DQ782" t="str">
        <f>""</f>
        <v/>
      </c>
      <c r="DR782" t="str">
        <f>""</f>
        <v/>
      </c>
      <c r="DS782" t="str">
        <f>""</f>
        <v/>
      </c>
      <c r="DT782" t="str">
        <f>""</f>
        <v/>
      </c>
      <c r="DU782" t="str">
        <f>""</f>
        <v/>
      </c>
    </row>
    <row r="783" spans="1:125">
      <c r="A783" t="str">
        <f>$A$343</f>
        <v xml:space="preserve">    DDR Corp</v>
      </c>
      <c r="B783" t="str">
        <f>$B$343</f>
        <v>DDR US Equity</v>
      </c>
      <c r="C783" t="str">
        <f>$C$343</f>
        <v>BS658</v>
      </c>
      <c r="D783" t="str">
        <f>$D$343</f>
        <v>BS_YEAR_1_PRINCIPAL</v>
      </c>
      <c r="E783" t="str">
        <f>$E$343</f>
        <v>动态</v>
      </c>
      <c r="F783" t="str">
        <f ca="1">BDH($B$343,$C$343,$B$417,$B$418,CONCATENATE("Per=",$B$415),"Dts=H","Dir=H",CONCATENATE("Points=",$B$416),"Sort=R","Days=A","Fill=B",CONCATENATE("FX=", $B$414) )</f>
        <v>#N/A Authorization</v>
      </c>
      <c r="BN783" t="str">
        <f>""</f>
        <v/>
      </c>
      <c r="BO783" t="str">
        <f>""</f>
        <v/>
      </c>
      <c r="BP783" t="str">
        <f>""</f>
        <v/>
      </c>
      <c r="BQ783" t="str">
        <f>""</f>
        <v/>
      </c>
      <c r="BR783" t="str">
        <f>""</f>
        <v/>
      </c>
      <c r="BS783" t="str">
        <f>""</f>
        <v/>
      </c>
      <c r="BT783" t="str">
        <f>""</f>
        <v/>
      </c>
      <c r="BU783" t="str">
        <f>""</f>
        <v/>
      </c>
      <c r="BV783" t="str">
        <f>""</f>
        <v/>
      </c>
      <c r="BW783" t="str">
        <f>""</f>
        <v/>
      </c>
      <c r="BX783" t="str">
        <f>""</f>
        <v/>
      </c>
      <c r="BY783" t="str">
        <f>""</f>
        <v/>
      </c>
      <c r="BZ783" t="str">
        <f>""</f>
        <v/>
      </c>
      <c r="CA783" t="str">
        <f>""</f>
        <v/>
      </c>
      <c r="CB783" t="str">
        <f>""</f>
        <v/>
      </c>
      <c r="CC783" t="str">
        <f>""</f>
        <v/>
      </c>
      <c r="CD783" t="str">
        <f>""</f>
        <v/>
      </c>
      <c r="CE783" t="str">
        <f>""</f>
        <v/>
      </c>
      <c r="CF783" t="str">
        <f>""</f>
        <v/>
      </c>
      <c r="CG783" t="str">
        <f>""</f>
        <v/>
      </c>
      <c r="CH783" t="str">
        <f>""</f>
        <v/>
      </c>
      <c r="CI783" t="str">
        <f>""</f>
        <v/>
      </c>
      <c r="CJ783" t="str">
        <f>""</f>
        <v/>
      </c>
      <c r="CK783" t="str">
        <f>""</f>
        <v/>
      </c>
      <c r="CL783" t="str">
        <f>""</f>
        <v/>
      </c>
      <c r="CM783" t="str">
        <f>""</f>
        <v/>
      </c>
      <c r="CN783" t="str">
        <f>""</f>
        <v/>
      </c>
      <c r="CO783" t="str">
        <f>""</f>
        <v/>
      </c>
      <c r="CP783" t="str">
        <f>""</f>
        <v/>
      </c>
      <c r="CQ783" t="str">
        <f>""</f>
        <v/>
      </c>
      <c r="CR783" t="str">
        <f>""</f>
        <v/>
      </c>
      <c r="CS783" t="str">
        <f>""</f>
        <v/>
      </c>
      <c r="CT783" t="str">
        <f>""</f>
        <v/>
      </c>
      <c r="CU783" t="str">
        <f>""</f>
        <v/>
      </c>
      <c r="CV783" t="str">
        <f>""</f>
        <v/>
      </c>
      <c r="CW783" t="str">
        <f>""</f>
        <v/>
      </c>
      <c r="CX783" t="str">
        <f>""</f>
        <v/>
      </c>
      <c r="CY783" t="str">
        <f>""</f>
        <v/>
      </c>
      <c r="CZ783" t="str">
        <f>""</f>
        <v/>
      </c>
      <c r="DA783" t="str">
        <f>""</f>
        <v/>
      </c>
      <c r="DB783" t="str">
        <f>""</f>
        <v/>
      </c>
      <c r="DC783" t="str">
        <f>""</f>
        <v/>
      </c>
      <c r="DD783" t="str">
        <f>""</f>
        <v/>
      </c>
      <c r="DE783" t="str">
        <f>""</f>
        <v/>
      </c>
      <c r="DF783" t="str">
        <f>""</f>
        <v/>
      </c>
      <c r="DG783" t="str">
        <f>""</f>
        <v/>
      </c>
      <c r="DH783" t="str">
        <f>""</f>
        <v/>
      </c>
      <c r="DI783" t="str">
        <f>""</f>
        <v/>
      </c>
      <c r="DJ783" t="str">
        <f>""</f>
        <v/>
      </c>
      <c r="DK783" t="str">
        <f>""</f>
        <v/>
      </c>
      <c r="DL783" t="str">
        <f>""</f>
        <v/>
      </c>
      <c r="DM783" t="str">
        <f>""</f>
        <v/>
      </c>
      <c r="DN783" t="str">
        <f>""</f>
        <v/>
      </c>
      <c r="DO783" t="str">
        <f>""</f>
        <v/>
      </c>
      <c r="DP783" t="str">
        <f>""</f>
        <v/>
      </c>
      <c r="DQ783" t="str">
        <f>""</f>
        <v/>
      </c>
      <c r="DR783" t="str">
        <f>""</f>
        <v/>
      </c>
      <c r="DS783" t="str">
        <f>""</f>
        <v/>
      </c>
      <c r="DT783" t="str">
        <f>""</f>
        <v/>
      </c>
      <c r="DU783" t="str">
        <f>""</f>
        <v/>
      </c>
    </row>
    <row r="784" spans="1:125">
      <c r="A784" t="str">
        <f>$A$344</f>
        <v xml:space="preserve">    Federal Realty Investment Trus</v>
      </c>
      <c r="B784" t="str">
        <f>$B$344</f>
        <v>FRT US Equity</v>
      </c>
      <c r="C784" t="str">
        <f>$C$344</f>
        <v>BS658</v>
      </c>
      <c r="D784" t="str">
        <f>$D$344</f>
        <v>BS_YEAR_1_PRINCIPAL</v>
      </c>
      <c r="E784" t="str">
        <f>$E$344</f>
        <v>动态</v>
      </c>
      <c r="F784" t="str">
        <f ca="1">BDH($B$344,$C$344,$B$417,$B$418,CONCATENATE("Per=",$B$415),"Dts=H","Dir=H",CONCATENATE("Points=",$B$416),"Sort=R","Days=A","Fill=B",CONCATENATE("FX=", $B$414) )</f>
        <v>#N/A Authorization</v>
      </c>
      <c r="BN784" t="str">
        <f>""</f>
        <v/>
      </c>
      <c r="BO784" t="str">
        <f>""</f>
        <v/>
      </c>
      <c r="BP784" t="str">
        <f>""</f>
        <v/>
      </c>
      <c r="BQ784" t="str">
        <f>""</f>
        <v/>
      </c>
      <c r="BR784" t="str">
        <f>""</f>
        <v/>
      </c>
      <c r="BS784" t="str">
        <f>""</f>
        <v/>
      </c>
      <c r="BT784" t="str">
        <f>""</f>
        <v/>
      </c>
      <c r="BU784" t="str">
        <f>""</f>
        <v/>
      </c>
      <c r="BV784" t="str">
        <f>""</f>
        <v/>
      </c>
      <c r="BW784" t="str">
        <f>""</f>
        <v/>
      </c>
      <c r="BX784" t="str">
        <f>""</f>
        <v/>
      </c>
      <c r="BY784" t="str">
        <f>""</f>
        <v/>
      </c>
      <c r="BZ784" t="str">
        <f>""</f>
        <v/>
      </c>
      <c r="CA784" t="str">
        <f>""</f>
        <v/>
      </c>
      <c r="CB784" t="str">
        <f>""</f>
        <v/>
      </c>
      <c r="CC784" t="str">
        <f>""</f>
        <v/>
      </c>
      <c r="CD784" t="str">
        <f>""</f>
        <v/>
      </c>
      <c r="CE784" t="str">
        <f>""</f>
        <v/>
      </c>
      <c r="CF784" t="str">
        <f>""</f>
        <v/>
      </c>
      <c r="CG784" t="str">
        <f>""</f>
        <v/>
      </c>
      <c r="CH784" t="str">
        <f>""</f>
        <v/>
      </c>
      <c r="CI784" t="str">
        <f>""</f>
        <v/>
      </c>
      <c r="CJ784" t="str">
        <f>""</f>
        <v/>
      </c>
      <c r="CK784" t="str">
        <f>""</f>
        <v/>
      </c>
      <c r="CL784" t="str">
        <f>""</f>
        <v/>
      </c>
      <c r="CM784" t="str">
        <f>""</f>
        <v/>
      </c>
      <c r="CN784" t="str">
        <f>""</f>
        <v/>
      </c>
      <c r="CO784" t="str">
        <f>""</f>
        <v/>
      </c>
      <c r="CP784" t="str">
        <f>""</f>
        <v/>
      </c>
      <c r="CQ784" t="str">
        <f>""</f>
        <v/>
      </c>
      <c r="CR784" t="str">
        <f>""</f>
        <v/>
      </c>
      <c r="CS784" t="str">
        <f>""</f>
        <v/>
      </c>
      <c r="CT784" t="str">
        <f>""</f>
        <v/>
      </c>
      <c r="CU784" t="str">
        <f>""</f>
        <v/>
      </c>
      <c r="CV784" t="str">
        <f>""</f>
        <v/>
      </c>
      <c r="CW784" t="str">
        <f>""</f>
        <v/>
      </c>
      <c r="CX784" t="str">
        <f>""</f>
        <v/>
      </c>
      <c r="CY784" t="str">
        <f>""</f>
        <v/>
      </c>
      <c r="CZ784" t="str">
        <f>""</f>
        <v/>
      </c>
      <c r="DA784" t="str">
        <f>""</f>
        <v/>
      </c>
      <c r="DB784" t="str">
        <f>""</f>
        <v/>
      </c>
      <c r="DC784" t="str">
        <f>""</f>
        <v/>
      </c>
      <c r="DD784" t="str">
        <f>""</f>
        <v/>
      </c>
      <c r="DE784" t="str">
        <f>""</f>
        <v/>
      </c>
      <c r="DF784" t="str">
        <f>""</f>
        <v/>
      </c>
      <c r="DG784" t="str">
        <f>""</f>
        <v/>
      </c>
      <c r="DH784" t="str">
        <f>""</f>
        <v/>
      </c>
      <c r="DI784" t="str">
        <f>""</f>
        <v/>
      </c>
      <c r="DJ784" t="str">
        <f>""</f>
        <v/>
      </c>
      <c r="DK784" t="str">
        <f>""</f>
        <v/>
      </c>
      <c r="DL784" t="str">
        <f>""</f>
        <v/>
      </c>
      <c r="DM784" t="str">
        <f>""</f>
        <v/>
      </c>
      <c r="DN784" t="str">
        <f>""</f>
        <v/>
      </c>
      <c r="DO784" t="str">
        <f>""</f>
        <v/>
      </c>
      <c r="DP784" t="str">
        <f>""</f>
        <v/>
      </c>
      <c r="DQ784" t="str">
        <f>""</f>
        <v/>
      </c>
      <c r="DR784" t="str">
        <f>""</f>
        <v/>
      </c>
      <c r="DS784" t="str">
        <f>""</f>
        <v/>
      </c>
      <c r="DT784" t="str">
        <f>""</f>
        <v/>
      </c>
      <c r="DU784" t="str">
        <f>""</f>
        <v/>
      </c>
    </row>
    <row r="785" spans="1:125">
      <c r="A785" t="str">
        <f>$A$345</f>
        <v xml:space="preserve">    Kimco Realty Corp</v>
      </c>
      <c r="B785" t="str">
        <f>$B$345</f>
        <v>KIM US Equity</v>
      </c>
      <c r="C785" t="str">
        <f>$C$345</f>
        <v>BS658</v>
      </c>
      <c r="D785" t="str">
        <f>$D$345</f>
        <v>BS_YEAR_1_PRINCIPAL</v>
      </c>
      <c r="E785" t="str">
        <f>$E$345</f>
        <v>动态</v>
      </c>
      <c r="F785" t="str">
        <f ca="1">BDH($B$345,$C$345,$B$417,$B$418,CONCATENATE("Per=",$B$415),"Dts=H","Dir=H",CONCATENATE("Points=",$B$416),"Sort=R","Days=A","Fill=B",CONCATENATE("FX=", $B$414) )</f>
        <v>#N/A Authorization</v>
      </c>
      <c r="BN785" t="str">
        <f>""</f>
        <v/>
      </c>
      <c r="BO785" t="str">
        <f>""</f>
        <v/>
      </c>
      <c r="BP785" t="str">
        <f>""</f>
        <v/>
      </c>
      <c r="BQ785" t="str">
        <f>""</f>
        <v/>
      </c>
      <c r="BR785" t="str">
        <f>""</f>
        <v/>
      </c>
      <c r="BS785" t="str">
        <f>""</f>
        <v/>
      </c>
      <c r="BT785" t="str">
        <f>""</f>
        <v/>
      </c>
      <c r="BU785" t="str">
        <f>""</f>
        <v/>
      </c>
      <c r="BV785" t="str">
        <f>""</f>
        <v/>
      </c>
      <c r="BW785" t="str">
        <f>""</f>
        <v/>
      </c>
      <c r="BX785" t="str">
        <f>""</f>
        <v/>
      </c>
      <c r="BY785" t="str">
        <f>""</f>
        <v/>
      </c>
      <c r="BZ785" t="str">
        <f>""</f>
        <v/>
      </c>
      <c r="CA785" t="str">
        <f>""</f>
        <v/>
      </c>
      <c r="CB785" t="str">
        <f>""</f>
        <v/>
      </c>
      <c r="CC785" t="str">
        <f>""</f>
        <v/>
      </c>
      <c r="CD785" t="str">
        <f>""</f>
        <v/>
      </c>
      <c r="CE785" t="str">
        <f>""</f>
        <v/>
      </c>
      <c r="CF785" t="str">
        <f>""</f>
        <v/>
      </c>
      <c r="CG785" t="str">
        <f>""</f>
        <v/>
      </c>
      <c r="CH785" t="str">
        <f>""</f>
        <v/>
      </c>
      <c r="CI785" t="str">
        <f>""</f>
        <v/>
      </c>
      <c r="CJ785" t="str">
        <f>""</f>
        <v/>
      </c>
      <c r="CK785" t="str">
        <f>""</f>
        <v/>
      </c>
      <c r="CL785" t="str">
        <f>""</f>
        <v/>
      </c>
      <c r="CM785" t="str">
        <f>""</f>
        <v/>
      </c>
      <c r="CN785" t="str">
        <f>""</f>
        <v/>
      </c>
      <c r="CO785" t="str">
        <f>""</f>
        <v/>
      </c>
      <c r="CP785" t="str">
        <f>""</f>
        <v/>
      </c>
      <c r="CQ785" t="str">
        <f>""</f>
        <v/>
      </c>
      <c r="CR785" t="str">
        <f>""</f>
        <v/>
      </c>
      <c r="CS785" t="str">
        <f>""</f>
        <v/>
      </c>
      <c r="CT785" t="str">
        <f>""</f>
        <v/>
      </c>
      <c r="CU785" t="str">
        <f>""</f>
        <v/>
      </c>
      <c r="CV785" t="str">
        <f>""</f>
        <v/>
      </c>
      <c r="CW785" t="str">
        <f>""</f>
        <v/>
      </c>
      <c r="CX785" t="str">
        <f>""</f>
        <v/>
      </c>
      <c r="CY785" t="str">
        <f>""</f>
        <v/>
      </c>
      <c r="CZ785" t="str">
        <f>""</f>
        <v/>
      </c>
      <c r="DA785" t="str">
        <f>""</f>
        <v/>
      </c>
      <c r="DB785" t="str">
        <f>""</f>
        <v/>
      </c>
      <c r="DC785" t="str">
        <f>""</f>
        <v/>
      </c>
      <c r="DD785" t="str">
        <f>""</f>
        <v/>
      </c>
      <c r="DE785" t="str">
        <f>""</f>
        <v/>
      </c>
      <c r="DF785" t="str">
        <f>""</f>
        <v/>
      </c>
      <c r="DG785" t="str">
        <f>""</f>
        <v/>
      </c>
      <c r="DH785" t="str">
        <f>""</f>
        <v/>
      </c>
      <c r="DI785" t="str">
        <f>""</f>
        <v/>
      </c>
      <c r="DJ785" t="str">
        <f>""</f>
        <v/>
      </c>
      <c r="DK785" t="str">
        <f>""</f>
        <v/>
      </c>
      <c r="DL785" t="str">
        <f>""</f>
        <v/>
      </c>
      <c r="DM785" t="str">
        <f>""</f>
        <v/>
      </c>
      <c r="DN785" t="str">
        <f>""</f>
        <v/>
      </c>
      <c r="DO785" t="str">
        <f>""</f>
        <v/>
      </c>
      <c r="DP785" t="str">
        <f>""</f>
        <v/>
      </c>
      <c r="DQ785" t="str">
        <f>""</f>
        <v/>
      </c>
      <c r="DR785" t="str">
        <f>""</f>
        <v/>
      </c>
      <c r="DS785" t="str">
        <f>""</f>
        <v/>
      </c>
      <c r="DT785" t="str">
        <f>""</f>
        <v/>
      </c>
      <c r="DU785" t="str">
        <f>""</f>
        <v/>
      </c>
    </row>
    <row r="786" spans="1:125">
      <c r="A786" t="str">
        <f>$A$346</f>
        <v xml:space="preserve">    National Retail Properties Inc</v>
      </c>
      <c r="B786" t="str">
        <f>$B$346</f>
        <v>NNN US Equity</v>
      </c>
      <c r="C786" t="str">
        <f>$C$346</f>
        <v>BS658</v>
      </c>
      <c r="D786" t="str">
        <f>$D$346</f>
        <v>BS_YEAR_1_PRINCIPAL</v>
      </c>
      <c r="E786" t="str">
        <f>$E$346</f>
        <v>动态</v>
      </c>
      <c r="F786" t="str">
        <f ca="1">BDH($B$346,$C$346,$B$417,$B$418,CONCATENATE("Per=",$B$415),"Dts=H","Dir=H",CONCATENATE("Points=",$B$416),"Sort=R","Days=A","Fill=B",CONCATENATE("FX=", $B$414) )</f>
        <v>#N/A Authorization</v>
      </c>
      <c r="BN786" t="str">
        <f>""</f>
        <v/>
      </c>
      <c r="BO786" t="str">
        <f>""</f>
        <v/>
      </c>
      <c r="BP786" t="str">
        <f>""</f>
        <v/>
      </c>
      <c r="BQ786" t="str">
        <f>""</f>
        <v/>
      </c>
      <c r="BR786" t="str">
        <f>""</f>
        <v/>
      </c>
      <c r="BS786" t="str">
        <f>""</f>
        <v/>
      </c>
      <c r="BT786" t="str">
        <f>""</f>
        <v/>
      </c>
      <c r="BU786" t="str">
        <f>""</f>
        <v/>
      </c>
      <c r="BV786" t="str">
        <f>""</f>
        <v/>
      </c>
      <c r="BW786" t="str">
        <f>""</f>
        <v/>
      </c>
      <c r="BX786" t="str">
        <f>""</f>
        <v/>
      </c>
      <c r="BY786" t="str">
        <f>""</f>
        <v/>
      </c>
      <c r="BZ786" t="str">
        <f>""</f>
        <v/>
      </c>
      <c r="CA786" t="str">
        <f>""</f>
        <v/>
      </c>
      <c r="CB786" t="str">
        <f>""</f>
        <v/>
      </c>
      <c r="CC786" t="str">
        <f>""</f>
        <v/>
      </c>
      <c r="CD786" t="str">
        <f>""</f>
        <v/>
      </c>
      <c r="CE786" t="str">
        <f>""</f>
        <v/>
      </c>
      <c r="CF786" t="str">
        <f>""</f>
        <v/>
      </c>
      <c r="CG786" t="str">
        <f>""</f>
        <v/>
      </c>
      <c r="CH786" t="str">
        <f>""</f>
        <v/>
      </c>
      <c r="CI786" t="str">
        <f>""</f>
        <v/>
      </c>
      <c r="CJ786" t="str">
        <f>""</f>
        <v/>
      </c>
      <c r="CK786" t="str">
        <f>""</f>
        <v/>
      </c>
      <c r="CL786" t="str">
        <f>""</f>
        <v/>
      </c>
      <c r="CM786" t="str">
        <f>""</f>
        <v/>
      </c>
      <c r="CN786" t="str">
        <f>""</f>
        <v/>
      </c>
      <c r="CO786" t="str">
        <f>""</f>
        <v/>
      </c>
      <c r="CP786" t="str">
        <f>""</f>
        <v/>
      </c>
      <c r="CQ786" t="str">
        <f>""</f>
        <v/>
      </c>
      <c r="CR786" t="str">
        <f>""</f>
        <v/>
      </c>
      <c r="CS786" t="str">
        <f>""</f>
        <v/>
      </c>
      <c r="CT786" t="str">
        <f>""</f>
        <v/>
      </c>
      <c r="CU786" t="str">
        <f>""</f>
        <v/>
      </c>
      <c r="CV786" t="str">
        <f>""</f>
        <v/>
      </c>
      <c r="CW786" t="str">
        <f>""</f>
        <v/>
      </c>
      <c r="CX786" t="str">
        <f>""</f>
        <v/>
      </c>
      <c r="CY786" t="str">
        <f>""</f>
        <v/>
      </c>
      <c r="CZ786" t="str">
        <f>""</f>
        <v/>
      </c>
      <c r="DA786" t="str">
        <f>""</f>
        <v/>
      </c>
      <c r="DB786" t="str">
        <f>""</f>
        <v/>
      </c>
      <c r="DC786" t="str">
        <f>""</f>
        <v/>
      </c>
      <c r="DD786" t="str">
        <f>""</f>
        <v/>
      </c>
      <c r="DE786" t="str">
        <f>""</f>
        <v/>
      </c>
      <c r="DF786" t="str">
        <f>""</f>
        <v/>
      </c>
      <c r="DG786" t="str">
        <f>""</f>
        <v/>
      </c>
      <c r="DH786" t="str">
        <f>""</f>
        <v/>
      </c>
      <c r="DI786" t="str">
        <f>""</f>
        <v/>
      </c>
      <c r="DJ786" t="str">
        <f>""</f>
        <v/>
      </c>
      <c r="DK786" t="str">
        <f>""</f>
        <v/>
      </c>
      <c r="DL786" t="str">
        <f>""</f>
        <v/>
      </c>
      <c r="DM786" t="str">
        <f>""</f>
        <v/>
      </c>
      <c r="DN786" t="str">
        <f>""</f>
        <v/>
      </c>
      <c r="DO786" t="str">
        <f>""</f>
        <v/>
      </c>
      <c r="DP786" t="str">
        <f>""</f>
        <v/>
      </c>
      <c r="DQ786" t="str">
        <f>""</f>
        <v/>
      </c>
      <c r="DR786" t="str">
        <f>""</f>
        <v/>
      </c>
      <c r="DS786" t="str">
        <f>""</f>
        <v/>
      </c>
      <c r="DT786" t="str">
        <f>""</f>
        <v/>
      </c>
      <c r="DU786" t="str">
        <f>""</f>
        <v/>
      </c>
    </row>
    <row r="787" spans="1:125">
      <c r="A787" t="str">
        <f>$A$347</f>
        <v xml:space="preserve">    Realty Income Corp</v>
      </c>
      <c r="B787" t="str">
        <f>$B$347</f>
        <v>O US Equity</v>
      </c>
      <c r="C787" t="str">
        <f>$C$347</f>
        <v>BS658</v>
      </c>
      <c r="D787" t="str">
        <f>$D$347</f>
        <v>BS_YEAR_1_PRINCIPAL</v>
      </c>
      <c r="E787" t="str">
        <f>$E$347</f>
        <v>动态</v>
      </c>
      <c r="F787" t="str">
        <f ca="1">BDH($B$347,$C$347,$B$417,$B$418,CONCATENATE("Per=",$B$415),"Dts=H","Dir=H",CONCATENATE("Points=",$B$416),"Sort=R","Days=A","Fill=B",CONCATENATE("FX=", $B$414) )</f>
        <v>#N/A Authorization</v>
      </c>
      <c r="BN787" t="str">
        <f>""</f>
        <v/>
      </c>
      <c r="BO787" t="str">
        <f>""</f>
        <v/>
      </c>
      <c r="BP787" t="str">
        <f>""</f>
        <v/>
      </c>
      <c r="BQ787" t="str">
        <f>""</f>
        <v/>
      </c>
      <c r="BR787" t="str">
        <f>""</f>
        <v/>
      </c>
      <c r="BS787" t="str">
        <f>""</f>
        <v/>
      </c>
      <c r="BT787" t="str">
        <f>""</f>
        <v/>
      </c>
      <c r="BU787" t="str">
        <f>""</f>
        <v/>
      </c>
      <c r="BV787" t="str">
        <f>""</f>
        <v/>
      </c>
      <c r="BW787" t="str">
        <f>""</f>
        <v/>
      </c>
      <c r="BX787" t="str">
        <f>""</f>
        <v/>
      </c>
      <c r="BY787" t="str">
        <f>""</f>
        <v/>
      </c>
      <c r="BZ787" t="str">
        <f>""</f>
        <v/>
      </c>
      <c r="CA787" t="str">
        <f>""</f>
        <v/>
      </c>
      <c r="CB787" t="str">
        <f>""</f>
        <v/>
      </c>
      <c r="CC787" t="str">
        <f>""</f>
        <v/>
      </c>
      <c r="CD787" t="str">
        <f>""</f>
        <v/>
      </c>
      <c r="CE787" t="str">
        <f>""</f>
        <v/>
      </c>
      <c r="CF787" t="str">
        <f>""</f>
        <v/>
      </c>
      <c r="CG787" t="str">
        <f>""</f>
        <v/>
      </c>
      <c r="CH787" t="str">
        <f>""</f>
        <v/>
      </c>
      <c r="CI787" t="str">
        <f>""</f>
        <v/>
      </c>
      <c r="CJ787" t="str">
        <f>""</f>
        <v/>
      </c>
      <c r="CK787" t="str">
        <f>""</f>
        <v/>
      </c>
      <c r="CL787" t="str">
        <f>""</f>
        <v/>
      </c>
      <c r="CM787" t="str">
        <f>""</f>
        <v/>
      </c>
      <c r="CN787" t="str">
        <f>""</f>
        <v/>
      </c>
      <c r="CO787" t="str">
        <f>""</f>
        <v/>
      </c>
      <c r="CP787" t="str">
        <f>""</f>
        <v/>
      </c>
      <c r="CQ787" t="str">
        <f>""</f>
        <v/>
      </c>
      <c r="CR787" t="str">
        <f>""</f>
        <v/>
      </c>
      <c r="CS787" t="str">
        <f>""</f>
        <v/>
      </c>
      <c r="CT787" t="str">
        <f>""</f>
        <v/>
      </c>
      <c r="CU787" t="str">
        <f>""</f>
        <v/>
      </c>
      <c r="CV787" t="str">
        <f>""</f>
        <v/>
      </c>
      <c r="CW787" t="str">
        <f>""</f>
        <v/>
      </c>
      <c r="CX787" t="str">
        <f>""</f>
        <v/>
      </c>
      <c r="CY787" t="str">
        <f>""</f>
        <v/>
      </c>
      <c r="CZ787" t="str">
        <f>""</f>
        <v/>
      </c>
      <c r="DA787" t="str">
        <f>""</f>
        <v/>
      </c>
      <c r="DB787" t="str">
        <f>""</f>
        <v/>
      </c>
      <c r="DC787" t="str">
        <f>""</f>
        <v/>
      </c>
      <c r="DD787" t="str">
        <f>""</f>
        <v/>
      </c>
      <c r="DE787" t="str">
        <f>""</f>
        <v/>
      </c>
      <c r="DF787" t="str">
        <f>""</f>
        <v/>
      </c>
      <c r="DG787" t="str">
        <f>""</f>
        <v/>
      </c>
      <c r="DH787" t="str">
        <f>""</f>
        <v/>
      </c>
      <c r="DI787" t="str">
        <f>""</f>
        <v/>
      </c>
      <c r="DJ787" t="str">
        <f>""</f>
        <v/>
      </c>
      <c r="DK787" t="str">
        <f>""</f>
        <v/>
      </c>
      <c r="DL787" t="str">
        <f>""</f>
        <v/>
      </c>
      <c r="DM787" t="str">
        <f>""</f>
        <v/>
      </c>
      <c r="DN787" t="str">
        <f>""</f>
        <v/>
      </c>
      <c r="DO787" t="str">
        <f>""</f>
        <v/>
      </c>
      <c r="DP787" t="str">
        <f>""</f>
        <v/>
      </c>
      <c r="DQ787" t="str">
        <f>""</f>
        <v/>
      </c>
      <c r="DR787" t="str">
        <f>""</f>
        <v/>
      </c>
      <c r="DS787" t="str">
        <f>""</f>
        <v/>
      </c>
      <c r="DT787" t="str">
        <f>""</f>
        <v/>
      </c>
      <c r="DU787" t="str">
        <f>""</f>
        <v/>
      </c>
    </row>
    <row r="788" spans="1:125">
      <c r="A788" t="str">
        <f>$A$348</f>
        <v xml:space="preserve">    Regency Centers Corp</v>
      </c>
      <c r="B788" t="str">
        <f>$B$348</f>
        <v>REG US Equity</v>
      </c>
      <c r="C788" t="str">
        <f>$C$348</f>
        <v>BS658</v>
      </c>
      <c r="D788" t="str">
        <f>$D$348</f>
        <v>BS_YEAR_1_PRINCIPAL</v>
      </c>
      <c r="E788" t="str">
        <f>$E$348</f>
        <v>动态</v>
      </c>
      <c r="F788" t="str">
        <f ca="1">BDH($B$348,$C$348,$B$417,$B$418,CONCATENATE("Per=",$B$415),"Dts=H","Dir=H",CONCATENATE("Points=",$B$416),"Sort=R","Days=A","Fill=B",CONCATENATE("FX=", $B$414) )</f>
        <v>#N/A Authorization</v>
      </c>
      <c r="BN788" t="str">
        <f>""</f>
        <v/>
      </c>
      <c r="BO788" t="str">
        <f>""</f>
        <v/>
      </c>
      <c r="BP788" t="str">
        <f>""</f>
        <v/>
      </c>
      <c r="BQ788" t="str">
        <f>""</f>
        <v/>
      </c>
      <c r="BR788" t="str">
        <f>""</f>
        <v/>
      </c>
      <c r="BS788" t="str">
        <f>""</f>
        <v/>
      </c>
      <c r="BT788" t="str">
        <f>""</f>
        <v/>
      </c>
      <c r="BU788" t="str">
        <f>""</f>
        <v/>
      </c>
      <c r="BV788" t="str">
        <f>""</f>
        <v/>
      </c>
      <c r="BW788" t="str">
        <f>""</f>
        <v/>
      </c>
      <c r="BX788" t="str">
        <f>""</f>
        <v/>
      </c>
      <c r="BY788" t="str">
        <f>""</f>
        <v/>
      </c>
      <c r="BZ788" t="str">
        <f>""</f>
        <v/>
      </c>
      <c r="CA788" t="str">
        <f>""</f>
        <v/>
      </c>
      <c r="CB788" t="str">
        <f>""</f>
        <v/>
      </c>
      <c r="CC788" t="str">
        <f>""</f>
        <v/>
      </c>
      <c r="CD788" t="str">
        <f>""</f>
        <v/>
      </c>
      <c r="CE788" t="str">
        <f>""</f>
        <v/>
      </c>
      <c r="CF788" t="str">
        <f>""</f>
        <v/>
      </c>
      <c r="CG788" t="str">
        <f>""</f>
        <v/>
      </c>
      <c r="CH788" t="str">
        <f>""</f>
        <v/>
      </c>
      <c r="CI788" t="str">
        <f>""</f>
        <v/>
      </c>
      <c r="CJ788" t="str">
        <f>""</f>
        <v/>
      </c>
      <c r="CK788" t="str">
        <f>""</f>
        <v/>
      </c>
      <c r="CL788" t="str">
        <f>""</f>
        <v/>
      </c>
      <c r="CM788" t="str">
        <f>""</f>
        <v/>
      </c>
      <c r="CN788" t="str">
        <f>""</f>
        <v/>
      </c>
      <c r="CO788" t="str">
        <f>""</f>
        <v/>
      </c>
      <c r="CP788" t="str">
        <f>""</f>
        <v/>
      </c>
      <c r="CQ788" t="str">
        <f>""</f>
        <v/>
      </c>
      <c r="CR788" t="str">
        <f>""</f>
        <v/>
      </c>
      <c r="CS788" t="str">
        <f>""</f>
        <v/>
      </c>
      <c r="CT788" t="str">
        <f>""</f>
        <v/>
      </c>
      <c r="CU788" t="str">
        <f>""</f>
        <v/>
      </c>
      <c r="CV788" t="str">
        <f>""</f>
        <v/>
      </c>
      <c r="CW788" t="str">
        <f>""</f>
        <v/>
      </c>
      <c r="CX788" t="str">
        <f>""</f>
        <v/>
      </c>
      <c r="CY788" t="str">
        <f>""</f>
        <v/>
      </c>
      <c r="CZ788" t="str">
        <f>""</f>
        <v/>
      </c>
      <c r="DA788" t="str">
        <f>""</f>
        <v/>
      </c>
      <c r="DB788" t="str">
        <f>""</f>
        <v/>
      </c>
      <c r="DC788" t="str">
        <f>""</f>
        <v/>
      </c>
      <c r="DD788" t="str">
        <f>""</f>
        <v/>
      </c>
      <c r="DE788" t="str">
        <f>""</f>
        <v/>
      </c>
      <c r="DF788" t="str">
        <f>""</f>
        <v/>
      </c>
      <c r="DG788" t="str">
        <f>""</f>
        <v/>
      </c>
      <c r="DH788" t="str">
        <f>""</f>
        <v/>
      </c>
      <c r="DI788" t="str">
        <f>""</f>
        <v/>
      </c>
      <c r="DJ788" t="str">
        <f>""</f>
        <v/>
      </c>
      <c r="DK788" t="str">
        <f>""</f>
        <v/>
      </c>
      <c r="DL788" t="str">
        <f>""</f>
        <v/>
      </c>
      <c r="DM788" t="str">
        <f>""</f>
        <v/>
      </c>
      <c r="DN788" t="str">
        <f>""</f>
        <v/>
      </c>
      <c r="DO788" t="str">
        <f>""</f>
        <v/>
      </c>
      <c r="DP788" t="str">
        <f>""</f>
        <v/>
      </c>
      <c r="DQ788" t="str">
        <f>""</f>
        <v/>
      </c>
      <c r="DR788" t="str">
        <f>""</f>
        <v/>
      </c>
      <c r="DS788" t="str">
        <f>""</f>
        <v/>
      </c>
      <c r="DT788" t="str">
        <f>""</f>
        <v/>
      </c>
      <c r="DU788" t="str">
        <f>""</f>
        <v/>
      </c>
    </row>
    <row r="789" spans="1:125">
      <c r="A789" t="str">
        <f>$A$349</f>
        <v xml:space="preserve">    Retail Opportunity Investments</v>
      </c>
      <c r="B789" t="str">
        <f>$B$349</f>
        <v>ROIC US Equity</v>
      </c>
      <c r="C789" t="str">
        <f>$C$349</f>
        <v>BS658</v>
      </c>
      <c r="D789" t="str">
        <f>$D$349</f>
        <v>BS_YEAR_1_PRINCIPAL</v>
      </c>
      <c r="E789" t="str">
        <f>$E$349</f>
        <v>动态</v>
      </c>
      <c r="F789" t="str">
        <f ca="1">BDH($B$349,$C$349,$B$417,$B$418,CONCATENATE("Per=",$B$415),"Dts=H","Dir=H",CONCATENATE("Points=",$B$416),"Sort=R","Days=A","Fill=B",CONCATENATE("FX=", $B$414) )</f>
        <v>#N/A Authorization</v>
      </c>
      <c r="BN789" t="str">
        <f>""</f>
        <v/>
      </c>
      <c r="BO789" t="str">
        <f>""</f>
        <v/>
      </c>
      <c r="BP789" t="str">
        <f>""</f>
        <v/>
      </c>
      <c r="BQ789" t="str">
        <f>""</f>
        <v/>
      </c>
      <c r="BR789" t="str">
        <f>""</f>
        <v/>
      </c>
      <c r="BS789" t="str">
        <f>""</f>
        <v/>
      </c>
      <c r="BT789" t="str">
        <f>""</f>
        <v/>
      </c>
      <c r="BU789" t="str">
        <f>""</f>
        <v/>
      </c>
      <c r="BV789" t="str">
        <f>""</f>
        <v/>
      </c>
      <c r="BW789" t="str">
        <f>""</f>
        <v/>
      </c>
      <c r="BX789" t="str">
        <f>""</f>
        <v/>
      </c>
      <c r="BY789" t="str">
        <f>""</f>
        <v/>
      </c>
      <c r="BZ789" t="str">
        <f>""</f>
        <v/>
      </c>
      <c r="CA789" t="str">
        <f>""</f>
        <v/>
      </c>
      <c r="CB789" t="str">
        <f>""</f>
        <v/>
      </c>
      <c r="CC789" t="str">
        <f>""</f>
        <v/>
      </c>
      <c r="CD789" t="str">
        <f>""</f>
        <v/>
      </c>
      <c r="CE789" t="str">
        <f>""</f>
        <v/>
      </c>
      <c r="CF789" t="str">
        <f>""</f>
        <v/>
      </c>
      <c r="CG789" t="str">
        <f>""</f>
        <v/>
      </c>
      <c r="CH789" t="str">
        <f>""</f>
        <v/>
      </c>
      <c r="CI789" t="str">
        <f>""</f>
        <v/>
      </c>
      <c r="CJ789" t="str">
        <f>""</f>
        <v/>
      </c>
      <c r="CK789" t="str">
        <f>""</f>
        <v/>
      </c>
      <c r="CL789" t="str">
        <f>""</f>
        <v/>
      </c>
      <c r="CM789" t="str">
        <f>""</f>
        <v/>
      </c>
      <c r="CN789" t="str">
        <f>""</f>
        <v/>
      </c>
      <c r="CO789" t="str">
        <f>""</f>
        <v/>
      </c>
      <c r="CP789" t="str">
        <f>""</f>
        <v/>
      </c>
      <c r="CQ789" t="str">
        <f>""</f>
        <v/>
      </c>
      <c r="CR789" t="str">
        <f>""</f>
        <v/>
      </c>
      <c r="CS789" t="str">
        <f>""</f>
        <v/>
      </c>
      <c r="CT789" t="str">
        <f>""</f>
        <v/>
      </c>
      <c r="CU789" t="str">
        <f>""</f>
        <v/>
      </c>
      <c r="CV789" t="str">
        <f>""</f>
        <v/>
      </c>
      <c r="CW789" t="str">
        <f>""</f>
        <v/>
      </c>
      <c r="CX789" t="str">
        <f>""</f>
        <v/>
      </c>
      <c r="CY789" t="str">
        <f>""</f>
        <v/>
      </c>
      <c r="CZ789" t="str">
        <f>""</f>
        <v/>
      </c>
      <c r="DA789" t="str">
        <f>""</f>
        <v/>
      </c>
      <c r="DB789" t="str">
        <f>""</f>
        <v/>
      </c>
      <c r="DC789" t="str">
        <f>""</f>
        <v/>
      </c>
      <c r="DD789" t="str">
        <f>""</f>
        <v/>
      </c>
      <c r="DE789" t="str">
        <f>""</f>
        <v/>
      </c>
      <c r="DF789" t="str">
        <f>""</f>
        <v/>
      </c>
      <c r="DG789" t="str">
        <f>""</f>
        <v/>
      </c>
      <c r="DH789" t="str">
        <f>""</f>
        <v/>
      </c>
      <c r="DI789" t="str">
        <f>""</f>
        <v/>
      </c>
      <c r="DJ789" t="str">
        <f>""</f>
        <v/>
      </c>
      <c r="DK789" t="str">
        <f>""</f>
        <v/>
      </c>
      <c r="DL789" t="str">
        <f>""</f>
        <v/>
      </c>
      <c r="DM789" t="str">
        <f>""</f>
        <v/>
      </c>
      <c r="DN789" t="str">
        <f>""</f>
        <v/>
      </c>
      <c r="DO789" t="str">
        <f>""</f>
        <v/>
      </c>
      <c r="DP789" t="str">
        <f>""</f>
        <v/>
      </c>
      <c r="DQ789" t="str">
        <f>""</f>
        <v/>
      </c>
      <c r="DR789" t="str">
        <f>""</f>
        <v/>
      </c>
      <c r="DS789" t="str">
        <f>""</f>
        <v/>
      </c>
      <c r="DT789" t="str">
        <f>""</f>
        <v/>
      </c>
      <c r="DU789" t="str">
        <f>""</f>
        <v/>
      </c>
    </row>
    <row r="790" spans="1:125">
      <c r="A790" t="str">
        <f>$A$350</f>
        <v xml:space="preserve">    Retail Properties of America I</v>
      </c>
      <c r="B790" t="str">
        <f>$B$350</f>
        <v>RPAI US Equity</v>
      </c>
      <c r="C790" t="str">
        <f>$C$350</f>
        <v>BS658</v>
      </c>
      <c r="D790" t="str">
        <f>$D$350</f>
        <v>BS_YEAR_1_PRINCIPAL</v>
      </c>
      <c r="E790" t="str">
        <f>$E$350</f>
        <v>动态</v>
      </c>
      <c r="F790" t="str">
        <f ca="1">BDH($B$350,$C$350,$B$417,$B$418,CONCATENATE("Per=",$B$415),"Dts=H","Dir=H",CONCATENATE("Points=",$B$416),"Sort=R","Days=A","Fill=B",CONCATENATE("FX=", $B$414) )</f>
        <v>#N/A Authorization</v>
      </c>
      <c r="BN790" t="str">
        <f>""</f>
        <v/>
      </c>
      <c r="BO790" t="str">
        <f>""</f>
        <v/>
      </c>
      <c r="BP790" t="str">
        <f>""</f>
        <v/>
      </c>
      <c r="BQ790" t="str">
        <f>""</f>
        <v/>
      </c>
      <c r="BR790" t="str">
        <f>""</f>
        <v/>
      </c>
      <c r="BS790" t="str">
        <f>""</f>
        <v/>
      </c>
      <c r="BT790" t="str">
        <f>""</f>
        <v/>
      </c>
      <c r="BU790" t="str">
        <f>""</f>
        <v/>
      </c>
      <c r="BV790" t="str">
        <f>""</f>
        <v/>
      </c>
      <c r="BW790" t="str">
        <f>""</f>
        <v/>
      </c>
      <c r="BX790" t="str">
        <f>""</f>
        <v/>
      </c>
      <c r="BY790" t="str">
        <f>""</f>
        <v/>
      </c>
      <c r="BZ790" t="str">
        <f>""</f>
        <v/>
      </c>
      <c r="CA790" t="str">
        <f>""</f>
        <v/>
      </c>
      <c r="CB790" t="str">
        <f>""</f>
        <v/>
      </c>
      <c r="CC790" t="str">
        <f>""</f>
        <v/>
      </c>
      <c r="CD790" t="str">
        <f>""</f>
        <v/>
      </c>
      <c r="CE790" t="str">
        <f>""</f>
        <v/>
      </c>
      <c r="CF790" t="str">
        <f>""</f>
        <v/>
      </c>
      <c r="CG790" t="str">
        <f>""</f>
        <v/>
      </c>
      <c r="CH790" t="str">
        <f>""</f>
        <v/>
      </c>
      <c r="CI790" t="str">
        <f>""</f>
        <v/>
      </c>
      <c r="CJ790" t="str">
        <f>""</f>
        <v/>
      </c>
      <c r="CK790" t="str">
        <f>""</f>
        <v/>
      </c>
      <c r="CL790" t="str">
        <f>""</f>
        <v/>
      </c>
      <c r="CM790" t="str">
        <f>""</f>
        <v/>
      </c>
      <c r="CN790" t="str">
        <f>""</f>
        <v/>
      </c>
      <c r="CO790" t="str">
        <f>""</f>
        <v/>
      </c>
      <c r="CP790" t="str">
        <f>""</f>
        <v/>
      </c>
      <c r="CQ790" t="str">
        <f>""</f>
        <v/>
      </c>
      <c r="CR790" t="str">
        <f>""</f>
        <v/>
      </c>
      <c r="CS790" t="str">
        <f>""</f>
        <v/>
      </c>
      <c r="CT790" t="str">
        <f>""</f>
        <v/>
      </c>
      <c r="CU790" t="str">
        <f>""</f>
        <v/>
      </c>
      <c r="CV790" t="str">
        <f>""</f>
        <v/>
      </c>
      <c r="CW790" t="str">
        <f>""</f>
        <v/>
      </c>
      <c r="CX790" t="str">
        <f>""</f>
        <v/>
      </c>
      <c r="CY790" t="str">
        <f>""</f>
        <v/>
      </c>
      <c r="CZ790" t="str">
        <f>""</f>
        <v/>
      </c>
      <c r="DA790" t="str">
        <f>""</f>
        <v/>
      </c>
      <c r="DB790" t="str">
        <f>""</f>
        <v/>
      </c>
      <c r="DC790" t="str">
        <f>""</f>
        <v/>
      </c>
      <c r="DD790" t="str">
        <f>""</f>
        <v/>
      </c>
      <c r="DE790" t="str">
        <f>""</f>
        <v/>
      </c>
      <c r="DF790" t="str">
        <f>""</f>
        <v/>
      </c>
      <c r="DG790" t="str">
        <f>""</f>
        <v/>
      </c>
      <c r="DH790" t="str">
        <f>""</f>
        <v/>
      </c>
      <c r="DI790" t="str">
        <f>""</f>
        <v/>
      </c>
      <c r="DJ790" t="str">
        <f>""</f>
        <v/>
      </c>
      <c r="DK790" t="str">
        <f>""</f>
        <v/>
      </c>
      <c r="DL790" t="str">
        <f>""</f>
        <v/>
      </c>
      <c r="DM790" t="str">
        <f>""</f>
        <v/>
      </c>
      <c r="DN790" t="str">
        <f>""</f>
        <v/>
      </c>
      <c r="DO790" t="str">
        <f>""</f>
        <v/>
      </c>
      <c r="DP790" t="str">
        <f>""</f>
        <v/>
      </c>
      <c r="DQ790" t="str">
        <f>""</f>
        <v/>
      </c>
      <c r="DR790" t="str">
        <f>""</f>
        <v/>
      </c>
      <c r="DS790" t="str">
        <f>""</f>
        <v/>
      </c>
      <c r="DT790" t="str">
        <f>""</f>
        <v/>
      </c>
      <c r="DU790" t="str">
        <f>""</f>
        <v/>
      </c>
    </row>
    <row r="791" spans="1:125">
      <c r="A791" t="str">
        <f>$A$351</f>
        <v xml:space="preserve">    Simon Property Group Inc</v>
      </c>
      <c r="B791" t="str">
        <f>$B$351</f>
        <v>SPG US Equity</v>
      </c>
      <c r="C791" t="str">
        <f>$C$351</f>
        <v>BS658</v>
      </c>
      <c r="D791" t="str">
        <f>$D$351</f>
        <v>BS_YEAR_1_PRINCIPAL</v>
      </c>
      <c r="E791" t="str">
        <f>$E$351</f>
        <v>动态</v>
      </c>
      <c r="F791" t="str">
        <f ca="1">BDH($B$351,$C$351,$B$417,$B$418,CONCATENATE("Per=",$B$415),"Dts=H","Dir=H",CONCATENATE("Points=",$B$416),"Sort=R","Days=A","Fill=B",CONCATENATE("FX=", $B$414) )</f>
        <v>#N/A Authorization</v>
      </c>
      <c r="BN791" t="str">
        <f>""</f>
        <v/>
      </c>
      <c r="BO791" t="str">
        <f>""</f>
        <v/>
      </c>
      <c r="BP791" t="str">
        <f>""</f>
        <v/>
      </c>
      <c r="BQ791" t="str">
        <f>""</f>
        <v/>
      </c>
      <c r="BR791" t="str">
        <f>""</f>
        <v/>
      </c>
      <c r="BS791" t="str">
        <f>""</f>
        <v/>
      </c>
      <c r="BT791" t="str">
        <f>""</f>
        <v/>
      </c>
      <c r="BU791" t="str">
        <f>""</f>
        <v/>
      </c>
      <c r="BV791" t="str">
        <f>""</f>
        <v/>
      </c>
      <c r="BW791" t="str">
        <f>""</f>
        <v/>
      </c>
      <c r="BX791" t="str">
        <f>""</f>
        <v/>
      </c>
      <c r="BY791" t="str">
        <f>""</f>
        <v/>
      </c>
      <c r="BZ791" t="str">
        <f>""</f>
        <v/>
      </c>
      <c r="CA791" t="str">
        <f>""</f>
        <v/>
      </c>
      <c r="CB791" t="str">
        <f>""</f>
        <v/>
      </c>
      <c r="CC791" t="str">
        <f>""</f>
        <v/>
      </c>
      <c r="CD791" t="str">
        <f>""</f>
        <v/>
      </c>
      <c r="CE791" t="str">
        <f>""</f>
        <v/>
      </c>
      <c r="CF791" t="str">
        <f>""</f>
        <v/>
      </c>
      <c r="CG791" t="str">
        <f>""</f>
        <v/>
      </c>
      <c r="CH791" t="str">
        <f>""</f>
        <v/>
      </c>
      <c r="CI791" t="str">
        <f>""</f>
        <v/>
      </c>
      <c r="CJ791" t="str">
        <f>""</f>
        <v/>
      </c>
      <c r="CK791" t="str">
        <f>""</f>
        <v/>
      </c>
      <c r="CL791" t="str">
        <f>""</f>
        <v/>
      </c>
      <c r="CM791" t="str">
        <f>""</f>
        <v/>
      </c>
      <c r="CN791" t="str">
        <f>""</f>
        <v/>
      </c>
      <c r="CO791" t="str">
        <f>""</f>
        <v/>
      </c>
      <c r="CP791" t="str">
        <f>""</f>
        <v/>
      </c>
      <c r="CQ791" t="str">
        <f>""</f>
        <v/>
      </c>
      <c r="CR791" t="str">
        <f>""</f>
        <v/>
      </c>
      <c r="CS791" t="str">
        <f>""</f>
        <v/>
      </c>
      <c r="CT791" t="str">
        <f>""</f>
        <v/>
      </c>
      <c r="CU791" t="str">
        <f>""</f>
        <v/>
      </c>
      <c r="CV791" t="str">
        <f>""</f>
        <v/>
      </c>
      <c r="CW791" t="str">
        <f>""</f>
        <v/>
      </c>
      <c r="CX791" t="str">
        <f>""</f>
        <v/>
      </c>
      <c r="CY791" t="str">
        <f>""</f>
        <v/>
      </c>
      <c r="CZ791" t="str">
        <f>""</f>
        <v/>
      </c>
      <c r="DA791" t="str">
        <f>""</f>
        <v/>
      </c>
      <c r="DB791" t="str">
        <f>""</f>
        <v/>
      </c>
      <c r="DC791" t="str">
        <f>""</f>
        <v/>
      </c>
      <c r="DD791" t="str">
        <f>""</f>
        <v/>
      </c>
      <c r="DE791" t="str">
        <f>""</f>
        <v/>
      </c>
      <c r="DF791" t="str">
        <f>""</f>
        <v/>
      </c>
      <c r="DG791" t="str">
        <f>""</f>
        <v/>
      </c>
      <c r="DH791" t="str">
        <f>""</f>
        <v/>
      </c>
      <c r="DI791" t="str">
        <f>""</f>
        <v/>
      </c>
      <c r="DJ791" t="str">
        <f>""</f>
        <v/>
      </c>
      <c r="DK791" t="str">
        <f>""</f>
        <v/>
      </c>
      <c r="DL791" t="str">
        <f>""</f>
        <v/>
      </c>
      <c r="DM791" t="str">
        <f>""</f>
        <v/>
      </c>
      <c r="DN791" t="str">
        <f>""</f>
        <v/>
      </c>
      <c r="DO791" t="str">
        <f>""</f>
        <v/>
      </c>
      <c r="DP791" t="str">
        <f>""</f>
        <v/>
      </c>
      <c r="DQ791" t="str">
        <f>""</f>
        <v/>
      </c>
      <c r="DR791" t="str">
        <f>""</f>
        <v/>
      </c>
      <c r="DS791" t="str">
        <f>""</f>
        <v/>
      </c>
      <c r="DT791" t="str">
        <f>""</f>
        <v/>
      </c>
      <c r="DU791" t="str">
        <f>""</f>
        <v/>
      </c>
    </row>
    <row r="792" spans="1:125">
      <c r="A792" t="str">
        <f>$A$352</f>
        <v xml:space="preserve">    Tanger Factory Outlet Centers</v>
      </c>
      <c r="B792" t="str">
        <f>$B$352</f>
        <v>SKT US Equity</v>
      </c>
      <c r="C792" t="str">
        <f>$C$352</f>
        <v>BS658</v>
      </c>
      <c r="D792" t="str">
        <f>$D$352</f>
        <v>BS_YEAR_1_PRINCIPAL</v>
      </c>
      <c r="E792" t="str">
        <f>$E$352</f>
        <v>动态</v>
      </c>
      <c r="F792" t="str">
        <f ca="1">BDH($B$352,$C$352,$B$417,$B$418,CONCATENATE("Per=",$B$415),"Dts=H","Dir=H",CONCATENATE("Points=",$B$416),"Sort=R","Days=A","Fill=B",CONCATENATE("FX=", $B$414) )</f>
        <v>#N/A Authorization</v>
      </c>
      <c r="BN792" t="str">
        <f>""</f>
        <v/>
      </c>
      <c r="BO792" t="str">
        <f>""</f>
        <v/>
      </c>
      <c r="BP792" t="str">
        <f>""</f>
        <v/>
      </c>
      <c r="BQ792" t="str">
        <f>""</f>
        <v/>
      </c>
      <c r="BR792" t="str">
        <f>""</f>
        <v/>
      </c>
      <c r="BS792" t="str">
        <f>""</f>
        <v/>
      </c>
      <c r="BT792" t="str">
        <f>""</f>
        <v/>
      </c>
      <c r="BU792" t="str">
        <f>""</f>
        <v/>
      </c>
      <c r="BV792" t="str">
        <f>""</f>
        <v/>
      </c>
      <c r="BW792" t="str">
        <f>""</f>
        <v/>
      </c>
      <c r="BX792" t="str">
        <f>""</f>
        <v/>
      </c>
      <c r="BY792" t="str">
        <f>""</f>
        <v/>
      </c>
      <c r="BZ792" t="str">
        <f>""</f>
        <v/>
      </c>
      <c r="CA792" t="str">
        <f>""</f>
        <v/>
      </c>
      <c r="CB792" t="str">
        <f>""</f>
        <v/>
      </c>
      <c r="CC792" t="str">
        <f>""</f>
        <v/>
      </c>
      <c r="CD792" t="str">
        <f>""</f>
        <v/>
      </c>
      <c r="CE792" t="str">
        <f>""</f>
        <v/>
      </c>
      <c r="CF792" t="str">
        <f>""</f>
        <v/>
      </c>
      <c r="CG792" t="str">
        <f>""</f>
        <v/>
      </c>
      <c r="CH792" t="str">
        <f>""</f>
        <v/>
      </c>
      <c r="CI792" t="str">
        <f>""</f>
        <v/>
      </c>
      <c r="CJ792" t="str">
        <f>""</f>
        <v/>
      </c>
      <c r="CK792" t="str">
        <f>""</f>
        <v/>
      </c>
      <c r="CL792" t="str">
        <f>""</f>
        <v/>
      </c>
      <c r="CM792" t="str">
        <f>""</f>
        <v/>
      </c>
      <c r="CN792" t="str">
        <f>""</f>
        <v/>
      </c>
      <c r="CO792" t="str">
        <f>""</f>
        <v/>
      </c>
      <c r="CP792" t="str">
        <f>""</f>
        <v/>
      </c>
      <c r="CQ792" t="str">
        <f>""</f>
        <v/>
      </c>
      <c r="CR792" t="str">
        <f>""</f>
        <v/>
      </c>
      <c r="CS792" t="str">
        <f>""</f>
        <v/>
      </c>
      <c r="CT792" t="str">
        <f>""</f>
        <v/>
      </c>
      <c r="CU792" t="str">
        <f>""</f>
        <v/>
      </c>
      <c r="CV792" t="str">
        <f>""</f>
        <v/>
      </c>
      <c r="CW792" t="str">
        <f>""</f>
        <v/>
      </c>
      <c r="CX792" t="str">
        <f>""</f>
        <v/>
      </c>
      <c r="CY792" t="str">
        <f>""</f>
        <v/>
      </c>
      <c r="CZ792" t="str">
        <f>""</f>
        <v/>
      </c>
      <c r="DA792" t="str">
        <f>""</f>
        <v/>
      </c>
      <c r="DB792" t="str">
        <f>""</f>
        <v/>
      </c>
      <c r="DC792" t="str">
        <f>""</f>
        <v/>
      </c>
      <c r="DD792" t="str">
        <f>""</f>
        <v/>
      </c>
      <c r="DE792" t="str">
        <f>""</f>
        <v/>
      </c>
      <c r="DF792" t="str">
        <f>""</f>
        <v/>
      </c>
      <c r="DG792" t="str">
        <f>""</f>
        <v/>
      </c>
      <c r="DH792" t="str">
        <f>""</f>
        <v/>
      </c>
      <c r="DI792" t="str">
        <f>""</f>
        <v/>
      </c>
      <c r="DJ792" t="str">
        <f>""</f>
        <v/>
      </c>
      <c r="DK792" t="str">
        <f>""</f>
        <v/>
      </c>
      <c r="DL792" t="str">
        <f>""</f>
        <v/>
      </c>
      <c r="DM792" t="str">
        <f>""</f>
        <v/>
      </c>
      <c r="DN792" t="str">
        <f>""</f>
        <v/>
      </c>
      <c r="DO792" t="str">
        <f>""</f>
        <v/>
      </c>
      <c r="DP792" t="str">
        <f>""</f>
        <v/>
      </c>
      <c r="DQ792" t="str">
        <f>""</f>
        <v/>
      </c>
      <c r="DR792" t="str">
        <f>""</f>
        <v/>
      </c>
      <c r="DS792" t="str">
        <f>""</f>
        <v/>
      </c>
      <c r="DT792" t="str">
        <f>""</f>
        <v/>
      </c>
      <c r="DU792" t="str">
        <f>""</f>
        <v/>
      </c>
    </row>
    <row r="793" spans="1:125">
      <c r="A793" t="str">
        <f>$A$353</f>
        <v xml:space="preserve">    VEREIT Inc</v>
      </c>
      <c r="B793" t="str">
        <f>$B$353</f>
        <v>VER US Equity</v>
      </c>
      <c r="C793" t="str">
        <f>$C$353</f>
        <v>BS658</v>
      </c>
      <c r="D793" t="str">
        <f>$D$353</f>
        <v>BS_YEAR_1_PRINCIPAL</v>
      </c>
      <c r="E793" t="str">
        <f>$E$353</f>
        <v>动态</v>
      </c>
      <c r="F793" t="str">
        <f ca="1">BDH($B$353,$C$353,$B$417,$B$418,CONCATENATE("Per=",$B$415),"Dts=H","Dir=H",CONCATENATE("Points=",$B$416),"Sort=R","Days=A","Fill=B",CONCATENATE("FX=", $B$414) )</f>
        <v>#N/A Authorization</v>
      </c>
      <c r="BN793" t="str">
        <f>""</f>
        <v/>
      </c>
      <c r="BO793" t="str">
        <f>""</f>
        <v/>
      </c>
      <c r="BP793" t="str">
        <f>""</f>
        <v/>
      </c>
      <c r="BQ793" t="str">
        <f>""</f>
        <v/>
      </c>
      <c r="BR793" t="str">
        <f>""</f>
        <v/>
      </c>
      <c r="BS793" t="str">
        <f>""</f>
        <v/>
      </c>
      <c r="BT793" t="str">
        <f>""</f>
        <v/>
      </c>
      <c r="BU793" t="str">
        <f>""</f>
        <v/>
      </c>
      <c r="BV793" t="str">
        <f>""</f>
        <v/>
      </c>
      <c r="BW793" t="str">
        <f>""</f>
        <v/>
      </c>
      <c r="BX793" t="str">
        <f>""</f>
        <v/>
      </c>
      <c r="BY793" t="str">
        <f>""</f>
        <v/>
      </c>
      <c r="BZ793" t="str">
        <f>""</f>
        <v/>
      </c>
      <c r="CA793" t="str">
        <f>""</f>
        <v/>
      </c>
      <c r="CB793" t="str">
        <f>""</f>
        <v/>
      </c>
      <c r="CC793" t="str">
        <f>""</f>
        <v/>
      </c>
      <c r="CD793" t="str">
        <f>""</f>
        <v/>
      </c>
      <c r="CE793" t="str">
        <f>""</f>
        <v/>
      </c>
      <c r="CF793" t="str">
        <f>""</f>
        <v/>
      </c>
      <c r="CG793" t="str">
        <f>""</f>
        <v/>
      </c>
      <c r="CH793" t="str">
        <f>""</f>
        <v/>
      </c>
      <c r="CI793" t="str">
        <f>""</f>
        <v/>
      </c>
      <c r="CJ793" t="str">
        <f>""</f>
        <v/>
      </c>
      <c r="CK793" t="str">
        <f>""</f>
        <v/>
      </c>
      <c r="CL793" t="str">
        <f>""</f>
        <v/>
      </c>
      <c r="CM793" t="str">
        <f>""</f>
        <v/>
      </c>
      <c r="CN793" t="str">
        <f>""</f>
        <v/>
      </c>
      <c r="CO793" t="str">
        <f>""</f>
        <v/>
      </c>
      <c r="CP793" t="str">
        <f>""</f>
        <v/>
      </c>
      <c r="CQ793" t="str">
        <f>""</f>
        <v/>
      </c>
      <c r="CR793" t="str">
        <f>""</f>
        <v/>
      </c>
      <c r="CS793" t="str">
        <f>""</f>
        <v/>
      </c>
      <c r="CT793" t="str">
        <f>""</f>
        <v/>
      </c>
      <c r="CU793" t="str">
        <f>""</f>
        <v/>
      </c>
      <c r="CV793" t="str">
        <f>""</f>
        <v/>
      </c>
      <c r="CW793" t="str">
        <f>""</f>
        <v/>
      </c>
      <c r="CX793" t="str">
        <f>""</f>
        <v/>
      </c>
      <c r="CY793" t="str">
        <f>""</f>
        <v/>
      </c>
      <c r="CZ793" t="str">
        <f>""</f>
        <v/>
      </c>
      <c r="DA793" t="str">
        <f>""</f>
        <v/>
      </c>
      <c r="DB793" t="str">
        <f>""</f>
        <v/>
      </c>
      <c r="DC793" t="str">
        <f>""</f>
        <v/>
      </c>
      <c r="DD793" t="str">
        <f>""</f>
        <v/>
      </c>
      <c r="DE793" t="str">
        <f>""</f>
        <v/>
      </c>
      <c r="DF793" t="str">
        <f>""</f>
        <v/>
      </c>
      <c r="DG793" t="str">
        <f>""</f>
        <v/>
      </c>
      <c r="DH793" t="str">
        <f>""</f>
        <v/>
      </c>
      <c r="DI793" t="str">
        <f>""</f>
        <v/>
      </c>
      <c r="DJ793" t="str">
        <f>""</f>
        <v/>
      </c>
      <c r="DK793" t="str">
        <f>""</f>
        <v/>
      </c>
      <c r="DL793" t="str">
        <f>""</f>
        <v/>
      </c>
      <c r="DM793" t="str">
        <f>""</f>
        <v/>
      </c>
      <c r="DN793" t="str">
        <f>""</f>
        <v/>
      </c>
      <c r="DO793" t="str">
        <f>""</f>
        <v/>
      </c>
      <c r="DP793" t="str">
        <f>""</f>
        <v/>
      </c>
      <c r="DQ793" t="str">
        <f>""</f>
        <v/>
      </c>
      <c r="DR793" t="str">
        <f>""</f>
        <v/>
      </c>
      <c r="DS793" t="str">
        <f>""</f>
        <v/>
      </c>
      <c r="DT793" t="str">
        <f>""</f>
        <v/>
      </c>
      <c r="DU793" t="str">
        <f>""</f>
        <v/>
      </c>
    </row>
    <row r="794" spans="1:125">
      <c r="A794" t="str">
        <f>$A$354</f>
        <v xml:space="preserve">    Washington Prime Group Inc</v>
      </c>
      <c r="B794" t="str">
        <f>$B$354</f>
        <v>WPG US Equity</v>
      </c>
      <c r="C794" t="str">
        <f>$C$354</f>
        <v>BS658</v>
      </c>
      <c r="D794" t="str">
        <f>$D$354</f>
        <v>BS_YEAR_1_PRINCIPAL</v>
      </c>
      <c r="E794" t="str">
        <f>$E$354</f>
        <v>动态</v>
      </c>
      <c r="F794" t="str">
        <f ca="1">BDH($B$354,$C$354,$B$417,$B$418,CONCATENATE("Per=",$B$415),"Dts=H","Dir=H",CONCATENATE("Points=",$B$416),"Sort=R","Days=A","Fill=B",CONCATENATE("FX=", $B$414) )</f>
        <v>#N/A Authorization</v>
      </c>
      <c r="BN794" t="str">
        <f>""</f>
        <v/>
      </c>
      <c r="BO794" t="str">
        <f>""</f>
        <v/>
      </c>
      <c r="BP794" t="str">
        <f>""</f>
        <v/>
      </c>
      <c r="BQ794" t="str">
        <f>""</f>
        <v/>
      </c>
      <c r="BR794" t="str">
        <f>""</f>
        <v/>
      </c>
      <c r="BS794" t="str">
        <f>""</f>
        <v/>
      </c>
      <c r="BT794" t="str">
        <f>""</f>
        <v/>
      </c>
      <c r="BU794" t="str">
        <f>""</f>
        <v/>
      </c>
      <c r="BV794" t="str">
        <f>""</f>
        <v/>
      </c>
      <c r="BW794" t="str">
        <f>""</f>
        <v/>
      </c>
      <c r="BX794" t="str">
        <f>""</f>
        <v/>
      </c>
      <c r="BY794" t="str">
        <f>""</f>
        <v/>
      </c>
      <c r="BZ794" t="str">
        <f>""</f>
        <v/>
      </c>
      <c r="CA794" t="str">
        <f>""</f>
        <v/>
      </c>
      <c r="CB794" t="str">
        <f>""</f>
        <v/>
      </c>
      <c r="CC794" t="str">
        <f>""</f>
        <v/>
      </c>
      <c r="CD794" t="str">
        <f>""</f>
        <v/>
      </c>
      <c r="CE794" t="str">
        <f>""</f>
        <v/>
      </c>
      <c r="CF794" t="str">
        <f>""</f>
        <v/>
      </c>
      <c r="CG794" t="str">
        <f>""</f>
        <v/>
      </c>
      <c r="CH794" t="str">
        <f>""</f>
        <v/>
      </c>
      <c r="CI794" t="str">
        <f>""</f>
        <v/>
      </c>
      <c r="CJ794" t="str">
        <f>""</f>
        <v/>
      </c>
      <c r="CK794" t="str">
        <f>""</f>
        <v/>
      </c>
      <c r="CL794" t="str">
        <f>""</f>
        <v/>
      </c>
      <c r="CM794" t="str">
        <f>""</f>
        <v/>
      </c>
      <c r="CN794" t="str">
        <f>""</f>
        <v/>
      </c>
      <c r="CO794" t="str">
        <f>""</f>
        <v/>
      </c>
      <c r="CP794" t="str">
        <f>""</f>
        <v/>
      </c>
      <c r="CQ794" t="str">
        <f>""</f>
        <v/>
      </c>
      <c r="CR794" t="str">
        <f>""</f>
        <v/>
      </c>
      <c r="CS794" t="str">
        <f>""</f>
        <v/>
      </c>
      <c r="CT794" t="str">
        <f>""</f>
        <v/>
      </c>
      <c r="CU794" t="str">
        <f>""</f>
        <v/>
      </c>
      <c r="CV794" t="str">
        <f>""</f>
        <v/>
      </c>
      <c r="CW794" t="str">
        <f>""</f>
        <v/>
      </c>
      <c r="CX794" t="str">
        <f>""</f>
        <v/>
      </c>
      <c r="CY794" t="str">
        <f>""</f>
        <v/>
      </c>
      <c r="CZ794" t="str">
        <f>""</f>
        <v/>
      </c>
      <c r="DA794" t="str">
        <f>""</f>
        <v/>
      </c>
      <c r="DB794" t="str">
        <f>""</f>
        <v/>
      </c>
      <c r="DC794" t="str">
        <f>""</f>
        <v/>
      </c>
      <c r="DD794" t="str">
        <f>""</f>
        <v/>
      </c>
      <c r="DE794" t="str">
        <f>""</f>
        <v/>
      </c>
      <c r="DF794" t="str">
        <f>""</f>
        <v/>
      </c>
      <c r="DG794" t="str">
        <f>""</f>
        <v/>
      </c>
      <c r="DH794" t="str">
        <f>""</f>
        <v/>
      </c>
      <c r="DI794" t="str">
        <f>""</f>
        <v/>
      </c>
      <c r="DJ794" t="str">
        <f>""</f>
        <v/>
      </c>
      <c r="DK794" t="str">
        <f>""</f>
        <v/>
      </c>
      <c r="DL794" t="str">
        <f>""</f>
        <v/>
      </c>
      <c r="DM794" t="str">
        <f>""</f>
        <v/>
      </c>
      <c r="DN794" t="str">
        <f>""</f>
        <v/>
      </c>
      <c r="DO794" t="str">
        <f>""</f>
        <v/>
      </c>
      <c r="DP794" t="str">
        <f>""</f>
        <v/>
      </c>
      <c r="DQ794" t="str">
        <f>""</f>
        <v/>
      </c>
      <c r="DR794" t="str">
        <f>""</f>
        <v/>
      </c>
      <c r="DS794" t="str">
        <f>""</f>
        <v/>
      </c>
      <c r="DT794" t="str">
        <f>""</f>
        <v/>
      </c>
      <c r="DU794" t="str">
        <f>""</f>
        <v/>
      </c>
    </row>
    <row r="795" spans="1:125">
      <c r="A795" t="str">
        <f>$A$355</f>
        <v xml:space="preserve">    Weingarten Realty Investors</v>
      </c>
      <c r="B795" t="str">
        <f>$B$355</f>
        <v>WRI US Equity</v>
      </c>
      <c r="C795" t="str">
        <f>$C$355</f>
        <v>BS658</v>
      </c>
      <c r="D795" t="str">
        <f>$D$355</f>
        <v>BS_YEAR_1_PRINCIPAL</v>
      </c>
      <c r="E795" t="str">
        <f>$E$355</f>
        <v>动态</v>
      </c>
      <c r="F795" t="str">
        <f ca="1">BDH($B$355,$C$355,$B$417,$B$418,CONCATENATE("Per=",$B$415),"Dts=H","Dir=H",CONCATENATE("Points=",$B$416),"Sort=R","Days=A","Fill=B",CONCATENATE("FX=", $B$414) )</f>
        <v>#N/A Authorization</v>
      </c>
      <c r="BN795" t="str">
        <f>""</f>
        <v/>
      </c>
      <c r="BO795" t="str">
        <f>""</f>
        <v/>
      </c>
      <c r="BP795" t="str">
        <f>""</f>
        <v/>
      </c>
      <c r="BQ795" t="str">
        <f>""</f>
        <v/>
      </c>
      <c r="BR795" t="str">
        <f>""</f>
        <v/>
      </c>
      <c r="BS795" t="str">
        <f>""</f>
        <v/>
      </c>
      <c r="BT795" t="str">
        <f>""</f>
        <v/>
      </c>
      <c r="BU795" t="str">
        <f>""</f>
        <v/>
      </c>
      <c r="BV795" t="str">
        <f>""</f>
        <v/>
      </c>
      <c r="BW795" t="str">
        <f>""</f>
        <v/>
      </c>
      <c r="BX795" t="str">
        <f>""</f>
        <v/>
      </c>
      <c r="BY795" t="str">
        <f>""</f>
        <v/>
      </c>
      <c r="BZ795" t="str">
        <f>""</f>
        <v/>
      </c>
      <c r="CA795" t="str">
        <f>""</f>
        <v/>
      </c>
      <c r="CB795" t="str">
        <f>""</f>
        <v/>
      </c>
      <c r="CC795" t="str">
        <f>""</f>
        <v/>
      </c>
      <c r="CD795" t="str">
        <f>""</f>
        <v/>
      </c>
      <c r="CE795" t="str">
        <f>""</f>
        <v/>
      </c>
      <c r="CF795" t="str">
        <f>""</f>
        <v/>
      </c>
      <c r="CG795" t="str">
        <f>""</f>
        <v/>
      </c>
      <c r="CH795" t="str">
        <f>""</f>
        <v/>
      </c>
      <c r="CI795" t="str">
        <f>""</f>
        <v/>
      </c>
      <c r="CJ795" t="str">
        <f>""</f>
        <v/>
      </c>
      <c r="CK795" t="str">
        <f>""</f>
        <v/>
      </c>
      <c r="CL795" t="str">
        <f>""</f>
        <v/>
      </c>
      <c r="CM795" t="str">
        <f>""</f>
        <v/>
      </c>
      <c r="CN795" t="str">
        <f>""</f>
        <v/>
      </c>
      <c r="CO795" t="str">
        <f>""</f>
        <v/>
      </c>
      <c r="CP795" t="str">
        <f>""</f>
        <v/>
      </c>
      <c r="CQ795" t="str">
        <f>""</f>
        <v/>
      </c>
      <c r="CR795" t="str">
        <f>""</f>
        <v/>
      </c>
      <c r="CS795" t="str">
        <f>""</f>
        <v/>
      </c>
      <c r="CT795" t="str">
        <f>""</f>
        <v/>
      </c>
      <c r="CU795" t="str">
        <f>""</f>
        <v/>
      </c>
      <c r="CV795" t="str">
        <f>""</f>
        <v/>
      </c>
      <c r="CW795" t="str">
        <f>""</f>
        <v/>
      </c>
      <c r="CX795" t="str">
        <f>""</f>
        <v/>
      </c>
      <c r="CY795" t="str">
        <f>""</f>
        <v/>
      </c>
      <c r="CZ795" t="str">
        <f>""</f>
        <v/>
      </c>
      <c r="DA795" t="str">
        <f>""</f>
        <v/>
      </c>
      <c r="DB795" t="str">
        <f>""</f>
        <v/>
      </c>
      <c r="DC795" t="str">
        <f>""</f>
        <v/>
      </c>
      <c r="DD795" t="str">
        <f>""</f>
        <v/>
      </c>
      <c r="DE795" t="str">
        <f>""</f>
        <v/>
      </c>
      <c r="DF795" t="str">
        <f>""</f>
        <v/>
      </c>
      <c r="DG795" t="str">
        <f>""</f>
        <v/>
      </c>
      <c r="DH795" t="str">
        <f>""</f>
        <v/>
      </c>
      <c r="DI795" t="str">
        <f>""</f>
        <v/>
      </c>
      <c r="DJ795" t="str">
        <f>""</f>
        <v/>
      </c>
      <c r="DK795" t="str">
        <f>""</f>
        <v/>
      </c>
      <c r="DL795" t="str">
        <f>""</f>
        <v/>
      </c>
      <c r="DM795" t="str">
        <f>""</f>
        <v/>
      </c>
      <c r="DN795" t="str">
        <f>""</f>
        <v/>
      </c>
      <c r="DO795" t="str">
        <f>""</f>
        <v/>
      </c>
      <c r="DP795" t="str">
        <f>""</f>
        <v/>
      </c>
      <c r="DQ795" t="str">
        <f>""</f>
        <v/>
      </c>
      <c r="DR795" t="str">
        <f>""</f>
        <v/>
      </c>
      <c r="DS795" t="str">
        <f>""</f>
        <v/>
      </c>
      <c r="DT795" t="str">
        <f>""</f>
        <v/>
      </c>
      <c r="DU795" t="str">
        <f>""</f>
        <v/>
      </c>
    </row>
    <row r="796" spans="1:125">
      <c r="A796" t="str">
        <f>$A$357</f>
        <v xml:space="preserve">    Brixmor Property Group Inc</v>
      </c>
      <c r="B796" t="str">
        <f>$B$357</f>
        <v>BRX US Equity</v>
      </c>
      <c r="C796" t="str">
        <f>$C$357</f>
        <v>RR008</v>
      </c>
      <c r="D796" t="str">
        <f>$D$357</f>
        <v>CF_FREE_CASH_FLOW</v>
      </c>
      <c r="E796" t="str">
        <f>$E$357</f>
        <v>动态</v>
      </c>
      <c r="F796" t="str">
        <f ca="1">BDH($B$357,$C$357,$B$417,$B$418,CONCATENATE("Per=",$B$415),"Dts=H","Dir=H",CONCATENATE("Points=",$B$416),"Sort=R","Days=A","Fill=B",CONCATENATE("FX=", $B$414) )</f>
        <v>#N/A Authorization</v>
      </c>
      <c r="BN796" t="str">
        <f>""</f>
        <v/>
      </c>
      <c r="BO796" t="str">
        <f>""</f>
        <v/>
      </c>
      <c r="BP796" t="str">
        <f>""</f>
        <v/>
      </c>
      <c r="BQ796" t="str">
        <f>""</f>
        <v/>
      </c>
      <c r="BR796" t="str">
        <f>""</f>
        <v/>
      </c>
      <c r="BS796" t="str">
        <f>""</f>
        <v/>
      </c>
      <c r="BT796" t="str">
        <f>""</f>
        <v/>
      </c>
      <c r="BU796" t="str">
        <f>""</f>
        <v/>
      </c>
      <c r="BV796" t="str">
        <f>""</f>
        <v/>
      </c>
      <c r="BW796" t="str">
        <f>""</f>
        <v/>
      </c>
      <c r="BX796" t="str">
        <f>""</f>
        <v/>
      </c>
      <c r="BY796" t="str">
        <f>""</f>
        <v/>
      </c>
      <c r="BZ796" t="str">
        <f>""</f>
        <v/>
      </c>
      <c r="CA796" t="str">
        <f>""</f>
        <v/>
      </c>
      <c r="CB796" t="str">
        <f>""</f>
        <v/>
      </c>
      <c r="CC796" t="str">
        <f>""</f>
        <v/>
      </c>
      <c r="CD796" t="str">
        <f>""</f>
        <v/>
      </c>
      <c r="CE796" t="str">
        <f>""</f>
        <v/>
      </c>
      <c r="CF796" t="str">
        <f>""</f>
        <v/>
      </c>
      <c r="CG796" t="str">
        <f>""</f>
        <v/>
      </c>
      <c r="CH796" t="str">
        <f>""</f>
        <v/>
      </c>
      <c r="CI796" t="str">
        <f>""</f>
        <v/>
      </c>
      <c r="CJ796" t="str">
        <f>""</f>
        <v/>
      </c>
      <c r="CK796" t="str">
        <f>""</f>
        <v/>
      </c>
      <c r="CL796" t="str">
        <f>""</f>
        <v/>
      </c>
      <c r="CM796" t="str">
        <f>""</f>
        <v/>
      </c>
      <c r="CN796" t="str">
        <f>""</f>
        <v/>
      </c>
      <c r="CO796" t="str">
        <f>""</f>
        <v/>
      </c>
      <c r="CP796" t="str">
        <f>""</f>
        <v/>
      </c>
      <c r="CQ796" t="str">
        <f>""</f>
        <v/>
      </c>
      <c r="CR796" t="str">
        <f>""</f>
        <v/>
      </c>
      <c r="CS796" t="str">
        <f>""</f>
        <v/>
      </c>
      <c r="CT796" t="str">
        <f>""</f>
        <v/>
      </c>
      <c r="CU796" t="str">
        <f>""</f>
        <v/>
      </c>
      <c r="CV796" t="str">
        <f>""</f>
        <v/>
      </c>
      <c r="CW796" t="str">
        <f>""</f>
        <v/>
      </c>
      <c r="CX796" t="str">
        <f>""</f>
        <v/>
      </c>
      <c r="CY796" t="str">
        <f>""</f>
        <v/>
      </c>
      <c r="CZ796" t="str">
        <f>""</f>
        <v/>
      </c>
      <c r="DA796" t="str">
        <f>""</f>
        <v/>
      </c>
      <c r="DB796" t="str">
        <f>""</f>
        <v/>
      </c>
      <c r="DC796" t="str">
        <f>""</f>
        <v/>
      </c>
      <c r="DD796" t="str">
        <f>""</f>
        <v/>
      </c>
      <c r="DE796" t="str">
        <f>""</f>
        <v/>
      </c>
      <c r="DF796" t="str">
        <f>""</f>
        <v/>
      </c>
      <c r="DG796" t="str">
        <f>""</f>
        <v/>
      </c>
      <c r="DH796" t="str">
        <f>""</f>
        <v/>
      </c>
      <c r="DI796" t="str">
        <f>""</f>
        <v/>
      </c>
      <c r="DJ796" t="str">
        <f>""</f>
        <v/>
      </c>
      <c r="DK796" t="str">
        <f>""</f>
        <v/>
      </c>
      <c r="DL796" t="str">
        <f>""</f>
        <v/>
      </c>
      <c r="DM796" t="str">
        <f>""</f>
        <v/>
      </c>
      <c r="DN796" t="str">
        <f>""</f>
        <v/>
      </c>
      <c r="DO796" t="str">
        <f>""</f>
        <v/>
      </c>
      <c r="DP796" t="str">
        <f>""</f>
        <v/>
      </c>
      <c r="DQ796" t="str">
        <f>""</f>
        <v/>
      </c>
      <c r="DR796" t="str">
        <f>""</f>
        <v/>
      </c>
      <c r="DS796" t="str">
        <f>""</f>
        <v/>
      </c>
      <c r="DT796" t="str">
        <f>""</f>
        <v/>
      </c>
      <c r="DU796" t="str">
        <f>""</f>
        <v/>
      </c>
    </row>
    <row r="797" spans="1:125">
      <c r="A797" t="str">
        <f>$A$358</f>
        <v xml:space="preserve">    CBL &amp; Associates Properties In</v>
      </c>
      <c r="B797" t="str">
        <f>$B$358</f>
        <v>CBL US Equity</v>
      </c>
      <c r="C797" t="str">
        <f>$C$358</f>
        <v>RR008</v>
      </c>
      <c r="D797" t="str">
        <f>$D$358</f>
        <v>CF_FREE_CASH_FLOW</v>
      </c>
      <c r="E797" t="str">
        <f>$E$358</f>
        <v>动态</v>
      </c>
      <c r="F797" t="str">
        <f ca="1">BDH($B$358,$C$358,$B$417,$B$418,CONCATENATE("Per=",$B$415),"Dts=H","Dir=H",CONCATENATE("Points=",$B$416),"Sort=R","Days=A","Fill=B",CONCATENATE("FX=", $B$414) )</f>
        <v>#N/A Authorization</v>
      </c>
      <c r="BN797" t="str">
        <f>""</f>
        <v/>
      </c>
      <c r="BO797" t="str">
        <f>""</f>
        <v/>
      </c>
      <c r="BP797" t="str">
        <f>""</f>
        <v/>
      </c>
      <c r="BQ797" t="str">
        <f>""</f>
        <v/>
      </c>
      <c r="BR797" t="str">
        <f>""</f>
        <v/>
      </c>
      <c r="BS797" t="str">
        <f>""</f>
        <v/>
      </c>
      <c r="BT797" t="str">
        <f>""</f>
        <v/>
      </c>
      <c r="BU797" t="str">
        <f>""</f>
        <v/>
      </c>
      <c r="BV797" t="str">
        <f>""</f>
        <v/>
      </c>
      <c r="BW797" t="str">
        <f>""</f>
        <v/>
      </c>
      <c r="BX797" t="str">
        <f>""</f>
        <v/>
      </c>
      <c r="BY797" t="str">
        <f>""</f>
        <v/>
      </c>
      <c r="BZ797" t="str">
        <f>""</f>
        <v/>
      </c>
      <c r="CA797" t="str">
        <f>""</f>
        <v/>
      </c>
      <c r="CB797" t="str">
        <f>""</f>
        <v/>
      </c>
      <c r="CC797" t="str">
        <f>""</f>
        <v/>
      </c>
      <c r="CD797" t="str">
        <f>""</f>
        <v/>
      </c>
      <c r="CE797" t="str">
        <f>""</f>
        <v/>
      </c>
      <c r="CF797" t="str">
        <f>""</f>
        <v/>
      </c>
      <c r="CG797" t="str">
        <f>""</f>
        <v/>
      </c>
      <c r="CH797" t="str">
        <f>""</f>
        <v/>
      </c>
      <c r="CI797" t="str">
        <f>""</f>
        <v/>
      </c>
      <c r="CJ797" t="str">
        <f>""</f>
        <v/>
      </c>
      <c r="CK797" t="str">
        <f>""</f>
        <v/>
      </c>
      <c r="CL797" t="str">
        <f>""</f>
        <v/>
      </c>
      <c r="CM797" t="str">
        <f>""</f>
        <v/>
      </c>
      <c r="CN797" t="str">
        <f>""</f>
        <v/>
      </c>
      <c r="CO797" t="str">
        <f>""</f>
        <v/>
      </c>
      <c r="CP797" t="str">
        <f>""</f>
        <v/>
      </c>
      <c r="CQ797" t="str">
        <f>""</f>
        <v/>
      </c>
      <c r="CR797" t="str">
        <f>""</f>
        <v/>
      </c>
      <c r="CS797" t="str">
        <f>""</f>
        <v/>
      </c>
      <c r="CT797" t="str">
        <f>""</f>
        <v/>
      </c>
      <c r="CU797" t="str">
        <f>""</f>
        <v/>
      </c>
      <c r="CV797" t="str">
        <f>""</f>
        <v/>
      </c>
      <c r="CW797" t="str">
        <f>""</f>
        <v/>
      </c>
      <c r="CX797" t="str">
        <f>""</f>
        <v/>
      </c>
      <c r="CY797" t="str">
        <f>""</f>
        <v/>
      </c>
      <c r="CZ797" t="str">
        <f>""</f>
        <v/>
      </c>
      <c r="DA797" t="str">
        <f>""</f>
        <v/>
      </c>
      <c r="DB797" t="str">
        <f>""</f>
        <v/>
      </c>
      <c r="DC797" t="str">
        <f>""</f>
        <v/>
      </c>
      <c r="DD797" t="str">
        <f>""</f>
        <v/>
      </c>
      <c r="DE797" t="str">
        <f>""</f>
        <v/>
      </c>
      <c r="DF797" t="str">
        <f>""</f>
        <v/>
      </c>
      <c r="DG797" t="str">
        <f>""</f>
        <v/>
      </c>
      <c r="DH797" t="str">
        <f>""</f>
        <v/>
      </c>
      <c r="DI797" t="str">
        <f>""</f>
        <v/>
      </c>
      <c r="DJ797" t="str">
        <f>""</f>
        <v/>
      </c>
      <c r="DK797" t="str">
        <f>""</f>
        <v/>
      </c>
      <c r="DL797" t="str">
        <f>""</f>
        <v/>
      </c>
      <c r="DM797" t="str">
        <f>""</f>
        <v/>
      </c>
      <c r="DN797" t="str">
        <f>""</f>
        <v/>
      </c>
      <c r="DO797" t="str">
        <f>""</f>
        <v/>
      </c>
      <c r="DP797" t="str">
        <f>""</f>
        <v/>
      </c>
      <c r="DQ797" t="str">
        <f>""</f>
        <v/>
      </c>
      <c r="DR797" t="str">
        <f>""</f>
        <v/>
      </c>
      <c r="DS797" t="str">
        <f>""</f>
        <v/>
      </c>
      <c r="DT797" t="str">
        <f>""</f>
        <v/>
      </c>
      <c r="DU797" t="str">
        <f>""</f>
        <v/>
      </c>
    </row>
    <row r="798" spans="1:125">
      <c r="A798" t="str">
        <f>$A$359</f>
        <v xml:space="preserve">    DDR Corp</v>
      </c>
      <c r="B798" t="str">
        <f>$B$359</f>
        <v>DDR US Equity</v>
      </c>
      <c r="C798" t="str">
        <f>$C$359</f>
        <v>RR008</v>
      </c>
      <c r="D798" t="str">
        <f>$D$359</f>
        <v>CF_FREE_CASH_FLOW</v>
      </c>
      <c r="E798" t="str">
        <f>$E$359</f>
        <v>动态</v>
      </c>
      <c r="F798" t="str">
        <f ca="1">BDH($B$359,$C$359,$B$417,$B$418,CONCATENATE("Per=",$B$415),"Dts=H","Dir=H",CONCATENATE("Points=",$B$416),"Sort=R","Days=A","Fill=B",CONCATENATE("FX=", $B$414) )</f>
        <v>#N/A Authorization</v>
      </c>
      <c r="BN798" t="str">
        <f>""</f>
        <v/>
      </c>
      <c r="BO798" t="str">
        <f>""</f>
        <v/>
      </c>
      <c r="BP798" t="str">
        <f>""</f>
        <v/>
      </c>
      <c r="BQ798" t="str">
        <f>""</f>
        <v/>
      </c>
      <c r="BR798" t="str">
        <f>""</f>
        <v/>
      </c>
      <c r="BS798" t="str">
        <f>""</f>
        <v/>
      </c>
      <c r="BT798" t="str">
        <f>""</f>
        <v/>
      </c>
      <c r="BU798" t="str">
        <f>""</f>
        <v/>
      </c>
      <c r="BV798" t="str">
        <f>""</f>
        <v/>
      </c>
      <c r="BW798" t="str">
        <f>""</f>
        <v/>
      </c>
      <c r="BX798" t="str">
        <f>""</f>
        <v/>
      </c>
      <c r="BY798" t="str">
        <f>""</f>
        <v/>
      </c>
      <c r="BZ798" t="str">
        <f>""</f>
        <v/>
      </c>
      <c r="CA798" t="str">
        <f>""</f>
        <v/>
      </c>
      <c r="CB798" t="str">
        <f>""</f>
        <v/>
      </c>
      <c r="CC798" t="str">
        <f>""</f>
        <v/>
      </c>
      <c r="CD798" t="str">
        <f>""</f>
        <v/>
      </c>
      <c r="CE798" t="str">
        <f>""</f>
        <v/>
      </c>
      <c r="CF798" t="str">
        <f>""</f>
        <v/>
      </c>
      <c r="CG798" t="str">
        <f>""</f>
        <v/>
      </c>
      <c r="CH798" t="str">
        <f>""</f>
        <v/>
      </c>
      <c r="CI798" t="str">
        <f>""</f>
        <v/>
      </c>
      <c r="CJ798" t="str">
        <f>""</f>
        <v/>
      </c>
      <c r="CK798" t="str">
        <f>""</f>
        <v/>
      </c>
      <c r="CL798" t="str">
        <f>""</f>
        <v/>
      </c>
      <c r="CM798" t="str">
        <f>""</f>
        <v/>
      </c>
      <c r="CN798" t="str">
        <f>""</f>
        <v/>
      </c>
      <c r="CO798" t="str">
        <f>""</f>
        <v/>
      </c>
      <c r="CP798" t="str">
        <f>""</f>
        <v/>
      </c>
      <c r="CQ798" t="str">
        <f>""</f>
        <v/>
      </c>
      <c r="CR798" t="str">
        <f>""</f>
        <v/>
      </c>
      <c r="CS798" t="str">
        <f>""</f>
        <v/>
      </c>
      <c r="CT798" t="str">
        <f>""</f>
        <v/>
      </c>
      <c r="CU798" t="str">
        <f>""</f>
        <v/>
      </c>
      <c r="CV798" t="str">
        <f>""</f>
        <v/>
      </c>
      <c r="CW798" t="str">
        <f>""</f>
        <v/>
      </c>
      <c r="CX798" t="str">
        <f>""</f>
        <v/>
      </c>
      <c r="CY798" t="str">
        <f>""</f>
        <v/>
      </c>
      <c r="CZ798" t="str">
        <f>""</f>
        <v/>
      </c>
      <c r="DA798" t="str">
        <f>""</f>
        <v/>
      </c>
      <c r="DB798" t="str">
        <f>""</f>
        <v/>
      </c>
      <c r="DC798" t="str">
        <f>""</f>
        <v/>
      </c>
      <c r="DD798" t="str">
        <f>""</f>
        <v/>
      </c>
      <c r="DE798" t="str">
        <f>""</f>
        <v/>
      </c>
      <c r="DF798" t="str">
        <f>""</f>
        <v/>
      </c>
      <c r="DG798" t="str">
        <f>""</f>
        <v/>
      </c>
      <c r="DH798" t="str">
        <f>""</f>
        <v/>
      </c>
      <c r="DI798" t="str">
        <f>""</f>
        <v/>
      </c>
      <c r="DJ798" t="str">
        <f>""</f>
        <v/>
      </c>
      <c r="DK798" t="str">
        <f>""</f>
        <v/>
      </c>
      <c r="DL798" t="str">
        <f>""</f>
        <v/>
      </c>
      <c r="DM798" t="str">
        <f>""</f>
        <v/>
      </c>
      <c r="DN798" t="str">
        <f>""</f>
        <v/>
      </c>
      <c r="DO798" t="str">
        <f>""</f>
        <v/>
      </c>
      <c r="DP798" t="str">
        <f>""</f>
        <v/>
      </c>
      <c r="DQ798" t="str">
        <f>""</f>
        <v/>
      </c>
      <c r="DR798" t="str">
        <f>""</f>
        <v/>
      </c>
      <c r="DS798" t="str">
        <f>""</f>
        <v/>
      </c>
      <c r="DT798" t="str">
        <f>""</f>
        <v/>
      </c>
      <c r="DU798" t="str">
        <f>""</f>
        <v/>
      </c>
    </row>
    <row r="799" spans="1:125">
      <c r="A799" t="str">
        <f>$A$360</f>
        <v xml:space="preserve">    Federal Realty Investment Trus</v>
      </c>
      <c r="B799" t="str">
        <f>$B$360</f>
        <v>FRT US Equity</v>
      </c>
      <c r="C799" t="str">
        <f>$C$360</f>
        <v>RR008</v>
      </c>
      <c r="D799" t="str">
        <f>$D$360</f>
        <v>CF_FREE_CASH_FLOW</v>
      </c>
      <c r="E799" t="str">
        <f>$E$360</f>
        <v>动态</v>
      </c>
      <c r="F799" t="str">
        <f ca="1">BDH($B$360,$C$360,$B$417,$B$418,CONCATENATE("Per=",$B$415),"Dts=H","Dir=H",CONCATENATE("Points=",$B$416),"Sort=R","Days=A","Fill=B",CONCATENATE("FX=", $B$414) )</f>
        <v>#N/A Authorization</v>
      </c>
      <c r="BN799" t="str">
        <f>""</f>
        <v/>
      </c>
      <c r="BO799" t="str">
        <f>""</f>
        <v/>
      </c>
      <c r="BP799" t="str">
        <f>""</f>
        <v/>
      </c>
      <c r="BQ799" t="str">
        <f>""</f>
        <v/>
      </c>
      <c r="BR799" t="str">
        <f>""</f>
        <v/>
      </c>
      <c r="BS799" t="str">
        <f>""</f>
        <v/>
      </c>
      <c r="BT799" t="str">
        <f>""</f>
        <v/>
      </c>
      <c r="BU799" t="str">
        <f>""</f>
        <v/>
      </c>
      <c r="BV799" t="str">
        <f>""</f>
        <v/>
      </c>
      <c r="BW799" t="str">
        <f>""</f>
        <v/>
      </c>
      <c r="BX799" t="str">
        <f>""</f>
        <v/>
      </c>
      <c r="BY799" t="str">
        <f>""</f>
        <v/>
      </c>
      <c r="BZ799" t="str">
        <f>""</f>
        <v/>
      </c>
      <c r="CA799" t="str">
        <f>""</f>
        <v/>
      </c>
      <c r="CB799" t="str">
        <f>""</f>
        <v/>
      </c>
      <c r="CC799" t="str">
        <f>""</f>
        <v/>
      </c>
      <c r="CD799" t="str">
        <f>""</f>
        <v/>
      </c>
      <c r="CE799" t="str">
        <f>""</f>
        <v/>
      </c>
      <c r="CF799" t="str">
        <f>""</f>
        <v/>
      </c>
      <c r="CG799" t="str">
        <f>""</f>
        <v/>
      </c>
      <c r="CH799" t="str">
        <f>""</f>
        <v/>
      </c>
      <c r="CI799" t="str">
        <f>""</f>
        <v/>
      </c>
      <c r="CJ799" t="str">
        <f>""</f>
        <v/>
      </c>
      <c r="CK799" t="str">
        <f>""</f>
        <v/>
      </c>
      <c r="CL799" t="str">
        <f>""</f>
        <v/>
      </c>
      <c r="CM799" t="str">
        <f>""</f>
        <v/>
      </c>
      <c r="CN799" t="str">
        <f>""</f>
        <v/>
      </c>
      <c r="CO799" t="str">
        <f>""</f>
        <v/>
      </c>
      <c r="CP799" t="str">
        <f>""</f>
        <v/>
      </c>
      <c r="CQ799" t="str">
        <f>""</f>
        <v/>
      </c>
      <c r="CR799" t="str">
        <f>""</f>
        <v/>
      </c>
      <c r="CS799" t="str">
        <f>""</f>
        <v/>
      </c>
      <c r="CT799" t="str">
        <f>""</f>
        <v/>
      </c>
      <c r="CU799" t="str">
        <f>""</f>
        <v/>
      </c>
      <c r="CV799" t="str">
        <f>""</f>
        <v/>
      </c>
      <c r="CW799" t="str">
        <f>""</f>
        <v/>
      </c>
      <c r="CX799" t="str">
        <f>""</f>
        <v/>
      </c>
      <c r="CY799" t="str">
        <f>""</f>
        <v/>
      </c>
      <c r="CZ799" t="str">
        <f>""</f>
        <v/>
      </c>
      <c r="DA799" t="str">
        <f>""</f>
        <v/>
      </c>
      <c r="DB799" t="str">
        <f>""</f>
        <v/>
      </c>
      <c r="DC799" t="str">
        <f>""</f>
        <v/>
      </c>
      <c r="DD799" t="str">
        <f>""</f>
        <v/>
      </c>
      <c r="DE799" t="str">
        <f>""</f>
        <v/>
      </c>
      <c r="DF799" t="str">
        <f>""</f>
        <v/>
      </c>
      <c r="DG799" t="str">
        <f>""</f>
        <v/>
      </c>
      <c r="DH799" t="str">
        <f>""</f>
        <v/>
      </c>
      <c r="DI799" t="str">
        <f>""</f>
        <v/>
      </c>
      <c r="DJ799" t="str">
        <f>""</f>
        <v/>
      </c>
      <c r="DK799" t="str">
        <f>""</f>
        <v/>
      </c>
      <c r="DL799" t="str">
        <f>""</f>
        <v/>
      </c>
      <c r="DM799" t="str">
        <f>""</f>
        <v/>
      </c>
      <c r="DN799" t="str">
        <f>""</f>
        <v/>
      </c>
      <c r="DO799" t="str">
        <f>""</f>
        <v/>
      </c>
      <c r="DP799" t="str">
        <f>""</f>
        <v/>
      </c>
      <c r="DQ799" t="str">
        <f>""</f>
        <v/>
      </c>
      <c r="DR799" t="str">
        <f>""</f>
        <v/>
      </c>
      <c r="DS799" t="str">
        <f>""</f>
        <v/>
      </c>
      <c r="DT799" t="str">
        <f>""</f>
        <v/>
      </c>
      <c r="DU799" t="str">
        <f>""</f>
        <v/>
      </c>
    </row>
    <row r="800" spans="1:125">
      <c r="A800" t="str">
        <f>$A$361</f>
        <v xml:space="preserve">    Kimco Realty Corp</v>
      </c>
      <c r="B800" t="str">
        <f>$B$361</f>
        <v>KIM US Equity</v>
      </c>
      <c r="C800" t="str">
        <f>$C$361</f>
        <v>RR008</v>
      </c>
      <c r="D800" t="str">
        <f>$D$361</f>
        <v>CF_FREE_CASH_FLOW</v>
      </c>
      <c r="E800" t="str">
        <f>$E$361</f>
        <v>动态</v>
      </c>
      <c r="F800" t="str">
        <f ca="1">BDH($B$361,$C$361,$B$417,$B$418,CONCATENATE("Per=",$B$415),"Dts=H","Dir=H",CONCATENATE("Points=",$B$416),"Sort=R","Days=A","Fill=B",CONCATENATE("FX=", $B$414) )</f>
        <v>#N/A Authorization</v>
      </c>
      <c r="BN800" t="str">
        <f>""</f>
        <v/>
      </c>
      <c r="BO800" t="str">
        <f>""</f>
        <v/>
      </c>
      <c r="BP800" t="str">
        <f>""</f>
        <v/>
      </c>
      <c r="BQ800" t="str">
        <f>""</f>
        <v/>
      </c>
      <c r="BR800" t="str">
        <f>""</f>
        <v/>
      </c>
      <c r="BS800" t="str">
        <f>""</f>
        <v/>
      </c>
      <c r="BT800" t="str">
        <f>""</f>
        <v/>
      </c>
      <c r="BU800" t="str">
        <f>""</f>
        <v/>
      </c>
      <c r="BV800" t="str">
        <f>""</f>
        <v/>
      </c>
      <c r="BW800" t="str">
        <f>""</f>
        <v/>
      </c>
      <c r="BX800" t="str">
        <f>""</f>
        <v/>
      </c>
      <c r="BY800" t="str">
        <f>""</f>
        <v/>
      </c>
      <c r="BZ800" t="str">
        <f>""</f>
        <v/>
      </c>
      <c r="CA800" t="str">
        <f>""</f>
        <v/>
      </c>
      <c r="CB800" t="str">
        <f>""</f>
        <v/>
      </c>
      <c r="CC800" t="str">
        <f>""</f>
        <v/>
      </c>
      <c r="CD800" t="str">
        <f>""</f>
        <v/>
      </c>
      <c r="CE800" t="str">
        <f>""</f>
        <v/>
      </c>
      <c r="CF800" t="str">
        <f>""</f>
        <v/>
      </c>
      <c r="CG800" t="str">
        <f>""</f>
        <v/>
      </c>
      <c r="CH800" t="str">
        <f>""</f>
        <v/>
      </c>
      <c r="CI800" t="str">
        <f>""</f>
        <v/>
      </c>
      <c r="CJ800" t="str">
        <f>""</f>
        <v/>
      </c>
      <c r="CK800" t="str">
        <f>""</f>
        <v/>
      </c>
      <c r="CL800" t="str">
        <f>""</f>
        <v/>
      </c>
      <c r="CM800" t="str">
        <f>""</f>
        <v/>
      </c>
      <c r="CN800" t="str">
        <f>""</f>
        <v/>
      </c>
      <c r="CO800" t="str">
        <f>""</f>
        <v/>
      </c>
      <c r="CP800" t="str">
        <f>""</f>
        <v/>
      </c>
      <c r="CQ800" t="str">
        <f>""</f>
        <v/>
      </c>
      <c r="CR800" t="str">
        <f>""</f>
        <v/>
      </c>
      <c r="CS800" t="str">
        <f>""</f>
        <v/>
      </c>
      <c r="CT800" t="str">
        <f>""</f>
        <v/>
      </c>
      <c r="CU800" t="str">
        <f>""</f>
        <v/>
      </c>
      <c r="CV800" t="str">
        <f>""</f>
        <v/>
      </c>
      <c r="CW800" t="str">
        <f>""</f>
        <v/>
      </c>
      <c r="CX800" t="str">
        <f>""</f>
        <v/>
      </c>
      <c r="CY800" t="str">
        <f>""</f>
        <v/>
      </c>
      <c r="CZ800" t="str">
        <f>""</f>
        <v/>
      </c>
      <c r="DA800" t="str">
        <f>""</f>
        <v/>
      </c>
      <c r="DB800" t="str">
        <f>""</f>
        <v/>
      </c>
      <c r="DC800" t="str">
        <f>""</f>
        <v/>
      </c>
      <c r="DD800" t="str">
        <f>""</f>
        <v/>
      </c>
      <c r="DE800" t="str">
        <f>""</f>
        <v/>
      </c>
      <c r="DF800" t="str">
        <f>""</f>
        <v/>
      </c>
      <c r="DG800" t="str">
        <f>""</f>
        <v/>
      </c>
      <c r="DH800" t="str">
        <f>""</f>
        <v/>
      </c>
      <c r="DI800" t="str">
        <f>""</f>
        <v/>
      </c>
      <c r="DJ800" t="str">
        <f>""</f>
        <v/>
      </c>
      <c r="DK800" t="str">
        <f>""</f>
        <v/>
      </c>
      <c r="DL800" t="str">
        <f>""</f>
        <v/>
      </c>
      <c r="DM800" t="str">
        <f>""</f>
        <v/>
      </c>
      <c r="DN800" t="str">
        <f>""</f>
        <v/>
      </c>
      <c r="DO800" t="str">
        <f>""</f>
        <v/>
      </c>
      <c r="DP800" t="str">
        <f>""</f>
        <v/>
      </c>
      <c r="DQ800" t="str">
        <f>""</f>
        <v/>
      </c>
      <c r="DR800" t="str">
        <f>""</f>
        <v/>
      </c>
      <c r="DS800" t="str">
        <f>""</f>
        <v/>
      </c>
      <c r="DT800" t="str">
        <f>""</f>
        <v/>
      </c>
      <c r="DU800" t="str">
        <f>""</f>
        <v/>
      </c>
    </row>
    <row r="801" spans="1:125">
      <c r="A801" t="str">
        <f>$A$362</f>
        <v xml:space="preserve">    National Retail Properties Inc</v>
      </c>
      <c r="B801" t="str">
        <f>$B$362</f>
        <v>NNN US Equity</v>
      </c>
      <c r="C801" t="str">
        <f>$C$362</f>
        <v>RR008</v>
      </c>
      <c r="D801" t="str">
        <f>$D$362</f>
        <v>CF_FREE_CASH_FLOW</v>
      </c>
      <c r="E801" t="str">
        <f>$E$362</f>
        <v>动态</v>
      </c>
      <c r="F801" t="str">
        <f ca="1">BDH($B$362,$C$362,$B$417,$B$418,CONCATENATE("Per=",$B$415),"Dts=H","Dir=H",CONCATENATE("Points=",$B$416),"Sort=R","Days=A","Fill=B",CONCATENATE("FX=", $B$414) )</f>
        <v>#N/A Authorization</v>
      </c>
      <c r="BN801" t="str">
        <f>""</f>
        <v/>
      </c>
      <c r="BO801" t="str">
        <f>""</f>
        <v/>
      </c>
      <c r="BP801" t="str">
        <f>""</f>
        <v/>
      </c>
      <c r="BQ801" t="str">
        <f>""</f>
        <v/>
      </c>
      <c r="BR801" t="str">
        <f>""</f>
        <v/>
      </c>
      <c r="BS801" t="str">
        <f>""</f>
        <v/>
      </c>
      <c r="BT801" t="str">
        <f>""</f>
        <v/>
      </c>
      <c r="BU801" t="str">
        <f>""</f>
        <v/>
      </c>
      <c r="BV801" t="str">
        <f>""</f>
        <v/>
      </c>
      <c r="BW801" t="str">
        <f>""</f>
        <v/>
      </c>
      <c r="BX801" t="str">
        <f>""</f>
        <v/>
      </c>
      <c r="BY801" t="str">
        <f>""</f>
        <v/>
      </c>
      <c r="BZ801" t="str">
        <f>""</f>
        <v/>
      </c>
      <c r="CA801" t="str">
        <f>""</f>
        <v/>
      </c>
      <c r="CB801" t="str">
        <f>""</f>
        <v/>
      </c>
      <c r="CC801" t="str">
        <f>""</f>
        <v/>
      </c>
      <c r="CD801" t="str">
        <f>""</f>
        <v/>
      </c>
      <c r="CE801" t="str">
        <f>""</f>
        <v/>
      </c>
      <c r="CF801" t="str">
        <f>""</f>
        <v/>
      </c>
      <c r="CG801" t="str">
        <f>""</f>
        <v/>
      </c>
      <c r="CH801" t="str">
        <f>""</f>
        <v/>
      </c>
      <c r="CI801" t="str">
        <f>""</f>
        <v/>
      </c>
      <c r="CJ801" t="str">
        <f>""</f>
        <v/>
      </c>
      <c r="CK801" t="str">
        <f>""</f>
        <v/>
      </c>
      <c r="CL801" t="str">
        <f>""</f>
        <v/>
      </c>
      <c r="CM801" t="str">
        <f>""</f>
        <v/>
      </c>
      <c r="CN801" t="str">
        <f>""</f>
        <v/>
      </c>
      <c r="CO801" t="str">
        <f>""</f>
        <v/>
      </c>
      <c r="CP801" t="str">
        <f>""</f>
        <v/>
      </c>
      <c r="CQ801" t="str">
        <f>""</f>
        <v/>
      </c>
      <c r="CR801" t="str">
        <f>""</f>
        <v/>
      </c>
      <c r="CS801" t="str">
        <f>""</f>
        <v/>
      </c>
      <c r="CT801" t="str">
        <f>""</f>
        <v/>
      </c>
      <c r="CU801" t="str">
        <f>""</f>
        <v/>
      </c>
      <c r="CV801" t="str">
        <f>""</f>
        <v/>
      </c>
      <c r="CW801" t="str">
        <f>""</f>
        <v/>
      </c>
      <c r="CX801" t="str">
        <f>""</f>
        <v/>
      </c>
      <c r="CY801" t="str">
        <f>""</f>
        <v/>
      </c>
      <c r="CZ801" t="str">
        <f>""</f>
        <v/>
      </c>
      <c r="DA801" t="str">
        <f>""</f>
        <v/>
      </c>
      <c r="DB801" t="str">
        <f>""</f>
        <v/>
      </c>
      <c r="DC801" t="str">
        <f>""</f>
        <v/>
      </c>
      <c r="DD801" t="str">
        <f>""</f>
        <v/>
      </c>
      <c r="DE801" t="str">
        <f>""</f>
        <v/>
      </c>
      <c r="DF801" t="str">
        <f>""</f>
        <v/>
      </c>
      <c r="DG801" t="str">
        <f>""</f>
        <v/>
      </c>
      <c r="DH801" t="str">
        <f>""</f>
        <v/>
      </c>
      <c r="DI801" t="str">
        <f>""</f>
        <v/>
      </c>
      <c r="DJ801" t="str">
        <f>""</f>
        <v/>
      </c>
      <c r="DK801" t="str">
        <f>""</f>
        <v/>
      </c>
      <c r="DL801" t="str">
        <f>""</f>
        <v/>
      </c>
      <c r="DM801" t="str">
        <f>""</f>
        <v/>
      </c>
      <c r="DN801" t="str">
        <f>""</f>
        <v/>
      </c>
      <c r="DO801" t="str">
        <f>""</f>
        <v/>
      </c>
      <c r="DP801" t="str">
        <f>""</f>
        <v/>
      </c>
      <c r="DQ801" t="str">
        <f>""</f>
        <v/>
      </c>
      <c r="DR801" t="str">
        <f>""</f>
        <v/>
      </c>
      <c r="DS801" t="str">
        <f>""</f>
        <v/>
      </c>
      <c r="DT801" t="str">
        <f>""</f>
        <v/>
      </c>
      <c r="DU801" t="str">
        <f>""</f>
        <v/>
      </c>
    </row>
    <row r="802" spans="1:125">
      <c r="A802" t="str">
        <f>$A$363</f>
        <v xml:space="preserve">    Realty Income Corp</v>
      </c>
      <c r="B802" t="str">
        <f>$B$363</f>
        <v>O US Equity</v>
      </c>
      <c r="C802" t="str">
        <f>$C$363</f>
        <v>RR008</v>
      </c>
      <c r="D802" t="str">
        <f>$D$363</f>
        <v>CF_FREE_CASH_FLOW</v>
      </c>
      <c r="E802" t="str">
        <f>$E$363</f>
        <v>动态</v>
      </c>
      <c r="F802" t="str">
        <f ca="1">BDH($B$363,$C$363,$B$417,$B$418,CONCATENATE("Per=",$B$415),"Dts=H","Dir=H",CONCATENATE("Points=",$B$416),"Sort=R","Days=A","Fill=B",CONCATENATE("FX=", $B$414) )</f>
        <v>#N/A Authorization</v>
      </c>
      <c r="BN802" t="str">
        <f>""</f>
        <v/>
      </c>
      <c r="BO802" t="str">
        <f>""</f>
        <v/>
      </c>
      <c r="BP802" t="str">
        <f>""</f>
        <v/>
      </c>
      <c r="BQ802" t="str">
        <f>""</f>
        <v/>
      </c>
      <c r="BR802" t="str">
        <f>""</f>
        <v/>
      </c>
      <c r="BS802" t="str">
        <f>""</f>
        <v/>
      </c>
      <c r="BT802" t="str">
        <f>""</f>
        <v/>
      </c>
      <c r="BU802" t="str">
        <f>""</f>
        <v/>
      </c>
      <c r="BV802" t="str">
        <f>""</f>
        <v/>
      </c>
      <c r="BW802" t="str">
        <f>""</f>
        <v/>
      </c>
      <c r="BX802" t="str">
        <f>""</f>
        <v/>
      </c>
      <c r="BY802" t="str">
        <f>""</f>
        <v/>
      </c>
      <c r="BZ802" t="str">
        <f>""</f>
        <v/>
      </c>
      <c r="CA802" t="str">
        <f>""</f>
        <v/>
      </c>
      <c r="CB802" t="str">
        <f>""</f>
        <v/>
      </c>
      <c r="CC802" t="str">
        <f>""</f>
        <v/>
      </c>
      <c r="CD802" t="str">
        <f>""</f>
        <v/>
      </c>
      <c r="CE802" t="str">
        <f>""</f>
        <v/>
      </c>
      <c r="CF802" t="str">
        <f>""</f>
        <v/>
      </c>
      <c r="CG802" t="str">
        <f>""</f>
        <v/>
      </c>
      <c r="CH802" t="str">
        <f>""</f>
        <v/>
      </c>
      <c r="CI802" t="str">
        <f>""</f>
        <v/>
      </c>
      <c r="CJ802" t="str">
        <f>""</f>
        <v/>
      </c>
      <c r="CK802" t="str">
        <f>""</f>
        <v/>
      </c>
      <c r="CL802" t="str">
        <f>""</f>
        <v/>
      </c>
      <c r="CM802" t="str">
        <f>""</f>
        <v/>
      </c>
      <c r="CN802" t="str">
        <f>""</f>
        <v/>
      </c>
      <c r="CO802" t="str">
        <f>""</f>
        <v/>
      </c>
      <c r="CP802" t="str">
        <f>""</f>
        <v/>
      </c>
      <c r="CQ802" t="str">
        <f>""</f>
        <v/>
      </c>
      <c r="CR802" t="str">
        <f>""</f>
        <v/>
      </c>
      <c r="CS802" t="str">
        <f>""</f>
        <v/>
      </c>
      <c r="CT802" t="str">
        <f>""</f>
        <v/>
      </c>
      <c r="CU802" t="str">
        <f>""</f>
        <v/>
      </c>
      <c r="CV802" t="str">
        <f>""</f>
        <v/>
      </c>
      <c r="CW802" t="str">
        <f>""</f>
        <v/>
      </c>
      <c r="CX802" t="str">
        <f>""</f>
        <v/>
      </c>
      <c r="CY802" t="str">
        <f>""</f>
        <v/>
      </c>
      <c r="CZ802" t="str">
        <f>""</f>
        <v/>
      </c>
      <c r="DA802" t="str">
        <f>""</f>
        <v/>
      </c>
      <c r="DB802" t="str">
        <f>""</f>
        <v/>
      </c>
      <c r="DC802" t="str">
        <f>""</f>
        <v/>
      </c>
      <c r="DD802" t="str">
        <f>""</f>
        <v/>
      </c>
      <c r="DE802" t="str">
        <f>""</f>
        <v/>
      </c>
      <c r="DF802" t="str">
        <f>""</f>
        <v/>
      </c>
      <c r="DG802" t="str">
        <f>""</f>
        <v/>
      </c>
      <c r="DH802" t="str">
        <f>""</f>
        <v/>
      </c>
      <c r="DI802" t="str">
        <f>""</f>
        <v/>
      </c>
      <c r="DJ802" t="str">
        <f>""</f>
        <v/>
      </c>
      <c r="DK802" t="str">
        <f>""</f>
        <v/>
      </c>
      <c r="DL802" t="str">
        <f>""</f>
        <v/>
      </c>
      <c r="DM802" t="str">
        <f>""</f>
        <v/>
      </c>
      <c r="DN802" t="str">
        <f>""</f>
        <v/>
      </c>
      <c r="DO802" t="str">
        <f>""</f>
        <v/>
      </c>
      <c r="DP802" t="str">
        <f>""</f>
        <v/>
      </c>
      <c r="DQ802" t="str">
        <f>""</f>
        <v/>
      </c>
      <c r="DR802" t="str">
        <f>""</f>
        <v/>
      </c>
      <c r="DS802" t="str">
        <f>""</f>
        <v/>
      </c>
      <c r="DT802" t="str">
        <f>""</f>
        <v/>
      </c>
      <c r="DU802" t="str">
        <f>""</f>
        <v/>
      </c>
    </row>
    <row r="803" spans="1:125">
      <c r="A803" t="str">
        <f>$A$364</f>
        <v xml:space="preserve">    Regency Centers Corp</v>
      </c>
      <c r="B803" t="str">
        <f>$B$364</f>
        <v>REG US Equity</v>
      </c>
      <c r="C803" t="str">
        <f>$C$364</f>
        <v>RR008</v>
      </c>
      <c r="D803" t="str">
        <f>$D$364</f>
        <v>CF_FREE_CASH_FLOW</v>
      </c>
      <c r="E803" t="str">
        <f>$E$364</f>
        <v>动态</v>
      </c>
      <c r="F803" t="str">
        <f ca="1">BDH($B$364,$C$364,$B$417,$B$418,CONCATENATE("Per=",$B$415),"Dts=H","Dir=H",CONCATENATE("Points=",$B$416),"Sort=R","Days=A","Fill=B",CONCATENATE("FX=", $B$414) )</f>
        <v>#N/A Authorization</v>
      </c>
      <c r="BN803" t="str">
        <f>""</f>
        <v/>
      </c>
      <c r="BO803" t="str">
        <f>""</f>
        <v/>
      </c>
      <c r="BP803" t="str">
        <f>""</f>
        <v/>
      </c>
      <c r="BQ803" t="str">
        <f>""</f>
        <v/>
      </c>
      <c r="BR803" t="str">
        <f>""</f>
        <v/>
      </c>
      <c r="BS803" t="str">
        <f>""</f>
        <v/>
      </c>
      <c r="BT803" t="str">
        <f>""</f>
        <v/>
      </c>
      <c r="BU803" t="str">
        <f>""</f>
        <v/>
      </c>
      <c r="BV803" t="str">
        <f>""</f>
        <v/>
      </c>
      <c r="BW803" t="str">
        <f>""</f>
        <v/>
      </c>
      <c r="BX803" t="str">
        <f>""</f>
        <v/>
      </c>
      <c r="BY803" t="str">
        <f>""</f>
        <v/>
      </c>
      <c r="BZ803" t="str">
        <f>""</f>
        <v/>
      </c>
      <c r="CA803" t="str">
        <f>""</f>
        <v/>
      </c>
      <c r="CB803" t="str">
        <f>""</f>
        <v/>
      </c>
      <c r="CC803" t="str">
        <f>""</f>
        <v/>
      </c>
      <c r="CD803" t="str">
        <f>""</f>
        <v/>
      </c>
      <c r="CE803" t="str">
        <f>""</f>
        <v/>
      </c>
      <c r="CF803" t="str">
        <f>""</f>
        <v/>
      </c>
      <c r="CG803" t="str">
        <f>""</f>
        <v/>
      </c>
      <c r="CH803" t="str">
        <f>""</f>
        <v/>
      </c>
      <c r="CI803" t="str">
        <f>""</f>
        <v/>
      </c>
      <c r="CJ803" t="str">
        <f>""</f>
        <v/>
      </c>
      <c r="CK803" t="str">
        <f>""</f>
        <v/>
      </c>
      <c r="CL803" t="str">
        <f>""</f>
        <v/>
      </c>
      <c r="CM803" t="str">
        <f>""</f>
        <v/>
      </c>
      <c r="CN803" t="str">
        <f>""</f>
        <v/>
      </c>
      <c r="CO803" t="str">
        <f>""</f>
        <v/>
      </c>
      <c r="CP803" t="str">
        <f>""</f>
        <v/>
      </c>
      <c r="CQ803" t="str">
        <f>""</f>
        <v/>
      </c>
      <c r="CR803" t="str">
        <f>""</f>
        <v/>
      </c>
      <c r="CS803" t="str">
        <f>""</f>
        <v/>
      </c>
      <c r="CT803" t="str">
        <f>""</f>
        <v/>
      </c>
      <c r="CU803" t="str">
        <f>""</f>
        <v/>
      </c>
      <c r="CV803" t="str">
        <f>""</f>
        <v/>
      </c>
      <c r="CW803" t="str">
        <f>""</f>
        <v/>
      </c>
      <c r="CX803" t="str">
        <f>""</f>
        <v/>
      </c>
      <c r="CY803" t="str">
        <f>""</f>
        <v/>
      </c>
      <c r="CZ803" t="str">
        <f>""</f>
        <v/>
      </c>
      <c r="DA803" t="str">
        <f>""</f>
        <v/>
      </c>
      <c r="DB803" t="str">
        <f>""</f>
        <v/>
      </c>
      <c r="DC803" t="str">
        <f>""</f>
        <v/>
      </c>
      <c r="DD803" t="str">
        <f>""</f>
        <v/>
      </c>
      <c r="DE803" t="str">
        <f>""</f>
        <v/>
      </c>
      <c r="DF803" t="str">
        <f>""</f>
        <v/>
      </c>
      <c r="DG803" t="str">
        <f>""</f>
        <v/>
      </c>
      <c r="DH803" t="str">
        <f>""</f>
        <v/>
      </c>
      <c r="DI803" t="str">
        <f>""</f>
        <v/>
      </c>
      <c r="DJ803" t="str">
        <f>""</f>
        <v/>
      </c>
      <c r="DK803" t="str">
        <f>""</f>
        <v/>
      </c>
      <c r="DL803" t="str">
        <f>""</f>
        <v/>
      </c>
      <c r="DM803" t="str">
        <f>""</f>
        <v/>
      </c>
      <c r="DN803" t="str">
        <f>""</f>
        <v/>
      </c>
      <c r="DO803" t="str">
        <f>""</f>
        <v/>
      </c>
      <c r="DP803" t="str">
        <f>""</f>
        <v/>
      </c>
      <c r="DQ803" t="str">
        <f>""</f>
        <v/>
      </c>
      <c r="DR803" t="str">
        <f>""</f>
        <v/>
      </c>
      <c r="DS803" t="str">
        <f>""</f>
        <v/>
      </c>
      <c r="DT803" t="str">
        <f>""</f>
        <v/>
      </c>
      <c r="DU803" t="str">
        <f>""</f>
        <v/>
      </c>
    </row>
    <row r="804" spans="1:125">
      <c r="A804" t="str">
        <f>$A$365</f>
        <v xml:space="preserve">    Retail Opportunity Investments</v>
      </c>
      <c r="B804" t="str">
        <f>$B$365</f>
        <v>ROIC US Equity</v>
      </c>
      <c r="C804" t="str">
        <f>$C$365</f>
        <v>RR008</v>
      </c>
      <c r="D804" t="str">
        <f>$D$365</f>
        <v>CF_FREE_CASH_FLOW</v>
      </c>
      <c r="E804" t="str">
        <f>$E$365</f>
        <v>动态</v>
      </c>
      <c r="F804" t="str">
        <f ca="1">BDH($B$365,$C$365,$B$417,$B$418,CONCATENATE("Per=",$B$415),"Dts=H","Dir=H",CONCATENATE("Points=",$B$416),"Sort=R","Days=A","Fill=B",CONCATENATE("FX=", $B$414) )</f>
        <v>#N/A Authorization</v>
      </c>
      <c r="BN804" t="str">
        <f>""</f>
        <v/>
      </c>
      <c r="BO804" t="str">
        <f>""</f>
        <v/>
      </c>
      <c r="BP804" t="str">
        <f>""</f>
        <v/>
      </c>
      <c r="BQ804" t="str">
        <f>""</f>
        <v/>
      </c>
      <c r="BR804" t="str">
        <f>""</f>
        <v/>
      </c>
      <c r="BS804" t="str">
        <f>""</f>
        <v/>
      </c>
      <c r="BT804" t="str">
        <f>""</f>
        <v/>
      </c>
      <c r="BU804" t="str">
        <f>""</f>
        <v/>
      </c>
      <c r="BV804" t="str">
        <f>""</f>
        <v/>
      </c>
      <c r="BW804" t="str">
        <f>""</f>
        <v/>
      </c>
      <c r="BX804" t="str">
        <f>""</f>
        <v/>
      </c>
      <c r="BY804" t="str">
        <f>""</f>
        <v/>
      </c>
      <c r="BZ804" t="str">
        <f>""</f>
        <v/>
      </c>
      <c r="CA804" t="str">
        <f>""</f>
        <v/>
      </c>
      <c r="CB804" t="str">
        <f>""</f>
        <v/>
      </c>
      <c r="CC804" t="str">
        <f>""</f>
        <v/>
      </c>
      <c r="CD804" t="str">
        <f>""</f>
        <v/>
      </c>
      <c r="CE804" t="str">
        <f>""</f>
        <v/>
      </c>
      <c r="CF804" t="str">
        <f>""</f>
        <v/>
      </c>
      <c r="CG804" t="str">
        <f>""</f>
        <v/>
      </c>
      <c r="CH804" t="str">
        <f>""</f>
        <v/>
      </c>
      <c r="CI804" t="str">
        <f>""</f>
        <v/>
      </c>
      <c r="CJ804" t="str">
        <f>""</f>
        <v/>
      </c>
      <c r="CK804" t="str">
        <f>""</f>
        <v/>
      </c>
      <c r="CL804" t="str">
        <f>""</f>
        <v/>
      </c>
      <c r="CM804" t="str">
        <f>""</f>
        <v/>
      </c>
      <c r="CN804" t="str">
        <f>""</f>
        <v/>
      </c>
      <c r="CO804" t="str">
        <f>""</f>
        <v/>
      </c>
      <c r="CP804" t="str">
        <f>""</f>
        <v/>
      </c>
      <c r="CQ804" t="str">
        <f>""</f>
        <v/>
      </c>
      <c r="CR804" t="str">
        <f>""</f>
        <v/>
      </c>
      <c r="CS804" t="str">
        <f>""</f>
        <v/>
      </c>
      <c r="CT804" t="str">
        <f>""</f>
        <v/>
      </c>
      <c r="CU804" t="str">
        <f>""</f>
        <v/>
      </c>
      <c r="CV804" t="str">
        <f>""</f>
        <v/>
      </c>
      <c r="CW804" t="str">
        <f>""</f>
        <v/>
      </c>
      <c r="CX804" t="str">
        <f>""</f>
        <v/>
      </c>
      <c r="CY804" t="str">
        <f>""</f>
        <v/>
      </c>
      <c r="CZ804" t="str">
        <f>""</f>
        <v/>
      </c>
      <c r="DA804" t="str">
        <f>""</f>
        <v/>
      </c>
      <c r="DB804" t="str">
        <f>""</f>
        <v/>
      </c>
      <c r="DC804" t="str">
        <f>""</f>
        <v/>
      </c>
      <c r="DD804" t="str">
        <f>""</f>
        <v/>
      </c>
      <c r="DE804" t="str">
        <f>""</f>
        <v/>
      </c>
      <c r="DF804" t="str">
        <f>""</f>
        <v/>
      </c>
      <c r="DG804" t="str">
        <f>""</f>
        <v/>
      </c>
      <c r="DH804" t="str">
        <f>""</f>
        <v/>
      </c>
      <c r="DI804" t="str">
        <f>""</f>
        <v/>
      </c>
      <c r="DJ804" t="str">
        <f>""</f>
        <v/>
      </c>
      <c r="DK804" t="str">
        <f>""</f>
        <v/>
      </c>
      <c r="DL804" t="str">
        <f>""</f>
        <v/>
      </c>
      <c r="DM804" t="str">
        <f>""</f>
        <v/>
      </c>
      <c r="DN804" t="str">
        <f>""</f>
        <v/>
      </c>
      <c r="DO804" t="str">
        <f>""</f>
        <v/>
      </c>
      <c r="DP804" t="str">
        <f>""</f>
        <v/>
      </c>
      <c r="DQ804" t="str">
        <f>""</f>
        <v/>
      </c>
      <c r="DR804" t="str">
        <f>""</f>
        <v/>
      </c>
      <c r="DS804" t="str">
        <f>""</f>
        <v/>
      </c>
      <c r="DT804" t="str">
        <f>""</f>
        <v/>
      </c>
      <c r="DU804" t="str">
        <f>""</f>
        <v/>
      </c>
    </row>
    <row r="805" spans="1:125">
      <c r="A805" t="str">
        <f>$A$366</f>
        <v xml:space="preserve">    Retail Properties of America I</v>
      </c>
      <c r="B805" t="str">
        <f>$B$366</f>
        <v>RPAI US Equity</v>
      </c>
      <c r="C805" t="str">
        <f>$C$366</f>
        <v>RR008</v>
      </c>
      <c r="D805" t="str">
        <f>$D$366</f>
        <v>CF_FREE_CASH_FLOW</v>
      </c>
      <c r="E805" t="str">
        <f>$E$366</f>
        <v>动态</v>
      </c>
      <c r="F805" t="str">
        <f ca="1">BDH($B$366,$C$366,$B$417,$B$418,CONCATENATE("Per=",$B$415),"Dts=H","Dir=H",CONCATENATE("Points=",$B$416),"Sort=R","Days=A","Fill=B",CONCATENATE("FX=", $B$414) )</f>
        <v>#N/A Authorization</v>
      </c>
      <c r="BN805" t="str">
        <f>""</f>
        <v/>
      </c>
      <c r="BO805" t="str">
        <f>""</f>
        <v/>
      </c>
      <c r="BP805" t="str">
        <f>""</f>
        <v/>
      </c>
      <c r="BQ805" t="str">
        <f>""</f>
        <v/>
      </c>
      <c r="BR805" t="str">
        <f>""</f>
        <v/>
      </c>
      <c r="BS805" t="str">
        <f>""</f>
        <v/>
      </c>
      <c r="BT805" t="str">
        <f>""</f>
        <v/>
      </c>
      <c r="BU805" t="str">
        <f>""</f>
        <v/>
      </c>
      <c r="BV805" t="str">
        <f>""</f>
        <v/>
      </c>
      <c r="BW805" t="str">
        <f>""</f>
        <v/>
      </c>
      <c r="BX805" t="str">
        <f>""</f>
        <v/>
      </c>
      <c r="BY805" t="str">
        <f>""</f>
        <v/>
      </c>
      <c r="BZ805" t="str">
        <f>""</f>
        <v/>
      </c>
      <c r="CA805" t="str">
        <f>""</f>
        <v/>
      </c>
      <c r="CB805" t="str">
        <f>""</f>
        <v/>
      </c>
      <c r="CC805" t="str">
        <f>""</f>
        <v/>
      </c>
      <c r="CD805" t="str">
        <f>""</f>
        <v/>
      </c>
      <c r="CE805" t="str">
        <f>""</f>
        <v/>
      </c>
      <c r="CF805" t="str">
        <f>""</f>
        <v/>
      </c>
      <c r="CG805" t="str">
        <f>""</f>
        <v/>
      </c>
      <c r="CH805" t="str">
        <f>""</f>
        <v/>
      </c>
      <c r="CI805" t="str">
        <f>""</f>
        <v/>
      </c>
      <c r="CJ805" t="str">
        <f>""</f>
        <v/>
      </c>
      <c r="CK805" t="str">
        <f>""</f>
        <v/>
      </c>
      <c r="CL805" t="str">
        <f>""</f>
        <v/>
      </c>
      <c r="CM805" t="str">
        <f>""</f>
        <v/>
      </c>
      <c r="CN805" t="str">
        <f>""</f>
        <v/>
      </c>
      <c r="CO805" t="str">
        <f>""</f>
        <v/>
      </c>
      <c r="CP805" t="str">
        <f>""</f>
        <v/>
      </c>
      <c r="CQ805" t="str">
        <f>""</f>
        <v/>
      </c>
      <c r="CR805" t="str">
        <f>""</f>
        <v/>
      </c>
      <c r="CS805" t="str">
        <f>""</f>
        <v/>
      </c>
      <c r="CT805" t="str">
        <f>""</f>
        <v/>
      </c>
      <c r="CU805" t="str">
        <f>""</f>
        <v/>
      </c>
      <c r="CV805" t="str">
        <f>""</f>
        <v/>
      </c>
      <c r="CW805" t="str">
        <f>""</f>
        <v/>
      </c>
      <c r="CX805" t="str">
        <f>""</f>
        <v/>
      </c>
      <c r="CY805" t="str">
        <f>""</f>
        <v/>
      </c>
      <c r="CZ805" t="str">
        <f>""</f>
        <v/>
      </c>
      <c r="DA805" t="str">
        <f>""</f>
        <v/>
      </c>
      <c r="DB805" t="str">
        <f>""</f>
        <v/>
      </c>
      <c r="DC805" t="str">
        <f>""</f>
        <v/>
      </c>
      <c r="DD805" t="str">
        <f>""</f>
        <v/>
      </c>
      <c r="DE805" t="str">
        <f>""</f>
        <v/>
      </c>
      <c r="DF805" t="str">
        <f>""</f>
        <v/>
      </c>
      <c r="DG805" t="str">
        <f>""</f>
        <v/>
      </c>
      <c r="DH805" t="str">
        <f>""</f>
        <v/>
      </c>
      <c r="DI805" t="str">
        <f>""</f>
        <v/>
      </c>
      <c r="DJ805" t="str">
        <f>""</f>
        <v/>
      </c>
      <c r="DK805" t="str">
        <f>""</f>
        <v/>
      </c>
      <c r="DL805" t="str">
        <f>""</f>
        <v/>
      </c>
      <c r="DM805" t="str">
        <f>""</f>
        <v/>
      </c>
      <c r="DN805" t="str">
        <f>""</f>
        <v/>
      </c>
      <c r="DO805" t="str">
        <f>""</f>
        <v/>
      </c>
      <c r="DP805" t="str">
        <f>""</f>
        <v/>
      </c>
      <c r="DQ805" t="str">
        <f>""</f>
        <v/>
      </c>
      <c r="DR805" t="str">
        <f>""</f>
        <v/>
      </c>
      <c r="DS805" t="str">
        <f>""</f>
        <v/>
      </c>
      <c r="DT805" t="str">
        <f>""</f>
        <v/>
      </c>
      <c r="DU805" t="str">
        <f>""</f>
        <v/>
      </c>
    </row>
    <row r="806" spans="1:125">
      <c r="A806" t="str">
        <f>$A$367</f>
        <v xml:space="preserve">    Simon Property Group Inc</v>
      </c>
      <c r="B806" t="str">
        <f>$B$367</f>
        <v>SPG US Equity</v>
      </c>
      <c r="C806" t="str">
        <f>$C$367</f>
        <v>RR008</v>
      </c>
      <c r="D806" t="str">
        <f>$D$367</f>
        <v>CF_FREE_CASH_FLOW</v>
      </c>
      <c r="E806" t="str">
        <f>$E$367</f>
        <v>动态</v>
      </c>
      <c r="F806" t="str">
        <f ca="1">BDH($B$367,$C$367,$B$417,$B$418,CONCATENATE("Per=",$B$415),"Dts=H","Dir=H",CONCATENATE("Points=",$B$416),"Sort=R","Days=A","Fill=B",CONCATENATE("FX=", $B$414) )</f>
        <v>#N/A Authorization</v>
      </c>
      <c r="BN806" t="str">
        <f>""</f>
        <v/>
      </c>
      <c r="BO806" t="str">
        <f>""</f>
        <v/>
      </c>
      <c r="BP806" t="str">
        <f>""</f>
        <v/>
      </c>
      <c r="BQ806" t="str">
        <f>""</f>
        <v/>
      </c>
      <c r="BR806" t="str">
        <f>""</f>
        <v/>
      </c>
      <c r="BS806" t="str">
        <f>""</f>
        <v/>
      </c>
      <c r="BT806" t="str">
        <f>""</f>
        <v/>
      </c>
      <c r="BU806" t="str">
        <f>""</f>
        <v/>
      </c>
      <c r="BV806" t="str">
        <f>""</f>
        <v/>
      </c>
      <c r="BW806" t="str">
        <f>""</f>
        <v/>
      </c>
      <c r="BX806" t="str">
        <f>""</f>
        <v/>
      </c>
      <c r="BY806" t="str">
        <f>""</f>
        <v/>
      </c>
      <c r="BZ806" t="str">
        <f>""</f>
        <v/>
      </c>
      <c r="CA806" t="str">
        <f>""</f>
        <v/>
      </c>
      <c r="CB806" t="str">
        <f>""</f>
        <v/>
      </c>
      <c r="CC806" t="str">
        <f>""</f>
        <v/>
      </c>
      <c r="CD806" t="str">
        <f>""</f>
        <v/>
      </c>
      <c r="CE806" t="str">
        <f>""</f>
        <v/>
      </c>
      <c r="CF806" t="str">
        <f>""</f>
        <v/>
      </c>
      <c r="CG806" t="str">
        <f>""</f>
        <v/>
      </c>
      <c r="CH806" t="str">
        <f>""</f>
        <v/>
      </c>
      <c r="CI806" t="str">
        <f>""</f>
        <v/>
      </c>
      <c r="CJ806" t="str">
        <f>""</f>
        <v/>
      </c>
      <c r="CK806" t="str">
        <f>""</f>
        <v/>
      </c>
      <c r="CL806" t="str">
        <f>""</f>
        <v/>
      </c>
      <c r="CM806" t="str">
        <f>""</f>
        <v/>
      </c>
      <c r="CN806" t="str">
        <f>""</f>
        <v/>
      </c>
      <c r="CO806" t="str">
        <f>""</f>
        <v/>
      </c>
      <c r="CP806" t="str">
        <f>""</f>
        <v/>
      </c>
      <c r="CQ806" t="str">
        <f>""</f>
        <v/>
      </c>
      <c r="CR806" t="str">
        <f>""</f>
        <v/>
      </c>
      <c r="CS806" t="str">
        <f>""</f>
        <v/>
      </c>
      <c r="CT806" t="str">
        <f>""</f>
        <v/>
      </c>
      <c r="CU806" t="str">
        <f>""</f>
        <v/>
      </c>
      <c r="CV806" t="str">
        <f>""</f>
        <v/>
      </c>
      <c r="CW806" t="str">
        <f>""</f>
        <v/>
      </c>
      <c r="CX806" t="str">
        <f>""</f>
        <v/>
      </c>
      <c r="CY806" t="str">
        <f>""</f>
        <v/>
      </c>
      <c r="CZ806" t="str">
        <f>""</f>
        <v/>
      </c>
      <c r="DA806" t="str">
        <f>""</f>
        <v/>
      </c>
      <c r="DB806" t="str">
        <f>""</f>
        <v/>
      </c>
      <c r="DC806" t="str">
        <f>""</f>
        <v/>
      </c>
      <c r="DD806" t="str">
        <f>""</f>
        <v/>
      </c>
      <c r="DE806" t="str">
        <f>""</f>
        <v/>
      </c>
      <c r="DF806" t="str">
        <f>""</f>
        <v/>
      </c>
      <c r="DG806" t="str">
        <f>""</f>
        <v/>
      </c>
      <c r="DH806" t="str">
        <f>""</f>
        <v/>
      </c>
      <c r="DI806" t="str">
        <f>""</f>
        <v/>
      </c>
      <c r="DJ806" t="str">
        <f>""</f>
        <v/>
      </c>
      <c r="DK806" t="str">
        <f>""</f>
        <v/>
      </c>
      <c r="DL806" t="str">
        <f>""</f>
        <v/>
      </c>
      <c r="DM806" t="str">
        <f>""</f>
        <v/>
      </c>
      <c r="DN806" t="str">
        <f>""</f>
        <v/>
      </c>
      <c r="DO806" t="str">
        <f>""</f>
        <v/>
      </c>
      <c r="DP806" t="str">
        <f>""</f>
        <v/>
      </c>
      <c r="DQ806" t="str">
        <f>""</f>
        <v/>
      </c>
      <c r="DR806" t="str">
        <f>""</f>
        <v/>
      </c>
      <c r="DS806" t="str">
        <f>""</f>
        <v/>
      </c>
      <c r="DT806" t="str">
        <f>""</f>
        <v/>
      </c>
      <c r="DU806" t="str">
        <f>""</f>
        <v/>
      </c>
    </row>
    <row r="807" spans="1:125">
      <c r="A807" t="str">
        <f>$A$368</f>
        <v xml:space="preserve">    Tanger Factory Outlet Centers</v>
      </c>
      <c r="B807" t="str">
        <f>$B$368</f>
        <v>SKT US Equity</v>
      </c>
      <c r="C807" t="str">
        <f>$C$368</f>
        <v>RR008</v>
      </c>
      <c r="D807" t="str">
        <f>$D$368</f>
        <v>CF_FREE_CASH_FLOW</v>
      </c>
      <c r="E807" t="str">
        <f>$E$368</f>
        <v>动态</v>
      </c>
      <c r="F807" t="str">
        <f ca="1">BDH($B$368,$C$368,$B$417,$B$418,CONCATENATE("Per=",$B$415),"Dts=H","Dir=H",CONCATENATE("Points=",$B$416),"Sort=R","Days=A","Fill=B",CONCATENATE("FX=", $B$414) )</f>
        <v>#N/A Authorization</v>
      </c>
      <c r="BN807" t="str">
        <f>""</f>
        <v/>
      </c>
      <c r="BO807" t="str">
        <f>""</f>
        <v/>
      </c>
      <c r="BP807" t="str">
        <f>""</f>
        <v/>
      </c>
      <c r="BQ807" t="str">
        <f>""</f>
        <v/>
      </c>
      <c r="BR807" t="str">
        <f>""</f>
        <v/>
      </c>
      <c r="BS807" t="str">
        <f>""</f>
        <v/>
      </c>
      <c r="BT807" t="str">
        <f>""</f>
        <v/>
      </c>
      <c r="BU807" t="str">
        <f>""</f>
        <v/>
      </c>
      <c r="BV807" t="str">
        <f>""</f>
        <v/>
      </c>
      <c r="BW807" t="str">
        <f>""</f>
        <v/>
      </c>
      <c r="BX807" t="str">
        <f>""</f>
        <v/>
      </c>
      <c r="BY807" t="str">
        <f>""</f>
        <v/>
      </c>
      <c r="BZ807" t="str">
        <f>""</f>
        <v/>
      </c>
      <c r="CA807" t="str">
        <f>""</f>
        <v/>
      </c>
      <c r="CB807" t="str">
        <f>""</f>
        <v/>
      </c>
      <c r="CC807" t="str">
        <f>""</f>
        <v/>
      </c>
      <c r="CD807" t="str">
        <f>""</f>
        <v/>
      </c>
      <c r="CE807" t="str">
        <f>""</f>
        <v/>
      </c>
      <c r="CF807" t="str">
        <f>""</f>
        <v/>
      </c>
      <c r="CG807" t="str">
        <f>""</f>
        <v/>
      </c>
      <c r="CH807" t="str">
        <f>""</f>
        <v/>
      </c>
      <c r="CI807" t="str">
        <f>""</f>
        <v/>
      </c>
      <c r="CJ807" t="str">
        <f>""</f>
        <v/>
      </c>
      <c r="CK807" t="str">
        <f>""</f>
        <v/>
      </c>
      <c r="CL807" t="str">
        <f>""</f>
        <v/>
      </c>
      <c r="CM807" t="str">
        <f>""</f>
        <v/>
      </c>
      <c r="CN807" t="str">
        <f>""</f>
        <v/>
      </c>
      <c r="CO807" t="str">
        <f>""</f>
        <v/>
      </c>
      <c r="CP807" t="str">
        <f>""</f>
        <v/>
      </c>
      <c r="CQ807" t="str">
        <f>""</f>
        <v/>
      </c>
      <c r="CR807" t="str">
        <f>""</f>
        <v/>
      </c>
      <c r="CS807" t="str">
        <f>""</f>
        <v/>
      </c>
      <c r="CT807" t="str">
        <f>""</f>
        <v/>
      </c>
      <c r="CU807" t="str">
        <f>""</f>
        <v/>
      </c>
      <c r="CV807" t="str">
        <f>""</f>
        <v/>
      </c>
      <c r="CW807" t="str">
        <f>""</f>
        <v/>
      </c>
      <c r="CX807" t="str">
        <f>""</f>
        <v/>
      </c>
      <c r="CY807" t="str">
        <f>""</f>
        <v/>
      </c>
      <c r="CZ807" t="str">
        <f>""</f>
        <v/>
      </c>
      <c r="DA807" t="str">
        <f>""</f>
        <v/>
      </c>
      <c r="DB807" t="str">
        <f>""</f>
        <v/>
      </c>
      <c r="DC807" t="str">
        <f>""</f>
        <v/>
      </c>
      <c r="DD807" t="str">
        <f>""</f>
        <v/>
      </c>
      <c r="DE807" t="str">
        <f>""</f>
        <v/>
      </c>
      <c r="DF807" t="str">
        <f>""</f>
        <v/>
      </c>
      <c r="DG807" t="str">
        <f>""</f>
        <v/>
      </c>
      <c r="DH807" t="str">
        <f>""</f>
        <v/>
      </c>
      <c r="DI807" t="str">
        <f>""</f>
        <v/>
      </c>
      <c r="DJ807" t="str">
        <f>""</f>
        <v/>
      </c>
      <c r="DK807" t="str">
        <f>""</f>
        <v/>
      </c>
      <c r="DL807" t="str">
        <f>""</f>
        <v/>
      </c>
      <c r="DM807" t="str">
        <f>""</f>
        <v/>
      </c>
      <c r="DN807" t="str">
        <f>""</f>
        <v/>
      </c>
      <c r="DO807" t="str">
        <f>""</f>
        <v/>
      </c>
      <c r="DP807" t="str">
        <f>""</f>
        <v/>
      </c>
      <c r="DQ807" t="str">
        <f>""</f>
        <v/>
      </c>
      <c r="DR807" t="str">
        <f>""</f>
        <v/>
      </c>
      <c r="DS807" t="str">
        <f>""</f>
        <v/>
      </c>
      <c r="DT807" t="str">
        <f>""</f>
        <v/>
      </c>
      <c r="DU807" t="str">
        <f>""</f>
        <v/>
      </c>
    </row>
    <row r="808" spans="1:125">
      <c r="A808" t="str">
        <f>$A$369</f>
        <v xml:space="preserve">    VEREIT Inc</v>
      </c>
      <c r="B808" t="str">
        <f>$B$369</f>
        <v>VER US Equity</v>
      </c>
      <c r="C808" t="str">
        <f>$C$369</f>
        <v>RR008</v>
      </c>
      <c r="D808" t="str">
        <f>$D$369</f>
        <v>CF_FREE_CASH_FLOW</v>
      </c>
      <c r="E808" t="str">
        <f>$E$369</f>
        <v>动态</v>
      </c>
      <c r="F808" t="str">
        <f ca="1">BDH($B$369,$C$369,$B$417,$B$418,CONCATENATE("Per=",$B$415),"Dts=H","Dir=H",CONCATENATE("Points=",$B$416),"Sort=R","Days=A","Fill=B",CONCATENATE("FX=", $B$414) )</f>
        <v>#N/A Authorization</v>
      </c>
      <c r="BN808" t="str">
        <f>""</f>
        <v/>
      </c>
      <c r="BO808" t="str">
        <f>""</f>
        <v/>
      </c>
      <c r="BP808" t="str">
        <f>""</f>
        <v/>
      </c>
      <c r="BQ808" t="str">
        <f>""</f>
        <v/>
      </c>
      <c r="BR808" t="str">
        <f>""</f>
        <v/>
      </c>
      <c r="BS808" t="str">
        <f>""</f>
        <v/>
      </c>
      <c r="BT808" t="str">
        <f>""</f>
        <v/>
      </c>
      <c r="BU808" t="str">
        <f>""</f>
        <v/>
      </c>
      <c r="BV808" t="str">
        <f>""</f>
        <v/>
      </c>
      <c r="BW808" t="str">
        <f>""</f>
        <v/>
      </c>
      <c r="BX808" t="str">
        <f>""</f>
        <v/>
      </c>
      <c r="BY808" t="str">
        <f>""</f>
        <v/>
      </c>
      <c r="BZ808" t="str">
        <f>""</f>
        <v/>
      </c>
      <c r="CA808" t="str">
        <f>""</f>
        <v/>
      </c>
      <c r="CB808" t="str">
        <f>""</f>
        <v/>
      </c>
      <c r="CC808" t="str">
        <f>""</f>
        <v/>
      </c>
      <c r="CD808" t="str">
        <f>""</f>
        <v/>
      </c>
      <c r="CE808" t="str">
        <f>""</f>
        <v/>
      </c>
      <c r="CF808" t="str">
        <f>""</f>
        <v/>
      </c>
      <c r="CG808" t="str">
        <f>""</f>
        <v/>
      </c>
      <c r="CH808" t="str">
        <f>""</f>
        <v/>
      </c>
      <c r="CI808" t="str">
        <f>""</f>
        <v/>
      </c>
      <c r="CJ808" t="str">
        <f>""</f>
        <v/>
      </c>
      <c r="CK808" t="str">
        <f>""</f>
        <v/>
      </c>
      <c r="CL808" t="str">
        <f>""</f>
        <v/>
      </c>
      <c r="CM808" t="str">
        <f>""</f>
        <v/>
      </c>
      <c r="CN808" t="str">
        <f>""</f>
        <v/>
      </c>
      <c r="CO808" t="str">
        <f>""</f>
        <v/>
      </c>
      <c r="CP808" t="str">
        <f>""</f>
        <v/>
      </c>
      <c r="CQ808" t="str">
        <f>""</f>
        <v/>
      </c>
      <c r="CR808" t="str">
        <f>""</f>
        <v/>
      </c>
      <c r="CS808" t="str">
        <f>""</f>
        <v/>
      </c>
      <c r="CT808" t="str">
        <f>""</f>
        <v/>
      </c>
      <c r="CU808" t="str">
        <f>""</f>
        <v/>
      </c>
      <c r="CV808" t="str">
        <f>""</f>
        <v/>
      </c>
      <c r="CW808" t="str">
        <f>""</f>
        <v/>
      </c>
      <c r="CX808" t="str">
        <f>""</f>
        <v/>
      </c>
      <c r="CY808" t="str">
        <f>""</f>
        <v/>
      </c>
      <c r="CZ808" t="str">
        <f>""</f>
        <v/>
      </c>
      <c r="DA808" t="str">
        <f>""</f>
        <v/>
      </c>
      <c r="DB808" t="str">
        <f>""</f>
        <v/>
      </c>
      <c r="DC808" t="str">
        <f>""</f>
        <v/>
      </c>
      <c r="DD808" t="str">
        <f>""</f>
        <v/>
      </c>
      <c r="DE808" t="str">
        <f>""</f>
        <v/>
      </c>
      <c r="DF808" t="str">
        <f>""</f>
        <v/>
      </c>
      <c r="DG808" t="str">
        <f>""</f>
        <v/>
      </c>
      <c r="DH808" t="str">
        <f>""</f>
        <v/>
      </c>
      <c r="DI808" t="str">
        <f>""</f>
        <v/>
      </c>
      <c r="DJ808" t="str">
        <f>""</f>
        <v/>
      </c>
      <c r="DK808" t="str">
        <f>""</f>
        <v/>
      </c>
      <c r="DL808" t="str">
        <f>""</f>
        <v/>
      </c>
      <c r="DM808" t="str">
        <f>""</f>
        <v/>
      </c>
      <c r="DN808" t="str">
        <f>""</f>
        <v/>
      </c>
      <c r="DO808" t="str">
        <f>""</f>
        <v/>
      </c>
      <c r="DP808" t="str">
        <f>""</f>
        <v/>
      </c>
      <c r="DQ808" t="str">
        <f>""</f>
        <v/>
      </c>
      <c r="DR808" t="str">
        <f>""</f>
        <v/>
      </c>
      <c r="DS808" t="str">
        <f>""</f>
        <v/>
      </c>
      <c r="DT808" t="str">
        <f>""</f>
        <v/>
      </c>
      <c r="DU808" t="str">
        <f>""</f>
        <v/>
      </c>
    </row>
    <row r="809" spans="1:125">
      <c r="A809" t="str">
        <f>$A$370</f>
        <v xml:space="preserve">    Washington Prime Group Inc</v>
      </c>
      <c r="B809" t="str">
        <f>$B$370</f>
        <v>WPG US Equity</v>
      </c>
      <c r="C809" t="str">
        <f>$C$370</f>
        <v>RR008</v>
      </c>
      <c r="D809" t="str">
        <f>$D$370</f>
        <v>CF_FREE_CASH_FLOW</v>
      </c>
      <c r="E809" t="str">
        <f>$E$370</f>
        <v>动态</v>
      </c>
      <c r="F809" t="str">
        <f ca="1">BDH($B$370,$C$370,$B$417,$B$418,CONCATENATE("Per=",$B$415),"Dts=H","Dir=H",CONCATENATE("Points=",$B$416),"Sort=R","Days=A","Fill=B",CONCATENATE("FX=", $B$414) )</f>
        <v>#N/A Authorization</v>
      </c>
      <c r="BN809" t="str">
        <f>""</f>
        <v/>
      </c>
      <c r="BO809" t="str">
        <f>""</f>
        <v/>
      </c>
      <c r="BP809" t="str">
        <f>""</f>
        <v/>
      </c>
      <c r="BQ809" t="str">
        <f>""</f>
        <v/>
      </c>
      <c r="BR809" t="str">
        <f>""</f>
        <v/>
      </c>
      <c r="BS809" t="str">
        <f>""</f>
        <v/>
      </c>
      <c r="BT809" t="str">
        <f>""</f>
        <v/>
      </c>
      <c r="BU809" t="str">
        <f>""</f>
        <v/>
      </c>
      <c r="BV809" t="str">
        <f>""</f>
        <v/>
      </c>
      <c r="BW809" t="str">
        <f>""</f>
        <v/>
      </c>
      <c r="BX809" t="str">
        <f>""</f>
        <v/>
      </c>
      <c r="BY809" t="str">
        <f>""</f>
        <v/>
      </c>
      <c r="BZ809" t="str">
        <f>""</f>
        <v/>
      </c>
      <c r="CA809" t="str">
        <f>""</f>
        <v/>
      </c>
      <c r="CB809" t="str">
        <f>""</f>
        <v/>
      </c>
      <c r="CC809" t="str">
        <f>""</f>
        <v/>
      </c>
      <c r="CD809" t="str">
        <f>""</f>
        <v/>
      </c>
      <c r="CE809" t="str">
        <f>""</f>
        <v/>
      </c>
      <c r="CF809" t="str">
        <f>""</f>
        <v/>
      </c>
      <c r="CG809" t="str">
        <f>""</f>
        <v/>
      </c>
      <c r="CH809" t="str">
        <f>""</f>
        <v/>
      </c>
      <c r="CI809" t="str">
        <f>""</f>
        <v/>
      </c>
      <c r="CJ809" t="str">
        <f>""</f>
        <v/>
      </c>
      <c r="CK809" t="str">
        <f>""</f>
        <v/>
      </c>
      <c r="CL809" t="str">
        <f>""</f>
        <v/>
      </c>
      <c r="CM809" t="str">
        <f>""</f>
        <v/>
      </c>
      <c r="CN809" t="str">
        <f>""</f>
        <v/>
      </c>
      <c r="CO809" t="str">
        <f>""</f>
        <v/>
      </c>
      <c r="CP809" t="str">
        <f>""</f>
        <v/>
      </c>
      <c r="CQ809" t="str">
        <f>""</f>
        <v/>
      </c>
      <c r="CR809" t="str">
        <f>""</f>
        <v/>
      </c>
      <c r="CS809" t="str">
        <f>""</f>
        <v/>
      </c>
      <c r="CT809" t="str">
        <f>""</f>
        <v/>
      </c>
      <c r="CU809" t="str">
        <f>""</f>
        <v/>
      </c>
      <c r="CV809" t="str">
        <f>""</f>
        <v/>
      </c>
      <c r="CW809" t="str">
        <f>""</f>
        <v/>
      </c>
      <c r="CX809" t="str">
        <f>""</f>
        <v/>
      </c>
      <c r="CY809" t="str">
        <f>""</f>
        <v/>
      </c>
      <c r="CZ809" t="str">
        <f>""</f>
        <v/>
      </c>
      <c r="DA809" t="str">
        <f>""</f>
        <v/>
      </c>
      <c r="DB809" t="str">
        <f>""</f>
        <v/>
      </c>
      <c r="DC809" t="str">
        <f>""</f>
        <v/>
      </c>
      <c r="DD809" t="str">
        <f>""</f>
        <v/>
      </c>
      <c r="DE809" t="str">
        <f>""</f>
        <v/>
      </c>
      <c r="DF809" t="str">
        <f>""</f>
        <v/>
      </c>
      <c r="DG809" t="str">
        <f>""</f>
        <v/>
      </c>
      <c r="DH809" t="str">
        <f>""</f>
        <v/>
      </c>
      <c r="DI809" t="str">
        <f>""</f>
        <v/>
      </c>
      <c r="DJ809" t="str">
        <f>""</f>
        <v/>
      </c>
      <c r="DK809" t="str">
        <f>""</f>
        <v/>
      </c>
      <c r="DL809" t="str">
        <f>""</f>
        <v/>
      </c>
      <c r="DM809" t="str">
        <f>""</f>
        <v/>
      </c>
      <c r="DN809" t="str">
        <f>""</f>
        <v/>
      </c>
      <c r="DO809" t="str">
        <f>""</f>
        <v/>
      </c>
      <c r="DP809" t="str">
        <f>""</f>
        <v/>
      </c>
      <c r="DQ809" t="str">
        <f>""</f>
        <v/>
      </c>
      <c r="DR809" t="str">
        <f>""</f>
        <v/>
      </c>
      <c r="DS809" t="str">
        <f>""</f>
        <v/>
      </c>
      <c r="DT809" t="str">
        <f>""</f>
        <v/>
      </c>
      <c r="DU809" t="str">
        <f>""</f>
        <v/>
      </c>
    </row>
    <row r="810" spans="1:125">
      <c r="A810" t="str">
        <f>$A$371</f>
        <v xml:space="preserve">    Weingarten Realty Investors</v>
      </c>
      <c r="B810" t="str">
        <f>$B$371</f>
        <v>WRI US Equity</v>
      </c>
      <c r="C810" t="str">
        <f>$C$371</f>
        <v>RR008</v>
      </c>
      <c r="D810" t="str">
        <f>$D$371</f>
        <v>CF_FREE_CASH_FLOW</v>
      </c>
      <c r="E810" t="str">
        <f>$E$371</f>
        <v>动态</v>
      </c>
      <c r="F810" t="str">
        <f ca="1">BDH($B$371,$C$371,$B$417,$B$418,CONCATENATE("Per=",$B$415),"Dts=H","Dir=H",CONCATENATE("Points=",$B$416),"Sort=R","Days=A","Fill=B",CONCATENATE("FX=", $B$414) )</f>
        <v>#N/A Authorization</v>
      </c>
      <c r="BN810" t="str">
        <f>""</f>
        <v/>
      </c>
      <c r="BO810" t="str">
        <f>""</f>
        <v/>
      </c>
      <c r="BP810" t="str">
        <f>""</f>
        <v/>
      </c>
      <c r="BQ810" t="str">
        <f>""</f>
        <v/>
      </c>
      <c r="BR810" t="str">
        <f>""</f>
        <v/>
      </c>
      <c r="BS810" t="str">
        <f>""</f>
        <v/>
      </c>
      <c r="BT810" t="str">
        <f>""</f>
        <v/>
      </c>
      <c r="BU810" t="str">
        <f>""</f>
        <v/>
      </c>
      <c r="BV810" t="str">
        <f>""</f>
        <v/>
      </c>
      <c r="BW810" t="str">
        <f>""</f>
        <v/>
      </c>
      <c r="BX810" t="str">
        <f>""</f>
        <v/>
      </c>
      <c r="BY810" t="str">
        <f>""</f>
        <v/>
      </c>
      <c r="BZ810" t="str">
        <f>""</f>
        <v/>
      </c>
      <c r="CA810" t="str">
        <f>""</f>
        <v/>
      </c>
      <c r="CB810" t="str">
        <f>""</f>
        <v/>
      </c>
      <c r="CC810" t="str">
        <f>""</f>
        <v/>
      </c>
      <c r="CD810" t="str">
        <f>""</f>
        <v/>
      </c>
      <c r="CE810" t="str">
        <f>""</f>
        <v/>
      </c>
      <c r="CF810" t="str">
        <f>""</f>
        <v/>
      </c>
      <c r="CG810" t="str">
        <f>""</f>
        <v/>
      </c>
      <c r="CH810" t="str">
        <f>""</f>
        <v/>
      </c>
      <c r="CI810" t="str">
        <f>""</f>
        <v/>
      </c>
      <c r="CJ810" t="str">
        <f>""</f>
        <v/>
      </c>
      <c r="CK810" t="str">
        <f>""</f>
        <v/>
      </c>
      <c r="CL810" t="str">
        <f>""</f>
        <v/>
      </c>
      <c r="CM810" t="str">
        <f>""</f>
        <v/>
      </c>
      <c r="CN810" t="str">
        <f>""</f>
        <v/>
      </c>
      <c r="CO810" t="str">
        <f>""</f>
        <v/>
      </c>
      <c r="CP810" t="str">
        <f>""</f>
        <v/>
      </c>
      <c r="CQ810" t="str">
        <f>""</f>
        <v/>
      </c>
      <c r="CR810" t="str">
        <f>""</f>
        <v/>
      </c>
      <c r="CS810" t="str">
        <f>""</f>
        <v/>
      </c>
      <c r="CT810" t="str">
        <f>""</f>
        <v/>
      </c>
      <c r="CU810" t="str">
        <f>""</f>
        <v/>
      </c>
      <c r="CV810" t="str">
        <f>""</f>
        <v/>
      </c>
      <c r="CW810" t="str">
        <f>""</f>
        <v/>
      </c>
      <c r="CX810" t="str">
        <f>""</f>
        <v/>
      </c>
      <c r="CY810" t="str">
        <f>""</f>
        <v/>
      </c>
      <c r="CZ810" t="str">
        <f>""</f>
        <v/>
      </c>
      <c r="DA810" t="str">
        <f>""</f>
        <v/>
      </c>
      <c r="DB810" t="str">
        <f>""</f>
        <v/>
      </c>
      <c r="DC810" t="str">
        <f>""</f>
        <v/>
      </c>
      <c r="DD810" t="str">
        <f>""</f>
        <v/>
      </c>
      <c r="DE810" t="str">
        <f>""</f>
        <v/>
      </c>
      <c r="DF810" t="str">
        <f>""</f>
        <v/>
      </c>
      <c r="DG810" t="str">
        <f>""</f>
        <v/>
      </c>
      <c r="DH810" t="str">
        <f>""</f>
        <v/>
      </c>
      <c r="DI810" t="str">
        <f>""</f>
        <v/>
      </c>
      <c r="DJ810" t="str">
        <f>""</f>
        <v/>
      </c>
      <c r="DK810" t="str">
        <f>""</f>
        <v/>
      </c>
      <c r="DL810" t="str">
        <f>""</f>
        <v/>
      </c>
      <c r="DM810" t="str">
        <f>""</f>
        <v/>
      </c>
      <c r="DN810" t="str">
        <f>""</f>
        <v/>
      </c>
      <c r="DO810" t="str">
        <f>""</f>
        <v/>
      </c>
      <c r="DP810" t="str">
        <f>""</f>
        <v/>
      </c>
      <c r="DQ810" t="str">
        <f>""</f>
        <v/>
      </c>
      <c r="DR810" t="str">
        <f>""</f>
        <v/>
      </c>
      <c r="DS810" t="str">
        <f>""</f>
        <v/>
      </c>
      <c r="DT810" t="str">
        <f>""</f>
        <v/>
      </c>
      <c r="DU810" t="str">
        <f>""</f>
        <v/>
      </c>
    </row>
    <row r="811" spans="1:125">
      <c r="A811" t="str">
        <f>$A$389</f>
        <v xml:space="preserve">    Brixmor Property Group Inc</v>
      </c>
      <c r="B811" t="str">
        <f>$B$389</f>
        <v>BRX US Equity</v>
      </c>
      <c r="C811" t="str">
        <f>$C$389</f>
        <v>RR106</v>
      </c>
      <c r="D811" t="str">
        <f>$D$389</f>
        <v>FFO_PAYOUT_RATIO</v>
      </c>
      <c r="E811" t="str">
        <f>$E$389</f>
        <v>动态</v>
      </c>
      <c r="F811" t="str">
        <f ca="1">BDH($B$389,$C$389,$B$417,$B$418,CONCATENATE("Per=",$B$415),"Dts=H","Dir=H",CONCATENATE("Points=",$B$416),"Sort=R","Days=A","Fill=B",CONCATENATE("FX=", $B$414) )</f>
        <v>#N/A Authorization</v>
      </c>
      <c r="BN811" t="str">
        <f>""</f>
        <v/>
      </c>
      <c r="BO811" t="str">
        <f>""</f>
        <v/>
      </c>
      <c r="BP811" t="str">
        <f>""</f>
        <v/>
      </c>
      <c r="BQ811" t="str">
        <f>""</f>
        <v/>
      </c>
      <c r="BR811" t="str">
        <f>""</f>
        <v/>
      </c>
      <c r="BS811" t="str">
        <f>""</f>
        <v/>
      </c>
      <c r="BT811" t="str">
        <f>""</f>
        <v/>
      </c>
      <c r="BU811" t="str">
        <f>""</f>
        <v/>
      </c>
      <c r="BV811" t="str">
        <f>""</f>
        <v/>
      </c>
      <c r="BW811" t="str">
        <f>""</f>
        <v/>
      </c>
      <c r="BX811" t="str">
        <f>""</f>
        <v/>
      </c>
      <c r="BY811" t="str">
        <f>""</f>
        <v/>
      </c>
      <c r="BZ811" t="str">
        <f>""</f>
        <v/>
      </c>
      <c r="CA811" t="str">
        <f>""</f>
        <v/>
      </c>
      <c r="CB811" t="str">
        <f>""</f>
        <v/>
      </c>
      <c r="CC811" t="str">
        <f>""</f>
        <v/>
      </c>
      <c r="CD811" t="str">
        <f>""</f>
        <v/>
      </c>
      <c r="CE811" t="str">
        <f>""</f>
        <v/>
      </c>
      <c r="CF811" t="str">
        <f>""</f>
        <v/>
      </c>
      <c r="CG811" t="str">
        <f>""</f>
        <v/>
      </c>
      <c r="CH811" t="str">
        <f>""</f>
        <v/>
      </c>
      <c r="CI811" t="str">
        <f>""</f>
        <v/>
      </c>
      <c r="CJ811" t="str">
        <f>""</f>
        <v/>
      </c>
      <c r="CK811" t="str">
        <f>""</f>
        <v/>
      </c>
      <c r="CL811" t="str">
        <f>""</f>
        <v/>
      </c>
      <c r="CM811" t="str">
        <f>""</f>
        <v/>
      </c>
      <c r="CN811" t="str">
        <f>""</f>
        <v/>
      </c>
      <c r="CO811" t="str">
        <f>""</f>
        <v/>
      </c>
      <c r="CP811" t="str">
        <f>""</f>
        <v/>
      </c>
      <c r="CQ811" t="str">
        <f>""</f>
        <v/>
      </c>
      <c r="CR811" t="str">
        <f>""</f>
        <v/>
      </c>
      <c r="CS811" t="str">
        <f>""</f>
        <v/>
      </c>
      <c r="CT811" t="str">
        <f>""</f>
        <v/>
      </c>
      <c r="CU811" t="str">
        <f>""</f>
        <v/>
      </c>
      <c r="CV811" t="str">
        <f>""</f>
        <v/>
      </c>
      <c r="CW811" t="str">
        <f>""</f>
        <v/>
      </c>
      <c r="CX811" t="str">
        <f>""</f>
        <v/>
      </c>
      <c r="CY811" t="str">
        <f>""</f>
        <v/>
      </c>
      <c r="CZ811" t="str">
        <f>""</f>
        <v/>
      </c>
      <c r="DA811" t="str">
        <f>""</f>
        <v/>
      </c>
      <c r="DB811" t="str">
        <f>""</f>
        <v/>
      </c>
      <c r="DC811" t="str">
        <f>""</f>
        <v/>
      </c>
      <c r="DD811" t="str">
        <f>""</f>
        <v/>
      </c>
      <c r="DE811" t="str">
        <f>""</f>
        <v/>
      </c>
      <c r="DF811" t="str">
        <f>""</f>
        <v/>
      </c>
      <c r="DG811" t="str">
        <f>""</f>
        <v/>
      </c>
      <c r="DH811" t="str">
        <f>""</f>
        <v/>
      </c>
      <c r="DI811" t="str">
        <f>""</f>
        <v/>
      </c>
      <c r="DJ811" t="str">
        <f>""</f>
        <v/>
      </c>
      <c r="DK811" t="str">
        <f>""</f>
        <v/>
      </c>
      <c r="DL811" t="str">
        <f>""</f>
        <v/>
      </c>
      <c r="DM811" t="str">
        <f>""</f>
        <v/>
      </c>
      <c r="DN811" t="str">
        <f>""</f>
        <v/>
      </c>
      <c r="DO811" t="str">
        <f>""</f>
        <v/>
      </c>
      <c r="DP811" t="str">
        <f>""</f>
        <v/>
      </c>
      <c r="DQ811" t="str">
        <f>""</f>
        <v/>
      </c>
      <c r="DR811" t="str">
        <f>""</f>
        <v/>
      </c>
      <c r="DS811" t="str">
        <f>""</f>
        <v/>
      </c>
      <c r="DT811" t="str">
        <f>""</f>
        <v/>
      </c>
      <c r="DU811" t="str">
        <f>""</f>
        <v/>
      </c>
    </row>
    <row r="812" spans="1:125">
      <c r="A812" t="str">
        <f>$A$390</f>
        <v xml:space="preserve">    CBL &amp; Associates Properties In</v>
      </c>
      <c r="B812" t="str">
        <f>$B$390</f>
        <v>CBL US Equity</v>
      </c>
      <c r="C812" t="str">
        <f>$C$390</f>
        <v>RR106</v>
      </c>
      <c r="D812" t="str">
        <f>$D$390</f>
        <v>FFO_PAYOUT_RATIO</v>
      </c>
      <c r="E812" t="str">
        <f>$E$390</f>
        <v>动态</v>
      </c>
      <c r="F812" t="str">
        <f ca="1">BDH($B$390,$C$390,$B$417,$B$418,CONCATENATE("Per=",$B$415),"Dts=H","Dir=H",CONCATENATE("Points=",$B$416),"Sort=R","Days=A","Fill=B",CONCATENATE("FX=", $B$414) )</f>
        <v>#N/A Authorization</v>
      </c>
      <c r="BN812" t="str">
        <f>""</f>
        <v/>
      </c>
      <c r="BO812" t="str">
        <f>""</f>
        <v/>
      </c>
      <c r="BP812" t="str">
        <f>""</f>
        <v/>
      </c>
      <c r="BQ812" t="str">
        <f>""</f>
        <v/>
      </c>
      <c r="BR812" t="str">
        <f>""</f>
        <v/>
      </c>
      <c r="BS812" t="str">
        <f>""</f>
        <v/>
      </c>
      <c r="BT812" t="str">
        <f>""</f>
        <v/>
      </c>
      <c r="BU812" t="str">
        <f>""</f>
        <v/>
      </c>
      <c r="BV812" t="str">
        <f>""</f>
        <v/>
      </c>
      <c r="BW812" t="str">
        <f>""</f>
        <v/>
      </c>
      <c r="BX812" t="str">
        <f>""</f>
        <v/>
      </c>
      <c r="BY812" t="str">
        <f>""</f>
        <v/>
      </c>
      <c r="BZ812" t="str">
        <f>""</f>
        <v/>
      </c>
      <c r="CA812" t="str">
        <f>""</f>
        <v/>
      </c>
      <c r="CB812" t="str">
        <f>""</f>
        <v/>
      </c>
      <c r="CC812" t="str">
        <f>""</f>
        <v/>
      </c>
      <c r="CD812" t="str">
        <f>""</f>
        <v/>
      </c>
      <c r="CE812" t="str">
        <f>""</f>
        <v/>
      </c>
      <c r="CF812" t="str">
        <f>""</f>
        <v/>
      </c>
      <c r="CG812" t="str">
        <f>""</f>
        <v/>
      </c>
      <c r="CH812" t="str">
        <f>""</f>
        <v/>
      </c>
      <c r="CI812" t="str">
        <f>""</f>
        <v/>
      </c>
      <c r="CJ812" t="str">
        <f>""</f>
        <v/>
      </c>
      <c r="CK812" t="str">
        <f>""</f>
        <v/>
      </c>
      <c r="CL812" t="str">
        <f>""</f>
        <v/>
      </c>
      <c r="CM812" t="str">
        <f>""</f>
        <v/>
      </c>
      <c r="CN812" t="str">
        <f>""</f>
        <v/>
      </c>
      <c r="CO812" t="str">
        <f>""</f>
        <v/>
      </c>
      <c r="CP812" t="str">
        <f>""</f>
        <v/>
      </c>
      <c r="CQ812" t="str">
        <f>""</f>
        <v/>
      </c>
      <c r="CR812" t="str">
        <f>""</f>
        <v/>
      </c>
      <c r="CS812" t="str">
        <f>""</f>
        <v/>
      </c>
      <c r="CT812" t="str">
        <f>""</f>
        <v/>
      </c>
      <c r="CU812" t="str">
        <f>""</f>
        <v/>
      </c>
      <c r="CV812" t="str">
        <f>""</f>
        <v/>
      </c>
      <c r="CW812" t="str">
        <f>""</f>
        <v/>
      </c>
      <c r="CX812" t="str">
        <f>""</f>
        <v/>
      </c>
      <c r="CY812" t="str">
        <f>""</f>
        <v/>
      </c>
      <c r="CZ812" t="str">
        <f>""</f>
        <v/>
      </c>
      <c r="DA812" t="str">
        <f>""</f>
        <v/>
      </c>
      <c r="DB812" t="str">
        <f>""</f>
        <v/>
      </c>
      <c r="DC812" t="str">
        <f>""</f>
        <v/>
      </c>
      <c r="DD812" t="str">
        <f>""</f>
        <v/>
      </c>
      <c r="DE812" t="str">
        <f>""</f>
        <v/>
      </c>
      <c r="DF812" t="str">
        <f>""</f>
        <v/>
      </c>
      <c r="DG812" t="str">
        <f>""</f>
        <v/>
      </c>
      <c r="DH812" t="str">
        <f>""</f>
        <v/>
      </c>
      <c r="DI812" t="str">
        <f>""</f>
        <v/>
      </c>
      <c r="DJ812" t="str">
        <f>""</f>
        <v/>
      </c>
      <c r="DK812" t="str">
        <f>""</f>
        <v/>
      </c>
      <c r="DL812" t="str">
        <f>""</f>
        <v/>
      </c>
      <c r="DM812" t="str">
        <f>""</f>
        <v/>
      </c>
      <c r="DN812" t="str">
        <f>""</f>
        <v/>
      </c>
      <c r="DO812" t="str">
        <f>""</f>
        <v/>
      </c>
      <c r="DP812" t="str">
        <f>""</f>
        <v/>
      </c>
      <c r="DQ812" t="str">
        <f>""</f>
        <v/>
      </c>
      <c r="DR812" t="str">
        <f>""</f>
        <v/>
      </c>
      <c r="DS812" t="str">
        <f>""</f>
        <v/>
      </c>
      <c r="DT812" t="str">
        <f>""</f>
        <v/>
      </c>
      <c r="DU812" t="str">
        <f>""</f>
        <v/>
      </c>
    </row>
    <row r="813" spans="1:125">
      <c r="A813" t="str">
        <f>$A$391</f>
        <v xml:space="preserve">    DDR Corp</v>
      </c>
      <c r="B813" t="str">
        <f>$B$391</f>
        <v>DDR US Equity</v>
      </c>
      <c r="C813" t="str">
        <f>$C$391</f>
        <v>RR106</v>
      </c>
      <c r="D813" t="str">
        <f>$D$391</f>
        <v>FFO_PAYOUT_RATIO</v>
      </c>
      <c r="E813" t="str">
        <f>$E$391</f>
        <v>动态</v>
      </c>
      <c r="F813" t="str">
        <f ca="1">BDH($B$391,$C$391,$B$417,$B$418,CONCATENATE("Per=",$B$415),"Dts=H","Dir=H",CONCATENATE("Points=",$B$416),"Sort=R","Days=A","Fill=B",CONCATENATE("FX=", $B$414) )</f>
        <v>#N/A Authorization</v>
      </c>
      <c r="BN813" t="str">
        <f>""</f>
        <v/>
      </c>
      <c r="BO813" t="str">
        <f>""</f>
        <v/>
      </c>
      <c r="BP813" t="str">
        <f>""</f>
        <v/>
      </c>
      <c r="BQ813" t="str">
        <f>""</f>
        <v/>
      </c>
      <c r="BR813" t="str">
        <f>""</f>
        <v/>
      </c>
      <c r="BS813" t="str">
        <f>""</f>
        <v/>
      </c>
      <c r="BT813" t="str">
        <f>""</f>
        <v/>
      </c>
      <c r="BU813" t="str">
        <f>""</f>
        <v/>
      </c>
      <c r="BV813" t="str">
        <f>""</f>
        <v/>
      </c>
      <c r="BW813" t="str">
        <f>""</f>
        <v/>
      </c>
      <c r="BX813" t="str">
        <f>""</f>
        <v/>
      </c>
      <c r="BY813" t="str">
        <f>""</f>
        <v/>
      </c>
      <c r="BZ813" t="str">
        <f>""</f>
        <v/>
      </c>
      <c r="CA813" t="str">
        <f>""</f>
        <v/>
      </c>
      <c r="CB813" t="str">
        <f>""</f>
        <v/>
      </c>
      <c r="CC813" t="str">
        <f>""</f>
        <v/>
      </c>
      <c r="CD813" t="str">
        <f>""</f>
        <v/>
      </c>
      <c r="CE813" t="str">
        <f>""</f>
        <v/>
      </c>
      <c r="CF813" t="str">
        <f>""</f>
        <v/>
      </c>
      <c r="CG813" t="str">
        <f>""</f>
        <v/>
      </c>
      <c r="CH813" t="str">
        <f>""</f>
        <v/>
      </c>
      <c r="CI813" t="str">
        <f>""</f>
        <v/>
      </c>
      <c r="CJ813" t="str">
        <f>""</f>
        <v/>
      </c>
      <c r="CK813" t="str">
        <f>""</f>
        <v/>
      </c>
      <c r="CL813" t="str">
        <f>""</f>
        <v/>
      </c>
      <c r="CM813" t="str">
        <f>""</f>
        <v/>
      </c>
      <c r="CN813" t="str">
        <f>""</f>
        <v/>
      </c>
      <c r="CO813" t="str">
        <f>""</f>
        <v/>
      </c>
      <c r="CP813" t="str">
        <f>""</f>
        <v/>
      </c>
      <c r="CQ813" t="str">
        <f>""</f>
        <v/>
      </c>
      <c r="CR813" t="str">
        <f>""</f>
        <v/>
      </c>
      <c r="CS813" t="str">
        <f>""</f>
        <v/>
      </c>
      <c r="CT813" t="str">
        <f>""</f>
        <v/>
      </c>
      <c r="CU813" t="str">
        <f>""</f>
        <v/>
      </c>
      <c r="CV813" t="str">
        <f>""</f>
        <v/>
      </c>
      <c r="CW813" t="str">
        <f>""</f>
        <v/>
      </c>
      <c r="CX813" t="str">
        <f>""</f>
        <v/>
      </c>
      <c r="CY813" t="str">
        <f>""</f>
        <v/>
      </c>
      <c r="CZ813" t="str">
        <f>""</f>
        <v/>
      </c>
      <c r="DA813" t="str">
        <f>""</f>
        <v/>
      </c>
      <c r="DB813" t="str">
        <f>""</f>
        <v/>
      </c>
      <c r="DC813" t="str">
        <f>""</f>
        <v/>
      </c>
      <c r="DD813" t="str">
        <f>""</f>
        <v/>
      </c>
      <c r="DE813" t="str">
        <f>""</f>
        <v/>
      </c>
      <c r="DF813" t="str">
        <f>""</f>
        <v/>
      </c>
      <c r="DG813" t="str">
        <f>""</f>
        <v/>
      </c>
      <c r="DH813" t="str">
        <f>""</f>
        <v/>
      </c>
      <c r="DI813" t="str">
        <f>""</f>
        <v/>
      </c>
      <c r="DJ813" t="str">
        <f>""</f>
        <v/>
      </c>
      <c r="DK813" t="str">
        <f>""</f>
        <v/>
      </c>
      <c r="DL813" t="str">
        <f>""</f>
        <v/>
      </c>
      <c r="DM813" t="str">
        <f>""</f>
        <v/>
      </c>
      <c r="DN813" t="str">
        <f>""</f>
        <v/>
      </c>
      <c r="DO813" t="str">
        <f>""</f>
        <v/>
      </c>
      <c r="DP813" t="str">
        <f>""</f>
        <v/>
      </c>
      <c r="DQ813" t="str">
        <f>""</f>
        <v/>
      </c>
      <c r="DR813" t="str">
        <f>""</f>
        <v/>
      </c>
      <c r="DS813" t="str">
        <f>""</f>
        <v/>
      </c>
      <c r="DT813" t="str">
        <f>""</f>
        <v/>
      </c>
      <c r="DU813" t="str">
        <f>""</f>
        <v/>
      </c>
    </row>
    <row r="814" spans="1:125">
      <c r="A814" t="str">
        <f>$A$392</f>
        <v xml:space="preserve">    Federal Realty Investment Trus</v>
      </c>
      <c r="B814" t="str">
        <f>$B$392</f>
        <v>FRT US Equity</v>
      </c>
      <c r="C814" t="str">
        <f>$C$392</f>
        <v>RR106</v>
      </c>
      <c r="D814" t="str">
        <f>$D$392</f>
        <v>FFO_PAYOUT_RATIO</v>
      </c>
      <c r="E814" t="str">
        <f>$E$392</f>
        <v>动态</v>
      </c>
      <c r="F814" t="str">
        <f ca="1">BDH($B$392,$C$392,$B$417,$B$418,CONCATENATE("Per=",$B$415),"Dts=H","Dir=H",CONCATENATE("Points=",$B$416),"Sort=R","Days=A","Fill=B",CONCATENATE("FX=", $B$414) )</f>
        <v>#N/A Authorization</v>
      </c>
      <c r="BN814" t="str">
        <f>""</f>
        <v/>
      </c>
      <c r="BO814" t="str">
        <f>""</f>
        <v/>
      </c>
      <c r="BP814" t="str">
        <f>""</f>
        <v/>
      </c>
      <c r="BQ814" t="str">
        <f>""</f>
        <v/>
      </c>
      <c r="BR814" t="str">
        <f>""</f>
        <v/>
      </c>
      <c r="BS814" t="str">
        <f>""</f>
        <v/>
      </c>
      <c r="BT814" t="str">
        <f>""</f>
        <v/>
      </c>
      <c r="BU814" t="str">
        <f>""</f>
        <v/>
      </c>
      <c r="BV814" t="str">
        <f>""</f>
        <v/>
      </c>
      <c r="BW814" t="str">
        <f>""</f>
        <v/>
      </c>
      <c r="BX814" t="str">
        <f>""</f>
        <v/>
      </c>
      <c r="BY814" t="str">
        <f>""</f>
        <v/>
      </c>
      <c r="BZ814" t="str">
        <f>""</f>
        <v/>
      </c>
      <c r="CA814" t="str">
        <f>""</f>
        <v/>
      </c>
      <c r="CB814" t="str">
        <f>""</f>
        <v/>
      </c>
      <c r="CC814" t="str">
        <f>""</f>
        <v/>
      </c>
      <c r="CD814" t="str">
        <f>""</f>
        <v/>
      </c>
      <c r="CE814" t="str">
        <f>""</f>
        <v/>
      </c>
      <c r="CF814" t="str">
        <f>""</f>
        <v/>
      </c>
      <c r="CG814" t="str">
        <f>""</f>
        <v/>
      </c>
      <c r="CH814" t="str">
        <f>""</f>
        <v/>
      </c>
      <c r="CI814" t="str">
        <f>""</f>
        <v/>
      </c>
      <c r="CJ814" t="str">
        <f>""</f>
        <v/>
      </c>
      <c r="CK814" t="str">
        <f>""</f>
        <v/>
      </c>
      <c r="CL814" t="str">
        <f>""</f>
        <v/>
      </c>
      <c r="CM814" t="str">
        <f>""</f>
        <v/>
      </c>
      <c r="CN814" t="str">
        <f>""</f>
        <v/>
      </c>
      <c r="CO814" t="str">
        <f>""</f>
        <v/>
      </c>
      <c r="CP814" t="str">
        <f>""</f>
        <v/>
      </c>
      <c r="CQ814" t="str">
        <f>""</f>
        <v/>
      </c>
      <c r="CR814" t="str">
        <f>""</f>
        <v/>
      </c>
      <c r="CS814" t="str">
        <f>""</f>
        <v/>
      </c>
      <c r="CT814" t="str">
        <f>""</f>
        <v/>
      </c>
      <c r="CU814" t="str">
        <f>""</f>
        <v/>
      </c>
      <c r="CV814" t="str">
        <f>""</f>
        <v/>
      </c>
      <c r="CW814" t="str">
        <f>""</f>
        <v/>
      </c>
      <c r="CX814" t="str">
        <f>""</f>
        <v/>
      </c>
      <c r="CY814" t="str">
        <f>""</f>
        <v/>
      </c>
      <c r="CZ814" t="str">
        <f>""</f>
        <v/>
      </c>
      <c r="DA814" t="str">
        <f>""</f>
        <v/>
      </c>
      <c r="DB814" t="str">
        <f>""</f>
        <v/>
      </c>
      <c r="DC814" t="str">
        <f>""</f>
        <v/>
      </c>
      <c r="DD814" t="str">
        <f>""</f>
        <v/>
      </c>
      <c r="DE814" t="str">
        <f>""</f>
        <v/>
      </c>
      <c r="DF814" t="str">
        <f>""</f>
        <v/>
      </c>
      <c r="DG814" t="str">
        <f>""</f>
        <v/>
      </c>
      <c r="DH814" t="str">
        <f>""</f>
        <v/>
      </c>
      <c r="DI814" t="str">
        <f>""</f>
        <v/>
      </c>
      <c r="DJ814" t="str">
        <f>""</f>
        <v/>
      </c>
      <c r="DK814" t="str">
        <f>""</f>
        <v/>
      </c>
      <c r="DL814" t="str">
        <f>""</f>
        <v/>
      </c>
      <c r="DM814" t="str">
        <f>""</f>
        <v/>
      </c>
      <c r="DN814" t="str">
        <f>""</f>
        <v/>
      </c>
      <c r="DO814" t="str">
        <f>""</f>
        <v/>
      </c>
      <c r="DP814" t="str">
        <f>""</f>
        <v/>
      </c>
      <c r="DQ814" t="str">
        <f>""</f>
        <v/>
      </c>
      <c r="DR814" t="str">
        <f>""</f>
        <v/>
      </c>
      <c r="DS814" t="str">
        <f>""</f>
        <v/>
      </c>
      <c r="DT814" t="str">
        <f>""</f>
        <v/>
      </c>
      <c r="DU814" t="str">
        <f>""</f>
        <v/>
      </c>
    </row>
    <row r="815" spans="1:125">
      <c r="A815" t="str">
        <f>$A$393</f>
        <v xml:space="preserve">    Kimco Realty Corp</v>
      </c>
      <c r="B815" t="str">
        <f>$B$393</f>
        <v>KIM US Equity</v>
      </c>
      <c r="C815" t="str">
        <f>$C$393</f>
        <v>RR106</v>
      </c>
      <c r="D815" t="str">
        <f>$D$393</f>
        <v>FFO_PAYOUT_RATIO</v>
      </c>
      <c r="E815" t="str">
        <f>$E$393</f>
        <v>动态</v>
      </c>
      <c r="F815" t="str">
        <f ca="1">BDH($B$393,$C$393,$B$417,$B$418,CONCATENATE("Per=",$B$415),"Dts=H","Dir=H",CONCATENATE("Points=",$B$416),"Sort=R","Days=A","Fill=B",CONCATENATE("FX=", $B$414) )</f>
        <v>#N/A Authorization</v>
      </c>
      <c r="BN815" t="str">
        <f>""</f>
        <v/>
      </c>
      <c r="BO815" t="str">
        <f>""</f>
        <v/>
      </c>
      <c r="BP815" t="str">
        <f>""</f>
        <v/>
      </c>
      <c r="BQ815" t="str">
        <f>""</f>
        <v/>
      </c>
      <c r="BR815" t="str">
        <f>""</f>
        <v/>
      </c>
      <c r="BS815" t="str">
        <f>""</f>
        <v/>
      </c>
      <c r="BT815" t="str">
        <f>""</f>
        <v/>
      </c>
      <c r="BU815" t="str">
        <f>""</f>
        <v/>
      </c>
      <c r="BV815" t="str">
        <f>""</f>
        <v/>
      </c>
      <c r="BW815" t="str">
        <f>""</f>
        <v/>
      </c>
      <c r="BX815" t="str">
        <f>""</f>
        <v/>
      </c>
      <c r="BY815" t="str">
        <f>""</f>
        <v/>
      </c>
      <c r="BZ815" t="str">
        <f>""</f>
        <v/>
      </c>
      <c r="CA815" t="str">
        <f>""</f>
        <v/>
      </c>
      <c r="CB815" t="str">
        <f>""</f>
        <v/>
      </c>
      <c r="CC815" t="str">
        <f>""</f>
        <v/>
      </c>
      <c r="CD815" t="str">
        <f>""</f>
        <v/>
      </c>
      <c r="CE815" t="str">
        <f>""</f>
        <v/>
      </c>
      <c r="CF815" t="str">
        <f>""</f>
        <v/>
      </c>
      <c r="CG815" t="str">
        <f>""</f>
        <v/>
      </c>
      <c r="CH815" t="str">
        <f>""</f>
        <v/>
      </c>
      <c r="CI815" t="str">
        <f>""</f>
        <v/>
      </c>
      <c r="CJ815" t="str">
        <f>""</f>
        <v/>
      </c>
      <c r="CK815" t="str">
        <f>""</f>
        <v/>
      </c>
      <c r="CL815" t="str">
        <f>""</f>
        <v/>
      </c>
      <c r="CM815" t="str">
        <f>""</f>
        <v/>
      </c>
      <c r="CN815" t="str">
        <f>""</f>
        <v/>
      </c>
      <c r="CO815" t="str">
        <f>""</f>
        <v/>
      </c>
      <c r="CP815" t="str">
        <f>""</f>
        <v/>
      </c>
      <c r="CQ815" t="str">
        <f>""</f>
        <v/>
      </c>
      <c r="CR815" t="str">
        <f>""</f>
        <v/>
      </c>
      <c r="CS815" t="str">
        <f>""</f>
        <v/>
      </c>
      <c r="CT815" t="str">
        <f>""</f>
        <v/>
      </c>
      <c r="CU815" t="str">
        <f>""</f>
        <v/>
      </c>
      <c r="CV815" t="str">
        <f>""</f>
        <v/>
      </c>
      <c r="CW815" t="str">
        <f>""</f>
        <v/>
      </c>
      <c r="CX815" t="str">
        <f>""</f>
        <v/>
      </c>
      <c r="CY815" t="str">
        <f>""</f>
        <v/>
      </c>
      <c r="CZ815" t="str">
        <f>""</f>
        <v/>
      </c>
      <c r="DA815" t="str">
        <f>""</f>
        <v/>
      </c>
      <c r="DB815" t="str">
        <f>""</f>
        <v/>
      </c>
      <c r="DC815" t="str">
        <f>""</f>
        <v/>
      </c>
      <c r="DD815" t="str">
        <f>""</f>
        <v/>
      </c>
      <c r="DE815" t="str">
        <f>""</f>
        <v/>
      </c>
      <c r="DF815" t="str">
        <f>""</f>
        <v/>
      </c>
      <c r="DG815" t="str">
        <f>""</f>
        <v/>
      </c>
      <c r="DH815" t="str">
        <f>""</f>
        <v/>
      </c>
      <c r="DI815" t="str">
        <f>""</f>
        <v/>
      </c>
      <c r="DJ815" t="str">
        <f>""</f>
        <v/>
      </c>
      <c r="DK815" t="str">
        <f>""</f>
        <v/>
      </c>
      <c r="DL815" t="str">
        <f>""</f>
        <v/>
      </c>
      <c r="DM815" t="str">
        <f>""</f>
        <v/>
      </c>
      <c r="DN815" t="str">
        <f>""</f>
        <v/>
      </c>
      <c r="DO815" t="str">
        <f>""</f>
        <v/>
      </c>
      <c r="DP815" t="str">
        <f>""</f>
        <v/>
      </c>
      <c r="DQ815" t="str">
        <f>""</f>
        <v/>
      </c>
      <c r="DR815" t="str">
        <f>""</f>
        <v/>
      </c>
      <c r="DS815" t="str">
        <f>""</f>
        <v/>
      </c>
      <c r="DT815" t="str">
        <f>""</f>
        <v/>
      </c>
      <c r="DU815" t="str">
        <f>""</f>
        <v/>
      </c>
    </row>
    <row r="816" spans="1:125">
      <c r="A816" t="str">
        <f>$A$394</f>
        <v xml:space="preserve">    National Retail Properties Inc</v>
      </c>
      <c r="B816" t="str">
        <f>$B$394</f>
        <v>NNN US Equity</v>
      </c>
      <c r="C816" t="str">
        <f>$C$394</f>
        <v>RR106</v>
      </c>
      <c r="D816" t="str">
        <f>$D$394</f>
        <v>FFO_PAYOUT_RATIO</v>
      </c>
      <c r="E816" t="str">
        <f>$E$394</f>
        <v>动态</v>
      </c>
      <c r="F816" t="str">
        <f ca="1">BDH($B$394,$C$394,$B$417,$B$418,CONCATENATE("Per=",$B$415),"Dts=H","Dir=H",CONCATENATE("Points=",$B$416),"Sort=R","Days=A","Fill=B",CONCATENATE("FX=", $B$414) )</f>
        <v>#N/A Authorization</v>
      </c>
      <c r="BN816" t="str">
        <f>""</f>
        <v/>
      </c>
      <c r="BO816" t="str">
        <f>""</f>
        <v/>
      </c>
      <c r="BP816" t="str">
        <f>""</f>
        <v/>
      </c>
      <c r="BQ816" t="str">
        <f>""</f>
        <v/>
      </c>
      <c r="BR816" t="str">
        <f>""</f>
        <v/>
      </c>
      <c r="BS816" t="str">
        <f>""</f>
        <v/>
      </c>
      <c r="BT816" t="str">
        <f>""</f>
        <v/>
      </c>
      <c r="BU816" t="str">
        <f>""</f>
        <v/>
      </c>
      <c r="BV816" t="str">
        <f>""</f>
        <v/>
      </c>
      <c r="BW816" t="str">
        <f>""</f>
        <v/>
      </c>
      <c r="BX816" t="str">
        <f>""</f>
        <v/>
      </c>
      <c r="BY816" t="str">
        <f>""</f>
        <v/>
      </c>
      <c r="BZ816" t="str">
        <f>""</f>
        <v/>
      </c>
      <c r="CA816" t="str">
        <f>""</f>
        <v/>
      </c>
      <c r="CB816" t="str">
        <f>""</f>
        <v/>
      </c>
      <c r="CC816" t="str">
        <f>""</f>
        <v/>
      </c>
      <c r="CD816" t="str">
        <f>""</f>
        <v/>
      </c>
      <c r="CE816" t="str">
        <f>""</f>
        <v/>
      </c>
      <c r="CF816" t="str">
        <f>""</f>
        <v/>
      </c>
      <c r="CG816" t="str">
        <f>""</f>
        <v/>
      </c>
      <c r="CH816" t="str">
        <f>""</f>
        <v/>
      </c>
      <c r="CI816" t="str">
        <f>""</f>
        <v/>
      </c>
      <c r="CJ816" t="str">
        <f>""</f>
        <v/>
      </c>
      <c r="CK816" t="str">
        <f>""</f>
        <v/>
      </c>
      <c r="CL816" t="str">
        <f>""</f>
        <v/>
      </c>
      <c r="CM816" t="str">
        <f>""</f>
        <v/>
      </c>
      <c r="CN816" t="str">
        <f>""</f>
        <v/>
      </c>
      <c r="CO816" t="str">
        <f>""</f>
        <v/>
      </c>
      <c r="CP816" t="str">
        <f>""</f>
        <v/>
      </c>
      <c r="CQ816" t="str">
        <f>""</f>
        <v/>
      </c>
      <c r="CR816" t="str">
        <f>""</f>
        <v/>
      </c>
      <c r="CS816" t="str">
        <f>""</f>
        <v/>
      </c>
      <c r="CT816" t="str">
        <f>""</f>
        <v/>
      </c>
      <c r="CU816" t="str">
        <f>""</f>
        <v/>
      </c>
      <c r="CV816" t="str">
        <f>""</f>
        <v/>
      </c>
      <c r="CW816" t="str">
        <f>""</f>
        <v/>
      </c>
      <c r="CX816" t="str">
        <f>""</f>
        <v/>
      </c>
      <c r="CY816" t="str">
        <f>""</f>
        <v/>
      </c>
      <c r="CZ816" t="str">
        <f>""</f>
        <v/>
      </c>
      <c r="DA816" t="str">
        <f>""</f>
        <v/>
      </c>
      <c r="DB816" t="str">
        <f>""</f>
        <v/>
      </c>
      <c r="DC816" t="str">
        <f>""</f>
        <v/>
      </c>
      <c r="DD816" t="str">
        <f>""</f>
        <v/>
      </c>
      <c r="DE816" t="str">
        <f>""</f>
        <v/>
      </c>
      <c r="DF816" t="str">
        <f>""</f>
        <v/>
      </c>
      <c r="DG816" t="str">
        <f>""</f>
        <v/>
      </c>
      <c r="DH816" t="str">
        <f>""</f>
        <v/>
      </c>
      <c r="DI816" t="str">
        <f>""</f>
        <v/>
      </c>
      <c r="DJ816" t="str">
        <f>""</f>
        <v/>
      </c>
      <c r="DK816" t="str">
        <f>""</f>
        <v/>
      </c>
      <c r="DL816" t="str">
        <f>""</f>
        <v/>
      </c>
      <c r="DM816" t="str">
        <f>""</f>
        <v/>
      </c>
      <c r="DN816" t="str">
        <f>""</f>
        <v/>
      </c>
      <c r="DO816" t="str">
        <f>""</f>
        <v/>
      </c>
      <c r="DP816" t="str">
        <f>""</f>
        <v/>
      </c>
      <c r="DQ816" t="str">
        <f>""</f>
        <v/>
      </c>
      <c r="DR816" t="str">
        <f>""</f>
        <v/>
      </c>
      <c r="DS816" t="str">
        <f>""</f>
        <v/>
      </c>
      <c r="DT816" t="str">
        <f>""</f>
        <v/>
      </c>
      <c r="DU816" t="str">
        <f>""</f>
        <v/>
      </c>
    </row>
    <row r="817" spans="1:125">
      <c r="A817" t="str">
        <f>$A$395</f>
        <v xml:space="preserve">    Realty Income Corp</v>
      </c>
      <c r="B817" t="str">
        <f>$B$395</f>
        <v>O US Equity</v>
      </c>
      <c r="C817" t="str">
        <f>$C$395</f>
        <v>RR106</v>
      </c>
      <c r="D817" t="str">
        <f>$D$395</f>
        <v>FFO_PAYOUT_RATIO</v>
      </c>
      <c r="E817" t="str">
        <f>$E$395</f>
        <v>动态</v>
      </c>
      <c r="F817" t="str">
        <f ca="1">BDH($B$395,$C$395,$B$417,$B$418,CONCATENATE("Per=",$B$415),"Dts=H","Dir=H",CONCATENATE("Points=",$B$416),"Sort=R","Days=A","Fill=B",CONCATENATE("FX=", $B$414) )</f>
        <v>#N/A Authorization</v>
      </c>
      <c r="BN817" t="str">
        <f>""</f>
        <v/>
      </c>
      <c r="BO817" t="str">
        <f>""</f>
        <v/>
      </c>
      <c r="BP817" t="str">
        <f>""</f>
        <v/>
      </c>
      <c r="BQ817" t="str">
        <f>""</f>
        <v/>
      </c>
      <c r="BR817" t="str">
        <f>""</f>
        <v/>
      </c>
      <c r="BS817" t="str">
        <f>""</f>
        <v/>
      </c>
      <c r="BT817" t="str">
        <f>""</f>
        <v/>
      </c>
      <c r="BU817" t="str">
        <f>""</f>
        <v/>
      </c>
      <c r="BV817" t="str">
        <f>""</f>
        <v/>
      </c>
      <c r="BW817" t="str">
        <f>""</f>
        <v/>
      </c>
      <c r="BX817" t="str">
        <f>""</f>
        <v/>
      </c>
      <c r="BY817" t="str">
        <f>""</f>
        <v/>
      </c>
      <c r="BZ817" t="str">
        <f>""</f>
        <v/>
      </c>
      <c r="CA817" t="str">
        <f>""</f>
        <v/>
      </c>
      <c r="CB817" t="str">
        <f>""</f>
        <v/>
      </c>
      <c r="CC817" t="str">
        <f>""</f>
        <v/>
      </c>
      <c r="CD817" t="str">
        <f>""</f>
        <v/>
      </c>
      <c r="CE817" t="str">
        <f>""</f>
        <v/>
      </c>
      <c r="CF817" t="str">
        <f>""</f>
        <v/>
      </c>
      <c r="CG817" t="str">
        <f>""</f>
        <v/>
      </c>
      <c r="CH817" t="str">
        <f>""</f>
        <v/>
      </c>
      <c r="CI817" t="str">
        <f>""</f>
        <v/>
      </c>
      <c r="CJ817" t="str">
        <f>""</f>
        <v/>
      </c>
      <c r="CK817" t="str">
        <f>""</f>
        <v/>
      </c>
      <c r="CL817" t="str">
        <f>""</f>
        <v/>
      </c>
      <c r="CM817" t="str">
        <f>""</f>
        <v/>
      </c>
      <c r="CN817" t="str">
        <f>""</f>
        <v/>
      </c>
      <c r="CO817" t="str">
        <f>""</f>
        <v/>
      </c>
      <c r="CP817" t="str">
        <f>""</f>
        <v/>
      </c>
      <c r="CQ817" t="str">
        <f>""</f>
        <v/>
      </c>
      <c r="CR817" t="str">
        <f>""</f>
        <v/>
      </c>
      <c r="CS817" t="str">
        <f>""</f>
        <v/>
      </c>
      <c r="CT817" t="str">
        <f>""</f>
        <v/>
      </c>
      <c r="CU817" t="str">
        <f>""</f>
        <v/>
      </c>
      <c r="CV817" t="str">
        <f>""</f>
        <v/>
      </c>
      <c r="CW817" t="str">
        <f>""</f>
        <v/>
      </c>
      <c r="CX817" t="str">
        <f>""</f>
        <v/>
      </c>
      <c r="CY817" t="str">
        <f>""</f>
        <v/>
      </c>
      <c r="CZ817" t="str">
        <f>""</f>
        <v/>
      </c>
      <c r="DA817" t="str">
        <f>""</f>
        <v/>
      </c>
      <c r="DB817" t="str">
        <f>""</f>
        <v/>
      </c>
      <c r="DC817" t="str">
        <f>""</f>
        <v/>
      </c>
      <c r="DD817" t="str">
        <f>""</f>
        <v/>
      </c>
      <c r="DE817" t="str">
        <f>""</f>
        <v/>
      </c>
      <c r="DF817" t="str">
        <f>""</f>
        <v/>
      </c>
      <c r="DG817" t="str">
        <f>""</f>
        <v/>
      </c>
      <c r="DH817" t="str">
        <f>""</f>
        <v/>
      </c>
      <c r="DI817" t="str">
        <f>""</f>
        <v/>
      </c>
      <c r="DJ817" t="str">
        <f>""</f>
        <v/>
      </c>
      <c r="DK817" t="str">
        <f>""</f>
        <v/>
      </c>
      <c r="DL817" t="str">
        <f>""</f>
        <v/>
      </c>
      <c r="DM817" t="str">
        <f>""</f>
        <v/>
      </c>
      <c r="DN817" t="str">
        <f>""</f>
        <v/>
      </c>
      <c r="DO817" t="str">
        <f>""</f>
        <v/>
      </c>
      <c r="DP817" t="str">
        <f>""</f>
        <v/>
      </c>
      <c r="DQ817" t="str">
        <f>""</f>
        <v/>
      </c>
      <c r="DR817" t="str">
        <f>""</f>
        <v/>
      </c>
      <c r="DS817" t="str">
        <f>""</f>
        <v/>
      </c>
      <c r="DT817" t="str">
        <f>""</f>
        <v/>
      </c>
      <c r="DU817" t="str">
        <f>""</f>
        <v/>
      </c>
    </row>
    <row r="818" spans="1:125">
      <c r="A818" t="str">
        <f>$A$396</f>
        <v xml:space="preserve">    Regency Centers Corp</v>
      </c>
      <c r="B818" t="str">
        <f>$B$396</f>
        <v>REG US Equity</v>
      </c>
      <c r="C818" t="str">
        <f>$C$396</f>
        <v>RR106</v>
      </c>
      <c r="D818" t="str">
        <f>$D$396</f>
        <v>FFO_PAYOUT_RATIO</v>
      </c>
      <c r="E818" t="str">
        <f>$E$396</f>
        <v>动态</v>
      </c>
      <c r="F818" t="str">
        <f ca="1">BDH($B$396,$C$396,$B$417,$B$418,CONCATENATE("Per=",$B$415),"Dts=H","Dir=H",CONCATENATE("Points=",$B$416),"Sort=R","Days=A","Fill=B",CONCATENATE("FX=", $B$414) )</f>
        <v>#N/A Authorization</v>
      </c>
      <c r="BN818" t="str">
        <f>""</f>
        <v/>
      </c>
      <c r="BO818" t="str">
        <f>""</f>
        <v/>
      </c>
      <c r="BP818" t="str">
        <f>""</f>
        <v/>
      </c>
      <c r="BQ818" t="str">
        <f>""</f>
        <v/>
      </c>
      <c r="BR818" t="str">
        <f>""</f>
        <v/>
      </c>
      <c r="BS818" t="str">
        <f>""</f>
        <v/>
      </c>
      <c r="BT818" t="str">
        <f>""</f>
        <v/>
      </c>
      <c r="BU818" t="str">
        <f>""</f>
        <v/>
      </c>
      <c r="BV818" t="str">
        <f>""</f>
        <v/>
      </c>
      <c r="BW818" t="str">
        <f>""</f>
        <v/>
      </c>
      <c r="BX818" t="str">
        <f>""</f>
        <v/>
      </c>
      <c r="BY818" t="str">
        <f>""</f>
        <v/>
      </c>
      <c r="BZ818" t="str">
        <f>""</f>
        <v/>
      </c>
      <c r="CA818" t="str">
        <f>""</f>
        <v/>
      </c>
      <c r="CB818" t="str">
        <f>""</f>
        <v/>
      </c>
      <c r="CC818" t="str">
        <f>""</f>
        <v/>
      </c>
      <c r="CD818" t="str">
        <f>""</f>
        <v/>
      </c>
      <c r="CE818" t="str">
        <f>""</f>
        <v/>
      </c>
      <c r="CF818" t="str">
        <f>""</f>
        <v/>
      </c>
      <c r="CG818" t="str">
        <f>""</f>
        <v/>
      </c>
      <c r="CH818" t="str">
        <f>""</f>
        <v/>
      </c>
      <c r="CI818" t="str">
        <f>""</f>
        <v/>
      </c>
      <c r="CJ818" t="str">
        <f>""</f>
        <v/>
      </c>
      <c r="CK818" t="str">
        <f>""</f>
        <v/>
      </c>
      <c r="CL818" t="str">
        <f>""</f>
        <v/>
      </c>
      <c r="CM818" t="str">
        <f>""</f>
        <v/>
      </c>
      <c r="CN818" t="str">
        <f>""</f>
        <v/>
      </c>
      <c r="CO818" t="str">
        <f>""</f>
        <v/>
      </c>
      <c r="CP818" t="str">
        <f>""</f>
        <v/>
      </c>
      <c r="CQ818" t="str">
        <f>""</f>
        <v/>
      </c>
      <c r="CR818" t="str">
        <f>""</f>
        <v/>
      </c>
      <c r="CS818" t="str">
        <f>""</f>
        <v/>
      </c>
      <c r="CT818" t="str">
        <f>""</f>
        <v/>
      </c>
      <c r="CU818" t="str">
        <f>""</f>
        <v/>
      </c>
      <c r="CV818" t="str">
        <f>""</f>
        <v/>
      </c>
      <c r="CW818" t="str">
        <f>""</f>
        <v/>
      </c>
      <c r="CX818" t="str">
        <f>""</f>
        <v/>
      </c>
      <c r="CY818" t="str">
        <f>""</f>
        <v/>
      </c>
      <c r="CZ818" t="str">
        <f>""</f>
        <v/>
      </c>
      <c r="DA818" t="str">
        <f>""</f>
        <v/>
      </c>
      <c r="DB818" t="str">
        <f>""</f>
        <v/>
      </c>
      <c r="DC818" t="str">
        <f>""</f>
        <v/>
      </c>
      <c r="DD818" t="str">
        <f>""</f>
        <v/>
      </c>
      <c r="DE818" t="str">
        <f>""</f>
        <v/>
      </c>
      <c r="DF818" t="str">
        <f>""</f>
        <v/>
      </c>
      <c r="DG818" t="str">
        <f>""</f>
        <v/>
      </c>
      <c r="DH818" t="str">
        <f>""</f>
        <v/>
      </c>
      <c r="DI818" t="str">
        <f>""</f>
        <v/>
      </c>
      <c r="DJ818" t="str">
        <f>""</f>
        <v/>
      </c>
      <c r="DK818" t="str">
        <f>""</f>
        <v/>
      </c>
      <c r="DL818" t="str">
        <f>""</f>
        <v/>
      </c>
      <c r="DM818" t="str">
        <f>""</f>
        <v/>
      </c>
      <c r="DN818" t="str">
        <f>""</f>
        <v/>
      </c>
      <c r="DO818" t="str">
        <f>""</f>
        <v/>
      </c>
      <c r="DP818" t="str">
        <f>""</f>
        <v/>
      </c>
      <c r="DQ818" t="str">
        <f>""</f>
        <v/>
      </c>
      <c r="DR818" t="str">
        <f>""</f>
        <v/>
      </c>
      <c r="DS818" t="str">
        <f>""</f>
        <v/>
      </c>
      <c r="DT818" t="str">
        <f>""</f>
        <v/>
      </c>
      <c r="DU818" t="str">
        <f>""</f>
        <v/>
      </c>
    </row>
    <row r="819" spans="1:125">
      <c r="A819" t="str">
        <f>$A$397</f>
        <v xml:space="preserve">    Retail Opportunity Investments</v>
      </c>
      <c r="B819" t="str">
        <f>$B$397</f>
        <v>ROIC US Equity</v>
      </c>
      <c r="C819" t="str">
        <f>$C$397</f>
        <v>RR106</v>
      </c>
      <c r="D819" t="str">
        <f>$D$397</f>
        <v>FFO_PAYOUT_RATIO</v>
      </c>
      <c r="E819" t="str">
        <f>$E$397</f>
        <v>动态</v>
      </c>
      <c r="F819" t="str">
        <f ca="1">BDH($B$397,$C$397,$B$417,$B$418,CONCATENATE("Per=",$B$415),"Dts=H","Dir=H",CONCATENATE("Points=",$B$416),"Sort=R","Days=A","Fill=B",CONCATENATE("FX=", $B$414) )</f>
        <v>#N/A Authorization</v>
      </c>
      <c r="BN819" t="str">
        <f>""</f>
        <v/>
      </c>
      <c r="BO819" t="str">
        <f>""</f>
        <v/>
      </c>
      <c r="BP819" t="str">
        <f>""</f>
        <v/>
      </c>
      <c r="BQ819" t="str">
        <f>""</f>
        <v/>
      </c>
      <c r="BR819" t="str">
        <f>""</f>
        <v/>
      </c>
      <c r="BS819" t="str">
        <f>""</f>
        <v/>
      </c>
      <c r="BT819" t="str">
        <f>""</f>
        <v/>
      </c>
      <c r="BU819" t="str">
        <f>""</f>
        <v/>
      </c>
      <c r="BV819" t="str">
        <f>""</f>
        <v/>
      </c>
      <c r="BW819" t="str">
        <f>""</f>
        <v/>
      </c>
      <c r="BX819" t="str">
        <f>""</f>
        <v/>
      </c>
      <c r="BY819" t="str">
        <f>""</f>
        <v/>
      </c>
      <c r="BZ819" t="str">
        <f>""</f>
        <v/>
      </c>
      <c r="CA819" t="str">
        <f>""</f>
        <v/>
      </c>
      <c r="CB819" t="str">
        <f>""</f>
        <v/>
      </c>
      <c r="CC819" t="str">
        <f>""</f>
        <v/>
      </c>
      <c r="CD819" t="str">
        <f>""</f>
        <v/>
      </c>
      <c r="CE819" t="str">
        <f>""</f>
        <v/>
      </c>
      <c r="CF819" t="str">
        <f>""</f>
        <v/>
      </c>
      <c r="CG819" t="str">
        <f>""</f>
        <v/>
      </c>
      <c r="CH819" t="str">
        <f>""</f>
        <v/>
      </c>
      <c r="CI819" t="str">
        <f>""</f>
        <v/>
      </c>
      <c r="CJ819" t="str">
        <f>""</f>
        <v/>
      </c>
      <c r="CK819" t="str">
        <f>""</f>
        <v/>
      </c>
      <c r="CL819" t="str">
        <f>""</f>
        <v/>
      </c>
      <c r="CM819" t="str">
        <f>""</f>
        <v/>
      </c>
      <c r="CN819" t="str">
        <f>""</f>
        <v/>
      </c>
      <c r="CO819" t="str">
        <f>""</f>
        <v/>
      </c>
      <c r="CP819" t="str">
        <f>""</f>
        <v/>
      </c>
      <c r="CQ819" t="str">
        <f>""</f>
        <v/>
      </c>
      <c r="CR819" t="str">
        <f>""</f>
        <v/>
      </c>
      <c r="CS819" t="str">
        <f>""</f>
        <v/>
      </c>
      <c r="CT819" t="str">
        <f>""</f>
        <v/>
      </c>
      <c r="CU819" t="str">
        <f>""</f>
        <v/>
      </c>
      <c r="CV819" t="str">
        <f>""</f>
        <v/>
      </c>
      <c r="CW819" t="str">
        <f>""</f>
        <v/>
      </c>
      <c r="CX819" t="str">
        <f>""</f>
        <v/>
      </c>
      <c r="CY819" t="str">
        <f>""</f>
        <v/>
      </c>
      <c r="CZ819" t="str">
        <f>""</f>
        <v/>
      </c>
      <c r="DA819" t="str">
        <f>""</f>
        <v/>
      </c>
      <c r="DB819" t="str">
        <f>""</f>
        <v/>
      </c>
      <c r="DC819" t="str">
        <f>""</f>
        <v/>
      </c>
      <c r="DD819" t="str">
        <f>""</f>
        <v/>
      </c>
      <c r="DE819" t="str">
        <f>""</f>
        <v/>
      </c>
      <c r="DF819" t="str">
        <f>""</f>
        <v/>
      </c>
      <c r="DG819" t="str">
        <f>""</f>
        <v/>
      </c>
      <c r="DH819" t="str">
        <f>""</f>
        <v/>
      </c>
      <c r="DI819" t="str">
        <f>""</f>
        <v/>
      </c>
      <c r="DJ819" t="str">
        <f>""</f>
        <v/>
      </c>
      <c r="DK819" t="str">
        <f>""</f>
        <v/>
      </c>
      <c r="DL819" t="str">
        <f>""</f>
        <v/>
      </c>
      <c r="DM819" t="str">
        <f>""</f>
        <v/>
      </c>
      <c r="DN819" t="str">
        <f>""</f>
        <v/>
      </c>
      <c r="DO819" t="str">
        <f>""</f>
        <v/>
      </c>
      <c r="DP819" t="str">
        <f>""</f>
        <v/>
      </c>
      <c r="DQ819" t="str">
        <f>""</f>
        <v/>
      </c>
      <c r="DR819" t="str">
        <f>""</f>
        <v/>
      </c>
      <c r="DS819" t="str">
        <f>""</f>
        <v/>
      </c>
      <c r="DT819" t="str">
        <f>""</f>
        <v/>
      </c>
      <c r="DU819" t="str">
        <f>""</f>
        <v/>
      </c>
    </row>
    <row r="820" spans="1:125">
      <c r="A820" t="str">
        <f>$A$398</f>
        <v xml:space="preserve">    Retail Properties of America I</v>
      </c>
      <c r="B820" t="str">
        <f>$B$398</f>
        <v>RPAI US Equity</v>
      </c>
      <c r="C820" t="str">
        <f>$C$398</f>
        <v>RR106</v>
      </c>
      <c r="D820" t="str">
        <f>$D$398</f>
        <v>FFO_PAYOUT_RATIO</v>
      </c>
      <c r="E820" t="str">
        <f>$E$398</f>
        <v>动态</v>
      </c>
      <c r="F820" t="str">
        <f ca="1">BDH($B$398,$C$398,$B$417,$B$418,CONCATENATE("Per=",$B$415),"Dts=H","Dir=H",CONCATENATE("Points=",$B$416),"Sort=R","Days=A","Fill=B",CONCATENATE("FX=", $B$414) )</f>
        <v>#N/A Authorization</v>
      </c>
      <c r="BN820" t="str">
        <f>""</f>
        <v/>
      </c>
      <c r="BO820" t="str">
        <f>""</f>
        <v/>
      </c>
      <c r="BP820" t="str">
        <f>""</f>
        <v/>
      </c>
      <c r="BQ820" t="str">
        <f>""</f>
        <v/>
      </c>
      <c r="BR820" t="str">
        <f>""</f>
        <v/>
      </c>
      <c r="BS820" t="str">
        <f>""</f>
        <v/>
      </c>
      <c r="BT820" t="str">
        <f>""</f>
        <v/>
      </c>
      <c r="BU820" t="str">
        <f>""</f>
        <v/>
      </c>
      <c r="BV820" t="str">
        <f>""</f>
        <v/>
      </c>
      <c r="BW820" t="str">
        <f>""</f>
        <v/>
      </c>
      <c r="BX820" t="str">
        <f>""</f>
        <v/>
      </c>
      <c r="BY820" t="str">
        <f>""</f>
        <v/>
      </c>
      <c r="BZ820" t="str">
        <f>""</f>
        <v/>
      </c>
      <c r="CA820" t="str">
        <f>""</f>
        <v/>
      </c>
      <c r="CB820" t="str">
        <f>""</f>
        <v/>
      </c>
      <c r="CC820" t="str">
        <f>""</f>
        <v/>
      </c>
      <c r="CD820" t="str">
        <f>""</f>
        <v/>
      </c>
      <c r="CE820" t="str">
        <f>""</f>
        <v/>
      </c>
      <c r="CF820" t="str">
        <f>""</f>
        <v/>
      </c>
      <c r="CG820" t="str">
        <f>""</f>
        <v/>
      </c>
      <c r="CH820" t="str">
        <f>""</f>
        <v/>
      </c>
      <c r="CI820" t="str">
        <f>""</f>
        <v/>
      </c>
      <c r="CJ820" t="str">
        <f>""</f>
        <v/>
      </c>
      <c r="CK820" t="str">
        <f>""</f>
        <v/>
      </c>
      <c r="CL820" t="str">
        <f>""</f>
        <v/>
      </c>
      <c r="CM820" t="str">
        <f>""</f>
        <v/>
      </c>
      <c r="CN820" t="str">
        <f>""</f>
        <v/>
      </c>
      <c r="CO820" t="str">
        <f>""</f>
        <v/>
      </c>
      <c r="CP820" t="str">
        <f>""</f>
        <v/>
      </c>
      <c r="CQ820" t="str">
        <f>""</f>
        <v/>
      </c>
      <c r="CR820" t="str">
        <f>""</f>
        <v/>
      </c>
      <c r="CS820" t="str">
        <f>""</f>
        <v/>
      </c>
      <c r="CT820" t="str">
        <f>""</f>
        <v/>
      </c>
      <c r="CU820" t="str">
        <f>""</f>
        <v/>
      </c>
      <c r="CV820" t="str">
        <f>""</f>
        <v/>
      </c>
      <c r="CW820" t="str">
        <f>""</f>
        <v/>
      </c>
      <c r="CX820" t="str">
        <f>""</f>
        <v/>
      </c>
      <c r="CY820" t="str">
        <f>""</f>
        <v/>
      </c>
      <c r="CZ820" t="str">
        <f>""</f>
        <v/>
      </c>
      <c r="DA820" t="str">
        <f>""</f>
        <v/>
      </c>
      <c r="DB820" t="str">
        <f>""</f>
        <v/>
      </c>
      <c r="DC820" t="str">
        <f>""</f>
        <v/>
      </c>
      <c r="DD820" t="str">
        <f>""</f>
        <v/>
      </c>
      <c r="DE820" t="str">
        <f>""</f>
        <v/>
      </c>
      <c r="DF820" t="str">
        <f>""</f>
        <v/>
      </c>
      <c r="DG820" t="str">
        <f>""</f>
        <v/>
      </c>
      <c r="DH820" t="str">
        <f>""</f>
        <v/>
      </c>
      <c r="DI820" t="str">
        <f>""</f>
        <v/>
      </c>
      <c r="DJ820" t="str">
        <f>""</f>
        <v/>
      </c>
      <c r="DK820" t="str">
        <f>""</f>
        <v/>
      </c>
      <c r="DL820" t="str">
        <f>""</f>
        <v/>
      </c>
      <c r="DM820" t="str">
        <f>""</f>
        <v/>
      </c>
      <c r="DN820" t="str">
        <f>""</f>
        <v/>
      </c>
      <c r="DO820" t="str">
        <f>""</f>
        <v/>
      </c>
      <c r="DP820" t="str">
        <f>""</f>
        <v/>
      </c>
      <c r="DQ820" t="str">
        <f>""</f>
        <v/>
      </c>
      <c r="DR820" t="str">
        <f>""</f>
        <v/>
      </c>
      <c r="DS820" t="str">
        <f>""</f>
        <v/>
      </c>
      <c r="DT820" t="str">
        <f>""</f>
        <v/>
      </c>
      <c r="DU820" t="str">
        <f>""</f>
        <v/>
      </c>
    </row>
    <row r="821" spans="1:125">
      <c r="A821" t="str">
        <f>$A$399</f>
        <v xml:space="preserve">    Simon Property Group Inc</v>
      </c>
      <c r="B821" t="str">
        <f>$B$399</f>
        <v>SPG US Equity</v>
      </c>
      <c r="C821" t="str">
        <f>$C$399</f>
        <v>RR106</v>
      </c>
      <c r="D821" t="str">
        <f>$D$399</f>
        <v>FFO_PAYOUT_RATIO</v>
      </c>
      <c r="E821" t="str">
        <f>$E$399</f>
        <v>动态</v>
      </c>
      <c r="F821" t="str">
        <f ca="1">BDH($B$399,$C$399,$B$417,$B$418,CONCATENATE("Per=",$B$415),"Dts=H","Dir=H",CONCATENATE("Points=",$B$416),"Sort=R","Days=A","Fill=B",CONCATENATE("FX=", $B$414) )</f>
        <v>#N/A Authorization</v>
      </c>
      <c r="BN821" t="str">
        <f>""</f>
        <v/>
      </c>
      <c r="BO821" t="str">
        <f>""</f>
        <v/>
      </c>
      <c r="BP821" t="str">
        <f>""</f>
        <v/>
      </c>
      <c r="BQ821" t="str">
        <f>""</f>
        <v/>
      </c>
      <c r="BR821" t="str">
        <f>""</f>
        <v/>
      </c>
      <c r="BS821" t="str">
        <f>""</f>
        <v/>
      </c>
      <c r="BT821" t="str">
        <f>""</f>
        <v/>
      </c>
      <c r="BU821" t="str">
        <f>""</f>
        <v/>
      </c>
      <c r="BV821" t="str">
        <f>""</f>
        <v/>
      </c>
      <c r="BW821" t="str">
        <f>""</f>
        <v/>
      </c>
      <c r="BX821" t="str">
        <f>""</f>
        <v/>
      </c>
      <c r="BY821" t="str">
        <f>""</f>
        <v/>
      </c>
      <c r="BZ821" t="str">
        <f>""</f>
        <v/>
      </c>
      <c r="CA821" t="str">
        <f>""</f>
        <v/>
      </c>
      <c r="CB821" t="str">
        <f>""</f>
        <v/>
      </c>
      <c r="CC821" t="str">
        <f>""</f>
        <v/>
      </c>
      <c r="CD821" t="str">
        <f>""</f>
        <v/>
      </c>
      <c r="CE821" t="str">
        <f>""</f>
        <v/>
      </c>
      <c r="CF821" t="str">
        <f>""</f>
        <v/>
      </c>
      <c r="CG821" t="str">
        <f>""</f>
        <v/>
      </c>
      <c r="CH821" t="str">
        <f>""</f>
        <v/>
      </c>
      <c r="CI821" t="str">
        <f>""</f>
        <v/>
      </c>
      <c r="CJ821" t="str">
        <f>""</f>
        <v/>
      </c>
      <c r="CK821" t="str">
        <f>""</f>
        <v/>
      </c>
      <c r="CL821" t="str">
        <f>""</f>
        <v/>
      </c>
      <c r="CM821" t="str">
        <f>""</f>
        <v/>
      </c>
      <c r="CN821" t="str">
        <f>""</f>
        <v/>
      </c>
      <c r="CO821" t="str">
        <f>""</f>
        <v/>
      </c>
      <c r="CP821" t="str">
        <f>""</f>
        <v/>
      </c>
      <c r="CQ821" t="str">
        <f>""</f>
        <v/>
      </c>
      <c r="CR821" t="str">
        <f>""</f>
        <v/>
      </c>
      <c r="CS821" t="str">
        <f>""</f>
        <v/>
      </c>
      <c r="CT821" t="str">
        <f>""</f>
        <v/>
      </c>
      <c r="CU821" t="str">
        <f>""</f>
        <v/>
      </c>
      <c r="CV821" t="str">
        <f>""</f>
        <v/>
      </c>
      <c r="CW821" t="str">
        <f>""</f>
        <v/>
      </c>
      <c r="CX821" t="str">
        <f>""</f>
        <v/>
      </c>
      <c r="CY821" t="str">
        <f>""</f>
        <v/>
      </c>
      <c r="CZ821" t="str">
        <f>""</f>
        <v/>
      </c>
      <c r="DA821" t="str">
        <f>""</f>
        <v/>
      </c>
      <c r="DB821" t="str">
        <f>""</f>
        <v/>
      </c>
      <c r="DC821" t="str">
        <f>""</f>
        <v/>
      </c>
      <c r="DD821" t="str">
        <f>""</f>
        <v/>
      </c>
      <c r="DE821" t="str">
        <f>""</f>
        <v/>
      </c>
      <c r="DF821" t="str">
        <f>""</f>
        <v/>
      </c>
      <c r="DG821" t="str">
        <f>""</f>
        <v/>
      </c>
      <c r="DH821" t="str">
        <f>""</f>
        <v/>
      </c>
      <c r="DI821" t="str">
        <f>""</f>
        <v/>
      </c>
      <c r="DJ821" t="str">
        <f>""</f>
        <v/>
      </c>
      <c r="DK821" t="str">
        <f>""</f>
        <v/>
      </c>
      <c r="DL821" t="str">
        <f>""</f>
        <v/>
      </c>
      <c r="DM821" t="str">
        <f>""</f>
        <v/>
      </c>
      <c r="DN821" t="str">
        <f>""</f>
        <v/>
      </c>
      <c r="DO821" t="str">
        <f>""</f>
        <v/>
      </c>
      <c r="DP821" t="str">
        <f>""</f>
        <v/>
      </c>
      <c r="DQ821" t="str">
        <f>""</f>
        <v/>
      </c>
      <c r="DR821" t="str">
        <f>""</f>
        <v/>
      </c>
      <c r="DS821" t="str">
        <f>""</f>
        <v/>
      </c>
      <c r="DT821" t="str">
        <f>""</f>
        <v/>
      </c>
      <c r="DU821" t="str">
        <f>""</f>
        <v/>
      </c>
    </row>
    <row r="822" spans="1:125">
      <c r="A822" t="str">
        <f>$A$400</f>
        <v xml:space="preserve">    Tanger Factory Outlet Centers</v>
      </c>
      <c r="B822" t="str">
        <f>$B$400</f>
        <v>SKT US Equity</v>
      </c>
      <c r="C822" t="str">
        <f>$C$400</f>
        <v>RR106</v>
      </c>
      <c r="D822" t="str">
        <f>$D$400</f>
        <v>FFO_PAYOUT_RATIO</v>
      </c>
      <c r="E822" t="str">
        <f>$E$400</f>
        <v>动态</v>
      </c>
      <c r="F822" t="str">
        <f ca="1">BDH($B$400,$C$400,$B$417,$B$418,CONCATENATE("Per=",$B$415),"Dts=H","Dir=H",CONCATENATE("Points=",$B$416),"Sort=R","Days=A","Fill=B",CONCATENATE("FX=", $B$414) )</f>
        <v>#N/A Authorization</v>
      </c>
      <c r="BN822" t="str">
        <f>""</f>
        <v/>
      </c>
      <c r="BO822" t="str">
        <f>""</f>
        <v/>
      </c>
      <c r="BP822" t="str">
        <f>""</f>
        <v/>
      </c>
      <c r="BQ822" t="str">
        <f>""</f>
        <v/>
      </c>
      <c r="BR822" t="str">
        <f>""</f>
        <v/>
      </c>
      <c r="BS822" t="str">
        <f>""</f>
        <v/>
      </c>
      <c r="BT822" t="str">
        <f>""</f>
        <v/>
      </c>
      <c r="BU822" t="str">
        <f>""</f>
        <v/>
      </c>
      <c r="BV822" t="str">
        <f>""</f>
        <v/>
      </c>
      <c r="BW822" t="str">
        <f>""</f>
        <v/>
      </c>
      <c r="BX822" t="str">
        <f>""</f>
        <v/>
      </c>
      <c r="BY822" t="str">
        <f>""</f>
        <v/>
      </c>
      <c r="BZ822" t="str">
        <f>""</f>
        <v/>
      </c>
      <c r="CA822" t="str">
        <f>""</f>
        <v/>
      </c>
      <c r="CB822" t="str">
        <f>""</f>
        <v/>
      </c>
      <c r="CC822" t="str">
        <f>""</f>
        <v/>
      </c>
      <c r="CD822" t="str">
        <f>""</f>
        <v/>
      </c>
      <c r="CE822" t="str">
        <f>""</f>
        <v/>
      </c>
      <c r="CF822" t="str">
        <f>""</f>
        <v/>
      </c>
      <c r="CG822" t="str">
        <f>""</f>
        <v/>
      </c>
      <c r="CH822" t="str">
        <f>""</f>
        <v/>
      </c>
      <c r="CI822" t="str">
        <f>""</f>
        <v/>
      </c>
      <c r="CJ822" t="str">
        <f>""</f>
        <v/>
      </c>
      <c r="CK822" t="str">
        <f>""</f>
        <v/>
      </c>
      <c r="CL822" t="str">
        <f>""</f>
        <v/>
      </c>
      <c r="CM822" t="str">
        <f>""</f>
        <v/>
      </c>
      <c r="CN822" t="str">
        <f>""</f>
        <v/>
      </c>
      <c r="CO822" t="str">
        <f>""</f>
        <v/>
      </c>
      <c r="CP822" t="str">
        <f>""</f>
        <v/>
      </c>
      <c r="CQ822" t="str">
        <f>""</f>
        <v/>
      </c>
      <c r="CR822" t="str">
        <f>""</f>
        <v/>
      </c>
      <c r="CS822" t="str">
        <f>""</f>
        <v/>
      </c>
      <c r="CT822" t="str">
        <f>""</f>
        <v/>
      </c>
      <c r="CU822" t="str">
        <f>""</f>
        <v/>
      </c>
      <c r="CV822" t="str">
        <f>""</f>
        <v/>
      </c>
      <c r="CW822" t="str">
        <f>""</f>
        <v/>
      </c>
      <c r="CX822" t="str">
        <f>""</f>
        <v/>
      </c>
      <c r="CY822" t="str">
        <f>""</f>
        <v/>
      </c>
      <c r="CZ822" t="str">
        <f>""</f>
        <v/>
      </c>
      <c r="DA822" t="str">
        <f>""</f>
        <v/>
      </c>
      <c r="DB822" t="str">
        <f>""</f>
        <v/>
      </c>
      <c r="DC822" t="str">
        <f>""</f>
        <v/>
      </c>
      <c r="DD822" t="str">
        <f>""</f>
        <v/>
      </c>
      <c r="DE822" t="str">
        <f>""</f>
        <v/>
      </c>
      <c r="DF822" t="str">
        <f>""</f>
        <v/>
      </c>
      <c r="DG822" t="str">
        <f>""</f>
        <v/>
      </c>
      <c r="DH822" t="str">
        <f>""</f>
        <v/>
      </c>
      <c r="DI822" t="str">
        <f>""</f>
        <v/>
      </c>
      <c r="DJ822" t="str">
        <f>""</f>
        <v/>
      </c>
      <c r="DK822" t="str">
        <f>""</f>
        <v/>
      </c>
      <c r="DL822" t="str">
        <f>""</f>
        <v/>
      </c>
      <c r="DM822" t="str">
        <f>""</f>
        <v/>
      </c>
      <c r="DN822" t="str">
        <f>""</f>
        <v/>
      </c>
      <c r="DO822" t="str">
        <f>""</f>
        <v/>
      </c>
      <c r="DP822" t="str">
        <f>""</f>
        <v/>
      </c>
      <c r="DQ822" t="str">
        <f>""</f>
        <v/>
      </c>
      <c r="DR822" t="str">
        <f>""</f>
        <v/>
      </c>
      <c r="DS822" t="str">
        <f>""</f>
        <v/>
      </c>
      <c r="DT822" t="str">
        <f>""</f>
        <v/>
      </c>
      <c r="DU822" t="str">
        <f>""</f>
        <v/>
      </c>
    </row>
    <row r="823" spans="1:125">
      <c r="A823" t="str">
        <f>$A$401</f>
        <v xml:space="preserve">    VEREIT Inc</v>
      </c>
      <c r="B823" t="str">
        <f>$B$401</f>
        <v>VER US Equity</v>
      </c>
      <c r="C823" t="str">
        <f>$C$401</f>
        <v>RR106</v>
      </c>
      <c r="D823" t="str">
        <f>$D$401</f>
        <v>FFO_PAYOUT_RATIO</v>
      </c>
      <c r="E823" t="str">
        <f>$E$401</f>
        <v>动态</v>
      </c>
      <c r="F823" t="str">
        <f ca="1">BDH($B$401,$C$401,$B$417,$B$418,CONCATENATE("Per=",$B$415),"Dts=H","Dir=H",CONCATENATE("Points=",$B$416),"Sort=R","Days=A","Fill=B",CONCATENATE("FX=", $B$414) )</f>
        <v>#N/A Authorization</v>
      </c>
      <c r="BN823" t="str">
        <f>""</f>
        <v/>
      </c>
      <c r="BO823" t="str">
        <f>""</f>
        <v/>
      </c>
      <c r="BP823" t="str">
        <f>""</f>
        <v/>
      </c>
      <c r="BQ823" t="str">
        <f>""</f>
        <v/>
      </c>
      <c r="BR823" t="str">
        <f>""</f>
        <v/>
      </c>
      <c r="BS823" t="str">
        <f>""</f>
        <v/>
      </c>
      <c r="BT823" t="str">
        <f>""</f>
        <v/>
      </c>
      <c r="BU823" t="str">
        <f>""</f>
        <v/>
      </c>
      <c r="BV823" t="str">
        <f>""</f>
        <v/>
      </c>
      <c r="BW823" t="str">
        <f>""</f>
        <v/>
      </c>
      <c r="BX823" t="str">
        <f>""</f>
        <v/>
      </c>
      <c r="BY823" t="str">
        <f>""</f>
        <v/>
      </c>
      <c r="BZ823" t="str">
        <f>""</f>
        <v/>
      </c>
      <c r="CA823" t="str">
        <f>""</f>
        <v/>
      </c>
      <c r="CB823" t="str">
        <f>""</f>
        <v/>
      </c>
      <c r="CC823" t="str">
        <f>""</f>
        <v/>
      </c>
      <c r="CD823" t="str">
        <f>""</f>
        <v/>
      </c>
      <c r="CE823" t="str">
        <f>""</f>
        <v/>
      </c>
      <c r="CF823" t="str">
        <f>""</f>
        <v/>
      </c>
      <c r="CG823" t="str">
        <f>""</f>
        <v/>
      </c>
      <c r="CH823" t="str">
        <f>""</f>
        <v/>
      </c>
      <c r="CI823" t="str">
        <f>""</f>
        <v/>
      </c>
      <c r="CJ823" t="str">
        <f>""</f>
        <v/>
      </c>
      <c r="CK823" t="str">
        <f>""</f>
        <v/>
      </c>
      <c r="CL823" t="str">
        <f>""</f>
        <v/>
      </c>
      <c r="CM823" t="str">
        <f>""</f>
        <v/>
      </c>
      <c r="CN823" t="str">
        <f>""</f>
        <v/>
      </c>
      <c r="CO823" t="str">
        <f>""</f>
        <v/>
      </c>
      <c r="CP823" t="str">
        <f>""</f>
        <v/>
      </c>
      <c r="CQ823" t="str">
        <f>""</f>
        <v/>
      </c>
      <c r="CR823" t="str">
        <f>""</f>
        <v/>
      </c>
      <c r="CS823" t="str">
        <f>""</f>
        <v/>
      </c>
      <c r="CT823" t="str">
        <f>""</f>
        <v/>
      </c>
      <c r="CU823" t="str">
        <f>""</f>
        <v/>
      </c>
      <c r="CV823" t="str">
        <f>""</f>
        <v/>
      </c>
      <c r="CW823" t="str">
        <f>""</f>
        <v/>
      </c>
      <c r="CX823" t="str">
        <f>""</f>
        <v/>
      </c>
      <c r="CY823" t="str">
        <f>""</f>
        <v/>
      </c>
      <c r="CZ823" t="str">
        <f>""</f>
        <v/>
      </c>
      <c r="DA823" t="str">
        <f>""</f>
        <v/>
      </c>
      <c r="DB823" t="str">
        <f>""</f>
        <v/>
      </c>
      <c r="DC823" t="str">
        <f>""</f>
        <v/>
      </c>
      <c r="DD823" t="str">
        <f>""</f>
        <v/>
      </c>
      <c r="DE823" t="str">
        <f>""</f>
        <v/>
      </c>
      <c r="DF823" t="str">
        <f>""</f>
        <v/>
      </c>
      <c r="DG823" t="str">
        <f>""</f>
        <v/>
      </c>
      <c r="DH823" t="str">
        <f>""</f>
        <v/>
      </c>
      <c r="DI823" t="str">
        <f>""</f>
        <v/>
      </c>
      <c r="DJ823" t="str">
        <f>""</f>
        <v/>
      </c>
      <c r="DK823" t="str">
        <f>""</f>
        <v/>
      </c>
      <c r="DL823" t="str">
        <f>""</f>
        <v/>
      </c>
      <c r="DM823" t="str">
        <f>""</f>
        <v/>
      </c>
      <c r="DN823" t="str">
        <f>""</f>
        <v/>
      </c>
      <c r="DO823" t="str">
        <f>""</f>
        <v/>
      </c>
      <c r="DP823" t="str">
        <f>""</f>
        <v/>
      </c>
      <c r="DQ823" t="str">
        <f>""</f>
        <v/>
      </c>
      <c r="DR823" t="str">
        <f>""</f>
        <v/>
      </c>
      <c r="DS823" t="str">
        <f>""</f>
        <v/>
      </c>
      <c r="DT823" t="str">
        <f>""</f>
        <v/>
      </c>
      <c r="DU823" t="str">
        <f>""</f>
        <v/>
      </c>
    </row>
    <row r="824" spans="1:125">
      <c r="A824" t="str">
        <f>$A$402</f>
        <v xml:space="preserve">    Washington Prime Group Inc</v>
      </c>
      <c r="B824" t="str">
        <f>$B$402</f>
        <v>WPG US Equity</v>
      </c>
      <c r="C824" t="str">
        <f>$C$402</f>
        <v>RR106</v>
      </c>
      <c r="D824" t="str">
        <f>$D$402</f>
        <v>FFO_PAYOUT_RATIO</v>
      </c>
      <c r="E824" t="str">
        <f>$E$402</f>
        <v>动态</v>
      </c>
      <c r="F824" t="str">
        <f ca="1">BDH($B$402,$C$402,$B$417,$B$418,CONCATENATE("Per=",$B$415),"Dts=H","Dir=H",CONCATENATE("Points=",$B$416),"Sort=R","Days=A","Fill=B",CONCATENATE("FX=", $B$414) )</f>
        <v>#N/A Authorization</v>
      </c>
      <c r="BN824" t="str">
        <f>""</f>
        <v/>
      </c>
      <c r="BO824" t="str">
        <f>""</f>
        <v/>
      </c>
      <c r="BP824" t="str">
        <f>""</f>
        <v/>
      </c>
      <c r="BQ824" t="str">
        <f>""</f>
        <v/>
      </c>
      <c r="BR824" t="str">
        <f>""</f>
        <v/>
      </c>
      <c r="BS824" t="str">
        <f>""</f>
        <v/>
      </c>
      <c r="BT824" t="str">
        <f>""</f>
        <v/>
      </c>
      <c r="BU824" t="str">
        <f>""</f>
        <v/>
      </c>
      <c r="BV824" t="str">
        <f>""</f>
        <v/>
      </c>
      <c r="BW824" t="str">
        <f>""</f>
        <v/>
      </c>
      <c r="BX824" t="str">
        <f>""</f>
        <v/>
      </c>
      <c r="BY824" t="str">
        <f>""</f>
        <v/>
      </c>
      <c r="BZ824" t="str">
        <f>""</f>
        <v/>
      </c>
      <c r="CA824" t="str">
        <f>""</f>
        <v/>
      </c>
      <c r="CB824" t="str">
        <f>""</f>
        <v/>
      </c>
      <c r="CC824" t="str">
        <f>""</f>
        <v/>
      </c>
      <c r="CD824" t="str">
        <f>""</f>
        <v/>
      </c>
      <c r="CE824" t="str">
        <f>""</f>
        <v/>
      </c>
      <c r="CF824" t="str">
        <f>""</f>
        <v/>
      </c>
      <c r="CG824" t="str">
        <f>""</f>
        <v/>
      </c>
      <c r="CH824" t="str">
        <f>""</f>
        <v/>
      </c>
      <c r="CI824" t="str">
        <f>""</f>
        <v/>
      </c>
      <c r="CJ824" t="str">
        <f>""</f>
        <v/>
      </c>
      <c r="CK824" t="str">
        <f>""</f>
        <v/>
      </c>
      <c r="CL824" t="str">
        <f>""</f>
        <v/>
      </c>
      <c r="CM824" t="str">
        <f>""</f>
        <v/>
      </c>
      <c r="CN824" t="str">
        <f>""</f>
        <v/>
      </c>
      <c r="CO824" t="str">
        <f>""</f>
        <v/>
      </c>
      <c r="CP824" t="str">
        <f>""</f>
        <v/>
      </c>
      <c r="CQ824" t="str">
        <f>""</f>
        <v/>
      </c>
      <c r="CR824" t="str">
        <f>""</f>
        <v/>
      </c>
      <c r="CS824" t="str">
        <f>""</f>
        <v/>
      </c>
      <c r="CT824" t="str">
        <f>""</f>
        <v/>
      </c>
      <c r="CU824" t="str">
        <f>""</f>
        <v/>
      </c>
      <c r="CV824" t="str">
        <f>""</f>
        <v/>
      </c>
      <c r="CW824" t="str">
        <f>""</f>
        <v/>
      </c>
      <c r="CX824" t="str">
        <f>""</f>
        <v/>
      </c>
      <c r="CY824" t="str">
        <f>""</f>
        <v/>
      </c>
      <c r="CZ824" t="str">
        <f>""</f>
        <v/>
      </c>
      <c r="DA824" t="str">
        <f>""</f>
        <v/>
      </c>
      <c r="DB824" t="str">
        <f>""</f>
        <v/>
      </c>
      <c r="DC824" t="str">
        <f>""</f>
        <v/>
      </c>
      <c r="DD824" t="str">
        <f>""</f>
        <v/>
      </c>
      <c r="DE824" t="str">
        <f>""</f>
        <v/>
      </c>
      <c r="DF824" t="str">
        <f>""</f>
        <v/>
      </c>
      <c r="DG824" t="str">
        <f>""</f>
        <v/>
      </c>
      <c r="DH824" t="str">
        <f>""</f>
        <v/>
      </c>
      <c r="DI824" t="str">
        <f>""</f>
        <v/>
      </c>
      <c r="DJ824" t="str">
        <f>""</f>
        <v/>
      </c>
      <c r="DK824" t="str">
        <f>""</f>
        <v/>
      </c>
      <c r="DL824" t="str">
        <f>""</f>
        <v/>
      </c>
      <c r="DM824" t="str">
        <f>""</f>
        <v/>
      </c>
      <c r="DN824" t="str">
        <f>""</f>
        <v/>
      </c>
      <c r="DO824" t="str">
        <f>""</f>
        <v/>
      </c>
      <c r="DP824" t="str">
        <f>""</f>
        <v/>
      </c>
      <c r="DQ824" t="str">
        <f>""</f>
        <v/>
      </c>
      <c r="DR824" t="str">
        <f>""</f>
        <v/>
      </c>
      <c r="DS824" t="str">
        <f>""</f>
        <v/>
      </c>
      <c r="DT824" t="str">
        <f>""</f>
        <v/>
      </c>
      <c r="DU824" t="str">
        <f>""</f>
        <v/>
      </c>
    </row>
    <row r="825" spans="1:125">
      <c r="A825" t="str">
        <f>$A$403</f>
        <v xml:space="preserve">    Weingarten Realty Investors</v>
      </c>
      <c r="B825" t="str">
        <f>$B$403</f>
        <v>WRI US Equity</v>
      </c>
      <c r="C825" t="str">
        <f>$C$403</f>
        <v>RR106</v>
      </c>
      <c r="D825" t="str">
        <f>$D$403</f>
        <v>FFO_PAYOUT_RATIO</v>
      </c>
      <c r="E825" t="str">
        <f>$E$403</f>
        <v>动态</v>
      </c>
      <c r="F825" t="str">
        <f ca="1">BDH($B$403,$C$403,$B$417,$B$418,CONCATENATE("Per=",$B$415),"Dts=H","Dir=H",CONCATENATE("Points=",$B$416),"Sort=R","Days=A","Fill=B",CONCATENATE("FX=", $B$414) )</f>
        <v>#N/A Authorization</v>
      </c>
      <c r="BN825" t="str">
        <f>""</f>
        <v/>
      </c>
      <c r="BO825" t="str">
        <f>""</f>
        <v/>
      </c>
      <c r="BP825" t="str">
        <f>""</f>
        <v/>
      </c>
      <c r="BQ825" t="str">
        <f>""</f>
        <v/>
      </c>
      <c r="BR825" t="str">
        <f>""</f>
        <v/>
      </c>
      <c r="BS825" t="str">
        <f>""</f>
        <v/>
      </c>
      <c r="BT825" t="str">
        <f>""</f>
        <v/>
      </c>
      <c r="BU825" t="str">
        <f>""</f>
        <v/>
      </c>
      <c r="BV825" t="str">
        <f>""</f>
        <v/>
      </c>
      <c r="BW825" t="str">
        <f>""</f>
        <v/>
      </c>
      <c r="BX825" t="str">
        <f>""</f>
        <v/>
      </c>
      <c r="BY825" t="str">
        <f>""</f>
        <v/>
      </c>
      <c r="BZ825" t="str">
        <f>""</f>
        <v/>
      </c>
      <c r="CA825" t="str">
        <f>""</f>
        <v/>
      </c>
      <c r="CB825" t="str">
        <f>""</f>
        <v/>
      </c>
      <c r="CC825" t="str">
        <f>""</f>
        <v/>
      </c>
      <c r="CD825" t="str">
        <f>""</f>
        <v/>
      </c>
      <c r="CE825" t="str">
        <f>""</f>
        <v/>
      </c>
      <c r="CF825" t="str">
        <f>""</f>
        <v/>
      </c>
      <c r="CG825" t="str">
        <f>""</f>
        <v/>
      </c>
      <c r="CH825" t="str">
        <f>""</f>
        <v/>
      </c>
      <c r="CI825" t="str">
        <f>""</f>
        <v/>
      </c>
      <c r="CJ825" t="str">
        <f>""</f>
        <v/>
      </c>
      <c r="CK825" t="str">
        <f>""</f>
        <v/>
      </c>
      <c r="CL825" t="str">
        <f>""</f>
        <v/>
      </c>
      <c r="CM825" t="str">
        <f>""</f>
        <v/>
      </c>
      <c r="CN825" t="str">
        <f>""</f>
        <v/>
      </c>
      <c r="CO825" t="str">
        <f>""</f>
        <v/>
      </c>
      <c r="CP825" t="str">
        <f>""</f>
        <v/>
      </c>
      <c r="CQ825" t="str">
        <f>""</f>
        <v/>
      </c>
      <c r="CR825" t="str">
        <f>""</f>
        <v/>
      </c>
      <c r="CS825" t="str">
        <f>""</f>
        <v/>
      </c>
      <c r="CT825" t="str">
        <f>""</f>
        <v/>
      </c>
      <c r="CU825" t="str">
        <f>""</f>
        <v/>
      </c>
      <c r="CV825" t="str">
        <f>""</f>
        <v/>
      </c>
      <c r="CW825" t="str">
        <f>""</f>
        <v/>
      </c>
      <c r="CX825" t="str">
        <f>""</f>
        <v/>
      </c>
      <c r="CY825" t="str">
        <f>""</f>
        <v/>
      </c>
      <c r="CZ825" t="str">
        <f>""</f>
        <v/>
      </c>
      <c r="DA825" t="str">
        <f>""</f>
        <v/>
      </c>
      <c r="DB825" t="str">
        <f>""</f>
        <v/>
      </c>
      <c r="DC825" t="str">
        <f>""</f>
        <v/>
      </c>
      <c r="DD825" t="str">
        <f>""</f>
        <v/>
      </c>
      <c r="DE825" t="str">
        <f>""</f>
        <v/>
      </c>
      <c r="DF825" t="str">
        <f>""</f>
        <v/>
      </c>
      <c r="DG825" t="str">
        <f>""</f>
        <v/>
      </c>
      <c r="DH825" t="str">
        <f>""</f>
        <v/>
      </c>
      <c r="DI825" t="str">
        <f>""</f>
        <v/>
      </c>
      <c r="DJ825" t="str">
        <f>""</f>
        <v/>
      </c>
      <c r="DK825" t="str">
        <f>""</f>
        <v/>
      </c>
      <c r="DL825" t="str">
        <f>""</f>
        <v/>
      </c>
      <c r="DM825" t="str">
        <f>""</f>
        <v/>
      </c>
      <c r="DN825" t="str">
        <f>""</f>
        <v/>
      </c>
      <c r="DO825" t="str">
        <f>""</f>
        <v/>
      </c>
      <c r="DP825" t="str">
        <f>""</f>
        <v/>
      </c>
      <c r="DQ825" t="str">
        <f>""</f>
        <v/>
      </c>
      <c r="DR825" t="str">
        <f>""</f>
        <v/>
      </c>
      <c r="DS825" t="str">
        <f>""</f>
        <v/>
      </c>
      <c r="DT825" t="str">
        <f>""</f>
        <v/>
      </c>
      <c r="DU825" t="str">
        <f>""</f>
        <v/>
      </c>
    </row>
    <row r="826" spans="1:125">
      <c r="A826" t="str">
        <f>""</f>
        <v/>
      </c>
      <c r="B826" t="str">
        <f>""</f>
        <v/>
      </c>
      <c r="C826" t="str">
        <f>""</f>
        <v/>
      </c>
      <c r="D826" t="str">
        <f>""</f>
        <v/>
      </c>
      <c r="E826" t="str">
        <f>""</f>
        <v/>
      </c>
      <c r="BN826" t="str">
        <f>""</f>
        <v/>
      </c>
      <c r="BO826" t="str">
        <f>""</f>
        <v/>
      </c>
      <c r="BP826" t="str">
        <f>""</f>
        <v/>
      </c>
      <c r="BQ826" t="str">
        <f>""</f>
        <v/>
      </c>
      <c r="BR826" t="str">
        <f>""</f>
        <v/>
      </c>
      <c r="BS826" t="str">
        <f>""</f>
        <v/>
      </c>
      <c r="BT826" t="str">
        <f>""</f>
        <v/>
      </c>
      <c r="BU826" t="str">
        <f>""</f>
        <v/>
      </c>
      <c r="BV826" t="str">
        <f>""</f>
        <v/>
      </c>
      <c r="BW826" t="str">
        <f>""</f>
        <v/>
      </c>
      <c r="BX826" t="str">
        <f>""</f>
        <v/>
      </c>
      <c r="BY826" t="str">
        <f>""</f>
        <v/>
      </c>
      <c r="BZ826" t="str">
        <f>""</f>
        <v/>
      </c>
      <c r="CA826" t="str">
        <f>""</f>
        <v/>
      </c>
      <c r="CB826" t="str">
        <f>""</f>
        <v/>
      </c>
      <c r="CC826" t="str">
        <f>""</f>
        <v/>
      </c>
      <c r="CD826" t="str">
        <f>""</f>
        <v/>
      </c>
      <c r="CE826" t="str">
        <f>""</f>
        <v/>
      </c>
      <c r="CF826" t="str">
        <f>""</f>
        <v/>
      </c>
      <c r="CG826" t="str">
        <f>""</f>
        <v/>
      </c>
      <c r="CH826" t="str">
        <f>""</f>
        <v/>
      </c>
      <c r="CI826" t="str">
        <f>""</f>
        <v/>
      </c>
      <c r="CJ826" t="str">
        <f>""</f>
        <v/>
      </c>
      <c r="CK826" t="str">
        <f>""</f>
        <v/>
      </c>
      <c r="CL826" t="str">
        <f>""</f>
        <v/>
      </c>
      <c r="CM826" t="str">
        <f>""</f>
        <v/>
      </c>
      <c r="CN826" t="str">
        <f>""</f>
        <v/>
      </c>
      <c r="CO826" t="str">
        <f>""</f>
        <v/>
      </c>
      <c r="CP826" t="str">
        <f>""</f>
        <v/>
      </c>
      <c r="CQ826" t="str">
        <f>""</f>
        <v/>
      </c>
      <c r="CR826" t="str">
        <f>""</f>
        <v/>
      </c>
      <c r="CS826" t="str">
        <f>""</f>
        <v/>
      </c>
      <c r="CT826" t="str">
        <f>""</f>
        <v/>
      </c>
      <c r="CU826" t="str">
        <f>""</f>
        <v/>
      </c>
      <c r="CV826" t="str">
        <f>""</f>
        <v/>
      </c>
      <c r="CW826" t="str">
        <f>""</f>
        <v/>
      </c>
      <c r="CX826" t="str">
        <f>""</f>
        <v/>
      </c>
      <c r="CY826" t="str">
        <f>""</f>
        <v/>
      </c>
      <c r="CZ826" t="str">
        <f>""</f>
        <v/>
      </c>
      <c r="DA826" t="str">
        <f>""</f>
        <v/>
      </c>
      <c r="DB826" t="str">
        <f>""</f>
        <v/>
      </c>
      <c r="DC826" t="str">
        <f>""</f>
        <v/>
      </c>
      <c r="DD826" t="str">
        <f>""</f>
        <v/>
      </c>
      <c r="DE826" t="str">
        <f>""</f>
        <v/>
      </c>
      <c r="DF826" t="str">
        <f>""</f>
        <v/>
      </c>
      <c r="DG826" t="str">
        <f>""</f>
        <v/>
      </c>
      <c r="DH826" t="str">
        <f>""</f>
        <v/>
      </c>
      <c r="DI826" t="str">
        <f>""</f>
        <v/>
      </c>
      <c r="DJ826" t="str">
        <f>""</f>
        <v/>
      </c>
      <c r="DK826" t="str">
        <f>""</f>
        <v/>
      </c>
      <c r="DL826" t="str">
        <f>""</f>
        <v/>
      </c>
      <c r="DM826" t="str">
        <f>""</f>
        <v/>
      </c>
      <c r="DN826" t="str">
        <f>""</f>
        <v/>
      </c>
      <c r="DO826" t="str">
        <f>""</f>
        <v/>
      </c>
      <c r="DP826" t="str">
        <f>""</f>
        <v/>
      </c>
      <c r="DQ826" t="str">
        <f>""</f>
        <v/>
      </c>
      <c r="DR826" t="str">
        <f>""</f>
        <v/>
      </c>
      <c r="DS826" t="str">
        <f>""</f>
        <v/>
      </c>
      <c r="DT826" t="str">
        <f>""</f>
        <v/>
      </c>
      <c r="DU826" t="str">
        <f>""</f>
        <v/>
      </c>
    </row>
    <row r="827" spans="1:125">
      <c r="A827" t="str">
        <f>""</f>
        <v/>
      </c>
      <c r="B827" t="str">
        <f>""</f>
        <v/>
      </c>
      <c r="C827" t="str">
        <f>""</f>
        <v/>
      </c>
      <c r="D827" t="str">
        <f>""</f>
        <v/>
      </c>
      <c r="E827" t="str">
        <f>""</f>
        <v/>
      </c>
      <c r="BN827" t="str">
        <f>""</f>
        <v/>
      </c>
      <c r="BO827" t="str">
        <f>""</f>
        <v/>
      </c>
      <c r="BP827" t="str">
        <f>""</f>
        <v/>
      </c>
      <c r="BQ827" t="str">
        <f>""</f>
        <v/>
      </c>
      <c r="BR827" t="str">
        <f>""</f>
        <v/>
      </c>
      <c r="BS827" t="str">
        <f>""</f>
        <v/>
      </c>
      <c r="BT827" t="str">
        <f>""</f>
        <v/>
      </c>
      <c r="BU827" t="str">
        <f>""</f>
        <v/>
      </c>
      <c r="BV827" t="str">
        <f>""</f>
        <v/>
      </c>
      <c r="BW827" t="str">
        <f>""</f>
        <v/>
      </c>
      <c r="BX827" t="str">
        <f>""</f>
        <v/>
      </c>
      <c r="BY827" t="str">
        <f>""</f>
        <v/>
      </c>
      <c r="BZ827" t="str">
        <f>""</f>
        <v/>
      </c>
      <c r="CA827" t="str">
        <f>""</f>
        <v/>
      </c>
      <c r="CB827" t="str">
        <f>""</f>
        <v/>
      </c>
      <c r="CC827" t="str">
        <f>""</f>
        <v/>
      </c>
      <c r="CD827" t="str">
        <f>""</f>
        <v/>
      </c>
      <c r="CE827" t="str">
        <f>""</f>
        <v/>
      </c>
      <c r="CF827" t="str">
        <f>""</f>
        <v/>
      </c>
      <c r="CG827" t="str">
        <f>""</f>
        <v/>
      </c>
      <c r="CH827" t="str">
        <f>""</f>
        <v/>
      </c>
      <c r="CI827" t="str">
        <f>""</f>
        <v/>
      </c>
      <c r="CJ827" t="str">
        <f>""</f>
        <v/>
      </c>
      <c r="CK827" t="str">
        <f>""</f>
        <v/>
      </c>
      <c r="CL827" t="str">
        <f>""</f>
        <v/>
      </c>
      <c r="CM827" t="str">
        <f>""</f>
        <v/>
      </c>
      <c r="CN827" t="str">
        <f>""</f>
        <v/>
      </c>
      <c r="CO827" t="str">
        <f>""</f>
        <v/>
      </c>
      <c r="CP827" t="str">
        <f>""</f>
        <v/>
      </c>
      <c r="CQ827" t="str">
        <f>""</f>
        <v/>
      </c>
      <c r="CR827" t="str">
        <f>""</f>
        <v/>
      </c>
      <c r="CS827" t="str">
        <f>""</f>
        <v/>
      </c>
      <c r="CT827" t="str">
        <f>""</f>
        <v/>
      </c>
      <c r="CU827" t="str">
        <f>""</f>
        <v/>
      </c>
      <c r="CV827" t="str">
        <f>""</f>
        <v/>
      </c>
      <c r="CW827" t="str">
        <f>""</f>
        <v/>
      </c>
      <c r="CX827" t="str">
        <f>""</f>
        <v/>
      </c>
      <c r="CY827" t="str">
        <f>""</f>
        <v/>
      </c>
      <c r="CZ827" t="str">
        <f>""</f>
        <v/>
      </c>
      <c r="DA827" t="str">
        <f>""</f>
        <v/>
      </c>
      <c r="DB827" t="str">
        <f>""</f>
        <v/>
      </c>
      <c r="DC827" t="str">
        <f>""</f>
        <v/>
      </c>
      <c r="DD827" t="str">
        <f>""</f>
        <v/>
      </c>
      <c r="DE827" t="str">
        <f>""</f>
        <v/>
      </c>
      <c r="DF827" t="str">
        <f>""</f>
        <v/>
      </c>
      <c r="DG827" t="str">
        <f>""</f>
        <v/>
      </c>
      <c r="DH827" t="str">
        <f>""</f>
        <v/>
      </c>
      <c r="DI827" t="str">
        <f>""</f>
        <v/>
      </c>
      <c r="DJ827" t="str">
        <f>""</f>
        <v/>
      </c>
      <c r="DK827" t="str">
        <f>""</f>
        <v/>
      </c>
      <c r="DL827" t="str">
        <f>""</f>
        <v/>
      </c>
      <c r="DM827" t="str">
        <f>""</f>
        <v/>
      </c>
      <c r="DN827" t="str">
        <f>""</f>
        <v/>
      </c>
      <c r="DO827" t="str">
        <f>""</f>
        <v/>
      </c>
      <c r="DP827" t="str">
        <f>""</f>
        <v/>
      </c>
      <c r="DQ827" t="str">
        <f>""</f>
        <v/>
      </c>
      <c r="DR827" t="str">
        <f>""</f>
        <v/>
      </c>
      <c r="DS827" t="str">
        <f>""</f>
        <v/>
      </c>
      <c r="DT827" t="str">
        <f>""</f>
        <v/>
      </c>
      <c r="DU827" t="str">
        <f>""</f>
        <v/>
      </c>
    </row>
    <row r="828" spans="1:125">
      <c r="A828" t="str">
        <f>""</f>
        <v/>
      </c>
      <c r="B828" t="str">
        <f>""</f>
        <v/>
      </c>
      <c r="C828" t="str">
        <f>""</f>
        <v/>
      </c>
      <c r="D828" t="str">
        <f>""</f>
        <v/>
      </c>
      <c r="E828" t="str">
        <f>""</f>
        <v/>
      </c>
      <c r="BN828" t="str">
        <f>""</f>
        <v/>
      </c>
      <c r="BO828" t="str">
        <f>""</f>
        <v/>
      </c>
      <c r="BP828" t="str">
        <f>""</f>
        <v/>
      </c>
      <c r="BQ828" t="str">
        <f>""</f>
        <v/>
      </c>
      <c r="BR828" t="str">
        <f>""</f>
        <v/>
      </c>
      <c r="BS828" t="str">
        <f>""</f>
        <v/>
      </c>
      <c r="BT828" t="str">
        <f>""</f>
        <v/>
      </c>
      <c r="BU828" t="str">
        <f>""</f>
        <v/>
      </c>
      <c r="BV828" t="str">
        <f>""</f>
        <v/>
      </c>
      <c r="BW828" t="str">
        <f>""</f>
        <v/>
      </c>
      <c r="BX828" t="str">
        <f>""</f>
        <v/>
      </c>
      <c r="BY828" t="str">
        <f>""</f>
        <v/>
      </c>
      <c r="BZ828" t="str">
        <f>""</f>
        <v/>
      </c>
      <c r="CA828" t="str">
        <f>""</f>
        <v/>
      </c>
      <c r="CB828" t="str">
        <f>""</f>
        <v/>
      </c>
      <c r="CC828" t="str">
        <f>""</f>
        <v/>
      </c>
      <c r="CD828" t="str">
        <f>""</f>
        <v/>
      </c>
      <c r="CE828" t="str">
        <f>""</f>
        <v/>
      </c>
      <c r="CF828" t="str">
        <f>""</f>
        <v/>
      </c>
      <c r="CG828" t="str">
        <f>""</f>
        <v/>
      </c>
      <c r="CH828" t="str">
        <f>""</f>
        <v/>
      </c>
      <c r="CI828" t="str">
        <f>""</f>
        <v/>
      </c>
      <c r="CJ828" t="str">
        <f>""</f>
        <v/>
      </c>
      <c r="CK828" t="str">
        <f>""</f>
        <v/>
      </c>
      <c r="CL828" t="str">
        <f>""</f>
        <v/>
      </c>
      <c r="CM828" t="str">
        <f>""</f>
        <v/>
      </c>
      <c r="CN828" t="str">
        <f>""</f>
        <v/>
      </c>
      <c r="CO828" t="str">
        <f>""</f>
        <v/>
      </c>
      <c r="CP828" t="str">
        <f>""</f>
        <v/>
      </c>
      <c r="CQ828" t="str">
        <f>""</f>
        <v/>
      </c>
      <c r="CR828" t="str">
        <f>""</f>
        <v/>
      </c>
      <c r="CS828" t="str">
        <f>""</f>
        <v/>
      </c>
      <c r="CT828" t="str">
        <f>""</f>
        <v/>
      </c>
      <c r="CU828" t="str">
        <f>""</f>
        <v/>
      </c>
      <c r="CV828" t="str">
        <f>""</f>
        <v/>
      </c>
      <c r="CW828" t="str">
        <f>""</f>
        <v/>
      </c>
      <c r="CX828" t="str">
        <f>""</f>
        <v/>
      </c>
      <c r="CY828" t="str">
        <f>""</f>
        <v/>
      </c>
      <c r="CZ828" t="str">
        <f>""</f>
        <v/>
      </c>
      <c r="DA828" t="str">
        <f>""</f>
        <v/>
      </c>
      <c r="DB828" t="str">
        <f>""</f>
        <v/>
      </c>
      <c r="DC828" t="str">
        <f>""</f>
        <v/>
      </c>
      <c r="DD828" t="str">
        <f>""</f>
        <v/>
      </c>
      <c r="DE828" t="str">
        <f>""</f>
        <v/>
      </c>
      <c r="DF828" t="str">
        <f>""</f>
        <v/>
      </c>
      <c r="DG828" t="str">
        <f>""</f>
        <v/>
      </c>
      <c r="DH828" t="str">
        <f>""</f>
        <v/>
      </c>
      <c r="DI828" t="str">
        <f>""</f>
        <v/>
      </c>
      <c r="DJ828" t="str">
        <f>""</f>
        <v/>
      </c>
      <c r="DK828" t="str">
        <f>""</f>
        <v/>
      </c>
      <c r="DL828" t="str">
        <f>""</f>
        <v/>
      </c>
      <c r="DM828" t="str">
        <f>""</f>
        <v/>
      </c>
      <c r="DN828" t="str">
        <f>""</f>
        <v/>
      </c>
      <c r="DO828" t="str">
        <f>""</f>
        <v/>
      </c>
      <c r="DP828" t="str">
        <f>""</f>
        <v/>
      </c>
      <c r="DQ828" t="str">
        <f>""</f>
        <v/>
      </c>
      <c r="DR828" t="str">
        <f>""</f>
        <v/>
      </c>
      <c r="DS828" t="str">
        <f>""</f>
        <v/>
      </c>
      <c r="DT828" t="str">
        <f>""</f>
        <v/>
      </c>
      <c r="DU828" t="str">
        <f>""</f>
        <v/>
      </c>
    </row>
    <row r="829" spans="1:125">
      <c r="A829" t="str">
        <f>""</f>
        <v/>
      </c>
      <c r="B829" t="str">
        <f>""</f>
        <v/>
      </c>
      <c r="C829" t="str">
        <f>""</f>
        <v/>
      </c>
      <c r="D829" t="str">
        <f>""</f>
        <v/>
      </c>
      <c r="E829" t="str">
        <f>""</f>
        <v/>
      </c>
      <c r="BN829" t="str">
        <f>""</f>
        <v/>
      </c>
      <c r="BO829" t="str">
        <f>""</f>
        <v/>
      </c>
      <c r="BP829" t="str">
        <f>""</f>
        <v/>
      </c>
      <c r="BQ829" t="str">
        <f>""</f>
        <v/>
      </c>
      <c r="BR829" t="str">
        <f>""</f>
        <v/>
      </c>
      <c r="BS829" t="str">
        <f>""</f>
        <v/>
      </c>
      <c r="BT829" t="str">
        <f>""</f>
        <v/>
      </c>
      <c r="BU829" t="str">
        <f>""</f>
        <v/>
      </c>
      <c r="BV829" t="str">
        <f>""</f>
        <v/>
      </c>
      <c r="BW829" t="str">
        <f>""</f>
        <v/>
      </c>
      <c r="BX829" t="str">
        <f>""</f>
        <v/>
      </c>
      <c r="BY829" t="str">
        <f>""</f>
        <v/>
      </c>
      <c r="BZ829" t="str">
        <f>""</f>
        <v/>
      </c>
      <c r="CA829" t="str">
        <f>""</f>
        <v/>
      </c>
      <c r="CB829" t="str">
        <f>""</f>
        <v/>
      </c>
      <c r="CC829" t="str">
        <f>""</f>
        <v/>
      </c>
      <c r="CD829" t="str">
        <f>""</f>
        <v/>
      </c>
      <c r="CE829" t="str">
        <f>""</f>
        <v/>
      </c>
      <c r="CF829" t="str">
        <f>""</f>
        <v/>
      </c>
      <c r="CG829" t="str">
        <f>""</f>
        <v/>
      </c>
      <c r="CH829" t="str">
        <f>""</f>
        <v/>
      </c>
      <c r="CI829" t="str">
        <f>""</f>
        <v/>
      </c>
      <c r="CJ829" t="str">
        <f>""</f>
        <v/>
      </c>
      <c r="CK829" t="str">
        <f>""</f>
        <v/>
      </c>
      <c r="CL829" t="str">
        <f>""</f>
        <v/>
      </c>
      <c r="CM829" t="str">
        <f>""</f>
        <v/>
      </c>
      <c r="CN829" t="str">
        <f>""</f>
        <v/>
      </c>
      <c r="CO829" t="str">
        <f>""</f>
        <v/>
      </c>
      <c r="CP829" t="str">
        <f>""</f>
        <v/>
      </c>
      <c r="CQ829" t="str">
        <f>""</f>
        <v/>
      </c>
      <c r="CR829" t="str">
        <f>""</f>
        <v/>
      </c>
      <c r="CS829" t="str">
        <f>""</f>
        <v/>
      </c>
      <c r="CT829" t="str">
        <f>""</f>
        <v/>
      </c>
      <c r="CU829" t="str">
        <f>""</f>
        <v/>
      </c>
      <c r="CV829" t="str">
        <f>""</f>
        <v/>
      </c>
      <c r="CW829" t="str">
        <f>""</f>
        <v/>
      </c>
      <c r="CX829" t="str">
        <f>""</f>
        <v/>
      </c>
      <c r="CY829" t="str">
        <f>""</f>
        <v/>
      </c>
      <c r="CZ829" t="str">
        <f>""</f>
        <v/>
      </c>
      <c r="DA829" t="str">
        <f>""</f>
        <v/>
      </c>
      <c r="DB829" t="str">
        <f>""</f>
        <v/>
      </c>
      <c r="DC829" t="str">
        <f>""</f>
        <v/>
      </c>
      <c r="DD829" t="str">
        <f>""</f>
        <v/>
      </c>
      <c r="DE829" t="str">
        <f>""</f>
        <v/>
      </c>
      <c r="DF829" t="str">
        <f>""</f>
        <v/>
      </c>
      <c r="DG829" t="str">
        <f>""</f>
        <v/>
      </c>
      <c r="DH829" t="str">
        <f>""</f>
        <v/>
      </c>
      <c r="DI829" t="str">
        <f>""</f>
        <v/>
      </c>
      <c r="DJ829" t="str">
        <f>""</f>
        <v/>
      </c>
      <c r="DK829" t="str">
        <f>""</f>
        <v/>
      </c>
      <c r="DL829" t="str">
        <f>""</f>
        <v/>
      </c>
      <c r="DM829" t="str">
        <f>""</f>
        <v/>
      </c>
      <c r="DN829" t="str">
        <f>""</f>
        <v/>
      </c>
      <c r="DO829" t="str">
        <f>""</f>
        <v/>
      </c>
      <c r="DP829" t="str">
        <f>""</f>
        <v/>
      </c>
      <c r="DQ829" t="str">
        <f>""</f>
        <v/>
      </c>
      <c r="DR829" t="str">
        <f>""</f>
        <v/>
      </c>
      <c r="DS829" t="str">
        <f>""</f>
        <v/>
      </c>
      <c r="DT829" t="str">
        <f>""</f>
        <v/>
      </c>
      <c r="DU829" t="str">
        <f>""</f>
        <v/>
      </c>
    </row>
    <row r="830" spans="1:125">
      <c r="A830" t="str">
        <f>""</f>
        <v/>
      </c>
      <c r="B830" t="str">
        <f>""</f>
        <v/>
      </c>
      <c r="C830" t="str">
        <f>""</f>
        <v/>
      </c>
      <c r="D830" t="str">
        <f>""</f>
        <v/>
      </c>
      <c r="E830" t="str">
        <f>""</f>
        <v/>
      </c>
      <c r="BN830" t="str">
        <f>""</f>
        <v/>
      </c>
      <c r="BO830" t="str">
        <f>""</f>
        <v/>
      </c>
      <c r="BP830" t="str">
        <f>""</f>
        <v/>
      </c>
      <c r="BQ830" t="str">
        <f>""</f>
        <v/>
      </c>
      <c r="BR830" t="str">
        <f>""</f>
        <v/>
      </c>
      <c r="BS830" t="str">
        <f>""</f>
        <v/>
      </c>
      <c r="BT830" t="str">
        <f>""</f>
        <v/>
      </c>
      <c r="BU830" t="str">
        <f>""</f>
        <v/>
      </c>
      <c r="BV830" t="str">
        <f>""</f>
        <v/>
      </c>
      <c r="BW830" t="str">
        <f>""</f>
        <v/>
      </c>
      <c r="BX830" t="str">
        <f>""</f>
        <v/>
      </c>
      <c r="BY830" t="str">
        <f>""</f>
        <v/>
      </c>
      <c r="BZ830" t="str">
        <f>""</f>
        <v/>
      </c>
      <c r="CA830" t="str">
        <f>""</f>
        <v/>
      </c>
      <c r="CB830" t="str">
        <f>""</f>
        <v/>
      </c>
      <c r="CC830" t="str">
        <f>""</f>
        <v/>
      </c>
      <c r="CD830" t="str">
        <f>""</f>
        <v/>
      </c>
      <c r="CE830" t="str">
        <f>""</f>
        <v/>
      </c>
      <c r="CF830" t="str">
        <f>""</f>
        <v/>
      </c>
      <c r="CG830" t="str">
        <f>""</f>
        <v/>
      </c>
      <c r="CH830" t="str">
        <f>""</f>
        <v/>
      </c>
      <c r="CI830" t="str">
        <f>""</f>
        <v/>
      </c>
      <c r="CJ830" t="str">
        <f>""</f>
        <v/>
      </c>
      <c r="CK830" t="str">
        <f>""</f>
        <v/>
      </c>
      <c r="CL830" t="str">
        <f>""</f>
        <v/>
      </c>
      <c r="CM830" t="str">
        <f>""</f>
        <v/>
      </c>
      <c r="CN830" t="str">
        <f>""</f>
        <v/>
      </c>
      <c r="CO830" t="str">
        <f>""</f>
        <v/>
      </c>
      <c r="CP830" t="str">
        <f>""</f>
        <v/>
      </c>
      <c r="CQ830" t="str">
        <f>""</f>
        <v/>
      </c>
      <c r="CR830" t="str">
        <f>""</f>
        <v/>
      </c>
      <c r="CS830" t="str">
        <f>""</f>
        <v/>
      </c>
      <c r="CT830" t="str">
        <f>""</f>
        <v/>
      </c>
      <c r="CU830" t="str">
        <f>""</f>
        <v/>
      </c>
      <c r="CV830" t="str">
        <f>""</f>
        <v/>
      </c>
      <c r="CW830" t="str">
        <f>""</f>
        <v/>
      </c>
      <c r="CX830" t="str">
        <f>""</f>
        <v/>
      </c>
      <c r="CY830" t="str">
        <f>""</f>
        <v/>
      </c>
      <c r="CZ830" t="str">
        <f>""</f>
        <v/>
      </c>
      <c r="DA830" t="str">
        <f>""</f>
        <v/>
      </c>
      <c r="DB830" t="str">
        <f>""</f>
        <v/>
      </c>
      <c r="DC830" t="str">
        <f>""</f>
        <v/>
      </c>
      <c r="DD830" t="str">
        <f>""</f>
        <v/>
      </c>
      <c r="DE830" t="str">
        <f>""</f>
        <v/>
      </c>
      <c r="DF830" t="str">
        <f>""</f>
        <v/>
      </c>
      <c r="DG830" t="str">
        <f>""</f>
        <v/>
      </c>
      <c r="DH830" t="str">
        <f>""</f>
        <v/>
      </c>
      <c r="DI830" t="str">
        <f>""</f>
        <v/>
      </c>
      <c r="DJ830" t="str">
        <f>""</f>
        <v/>
      </c>
      <c r="DK830" t="str">
        <f>""</f>
        <v/>
      </c>
      <c r="DL830" t="str">
        <f>""</f>
        <v/>
      </c>
      <c r="DM830" t="str">
        <f>""</f>
        <v/>
      </c>
      <c r="DN830" t="str">
        <f>""</f>
        <v/>
      </c>
      <c r="DO830" t="str">
        <f>""</f>
        <v/>
      </c>
      <c r="DP830" t="str">
        <f>""</f>
        <v/>
      </c>
      <c r="DQ830" t="str">
        <f>""</f>
        <v/>
      </c>
      <c r="DR830" t="str">
        <f>""</f>
        <v/>
      </c>
      <c r="DS830" t="str">
        <f>""</f>
        <v/>
      </c>
      <c r="DT830" t="str">
        <f>""</f>
        <v/>
      </c>
      <c r="DU830" t="str">
        <f>""</f>
        <v/>
      </c>
    </row>
    <row r="831" spans="1:125">
      <c r="A831" t="str">
        <f>"~~~~~~~~~~~~~~~~~~~~~"</f>
        <v>~~~~~~~~~~~~~~~~~~~~~</v>
      </c>
      <c r="B831" t="str">
        <f>"~~~~~~~~~~~~~~~~~~~~~"</f>
        <v>~~~~~~~~~~~~~~~~~~~~~</v>
      </c>
      <c r="C831" t="str">
        <f>"~~~~~~~~~~~~~~~~~~~~~"</f>
        <v>~~~~~~~~~~~~~~~~~~~~~</v>
      </c>
      <c r="D831" t="str">
        <f>"~~~~~~~~~~~~~~~~~~~~~"</f>
        <v>~~~~~~~~~~~~~~~~~~~~~</v>
      </c>
      <c r="E831" t="str">
        <f>"~~~~~~~~~~~~~~~~~~~~~"</f>
        <v>~~~~~~~~~~~~~~~~~~~~~</v>
      </c>
      <c r="BN831" t="str">
        <f>""</f>
        <v/>
      </c>
      <c r="BO831" t="str">
        <f>""</f>
        <v/>
      </c>
      <c r="BP831" t="str">
        <f>""</f>
        <v/>
      </c>
      <c r="BQ831" t="str">
        <f>""</f>
        <v/>
      </c>
      <c r="BR831" t="str">
        <f>""</f>
        <v/>
      </c>
      <c r="BS831" t="str">
        <f>""</f>
        <v/>
      </c>
      <c r="BT831" t="str">
        <f>""</f>
        <v/>
      </c>
      <c r="BU831" t="str">
        <f>""</f>
        <v/>
      </c>
      <c r="BV831" t="str">
        <f>""</f>
        <v/>
      </c>
      <c r="BW831" t="str">
        <f>""</f>
        <v/>
      </c>
      <c r="BX831" t="str">
        <f>""</f>
        <v/>
      </c>
      <c r="BY831" t="str">
        <f>""</f>
        <v/>
      </c>
      <c r="BZ831" t="str">
        <f>""</f>
        <v/>
      </c>
      <c r="CA831" t="str">
        <f>""</f>
        <v/>
      </c>
      <c r="CB831" t="str">
        <f>""</f>
        <v/>
      </c>
      <c r="CC831" t="str">
        <f>""</f>
        <v/>
      </c>
      <c r="CD831" t="str">
        <f>""</f>
        <v/>
      </c>
      <c r="CE831" t="str">
        <f>""</f>
        <v/>
      </c>
      <c r="CF831" t="str">
        <f>""</f>
        <v/>
      </c>
      <c r="CG831" t="str">
        <f>""</f>
        <v/>
      </c>
      <c r="CH831" t="str">
        <f>""</f>
        <v/>
      </c>
      <c r="CI831" t="str">
        <f>""</f>
        <v/>
      </c>
      <c r="CJ831" t="str">
        <f>""</f>
        <v/>
      </c>
      <c r="CK831" t="str">
        <f>""</f>
        <v/>
      </c>
      <c r="CL831" t="str">
        <f>""</f>
        <v/>
      </c>
      <c r="CM831" t="str">
        <f>""</f>
        <v/>
      </c>
      <c r="CN831" t="str">
        <f>""</f>
        <v/>
      </c>
      <c r="CO831" t="str">
        <f>""</f>
        <v/>
      </c>
      <c r="CP831" t="str">
        <f>""</f>
        <v/>
      </c>
      <c r="CQ831" t="str">
        <f>""</f>
        <v/>
      </c>
      <c r="CR831" t="str">
        <f>""</f>
        <v/>
      </c>
      <c r="CS831" t="str">
        <f>""</f>
        <v/>
      </c>
      <c r="CT831" t="str">
        <f>""</f>
        <v/>
      </c>
      <c r="CU831" t="str">
        <f>""</f>
        <v/>
      </c>
      <c r="CV831" t="str">
        <f>""</f>
        <v/>
      </c>
      <c r="CW831" t="str">
        <f>""</f>
        <v/>
      </c>
      <c r="CX831" t="str">
        <f>""</f>
        <v/>
      </c>
      <c r="CY831" t="str">
        <f>""</f>
        <v/>
      </c>
      <c r="CZ831" t="str">
        <f>""</f>
        <v/>
      </c>
      <c r="DA831" t="str">
        <f>""</f>
        <v/>
      </c>
      <c r="DB831" t="str">
        <f>""</f>
        <v/>
      </c>
      <c r="DC831" t="str">
        <f>""</f>
        <v/>
      </c>
      <c r="DD831" t="str">
        <f>""</f>
        <v/>
      </c>
      <c r="DE831" t="str">
        <f>""</f>
        <v/>
      </c>
      <c r="DF831" t="str">
        <f>""</f>
        <v/>
      </c>
      <c r="DG831" t="str">
        <f>""</f>
        <v/>
      </c>
      <c r="DH831" t="str">
        <f>""</f>
        <v/>
      </c>
      <c r="DI831" t="str">
        <f>""</f>
        <v/>
      </c>
      <c r="DJ831" t="str">
        <f>""</f>
        <v/>
      </c>
      <c r="DK831" t="str">
        <f>""</f>
        <v/>
      </c>
      <c r="DL831" t="str">
        <f>""</f>
        <v/>
      </c>
      <c r="DM831" t="str">
        <f>""</f>
        <v/>
      </c>
      <c r="DN831" t="str">
        <f>""</f>
        <v/>
      </c>
      <c r="DO831" t="str">
        <f>""</f>
        <v/>
      </c>
      <c r="DP831" t="str">
        <f>""</f>
        <v/>
      </c>
      <c r="DQ831" t="str">
        <f>""</f>
        <v/>
      </c>
      <c r="DR831" t="str">
        <f>""</f>
        <v/>
      </c>
      <c r="DS831" t="str">
        <f>""</f>
        <v/>
      </c>
      <c r="DT831" t="str">
        <f>""</f>
        <v/>
      </c>
      <c r="DU831" t="str">
        <f>""</f>
        <v/>
      </c>
    </row>
    <row r="832" spans="1:125">
      <c r="A832" t="str">
        <f>"Rows below for column date calculation"</f>
        <v>Rows below for column date calculation</v>
      </c>
      <c r="BN832" t="str">
        <f>""</f>
        <v/>
      </c>
      <c r="BO832" t="str">
        <f>""</f>
        <v/>
      </c>
      <c r="BP832" t="str">
        <f>""</f>
        <v/>
      </c>
      <c r="BQ832" t="str">
        <f>""</f>
        <v/>
      </c>
      <c r="BR832" t="str">
        <f>""</f>
        <v/>
      </c>
      <c r="BS832" t="str">
        <f>""</f>
        <v/>
      </c>
      <c r="BT832" t="str">
        <f>""</f>
        <v/>
      </c>
      <c r="BU832" t="str">
        <f>""</f>
        <v/>
      </c>
      <c r="BV832" t="str">
        <f>""</f>
        <v/>
      </c>
      <c r="BW832" t="str">
        <f>""</f>
        <v/>
      </c>
      <c r="BX832" t="str">
        <f>""</f>
        <v/>
      </c>
      <c r="BY832" t="str">
        <f>""</f>
        <v/>
      </c>
      <c r="BZ832" t="str">
        <f>""</f>
        <v/>
      </c>
      <c r="CA832" t="str">
        <f>""</f>
        <v/>
      </c>
      <c r="CB832" t="str">
        <f>""</f>
        <v/>
      </c>
      <c r="CC832" t="str">
        <f>""</f>
        <v/>
      </c>
      <c r="CD832" t="str">
        <f>""</f>
        <v/>
      </c>
      <c r="CE832" t="str">
        <f>""</f>
        <v/>
      </c>
      <c r="CF832" t="str">
        <f>""</f>
        <v/>
      </c>
      <c r="CG832" t="str">
        <f>""</f>
        <v/>
      </c>
      <c r="CH832" t="str">
        <f>""</f>
        <v/>
      </c>
      <c r="CI832" t="str">
        <f>""</f>
        <v/>
      </c>
      <c r="CJ832" t="str">
        <f>""</f>
        <v/>
      </c>
      <c r="CK832" t="str">
        <f>""</f>
        <v/>
      </c>
      <c r="CL832" t="str">
        <f>""</f>
        <v/>
      </c>
      <c r="CM832" t="str">
        <f>""</f>
        <v/>
      </c>
      <c r="CN832" t="str">
        <f>""</f>
        <v/>
      </c>
      <c r="CO832" t="str">
        <f>""</f>
        <v/>
      </c>
      <c r="CP832" t="str">
        <f>""</f>
        <v/>
      </c>
      <c r="CQ832" t="str">
        <f>""</f>
        <v/>
      </c>
      <c r="CR832" t="str">
        <f>""</f>
        <v/>
      </c>
      <c r="CS832" t="str">
        <f>""</f>
        <v/>
      </c>
      <c r="CT832" t="str">
        <f>""</f>
        <v/>
      </c>
      <c r="CU832" t="str">
        <f>""</f>
        <v/>
      </c>
      <c r="CV832" t="str">
        <f>""</f>
        <v/>
      </c>
      <c r="CW832" t="str">
        <f>""</f>
        <v/>
      </c>
      <c r="CX832" t="str">
        <f>""</f>
        <v/>
      </c>
      <c r="CY832" t="str">
        <f>""</f>
        <v/>
      </c>
      <c r="CZ832" t="str">
        <f>""</f>
        <v/>
      </c>
      <c r="DA832" t="str">
        <f>""</f>
        <v/>
      </c>
      <c r="DB832" t="str">
        <f>""</f>
        <v/>
      </c>
      <c r="DC832" t="str">
        <f>""</f>
        <v/>
      </c>
      <c r="DD832" t="str">
        <f>""</f>
        <v/>
      </c>
      <c r="DE832" t="str">
        <f>""</f>
        <v/>
      </c>
      <c r="DF832" t="str">
        <f>""</f>
        <v/>
      </c>
      <c r="DG832" t="str">
        <f>""</f>
        <v/>
      </c>
      <c r="DH832" t="str">
        <f>""</f>
        <v/>
      </c>
      <c r="DI832" t="str">
        <f>""</f>
        <v/>
      </c>
      <c r="DJ832" t="str">
        <f>""</f>
        <v/>
      </c>
      <c r="DK832" t="str">
        <f>""</f>
        <v/>
      </c>
      <c r="DL832" t="str">
        <f>""</f>
        <v/>
      </c>
      <c r="DM832" t="str">
        <f>""</f>
        <v/>
      </c>
      <c r="DN832" t="str">
        <f>""</f>
        <v/>
      </c>
      <c r="DO832" t="str">
        <f>""</f>
        <v/>
      </c>
      <c r="DP832" t="str">
        <f>""</f>
        <v/>
      </c>
      <c r="DQ832" t="str">
        <f>""</f>
        <v/>
      </c>
      <c r="DR832" t="str">
        <f>""</f>
        <v/>
      </c>
      <c r="DS832" t="str">
        <f>""</f>
        <v/>
      </c>
      <c r="DT832" t="str">
        <f>""</f>
        <v/>
      </c>
      <c r="DU832" t="str">
        <f>""</f>
        <v/>
      </c>
    </row>
    <row r="833" spans="1:125">
      <c r="A833" t="str">
        <f>"Downloaded at"</f>
        <v>Downloaded at</v>
      </c>
      <c r="B833">
        <f>DATE(2018, 3,13)</f>
        <v>43172</v>
      </c>
      <c r="C833" t="str">
        <f>""</f>
        <v/>
      </c>
      <c r="D833" t="str">
        <f>""</f>
        <v/>
      </c>
      <c r="E833" t="str">
        <f>""</f>
        <v/>
      </c>
      <c r="BN833" t="str">
        <f>""</f>
        <v/>
      </c>
      <c r="BO833" t="str">
        <f>""</f>
        <v/>
      </c>
      <c r="BP833" t="str">
        <f>""</f>
        <v/>
      </c>
      <c r="BQ833" t="str">
        <f>""</f>
        <v/>
      </c>
      <c r="BR833" t="str">
        <f>""</f>
        <v/>
      </c>
      <c r="BS833" t="str">
        <f>""</f>
        <v/>
      </c>
      <c r="BT833" t="str">
        <f>""</f>
        <v/>
      </c>
      <c r="BU833" t="str">
        <f>""</f>
        <v/>
      </c>
      <c r="BV833" t="str">
        <f>""</f>
        <v/>
      </c>
      <c r="BW833" t="str">
        <f>""</f>
        <v/>
      </c>
      <c r="BX833" t="str">
        <f>""</f>
        <v/>
      </c>
      <c r="BY833" t="str">
        <f>""</f>
        <v/>
      </c>
      <c r="BZ833" t="str">
        <f>""</f>
        <v/>
      </c>
      <c r="CA833" t="str">
        <f>""</f>
        <v/>
      </c>
      <c r="CB833" t="str">
        <f>""</f>
        <v/>
      </c>
      <c r="CC833" t="str">
        <f>""</f>
        <v/>
      </c>
      <c r="CD833" t="str">
        <f>""</f>
        <v/>
      </c>
      <c r="CE833" t="str">
        <f>""</f>
        <v/>
      </c>
      <c r="CF833" t="str">
        <f>""</f>
        <v/>
      </c>
      <c r="CG833" t="str">
        <f>""</f>
        <v/>
      </c>
      <c r="CH833" t="str">
        <f>""</f>
        <v/>
      </c>
      <c r="CI833" t="str">
        <f>""</f>
        <v/>
      </c>
      <c r="CJ833" t="str">
        <f>""</f>
        <v/>
      </c>
      <c r="CK833" t="str">
        <f>""</f>
        <v/>
      </c>
      <c r="CL833" t="str">
        <f>""</f>
        <v/>
      </c>
      <c r="CM833" t="str">
        <f>""</f>
        <v/>
      </c>
      <c r="CN833" t="str">
        <f>""</f>
        <v/>
      </c>
      <c r="CO833" t="str">
        <f>""</f>
        <v/>
      </c>
      <c r="CP833" t="str">
        <f>""</f>
        <v/>
      </c>
      <c r="CQ833" t="str">
        <f>""</f>
        <v/>
      </c>
      <c r="CR833" t="str">
        <f>""</f>
        <v/>
      </c>
      <c r="CS833" t="str">
        <f>""</f>
        <v/>
      </c>
      <c r="CT833" t="str">
        <f>""</f>
        <v/>
      </c>
      <c r="CU833" t="str">
        <f>""</f>
        <v/>
      </c>
      <c r="CV833" t="str">
        <f>""</f>
        <v/>
      </c>
      <c r="CW833" t="str">
        <f>""</f>
        <v/>
      </c>
      <c r="CX833" t="str">
        <f>""</f>
        <v/>
      </c>
      <c r="CY833" t="str">
        <f>""</f>
        <v/>
      </c>
      <c r="CZ833" t="str">
        <f>""</f>
        <v/>
      </c>
      <c r="DA833" t="str">
        <f>""</f>
        <v/>
      </c>
      <c r="DB833" t="str">
        <f>""</f>
        <v/>
      </c>
      <c r="DC833" t="str">
        <f>""</f>
        <v/>
      </c>
      <c r="DD833" t="str">
        <f>""</f>
        <v/>
      </c>
      <c r="DE833" t="str">
        <f>""</f>
        <v/>
      </c>
      <c r="DF833" t="str">
        <f>""</f>
        <v/>
      </c>
      <c r="DG833" t="str">
        <f>""</f>
        <v/>
      </c>
      <c r="DH833" t="str">
        <f>""</f>
        <v/>
      </c>
      <c r="DI833" t="str">
        <f>""</f>
        <v/>
      </c>
      <c r="DJ833" t="str">
        <f>""</f>
        <v/>
      </c>
      <c r="DK833" t="str">
        <f>""</f>
        <v/>
      </c>
      <c r="DL833" t="str">
        <f>""</f>
        <v/>
      </c>
      <c r="DM833" t="str">
        <f>""</f>
        <v/>
      </c>
      <c r="DN833" t="str">
        <f>""</f>
        <v/>
      </c>
      <c r="DO833" t="str">
        <f>""</f>
        <v/>
      </c>
      <c r="DP833" t="str">
        <f>""</f>
        <v/>
      </c>
      <c r="DQ833" t="str">
        <f>""</f>
        <v/>
      </c>
      <c r="DR833" t="str">
        <f>""</f>
        <v/>
      </c>
      <c r="DS833" t="str">
        <f>""</f>
        <v/>
      </c>
      <c r="DT833" t="str">
        <f>""</f>
        <v/>
      </c>
      <c r="DU833" t="str">
        <f>""</f>
        <v/>
      </c>
    </row>
    <row r="834" spans="1:125">
      <c r="A834" t="str">
        <f>"This is End Date"</f>
        <v>This is End Date</v>
      </c>
      <c r="B834">
        <f ca="1">$B$418</f>
        <v>43190</v>
      </c>
      <c r="C834" t="str">
        <f>""</f>
        <v/>
      </c>
      <c r="D834" t="str">
        <f>""</f>
        <v/>
      </c>
      <c r="E834" t="str">
        <f>""</f>
        <v/>
      </c>
      <c r="BN834" t="str">
        <f>""</f>
        <v/>
      </c>
      <c r="BO834" t="str">
        <f>""</f>
        <v/>
      </c>
      <c r="BP834" t="str">
        <f>""</f>
        <v/>
      </c>
      <c r="BQ834" t="str">
        <f>""</f>
        <v/>
      </c>
      <c r="BR834" t="str">
        <f>""</f>
        <v/>
      </c>
      <c r="BS834" t="str">
        <f>""</f>
        <v/>
      </c>
      <c r="BT834" t="str">
        <f>""</f>
        <v/>
      </c>
      <c r="BU834" t="str">
        <f>""</f>
        <v/>
      </c>
      <c r="BV834" t="str">
        <f>""</f>
        <v/>
      </c>
      <c r="BW834" t="str">
        <f>""</f>
        <v/>
      </c>
      <c r="BX834" t="str">
        <f>""</f>
        <v/>
      </c>
      <c r="BY834" t="str">
        <f>""</f>
        <v/>
      </c>
      <c r="BZ834" t="str">
        <f>""</f>
        <v/>
      </c>
      <c r="CA834" t="str">
        <f>""</f>
        <v/>
      </c>
      <c r="CB834" t="str">
        <f>""</f>
        <v/>
      </c>
      <c r="CC834" t="str">
        <f>""</f>
        <v/>
      </c>
      <c r="CD834" t="str">
        <f>""</f>
        <v/>
      </c>
      <c r="CE834" t="str">
        <f>""</f>
        <v/>
      </c>
      <c r="CF834" t="str">
        <f>""</f>
        <v/>
      </c>
      <c r="CG834" t="str">
        <f>""</f>
        <v/>
      </c>
      <c r="CH834" t="str">
        <f>""</f>
        <v/>
      </c>
      <c r="CI834" t="str">
        <f>""</f>
        <v/>
      </c>
      <c r="CJ834" t="str">
        <f>""</f>
        <v/>
      </c>
      <c r="CK834" t="str">
        <f>""</f>
        <v/>
      </c>
      <c r="CL834" t="str">
        <f>""</f>
        <v/>
      </c>
      <c r="CM834" t="str">
        <f>""</f>
        <v/>
      </c>
      <c r="CN834" t="str">
        <f>""</f>
        <v/>
      </c>
      <c r="CO834" t="str">
        <f>""</f>
        <v/>
      </c>
      <c r="CP834" t="str">
        <f>""</f>
        <v/>
      </c>
      <c r="CQ834" t="str">
        <f>""</f>
        <v/>
      </c>
      <c r="CR834" t="str">
        <f>""</f>
        <v/>
      </c>
      <c r="CS834" t="str">
        <f>""</f>
        <v/>
      </c>
      <c r="CT834" t="str">
        <f>""</f>
        <v/>
      </c>
      <c r="CU834" t="str">
        <f>""</f>
        <v/>
      </c>
      <c r="CV834" t="str">
        <f>""</f>
        <v/>
      </c>
      <c r="CW834" t="str">
        <f>""</f>
        <v/>
      </c>
      <c r="CX834" t="str">
        <f>""</f>
        <v/>
      </c>
      <c r="CY834" t="str">
        <f>""</f>
        <v/>
      </c>
      <c r="CZ834" t="str">
        <f>""</f>
        <v/>
      </c>
      <c r="DA834" t="str">
        <f>""</f>
        <v/>
      </c>
      <c r="DB834" t="str">
        <f>""</f>
        <v/>
      </c>
      <c r="DC834" t="str">
        <f>""</f>
        <v/>
      </c>
      <c r="DD834" t="str">
        <f>""</f>
        <v/>
      </c>
      <c r="DE834" t="str">
        <f>""</f>
        <v/>
      </c>
      <c r="DF834" t="str">
        <f>""</f>
        <v/>
      </c>
      <c r="DG834" t="str">
        <f>""</f>
        <v/>
      </c>
      <c r="DH834" t="str">
        <f>""</f>
        <v/>
      </c>
      <c r="DI834" t="str">
        <f>""</f>
        <v/>
      </c>
      <c r="DJ834" t="str">
        <f>""</f>
        <v/>
      </c>
      <c r="DK834" t="str">
        <f>""</f>
        <v/>
      </c>
      <c r="DL834" t="str">
        <f>""</f>
        <v/>
      </c>
      <c r="DM834" t="str">
        <f>""</f>
        <v/>
      </c>
      <c r="DN834" t="str">
        <f>""</f>
        <v/>
      </c>
      <c r="DO834" t="str">
        <f>""</f>
        <v/>
      </c>
      <c r="DP834" t="str">
        <f>""</f>
        <v/>
      </c>
      <c r="DQ834" t="str">
        <f>""</f>
        <v/>
      </c>
      <c r="DR834" t="str">
        <f>""</f>
        <v/>
      </c>
      <c r="DS834" t="str">
        <f>""</f>
        <v/>
      </c>
      <c r="DT834" t="str">
        <f>""</f>
        <v/>
      </c>
      <c r="DU834" t="str">
        <f>""</f>
        <v/>
      </c>
    </row>
    <row r="835" spans="1:125">
      <c r="A835" t="str">
        <f>"简述"</f>
        <v>简述</v>
      </c>
      <c r="B835" t="str">
        <f>"代码"</f>
        <v>代码</v>
      </c>
      <c r="C835" t="str">
        <f>"栏目ID"</f>
        <v>栏目ID</v>
      </c>
      <c r="D835" t="str">
        <f>"栏目助记符"</f>
        <v>栏目助记符</v>
      </c>
      <c r="E835" t="str">
        <f>"数据状态"</f>
        <v>数据状态</v>
      </c>
      <c r="BN835" t="str">
        <f>""</f>
        <v/>
      </c>
      <c r="BO835" t="str">
        <f>""</f>
        <v/>
      </c>
      <c r="BP835" t="str">
        <f>""</f>
        <v/>
      </c>
      <c r="BQ835" t="str">
        <f>""</f>
        <v/>
      </c>
      <c r="BR835" t="str">
        <f>""</f>
        <v/>
      </c>
      <c r="BS835" t="str">
        <f>""</f>
        <v/>
      </c>
      <c r="BT835" t="str">
        <f>""</f>
        <v/>
      </c>
      <c r="BU835" t="str">
        <f>""</f>
        <v/>
      </c>
      <c r="BV835" t="str">
        <f>""</f>
        <v/>
      </c>
      <c r="BW835" t="str">
        <f>""</f>
        <v/>
      </c>
      <c r="BX835" t="str">
        <f>""</f>
        <v/>
      </c>
      <c r="BY835" t="str">
        <f>""</f>
        <v/>
      </c>
      <c r="BZ835" t="str">
        <f>""</f>
        <v/>
      </c>
      <c r="CA835" t="str">
        <f>""</f>
        <v/>
      </c>
      <c r="CB835" t="str">
        <f>""</f>
        <v/>
      </c>
      <c r="CC835" t="str">
        <f>""</f>
        <v/>
      </c>
      <c r="CD835" t="str">
        <f>""</f>
        <v/>
      </c>
      <c r="CE835" t="str">
        <f>""</f>
        <v/>
      </c>
      <c r="CF835" t="str">
        <f>""</f>
        <v/>
      </c>
      <c r="CG835" t="str">
        <f>""</f>
        <v/>
      </c>
      <c r="CH835" t="str">
        <f>""</f>
        <v/>
      </c>
      <c r="CI835" t="str">
        <f>""</f>
        <v/>
      </c>
      <c r="CJ835" t="str">
        <f>""</f>
        <v/>
      </c>
      <c r="CK835" t="str">
        <f>""</f>
        <v/>
      </c>
      <c r="CL835" t="str">
        <f>""</f>
        <v/>
      </c>
      <c r="CM835" t="str">
        <f>""</f>
        <v/>
      </c>
      <c r="CN835" t="str">
        <f>""</f>
        <v/>
      </c>
      <c r="CO835" t="str">
        <f>""</f>
        <v/>
      </c>
      <c r="CP835" t="str">
        <f>""</f>
        <v/>
      </c>
      <c r="CQ835" t="str">
        <f>""</f>
        <v/>
      </c>
      <c r="CR835" t="str">
        <f>""</f>
        <v/>
      </c>
      <c r="CS835" t="str">
        <f>""</f>
        <v/>
      </c>
      <c r="CT835" t="str">
        <f>""</f>
        <v/>
      </c>
      <c r="CU835" t="str">
        <f>""</f>
        <v/>
      </c>
      <c r="CV835" t="str">
        <f>""</f>
        <v/>
      </c>
      <c r="CW835" t="str">
        <f>""</f>
        <v/>
      </c>
      <c r="CX835" t="str">
        <f>""</f>
        <v/>
      </c>
      <c r="CY835" t="str">
        <f>""</f>
        <v/>
      </c>
      <c r="CZ835" t="str">
        <f>""</f>
        <v/>
      </c>
      <c r="DA835" t="str">
        <f>""</f>
        <v/>
      </c>
      <c r="DB835" t="str">
        <f>""</f>
        <v/>
      </c>
      <c r="DC835" t="str">
        <f>""</f>
        <v/>
      </c>
      <c r="DD835" t="str">
        <f>""</f>
        <v/>
      </c>
      <c r="DE835" t="str">
        <f>""</f>
        <v/>
      </c>
      <c r="DF835" t="str">
        <f>""</f>
        <v/>
      </c>
      <c r="DG835" t="str">
        <f>""</f>
        <v/>
      </c>
      <c r="DH835" t="str">
        <f>""</f>
        <v/>
      </c>
      <c r="DI835" t="str">
        <f>""</f>
        <v/>
      </c>
      <c r="DJ835" t="str">
        <f>""</f>
        <v/>
      </c>
      <c r="DK835" t="str">
        <f>""</f>
        <v/>
      </c>
      <c r="DL835" t="str">
        <f>""</f>
        <v/>
      </c>
      <c r="DM835" t="str">
        <f>""</f>
        <v/>
      </c>
      <c r="DN835" t="str">
        <f>""</f>
        <v/>
      </c>
      <c r="DO835" t="str">
        <f>""</f>
        <v/>
      </c>
      <c r="DP835" t="str">
        <f>""</f>
        <v/>
      </c>
      <c r="DQ835" t="str">
        <f>""</f>
        <v/>
      </c>
      <c r="DR835" t="str">
        <f>""</f>
        <v/>
      </c>
      <c r="DS835" t="str">
        <f>""</f>
        <v/>
      </c>
      <c r="DT835" t="str">
        <f>""</f>
        <v/>
      </c>
      <c r="DU835" t="str">
        <f>""</f>
        <v/>
      </c>
    </row>
    <row r="836" spans="1:125">
      <c r="A836" t="str">
        <f>"Snapshot Date"</f>
        <v>Snapshot Date</v>
      </c>
      <c r="B836">
        <f>DATE(2018, 3,31)</f>
        <v>43190</v>
      </c>
      <c r="C836" t="str">
        <f>""</f>
        <v/>
      </c>
      <c r="D836" t="str">
        <f>""</f>
        <v/>
      </c>
      <c r="E836" t="str">
        <f>""</f>
        <v/>
      </c>
      <c r="BN836" t="str">
        <f>""</f>
        <v/>
      </c>
      <c r="BO836" t="str">
        <f>""</f>
        <v/>
      </c>
      <c r="BP836" t="str">
        <f>""</f>
        <v/>
      </c>
      <c r="BQ836" t="str">
        <f>""</f>
        <v/>
      </c>
      <c r="BR836" t="str">
        <f>""</f>
        <v/>
      </c>
      <c r="BS836" t="str">
        <f>""</f>
        <v/>
      </c>
      <c r="BT836" t="str">
        <f>""</f>
        <v/>
      </c>
      <c r="BU836" t="str">
        <f>""</f>
        <v/>
      </c>
      <c r="BV836" t="str">
        <f>""</f>
        <v/>
      </c>
      <c r="BW836" t="str">
        <f>""</f>
        <v/>
      </c>
      <c r="BX836" t="str">
        <f>""</f>
        <v/>
      </c>
      <c r="BY836" t="str">
        <f>""</f>
        <v/>
      </c>
      <c r="BZ836" t="str">
        <f>""</f>
        <v/>
      </c>
      <c r="CA836" t="str">
        <f>""</f>
        <v/>
      </c>
      <c r="CB836" t="str">
        <f>""</f>
        <v/>
      </c>
      <c r="CC836" t="str">
        <f>""</f>
        <v/>
      </c>
      <c r="CD836" t="str">
        <f>""</f>
        <v/>
      </c>
      <c r="CE836" t="str">
        <f>""</f>
        <v/>
      </c>
      <c r="CF836" t="str">
        <f>""</f>
        <v/>
      </c>
      <c r="CG836" t="str">
        <f>""</f>
        <v/>
      </c>
      <c r="CH836" t="str">
        <f>""</f>
        <v/>
      </c>
      <c r="CI836" t="str">
        <f>""</f>
        <v/>
      </c>
      <c r="CJ836" t="str">
        <f>""</f>
        <v/>
      </c>
      <c r="CK836" t="str">
        <f>""</f>
        <v/>
      </c>
      <c r="CL836" t="str">
        <f>""</f>
        <v/>
      </c>
      <c r="CM836" t="str">
        <f>""</f>
        <v/>
      </c>
      <c r="CN836" t="str">
        <f>""</f>
        <v/>
      </c>
      <c r="CO836" t="str">
        <f>""</f>
        <v/>
      </c>
      <c r="CP836" t="str">
        <f>""</f>
        <v/>
      </c>
      <c r="CQ836" t="str">
        <f>""</f>
        <v/>
      </c>
      <c r="CR836" t="str">
        <f>""</f>
        <v/>
      </c>
      <c r="CS836" t="str">
        <f>""</f>
        <v/>
      </c>
      <c r="CT836" t="str">
        <f>""</f>
        <v/>
      </c>
      <c r="CU836" t="str">
        <f>""</f>
        <v/>
      </c>
      <c r="CV836" t="str">
        <f>""</f>
        <v/>
      </c>
      <c r="CW836" t="str">
        <f>""</f>
        <v/>
      </c>
      <c r="CX836" t="str">
        <f>""</f>
        <v/>
      </c>
      <c r="CY836" t="str">
        <f>""</f>
        <v/>
      </c>
      <c r="CZ836" t="str">
        <f>""</f>
        <v/>
      </c>
      <c r="DA836" t="str">
        <f>""</f>
        <v/>
      </c>
      <c r="DB836" t="str">
        <f>""</f>
        <v/>
      </c>
      <c r="DC836" t="str">
        <f>""</f>
        <v/>
      </c>
      <c r="DD836" t="str">
        <f>""</f>
        <v/>
      </c>
      <c r="DE836" t="str">
        <f>""</f>
        <v/>
      </c>
      <c r="DF836" t="str">
        <f>""</f>
        <v/>
      </c>
      <c r="DG836" t="str">
        <f>""</f>
        <v/>
      </c>
      <c r="DH836" t="str">
        <f>""</f>
        <v/>
      </c>
      <c r="DI836" t="str">
        <f>""</f>
        <v/>
      </c>
      <c r="DJ836" t="str">
        <f>""</f>
        <v/>
      </c>
      <c r="DK836" t="str">
        <f>""</f>
        <v/>
      </c>
      <c r="DL836" t="str">
        <f>""</f>
        <v/>
      </c>
      <c r="DM836" t="str">
        <f>""</f>
        <v/>
      </c>
      <c r="DN836" t="str">
        <f>""</f>
        <v/>
      </c>
      <c r="DO836" t="str">
        <f>""</f>
        <v/>
      </c>
      <c r="DP836" t="str">
        <f>""</f>
        <v/>
      </c>
      <c r="DQ836" t="str">
        <f>""</f>
        <v/>
      </c>
      <c r="DR836" t="str">
        <f>""</f>
        <v/>
      </c>
      <c r="DS836" t="str">
        <f>""</f>
        <v/>
      </c>
      <c r="DT836" t="str">
        <f>""</f>
        <v/>
      </c>
      <c r="DU836" t="str">
        <f>""</f>
        <v/>
      </c>
    </row>
    <row r="837" spans="1:125">
      <c r="A837" t="str">
        <f>"Snapshot header"</f>
        <v>Snapshot header</v>
      </c>
      <c r="B837">
        <f>2</f>
        <v>2</v>
      </c>
      <c r="C837" t="str">
        <f>"2018 Q1"</f>
        <v>2018 Q1</v>
      </c>
      <c r="D837" t="str">
        <f>"2017 Q4"</f>
        <v>2017 Q4</v>
      </c>
      <c r="E837" t="str">
        <f>"2017 Q3"</f>
        <v>2017 Q3</v>
      </c>
      <c r="F837" t="str">
        <f>"2017 Q2"</f>
        <v>2017 Q2</v>
      </c>
      <c r="G837" t="str">
        <f>"2017 Q1"</f>
        <v>2017 Q1</v>
      </c>
      <c r="H837" t="str">
        <f>"2016 Q4"</f>
        <v>2016 Q4</v>
      </c>
      <c r="I837" t="str">
        <f>"2016 Q3"</f>
        <v>2016 Q3</v>
      </c>
      <c r="J837" t="str">
        <f>"2016 Q2"</f>
        <v>2016 Q2</v>
      </c>
      <c r="K837" t="str">
        <f>"2016 Q1"</f>
        <v>2016 Q1</v>
      </c>
      <c r="L837" t="str">
        <f>"2015 Q4"</f>
        <v>2015 Q4</v>
      </c>
      <c r="M837" t="str">
        <f>"2015 Q3"</f>
        <v>2015 Q3</v>
      </c>
      <c r="N837" t="str">
        <f>"2015 Q2"</f>
        <v>2015 Q2</v>
      </c>
      <c r="O837" t="str">
        <f>"2015 Q1"</f>
        <v>2015 Q1</v>
      </c>
      <c r="P837" t="str">
        <f>"2014 Q4"</f>
        <v>2014 Q4</v>
      </c>
      <c r="Q837" t="str">
        <f>"2014 Q3"</f>
        <v>2014 Q3</v>
      </c>
      <c r="R837" t="str">
        <f>"2014 Q2"</f>
        <v>2014 Q2</v>
      </c>
      <c r="S837" t="str">
        <f>"2014 Q1"</f>
        <v>2014 Q1</v>
      </c>
      <c r="T837" t="str">
        <f>"2013 Q4"</f>
        <v>2013 Q4</v>
      </c>
      <c r="U837" t="str">
        <f>"2013 Q3"</f>
        <v>2013 Q3</v>
      </c>
      <c r="V837" t="str">
        <f>"2013 Q2"</f>
        <v>2013 Q2</v>
      </c>
      <c r="W837" t="str">
        <f>"2013 Q1"</f>
        <v>2013 Q1</v>
      </c>
      <c r="X837" t="str">
        <f>"2012 Q4"</f>
        <v>2012 Q4</v>
      </c>
      <c r="Y837" t="str">
        <f>"2012 Q3"</f>
        <v>2012 Q3</v>
      </c>
      <c r="Z837" t="str">
        <f>"2012 Q2"</f>
        <v>2012 Q2</v>
      </c>
      <c r="AA837" t="str">
        <f>"2012 Q1"</f>
        <v>2012 Q1</v>
      </c>
      <c r="AB837" t="str">
        <f>"2011 Q4"</f>
        <v>2011 Q4</v>
      </c>
      <c r="AC837" t="str">
        <f>"2011 Q3"</f>
        <v>2011 Q3</v>
      </c>
      <c r="AD837" t="str">
        <f>"2011 Q2"</f>
        <v>2011 Q2</v>
      </c>
      <c r="AE837" t="str">
        <f>"2011 Q1"</f>
        <v>2011 Q1</v>
      </c>
      <c r="AF837" t="str">
        <f>"2010 Q4"</f>
        <v>2010 Q4</v>
      </c>
      <c r="AG837" t="str">
        <f>"2010 Q3"</f>
        <v>2010 Q3</v>
      </c>
      <c r="AH837" t="str">
        <f>"2010 Q2"</f>
        <v>2010 Q2</v>
      </c>
      <c r="AI837" t="str">
        <f>"2010 Q1"</f>
        <v>2010 Q1</v>
      </c>
      <c r="AJ837" t="str">
        <f>"2009 Q4"</f>
        <v>2009 Q4</v>
      </c>
      <c r="AK837" t="str">
        <f>"2009 Q3"</f>
        <v>2009 Q3</v>
      </c>
      <c r="AL837" t="str">
        <f>"2009 Q2"</f>
        <v>2009 Q2</v>
      </c>
      <c r="AM837" t="str">
        <f>"2009 Q1"</f>
        <v>2009 Q1</v>
      </c>
      <c r="AN837" t="str">
        <f>"2008 Q4"</f>
        <v>2008 Q4</v>
      </c>
      <c r="AO837" t="str">
        <f>"2008 Q3"</f>
        <v>2008 Q3</v>
      </c>
      <c r="AP837" t="str">
        <f>"2008 Q2"</f>
        <v>2008 Q2</v>
      </c>
      <c r="AQ837" t="str">
        <f>"2008 Q1"</f>
        <v>2008 Q1</v>
      </c>
      <c r="AR837" t="str">
        <f>"2007 Q4"</f>
        <v>2007 Q4</v>
      </c>
      <c r="AS837" t="str">
        <f>"2007 Q3"</f>
        <v>2007 Q3</v>
      </c>
      <c r="AT837" t="str">
        <f>"2007 Q2"</f>
        <v>2007 Q2</v>
      </c>
      <c r="AU837" t="str">
        <f>"2007 Q1"</f>
        <v>2007 Q1</v>
      </c>
      <c r="AV837" t="str">
        <f>"2006 Q4"</f>
        <v>2006 Q4</v>
      </c>
      <c r="AW837" t="str">
        <f>"2006 Q3"</f>
        <v>2006 Q3</v>
      </c>
      <c r="AX837" t="str">
        <f>"2006 Q2"</f>
        <v>2006 Q2</v>
      </c>
      <c r="AY837" t="str">
        <f>"2006 Q1"</f>
        <v>2006 Q1</v>
      </c>
      <c r="AZ837" t="str">
        <f>"2005 Q4"</f>
        <v>2005 Q4</v>
      </c>
      <c r="BA837" t="str">
        <f>"2005 Q3"</f>
        <v>2005 Q3</v>
      </c>
      <c r="BB837" t="str">
        <f>"2005 Q2"</f>
        <v>2005 Q2</v>
      </c>
      <c r="BC837" t="str">
        <f>"2005 Q1"</f>
        <v>2005 Q1</v>
      </c>
      <c r="BD837" t="str">
        <f>"2004 Q4"</f>
        <v>2004 Q4</v>
      </c>
      <c r="BE837" t="str">
        <f>"2004 Q3"</f>
        <v>2004 Q3</v>
      </c>
      <c r="BF837" t="str">
        <f>"2004 Q2"</f>
        <v>2004 Q2</v>
      </c>
      <c r="BG837" t="str">
        <f>"2004 Q1"</f>
        <v>2004 Q1</v>
      </c>
      <c r="BH837" t="str">
        <f>"2003 Q4"</f>
        <v>2003 Q4</v>
      </c>
      <c r="BI837" t="str">
        <f>"2003 Q3"</f>
        <v>2003 Q3</v>
      </c>
      <c r="BJ837" t="str">
        <f>"2003 Q2"</f>
        <v>2003 Q2</v>
      </c>
      <c r="BN837" t="str">
        <f>""</f>
        <v/>
      </c>
      <c r="BO837" t="str">
        <f>""</f>
        <v/>
      </c>
      <c r="BP837" t="str">
        <f>""</f>
        <v/>
      </c>
      <c r="BQ837" t="str">
        <f>""</f>
        <v/>
      </c>
      <c r="BR837" t="str">
        <f>""</f>
        <v/>
      </c>
      <c r="BS837" t="str">
        <f>""</f>
        <v/>
      </c>
      <c r="BT837" t="str">
        <f>""</f>
        <v/>
      </c>
      <c r="BU837" t="str">
        <f>""</f>
        <v/>
      </c>
      <c r="BV837" t="str">
        <f>""</f>
        <v/>
      </c>
      <c r="BW837" t="str">
        <f>""</f>
        <v/>
      </c>
      <c r="BX837" t="str">
        <f>""</f>
        <v/>
      </c>
      <c r="BY837" t="str">
        <f>""</f>
        <v/>
      </c>
      <c r="BZ837" t="str">
        <f>""</f>
        <v/>
      </c>
      <c r="CA837" t="str">
        <f>""</f>
        <v/>
      </c>
      <c r="CB837" t="str">
        <f>""</f>
        <v/>
      </c>
      <c r="CC837" t="str">
        <f>""</f>
        <v/>
      </c>
      <c r="CD837" t="str">
        <f>""</f>
        <v/>
      </c>
      <c r="CE837" t="str">
        <f>""</f>
        <v/>
      </c>
      <c r="CF837" t="str">
        <f>""</f>
        <v/>
      </c>
      <c r="CG837" t="str">
        <f>""</f>
        <v/>
      </c>
      <c r="CH837" t="str">
        <f>""</f>
        <v/>
      </c>
      <c r="CI837" t="str">
        <f>""</f>
        <v/>
      </c>
      <c r="CJ837" t="str">
        <f>""</f>
        <v/>
      </c>
      <c r="CK837" t="str">
        <f>""</f>
        <v/>
      </c>
      <c r="CL837" t="str">
        <f>""</f>
        <v/>
      </c>
      <c r="CM837" t="str">
        <f>""</f>
        <v/>
      </c>
      <c r="CN837" t="str">
        <f>""</f>
        <v/>
      </c>
      <c r="CO837" t="str">
        <f>""</f>
        <v/>
      </c>
      <c r="CP837" t="str">
        <f>""</f>
        <v/>
      </c>
      <c r="CQ837" t="str">
        <f>""</f>
        <v/>
      </c>
      <c r="CR837" t="str">
        <f>""</f>
        <v/>
      </c>
      <c r="CS837" t="str">
        <f>""</f>
        <v/>
      </c>
      <c r="CT837" t="str">
        <f>""</f>
        <v/>
      </c>
      <c r="CU837" t="str">
        <f>""</f>
        <v/>
      </c>
      <c r="CV837" t="str">
        <f>""</f>
        <v/>
      </c>
      <c r="CW837" t="str">
        <f>""</f>
        <v/>
      </c>
      <c r="CX837" t="str">
        <f>""</f>
        <v/>
      </c>
      <c r="CY837" t="str">
        <f>""</f>
        <v/>
      </c>
      <c r="CZ837" t="str">
        <f>""</f>
        <v/>
      </c>
      <c r="DA837" t="str">
        <f>""</f>
        <v/>
      </c>
      <c r="DB837" t="str">
        <f>""</f>
        <v/>
      </c>
      <c r="DC837" t="str">
        <f>""</f>
        <v/>
      </c>
      <c r="DD837" t="str">
        <f>""</f>
        <v/>
      </c>
      <c r="DE837" t="str">
        <f>""</f>
        <v/>
      </c>
      <c r="DF837" t="str">
        <f>""</f>
        <v/>
      </c>
      <c r="DG837" t="str">
        <f>""</f>
        <v/>
      </c>
      <c r="DH837" t="str">
        <f>""</f>
        <v/>
      </c>
      <c r="DI837" t="str">
        <f>""</f>
        <v/>
      </c>
      <c r="DJ837" t="str">
        <f>""</f>
        <v/>
      </c>
      <c r="DK837" t="str">
        <f>""</f>
        <v/>
      </c>
      <c r="DL837" t="str">
        <f>""</f>
        <v/>
      </c>
      <c r="DM837" t="str">
        <f>""</f>
        <v/>
      </c>
      <c r="DN837" t="str">
        <f>""</f>
        <v/>
      </c>
      <c r="DO837" t="str">
        <f>""</f>
        <v/>
      </c>
      <c r="DP837" t="str">
        <f>""</f>
        <v/>
      </c>
      <c r="DQ837" t="str">
        <f>""</f>
        <v/>
      </c>
      <c r="DR837" t="str">
        <f>""</f>
        <v/>
      </c>
      <c r="DS837" t="str">
        <f>""</f>
        <v/>
      </c>
      <c r="DT837" t="str">
        <f>""</f>
        <v/>
      </c>
      <c r="DU837" t="str">
        <f>""</f>
        <v/>
      </c>
    </row>
    <row r="838" spans="1:125">
      <c r="A838" t="str">
        <f>"BDH snapshot header0"</f>
        <v>BDH snapshot header0</v>
      </c>
      <c r="B838">
        <f>IF(OR(ISERROR($C$838),ISBLANK($C$838),ISNUMBER(SEARCH("N/A",$C$838) ),ISERROR($C$839),ISBLANK($C$839)),0,1)</f>
        <v>0</v>
      </c>
      <c r="C838" t="str">
        <f>BDH($B$421,$C$421,$B$417,$B$836,"PER=CQ","Dts=S","DtFmt=FI", "rows=2","Dir=H","Points=60","Sort=R","Days=A","Fill=B","FX=USD" )</f>
        <v>#N/A Authorization</v>
      </c>
      <c r="BN838" t="str">
        <f>""</f>
        <v/>
      </c>
      <c r="BO838" t="str">
        <f>""</f>
        <v/>
      </c>
      <c r="BP838" t="str">
        <f>""</f>
        <v/>
      </c>
      <c r="BQ838" t="str">
        <f>""</f>
        <v/>
      </c>
      <c r="BR838" t="str">
        <f>""</f>
        <v/>
      </c>
      <c r="BS838" t="str">
        <f>""</f>
        <v/>
      </c>
      <c r="BT838" t="str">
        <f>""</f>
        <v/>
      </c>
      <c r="BU838" t="str">
        <f>""</f>
        <v/>
      </c>
      <c r="BV838" t="str">
        <f>""</f>
        <v/>
      </c>
      <c r="BW838" t="str">
        <f>""</f>
        <v/>
      </c>
      <c r="BX838" t="str">
        <f>""</f>
        <v/>
      </c>
      <c r="BY838" t="str">
        <f>""</f>
        <v/>
      </c>
      <c r="BZ838" t="str">
        <f>""</f>
        <v/>
      </c>
      <c r="CA838" t="str">
        <f>""</f>
        <v/>
      </c>
      <c r="CB838" t="str">
        <f>""</f>
        <v/>
      </c>
      <c r="CC838" t="str">
        <f>""</f>
        <v/>
      </c>
      <c r="CD838" t="str">
        <f>""</f>
        <v/>
      </c>
      <c r="CE838" t="str">
        <f>""</f>
        <v/>
      </c>
      <c r="CF838" t="str">
        <f>""</f>
        <v/>
      </c>
      <c r="CG838" t="str">
        <f>""</f>
        <v/>
      </c>
      <c r="CH838" t="str">
        <f>""</f>
        <v/>
      </c>
      <c r="CI838" t="str">
        <f>""</f>
        <v/>
      </c>
      <c r="CJ838" t="str">
        <f>""</f>
        <v/>
      </c>
      <c r="CK838" t="str">
        <f>""</f>
        <v/>
      </c>
      <c r="CL838" t="str">
        <f>""</f>
        <v/>
      </c>
      <c r="CM838" t="str">
        <f>""</f>
        <v/>
      </c>
      <c r="CN838" t="str">
        <f>""</f>
        <v/>
      </c>
      <c r="CO838" t="str">
        <f>""</f>
        <v/>
      </c>
      <c r="CP838" t="str">
        <f>""</f>
        <v/>
      </c>
      <c r="CQ838" t="str">
        <f>""</f>
        <v/>
      </c>
      <c r="CR838" t="str">
        <f>""</f>
        <v/>
      </c>
      <c r="CS838" t="str">
        <f>""</f>
        <v/>
      </c>
      <c r="CT838" t="str">
        <f>""</f>
        <v/>
      </c>
      <c r="CU838" t="str">
        <f>""</f>
        <v/>
      </c>
      <c r="CV838" t="str">
        <f>""</f>
        <v/>
      </c>
      <c r="CW838" t="str">
        <f>""</f>
        <v/>
      </c>
      <c r="CX838" t="str">
        <f>""</f>
        <v/>
      </c>
      <c r="CY838" t="str">
        <f>""</f>
        <v/>
      </c>
      <c r="CZ838" t="str">
        <f>""</f>
        <v/>
      </c>
      <c r="DA838" t="str">
        <f>""</f>
        <v/>
      </c>
      <c r="DB838" t="str">
        <f>""</f>
        <v/>
      </c>
      <c r="DC838" t="str">
        <f>""</f>
        <v/>
      </c>
      <c r="DD838" t="str">
        <f>""</f>
        <v/>
      </c>
      <c r="DE838" t="str">
        <f>""</f>
        <v/>
      </c>
      <c r="DF838" t="str">
        <f>""</f>
        <v/>
      </c>
      <c r="DG838" t="str">
        <f>""</f>
        <v/>
      </c>
      <c r="DH838" t="str">
        <f>""</f>
        <v/>
      </c>
      <c r="DI838" t="str">
        <f>""</f>
        <v/>
      </c>
      <c r="DJ838" t="str">
        <f>""</f>
        <v/>
      </c>
      <c r="DK838" t="str">
        <f>""</f>
        <v/>
      </c>
      <c r="DL838" t="str">
        <f>""</f>
        <v/>
      </c>
      <c r="DM838" t="str">
        <f>""</f>
        <v/>
      </c>
      <c r="DN838" t="str">
        <f>""</f>
        <v/>
      </c>
      <c r="DO838" t="str">
        <f>""</f>
        <v/>
      </c>
      <c r="DP838" t="str">
        <f>""</f>
        <v/>
      </c>
      <c r="DQ838" t="str">
        <f>""</f>
        <v/>
      </c>
      <c r="DR838" t="str">
        <f>""</f>
        <v/>
      </c>
      <c r="DS838" t="str">
        <f>""</f>
        <v/>
      </c>
      <c r="DT838" t="str">
        <f>""</f>
        <v/>
      </c>
      <c r="DU838" t="str">
        <f>""</f>
        <v/>
      </c>
    </row>
    <row r="839" spans="1:125">
      <c r="A839" t="str">
        <f>"BDH snapshot result0"</f>
        <v>BDH snapshot result0</v>
      </c>
      <c r="BN839" t="str">
        <f>""</f>
        <v/>
      </c>
      <c r="BO839" t="str">
        <f>""</f>
        <v/>
      </c>
      <c r="BP839" t="str">
        <f>""</f>
        <v/>
      </c>
      <c r="BQ839" t="str">
        <f>""</f>
        <v/>
      </c>
      <c r="BR839" t="str">
        <f>""</f>
        <v/>
      </c>
      <c r="BS839" t="str">
        <f>""</f>
        <v/>
      </c>
      <c r="BT839" t="str">
        <f>""</f>
        <v/>
      </c>
      <c r="BU839" t="str">
        <f>""</f>
        <v/>
      </c>
      <c r="BV839" t="str">
        <f>""</f>
        <v/>
      </c>
      <c r="BW839" t="str">
        <f>""</f>
        <v/>
      </c>
      <c r="BX839" t="str">
        <f>""</f>
        <v/>
      </c>
      <c r="BY839" t="str">
        <f>""</f>
        <v/>
      </c>
      <c r="BZ839" t="str">
        <f>""</f>
        <v/>
      </c>
      <c r="CA839" t="str">
        <f>""</f>
        <v/>
      </c>
      <c r="CB839" t="str">
        <f>""</f>
        <v/>
      </c>
      <c r="CC839" t="str">
        <f>""</f>
        <v/>
      </c>
      <c r="CD839" t="str">
        <f>""</f>
        <v/>
      </c>
      <c r="CE839" t="str">
        <f>""</f>
        <v/>
      </c>
      <c r="CF839" t="str">
        <f>""</f>
        <v/>
      </c>
      <c r="CG839" t="str">
        <f>""</f>
        <v/>
      </c>
      <c r="CH839" t="str">
        <f>""</f>
        <v/>
      </c>
      <c r="CI839" t="str">
        <f>""</f>
        <v/>
      </c>
      <c r="CJ839" t="str">
        <f>""</f>
        <v/>
      </c>
      <c r="CK839" t="str">
        <f>""</f>
        <v/>
      </c>
      <c r="CL839" t="str">
        <f>""</f>
        <v/>
      </c>
      <c r="CM839" t="str">
        <f>""</f>
        <v/>
      </c>
      <c r="CN839" t="str">
        <f>""</f>
        <v/>
      </c>
      <c r="CO839" t="str">
        <f>""</f>
        <v/>
      </c>
      <c r="CP839" t="str">
        <f>""</f>
        <v/>
      </c>
      <c r="CQ839" t="str">
        <f>""</f>
        <v/>
      </c>
      <c r="CR839" t="str">
        <f>""</f>
        <v/>
      </c>
      <c r="CS839" t="str">
        <f>""</f>
        <v/>
      </c>
      <c r="CT839" t="str">
        <f>""</f>
        <v/>
      </c>
      <c r="CU839" t="str">
        <f>""</f>
        <v/>
      </c>
      <c r="CV839" t="str">
        <f>""</f>
        <v/>
      </c>
      <c r="CW839" t="str">
        <f>""</f>
        <v/>
      </c>
      <c r="CX839" t="str">
        <f>""</f>
        <v/>
      </c>
      <c r="CY839" t="str">
        <f>""</f>
        <v/>
      </c>
      <c r="CZ839" t="str">
        <f>""</f>
        <v/>
      </c>
      <c r="DA839" t="str">
        <f>""</f>
        <v/>
      </c>
      <c r="DB839" t="str">
        <f>""</f>
        <v/>
      </c>
      <c r="DC839" t="str">
        <f>""</f>
        <v/>
      </c>
      <c r="DD839" t="str">
        <f>""</f>
        <v/>
      </c>
      <c r="DE839" t="str">
        <f>""</f>
        <v/>
      </c>
      <c r="DF839" t="str">
        <f>""</f>
        <v/>
      </c>
      <c r="DG839" t="str">
        <f>""</f>
        <v/>
      </c>
      <c r="DH839" t="str">
        <f>""</f>
        <v/>
      </c>
      <c r="DI839" t="str">
        <f>""</f>
        <v/>
      </c>
      <c r="DJ839" t="str">
        <f>""</f>
        <v/>
      </c>
      <c r="DK839" t="str">
        <f>""</f>
        <v/>
      </c>
      <c r="DL839" t="str">
        <f>""</f>
        <v/>
      </c>
      <c r="DM839" t="str">
        <f>""</f>
        <v/>
      </c>
      <c r="DN839" t="str">
        <f>""</f>
        <v/>
      </c>
      <c r="DO839" t="str">
        <f>""</f>
        <v/>
      </c>
      <c r="DP839" t="str">
        <f>""</f>
        <v/>
      </c>
      <c r="DQ839" t="str">
        <f>""</f>
        <v/>
      </c>
      <c r="DR839" t="str">
        <f>""</f>
        <v/>
      </c>
      <c r="DS839" t="str">
        <f>""</f>
        <v/>
      </c>
      <c r="DT839" t="str">
        <f>""</f>
        <v/>
      </c>
      <c r="DU839" t="str">
        <f>""</f>
        <v/>
      </c>
    </row>
    <row r="840" spans="1:125">
      <c r="A840" t="str">
        <f>"BDH snapshot header1"</f>
        <v>BDH snapshot header1</v>
      </c>
      <c r="B840">
        <f>IF(OR(ISERROR($C$840),ISBLANK($C$840),ISNUMBER(SEARCH("N/A",$C$840) ),ISERROR($C$841),ISBLANK($C$841)),0,1)</f>
        <v>0</v>
      </c>
      <c r="C840" t="str">
        <f>BDH($B$422,$C$422,$B$417,$B$836,"PER=CQ","Dts=S","DtFmt=FI", "rows=2","Dir=H","Points=60","Sort=R","Days=A","Fill=B","FX=USD" )</f>
        <v>#N/A Authorization</v>
      </c>
      <c r="BN840" t="str">
        <f>""</f>
        <v/>
      </c>
      <c r="BO840" t="str">
        <f>""</f>
        <v/>
      </c>
      <c r="BP840" t="str">
        <f>""</f>
        <v/>
      </c>
      <c r="BQ840" t="str">
        <f>""</f>
        <v/>
      </c>
      <c r="BR840" t="str">
        <f>""</f>
        <v/>
      </c>
      <c r="BS840" t="str">
        <f>""</f>
        <v/>
      </c>
      <c r="BT840" t="str">
        <f>""</f>
        <v/>
      </c>
      <c r="BU840" t="str">
        <f>""</f>
        <v/>
      </c>
      <c r="BV840" t="str">
        <f>""</f>
        <v/>
      </c>
      <c r="BW840" t="str">
        <f>""</f>
        <v/>
      </c>
      <c r="BX840" t="str">
        <f>""</f>
        <v/>
      </c>
      <c r="BY840" t="str">
        <f>""</f>
        <v/>
      </c>
      <c r="BZ840" t="str">
        <f>""</f>
        <v/>
      </c>
      <c r="CA840" t="str">
        <f>""</f>
        <v/>
      </c>
      <c r="CB840" t="str">
        <f>""</f>
        <v/>
      </c>
      <c r="CC840" t="str">
        <f>""</f>
        <v/>
      </c>
      <c r="CD840" t="str">
        <f>""</f>
        <v/>
      </c>
      <c r="CE840" t="str">
        <f>""</f>
        <v/>
      </c>
      <c r="CF840" t="str">
        <f>""</f>
        <v/>
      </c>
      <c r="CG840" t="str">
        <f>""</f>
        <v/>
      </c>
      <c r="CH840" t="str">
        <f>""</f>
        <v/>
      </c>
      <c r="CI840" t="str">
        <f>""</f>
        <v/>
      </c>
      <c r="CJ840" t="str">
        <f>""</f>
        <v/>
      </c>
      <c r="CK840" t="str">
        <f>""</f>
        <v/>
      </c>
      <c r="CL840" t="str">
        <f>""</f>
        <v/>
      </c>
      <c r="CM840" t="str">
        <f>""</f>
        <v/>
      </c>
      <c r="CN840" t="str">
        <f>""</f>
        <v/>
      </c>
      <c r="CO840" t="str">
        <f>""</f>
        <v/>
      </c>
      <c r="CP840" t="str">
        <f>""</f>
        <v/>
      </c>
      <c r="CQ840" t="str">
        <f>""</f>
        <v/>
      </c>
      <c r="CR840" t="str">
        <f>""</f>
        <v/>
      </c>
      <c r="CS840" t="str">
        <f>""</f>
        <v/>
      </c>
      <c r="CT840" t="str">
        <f>""</f>
        <v/>
      </c>
      <c r="CU840" t="str">
        <f>""</f>
        <v/>
      </c>
      <c r="CV840" t="str">
        <f>""</f>
        <v/>
      </c>
      <c r="CW840" t="str">
        <f>""</f>
        <v/>
      </c>
      <c r="CX840" t="str">
        <f>""</f>
        <v/>
      </c>
      <c r="CY840" t="str">
        <f>""</f>
        <v/>
      </c>
      <c r="CZ840" t="str">
        <f>""</f>
        <v/>
      </c>
      <c r="DA840" t="str">
        <f>""</f>
        <v/>
      </c>
      <c r="DB840" t="str">
        <f>""</f>
        <v/>
      </c>
      <c r="DC840" t="str">
        <f>""</f>
        <v/>
      </c>
      <c r="DD840" t="str">
        <f>""</f>
        <v/>
      </c>
      <c r="DE840" t="str">
        <f>""</f>
        <v/>
      </c>
      <c r="DF840" t="str">
        <f>""</f>
        <v/>
      </c>
      <c r="DG840" t="str">
        <f>""</f>
        <v/>
      </c>
      <c r="DH840" t="str">
        <f>""</f>
        <v/>
      </c>
      <c r="DI840" t="str">
        <f>""</f>
        <v/>
      </c>
      <c r="DJ840" t="str">
        <f>""</f>
        <v/>
      </c>
      <c r="DK840" t="str">
        <f>""</f>
        <v/>
      </c>
      <c r="DL840" t="str">
        <f>""</f>
        <v/>
      </c>
      <c r="DM840" t="str">
        <f>""</f>
        <v/>
      </c>
      <c r="DN840" t="str">
        <f>""</f>
        <v/>
      </c>
      <c r="DO840" t="str">
        <f>""</f>
        <v/>
      </c>
      <c r="DP840" t="str">
        <f>""</f>
        <v/>
      </c>
      <c r="DQ840" t="str">
        <f>""</f>
        <v/>
      </c>
      <c r="DR840" t="str">
        <f>""</f>
        <v/>
      </c>
      <c r="DS840" t="str">
        <f>""</f>
        <v/>
      </c>
      <c r="DT840" t="str">
        <f>""</f>
        <v/>
      </c>
      <c r="DU840" t="str">
        <f>""</f>
        <v/>
      </c>
    </row>
    <row r="841" spans="1:125">
      <c r="A841" t="str">
        <f>"BDH snapshot result1"</f>
        <v>BDH snapshot result1</v>
      </c>
      <c r="BN841" t="str">
        <f>""</f>
        <v/>
      </c>
      <c r="BO841" t="str">
        <f>""</f>
        <v/>
      </c>
      <c r="BP841" t="str">
        <f>""</f>
        <v/>
      </c>
      <c r="BQ841" t="str">
        <f>""</f>
        <v/>
      </c>
      <c r="BR841" t="str">
        <f>""</f>
        <v/>
      </c>
      <c r="BS841" t="str">
        <f>""</f>
        <v/>
      </c>
      <c r="BT841" t="str">
        <f>""</f>
        <v/>
      </c>
      <c r="BU841" t="str">
        <f>""</f>
        <v/>
      </c>
      <c r="BV841" t="str">
        <f>""</f>
        <v/>
      </c>
      <c r="BW841" t="str">
        <f>""</f>
        <v/>
      </c>
      <c r="BX841" t="str">
        <f>""</f>
        <v/>
      </c>
      <c r="BY841" t="str">
        <f>""</f>
        <v/>
      </c>
      <c r="BZ841" t="str">
        <f>""</f>
        <v/>
      </c>
      <c r="CA841" t="str">
        <f>""</f>
        <v/>
      </c>
      <c r="CB841" t="str">
        <f>""</f>
        <v/>
      </c>
      <c r="CC841" t="str">
        <f>""</f>
        <v/>
      </c>
      <c r="CD841" t="str">
        <f>""</f>
        <v/>
      </c>
      <c r="CE841" t="str">
        <f>""</f>
        <v/>
      </c>
      <c r="CF841" t="str">
        <f>""</f>
        <v/>
      </c>
      <c r="CG841" t="str">
        <f>""</f>
        <v/>
      </c>
      <c r="CH841" t="str">
        <f>""</f>
        <v/>
      </c>
      <c r="CI841" t="str">
        <f>""</f>
        <v/>
      </c>
      <c r="CJ841" t="str">
        <f>""</f>
        <v/>
      </c>
      <c r="CK841" t="str">
        <f>""</f>
        <v/>
      </c>
      <c r="CL841" t="str">
        <f>""</f>
        <v/>
      </c>
      <c r="CM841" t="str">
        <f>""</f>
        <v/>
      </c>
      <c r="CN841" t="str">
        <f>""</f>
        <v/>
      </c>
      <c r="CO841" t="str">
        <f>""</f>
        <v/>
      </c>
      <c r="CP841" t="str">
        <f>""</f>
        <v/>
      </c>
      <c r="CQ841" t="str">
        <f>""</f>
        <v/>
      </c>
      <c r="CR841" t="str">
        <f>""</f>
        <v/>
      </c>
      <c r="CS841" t="str">
        <f>""</f>
        <v/>
      </c>
      <c r="CT841" t="str">
        <f>""</f>
        <v/>
      </c>
      <c r="CU841" t="str">
        <f>""</f>
        <v/>
      </c>
      <c r="CV841" t="str">
        <f>""</f>
        <v/>
      </c>
      <c r="CW841" t="str">
        <f>""</f>
        <v/>
      </c>
      <c r="CX841" t="str">
        <f>""</f>
        <v/>
      </c>
      <c r="CY841" t="str">
        <f>""</f>
        <v/>
      </c>
      <c r="CZ841" t="str">
        <f>""</f>
        <v/>
      </c>
      <c r="DA841" t="str">
        <f>""</f>
        <v/>
      </c>
      <c r="DB841" t="str">
        <f>""</f>
        <v/>
      </c>
      <c r="DC841" t="str">
        <f>""</f>
        <v/>
      </c>
      <c r="DD841" t="str">
        <f>""</f>
        <v/>
      </c>
      <c r="DE841" t="str">
        <f>""</f>
        <v/>
      </c>
      <c r="DF841" t="str">
        <f>""</f>
        <v/>
      </c>
      <c r="DG841" t="str">
        <f>""</f>
        <v/>
      </c>
      <c r="DH841" t="str">
        <f>""</f>
        <v/>
      </c>
      <c r="DI841" t="str">
        <f>""</f>
        <v/>
      </c>
      <c r="DJ841" t="str">
        <f>""</f>
        <v/>
      </c>
      <c r="DK841" t="str">
        <f>""</f>
        <v/>
      </c>
      <c r="DL841" t="str">
        <f>""</f>
        <v/>
      </c>
      <c r="DM841" t="str">
        <f>""</f>
        <v/>
      </c>
      <c r="DN841" t="str">
        <f>""</f>
        <v/>
      </c>
      <c r="DO841" t="str">
        <f>""</f>
        <v/>
      </c>
      <c r="DP841" t="str">
        <f>""</f>
        <v/>
      </c>
      <c r="DQ841" t="str">
        <f>""</f>
        <v/>
      </c>
      <c r="DR841" t="str">
        <f>""</f>
        <v/>
      </c>
      <c r="DS841" t="str">
        <f>""</f>
        <v/>
      </c>
      <c r="DT841" t="str">
        <f>""</f>
        <v/>
      </c>
      <c r="DU841" t="str">
        <f>""</f>
        <v/>
      </c>
    </row>
    <row r="842" spans="1:125">
      <c r="A842" t="str">
        <f>"BDH snapshot header2"</f>
        <v>BDH snapshot header2</v>
      </c>
      <c r="B842">
        <f>IF(OR(ISERROR($C$842),ISBLANK($C$842),ISNUMBER(SEARCH("N/A",$C$842) ),ISERROR($C$843),ISBLANK($C$843)),0,1)</f>
        <v>0</v>
      </c>
      <c r="C842" t="str">
        <f>BDH($B$423,$C$423,$B$417,$B$836,"PER=CQ","Dts=S","DtFmt=FI", "rows=2","Dir=H","Points=60","Sort=R","Days=A","Fill=B","FX=USD" )</f>
        <v>#N/A Authorization</v>
      </c>
      <c r="BN842" t="str">
        <f>""</f>
        <v/>
      </c>
      <c r="BO842" t="str">
        <f>""</f>
        <v/>
      </c>
      <c r="BP842" t="str">
        <f>""</f>
        <v/>
      </c>
      <c r="BQ842" t="str">
        <f>""</f>
        <v/>
      </c>
      <c r="BR842" t="str">
        <f>""</f>
        <v/>
      </c>
      <c r="BS842" t="str">
        <f>""</f>
        <v/>
      </c>
      <c r="BT842" t="str">
        <f>""</f>
        <v/>
      </c>
      <c r="BU842" t="str">
        <f>""</f>
        <v/>
      </c>
      <c r="BV842" t="str">
        <f>""</f>
        <v/>
      </c>
      <c r="BW842" t="str">
        <f>""</f>
        <v/>
      </c>
      <c r="BX842" t="str">
        <f>""</f>
        <v/>
      </c>
      <c r="BY842" t="str">
        <f>""</f>
        <v/>
      </c>
      <c r="BZ842" t="str">
        <f>""</f>
        <v/>
      </c>
      <c r="CA842" t="str">
        <f>""</f>
        <v/>
      </c>
      <c r="CB842" t="str">
        <f>""</f>
        <v/>
      </c>
      <c r="CC842" t="str">
        <f>""</f>
        <v/>
      </c>
      <c r="CD842" t="str">
        <f>""</f>
        <v/>
      </c>
      <c r="CE842" t="str">
        <f>""</f>
        <v/>
      </c>
      <c r="CF842" t="str">
        <f>""</f>
        <v/>
      </c>
      <c r="CG842" t="str">
        <f>""</f>
        <v/>
      </c>
      <c r="CH842" t="str">
        <f>""</f>
        <v/>
      </c>
      <c r="CI842" t="str">
        <f>""</f>
        <v/>
      </c>
      <c r="CJ842" t="str">
        <f>""</f>
        <v/>
      </c>
      <c r="CK842" t="str">
        <f>""</f>
        <v/>
      </c>
      <c r="CL842" t="str">
        <f>""</f>
        <v/>
      </c>
      <c r="CM842" t="str">
        <f>""</f>
        <v/>
      </c>
      <c r="CN842" t="str">
        <f>""</f>
        <v/>
      </c>
      <c r="CO842" t="str">
        <f>""</f>
        <v/>
      </c>
      <c r="CP842" t="str">
        <f>""</f>
        <v/>
      </c>
      <c r="CQ842" t="str">
        <f>""</f>
        <v/>
      </c>
      <c r="CR842" t="str">
        <f>""</f>
        <v/>
      </c>
      <c r="CS842" t="str">
        <f>""</f>
        <v/>
      </c>
      <c r="CT842" t="str">
        <f>""</f>
        <v/>
      </c>
      <c r="CU842" t="str">
        <f>""</f>
        <v/>
      </c>
      <c r="CV842" t="str">
        <f>""</f>
        <v/>
      </c>
      <c r="CW842" t="str">
        <f>""</f>
        <v/>
      </c>
      <c r="CX842" t="str">
        <f>""</f>
        <v/>
      </c>
      <c r="CY842" t="str">
        <f>""</f>
        <v/>
      </c>
      <c r="CZ842" t="str">
        <f>""</f>
        <v/>
      </c>
      <c r="DA842" t="str">
        <f>""</f>
        <v/>
      </c>
      <c r="DB842" t="str">
        <f>""</f>
        <v/>
      </c>
      <c r="DC842" t="str">
        <f>""</f>
        <v/>
      </c>
      <c r="DD842" t="str">
        <f>""</f>
        <v/>
      </c>
      <c r="DE842" t="str">
        <f>""</f>
        <v/>
      </c>
      <c r="DF842" t="str">
        <f>""</f>
        <v/>
      </c>
      <c r="DG842" t="str">
        <f>""</f>
        <v/>
      </c>
      <c r="DH842" t="str">
        <f>""</f>
        <v/>
      </c>
      <c r="DI842" t="str">
        <f>""</f>
        <v/>
      </c>
      <c r="DJ842" t="str">
        <f>""</f>
        <v/>
      </c>
      <c r="DK842" t="str">
        <f>""</f>
        <v/>
      </c>
      <c r="DL842" t="str">
        <f>""</f>
        <v/>
      </c>
      <c r="DM842" t="str">
        <f>""</f>
        <v/>
      </c>
      <c r="DN842" t="str">
        <f>""</f>
        <v/>
      </c>
      <c r="DO842" t="str">
        <f>""</f>
        <v/>
      </c>
      <c r="DP842" t="str">
        <f>""</f>
        <v/>
      </c>
      <c r="DQ842" t="str">
        <f>""</f>
        <v/>
      </c>
      <c r="DR842" t="str">
        <f>""</f>
        <v/>
      </c>
      <c r="DS842" t="str">
        <f>""</f>
        <v/>
      </c>
      <c r="DT842" t="str">
        <f>""</f>
        <v/>
      </c>
      <c r="DU842" t="str">
        <f>""</f>
        <v/>
      </c>
    </row>
    <row r="843" spans="1:125">
      <c r="A843" t="str">
        <f>"BDH snapshot result2"</f>
        <v>BDH snapshot result2</v>
      </c>
      <c r="BN843" t="str">
        <f>""</f>
        <v/>
      </c>
      <c r="BO843" t="str">
        <f>""</f>
        <v/>
      </c>
      <c r="BP843" t="str">
        <f>""</f>
        <v/>
      </c>
      <c r="BQ843" t="str">
        <f>""</f>
        <v/>
      </c>
      <c r="BR843" t="str">
        <f>""</f>
        <v/>
      </c>
      <c r="BS843" t="str">
        <f>""</f>
        <v/>
      </c>
      <c r="BT843" t="str">
        <f>""</f>
        <v/>
      </c>
      <c r="BU843" t="str">
        <f>""</f>
        <v/>
      </c>
      <c r="BV843" t="str">
        <f>""</f>
        <v/>
      </c>
      <c r="BW843" t="str">
        <f>""</f>
        <v/>
      </c>
      <c r="BX843" t="str">
        <f>""</f>
        <v/>
      </c>
      <c r="BY843" t="str">
        <f>""</f>
        <v/>
      </c>
      <c r="BZ843" t="str">
        <f>""</f>
        <v/>
      </c>
      <c r="CA843" t="str">
        <f>""</f>
        <v/>
      </c>
      <c r="CB843" t="str">
        <f>""</f>
        <v/>
      </c>
      <c r="CC843" t="str">
        <f>""</f>
        <v/>
      </c>
      <c r="CD843" t="str">
        <f>""</f>
        <v/>
      </c>
      <c r="CE843" t="str">
        <f>""</f>
        <v/>
      </c>
      <c r="CF843" t="str">
        <f>""</f>
        <v/>
      </c>
      <c r="CG843" t="str">
        <f>""</f>
        <v/>
      </c>
      <c r="CH843" t="str">
        <f>""</f>
        <v/>
      </c>
      <c r="CI843" t="str">
        <f>""</f>
        <v/>
      </c>
      <c r="CJ843" t="str">
        <f>""</f>
        <v/>
      </c>
      <c r="CK843" t="str">
        <f>""</f>
        <v/>
      </c>
      <c r="CL843" t="str">
        <f>""</f>
        <v/>
      </c>
      <c r="CM843" t="str">
        <f>""</f>
        <v/>
      </c>
      <c r="CN843" t="str">
        <f>""</f>
        <v/>
      </c>
      <c r="CO843" t="str">
        <f>""</f>
        <v/>
      </c>
      <c r="CP843" t="str">
        <f>""</f>
        <v/>
      </c>
      <c r="CQ843" t="str">
        <f>""</f>
        <v/>
      </c>
      <c r="CR843" t="str">
        <f>""</f>
        <v/>
      </c>
      <c r="CS843" t="str">
        <f>""</f>
        <v/>
      </c>
      <c r="CT843" t="str">
        <f>""</f>
        <v/>
      </c>
      <c r="CU843" t="str">
        <f>""</f>
        <v/>
      </c>
      <c r="CV843" t="str">
        <f>""</f>
        <v/>
      </c>
      <c r="CW843" t="str">
        <f>""</f>
        <v/>
      </c>
      <c r="CX843" t="str">
        <f>""</f>
        <v/>
      </c>
      <c r="CY843" t="str">
        <f>""</f>
        <v/>
      </c>
      <c r="CZ843" t="str">
        <f>""</f>
        <v/>
      </c>
      <c r="DA843" t="str">
        <f>""</f>
        <v/>
      </c>
      <c r="DB843" t="str">
        <f>""</f>
        <v/>
      </c>
      <c r="DC843" t="str">
        <f>""</f>
        <v/>
      </c>
      <c r="DD843" t="str">
        <f>""</f>
        <v/>
      </c>
      <c r="DE843" t="str">
        <f>""</f>
        <v/>
      </c>
      <c r="DF843" t="str">
        <f>""</f>
        <v/>
      </c>
      <c r="DG843" t="str">
        <f>""</f>
        <v/>
      </c>
      <c r="DH843" t="str">
        <f>""</f>
        <v/>
      </c>
      <c r="DI843" t="str">
        <f>""</f>
        <v/>
      </c>
      <c r="DJ843" t="str">
        <f>""</f>
        <v/>
      </c>
      <c r="DK843" t="str">
        <f>""</f>
        <v/>
      </c>
      <c r="DL843" t="str">
        <f>""</f>
        <v/>
      </c>
      <c r="DM843" t="str">
        <f>""</f>
        <v/>
      </c>
      <c r="DN843" t="str">
        <f>""</f>
        <v/>
      </c>
      <c r="DO843" t="str">
        <f>""</f>
        <v/>
      </c>
      <c r="DP843" t="str">
        <f>""</f>
        <v/>
      </c>
      <c r="DQ843" t="str">
        <f>""</f>
        <v/>
      </c>
      <c r="DR843" t="str">
        <f>""</f>
        <v/>
      </c>
      <c r="DS843" t="str">
        <f>""</f>
        <v/>
      </c>
      <c r="DT843" t="str">
        <f>""</f>
        <v/>
      </c>
      <c r="DU843" t="str">
        <f>""</f>
        <v/>
      </c>
    </row>
    <row r="844" spans="1:125">
      <c r="A844" t="str">
        <f>"BDH snapshot"</f>
        <v>BDH snapshot</v>
      </c>
      <c r="B844">
        <f>IF($B$838&gt;=1,$B$838,IF($B$840&gt;=1,$B$840,IF($B$842&gt;=1,$B$842,$B$837)))</f>
        <v>2</v>
      </c>
      <c r="C844" t="str">
        <f>IF($B$838&gt;=1,$C$838,IF($B$840&gt;=1,$C$840,IF($B$842&gt;=1,$C$842,$C$837)))</f>
        <v>2018 Q1</v>
      </c>
      <c r="D844" t="str">
        <f>IF($B$838&gt;=1,$D$838,IF($B$840&gt;=1,$D$840,IF($B$842&gt;=1,$D$842,$D$837)))</f>
        <v>2017 Q4</v>
      </c>
      <c r="E844" t="str">
        <f>IF($B$838&gt;=1,$E$838,IF($B$840&gt;=1,$E$840,IF($B$842&gt;=1,$E$842,$E$837)))</f>
        <v>2017 Q3</v>
      </c>
      <c r="F844" t="str">
        <f>IF($B$838&gt;=1,$F$838,IF($B$840&gt;=1,$F$840,IF($B$842&gt;=1,$F$842,$F$837)))</f>
        <v>2017 Q2</v>
      </c>
      <c r="G844" t="str">
        <f>IF($B$838&gt;=1,$G$838,IF($B$840&gt;=1,$G$840,IF($B$842&gt;=1,$G$842,$G$837)))</f>
        <v>2017 Q1</v>
      </c>
      <c r="H844" t="str">
        <f>IF($B$838&gt;=1,$H$838,IF($B$840&gt;=1,$H$840,IF($B$842&gt;=1,$H$842,$H$837)))</f>
        <v>2016 Q4</v>
      </c>
      <c r="I844" t="str">
        <f>IF($B$838&gt;=1,$I$838,IF($B$840&gt;=1,$I$840,IF($B$842&gt;=1,$I$842,$I$837)))</f>
        <v>2016 Q3</v>
      </c>
      <c r="J844" t="str">
        <f>IF($B$838&gt;=1,$J$838,IF($B$840&gt;=1,$J$840,IF($B$842&gt;=1,$J$842,$J$837)))</f>
        <v>2016 Q2</v>
      </c>
      <c r="K844" t="str">
        <f>IF($B$838&gt;=1,$K$838,IF($B$840&gt;=1,$K$840,IF($B$842&gt;=1,$K$842,$K$837)))</f>
        <v>2016 Q1</v>
      </c>
      <c r="L844" t="str">
        <f>IF($B$838&gt;=1,$L$838,IF($B$840&gt;=1,$L$840,IF($B$842&gt;=1,$L$842,$L$837)))</f>
        <v>2015 Q4</v>
      </c>
      <c r="M844" t="str">
        <f>IF($B$838&gt;=1,$M$838,IF($B$840&gt;=1,$M$840,IF($B$842&gt;=1,$M$842,$M$837)))</f>
        <v>2015 Q3</v>
      </c>
      <c r="N844" t="str">
        <f>IF($B$838&gt;=1,$N$838,IF($B$840&gt;=1,$N$840,IF($B$842&gt;=1,$N$842,$N$837)))</f>
        <v>2015 Q2</v>
      </c>
      <c r="O844" t="str">
        <f>IF($B$838&gt;=1,$O$838,IF($B$840&gt;=1,$O$840,IF($B$842&gt;=1,$O$842,$O$837)))</f>
        <v>2015 Q1</v>
      </c>
      <c r="P844" t="str">
        <f>IF($B$838&gt;=1,$P$838,IF($B$840&gt;=1,$P$840,IF($B$842&gt;=1,$P$842,$P$837)))</f>
        <v>2014 Q4</v>
      </c>
      <c r="Q844" t="str">
        <f>IF($B$838&gt;=1,$Q$838,IF($B$840&gt;=1,$Q$840,IF($B$842&gt;=1,$Q$842,$Q$837)))</f>
        <v>2014 Q3</v>
      </c>
      <c r="R844" t="str">
        <f>IF($B$838&gt;=1,$R$838,IF($B$840&gt;=1,$R$840,IF($B$842&gt;=1,$R$842,$R$837)))</f>
        <v>2014 Q2</v>
      </c>
      <c r="S844" t="str">
        <f>IF($B$838&gt;=1,$S$838,IF($B$840&gt;=1,$S$840,IF($B$842&gt;=1,$S$842,$S$837)))</f>
        <v>2014 Q1</v>
      </c>
      <c r="T844" t="str">
        <f>IF($B$838&gt;=1,$T$838,IF($B$840&gt;=1,$T$840,IF($B$842&gt;=1,$T$842,$T$837)))</f>
        <v>2013 Q4</v>
      </c>
      <c r="U844" t="str">
        <f>IF($B$838&gt;=1,$U$838,IF($B$840&gt;=1,$U$840,IF($B$842&gt;=1,$U$842,$U$837)))</f>
        <v>2013 Q3</v>
      </c>
      <c r="V844" t="str">
        <f>IF($B$838&gt;=1,$V$838,IF($B$840&gt;=1,$V$840,IF($B$842&gt;=1,$V$842,$V$837)))</f>
        <v>2013 Q2</v>
      </c>
      <c r="W844" t="str">
        <f>IF($B$838&gt;=1,$W$838,IF($B$840&gt;=1,$W$840,IF($B$842&gt;=1,$W$842,$W$837)))</f>
        <v>2013 Q1</v>
      </c>
      <c r="X844" t="str">
        <f>IF($B$838&gt;=1,$X$838,IF($B$840&gt;=1,$X$840,IF($B$842&gt;=1,$X$842,$X$837)))</f>
        <v>2012 Q4</v>
      </c>
      <c r="Y844" t="str">
        <f>IF($B$838&gt;=1,$Y$838,IF($B$840&gt;=1,$Y$840,IF($B$842&gt;=1,$Y$842,$Y$837)))</f>
        <v>2012 Q3</v>
      </c>
      <c r="Z844" t="str">
        <f>IF($B$838&gt;=1,$Z$838,IF($B$840&gt;=1,$Z$840,IF($B$842&gt;=1,$Z$842,$Z$837)))</f>
        <v>2012 Q2</v>
      </c>
      <c r="AA844" t="str">
        <f>IF($B$838&gt;=1,$AA$838,IF($B$840&gt;=1,$AA$840,IF($B$842&gt;=1,$AA$842,$AA$837)))</f>
        <v>2012 Q1</v>
      </c>
      <c r="AB844" t="str">
        <f>IF($B$838&gt;=1,$AB$838,IF($B$840&gt;=1,$AB$840,IF($B$842&gt;=1,$AB$842,$AB$837)))</f>
        <v>2011 Q4</v>
      </c>
      <c r="AC844" t="str">
        <f>IF($B$838&gt;=1,$AC$838,IF($B$840&gt;=1,$AC$840,IF($B$842&gt;=1,$AC$842,$AC$837)))</f>
        <v>2011 Q3</v>
      </c>
      <c r="AD844" t="str">
        <f>IF($B$838&gt;=1,$AD$838,IF($B$840&gt;=1,$AD$840,IF($B$842&gt;=1,$AD$842,$AD$837)))</f>
        <v>2011 Q2</v>
      </c>
      <c r="AE844" t="str">
        <f>IF($B$838&gt;=1,$AE$838,IF($B$840&gt;=1,$AE$840,IF($B$842&gt;=1,$AE$842,$AE$837)))</f>
        <v>2011 Q1</v>
      </c>
      <c r="AF844" t="str">
        <f>IF($B$838&gt;=1,$AF$838,IF($B$840&gt;=1,$AF$840,IF($B$842&gt;=1,$AF$842,$AF$837)))</f>
        <v>2010 Q4</v>
      </c>
      <c r="AG844" t="str">
        <f>IF($B$838&gt;=1,$AG$838,IF($B$840&gt;=1,$AG$840,IF($B$842&gt;=1,$AG$842,$AG$837)))</f>
        <v>2010 Q3</v>
      </c>
      <c r="AH844" t="str">
        <f>IF($B$838&gt;=1,$AH$838,IF($B$840&gt;=1,$AH$840,IF($B$842&gt;=1,$AH$842,$AH$837)))</f>
        <v>2010 Q2</v>
      </c>
      <c r="AI844" t="str">
        <f>IF($B$838&gt;=1,$AI$838,IF($B$840&gt;=1,$AI$840,IF($B$842&gt;=1,$AI$842,$AI$837)))</f>
        <v>2010 Q1</v>
      </c>
      <c r="AJ844" t="str">
        <f>IF($B$838&gt;=1,$AJ$838,IF($B$840&gt;=1,$AJ$840,IF($B$842&gt;=1,$AJ$842,$AJ$837)))</f>
        <v>2009 Q4</v>
      </c>
      <c r="AK844" t="str">
        <f>IF($B$838&gt;=1,$AK$838,IF($B$840&gt;=1,$AK$840,IF($B$842&gt;=1,$AK$842,$AK$837)))</f>
        <v>2009 Q3</v>
      </c>
      <c r="AL844" t="str">
        <f>IF($B$838&gt;=1,$AL$838,IF($B$840&gt;=1,$AL$840,IF($B$842&gt;=1,$AL$842,$AL$837)))</f>
        <v>2009 Q2</v>
      </c>
      <c r="AM844" t="str">
        <f>IF($B$838&gt;=1,$AM$838,IF($B$840&gt;=1,$AM$840,IF($B$842&gt;=1,$AM$842,$AM$837)))</f>
        <v>2009 Q1</v>
      </c>
      <c r="AN844" t="str">
        <f>IF($B$838&gt;=1,$AN$838,IF($B$840&gt;=1,$AN$840,IF($B$842&gt;=1,$AN$842,$AN$837)))</f>
        <v>2008 Q4</v>
      </c>
      <c r="AO844" t="str">
        <f>IF($B$838&gt;=1,$AO$838,IF($B$840&gt;=1,$AO$840,IF($B$842&gt;=1,$AO$842,$AO$837)))</f>
        <v>2008 Q3</v>
      </c>
      <c r="AP844" t="str">
        <f>IF($B$838&gt;=1,$AP$838,IF($B$840&gt;=1,$AP$840,IF($B$842&gt;=1,$AP$842,$AP$837)))</f>
        <v>2008 Q2</v>
      </c>
      <c r="AQ844" t="str">
        <f>IF($B$838&gt;=1,$AQ$838,IF($B$840&gt;=1,$AQ$840,IF($B$842&gt;=1,$AQ$842,$AQ$837)))</f>
        <v>2008 Q1</v>
      </c>
      <c r="AR844" t="str">
        <f>IF($B$838&gt;=1,$AR$838,IF($B$840&gt;=1,$AR$840,IF($B$842&gt;=1,$AR$842,$AR$837)))</f>
        <v>2007 Q4</v>
      </c>
      <c r="AS844" t="str">
        <f>IF($B$838&gt;=1,$AS$838,IF($B$840&gt;=1,$AS$840,IF($B$842&gt;=1,$AS$842,$AS$837)))</f>
        <v>2007 Q3</v>
      </c>
      <c r="AT844" t="str">
        <f>IF($B$838&gt;=1,$AT$838,IF($B$840&gt;=1,$AT$840,IF($B$842&gt;=1,$AT$842,$AT$837)))</f>
        <v>2007 Q2</v>
      </c>
      <c r="AU844" t="str">
        <f>IF($B$838&gt;=1,$AU$838,IF($B$840&gt;=1,$AU$840,IF($B$842&gt;=1,$AU$842,$AU$837)))</f>
        <v>2007 Q1</v>
      </c>
      <c r="AV844" t="str">
        <f>IF($B$838&gt;=1,$AV$838,IF($B$840&gt;=1,$AV$840,IF($B$842&gt;=1,$AV$842,$AV$837)))</f>
        <v>2006 Q4</v>
      </c>
      <c r="AW844" t="str">
        <f>IF($B$838&gt;=1,$AW$838,IF($B$840&gt;=1,$AW$840,IF($B$842&gt;=1,$AW$842,$AW$837)))</f>
        <v>2006 Q3</v>
      </c>
      <c r="AX844" t="str">
        <f>IF($B$838&gt;=1,$AX$838,IF($B$840&gt;=1,$AX$840,IF($B$842&gt;=1,$AX$842,$AX$837)))</f>
        <v>2006 Q2</v>
      </c>
      <c r="AY844" t="str">
        <f>IF($B$838&gt;=1,$AY$838,IF($B$840&gt;=1,$AY$840,IF($B$842&gt;=1,$AY$842,$AY$837)))</f>
        <v>2006 Q1</v>
      </c>
      <c r="AZ844" t="str">
        <f>IF($B$838&gt;=1,$AZ$838,IF($B$840&gt;=1,$AZ$840,IF($B$842&gt;=1,$AZ$842,$AZ$837)))</f>
        <v>2005 Q4</v>
      </c>
      <c r="BA844" t="str">
        <f>IF($B$838&gt;=1,$BA$838,IF($B$840&gt;=1,$BA$840,IF($B$842&gt;=1,$BA$842,$BA$837)))</f>
        <v>2005 Q3</v>
      </c>
      <c r="BB844" t="str">
        <f>IF($B$838&gt;=1,$BB$838,IF($B$840&gt;=1,$BB$840,IF($B$842&gt;=1,$BB$842,$BB$837)))</f>
        <v>2005 Q2</v>
      </c>
      <c r="BC844" t="str">
        <f>IF($B$838&gt;=1,$BC$838,IF($B$840&gt;=1,$BC$840,IF($B$842&gt;=1,$BC$842,$BC$837)))</f>
        <v>2005 Q1</v>
      </c>
      <c r="BD844" t="str">
        <f>IF($B$838&gt;=1,$BD$838,IF($B$840&gt;=1,$BD$840,IF($B$842&gt;=1,$BD$842,$BD$837)))</f>
        <v>2004 Q4</v>
      </c>
      <c r="BE844" t="str">
        <f>IF($B$838&gt;=1,$BE$838,IF($B$840&gt;=1,$BE$840,IF($B$842&gt;=1,$BE$842,$BE$837)))</f>
        <v>2004 Q3</v>
      </c>
      <c r="BF844" t="str">
        <f>IF($B$838&gt;=1,$BF$838,IF($B$840&gt;=1,$BF$840,IF($B$842&gt;=1,$BF$842,$BF$837)))</f>
        <v>2004 Q2</v>
      </c>
      <c r="BG844" t="str">
        <f>IF($B$838&gt;=1,$BG$838,IF($B$840&gt;=1,$BG$840,IF($B$842&gt;=1,$BG$842,$BG$837)))</f>
        <v>2004 Q1</v>
      </c>
      <c r="BH844" t="str">
        <f>IF($B$838&gt;=1,$BH$838,IF($B$840&gt;=1,$BH$840,IF($B$842&gt;=1,$BH$842,$BH$837)))</f>
        <v>2003 Q4</v>
      </c>
      <c r="BI844" t="str">
        <f>IF($B$838&gt;=1,$BI$838,IF($B$840&gt;=1,$BI$840,IF($B$842&gt;=1,$BI$842,$BI$837)))</f>
        <v>2003 Q3</v>
      </c>
      <c r="BJ844" t="str">
        <f>IF($B$838&gt;=1,$BJ$838,IF($B$840&gt;=1,$BJ$840,IF($B$842&gt;=1,$BJ$842,$BJ$837)))</f>
        <v>2003 Q2</v>
      </c>
      <c r="BN844" t="str">
        <f>""</f>
        <v/>
      </c>
      <c r="BO844" t="str">
        <f>""</f>
        <v/>
      </c>
      <c r="BP844" t="str">
        <f>""</f>
        <v/>
      </c>
      <c r="BQ844" t="str">
        <f>""</f>
        <v/>
      </c>
      <c r="BR844" t="str">
        <f>""</f>
        <v/>
      </c>
      <c r="BS844" t="str">
        <f>""</f>
        <v/>
      </c>
      <c r="BT844" t="str">
        <f>""</f>
        <v/>
      </c>
      <c r="BU844" t="str">
        <f>""</f>
        <v/>
      </c>
      <c r="BV844" t="str">
        <f>""</f>
        <v/>
      </c>
      <c r="BW844" t="str">
        <f>""</f>
        <v/>
      </c>
      <c r="BX844" t="str">
        <f>""</f>
        <v/>
      </c>
      <c r="BY844" t="str">
        <f>""</f>
        <v/>
      </c>
      <c r="BZ844" t="str">
        <f>""</f>
        <v/>
      </c>
      <c r="CA844" t="str">
        <f>""</f>
        <v/>
      </c>
      <c r="CB844" t="str">
        <f>""</f>
        <v/>
      </c>
      <c r="CC844" t="str">
        <f>""</f>
        <v/>
      </c>
      <c r="CD844" t="str">
        <f>""</f>
        <v/>
      </c>
      <c r="CE844" t="str">
        <f>""</f>
        <v/>
      </c>
      <c r="CF844" t="str">
        <f>""</f>
        <v/>
      </c>
      <c r="CG844" t="str">
        <f>""</f>
        <v/>
      </c>
      <c r="CH844" t="str">
        <f>""</f>
        <v/>
      </c>
      <c r="CI844" t="str">
        <f>""</f>
        <v/>
      </c>
      <c r="CJ844" t="str">
        <f>""</f>
        <v/>
      </c>
      <c r="CK844" t="str">
        <f>""</f>
        <v/>
      </c>
      <c r="CL844" t="str">
        <f>""</f>
        <v/>
      </c>
      <c r="CM844" t="str">
        <f>""</f>
        <v/>
      </c>
      <c r="CN844" t="str">
        <f>""</f>
        <v/>
      </c>
      <c r="CO844" t="str">
        <f>""</f>
        <v/>
      </c>
      <c r="CP844" t="str">
        <f>""</f>
        <v/>
      </c>
      <c r="CQ844" t="str">
        <f>""</f>
        <v/>
      </c>
      <c r="CR844" t="str">
        <f>""</f>
        <v/>
      </c>
      <c r="CS844" t="str">
        <f>""</f>
        <v/>
      </c>
      <c r="CT844" t="str">
        <f>""</f>
        <v/>
      </c>
      <c r="CU844" t="str">
        <f>""</f>
        <v/>
      </c>
      <c r="CV844" t="str">
        <f>""</f>
        <v/>
      </c>
      <c r="CW844" t="str">
        <f>""</f>
        <v/>
      </c>
      <c r="CX844" t="str">
        <f>""</f>
        <v/>
      </c>
      <c r="CY844" t="str">
        <f>""</f>
        <v/>
      </c>
      <c r="CZ844" t="str">
        <f>""</f>
        <v/>
      </c>
      <c r="DA844" t="str">
        <f>""</f>
        <v/>
      </c>
      <c r="DB844" t="str">
        <f>""</f>
        <v/>
      </c>
      <c r="DC844" t="str">
        <f>""</f>
        <v/>
      </c>
      <c r="DD844" t="str">
        <f>""</f>
        <v/>
      </c>
      <c r="DE844" t="str">
        <f>""</f>
        <v/>
      </c>
      <c r="DF844" t="str">
        <f>""</f>
        <v/>
      </c>
      <c r="DG844" t="str">
        <f>""</f>
        <v/>
      </c>
      <c r="DH844" t="str">
        <f>""</f>
        <v/>
      </c>
      <c r="DI844" t="str">
        <f>""</f>
        <v/>
      </c>
      <c r="DJ844" t="str">
        <f>""</f>
        <v/>
      </c>
      <c r="DK844" t="str">
        <f>""</f>
        <v/>
      </c>
      <c r="DL844" t="str">
        <f>""</f>
        <v/>
      </c>
      <c r="DM844" t="str">
        <f>""</f>
        <v/>
      </c>
      <c r="DN844" t="str">
        <f>""</f>
        <v/>
      </c>
      <c r="DO844" t="str">
        <f>""</f>
        <v/>
      </c>
      <c r="DP844" t="str">
        <f>""</f>
        <v/>
      </c>
      <c r="DQ844" t="str">
        <f>""</f>
        <v/>
      </c>
      <c r="DR844" t="str">
        <f>""</f>
        <v/>
      </c>
      <c r="DS844" t="str">
        <f>""</f>
        <v/>
      </c>
      <c r="DT844" t="str">
        <f>""</f>
        <v/>
      </c>
      <c r="DU844" t="str">
        <f>""</f>
        <v/>
      </c>
    </row>
    <row r="845" spans="1:125">
      <c r="A845" t="str">
        <f>"BDH snapshot title"</f>
        <v>BDH snapshot title</v>
      </c>
      <c r="B845">
        <f>$B$844</f>
        <v>2</v>
      </c>
      <c r="C845" t="str">
        <f>IF(LEN($C$844)&lt;&gt;8,$C$844,RIGHT($C$844,4)&amp;" "&amp;MID($C$844,3,1)&amp;LEFT($C$844,1))</f>
        <v>2018 Q1</v>
      </c>
      <c r="D845" t="str">
        <f>IF(LEN($D$844)&lt;&gt;8,$D$844,RIGHT($D$844,4)&amp;" "&amp;MID($D$844,3,1)&amp;LEFT($D$844,1))</f>
        <v>2017 Q4</v>
      </c>
      <c r="E845" t="str">
        <f>IF(LEN($E$844)&lt;&gt;8,$E$844,RIGHT($E$844,4)&amp;" "&amp;MID($E$844,3,1)&amp;LEFT($E$844,1))</f>
        <v>2017 Q3</v>
      </c>
      <c r="F845" t="str">
        <f>IF(LEN($F$844)&lt;&gt;8,$F$844,RIGHT($F$844,4)&amp;" "&amp;MID($F$844,3,1)&amp;LEFT($F$844,1))</f>
        <v>2017 Q2</v>
      </c>
      <c r="G845" t="str">
        <f>IF(LEN($G$844)&lt;&gt;8,$G$844,RIGHT($G$844,4)&amp;" "&amp;MID($G$844,3,1)&amp;LEFT($G$844,1))</f>
        <v>2017 Q1</v>
      </c>
      <c r="H845" t="str">
        <f>IF(LEN($H$844)&lt;&gt;8,$H$844,RIGHT($H$844,4)&amp;" "&amp;MID($H$844,3,1)&amp;LEFT($H$844,1))</f>
        <v>2016 Q4</v>
      </c>
      <c r="I845" t="str">
        <f>IF(LEN($I$844)&lt;&gt;8,$I$844,RIGHT($I$844,4)&amp;" "&amp;MID($I$844,3,1)&amp;LEFT($I$844,1))</f>
        <v>2016 Q3</v>
      </c>
      <c r="J845" t="str">
        <f>IF(LEN($J$844)&lt;&gt;8,$J$844,RIGHT($J$844,4)&amp;" "&amp;MID($J$844,3,1)&amp;LEFT($J$844,1))</f>
        <v>2016 Q2</v>
      </c>
      <c r="K845" t="str">
        <f>IF(LEN($K$844)&lt;&gt;8,$K$844,RIGHT($K$844,4)&amp;" "&amp;MID($K$844,3,1)&amp;LEFT($K$844,1))</f>
        <v>2016 Q1</v>
      </c>
      <c r="L845" t="str">
        <f>IF(LEN($L$844)&lt;&gt;8,$L$844,RIGHT($L$844,4)&amp;" "&amp;MID($L$844,3,1)&amp;LEFT($L$844,1))</f>
        <v>2015 Q4</v>
      </c>
      <c r="M845" t="str">
        <f>IF(LEN($M$844)&lt;&gt;8,$M$844,RIGHT($M$844,4)&amp;" "&amp;MID($M$844,3,1)&amp;LEFT($M$844,1))</f>
        <v>2015 Q3</v>
      </c>
      <c r="N845" t="str">
        <f>IF(LEN($N$844)&lt;&gt;8,$N$844,RIGHT($N$844,4)&amp;" "&amp;MID($N$844,3,1)&amp;LEFT($N$844,1))</f>
        <v>2015 Q2</v>
      </c>
      <c r="O845" t="str">
        <f>IF(LEN($O$844)&lt;&gt;8,$O$844,RIGHT($O$844,4)&amp;" "&amp;MID($O$844,3,1)&amp;LEFT($O$844,1))</f>
        <v>2015 Q1</v>
      </c>
      <c r="P845" t="str">
        <f>IF(LEN($P$844)&lt;&gt;8,$P$844,RIGHT($P$844,4)&amp;" "&amp;MID($P$844,3,1)&amp;LEFT($P$844,1))</f>
        <v>2014 Q4</v>
      </c>
      <c r="Q845" t="str">
        <f>IF(LEN($Q$844)&lt;&gt;8,$Q$844,RIGHT($Q$844,4)&amp;" "&amp;MID($Q$844,3,1)&amp;LEFT($Q$844,1))</f>
        <v>2014 Q3</v>
      </c>
      <c r="R845" t="str">
        <f>IF(LEN($R$844)&lt;&gt;8,$R$844,RIGHT($R$844,4)&amp;" "&amp;MID($R$844,3,1)&amp;LEFT($R$844,1))</f>
        <v>2014 Q2</v>
      </c>
      <c r="S845" t="str">
        <f>IF(LEN($S$844)&lt;&gt;8,$S$844,RIGHT($S$844,4)&amp;" "&amp;MID($S$844,3,1)&amp;LEFT($S$844,1))</f>
        <v>2014 Q1</v>
      </c>
      <c r="T845" t="str">
        <f>IF(LEN($T$844)&lt;&gt;8,$T$844,RIGHT($T$844,4)&amp;" "&amp;MID($T$844,3,1)&amp;LEFT($T$844,1))</f>
        <v>2013 Q4</v>
      </c>
      <c r="U845" t="str">
        <f>IF(LEN($U$844)&lt;&gt;8,$U$844,RIGHT($U$844,4)&amp;" "&amp;MID($U$844,3,1)&amp;LEFT($U$844,1))</f>
        <v>2013 Q3</v>
      </c>
      <c r="V845" t="str">
        <f>IF(LEN($V$844)&lt;&gt;8,$V$844,RIGHT($V$844,4)&amp;" "&amp;MID($V$844,3,1)&amp;LEFT($V$844,1))</f>
        <v>2013 Q2</v>
      </c>
      <c r="W845" t="str">
        <f>IF(LEN($W$844)&lt;&gt;8,$W$844,RIGHT($W$844,4)&amp;" "&amp;MID($W$844,3,1)&amp;LEFT($W$844,1))</f>
        <v>2013 Q1</v>
      </c>
      <c r="X845" t="str">
        <f>IF(LEN($X$844)&lt;&gt;8,$X$844,RIGHT($X$844,4)&amp;" "&amp;MID($X$844,3,1)&amp;LEFT($X$844,1))</f>
        <v>2012 Q4</v>
      </c>
      <c r="Y845" t="str">
        <f>IF(LEN($Y$844)&lt;&gt;8,$Y$844,RIGHT($Y$844,4)&amp;" "&amp;MID($Y$844,3,1)&amp;LEFT($Y$844,1))</f>
        <v>2012 Q3</v>
      </c>
      <c r="Z845" t="str">
        <f>IF(LEN($Z$844)&lt;&gt;8,$Z$844,RIGHT($Z$844,4)&amp;" "&amp;MID($Z$844,3,1)&amp;LEFT($Z$844,1))</f>
        <v>2012 Q2</v>
      </c>
      <c r="AA845" t="str">
        <f>IF(LEN($AA$844)&lt;&gt;8,$AA$844,RIGHT($AA$844,4)&amp;" "&amp;MID($AA$844,3,1)&amp;LEFT($AA$844,1))</f>
        <v>2012 Q1</v>
      </c>
      <c r="AB845" t="str">
        <f>IF(LEN($AB$844)&lt;&gt;8,$AB$844,RIGHT($AB$844,4)&amp;" "&amp;MID($AB$844,3,1)&amp;LEFT($AB$844,1))</f>
        <v>2011 Q4</v>
      </c>
      <c r="AC845" t="str">
        <f>IF(LEN($AC$844)&lt;&gt;8,$AC$844,RIGHT($AC$844,4)&amp;" "&amp;MID($AC$844,3,1)&amp;LEFT($AC$844,1))</f>
        <v>2011 Q3</v>
      </c>
      <c r="AD845" t="str">
        <f>IF(LEN($AD$844)&lt;&gt;8,$AD$844,RIGHT($AD$844,4)&amp;" "&amp;MID($AD$844,3,1)&amp;LEFT($AD$844,1))</f>
        <v>2011 Q2</v>
      </c>
      <c r="AE845" t="str">
        <f>IF(LEN($AE$844)&lt;&gt;8,$AE$844,RIGHT($AE$844,4)&amp;" "&amp;MID($AE$844,3,1)&amp;LEFT($AE$844,1))</f>
        <v>2011 Q1</v>
      </c>
      <c r="AF845" t="str">
        <f>IF(LEN($AF$844)&lt;&gt;8,$AF$844,RIGHT($AF$844,4)&amp;" "&amp;MID($AF$844,3,1)&amp;LEFT($AF$844,1))</f>
        <v>2010 Q4</v>
      </c>
      <c r="AG845" t="str">
        <f>IF(LEN($AG$844)&lt;&gt;8,$AG$844,RIGHT($AG$844,4)&amp;" "&amp;MID($AG$844,3,1)&amp;LEFT($AG$844,1))</f>
        <v>2010 Q3</v>
      </c>
      <c r="AH845" t="str">
        <f>IF(LEN($AH$844)&lt;&gt;8,$AH$844,RIGHT($AH$844,4)&amp;" "&amp;MID($AH$844,3,1)&amp;LEFT($AH$844,1))</f>
        <v>2010 Q2</v>
      </c>
      <c r="AI845" t="str">
        <f>IF(LEN($AI$844)&lt;&gt;8,$AI$844,RIGHT($AI$844,4)&amp;" "&amp;MID($AI$844,3,1)&amp;LEFT($AI$844,1))</f>
        <v>2010 Q1</v>
      </c>
      <c r="AJ845" t="str">
        <f>IF(LEN($AJ$844)&lt;&gt;8,$AJ$844,RIGHT($AJ$844,4)&amp;" "&amp;MID($AJ$844,3,1)&amp;LEFT($AJ$844,1))</f>
        <v>2009 Q4</v>
      </c>
      <c r="AK845" t="str">
        <f>IF(LEN($AK$844)&lt;&gt;8,$AK$844,RIGHT($AK$844,4)&amp;" "&amp;MID($AK$844,3,1)&amp;LEFT($AK$844,1))</f>
        <v>2009 Q3</v>
      </c>
      <c r="AL845" t="str">
        <f>IF(LEN($AL$844)&lt;&gt;8,$AL$844,RIGHT($AL$844,4)&amp;" "&amp;MID($AL$844,3,1)&amp;LEFT($AL$844,1))</f>
        <v>2009 Q2</v>
      </c>
      <c r="AM845" t="str">
        <f>IF(LEN($AM$844)&lt;&gt;8,$AM$844,RIGHT($AM$844,4)&amp;" "&amp;MID($AM$844,3,1)&amp;LEFT($AM$844,1))</f>
        <v>2009 Q1</v>
      </c>
      <c r="AN845" t="str">
        <f>IF(LEN($AN$844)&lt;&gt;8,$AN$844,RIGHT($AN$844,4)&amp;" "&amp;MID($AN$844,3,1)&amp;LEFT($AN$844,1))</f>
        <v>2008 Q4</v>
      </c>
      <c r="AO845" t="str">
        <f>IF(LEN($AO$844)&lt;&gt;8,$AO$844,RIGHT($AO$844,4)&amp;" "&amp;MID($AO$844,3,1)&amp;LEFT($AO$844,1))</f>
        <v>2008 Q3</v>
      </c>
      <c r="AP845" t="str">
        <f>IF(LEN($AP$844)&lt;&gt;8,$AP$844,RIGHT($AP$844,4)&amp;" "&amp;MID($AP$844,3,1)&amp;LEFT($AP$844,1))</f>
        <v>2008 Q2</v>
      </c>
      <c r="AQ845" t="str">
        <f>IF(LEN($AQ$844)&lt;&gt;8,$AQ$844,RIGHT($AQ$844,4)&amp;" "&amp;MID($AQ$844,3,1)&amp;LEFT($AQ$844,1))</f>
        <v>2008 Q1</v>
      </c>
      <c r="AR845" t="str">
        <f>IF(LEN($AR$844)&lt;&gt;8,$AR$844,RIGHT($AR$844,4)&amp;" "&amp;MID($AR$844,3,1)&amp;LEFT($AR$844,1))</f>
        <v>2007 Q4</v>
      </c>
      <c r="AS845" t="str">
        <f>IF(LEN($AS$844)&lt;&gt;8,$AS$844,RIGHT($AS$844,4)&amp;" "&amp;MID($AS$844,3,1)&amp;LEFT($AS$844,1))</f>
        <v>2007 Q3</v>
      </c>
      <c r="AT845" t="str">
        <f>IF(LEN($AT$844)&lt;&gt;8,$AT$844,RIGHT($AT$844,4)&amp;" "&amp;MID($AT$844,3,1)&amp;LEFT($AT$844,1))</f>
        <v>2007 Q2</v>
      </c>
      <c r="AU845" t="str">
        <f>IF(LEN($AU$844)&lt;&gt;8,$AU$844,RIGHT($AU$844,4)&amp;" "&amp;MID($AU$844,3,1)&amp;LEFT($AU$844,1))</f>
        <v>2007 Q1</v>
      </c>
      <c r="AV845" t="str">
        <f>IF(LEN($AV$844)&lt;&gt;8,$AV$844,RIGHT($AV$844,4)&amp;" "&amp;MID($AV$844,3,1)&amp;LEFT($AV$844,1))</f>
        <v>2006 Q4</v>
      </c>
      <c r="AW845" t="str">
        <f>IF(LEN($AW$844)&lt;&gt;8,$AW$844,RIGHT($AW$844,4)&amp;" "&amp;MID($AW$844,3,1)&amp;LEFT($AW$844,1))</f>
        <v>2006 Q3</v>
      </c>
      <c r="AX845" t="str">
        <f>IF(LEN($AX$844)&lt;&gt;8,$AX$844,RIGHT($AX$844,4)&amp;" "&amp;MID($AX$844,3,1)&amp;LEFT($AX$844,1))</f>
        <v>2006 Q2</v>
      </c>
      <c r="AY845" t="str">
        <f>IF(LEN($AY$844)&lt;&gt;8,$AY$844,RIGHT($AY$844,4)&amp;" "&amp;MID($AY$844,3,1)&amp;LEFT($AY$844,1))</f>
        <v>2006 Q1</v>
      </c>
      <c r="AZ845" t="str">
        <f>IF(LEN($AZ$844)&lt;&gt;8,$AZ$844,RIGHT($AZ$844,4)&amp;" "&amp;MID($AZ$844,3,1)&amp;LEFT($AZ$844,1))</f>
        <v>2005 Q4</v>
      </c>
      <c r="BA845" t="str">
        <f>IF(LEN($BA$844)&lt;&gt;8,$BA$844,RIGHT($BA$844,4)&amp;" "&amp;MID($BA$844,3,1)&amp;LEFT($BA$844,1))</f>
        <v>2005 Q3</v>
      </c>
      <c r="BB845" t="str">
        <f>IF(LEN($BB$844)&lt;&gt;8,$BB$844,RIGHT($BB$844,4)&amp;" "&amp;MID($BB$844,3,1)&amp;LEFT($BB$844,1))</f>
        <v>2005 Q2</v>
      </c>
      <c r="BC845" t="str">
        <f>IF(LEN($BC$844)&lt;&gt;8,$BC$844,RIGHT($BC$844,4)&amp;" "&amp;MID($BC$844,3,1)&amp;LEFT($BC$844,1))</f>
        <v>2005 Q1</v>
      </c>
      <c r="BD845" t="str">
        <f>IF(LEN($BD$844)&lt;&gt;8,$BD$844,RIGHT($BD$844,4)&amp;" "&amp;MID($BD$844,3,1)&amp;LEFT($BD$844,1))</f>
        <v>2004 Q4</v>
      </c>
      <c r="BE845" t="str">
        <f>IF(LEN($BE$844)&lt;&gt;8,$BE$844,RIGHT($BE$844,4)&amp;" "&amp;MID($BE$844,3,1)&amp;LEFT($BE$844,1))</f>
        <v>2004 Q3</v>
      </c>
      <c r="BF845" t="str">
        <f>IF(LEN($BF$844)&lt;&gt;8,$BF$844,RIGHT($BF$844,4)&amp;" "&amp;MID($BF$844,3,1)&amp;LEFT($BF$844,1))</f>
        <v>2004 Q2</v>
      </c>
      <c r="BG845" t="str">
        <f>IF(LEN($BG$844)&lt;&gt;8,$BG$844,RIGHT($BG$844,4)&amp;" "&amp;MID($BG$844,3,1)&amp;LEFT($BG$844,1))</f>
        <v>2004 Q1</v>
      </c>
      <c r="BH845" t="str">
        <f>IF(LEN($BH$844)&lt;&gt;8,$BH$844,RIGHT($BH$844,4)&amp;" "&amp;MID($BH$844,3,1)&amp;LEFT($BH$844,1))</f>
        <v>2003 Q4</v>
      </c>
      <c r="BI845" t="str">
        <f>IF(LEN($BI$844)&lt;&gt;8,$BI$844,RIGHT($BI$844,4)&amp;" "&amp;MID($BI$844,3,1)&amp;LEFT($BI$844,1))</f>
        <v>2003 Q3</v>
      </c>
      <c r="BJ845" t="str">
        <f>IF(LEN($BJ$844)&lt;&gt;8,$BJ$844,RIGHT($BJ$844,4)&amp;" "&amp;MID($BJ$844,3,1)&amp;LEFT($BJ$844,1))</f>
        <v>2003 Q2</v>
      </c>
      <c r="BN845" t="str">
        <f>""</f>
        <v/>
      </c>
      <c r="BO845" t="str">
        <f>""</f>
        <v/>
      </c>
      <c r="BP845" t="str">
        <f>""</f>
        <v/>
      </c>
      <c r="BQ845" t="str">
        <f>""</f>
        <v/>
      </c>
      <c r="BR845" t="str">
        <f>""</f>
        <v/>
      </c>
      <c r="BS845" t="str">
        <f>""</f>
        <v/>
      </c>
      <c r="BT845" t="str">
        <f>""</f>
        <v/>
      </c>
      <c r="BU845" t="str">
        <f>""</f>
        <v/>
      </c>
      <c r="BV845" t="str">
        <f>""</f>
        <v/>
      </c>
      <c r="BW845" t="str">
        <f>""</f>
        <v/>
      </c>
      <c r="BX845" t="str">
        <f>""</f>
        <v/>
      </c>
      <c r="BY845" t="str">
        <f>""</f>
        <v/>
      </c>
      <c r="BZ845" t="str">
        <f>""</f>
        <v/>
      </c>
      <c r="CA845" t="str">
        <f>""</f>
        <v/>
      </c>
      <c r="CB845" t="str">
        <f>""</f>
        <v/>
      </c>
      <c r="CC845" t="str">
        <f>""</f>
        <v/>
      </c>
      <c r="CD845" t="str">
        <f>""</f>
        <v/>
      </c>
      <c r="CE845" t="str">
        <f>""</f>
        <v/>
      </c>
      <c r="CF845" t="str">
        <f>""</f>
        <v/>
      </c>
      <c r="CG845" t="str">
        <f>""</f>
        <v/>
      </c>
      <c r="CH845" t="str">
        <f>""</f>
        <v/>
      </c>
      <c r="CI845" t="str">
        <f>""</f>
        <v/>
      </c>
      <c r="CJ845" t="str">
        <f>""</f>
        <v/>
      </c>
      <c r="CK845" t="str">
        <f>""</f>
        <v/>
      </c>
      <c r="CL845" t="str">
        <f>""</f>
        <v/>
      </c>
      <c r="CM845" t="str">
        <f>""</f>
        <v/>
      </c>
      <c r="CN845" t="str">
        <f>""</f>
        <v/>
      </c>
      <c r="CO845" t="str">
        <f>""</f>
        <v/>
      </c>
      <c r="CP845" t="str">
        <f>""</f>
        <v/>
      </c>
      <c r="CQ845" t="str">
        <f>""</f>
        <v/>
      </c>
      <c r="CR845" t="str">
        <f>""</f>
        <v/>
      </c>
      <c r="CS845" t="str">
        <f>""</f>
        <v/>
      </c>
      <c r="CT845" t="str">
        <f>""</f>
        <v/>
      </c>
      <c r="CU845" t="str">
        <f>""</f>
        <v/>
      </c>
      <c r="CV845" t="str">
        <f>""</f>
        <v/>
      </c>
      <c r="CW845" t="str">
        <f>""</f>
        <v/>
      </c>
      <c r="CX845" t="str">
        <f>""</f>
        <v/>
      </c>
      <c r="CY845" t="str">
        <f>""</f>
        <v/>
      </c>
      <c r="CZ845" t="str">
        <f>""</f>
        <v/>
      </c>
      <c r="DA845" t="str">
        <f>""</f>
        <v/>
      </c>
      <c r="DB845" t="str">
        <f>""</f>
        <v/>
      </c>
      <c r="DC845" t="str">
        <f>""</f>
        <v/>
      </c>
      <c r="DD845" t="str">
        <f>""</f>
        <v/>
      </c>
      <c r="DE845" t="str">
        <f>""</f>
        <v/>
      </c>
      <c r="DF845" t="str">
        <f>""</f>
        <v/>
      </c>
      <c r="DG845" t="str">
        <f>""</f>
        <v/>
      </c>
      <c r="DH845" t="str">
        <f>""</f>
        <v/>
      </c>
      <c r="DI845" t="str">
        <f>""</f>
        <v/>
      </c>
      <c r="DJ845" t="str">
        <f>""</f>
        <v/>
      </c>
      <c r="DK845" t="str">
        <f>""</f>
        <v/>
      </c>
      <c r="DL845" t="str">
        <f>""</f>
        <v/>
      </c>
      <c r="DM845" t="str">
        <f>""</f>
        <v/>
      </c>
      <c r="DN845" t="str">
        <f>""</f>
        <v/>
      </c>
      <c r="DO845" t="str">
        <f>""</f>
        <v/>
      </c>
      <c r="DP845" t="str">
        <f>""</f>
        <v/>
      </c>
      <c r="DQ845" t="str">
        <f>""</f>
        <v/>
      </c>
      <c r="DR845" t="str">
        <f>""</f>
        <v/>
      </c>
      <c r="DS845" t="str">
        <f>""</f>
        <v/>
      </c>
      <c r="DT845" t="str">
        <f>""</f>
        <v/>
      </c>
      <c r="DU845" t="str">
        <f>""</f>
        <v/>
      </c>
    </row>
    <row r="846" spans="1:125">
      <c r="A846" t="str">
        <f>"BDH dynamic header0"</f>
        <v>BDH dynamic header0</v>
      </c>
      <c r="B846">
        <f ca="1">IF(OR(ISERROR($C$846),ISBLANK($C$846),ISNUMBER(SEARCH("N/A",$C$846) ),ISERROR($C$847),ISBLANK($C$847)),0,1)</f>
        <v>0</v>
      </c>
      <c r="C846" t="str">
        <f ca="1">BDH($B$421,$C$421,$B$417,$B$418,"PER=CQ","Dts=S","DtFmt=FI", "rows=2","Dir=H","Points=60","Sort=R","Days=A","Fill=B","FX=USD" )</f>
        <v>#N/A Authorization</v>
      </c>
      <c r="BN846" t="str">
        <f>""</f>
        <v/>
      </c>
      <c r="BO846" t="str">
        <f>""</f>
        <v/>
      </c>
      <c r="BP846" t="str">
        <f>""</f>
        <v/>
      </c>
      <c r="BQ846" t="str">
        <f>""</f>
        <v/>
      </c>
      <c r="BR846" t="str">
        <f>""</f>
        <v/>
      </c>
      <c r="BS846" t="str">
        <f>""</f>
        <v/>
      </c>
      <c r="BT846" t="str">
        <f>""</f>
        <v/>
      </c>
      <c r="BU846" t="str">
        <f>""</f>
        <v/>
      </c>
      <c r="BV846" t="str">
        <f>""</f>
        <v/>
      </c>
      <c r="BW846" t="str">
        <f>""</f>
        <v/>
      </c>
      <c r="BX846" t="str">
        <f>""</f>
        <v/>
      </c>
      <c r="BY846" t="str">
        <f>""</f>
        <v/>
      </c>
      <c r="BZ846" t="str">
        <f>""</f>
        <v/>
      </c>
      <c r="CA846" t="str">
        <f>""</f>
        <v/>
      </c>
      <c r="CB846" t="str">
        <f>""</f>
        <v/>
      </c>
      <c r="CC846" t="str">
        <f>""</f>
        <v/>
      </c>
      <c r="CD846" t="str">
        <f>""</f>
        <v/>
      </c>
      <c r="CE846" t="str">
        <f>""</f>
        <v/>
      </c>
      <c r="CF846" t="str">
        <f>""</f>
        <v/>
      </c>
      <c r="CG846" t="str">
        <f>""</f>
        <v/>
      </c>
      <c r="CH846" t="str">
        <f>""</f>
        <v/>
      </c>
      <c r="CI846" t="str">
        <f>""</f>
        <v/>
      </c>
      <c r="CJ846" t="str">
        <f>""</f>
        <v/>
      </c>
      <c r="CK846" t="str">
        <f>""</f>
        <v/>
      </c>
      <c r="CL846" t="str">
        <f>""</f>
        <v/>
      </c>
      <c r="CM846" t="str">
        <f>""</f>
        <v/>
      </c>
      <c r="CN846" t="str">
        <f>""</f>
        <v/>
      </c>
      <c r="CO846" t="str">
        <f>""</f>
        <v/>
      </c>
      <c r="CP846" t="str">
        <f>""</f>
        <v/>
      </c>
      <c r="CQ846" t="str">
        <f>""</f>
        <v/>
      </c>
      <c r="CR846" t="str">
        <f>""</f>
        <v/>
      </c>
      <c r="CS846" t="str">
        <f>""</f>
        <v/>
      </c>
      <c r="CT846" t="str">
        <f>""</f>
        <v/>
      </c>
      <c r="CU846" t="str">
        <f>""</f>
        <v/>
      </c>
      <c r="CV846" t="str">
        <f>""</f>
        <v/>
      </c>
      <c r="CW846" t="str">
        <f>""</f>
        <v/>
      </c>
      <c r="CX846" t="str">
        <f>""</f>
        <v/>
      </c>
      <c r="CY846" t="str">
        <f>""</f>
        <v/>
      </c>
      <c r="CZ846" t="str">
        <f>""</f>
        <v/>
      </c>
      <c r="DA846" t="str">
        <f>""</f>
        <v/>
      </c>
      <c r="DB846" t="str">
        <f>""</f>
        <v/>
      </c>
      <c r="DC846" t="str">
        <f>""</f>
        <v/>
      </c>
      <c r="DD846" t="str">
        <f>""</f>
        <v/>
      </c>
      <c r="DE846" t="str">
        <f>""</f>
        <v/>
      </c>
      <c r="DF846" t="str">
        <f>""</f>
        <v/>
      </c>
      <c r="DG846" t="str">
        <f>""</f>
        <v/>
      </c>
      <c r="DH846" t="str">
        <f>""</f>
        <v/>
      </c>
      <c r="DI846" t="str">
        <f>""</f>
        <v/>
      </c>
      <c r="DJ846" t="str">
        <f>""</f>
        <v/>
      </c>
      <c r="DK846" t="str">
        <f>""</f>
        <v/>
      </c>
      <c r="DL846" t="str">
        <f>""</f>
        <v/>
      </c>
      <c r="DM846" t="str">
        <f>""</f>
        <v/>
      </c>
      <c r="DN846" t="str">
        <f>""</f>
        <v/>
      </c>
      <c r="DO846" t="str">
        <f>""</f>
        <v/>
      </c>
      <c r="DP846" t="str">
        <f>""</f>
        <v/>
      </c>
      <c r="DQ846" t="str">
        <f>""</f>
        <v/>
      </c>
      <c r="DR846" t="str">
        <f>""</f>
        <v/>
      </c>
      <c r="DS846" t="str">
        <f>""</f>
        <v/>
      </c>
      <c r="DT846" t="str">
        <f>""</f>
        <v/>
      </c>
      <c r="DU846" t="str">
        <f>""</f>
        <v/>
      </c>
    </row>
    <row r="847" spans="1:125">
      <c r="A847" t="str">
        <f>"BDH dynamic result0"</f>
        <v>BDH dynamic result0</v>
      </c>
      <c r="BN847" t="str">
        <f>""</f>
        <v/>
      </c>
      <c r="BO847" t="str">
        <f>""</f>
        <v/>
      </c>
      <c r="BP847" t="str">
        <f>""</f>
        <v/>
      </c>
      <c r="BQ847" t="str">
        <f>""</f>
        <v/>
      </c>
      <c r="BR847" t="str">
        <f>""</f>
        <v/>
      </c>
      <c r="BS847" t="str">
        <f>""</f>
        <v/>
      </c>
      <c r="BT847" t="str">
        <f>""</f>
        <v/>
      </c>
      <c r="BU847" t="str">
        <f>""</f>
        <v/>
      </c>
      <c r="BV847" t="str">
        <f>""</f>
        <v/>
      </c>
      <c r="BW847" t="str">
        <f>""</f>
        <v/>
      </c>
      <c r="BX847" t="str">
        <f>""</f>
        <v/>
      </c>
      <c r="BY847" t="str">
        <f>""</f>
        <v/>
      </c>
      <c r="BZ847" t="str">
        <f>""</f>
        <v/>
      </c>
      <c r="CA847" t="str">
        <f>""</f>
        <v/>
      </c>
      <c r="CB847" t="str">
        <f>""</f>
        <v/>
      </c>
      <c r="CC847" t="str">
        <f>""</f>
        <v/>
      </c>
      <c r="CD847" t="str">
        <f>""</f>
        <v/>
      </c>
      <c r="CE847" t="str">
        <f>""</f>
        <v/>
      </c>
      <c r="CF847" t="str">
        <f>""</f>
        <v/>
      </c>
      <c r="CG847" t="str">
        <f>""</f>
        <v/>
      </c>
      <c r="CH847" t="str">
        <f>""</f>
        <v/>
      </c>
      <c r="CI847" t="str">
        <f>""</f>
        <v/>
      </c>
      <c r="CJ847" t="str">
        <f>""</f>
        <v/>
      </c>
      <c r="CK847" t="str">
        <f>""</f>
        <v/>
      </c>
      <c r="CL847" t="str">
        <f>""</f>
        <v/>
      </c>
      <c r="CM847" t="str">
        <f>""</f>
        <v/>
      </c>
      <c r="CN847" t="str">
        <f>""</f>
        <v/>
      </c>
      <c r="CO847" t="str">
        <f>""</f>
        <v/>
      </c>
      <c r="CP847" t="str">
        <f>""</f>
        <v/>
      </c>
      <c r="CQ847" t="str">
        <f>""</f>
        <v/>
      </c>
      <c r="CR847" t="str">
        <f>""</f>
        <v/>
      </c>
      <c r="CS847" t="str">
        <f>""</f>
        <v/>
      </c>
      <c r="CT847" t="str">
        <f>""</f>
        <v/>
      </c>
      <c r="CU847" t="str">
        <f>""</f>
        <v/>
      </c>
      <c r="CV847" t="str">
        <f>""</f>
        <v/>
      </c>
      <c r="CW847" t="str">
        <f>""</f>
        <v/>
      </c>
      <c r="CX847" t="str">
        <f>""</f>
        <v/>
      </c>
      <c r="CY847" t="str">
        <f>""</f>
        <v/>
      </c>
      <c r="CZ847" t="str">
        <f>""</f>
        <v/>
      </c>
      <c r="DA847" t="str">
        <f>""</f>
        <v/>
      </c>
      <c r="DB847" t="str">
        <f>""</f>
        <v/>
      </c>
      <c r="DC847" t="str">
        <f>""</f>
        <v/>
      </c>
      <c r="DD847" t="str">
        <f>""</f>
        <v/>
      </c>
      <c r="DE847" t="str">
        <f>""</f>
        <v/>
      </c>
      <c r="DF847" t="str">
        <f>""</f>
        <v/>
      </c>
      <c r="DG847" t="str">
        <f>""</f>
        <v/>
      </c>
      <c r="DH847" t="str">
        <f>""</f>
        <v/>
      </c>
      <c r="DI847" t="str">
        <f>""</f>
        <v/>
      </c>
      <c r="DJ847" t="str">
        <f>""</f>
        <v/>
      </c>
      <c r="DK847" t="str">
        <f>""</f>
        <v/>
      </c>
      <c r="DL847" t="str">
        <f>""</f>
        <v/>
      </c>
      <c r="DM847" t="str">
        <f>""</f>
        <v/>
      </c>
      <c r="DN847" t="str">
        <f>""</f>
        <v/>
      </c>
      <c r="DO847" t="str">
        <f>""</f>
        <v/>
      </c>
      <c r="DP847" t="str">
        <f>""</f>
        <v/>
      </c>
      <c r="DQ847" t="str">
        <f>""</f>
        <v/>
      </c>
      <c r="DR847" t="str">
        <f>""</f>
        <v/>
      </c>
      <c r="DS847" t="str">
        <f>""</f>
        <v/>
      </c>
      <c r="DT847" t="str">
        <f>""</f>
        <v/>
      </c>
      <c r="DU847" t="str">
        <f>""</f>
        <v/>
      </c>
    </row>
    <row r="848" spans="1:125">
      <c r="A848" t="str">
        <f>"BDH dynamic header1"</f>
        <v>BDH dynamic header1</v>
      </c>
      <c r="B848">
        <f ca="1">IF(OR(ISERROR($C$848),ISBLANK($C$848),ISNUMBER(SEARCH("N/A",$C$848) ),ISERROR($C$849),ISBLANK($C$849)),0,1)</f>
        <v>0</v>
      </c>
      <c r="C848" t="str">
        <f ca="1">BDH($B$422,$C$422,$B$417,$B$418,"PER=CQ","Dts=S","DtFmt=FI", "rows=2","Dir=H","Points=60","Sort=R","Days=A","Fill=B","FX=USD" )</f>
        <v>#N/A Authorization</v>
      </c>
      <c r="BN848" t="str">
        <f>""</f>
        <v/>
      </c>
      <c r="BO848" t="str">
        <f>""</f>
        <v/>
      </c>
      <c r="BP848" t="str">
        <f>""</f>
        <v/>
      </c>
      <c r="BQ848" t="str">
        <f>""</f>
        <v/>
      </c>
      <c r="BR848" t="str">
        <f>""</f>
        <v/>
      </c>
      <c r="BS848" t="str">
        <f>""</f>
        <v/>
      </c>
      <c r="BT848" t="str">
        <f>""</f>
        <v/>
      </c>
      <c r="BU848" t="str">
        <f>""</f>
        <v/>
      </c>
      <c r="BV848" t="str">
        <f>""</f>
        <v/>
      </c>
      <c r="BW848" t="str">
        <f>""</f>
        <v/>
      </c>
      <c r="BX848" t="str">
        <f>""</f>
        <v/>
      </c>
      <c r="BY848" t="str">
        <f>""</f>
        <v/>
      </c>
      <c r="BZ848" t="str">
        <f>""</f>
        <v/>
      </c>
      <c r="CA848" t="str">
        <f>""</f>
        <v/>
      </c>
      <c r="CB848" t="str">
        <f>""</f>
        <v/>
      </c>
      <c r="CC848" t="str">
        <f>""</f>
        <v/>
      </c>
      <c r="CD848" t="str">
        <f>""</f>
        <v/>
      </c>
      <c r="CE848" t="str">
        <f>""</f>
        <v/>
      </c>
      <c r="CF848" t="str">
        <f>""</f>
        <v/>
      </c>
      <c r="CG848" t="str">
        <f>""</f>
        <v/>
      </c>
      <c r="CH848" t="str">
        <f>""</f>
        <v/>
      </c>
      <c r="CI848" t="str">
        <f>""</f>
        <v/>
      </c>
      <c r="CJ848" t="str">
        <f>""</f>
        <v/>
      </c>
      <c r="CK848" t="str">
        <f>""</f>
        <v/>
      </c>
      <c r="CL848" t="str">
        <f>""</f>
        <v/>
      </c>
      <c r="CM848" t="str">
        <f>""</f>
        <v/>
      </c>
      <c r="CN848" t="str">
        <f>""</f>
        <v/>
      </c>
      <c r="CO848" t="str">
        <f>""</f>
        <v/>
      </c>
      <c r="CP848" t="str">
        <f>""</f>
        <v/>
      </c>
      <c r="CQ848" t="str">
        <f>""</f>
        <v/>
      </c>
      <c r="CR848" t="str">
        <f>""</f>
        <v/>
      </c>
      <c r="CS848" t="str">
        <f>""</f>
        <v/>
      </c>
      <c r="CT848" t="str">
        <f>""</f>
        <v/>
      </c>
      <c r="CU848" t="str">
        <f>""</f>
        <v/>
      </c>
      <c r="CV848" t="str">
        <f>""</f>
        <v/>
      </c>
      <c r="CW848" t="str">
        <f>""</f>
        <v/>
      </c>
      <c r="CX848" t="str">
        <f>""</f>
        <v/>
      </c>
      <c r="CY848" t="str">
        <f>""</f>
        <v/>
      </c>
      <c r="CZ848" t="str">
        <f>""</f>
        <v/>
      </c>
      <c r="DA848" t="str">
        <f>""</f>
        <v/>
      </c>
      <c r="DB848" t="str">
        <f>""</f>
        <v/>
      </c>
      <c r="DC848" t="str">
        <f>""</f>
        <v/>
      </c>
      <c r="DD848" t="str">
        <f>""</f>
        <v/>
      </c>
      <c r="DE848" t="str">
        <f>""</f>
        <v/>
      </c>
      <c r="DF848" t="str">
        <f>""</f>
        <v/>
      </c>
      <c r="DG848" t="str">
        <f>""</f>
        <v/>
      </c>
      <c r="DH848" t="str">
        <f>""</f>
        <v/>
      </c>
      <c r="DI848" t="str">
        <f>""</f>
        <v/>
      </c>
      <c r="DJ848" t="str">
        <f>""</f>
        <v/>
      </c>
      <c r="DK848" t="str">
        <f>""</f>
        <v/>
      </c>
      <c r="DL848" t="str">
        <f>""</f>
        <v/>
      </c>
      <c r="DM848" t="str">
        <f>""</f>
        <v/>
      </c>
      <c r="DN848" t="str">
        <f>""</f>
        <v/>
      </c>
      <c r="DO848" t="str">
        <f>""</f>
        <v/>
      </c>
      <c r="DP848" t="str">
        <f>""</f>
        <v/>
      </c>
      <c r="DQ848" t="str">
        <f>""</f>
        <v/>
      </c>
      <c r="DR848" t="str">
        <f>""</f>
        <v/>
      </c>
      <c r="DS848" t="str">
        <f>""</f>
        <v/>
      </c>
      <c r="DT848" t="str">
        <f>""</f>
        <v/>
      </c>
      <c r="DU848" t="str">
        <f>""</f>
        <v/>
      </c>
    </row>
    <row r="849" spans="1:125">
      <c r="A849" t="str">
        <f>"BDH dynamic result1"</f>
        <v>BDH dynamic result1</v>
      </c>
      <c r="BN849" t="str">
        <f>""</f>
        <v/>
      </c>
      <c r="BO849" t="str">
        <f>""</f>
        <v/>
      </c>
      <c r="BP849" t="str">
        <f>""</f>
        <v/>
      </c>
      <c r="BQ849" t="str">
        <f>""</f>
        <v/>
      </c>
      <c r="BR849" t="str">
        <f>""</f>
        <v/>
      </c>
      <c r="BS849" t="str">
        <f>""</f>
        <v/>
      </c>
      <c r="BT849" t="str">
        <f>""</f>
        <v/>
      </c>
      <c r="BU849" t="str">
        <f>""</f>
        <v/>
      </c>
      <c r="BV849" t="str">
        <f>""</f>
        <v/>
      </c>
      <c r="BW849" t="str">
        <f>""</f>
        <v/>
      </c>
      <c r="BX849" t="str">
        <f>""</f>
        <v/>
      </c>
      <c r="BY849" t="str">
        <f>""</f>
        <v/>
      </c>
      <c r="BZ849" t="str">
        <f>""</f>
        <v/>
      </c>
      <c r="CA849" t="str">
        <f>""</f>
        <v/>
      </c>
      <c r="CB849" t="str">
        <f>""</f>
        <v/>
      </c>
      <c r="CC849" t="str">
        <f>""</f>
        <v/>
      </c>
      <c r="CD849" t="str">
        <f>""</f>
        <v/>
      </c>
      <c r="CE849" t="str">
        <f>""</f>
        <v/>
      </c>
      <c r="CF849" t="str">
        <f>""</f>
        <v/>
      </c>
      <c r="CG849" t="str">
        <f>""</f>
        <v/>
      </c>
      <c r="CH849" t="str">
        <f>""</f>
        <v/>
      </c>
      <c r="CI849" t="str">
        <f>""</f>
        <v/>
      </c>
      <c r="CJ849" t="str">
        <f>""</f>
        <v/>
      </c>
      <c r="CK849" t="str">
        <f>""</f>
        <v/>
      </c>
      <c r="CL849" t="str">
        <f>""</f>
        <v/>
      </c>
      <c r="CM849" t="str">
        <f>""</f>
        <v/>
      </c>
      <c r="CN849" t="str">
        <f>""</f>
        <v/>
      </c>
      <c r="CO849" t="str">
        <f>""</f>
        <v/>
      </c>
      <c r="CP849" t="str">
        <f>""</f>
        <v/>
      </c>
      <c r="CQ849" t="str">
        <f>""</f>
        <v/>
      </c>
      <c r="CR849" t="str">
        <f>""</f>
        <v/>
      </c>
      <c r="CS849" t="str">
        <f>""</f>
        <v/>
      </c>
      <c r="CT849" t="str">
        <f>""</f>
        <v/>
      </c>
      <c r="CU849" t="str">
        <f>""</f>
        <v/>
      </c>
      <c r="CV849" t="str">
        <f>""</f>
        <v/>
      </c>
      <c r="CW849" t="str">
        <f>""</f>
        <v/>
      </c>
      <c r="CX849" t="str">
        <f>""</f>
        <v/>
      </c>
      <c r="CY849" t="str">
        <f>""</f>
        <v/>
      </c>
      <c r="CZ849" t="str">
        <f>""</f>
        <v/>
      </c>
      <c r="DA849" t="str">
        <f>""</f>
        <v/>
      </c>
      <c r="DB849" t="str">
        <f>""</f>
        <v/>
      </c>
      <c r="DC849" t="str">
        <f>""</f>
        <v/>
      </c>
      <c r="DD849" t="str">
        <f>""</f>
        <v/>
      </c>
      <c r="DE849" t="str">
        <f>""</f>
        <v/>
      </c>
      <c r="DF849" t="str">
        <f>""</f>
        <v/>
      </c>
      <c r="DG849" t="str">
        <f>""</f>
        <v/>
      </c>
      <c r="DH849" t="str">
        <f>""</f>
        <v/>
      </c>
      <c r="DI849" t="str">
        <f>""</f>
        <v/>
      </c>
      <c r="DJ849" t="str">
        <f>""</f>
        <v/>
      </c>
      <c r="DK849" t="str">
        <f>""</f>
        <v/>
      </c>
      <c r="DL849" t="str">
        <f>""</f>
        <v/>
      </c>
      <c r="DM849" t="str">
        <f>""</f>
        <v/>
      </c>
      <c r="DN849" t="str">
        <f>""</f>
        <v/>
      </c>
      <c r="DO849" t="str">
        <f>""</f>
        <v/>
      </c>
      <c r="DP849" t="str">
        <f>""</f>
        <v/>
      </c>
      <c r="DQ849" t="str">
        <f>""</f>
        <v/>
      </c>
      <c r="DR849" t="str">
        <f>""</f>
        <v/>
      </c>
      <c r="DS849" t="str">
        <f>""</f>
        <v/>
      </c>
      <c r="DT849" t="str">
        <f>""</f>
        <v/>
      </c>
      <c r="DU849" t="str">
        <f>""</f>
        <v/>
      </c>
    </row>
    <row r="850" spans="1:125">
      <c r="A850" t="str">
        <f>"BDH dynamic header2"</f>
        <v>BDH dynamic header2</v>
      </c>
      <c r="B850">
        <f ca="1">IF(OR(ISERROR($C$850),ISBLANK($C$850),ISNUMBER(SEARCH("N/A",$C$850) ),ISERROR($C$851),ISBLANK($C$851)),0,1)</f>
        <v>0</v>
      </c>
      <c r="C850" t="str">
        <f ca="1">BDH($B$423,$C$423,$B$417,$B$418,"PER=CQ","Dts=S","DtFmt=FI", "rows=2","Dir=H","Points=60","Sort=R","Days=A","Fill=B","FX=USD" )</f>
        <v>#N/A Authorization</v>
      </c>
      <c r="BN850" t="str">
        <f>""</f>
        <v/>
      </c>
      <c r="BO850" t="str">
        <f>""</f>
        <v/>
      </c>
      <c r="BP850" t="str">
        <f>""</f>
        <v/>
      </c>
      <c r="BQ850" t="str">
        <f>""</f>
        <v/>
      </c>
      <c r="BR850" t="str">
        <f>""</f>
        <v/>
      </c>
      <c r="BS850" t="str">
        <f>""</f>
        <v/>
      </c>
      <c r="BT850" t="str">
        <f>""</f>
        <v/>
      </c>
      <c r="BU850" t="str">
        <f>""</f>
        <v/>
      </c>
      <c r="BV850" t="str">
        <f>""</f>
        <v/>
      </c>
      <c r="BW850" t="str">
        <f>""</f>
        <v/>
      </c>
      <c r="BX850" t="str">
        <f>""</f>
        <v/>
      </c>
      <c r="BY850" t="str">
        <f>""</f>
        <v/>
      </c>
      <c r="BZ850" t="str">
        <f>""</f>
        <v/>
      </c>
      <c r="CA850" t="str">
        <f>""</f>
        <v/>
      </c>
      <c r="CB850" t="str">
        <f>""</f>
        <v/>
      </c>
      <c r="CC850" t="str">
        <f>""</f>
        <v/>
      </c>
      <c r="CD850" t="str">
        <f>""</f>
        <v/>
      </c>
      <c r="CE850" t="str">
        <f>""</f>
        <v/>
      </c>
      <c r="CF850" t="str">
        <f>""</f>
        <v/>
      </c>
      <c r="CG850" t="str">
        <f>""</f>
        <v/>
      </c>
      <c r="CH850" t="str">
        <f>""</f>
        <v/>
      </c>
      <c r="CI850" t="str">
        <f>""</f>
        <v/>
      </c>
      <c r="CJ850" t="str">
        <f>""</f>
        <v/>
      </c>
      <c r="CK850" t="str">
        <f>""</f>
        <v/>
      </c>
      <c r="CL850" t="str">
        <f>""</f>
        <v/>
      </c>
      <c r="CM850" t="str">
        <f>""</f>
        <v/>
      </c>
      <c r="CN850" t="str">
        <f>""</f>
        <v/>
      </c>
      <c r="CO850" t="str">
        <f>""</f>
        <v/>
      </c>
      <c r="CP850" t="str">
        <f>""</f>
        <v/>
      </c>
      <c r="CQ850" t="str">
        <f>""</f>
        <v/>
      </c>
      <c r="CR850" t="str">
        <f>""</f>
        <v/>
      </c>
      <c r="CS850" t="str">
        <f>""</f>
        <v/>
      </c>
      <c r="CT850" t="str">
        <f>""</f>
        <v/>
      </c>
      <c r="CU850" t="str">
        <f>""</f>
        <v/>
      </c>
      <c r="CV850" t="str">
        <f>""</f>
        <v/>
      </c>
      <c r="CW850" t="str">
        <f>""</f>
        <v/>
      </c>
      <c r="CX850" t="str">
        <f>""</f>
        <v/>
      </c>
      <c r="CY850" t="str">
        <f>""</f>
        <v/>
      </c>
      <c r="CZ850" t="str">
        <f>""</f>
        <v/>
      </c>
      <c r="DA850" t="str">
        <f>""</f>
        <v/>
      </c>
      <c r="DB850" t="str">
        <f>""</f>
        <v/>
      </c>
      <c r="DC850" t="str">
        <f>""</f>
        <v/>
      </c>
      <c r="DD850" t="str">
        <f>""</f>
        <v/>
      </c>
      <c r="DE850" t="str">
        <f>""</f>
        <v/>
      </c>
      <c r="DF850" t="str">
        <f>""</f>
        <v/>
      </c>
      <c r="DG850" t="str">
        <f>""</f>
        <v/>
      </c>
      <c r="DH850" t="str">
        <f>""</f>
        <v/>
      </c>
      <c r="DI850" t="str">
        <f>""</f>
        <v/>
      </c>
      <c r="DJ850" t="str">
        <f>""</f>
        <v/>
      </c>
      <c r="DK850" t="str">
        <f>""</f>
        <v/>
      </c>
      <c r="DL850" t="str">
        <f>""</f>
        <v/>
      </c>
      <c r="DM850" t="str">
        <f>""</f>
        <v/>
      </c>
      <c r="DN850" t="str">
        <f>""</f>
        <v/>
      </c>
      <c r="DO850" t="str">
        <f>""</f>
        <v/>
      </c>
      <c r="DP850" t="str">
        <f>""</f>
        <v/>
      </c>
      <c r="DQ850" t="str">
        <f>""</f>
        <v/>
      </c>
      <c r="DR850" t="str">
        <f>""</f>
        <v/>
      </c>
      <c r="DS850" t="str">
        <f>""</f>
        <v/>
      </c>
      <c r="DT850" t="str">
        <f>""</f>
        <v/>
      </c>
      <c r="DU850" t="str">
        <f>""</f>
        <v/>
      </c>
    </row>
    <row r="851" spans="1:125">
      <c r="A851" t="str">
        <f>"BDH dynamic result2"</f>
        <v>BDH dynamic result2</v>
      </c>
      <c r="BN851" t="str">
        <f>""</f>
        <v/>
      </c>
      <c r="BO851" t="str">
        <f>""</f>
        <v/>
      </c>
      <c r="BP851" t="str">
        <f>""</f>
        <v/>
      </c>
      <c r="BQ851" t="str">
        <f>""</f>
        <v/>
      </c>
      <c r="BR851" t="str">
        <f>""</f>
        <v/>
      </c>
      <c r="BS851" t="str">
        <f>""</f>
        <v/>
      </c>
      <c r="BT851" t="str">
        <f>""</f>
        <v/>
      </c>
      <c r="BU851" t="str">
        <f>""</f>
        <v/>
      </c>
      <c r="BV851" t="str">
        <f>""</f>
        <v/>
      </c>
      <c r="BW851" t="str">
        <f>""</f>
        <v/>
      </c>
      <c r="BX851" t="str">
        <f>""</f>
        <v/>
      </c>
      <c r="BY851" t="str">
        <f>""</f>
        <v/>
      </c>
      <c r="BZ851" t="str">
        <f>""</f>
        <v/>
      </c>
      <c r="CA851" t="str">
        <f>""</f>
        <v/>
      </c>
      <c r="CB851" t="str">
        <f>""</f>
        <v/>
      </c>
      <c r="CC851" t="str">
        <f>""</f>
        <v/>
      </c>
      <c r="CD851" t="str">
        <f>""</f>
        <v/>
      </c>
      <c r="CE851" t="str">
        <f>""</f>
        <v/>
      </c>
      <c r="CF851" t="str">
        <f>""</f>
        <v/>
      </c>
      <c r="CG851" t="str">
        <f>""</f>
        <v/>
      </c>
      <c r="CH851" t="str">
        <f>""</f>
        <v/>
      </c>
      <c r="CI851" t="str">
        <f>""</f>
        <v/>
      </c>
      <c r="CJ851" t="str">
        <f>""</f>
        <v/>
      </c>
      <c r="CK851" t="str">
        <f>""</f>
        <v/>
      </c>
      <c r="CL851" t="str">
        <f>""</f>
        <v/>
      </c>
      <c r="CM851" t="str">
        <f>""</f>
        <v/>
      </c>
      <c r="CN851" t="str">
        <f>""</f>
        <v/>
      </c>
      <c r="CO851" t="str">
        <f>""</f>
        <v/>
      </c>
      <c r="CP851" t="str">
        <f>""</f>
        <v/>
      </c>
      <c r="CQ851" t="str">
        <f>""</f>
        <v/>
      </c>
      <c r="CR851" t="str">
        <f>""</f>
        <v/>
      </c>
      <c r="CS851" t="str">
        <f>""</f>
        <v/>
      </c>
      <c r="CT851" t="str">
        <f>""</f>
        <v/>
      </c>
      <c r="CU851" t="str">
        <f>""</f>
        <v/>
      </c>
      <c r="CV851" t="str">
        <f>""</f>
        <v/>
      </c>
      <c r="CW851" t="str">
        <f>""</f>
        <v/>
      </c>
      <c r="CX851" t="str">
        <f>""</f>
        <v/>
      </c>
      <c r="CY851" t="str">
        <f>""</f>
        <v/>
      </c>
      <c r="CZ851" t="str">
        <f>""</f>
        <v/>
      </c>
      <c r="DA851" t="str">
        <f>""</f>
        <v/>
      </c>
      <c r="DB851" t="str">
        <f>""</f>
        <v/>
      </c>
      <c r="DC851" t="str">
        <f>""</f>
        <v/>
      </c>
      <c r="DD851" t="str">
        <f>""</f>
        <v/>
      </c>
      <c r="DE851" t="str">
        <f>""</f>
        <v/>
      </c>
      <c r="DF851" t="str">
        <f>""</f>
        <v/>
      </c>
      <c r="DG851" t="str">
        <f>""</f>
        <v/>
      </c>
      <c r="DH851" t="str">
        <f>""</f>
        <v/>
      </c>
      <c r="DI851" t="str">
        <f>""</f>
        <v/>
      </c>
      <c r="DJ851" t="str">
        <f>""</f>
        <v/>
      </c>
      <c r="DK851" t="str">
        <f>""</f>
        <v/>
      </c>
      <c r="DL851" t="str">
        <f>""</f>
        <v/>
      </c>
      <c r="DM851" t="str">
        <f>""</f>
        <v/>
      </c>
      <c r="DN851" t="str">
        <f>""</f>
        <v/>
      </c>
      <c r="DO851" t="str">
        <f>""</f>
        <v/>
      </c>
      <c r="DP851" t="str">
        <f>""</f>
        <v/>
      </c>
      <c r="DQ851" t="str">
        <f>""</f>
        <v/>
      </c>
      <c r="DR851" t="str">
        <f>""</f>
        <v/>
      </c>
      <c r="DS851" t="str">
        <f>""</f>
        <v/>
      </c>
      <c r="DT851" t="str">
        <f>""</f>
        <v/>
      </c>
      <c r="DU851" t="str">
        <f>""</f>
        <v/>
      </c>
    </row>
    <row r="852" spans="1:125">
      <c r="A852" t="str">
        <f>"BDH dynamic"</f>
        <v>BDH dynamic</v>
      </c>
      <c r="B852">
        <f ca="1">IF($B$846&gt;=1,$B$846,IF($B$848&gt;=1,$B$848,IF($B$850&gt;=1,$B$850,$B$837)))</f>
        <v>2</v>
      </c>
      <c r="C852" t="str">
        <f ca="1">IF($B$846&gt;=1,$C$846,IF($B$848&gt;=1,$C$848,IF($B$850&gt;=1,$C$850,$C$837)))</f>
        <v>2018 Q1</v>
      </c>
      <c r="D852" t="str">
        <f ca="1">IF($B$846&gt;=1,$D$846,IF($B$848&gt;=1,$D$848,IF($B$850&gt;=1,$D$850,$D$837)))</f>
        <v>2017 Q4</v>
      </c>
      <c r="E852" t="str">
        <f ca="1">IF($B$846&gt;=1,$E$846,IF($B$848&gt;=1,$E$848,IF($B$850&gt;=1,$E$850,$E$837)))</f>
        <v>2017 Q3</v>
      </c>
      <c r="F852" t="str">
        <f ca="1">IF($B$846&gt;=1,$F$846,IF($B$848&gt;=1,$F$848,IF($B$850&gt;=1,$F$850,$F$837)))</f>
        <v>2017 Q2</v>
      </c>
      <c r="G852" t="str">
        <f ca="1">IF($B$846&gt;=1,$G$846,IF($B$848&gt;=1,$G$848,IF($B$850&gt;=1,$G$850,$G$837)))</f>
        <v>2017 Q1</v>
      </c>
      <c r="H852" t="str">
        <f ca="1">IF($B$846&gt;=1,$H$846,IF($B$848&gt;=1,$H$848,IF($B$850&gt;=1,$H$850,$H$837)))</f>
        <v>2016 Q4</v>
      </c>
      <c r="I852" t="str">
        <f ca="1">IF($B$846&gt;=1,$I$846,IF($B$848&gt;=1,$I$848,IF($B$850&gt;=1,$I$850,$I$837)))</f>
        <v>2016 Q3</v>
      </c>
      <c r="J852" t="str">
        <f ca="1">IF($B$846&gt;=1,$J$846,IF($B$848&gt;=1,$J$848,IF($B$850&gt;=1,$J$850,$J$837)))</f>
        <v>2016 Q2</v>
      </c>
      <c r="K852" t="str">
        <f ca="1">IF($B$846&gt;=1,$K$846,IF($B$848&gt;=1,$K$848,IF($B$850&gt;=1,$K$850,$K$837)))</f>
        <v>2016 Q1</v>
      </c>
      <c r="L852" t="str">
        <f ca="1">IF($B$846&gt;=1,$L$846,IF($B$848&gt;=1,$L$848,IF($B$850&gt;=1,$L$850,$L$837)))</f>
        <v>2015 Q4</v>
      </c>
      <c r="M852" t="str">
        <f ca="1">IF($B$846&gt;=1,$M$846,IF($B$848&gt;=1,$M$848,IF($B$850&gt;=1,$M$850,$M$837)))</f>
        <v>2015 Q3</v>
      </c>
      <c r="N852" t="str">
        <f ca="1">IF($B$846&gt;=1,$N$846,IF($B$848&gt;=1,$N$848,IF($B$850&gt;=1,$N$850,$N$837)))</f>
        <v>2015 Q2</v>
      </c>
      <c r="O852" t="str">
        <f ca="1">IF($B$846&gt;=1,$O$846,IF($B$848&gt;=1,$O$848,IF($B$850&gt;=1,$O$850,$O$837)))</f>
        <v>2015 Q1</v>
      </c>
      <c r="P852" t="str">
        <f ca="1">IF($B$846&gt;=1,$P$846,IF($B$848&gt;=1,$P$848,IF($B$850&gt;=1,$P$850,$P$837)))</f>
        <v>2014 Q4</v>
      </c>
      <c r="Q852" t="str">
        <f ca="1">IF($B$846&gt;=1,$Q$846,IF($B$848&gt;=1,$Q$848,IF($B$850&gt;=1,$Q$850,$Q$837)))</f>
        <v>2014 Q3</v>
      </c>
      <c r="R852" t="str">
        <f ca="1">IF($B$846&gt;=1,$R$846,IF($B$848&gt;=1,$R$848,IF($B$850&gt;=1,$R$850,$R$837)))</f>
        <v>2014 Q2</v>
      </c>
      <c r="S852" t="str">
        <f ca="1">IF($B$846&gt;=1,$S$846,IF($B$848&gt;=1,$S$848,IF($B$850&gt;=1,$S$850,$S$837)))</f>
        <v>2014 Q1</v>
      </c>
      <c r="T852" t="str">
        <f ca="1">IF($B$846&gt;=1,$T$846,IF($B$848&gt;=1,$T$848,IF($B$850&gt;=1,$T$850,$T$837)))</f>
        <v>2013 Q4</v>
      </c>
      <c r="U852" t="str">
        <f ca="1">IF($B$846&gt;=1,$U$846,IF($B$848&gt;=1,$U$848,IF($B$850&gt;=1,$U$850,$U$837)))</f>
        <v>2013 Q3</v>
      </c>
      <c r="V852" t="str">
        <f ca="1">IF($B$846&gt;=1,$V$846,IF($B$848&gt;=1,$V$848,IF($B$850&gt;=1,$V$850,$V$837)))</f>
        <v>2013 Q2</v>
      </c>
      <c r="W852" t="str">
        <f ca="1">IF($B$846&gt;=1,$W$846,IF($B$848&gt;=1,$W$848,IF($B$850&gt;=1,$W$850,$W$837)))</f>
        <v>2013 Q1</v>
      </c>
      <c r="X852" t="str">
        <f ca="1">IF($B$846&gt;=1,$X$846,IF($B$848&gt;=1,$X$848,IF($B$850&gt;=1,$X$850,$X$837)))</f>
        <v>2012 Q4</v>
      </c>
      <c r="Y852" t="str">
        <f ca="1">IF($B$846&gt;=1,$Y$846,IF($B$848&gt;=1,$Y$848,IF($B$850&gt;=1,$Y$850,$Y$837)))</f>
        <v>2012 Q3</v>
      </c>
      <c r="Z852" t="str">
        <f ca="1">IF($B$846&gt;=1,$Z$846,IF($B$848&gt;=1,$Z$848,IF($B$850&gt;=1,$Z$850,$Z$837)))</f>
        <v>2012 Q2</v>
      </c>
      <c r="AA852" t="str">
        <f ca="1">IF($B$846&gt;=1,$AA$846,IF($B$848&gt;=1,$AA$848,IF($B$850&gt;=1,$AA$850,$AA$837)))</f>
        <v>2012 Q1</v>
      </c>
      <c r="AB852" t="str">
        <f ca="1">IF($B$846&gt;=1,$AB$846,IF($B$848&gt;=1,$AB$848,IF($B$850&gt;=1,$AB$850,$AB$837)))</f>
        <v>2011 Q4</v>
      </c>
      <c r="AC852" t="str">
        <f ca="1">IF($B$846&gt;=1,$AC$846,IF($B$848&gt;=1,$AC$848,IF($B$850&gt;=1,$AC$850,$AC$837)))</f>
        <v>2011 Q3</v>
      </c>
      <c r="AD852" t="str">
        <f ca="1">IF($B$846&gt;=1,$AD$846,IF($B$848&gt;=1,$AD$848,IF($B$850&gt;=1,$AD$850,$AD$837)))</f>
        <v>2011 Q2</v>
      </c>
      <c r="AE852" t="str">
        <f ca="1">IF($B$846&gt;=1,$AE$846,IF($B$848&gt;=1,$AE$848,IF($B$850&gt;=1,$AE$850,$AE$837)))</f>
        <v>2011 Q1</v>
      </c>
      <c r="AF852" t="str">
        <f ca="1">IF($B$846&gt;=1,$AF$846,IF($B$848&gt;=1,$AF$848,IF($B$850&gt;=1,$AF$850,$AF$837)))</f>
        <v>2010 Q4</v>
      </c>
      <c r="AG852" t="str">
        <f ca="1">IF($B$846&gt;=1,$AG$846,IF($B$848&gt;=1,$AG$848,IF($B$850&gt;=1,$AG$850,$AG$837)))</f>
        <v>2010 Q3</v>
      </c>
      <c r="AH852" t="str">
        <f ca="1">IF($B$846&gt;=1,$AH$846,IF($B$848&gt;=1,$AH$848,IF($B$850&gt;=1,$AH$850,$AH$837)))</f>
        <v>2010 Q2</v>
      </c>
      <c r="AI852" t="str">
        <f ca="1">IF($B$846&gt;=1,$AI$846,IF($B$848&gt;=1,$AI$848,IF($B$850&gt;=1,$AI$850,$AI$837)))</f>
        <v>2010 Q1</v>
      </c>
      <c r="AJ852" t="str">
        <f ca="1">IF($B$846&gt;=1,$AJ$846,IF($B$848&gt;=1,$AJ$848,IF($B$850&gt;=1,$AJ$850,$AJ$837)))</f>
        <v>2009 Q4</v>
      </c>
      <c r="AK852" t="str">
        <f ca="1">IF($B$846&gt;=1,$AK$846,IF($B$848&gt;=1,$AK$848,IF($B$850&gt;=1,$AK$850,$AK$837)))</f>
        <v>2009 Q3</v>
      </c>
      <c r="AL852" t="str">
        <f ca="1">IF($B$846&gt;=1,$AL$846,IF($B$848&gt;=1,$AL$848,IF($B$850&gt;=1,$AL$850,$AL$837)))</f>
        <v>2009 Q2</v>
      </c>
      <c r="AM852" t="str">
        <f ca="1">IF($B$846&gt;=1,$AM$846,IF($B$848&gt;=1,$AM$848,IF($B$850&gt;=1,$AM$850,$AM$837)))</f>
        <v>2009 Q1</v>
      </c>
      <c r="AN852" t="str">
        <f ca="1">IF($B$846&gt;=1,$AN$846,IF($B$848&gt;=1,$AN$848,IF($B$850&gt;=1,$AN$850,$AN$837)))</f>
        <v>2008 Q4</v>
      </c>
      <c r="AO852" t="str">
        <f ca="1">IF($B$846&gt;=1,$AO$846,IF($B$848&gt;=1,$AO$848,IF($B$850&gt;=1,$AO$850,$AO$837)))</f>
        <v>2008 Q3</v>
      </c>
      <c r="AP852" t="str">
        <f ca="1">IF($B$846&gt;=1,$AP$846,IF($B$848&gt;=1,$AP$848,IF($B$850&gt;=1,$AP$850,$AP$837)))</f>
        <v>2008 Q2</v>
      </c>
      <c r="AQ852" t="str">
        <f ca="1">IF($B$846&gt;=1,$AQ$846,IF($B$848&gt;=1,$AQ$848,IF($B$850&gt;=1,$AQ$850,$AQ$837)))</f>
        <v>2008 Q1</v>
      </c>
      <c r="AR852" t="str">
        <f ca="1">IF($B$846&gt;=1,$AR$846,IF($B$848&gt;=1,$AR$848,IF($B$850&gt;=1,$AR$850,$AR$837)))</f>
        <v>2007 Q4</v>
      </c>
      <c r="AS852" t="str">
        <f ca="1">IF($B$846&gt;=1,$AS$846,IF($B$848&gt;=1,$AS$848,IF($B$850&gt;=1,$AS$850,$AS$837)))</f>
        <v>2007 Q3</v>
      </c>
      <c r="AT852" t="str">
        <f ca="1">IF($B$846&gt;=1,$AT$846,IF($B$848&gt;=1,$AT$848,IF($B$850&gt;=1,$AT$850,$AT$837)))</f>
        <v>2007 Q2</v>
      </c>
      <c r="AU852" t="str">
        <f ca="1">IF($B$846&gt;=1,$AU$846,IF($B$848&gt;=1,$AU$848,IF($B$850&gt;=1,$AU$850,$AU$837)))</f>
        <v>2007 Q1</v>
      </c>
      <c r="AV852" t="str">
        <f ca="1">IF($B$846&gt;=1,$AV$846,IF($B$848&gt;=1,$AV$848,IF($B$850&gt;=1,$AV$850,$AV$837)))</f>
        <v>2006 Q4</v>
      </c>
      <c r="AW852" t="str">
        <f ca="1">IF($B$846&gt;=1,$AW$846,IF($B$848&gt;=1,$AW$848,IF($B$850&gt;=1,$AW$850,$AW$837)))</f>
        <v>2006 Q3</v>
      </c>
      <c r="AX852" t="str">
        <f ca="1">IF($B$846&gt;=1,$AX$846,IF($B$848&gt;=1,$AX$848,IF($B$850&gt;=1,$AX$850,$AX$837)))</f>
        <v>2006 Q2</v>
      </c>
      <c r="AY852" t="str">
        <f ca="1">IF($B$846&gt;=1,$AY$846,IF($B$848&gt;=1,$AY$848,IF($B$850&gt;=1,$AY$850,$AY$837)))</f>
        <v>2006 Q1</v>
      </c>
      <c r="AZ852" t="str">
        <f ca="1">IF($B$846&gt;=1,$AZ$846,IF($B$848&gt;=1,$AZ$848,IF($B$850&gt;=1,$AZ$850,$AZ$837)))</f>
        <v>2005 Q4</v>
      </c>
      <c r="BA852" t="str">
        <f ca="1">IF($B$846&gt;=1,$BA$846,IF($B$848&gt;=1,$BA$848,IF($B$850&gt;=1,$BA$850,$BA$837)))</f>
        <v>2005 Q3</v>
      </c>
      <c r="BB852" t="str">
        <f ca="1">IF($B$846&gt;=1,$BB$846,IF($B$848&gt;=1,$BB$848,IF($B$850&gt;=1,$BB$850,$BB$837)))</f>
        <v>2005 Q2</v>
      </c>
      <c r="BC852" t="str">
        <f ca="1">IF($B$846&gt;=1,$BC$846,IF($B$848&gt;=1,$BC$848,IF($B$850&gt;=1,$BC$850,$BC$837)))</f>
        <v>2005 Q1</v>
      </c>
      <c r="BD852" t="str">
        <f ca="1">IF($B$846&gt;=1,$BD$846,IF($B$848&gt;=1,$BD$848,IF($B$850&gt;=1,$BD$850,$BD$837)))</f>
        <v>2004 Q4</v>
      </c>
      <c r="BE852" t="str">
        <f ca="1">IF($B$846&gt;=1,$BE$846,IF($B$848&gt;=1,$BE$848,IF($B$850&gt;=1,$BE$850,$BE$837)))</f>
        <v>2004 Q3</v>
      </c>
      <c r="BF852" t="str">
        <f ca="1">IF($B$846&gt;=1,$BF$846,IF($B$848&gt;=1,$BF$848,IF($B$850&gt;=1,$BF$850,$BF$837)))</f>
        <v>2004 Q2</v>
      </c>
      <c r="BG852" t="str">
        <f ca="1">IF($B$846&gt;=1,$BG$846,IF($B$848&gt;=1,$BG$848,IF($B$850&gt;=1,$BG$850,$BG$837)))</f>
        <v>2004 Q1</v>
      </c>
      <c r="BH852" t="str">
        <f ca="1">IF($B$846&gt;=1,$BH$846,IF($B$848&gt;=1,$BH$848,IF($B$850&gt;=1,$BH$850,$BH$837)))</f>
        <v>2003 Q4</v>
      </c>
      <c r="BI852" t="str">
        <f ca="1">IF($B$846&gt;=1,$BI$846,IF($B$848&gt;=1,$BI$848,IF($B$850&gt;=1,$BI$850,$BI$837)))</f>
        <v>2003 Q3</v>
      </c>
      <c r="BJ852" t="str">
        <f ca="1">IF($B$846&gt;=1,$BJ$846,IF($B$848&gt;=1,$BJ$848,IF($B$850&gt;=1,$BJ$850,$BJ$837)))</f>
        <v>2003 Q2</v>
      </c>
      <c r="BN852" t="str">
        <f>""</f>
        <v/>
      </c>
      <c r="BO852" t="str">
        <f>""</f>
        <v/>
      </c>
      <c r="BP852" t="str">
        <f>""</f>
        <v/>
      </c>
      <c r="BQ852" t="str">
        <f>""</f>
        <v/>
      </c>
      <c r="BR852" t="str">
        <f>""</f>
        <v/>
      </c>
      <c r="BS852" t="str">
        <f>""</f>
        <v/>
      </c>
      <c r="BT852" t="str">
        <f>""</f>
        <v/>
      </c>
      <c r="BU852" t="str">
        <f>""</f>
        <v/>
      </c>
      <c r="BV852" t="str">
        <f>""</f>
        <v/>
      </c>
      <c r="BW852" t="str">
        <f>""</f>
        <v/>
      </c>
      <c r="BX852" t="str">
        <f>""</f>
        <v/>
      </c>
      <c r="BY852" t="str">
        <f>""</f>
        <v/>
      </c>
      <c r="BZ852" t="str">
        <f>""</f>
        <v/>
      </c>
      <c r="CA852" t="str">
        <f>""</f>
        <v/>
      </c>
      <c r="CB852" t="str">
        <f>""</f>
        <v/>
      </c>
      <c r="CC852" t="str">
        <f>""</f>
        <v/>
      </c>
      <c r="CD852" t="str">
        <f>""</f>
        <v/>
      </c>
      <c r="CE852" t="str">
        <f>""</f>
        <v/>
      </c>
      <c r="CF852" t="str">
        <f>""</f>
        <v/>
      </c>
      <c r="CG852" t="str">
        <f>""</f>
        <v/>
      </c>
      <c r="CH852" t="str">
        <f>""</f>
        <v/>
      </c>
      <c r="CI852" t="str">
        <f>""</f>
        <v/>
      </c>
      <c r="CJ852" t="str">
        <f>""</f>
        <v/>
      </c>
      <c r="CK852" t="str">
        <f>""</f>
        <v/>
      </c>
      <c r="CL852" t="str">
        <f>""</f>
        <v/>
      </c>
      <c r="CM852" t="str">
        <f>""</f>
        <v/>
      </c>
      <c r="CN852" t="str">
        <f>""</f>
        <v/>
      </c>
      <c r="CO852" t="str">
        <f>""</f>
        <v/>
      </c>
      <c r="CP852" t="str">
        <f>""</f>
        <v/>
      </c>
      <c r="CQ852" t="str">
        <f>""</f>
        <v/>
      </c>
      <c r="CR852" t="str">
        <f>""</f>
        <v/>
      </c>
      <c r="CS852" t="str">
        <f>""</f>
        <v/>
      </c>
      <c r="CT852" t="str">
        <f>""</f>
        <v/>
      </c>
      <c r="CU852" t="str">
        <f>""</f>
        <v/>
      </c>
      <c r="CV852" t="str">
        <f>""</f>
        <v/>
      </c>
      <c r="CW852" t="str">
        <f>""</f>
        <v/>
      </c>
      <c r="CX852" t="str">
        <f>""</f>
        <v/>
      </c>
      <c r="CY852" t="str">
        <f>""</f>
        <v/>
      </c>
      <c r="CZ852" t="str">
        <f>""</f>
        <v/>
      </c>
      <c r="DA852" t="str">
        <f>""</f>
        <v/>
      </c>
      <c r="DB852" t="str">
        <f>""</f>
        <v/>
      </c>
      <c r="DC852" t="str">
        <f>""</f>
        <v/>
      </c>
      <c r="DD852" t="str">
        <f>""</f>
        <v/>
      </c>
      <c r="DE852" t="str">
        <f>""</f>
        <v/>
      </c>
      <c r="DF852" t="str">
        <f>""</f>
        <v/>
      </c>
      <c r="DG852" t="str">
        <f>""</f>
        <v/>
      </c>
      <c r="DH852" t="str">
        <f>""</f>
        <v/>
      </c>
      <c r="DI852" t="str">
        <f>""</f>
        <v/>
      </c>
      <c r="DJ852" t="str">
        <f>""</f>
        <v/>
      </c>
      <c r="DK852" t="str">
        <f>""</f>
        <v/>
      </c>
      <c r="DL852" t="str">
        <f>""</f>
        <v/>
      </c>
      <c r="DM852" t="str">
        <f>""</f>
        <v/>
      </c>
      <c r="DN852" t="str">
        <f>""</f>
        <v/>
      </c>
      <c r="DO852" t="str">
        <f>""</f>
        <v/>
      </c>
      <c r="DP852" t="str">
        <f>""</f>
        <v/>
      </c>
      <c r="DQ852" t="str">
        <f>""</f>
        <v/>
      </c>
      <c r="DR852" t="str">
        <f>""</f>
        <v/>
      </c>
      <c r="DS852" t="str">
        <f>""</f>
        <v/>
      </c>
      <c r="DT852" t="str">
        <f>""</f>
        <v/>
      </c>
      <c r="DU852" t="str">
        <f>""</f>
        <v/>
      </c>
    </row>
    <row r="853" spans="1:125">
      <c r="A853" t="str">
        <f>"BDH dynamic title"</f>
        <v>BDH dynamic title</v>
      </c>
      <c r="B853">
        <f ca="1">$B$852</f>
        <v>2</v>
      </c>
      <c r="C853" t="str">
        <f ca="1">IF(LEN($C$852)&lt;&gt;8,$C$852,RIGHT($C$852,4)&amp;" "&amp;MID($C$852,3,1)&amp;LEFT($C$852,1))</f>
        <v>2018 Q1</v>
      </c>
      <c r="D853" t="str">
        <f ca="1">IF(LEN($D$852)&lt;&gt;8,$D$852,RIGHT($D$852,4)&amp;" "&amp;MID($D$852,3,1)&amp;LEFT($D$852,1))</f>
        <v>2017 Q4</v>
      </c>
      <c r="E853" t="str">
        <f ca="1">IF(LEN($E$852)&lt;&gt;8,$E$852,RIGHT($E$852,4)&amp;" "&amp;MID($E$852,3,1)&amp;LEFT($E$852,1))</f>
        <v>2017 Q3</v>
      </c>
      <c r="F853" t="str">
        <f ca="1">IF(LEN($F$852)&lt;&gt;8,$F$852,RIGHT($F$852,4)&amp;" "&amp;MID($F$852,3,1)&amp;LEFT($F$852,1))</f>
        <v>2017 Q2</v>
      </c>
      <c r="G853" t="str">
        <f ca="1">IF(LEN($G$852)&lt;&gt;8,$G$852,RIGHT($G$852,4)&amp;" "&amp;MID($G$852,3,1)&amp;LEFT($G$852,1))</f>
        <v>2017 Q1</v>
      </c>
      <c r="H853" t="str">
        <f ca="1">IF(LEN($H$852)&lt;&gt;8,$H$852,RIGHT($H$852,4)&amp;" "&amp;MID($H$852,3,1)&amp;LEFT($H$852,1))</f>
        <v>2016 Q4</v>
      </c>
      <c r="I853" t="str">
        <f ca="1">IF(LEN($I$852)&lt;&gt;8,$I$852,RIGHT($I$852,4)&amp;" "&amp;MID($I$852,3,1)&amp;LEFT($I$852,1))</f>
        <v>2016 Q3</v>
      </c>
      <c r="J853" t="str">
        <f ca="1">IF(LEN($J$852)&lt;&gt;8,$J$852,RIGHT($J$852,4)&amp;" "&amp;MID($J$852,3,1)&amp;LEFT($J$852,1))</f>
        <v>2016 Q2</v>
      </c>
      <c r="K853" t="str">
        <f ca="1">IF(LEN($K$852)&lt;&gt;8,$K$852,RIGHT($K$852,4)&amp;" "&amp;MID($K$852,3,1)&amp;LEFT($K$852,1))</f>
        <v>2016 Q1</v>
      </c>
      <c r="L853" t="str">
        <f ca="1">IF(LEN($L$852)&lt;&gt;8,$L$852,RIGHT($L$852,4)&amp;" "&amp;MID($L$852,3,1)&amp;LEFT($L$852,1))</f>
        <v>2015 Q4</v>
      </c>
      <c r="M853" t="str">
        <f ca="1">IF(LEN($M$852)&lt;&gt;8,$M$852,RIGHT($M$852,4)&amp;" "&amp;MID($M$852,3,1)&amp;LEFT($M$852,1))</f>
        <v>2015 Q3</v>
      </c>
      <c r="N853" t="str">
        <f ca="1">IF(LEN($N$852)&lt;&gt;8,$N$852,RIGHT($N$852,4)&amp;" "&amp;MID($N$852,3,1)&amp;LEFT($N$852,1))</f>
        <v>2015 Q2</v>
      </c>
      <c r="O853" t="str">
        <f ca="1">IF(LEN($O$852)&lt;&gt;8,$O$852,RIGHT($O$852,4)&amp;" "&amp;MID($O$852,3,1)&amp;LEFT($O$852,1))</f>
        <v>2015 Q1</v>
      </c>
      <c r="P853" t="str">
        <f ca="1">IF(LEN($P$852)&lt;&gt;8,$P$852,RIGHT($P$852,4)&amp;" "&amp;MID($P$852,3,1)&amp;LEFT($P$852,1))</f>
        <v>2014 Q4</v>
      </c>
      <c r="Q853" t="str">
        <f ca="1">IF(LEN($Q$852)&lt;&gt;8,$Q$852,RIGHT($Q$852,4)&amp;" "&amp;MID($Q$852,3,1)&amp;LEFT($Q$852,1))</f>
        <v>2014 Q3</v>
      </c>
      <c r="R853" t="str">
        <f ca="1">IF(LEN($R$852)&lt;&gt;8,$R$852,RIGHT($R$852,4)&amp;" "&amp;MID($R$852,3,1)&amp;LEFT($R$852,1))</f>
        <v>2014 Q2</v>
      </c>
      <c r="S853" t="str">
        <f ca="1">IF(LEN($S$852)&lt;&gt;8,$S$852,RIGHT($S$852,4)&amp;" "&amp;MID($S$852,3,1)&amp;LEFT($S$852,1))</f>
        <v>2014 Q1</v>
      </c>
      <c r="T853" t="str">
        <f ca="1">IF(LEN($T$852)&lt;&gt;8,$T$852,RIGHT($T$852,4)&amp;" "&amp;MID($T$852,3,1)&amp;LEFT($T$852,1))</f>
        <v>2013 Q4</v>
      </c>
      <c r="U853" t="str">
        <f ca="1">IF(LEN($U$852)&lt;&gt;8,$U$852,RIGHT($U$852,4)&amp;" "&amp;MID($U$852,3,1)&amp;LEFT($U$852,1))</f>
        <v>2013 Q3</v>
      </c>
      <c r="V853" t="str">
        <f ca="1">IF(LEN($V$852)&lt;&gt;8,$V$852,RIGHT($V$852,4)&amp;" "&amp;MID($V$852,3,1)&amp;LEFT($V$852,1))</f>
        <v>2013 Q2</v>
      </c>
      <c r="W853" t="str">
        <f ca="1">IF(LEN($W$852)&lt;&gt;8,$W$852,RIGHT($W$852,4)&amp;" "&amp;MID($W$852,3,1)&amp;LEFT($W$852,1))</f>
        <v>2013 Q1</v>
      </c>
      <c r="X853" t="str">
        <f ca="1">IF(LEN($X$852)&lt;&gt;8,$X$852,RIGHT($X$852,4)&amp;" "&amp;MID($X$852,3,1)&amp;LEFT($X$852,1))</f>
        <v>2012 Q4</v>
      </c>
      <c r="Y853" t="str">
        <f ca="1">IF(LEN($Y$852)&lt;&gt;8,$Y$852,RIGHT($Y$852,4)&amp;" "&amp;MID($Y$852,3,1)&amp;LEFT($Y$852,1))</f>
        <v>2012 Q3</v>
      </c>
      <c r="Z853" t="str">
        <f ca="1">IF(LEN($Z$852)&lt;&gt;8,$Z$852,RIGHT($Z$852,4)&amp;" "&amp;MID($Z$852,3,1)&amp;LEFT($Z$852,1))</f>
        <v>2012 Q2</v>
      </c>
      <c r="AA853" t="str">
        <f ca="1">IF(LEN($AA$852)&lt;&gt;8,$AA$852,RIGHT($AA$852,4)&amp;" "&amp;MID($AA$852,3,1)&amp;LEFT($AA$852,1))</f>
        <v>2012 Q1</v>
      </c>
      <c r="AB853" t="str">
        <f ca="1">IF(LEN($AB$852)&lt;&gt;8,$AB$852,RIGHT($AB$852,4)&amp;" "&amp;MID($AB$852,3,1)&amp;LEFT($AB$852,1))</f>
        <v>2011 Q4</v>
      </c>
      <c r="AC853" t="str">
        <f ca="1">IF(LEN($AC$852)&lt;&gt;8,$AC$852,RIGHT($AC$852,4)&amp;" "&amp;MID($AC$852,3,1)&amp;LEFT($AC$852,1))</f>
        <v>2011 Q3</v>
      </c>
      <c r="AD853" t="str">
        <f ca="1">IF(LEN($AD$852)&lt;&gt;8,$AD$852,RIGHT($AD$852,4)&amp;" "&amp;MID($AD$852,3,1)&amp;LEFT($AD$852,1))</f>
        <v>2011 Q2</v>
      </c>
      <c r="AE853" t="str">
        <f ca="1">IF(LEN($AE$852)&lt;&gt;8,$AE$852,RIGHT($AE$852,4)&amp;" "&amp;MID($AE$852,3,1)&amp;LEFT($AE$852,1))</f>
        <v>2011 Q1</v>
      </c>
      <c r="AF853" t="str">
        <f ca="1">IF(LEN($AF$852)&lt;&gt;8,$AF$852,RIGHT($AF$852,4)&amp;" "&amp;MID($AF$852,3,1)&amp;LEFT($AF$852,1))</f>
        <v>2010 Q4</v>
      </c>
      <c r="AG853" t="str">
        <f ca="1">IF(LEN($AG$852)&lt;&gt;8,$AG$852,RIGHT($AG$852,4)&amp;" "&amp;MID($AG$852,3,1)&amp;LEFT($AG$852,1))</f>
        <v>2010 Q3</v>
      </c>
      <c r="AH853" t="str">
        <f ca="1">IF(LEN($AH$852)&lt;&gt;8,$AH$852,RIGHT($AH$852,4)&amp;" "&amp;MID($AH$852,3,1)&amp;LEFT($AH$852,1))</f>
        <v>2010 Q2</v>
      </c>
      <c r="AI853" t="str">
        <f ca="1">IF(LEN($AI$852)&lt;&gt;8,$AI$852,RIGHT($AI$852,4)&amp;" "&amp;MID($AI$852,3,1)&amp;LEFT($AI$852,1))</f>
        <v>2010 Q1</v>
      </c>
      <c r="AJ853" t="str">
        <f ca="1">IF(LEN($AJ$852)&lt;&gt;8,$AJ$852,RIGHT($AJ$852,4)&amp;" "&amp;MID($AJ$852,3,1)&amp;LEFT($AJ$852,1))</f>
        <v>2009 Q4</v>
      </c>
      <c r="AK853" t="str">
        <f ca="1">IF(LEN($AK$852)&lt;&gt;8,$AK$852,RIGHT($AK$852,4)&amp;" "&amp;MID($AK$852,3,1)&amp;LEFT($AK$852,1))</f>
        <v>2009 Q3</v>
      </c>
      <c r="AL853" t="str">
        <f ca="1">IF(LEN($AL$852)&lt;&gt;8,$AL$852,RIGHT($AL$852,4)&amp;" "&amp;MID($AL$852,3,1)&amp;LEFT($AL$852,1))</f>
        <v>2009 Q2</v>
      </c>
      <c r="AM853" t="str">
        <f ca="1">IF(LEN($AM$852)&lt;&gt;8,$AM$852,RIGHT($AM$852,4)&amp;" "&amp;MID($AM$852,3,1)&amp;LEFT($AM$852,1))</f>
        <v>2009 Q1</v>
      </c>
      <c r="AN853" t="str">
        <f ca="1">IF(LEN($AN$852)&lt;&gt;8,$AN$852,RIGHT($AN$852,4)&amp;" "&amp;MID($AN$852,3,1)&amp;LEFT($AN$852,1))</f>
        <v>2008 Q4</v>
      </c>
      <c r="AO853" t="str">
        <f ca="1">IF(LEN($AO$852)&lt;&gt;8,$AO$852,RIGHT($AO$852,4)&amp;" "&amp;MID($AO$852,3,1)&amp;LEFT($AO$852,1))</f>
        <v>2008 Q3</v>
      </c>
      <c r="AP853" t="str">
        <f ca="1">IF(LEN($AP$852)&lt;&gt;8,$AP$852,RIGHT($AP$852,4)&amp;" "&amp;MID($AP$852,3,1)&amp;LEFT($AP$852,1))</f>
        <v>2008 Q2</v>
      </c>
      <c r="AQ853" t="str">
        <f ca="1">IF(LEN($AQ$852)&lt;&gt;8,$AQ$852,RIGHT($AQ$852,4)&amp;" "&amp;MID($AQ$852,3,1)&amp;LEFT($AQ$852,1))</f>
        <v>2008 Q1</v>
      </c>
      <c r="AR853" t="str">
        <f ca="1">IF(LEN($AR$852)&lt;&gt;8,$AR$852,RIGHT($AR$852,4)&amp;" "&amp;MID($AR$852,3,1)&amp;LEFT($AR$852,1))</f>
        <v>2007 Q4</v>
      </c>
      <c r="AS853" t="str">
        <f ca="1">IF(LEN($AS$852)&lt;&gt;8,$AS$852,RIGHT($AS$852,4)&amp;" "&amp;MID($AS$852,3,1)&amp;LEFT($AS$852,1))</f>
        <v>2007 Q3</v>
      </c>
      <c r="AT853" t="str">
        <f ca="1">IF(LEN($AT$852)&lt;&gt;8,$AT$852,RIGHT($AT$852,4)&amp;" "&amp;MID($AT$852,3,1)&amp;LEFT($AT$852,1))</f>
        <v>2007 Q2</v>
      </c>
      <c r="AU853" t="str">
        <f ca="1">IF(LEN($AU$852)&lt;&gt;8,$AU$852,RIGHT($AU$852,4)&amp;" "&amp;MID($AU$852,3,1)&amp;LEFT($AU$852,1))</f>
        <v>2007 Q1</v>
      </c>
      <c r="AV853" t="str">
        <f ca="1">IF(LEN($AV$852)&lt;&gt;8,$AV$852,RIGHT($AV$852,4)&amp;" "&amp;MID($AV$852,3,1)&amp;LEFT($AV$852,1))</f>
        <v>2006 Q4</v>
      </c>
      <c r="AW853" t="str">
        <f ca="1">IF(LEN($AW$852)&lt;&gt;8,$AW$852,RIGHT($AW$852,4)&amp;" "&amp;MID($AW$852,3,1)&amp;LEFT($AW$852,1))</f>
        <v>2006 Q3</v>
      </c>
      <c r="AX853" t="str">
        <f ca="1">IF(LEN($AX$852)&lt;&gt;8,$AX$852,RIGHT($AX$852,4)&amp;" "&amp;MID($AX$852,3,1)&amp;LEFT($AX$852,1))</f>
        <v>2006 Q2</v>
      </c>
      <c r="AY853" t="str">
        <f ca="1">IF(LEN($AY$852)&lt;&gt;8,$AY$852,RIGHT($AY$852,4)&amp;" "&amp;MID($AY$852,3,1)&amp;LEFT($AY$852,1))</f>
        <v>2006 Q1</v>
      </c>
      <c r="AZ853" t="str">
        <f ca="1">IF(LEN($AZ$852)&lt;&gt;8,$AZ$852,RIGHT($AZ$852,4)&amp;" "&amp;MID($AZ$852,3,1)&amp;LEFT($AZ$852,1))</f>
        <v>2005 Q4</v>
      </c>
      <c r="BA853" t="str">
        <f ca="1">IF(LEN($BA$852)&lt;&gt;8,$BA$852,RIGHT($BA$852,4)&amp;" "&amp;MID($BA$852,3,1)&amp;LEFT($BA$852,1))</f>
        <v>2005 Q3</v>
      </c>
      <c r="BB853" t="str">
        <f ca="1">IF(LEN($BB$852)&lt;&gt;8,$BB$852,RIGHT($BB$852,4)&amp;" "&amp;MID($BB$852,3,1)&amp;LEFT($BB$852,1))</f>
        <v>2005 Q2</v>
      </c>
      <c r="BC853" t="str">
        <f ca="1">IF(LEN($BC$852)&lt;&gt;8,$BC$852,RIGHT($BC$852,4)&amp;" "&amp;MID($BC$852,3,1)&amp;LEFT($BC$852,1))</f>
        <v>2005 Q1</v>
      </c>
      <c r="BD853" t="str">
        <f ca="1">IF(LEN($BD$852)&lt;&gt;8,$BD$852,RIGHT($BD$852,4)&amp;" "&amp;MID($BD$852,3,1)&amp;LEFT($BD$852,1))</f>
        <v>2004 Q4</v>
      </c>
      <c r="BE853" t="str">
        <f ca="1">IF(LEN($BE$852)&lt;&gt;8,$BE$852,RIGHT($BE$852,4)&amp;" "&amp;MID($BE$852,3,1)&amp;LEFT($BE$852,1))</f>
        <v>2004 Q3</v>
      </c>
      <c r="BF853" t="str">
        <f ca="1">IF(LEN($BF$852)&lt;&gt;8,$BF$852,RIGHT($BF$852,4)&amp;" "&amp;MID($BF$852,3,1)&amp;LEFT($BF$852,1))</f>
        <v>2004 Q2</v>
      </c>
      <c r="BG853" t="str">
        <f ca="1">IF(LEN($BG$852)&lt;&gt;8,$BG$852,RIGHT($BG$852,4)&amp;" "&amp;MID($BG$852,3,1)&amp;LEFT($BG$852,1))</f>
        <v>2004 Q1</v>
      </c>
      <c r="BH853" t="str">
        <f ca="1">IF(LEN($BH$852)&lt;&gt;8,$BH$852,RIGHT($BH$852,4)&amp;" "&amp;MID($BH$852,3,1)&amp;LEFT($BH$852,1))</f>
        <v>2003 Q4</v>
      </c>
      <c r="BI853" t="str">
        <f ca="1">IF(LEN($BI$852)&lt;&gt;8,$BI$852,RIGHT($BI$852,4)&amp;" "&amp;MID($BI$852,3,1)&amp;LEFT($BI$852,1))</f>
        <v>2003 Q3</v>
      </c>
      <c r="BJ853" t="str">
        <f ca="1">IF(LEN($BJ$852)&lt;&gt;8,$BJ$852,RIGHT($BJ$852,4)&amp;" "&amp;MID($BJ$852,3,1)&amp;LEFT($BJ$852,1))</f>
        <v>2003 Q2</v>
      </c>
      <c r="BN853" t="str">
        <f>""</f>
        <v/>
      </c>
      <c r="BO853" t="str">
        <f>""</f>
        <v/>
      </c>
      <c r="BP853" t="str">
        <f>""</f>
        <v/>
      </c>
      <c r="BQ853" t="str">
        <f>""</f>
        <v/>
      </c>
      <c r="BR853" t="str">
        <f>""</f>
        <v/>
      </c>
      <c r="BS853" t="str">
        <f>""</f>
        <v/>
      </c>
      <c r="BT853" t="str">
        <f>""</f>
        <v/>
      </c>
      <c r="BU853" t="str">
        <f>""</f>
        <v/>
      </c>
      <c r="BV853" t="str">
        <f>""</f>
        <v/>
      </c>
      <c r="BW853" t="str">
        <f>""</f>
        <v/>
      </c>
      <c r="BX853" t="str">
        <f>""</f>
        <v/>
      </c>
      <c r="BY853" t="str">
        <f>""</f>
        <v/>
      </c>
      <c r="BZ853" t="str">
        <f>""</f>
        <v/>
      </c>
      <c r="CA853" t="str">
        <f>""</f>
        <v/>
      </c>
      <c r="CB853" t="str">
        <f>""</f>
        <v/>
      </c>
      <c r="CC853" t="str">
        <f>""</f>
        <v/>
      </c>
      <c r="CD853" t="str">
        <f>""</f>
        <v/>
      </c>
      <c r="CE853" t="str">
        <f>""</f>
        <v/>
      </c>
      <c r="CF853" t="str">
        <f>""</f>
        <v/>
      </c>
      <c r="CG853" t="str">
        <f>""</f>
        <v/>
      </c>
      <c r="CH853" t="str">
        <f>""</f>
        <v/>
      </c>
      <c r="CI853" t="str">
        <f>""</f>
        <v/>
      </c>
      <c r="CJ853" t="str">
        <f>""</f>
        <v/>
      </c>
      <c r="CK853" t="str">
        <f>""</f>
        <v/>
      </c>
      <c r="CL853" t="str">
        <f>""</f>
        <v/>
      </c>
      <c r="CM853" t="str">
        <f>""</f>
        <v/>
      </c>
      <c r="CN853" t="str">
        <f>""</f>
        <v/>
      </c>
      <c r="CO853" t="str">
        <f>""</f>
        <v/>
      </c>
      <c r="CP853" t="str">
        <f>""</f>
        <v/>
      </c>
      <c r="CQ853" t="str">
        <f>""</f>
        <v/>
      </c>
      <c r="CR853" t="str">
        <f>""</f>
        <v/>
      </c>
      <c r="CS853" t="str">
        <f>""</f>
        <v/>
      </c>
      <c r="CT853" t="str">
        <f>""</f>
        <v/>
      </c>
      <c r="CU853" t="str">
        <f>""</f>
        <v/>
      </c>
      <c r="CV853" t="str">
        <f>""</f>
        <v/>
      </c>
      <c r="CW853" t="str">
        <f>""</f>
        <v/>
      </c>
      <c r="CX853" t="str">
        <f>""</f>
        <v/>
      </c>
      <c r="CY853" t="str">
        <f>""</f>
        <v/>
      </c>
      <c r="CZ853" t="str">
        <f>""</f>
        <v/>
      </c>
      <c r="DA853" t="str">
        <f>""</f>
        <v/>
      </c>
      <c r="DB853" t="str">
        <f>""</f>
        <v/>
      </c>
      <c r="DC853" t="str">
        <f>""</f>
        <v/>
      </c>
      <c r="DD853" t="str">
        <f>""</f>
        <v/>
      </c>
      <c r="DE853" t="str">
        <f>""</f>
        <v/>
      </c>
      <c r="DF853" t="str">
        <f>""</f>
        <v/>
      </c>
      <c r="DG853" t="str">
        <f>""</f>
        <v/>
      </c>
      <c r="DH853" t="str">
        <f>""</f>
        <v/>
      </c>
      <c r="DI853" t="str">
        <f>""</f>
        <v/>
      </c>
      <c r="DJ853" t="str">
        <f>""</f>
        <v/>
      </c>
      <c r="DK853" t="str">
        <f>""</f>
        <v/>
      </c>
      <c r="DL853" t="str">
        <f>""</f>
        <v/>
      </c>
      <c r="DM853" t="str">
        <f>""</f>
        <v/>
      </c>
      <c r="DN853" t="str">
        <f>""</f>
        <v/>
      </c>
      <c r="DO853" t="str">
        <f>""</f>
        <v/>
      </c>
      <c r="DP853" t="str">
        <f>""</f>
        <v/>
      </c>
      <c r="DQ853" t="str">
        <f>""</f>
        <v/>
      </c>
      <c r="DR853" t="str">
        <f>""</f>
        <v/>
      </c>
      <c r="DS853" t="str">
        <f>""</f>
        <v/>
      </c>
      <c r="DT853" t="str">
        <f>""</f>
        <v/>
      </c>
      <c r="DU853" t="str">
        <f>""</f>
        <v/>
      </c>
    </row>
    <row r="854" spans="1:125">
      <c r="A854" t="str">
        <f>"No error found"</f>
        <v>No error found</v>
      </c>
      <c r="B854" t="str">
        <f>""</f>
        <v/>
      </c>
      <c r="C854" t="str">
        <f>""</f>
        <v/>
      </c>
      <c r="D854" t="str">
        <f>""</f>
        <v/>
      </c>
      <c r="E854" t="str">
        <f>""</f>
        <v/>
      </c>
      <c r="BN854" t="str">
        <f>""</f>
        <v/>
      </c>
      <c r="BO854" t="str">
        <f>""</f>
        <v/>
      </c>
      <c r="BP854" t="str">
        <f>""</f>
        <v/>
      </c>
      <c r="BQ854" t="str">
        <f>""</f>
        <v/>
      </c>
      <c r="BR854" t="str">
        <f>""</f>
        <v/>
      </c>
      <c r="BS854" t="str">
        <f>""</f>
        <v/>
      </c>
      <c r="BT854" t="str">
        <f>""</f>
        <v/>
      </c>
      <c r="BU854" t="str">
        <f>""</f>
        <v/>
      </c>
      <c r="BV854" t="str">
        <f>""</f>
        <v/>
      </c>
      <c r="BW854" t="str">
        <f>""</f>
        <v/>
      </c>
      <c r="BX854" t="str">
        <f>""</f>
        <v/>
      </c>
      <c r="BY854" t="str">
        <f>""</f>
        <v/>
      </c>
      <c r="BZ854" t="str">
        <f>""</f>
        <v/>
      </c>
      <c r="CA854" t="str">
        <f>""</f>
        <v/>
      </c>
      <c r="CB854" t="str">
        <f>""</f>
        <v/>
      </c>
      <c r="CC854" t="str">
        <f>""</f>
        <v/>
      </c>
      <c r="CD854" t="str">
        <f>""</f>
        <v/>
      </c>
      <c r="CE854" t="str">
        <f>""</f>
        <v/>
      </c>
      <c r="CF854" t="str">
        <f>""</f>
        <v/>
      </c>
      <c r="CG854" t="str">
        <f>""</f>
        <v/>
      </c>
      <c r="CH854" t="str">
        <f>""</f>
        <v/>
      </c>
      <c r="CI854" t="str">
        <f>""</f>
        <v/>
      </c>
      <c r="CJ854" t="str">
        <f>""</f>
        <v/>
      </c>
      <c r="CK854" t="str">
        <f>""</f>
        <v/>
      </c>
      <c r="CL854" t="str">
        <f>""</f>
        <v/>
      </c>
      <c r="CM854" t="str">
        <f>""</f>
        <v/>
      </c>
      <c r="CN854" t="str">
        <f>""</f>
        <v/>
      </c>
      <c r="CO854" t="str">
        <f>""</f>
        <v/>
      </c>
      <c r="CP854" t="str">
        <f>""</f>
        <v/>
      </c>
      <c r="CQ854" t="str">
        <f>""</f>
        <v/>
      </c>
      <c r="CR854" t="str">
        <f>""</f>
        <v/>
      </c>
      <c r="CS854" t="str">
        <f>""</f>
        <v/>
      </c>
      <c r="CT854" t="str">
        <f>""</f>
        <v/>
      </c>
      <c r="CU854" t="str">
        <f>""</f>
        <v/>
      </c>
      <c r="CV854" t="str">
        <f>""</f>
        <v/>
      </c>
      <c r="CW854" t="str">
        <f>""</f>
        <v/>
      </c>
      <c r="CX854" t="str">
        <f>""</f>
        <v/>
      </c>
      <c r="CY854" t="str">
        <f>""</f>
        <v/>
      </c>
      <c r="CZ854" t="str">
        <f>""</f>
        <v/>
      </c>
      <c r="DA854" t="str">
        <f>""</f>
        <v/>
      </c>
      <c r="DB854" t="str">
        <f>""</f>
        <v/>
      </c>
      <c r="DC854" t="str">
        <f>""</f>
        <v/>
      </c>
      <c r="DD854" t="str">
        <f>""</f>
        <v/>
      </c>
      <c r="DE854" t="str">
        <f>""</f>
        <v/>
      </c>
      <c r="DF854" t="str">
        <f>""</f>
        <v/>
      </c>
      <c r="DG854" t="str">
        <f>""</f>
        <v/>
      </c>
      <c r="DH854" t="str">
        <f>""</f>
        <v/>
      </c>
      <c r="DI854" t="str">
        <f>""</f>
        <v/>
      </c>
      <c r="DJ854" t="str">
        <f>""</f>
        <v/>
      </c>
      <c r="DK854" t="str">
        <f>""</f>
        <v/>
      </c>
      <c r="DL854" t="str">
        <f>""</f>
        <v/>
      </c>
      <c r="DM854" t="str">
        <f>""</f>
        <v/>
      </c>
      <c r="DN854" t="str">
        <f>""</f>
        <v/>
      </c>
      <c r="DO854" t="str">
        <f>""</f>
        <v/>
      </c>
      <c r="DP854" t="str">
        <f>""</f>
        <v/>
      </c>
      <c r="DQ854" t="str">
        <f>""</f>
        <v/>
      </c>
      <c r="DR854" t="str">
        <f>""</f>
        <v/>
      </c>
      <c r="DS854" t="str">
        <f>""</f>
        <v/>
      </c>
      <c r="DT854" t="str">
        <f>""</f>
        <v/>
      </c>
      <c r="DU854" t="str">
        <f>""</f>
        <v/>
      </c>
    </row>
  </sheetData>
  <phoneticPr fontId="1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35"/>
  <sheetViews>
    <sheetView workbookViewId="0"/>
  </sheetViews>
  <sheetFormatPr defaultRowHeight="13.5"/>
  <cols>
    <col min="1" max="1" width="9.125" bestFit="1" customWidth="1"/>
  </cols>
  <sheetData>
    <row r="1" spans="1:1" ht="15">
      <c r="A1" s="1"/>
    </row>
    <row r="2" spans="1:1">
      <c r="A2" t="s">
        <v>0</v>
      </c>
    </row>
    <row r="3" spans="1:1">
      <c r="A3" t="s">
        <v>1</v>
      </c>
    </row>
    <row r="5" spans="1:1">
      <c r="A5" t="s">
        <v>2</v>
      </c>
    </row>
    <row r="6" spans="1:1">
      <c r="A6" t="s">
        <v>3</v>
      </c>
    </row>
    <row r="7" spans="1:1">
      <c r="A7" t="s">
        <v>4</v>
      </c>
    </row>
    <row r="8" spans="1:1">
      <c r="A8" t="s">
        <v>5</v>
      </c>
    </row>
    <row r="9" spans="1:1">
      <c r="A9" t="s">
        <v>6</v>
      </c>
    </row>
    <row r="11" spans="1:1">
      <c r="A11" t="s">
        <v>7</v>
      </c>
    </row>
    <row r="12" spans="1:1">
      <c r="A12" t="s">
        <v>8</v>
      </c>
    </row>
    <row r="13" spans="1:1">
      <c r="A13" t="s">
        <v>9</v>
      </c>
    </row>
    <row r="14" spans="1:1">
      <c r="A14" t="s">
        <v>10</v>
      </c>
    </row>
    <row r="15" spans="1:1">
      <c r="A15" t="s">
        <v>11</v>
      </c>
    </row>
    <row r="16" spans="1:1">
      <c r="A16" t="s">
        <v>12</v>
      </c>
    </row>
    <row r="17" spans="1:1">
      <c r="A17" t="s">
        <v>13</v>
      </c>
    </row>
    <row r="18" spans="1:1">
      <c r="A18" t="s">
        <v>14</v>
      </c>
    </row>
    <row r="19" spans="1:1">
      <c r="A19" t="s">
        <v>15</v>
      </c>
    </row>
    <row r="21" spans="1:1">
      <c r="A21" t="s">
        <v>16</v>
      </c>
    </row>
    <row r="22" spans="1:1">
      <c r="A22" t="s">
        <v>17</v>
      </c>
    </row>
    <row r="23" spans="1:1">
      <c r="A23" t="s">
        <v>18</v>
      </c>
    </row>
    <row r="24" spans="1:1">
      <c r="A24" t="s">
        <v>19</v>
      </c>
    </row>
    <row r="25" spans="1:1">
      <c r="A25" t="s">
        <v>20</v>
      </c>
    </row>
    <row r="26" spans="1:1">
      <c r="A26" t="s">
        <v>21</v>
      </c>
    </row>
    <row r="27" spans="1:1">
      <c r="A27" t="s">
        <v>22</v>
      </c>
    </row>
    <row r="28" spans="1:1">
      <c r="A28" t="s">
        <v>23</v>
      </c>
    </row>
    <row r="29" spans="1:1">
      <c r="A29" t="s">
        <v>24</v>
      </c>
    </row>
    <row r="30" spans="1:1">
      <c r="A30" t="s">
        <v>25</v>
      </c>
    </row>
    <row r="31" spans="1:1">
      <c r="A31" t="s">
        <v>26</v>
      </c>
    </row>
    <row r="32" spans="1:1">
      <c r="A32" t="s">
        <v>27</v>
      </c>
    </row>
    <row r="33" spans="1:1">
      <c r="A33" t="s">
        <v>28</v>
      </c>
    </row>
    <row r="34" spans="1:1">
      <c r="A34" t="s">
        <v>29</v>
      </c>
    </row>
    <row r="35" spans="1:1">
      <c r="A35" t="s">
        <v>30</v>
      </c>
    </row>
  </sheetData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BIData</vt:lpstr>
      <vt:lpstr>ReferenceData</vt:lpstr>
      <vt:lpstr>帮助-参考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lenovo</cp:lastModifiedBy>
  <dcterms:created xsi:type="dcterms:W3CDTF">2013-04-03T15:49:21Z</dcterms:created>
  <dcterms:modified xsi:type="dcterms:W3CDTF">2018-03-14T03:10:54Z</dcterms:modified>
</cp:coreProperties>
</file>